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xr:revisionPtr revIDLastSave="0" documentId="13_ncr:1_{A6A7168D-0449-4479-9658-7DEE44230FA1}" xr6:coauthVersionLast="44" xr6:coauthVersionMax="45" xr10:uidLastSave="{00000000-0000-0000-0000-000000000000}"/>
  <bookViews>
    <workbookView xWindow="-11250" yWindow="8002" windowWidth="20715" windowHeight="13276" tabRatio="740" firstSheet="14" activeTab="18" xr2:uid="{C5085C70-8A1E-4CEE-B4E2-3160DC6E85C8}"/>
  </bookViews>
  <sheets>
    <sheet name="Overview" sheetId="66" r:id="rId1"/>
    <sheet name="Inputs &gt;" sheetId="3" r:id="rId2"/>
    <sheet name="Global inputs" sheetId="28" r:id="rId3"/>
    <sheet name="Escalators" sheetId="10" r:id="rId4"/>
    <sheet name="Historical opex" sheetId="64" r:id="rId5"/>
    <sheet name="Historical capex" sheetId="65" r:id="rId6"/>
    <sheet name="Operating leases" sheetId="68" r:id="rId7"/>
    <sheet name="Forecast opex" sheetId="29" r:id="rId8"/>
    <sheet name="Forecast capex" sheetId="38" r:id="rId9"/>
    <sheet name="Works under construction" sheetId="70" r:id="rId10"/>
    <sheet name="Calculations &gt;" sheetId="27" r:id="rId11"/>
    <sheet name="Escalators " sheetId="33" r:id="rId12"/>
    <sheet name="Opex summary" sheetId="11" r:id="rId13"/>
    <sheet name="Capex summary" sheetId="12" r:id="rId14"/>
    <sheet name="Commissioned assets allocation" sheetId="72" r:id="rId15"/>
    <sheet name="Commissioned assets summary" sheetId="37" r:id="rId16"/>
    <sheet name="Schedule E calculations" sheetId="76" r:id="rId17"/>
    <sheet name="Outputs &gt;" sheetId="25" r:id="rId18"/>
    <sheet name="CPP model output" sheetId="31" r:id="rId19"/>
    <sheet name="Sch E table 1" sheetId="18" r:id="rId20"/>
    <sheet name="Sch E table 2" sheetId="42" r:id="rId21"/>
    <sheet name="Sch E table 3" sheetId="43" r:id="rId22"/>
    <sheet name="Sch E table 4 " sheetId="20" r:id="rId23"/>
    <sheet name="Sch E table 5" sheetId="45" r:id="rId24"/>
    <sheet name="Sch E table 6" sheetId="46" r:id="rId25"/>
    <sheet name="Sch E table 7" sheetId="47" r:id="rId26"/>
    <sheet name="Sch E table 8" sheetId="23" r:id="rId27"/>
    <sheet name="Sch E table 9" sheetId="24" r:id="rId28"/>
  </sheets>
  <definedNames>
    <definedName name="_">'Global inputs'!$D$15</definedName>
    <definedName name="_xlnm._FilterDatabase" localSheetId="8" hidden="1">'Forecast capex'!$B$9:$AE$1940</definedName>
    <definedName name="_xlnm._FilterDatabase" localSheetId="7" hidden="1">'Forecast opex'!$B$8:$R$232</definedName>
    <definedName name="_Key1" localSheetId="5" hidden="1">#REF!</definedName>
    <definedName name="_Key1" localSheetId="4" hidden="1">#REF!</definedName>
    <definedName name="_Key1" localSheetId="6" hidden="1">#REF!</definedName>
    <definedName name="_Key1" hidden="1">#REF!</definedName>
    <definedName name="_Order1" hidden="1">255</definedName>
    <definedName name="_Sort" localSheetId="5" hidden="1">#REF!</definedName>
    <definedName name="_Sort" localSheetId="4" hidden="1">#REF!</definedName>
    <definedName name="_Sort" localSheetId="6" hidden="1">#REF!</definedName>
    <definedName name="_Sort" hidden="1">#REF!</definedName>
    <definedName name="Capex_Indices">Escalators!$B$37:$B$49</definedName>
    <definedName name="dd_accuracy">#REF!</definedName>
    <definedName name="dd_AssetCategory">#REF!</definedName>
    <definedName name="dd_CapacityConstraint">#REF!</definedName>
    <definedName name="dd_CausalProxy">#REF!</definedName>
    <definedName name="dd_Cause">#REF!</definedName>
    <definedName name="dd_opexsalescapex">#REF!</definedName>
    <definedName name="dd_standard">#REF!</definedName>
    <definedName name="dd_YesNo">#REF!</definedName>
    <definedName name="Expenditure_categories" localSheetId="9">'Works under construction'!#REF!</definedName>
    <definedName name="Expenditure_categories">'Global inputs'!$B$175:$B$182</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"04/27/2020 20:09:16"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odel_check" localSheetId="9">'Works under construction'!#REF!</definedName>
    <definedName name="Model_check">'Global inputs'!$D$15</definedName>
    <definedName name="_xlnm.Print_Area" localSheetId="13">'Capex summary'!$B$2:$T$172</definedName>
    <definedName name="_xlnm.Print_Area" localSheetId="14">'Commissioned assets allocation'!$B$2:$T$204</definedName>
    <definedName name="_xlnm.Print_Area" localSheetId="15">'Commissioned assets summary'!$B$2:$T$438</definedName>
    <definedName name="_xlnm.Print_Area" localSheetId="18">'CPP model output'!$B$2:$T$60</definedName>
    <definedName name="_xlnm.Print_Area" localSheetId="3">Escalators!$B$2:$U$138</definedName>
    <definedName name="_xlnm.Print_Area" localSheetId="11">'Escalators '!$B$2:$T$178</definedName>
    <definedName name="_xlnm.Print_Area" localSheetId="8">'Forecast capex'!$B$2:$AE$1883</definedName>
    <definedName name="_xlnm.Print_Area" localSheetId="7">'Forecast opex'!$B$2:$R$146</definedName>
    <definedName name="_xlnm.Print_Area" localSheetId="2">'Global inputs'!$B$2:$T$243</definedName>
    <definedName name="_xlnm.Print_Area" localSheetId="5">'Historical capex'!$B$2:$T$271</definedName>
    <definedName name="_xlnm.Print_Area" localSheetId="4">'Historical opex'!$B$2:$T$113</definedName>
    <definedName name="_xlnm.Print_Area" localSheetId="1">'Inputs &gt;'!$A$1:$G$9</definedName>
    <definedName name="_xlnm.Print_Area" localSheetId="6">'Operating leases'!$B$2:$T$65</definedName>
    <definedName name="_xlnm.Print_Area" localSheetId="12">'Opex summary'!$B$2:$T$102</definedName>
    <definedName name="_xlnm.Print_Area" localSheetId="17">'Outputs &gt;'!$A$1:$H$6</definedName>
    <definedName name="_xlnm.Print_Area" localSheetId="19">'Sch E table 1'!$B$2:$I$53</definedName>
    <definedName name="_xlnm.Print_Area" localSheetId="20">'Sch E table 2'!$A$1:$R$68</definedName>
    <definedName name="_xlnm.Print_Area" localSheetId="21">'Sch E table 3'!$A$1:$R$37</definedName>
    <definedName name="_xlnm.Print_Area" localSheetId="22">'Sch E table 4 '!$B$2:$AS$121</definedName>
    <definedName name="_xlnm.Print_Area" localSheetId="23">'Sch E table 5'!$A$1:$AO$31</definedName>
    <definedName name="_xlnm.Print_Area" localSheetId="24">'Sch E table 6'!$A$1:$AJ$31</definedName>
    <definedName name="_xlnm.Print_Area" localSheetId="25">'Sch E table 7'!$A$1:$AH$22</definedName>
    <definedName name="_xlnm.Print_Area" localSheetId="26">'Sch E table 8'!$B$2:$L$21</definedName>
    <definedName name="_xlnm.Print_Area" localSheetId="27">'Sch E table 9'!$B$2:$P$33</definedName>
    <definedName name="_xlnm.Print_Area" localSheetId="16">'Schedule E calculations'!$B$2:$T$355</definedName>
    <definedName name="_xlnm.Print_Area" localSheetId="9">'Works under construction'!$B$2:$T$124</definedName>
    <definedName name="_xlnm.Print_Titles" localSheetId="13">'Capex summary'!$2:$7</definedName>
    <definedName name="_xlnm.Print_Titles" localSheetId="14">'Commissioned assets allocation'!$2:$7</definedName>
    <definedName name="_xlnm.Print_Titles" localSheetId="15">'Commissioned assets summary'!$2:$7</definedName>
    <definedName name="_xlnm.Print_Titles" localSheetId="18">'CPP model output'!$2:$7</definedName>
    <definedName name="_xlnm.Print_Titles" localSheetId="3">Escalators!$2:$7</definedName>
    <definedName name="_xlnm.Print_Titles" localSheetId="11">'Escalators '!$2:$7</definedName>
    <definedName name="_xlnm.Print_Titles" localSheetId="8">'Forecast capex'!$2:$7</definedName>
    <definedName name="_xlnm.Print_Titles" localSheetId="7">'Forecast opex'!$1:$8</definedName>
    <definedName name="_xlnm.Print_Titles" localSheetId="2">'Global inputs'!$2:$7</definedName>
    <definedName name="_xlnm.Print_Titles" localSheetId="5">'Historical capex'!$2:$7</definedName>
    <definedName name="_xlnm.Print_Titles" localSheetId="4">'Historical opex'!$2:$7</definedName>
    <definedName name="_xlnm.Print_Titles" localSheetId="12">'Opex summary'!$2:$7</definedName>
    <definedName name="_xlnm.Print_Titles" localSheetId="22">'Sch E table 4 '!$B:$F,'Sch E table 4 '!$2:$9</definedName>
    <definedName name="_xlnm.Print_Titles" localSheetId="23">'Sch E table 5'!$A:$C,'Sch E table 5'!$1:$4</definedName>
    <definedName name="_xlnm.Print_Titles" localSheetId="24">'Sch E table 6'!$A:$G</definedName>
    <definedName name="_xlnm.Print_Titles" localSheetId="25">'Sch E table 7'!$A:$E</definedName>
    <definedName name="_xlnm.Print_Titles" localSheetId="16">'Schedule E calculations'!$2:$7</definedName>
    <definedName name="_xlnm.Print_Titles" localSheetId="9">'Works under construction'!$2:$7</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59" i="20" l="1"/>
  <c r="X59" i="20"/>
  <c r="Y59" i="20"/>
  <c r="Z59" i="20"/>
  <c r="Z61" i="20" s="1"/>
  <c r="AA59" i="20"/>
  <c r="AA61" i="20" s="1"/>
  <c r="AB59" i="20"/>
  <c r="AC59" i="20"/>
  <c r="AC61" i="20" s="1"/>
  <c r="AD59" i="20"/>
  <c r="AE59" i="20"/>
  <c r="AF59" i="20"/>
  <c r="AG59" i="20"/>
  <c r="AH59" i="20"/>
  <c r="V60" i="20"/>
  <c r="V61" i="20" s="1"/>
  <c r="W60" i="20"/>
  <c r="X60" i="20"/>
  <c r="Y60" i="20"/>
  <c r="Z60" i="20"/>
  <c r="AA60" i="20"/>
  <c r="AB60" i="20"/>
  <c r="AC60" i="20"/>
  <c r="AH60" i="20" s="1"/>
  <c r="AD60" i="20"/>
  <c r="AD61" i="20" s="1"/>
  <c r="AE60" i="20"/>
  <c r="AF60" i="20"/>
  <c r="AF61" i="20" s="1"/>
  <c r="AG60" i="20"/>
  <c r="W61" i="20"/>
  <c r="X61" i="20"/>
  <c r="Y61" i="20"/>
  <c r="AB61" i="20"/>
  <c r="AE61" i="20"/>
  <c r="AG61" i="20"/>
  <c r="V38" i="20"/>
  <c r="W38" i="20"/>
  <c r="X38" i="20"/>
  <c r="Y38" i="20"/>
  <c r="Z38" i="20"/>
  <c r="AA38" i="20"/>
  <c r="AB38" i="20"/>
  <c r="AC38" i="20"/>
  <c r="AH38" i="20" s="1"/>
  <c r="AD38" i="20"/>
  <c r="AE38" i="20"/>
  <c r="AF38" i="20"/>
  <c r="AG38" i="20"/>
  <c r="V39" i="20"/>
  <c r="W39" i="20"/>
  <c r="X39" i="20"/>
  <c r="Y39" i="20"/>
  <c r="Z39" i="20"/>
  <c r="AA39" i="20"/>
  <c r="AB39" i="20"/>
  <c r="AC39" i="20"/>
  <c r="AH39" i="20" s="1"/>
  <c r="AD39" i="20"/>
  <c r="AE39" i="20"/>
  <c r="AF39" i="20"/>
  <c r="AG39" i="20"/>
  <c r="V40" i="20"/>
  <c r="W40" i="20"/>
  <c r="X40" i="20"/>
  <c r="Y40" i="20"/>
  <c r="Z40" i="20"/>
  <c r="AA40" i="20"/>
  <c r="AB40" i="20"/>
  <c r="AC40" i="20"/>
  <c r="AD40" i="20"/>
  <c r="AH40" i="20" s="1"/>
  <c r="AE40" i="20"/>
  <c r="AF40" i="20"/>
  <c r="AG40" i="20"/>
  <c r="V41" i="20"/>
  <c r="W41" i="20"/>
  <c r="X41" i="20"/>
  <c r="Y41" i="20"/>
  <c r="Z41" i="20"/>
  <c r="AA41" i="20"/>
  <c r="AB41" i="20"/>
  <c r="AC41" i="20"/>
  <c r="AD41" i="20"/>
  <c r="AH41" i="20" s="1"/>
  <c r="AE41" i="20"/>
  <c r="AF41" i="20"/>
  <c r="AG41" i="20"/>
  <c r="V42" i="20"/>
  <c r="W42" i="20"/>
  <c r="X42" i="20"/>
  <c r="Y42" i="20"/>
  <c r="Z42" i="20"/>
  <c r="AA42" i="20"/>
  <c r="AB42" i="20"/>
  <c r="AC42" i="20"/>
  <c r="AH42" i="20" s="1"/>
  <c r="AD42" i="20"/>
  <c r="AE42" i="20"/>
  <c r="AF42" i="20"/>
  <c r="AG42" i="20"/>
  <c r="V43" i="20"/>
  <c r="W43" i="20"/>
  <c r="X43" i="20"/>
  <c r="Y43" i="20"/>
  <c r="Z43" i="20"/>
  <c r="AA43" i="20"/>
  <c r="AB43" i="20"/>
  <c r="AC43" i="20"/>
  <c r="AD43" i="20"/>
  <c r="AE43" i="20"/>
  <c r="AF43" i="20"/>
  <c r="AG43" i="20"/>
  <c r="AH43" i="20"/>
  <c r="V44" i="20"/>
  <c r="W44" i="20"/>
  <c r="X44" i="20"/>
  <c r="Y44" i="20"/>
  <c r="Z44" i="20"/>
  <c r="AA44" i="20"/>
  <c r="AB44" i="20"/>
  <c r="AC44" i="20"/>
  <c r="AH44" i="20" s="1"/>
  <c r="AD44" i="20"/>
  <c r="AE44" i="20"/>
  <c r="AF44" i="20"/>
  <c r="AG44" i="20"/>
  <c r="V45" i="20"/>
  <c r="W45" i="20"/>
  <c r="X45" i="20"/>
  <c r="Y45" i="20"/>
  <c r="Z45" i="20"/>
  <c r="AA45" i="20"/>
  <c r="AB45" i="20"/>
  <c r="AC45" i="20"/>
  <c r="AD45" i="20"/>
  <c r="AH45" i="20" s="1"/>
  <c r="AE45" i="20"/>
  <c r="AF45" i="20"/>
  <c r="AG45" i="20"/>
  <c r="V46" i="20"/>
  <c r="W46" i="20"/>
  <c r="X46" i="20"/>
  <c r="Y46" i="20"/>
  <c r="Z46" i="20"/>
  <c r="AA46" i="20"/>
  <c r="AB46" i="20"/>
  <c r="AC46" i="20"/>
  <c r="AH46" i="20" s="1"/>
  <c r="AD46" i="20"/>
  <c r="AE46" i="20"/>
  <c r="AF46" i="20"/>
  <c r="AG46" i="20"/>
  <c r="V47" i="20"/>
  <c r="W47" i="20"/>
  <c r="X47" i="20"/>
  <c r="Y47" i="20"/>
  <c r="Z47" i="20"/>
  <c r="AA47" i="20"/>
  <c r="AB47" i="20"/>
  <c r="AC47" i="20"/>
  <c r="AD47" i="20"/>
  <c r="AE47" i="20"/>
  <c r="AF47" i="20"/>
  <c r="AG47" i="20"/>
  <c r="AH47" i="20"/>
  <c r="V48" i="20"/>
  <c r="W48" i="20"/>
  <c r="X48" i="20"/>
  <c r="Y48" i="20"/>
  <c r="Z48" i="20"/>
  <c r="AA48" i="20"/>
  <c r="AB48" i="20"/>
  <c r="AC48" i="20"/>
  <c r="AH48" i="20" s="1"/>
  <c r="AD48" i="20"/>
  <c r="AE48" i="20"/>
  <c r="AF48" i="20"/>
  <c r="AG48" i="20"/>
  <c r="V49" i="20"/>
  <c r="W49" i="20"/>
  <c r="X49" i="20"/>
  <c r="Y49" i="20"/>
  <c r="Z49" i="20"/>
  <c r="AA49" i="20"/>
  <c r="AB49" i="20"/>
  <c r="AC49" i="20"/>
  <c r="AH49" i="20" s="1"/>
  <c r="AD49" i="20"/>
  <c r="AE49" i="20"/>
  <c r="AF49" i="20"/>
  <c r="AG49" i="20"/>
  <c r="V50" i="20"/>
  <c r="W50" i="20"/>
  <c r="X50" i="20"/>
  <c r="Y50" i="20"/>
  <c r="Z50" i="20"/>
  <c r="AA50" i="20"/>
  <c r="AB50" i="20"/>
  <c r="AC50" i="20"/>
  <c r="AD50" i="20"/>
  <c r="AE50" i="20"/>
  <c r="AH50" i="20" s="1"/>
  <c r="AF50" i="20"/>
  <c r="AG50" i="20"/>
  <c r="V51" i="20"/>
  <c r="W51" i="20"/>
  <c r="X51" i="20"/>
  <c r="Y51" i="20"/>
  <c r="Z51" i="20"/>
  <c r="AA51" i="20"/>
  <c r="AB51" i="20"/>
  <c r="AC51" i="20"/>
  <c r="AD51" i="20"/>
  <c r="AH51" i="20" s="1"/>
  <c r="AE51" i="20"/>
  <c r="AF51" i="20"/>
  <c r="AG51" i="20"/>
  <c r="V52" i="20"/>
  <c r="W52" i="20"/>
  <c r="X52" i="20"/>
  <c r="Y52" i="20"/>
  <c r="Z52" i="20"/>
  <c r="AA52" i="20"/>
  <c r="AB52" i="20"/>
  <c r="AC52" i="20"/>
  <c r="AD52" i="20"/>
  <c r="AE52" i="20"/>
  <c r="AH52" i="20" s="1"/>
  <c r="AF52" i="20"/>
  <c r="AG52" i="20"/>
  <c r="V53" i="20"/>
  <c r="W53" i="20"/>
  <c r="X53" i="20"/>
  <c r="Y53" i="20"/>
  <c r="Z53" i="20"/>
  <c r="AA53" i="20"/>
  <c r="AB53" i="20"/>
  <c r="AC53" i="20"/>
  <c r="AH53" i="20" s="1"/>
  <c r="AD53" i="20"/>
  <c r="AE53" i="20"/>
  <c r="AF53" i="20"/>
  <c r="AG53" i="20"/>
  <c r="V54" i="20"/>
  <c r="W54" i="20"/>
  <c r="X54" i="20"/>
  <c r="Y54" i="20"/>
  <c r="Z54" i="20"/>
  <c r="AA54" i="20"/>
  <c r="AB54" i="20"/>
  <c r="AC54" i="20"/>
  <c r="AD54" i="20"/>
  <c r="AE54" i="20"/>
  <c r="AF54" i="20"/>
  <c r="AG54" i="20"/>
  <c r="V55" i="20"/>
  <c r="W55" i="20"/>
  <c r="X55" i="20"/>
  <c r="Y55" i="20"/>
  <c r="Z55" i="20"/>
  <c r="AA55" i="20"/>
  <c r="AB55" i="20"/>
  <c r="AC55" i="20"/>
  <c r="AD55" i="20"/>
  <c r="AE55" i="20"/>
  <c r="AF55" i="20"/>
  <c r="AG55" i="20"/>
  <c r="AH55" i="20"/>
  <c r="V56" i="20"/>
  <c r="W56" i="20"/>
  <c r="X56" i="20"/>
  <c r="Y56" i="20"/>
  <c r="Z56" i="20"/>
  <c r="AA56" i="20"/>
  <c r="AB56" i="20"/>
  <c r="AC56" i="20"/>
  <c r="AH56" i="20" s="1"/>
  <c r="AD56" i="20"/>
  <c r="AE56" i="20"/>
  <c r="AF56" i="20"/>
  <c r="AG56" i="20"/>
  <c r="V57" i="20"/>
  <c r="W57" i="20"/>
  <c r="X57" i="20"/>
  <c r="Y57" i="20"/>
  <c r="Z57" i="20"/>
  <c r="AA57" i="20"/>
  <c r="AB57" i="20"/>
  <c r="AC57" i="20"/>
  <c r="AD57" i="20"/>
  <c r="AE57" i="20"/>
  <c r="AF57" i="20"/>
  <c r="AH57" i="20" s="1"/>
  <c r="AG57" i="20"/>
  <c r="AA13" i="20"/>
  <c r="AA15" i="20" s="1"/>
  <c r="AA17" i="20" s="1"/>
  <c r="AB13" i="20"/>
  <c r="AB15" i="20" s="1"/>
  <c r="AB17" i="20" s="1"/>
  <c r="AC13" i="20"/>
  <c r="AD13" i="20"/>
  <c r="AE13" i="20"/>
  <c r="AF13" i="20"/>
  <c r="AG13" i="20"/>
  <c r="AH13" i="20"/>
  <c r="AH15" i="20" s="1"/>
  <c r="AH17" i="20" s="1"/>
  <c r="V15" i="20"/>
  <c r="V17" i="20" s="1"/>
  <c r="W15" i="20"/>
  <c r="W17" i="20" s="1"/>
  <c r="X15" i="20"/>
  <c r="Y15" i="20"/>
  <c r="Z15" i="20"/>
  <c r="AC15" i="20"/>
  <c r="AC17" i="20" s="1"/>
  <c r="AD15" i="20"/>
  <c r="AD17" i="20" s="1"/>
  <c r="AE15" i="20"/>
  <c r="AE17" i="20" s="1"/>
  <c r="AF15" i="20"/>
  <c r="AG15" i="20"/>
  <c r="AA16" i="20"/>
  <c r="AB16" i="20"/>
  <c r="AC16" i="20"/>
  <c r="AH16" i="20" s="1"/>
  <c r="AD16" i="20"/>
  <c r="AE16" i="20"/>
  <c r="AF16" i="20"/>
  <c r="AG16" i="20"/>
  <c r="X17" i="20"/>
  <c r="Y17" i="20"/>
  <c r="Z17" i="20"/>
  <c r="AF17" i="20"/>
  <c r="AG17" i="20"/>
  <c r="AH20" i="20"/>
  <c r="AA21" i="20"/>
  <c r="AB21" i="20"/>
  <c r="AC21" i="20"/>
  <c r="AH21" i="20" s="1"/>
  <c r="AD21" i="20"/>
  <c r="AE21" i="20"/>
  <c r="AE32" i="20" s="1"/>
  <c r="AE34" i="20" s="1"/>
  <c r="AF21" i="20"/>
  <c r="AG21" i="20"/>
  <c r="AA22" i="20"/>
  <c r="AB22" i="20"/>
  <c r="AC22" i="20"/>
  <c r="AH22" i="20" s="1"/>
  <c r="AD22" i="20"/>
  <c r="AE22" i="20"/>
  <c r="AF22" i="20"/>
  <c r="AG22" i="20"/>
  <c r="AA23" i="20"/>
  <c r="AB23" i="20"/>
  <c r="AC23" i="20"/>
  <c r="AH23" i="20" s="1"/>
  <c r="AD23" i="20"/>
  <c r="AE23" i="20"/>
  <c r="AF23" i="20"/>
  <c r="AG23" i="20"/>
  <c r="AA24" i="20"/>
  <c r="AB24" i="20"/>
  <c r="AC24" i="20"/>
  <c r="AH24" i="20" s="1"/>
  <c r="AD24" i="20"/>
  <c r="AE24" i="20"/>
  <c r="AF24" i="20"/>
  <c r="AG24" i="20"/>
  <c r="AA25" i="20"/>
  <c r="AB25" i="20"/>
  <c r="AC25" i="20"/>
  <c r="AH25" i="20" s="1"/>
  <c r="AD25" i="20"/>
  <c r="AE25" i="20"/>
  <c r="AF25" i="20"/>
  <c r="AG25" i="20"/>
  <c r="AA26" i="20"/>
  <c r="AB26" i="20"/>
  <c r="AC26" i="20"/>
  <c r="AH26" i="20" s="1"/>
  <c r="AD26" i="20"/>
  <c r="AD32" i="20" s="1"/>
  <c r="AD34" i="20" s="1"/>
  <c r="AE26" i="20"/>
  <c r="AF26" i="20"/>
  <c r="AG26" i="20"/>
  <c r="AA27" i="20"/>
  <c r="AB27" i="20"/>
  <c r="AC27" i="20"/>
  <c r="AH27" i="20" s="1"/>
  <c r="AD27" i="20"/>
  <c r="AE27" i="20"/>
  <c r="AF27" i="20"/>
  <c r="AG27" i="20"/>
  <c r="AA28" i="20"/>
  <c r="AB28" i="20"/>
  <c r="AC28" i="20"/>
  <c r="AH28" i="20" s="1"/>
  <c r="AD28" i="20"/>
  <c r="AE28" i="20"/>
  <c r="AF28" i="20"/>
  <c r="AF32" i="20" s="1"/>
  <c r="AF34" i="20" s="1"/>
  <c r="AG28" i="20"/>
  <c r="AG32" i="20" s="1"/>
  <c r="AG34" i="20" s="1"/>
  <c r="AA29" i="20"/>
  <c r="AB29" i="20"/>
  <c r="AC29" i="20"/>
  <c r="AH29" i="20" s="1"/>
  <c r="AD29" i="20"/>
  <c r="AE29" i="20"/>
  <c r="AF29" i="20"/>
  <c r="AG29" i="20"/>
  <c r="AA30" i="20"/>
  <c r="AB30" i="20"/>
  <c r="AC30" i="20"/>
  <c r="AH30" i="20" s="1"/>
  <c r="AD30" i="20"/>
  <c r="AE30" i="20"/>
  <c r="AF30" i="20"/>
  <c r="AG30" i="20"/>
  <c r="V32" i="20"/>
  <c r="W32" i="20"/>
  <c r="X32" i="20"/>
  <c r="X34" i="20" s="1"/>
  <c r="Y32" i="20"/>
  <c r="Y127" i="20" s="1"/>
  <c r="Z32" i="20"/>
  <c r="Z34" i="20" s="1"/>
  <c r="AA32" i="20"/>
  <c r="AA34" i="20" s="1"/>
  <c r="AB32" i="20"/>
  <c r="AB34" i="20" s="1"/>
  <c r="AA33" i="20"/>
  <c r="AB33" i="20"/>
  <c r="AC33" i="20"/>
  <c r="AD33" i="20"/>
  <c r="AE33" i="20"/>
  <c r="AF33" i="20"/>
  <c r="AG33" i="20"/>
  <c r="AH33" i="20"/>
  <c r="V34" i="20"/>
  <c r="W34" i="20"/>
  <c r="V128" i="20"/>
  <c r="V65" i="20"/>
  <c r="V67" i="20" s="1"/>
  <c r="W65" i="20"/>
  <c r="X65" i="20"/>
  <c r="X67" i="20" s="1"/>
  <c r="Y65" i="20"/>
  <c r="Z65" i="20"/>
  <c r="AD65" i="20"/>
  <c r="AD67" i="20" s="1"/>
  <c r="W67" i="20"/>
  <c r="W69" i="20" s="1"/>
  <c r="Y67" i="20"/>
  <c r="Y69" i="20" s="1"/>
  <c r="Z67" i="20"/>
  <c r="AA68" i="20"/>
  <c r="AB68" i="20"/>
  <c r="AC68" i="20"/>
  <c r="AD68" i="20"/>
  <c r="AH68" i="20" s="1"/>
  <c r="AE68" i="20"/>
  <c r="AF68" i="20"/>
  <c r="AG68" i="20"/>
  <c r="Z69" i="20"/>
  <c r="V75" i="20"/>
  <c r="W75" i="20"/>
  <c r="X75" i="20"/>
  <c r="Y75" i="20"/>
  <c r="Z75" i="20"/>
  <c r="AC75" i="20"/>
  <c r="AE75" i="20"/>
  <c r="V76" i="20"/>
  <c r="W76" i="20"/>
  <c r="W78" i="20" s="1"/>
  <c r="X76" i="20"/>
  <c r="X78" i="20" s="1"/>
  <c r="Y76" i="20"/>
  <c r="Z76" i="20"/>
  <c r="Z78" i="20" s="1"/>
  <c r="AF76" i="20"/>
  <c r="V78" i="20"/>
  <c r="Y78" i="20"/>
  <c r="V79" i="20"/>
  <c r="V80" i="20" s="1"/>
  <c r="W79" i="20"/>
  <c r="X79" i="20"/>
  <c r="Y79" i="20"/>
  <c r="Z79" i="20"/>
  <c r="AA79" i="20"/>
  <c r="AB79" i="20"/>
  <c r="AC79" i="20"/>
  <c r="AH79" i="20" s="1"/>
  <c r="AD79" i="20"/>
  <c r="AE79" i="20"/>
  <c r="AF79" i="20"/>
  <c r="AG79" i="20"/>
  <c r="Y80" i="20"/>
  <c r="V87" i="20"/>
  <c r="V89" i="20" s="1"/>
  <c r="W87" i="20"/>
  <c r="X87" i="20"/>
  <c r="X89" i="20" s="1"/>
  <c r="Y87" i="20"/>
  <c r="Z87" i="20"/>
  <c r="AA87" i="20"/>
  <c r="AB87" i="20"/>
  <c r="AB89" i="20" s="1"/>
  <c r="AC87" i="20"/>
  <c r="AD87" i="20"/>
  <c r="AH87" i="20" s="1"/>
  <c r="AH89" i="20" s="1"/>
  <c r="AE87" i="20"/>
  <c r="AF87" i="20"/>
  <c r="AF89" i="20" s="1"/>
  <c r="AG87" i="20"/>
  <c r="W89" i="20"/>
  <c r="Y89" i="20"/>
  <c r="Z89" i="20"/>
  <c r="AA89" i="20"/>
  <c r="AC89" i="20"/>
  <c r="AE89" i="20"/>
  <c r="AG89" i="20"/>
  <c r="V96" i="20"/>
  <c r="V98" i="20" s="1"/>
  <c r="W96" i="20"/>
  <c r="X96" i="20"/>
  <c r="Y96" i="20"/>
  <c r="Z96" i="20"/>
  <c r="Z98" i="20" s="1"/>
  <c r="AA96" i="20"/>
  <c r="AB96" i="20"/>
  <c r="AB98" i="20" s="1"/>
  <c r="AC96" i="20"/>
  <c r="AD96" i="20"/>
  <c r="AD98" i="20" s="1"/>
  <c r="AE96" i="20"/>
  <c r="AF96" i="20"/>
  <c r="AG96" i="20"/>
  <c r="AH96" i="20"/>
  <c r="AH98" i="20" s="1"/>
  <c r="W98" i="20"/>
  <c r="X98" i="20"/>
  <c r="Y98" i="20"/>
  <c r="AA98" i="20"/>
  <c r="AC98" i="20"/>
  <c r="AE98" i="20"/>
  <c r="AF98" i="20"/>
  <c r="AG98" i="20"/>
  <c r="V103" i="20"/>
  <c r="W103" i="20"/>
  <c r="X103" i="20"/>
  <c r="X114" i="20" s="1"/>
  <c r="X131" i="20" s="1"/>
  <c r="Y103" i="20"/>
  <c r="Z103" i="20"/>
  <c r="Z114" i="20" s="1"/>
  <c r="Z131" i="20" s="1"/>
  <c r="AF103" i="20"/>
  <c r="V104" i="20"/>
  <c r="W104" i="20"/>
  <c r="X104" i="20"/>
  <c r="Y104" i="20"/>
  <c r="Z104" i="20"/>
  <c r="AA104" i="20"/>
  <c r="AC104" i="20"/>
  <c r="V112" i="20"/>
  <c r="V114" i="20" s="1"/>
  <c r="V131" i="20" s="1"/>
  <c r="W112" i="20"/>
  <c r="X112" i="20"/>
  <c r="Y112" i="20"/>
  <c r="Z112" i="20"/>
  <c r="AA112" i="20"/>
  <c r="AB112" i="20"/>
  <c r="AC112" i="20"/>
  <c r="AD112" i="20"/>
  <c r="AE112" i="20"/>
  <c r="AF112" i="20"/>
  <c r="AG112" i="20"/>
  <c r="AH112" i="20"/>
  <c r="W114" i="20"/>
  <c r="Y114" i="20"/>
  <c r="Y131" i="20" s="1"/>
  <c r="V123" i="20"/>
  <c r="W123" i="20"/>
  <c r="X123" i="20"/>
  <c r="Y123" i="20"/>
  <c r="Z123" i="20"/>
  <c r="AA123" i="20"/>
  <c r="AB123" i="20"/>
  <c r="AC123" i="20"/>
  <c r="AD123" i="20"/>
  <c r="AE123" i="20"/>
  <c r="AF123" i="20"/>
  <c r="AG123" i="20"/>
  <c r="V126" i="20"/>
  <c r="W126" i="20"/>
  <c r="X126" i="20"/>
  <c r="Y126" i="20"/>
  <c r="Z126" i="20"/>
  <c r="V127" i="20"/>
  <c r="W127" i="20"/>
  <c r="Z129" i="20"/>
  <c r="V130" i="20"/>
  <c r="Y130" i="20"/>
  <c r="W131" i="20"/>
  <c r="AJ16" i="20"/>
  <c r="AK16" i="20"/>
  <c r="AL16" i="20"/>
  <c r="AM16" i="20"/>
  <c r="AN16" i="20"/>
  <c r="AO16" i="20"/>
  <c r="AP16" i="20"/>
  <c r="AQ20" i="20"/>
  <c r="AJ33" i="20"/>
  <c r="AK33" i="20"/>
  <c r="AL33" i="20"/>
  <c r="AM33" i="20"/>
  <c r="AN33" i="20"/>
  <c r="AO33" i="20"/>
  <c r="AP33" i="20"/>
  <c r="AQ33" i="20" s="1"/>
  <c r="AJ60" i="20"/>
  <c r="AK60" i="20"/>
  <c r="AL60" i="20"/>
  <c r="AQ60" i="20" s="1"/>
  <c r="AM60" i="20"/>
  <c r="AN60" i="20"/>
  <c r="AO60" i="20"/>
  <c r="AP60" i="20"/>
  <c r="AJ68" i="20"/>
  <c r="AK68" i="20"/>
  <c r="AL68" i="20"/>
  <c r="AM68" i="20"/>
  <c r="AN68" i="20"/>
  <c r="AO68" i="20"/>
  <c r="AP68" i="20"/>
  <c r="AJ79" i="20"/>
  <c r="AK79" i="20"/>
  <c r="AL79" i="20"/>
  <c r="AM79" i="20"/>
  <c r="AN79" i="20"/>
  <c r="AO79" i="20"/>
  <c r="AP79" i="20"/>
  <c r="AJ87" i="20"/>
  <c r="AJ89" i="20" s="1"/>
  <c r="AK87" i="20"/>
  <c r="AL87" i="20"/>
  <c r="AM87" i="20"/>
  <c r="AM89" i="20" s="1"/>
  <c r="AN87" i="20"/>
  <c r="AN89" i="20" s="1"/>
  <c r="AO87" i="20"/>
  <c r="AP87" i="20"/>
  <c r="AK89" i="20"/>
  <c r="AO89" i="20"/>
  <c r="AP89" i="20"/>
  <c r="AJ96" i="20"/>
  <c r="AJ98" i="20" s="1"/>
  <c r="AK96" i="20"/>
  <c r="AK98" i="20" s="1"/>
  <c r="AL96" i="20"/>
  <c r="AQ96" i="20" s="1"/>
  <c r="AQ98" i="20" s="1"/>
  <c r="AM96" i="20"/>
  <c r="AN96" i="20"/>
  <c r="AO96" i="20"/>
  <c r="AP96" i="20"/>
  <c r="AP98" i="20" s="1"/>
  <c r="AM98" i="20"/>
  <c r="AN98" i="20"/>
  <c r="AO98" i="20"/>
  <c r="AJ112" i="20"/>
  <c r="AK112" i="20"/>
  <c r="AL112" i="20"/>
  <c r="AM112" i="20"/>
  <c r="AN112" i="20"/>
  <c r="AO112" i="20"/>
  <c r="AP112" i="20"/>
  <c r="AQ112" i="20"/>
  <c r="AL123" i="20"/>
  <c r="AM123" i="20"/>
  <c r="AO123" i="20"/>
  <c r="E13" i="20"/>
  <c r="M13" i="20" s="1"/>
  <c r="M15" i="20" s="1"/>
  <c r="M17" i="20" s="1"/>
  <c r="H15" i="20"/>
  <c r="H17" i="20" s="1"/>
  <c r="I15" i="20"/>
  <c r="I17" i="20" s="1"/>
  <c r="J15" i="20"/>
  <c r="K15" i="20"/>
  <c r="L15" i="20"/>
  <c r="L17" i="20" s="1"/>
  <c r="M16" i="20"/>
  <c r="N16" i="20"/>
  <c r="O16" i="20"/>
  <c r="P16" i="20"/>
  <c r="Q16" i="20"/>
  <c r="R16" i="20"/>
  <c r="S16" i="20"/>
  <c r="J17" i="20"/>
  <c r="K17" i="20"/>
  <c r="T20" i="20"/>
  <c r="E21" i="20"/>
  <c r="M21" i="20" s="1"/>
  <c r="E22" i="20"/>
  <c r="M22" i="20" s="1"/>
  <c r="E23" i="20"/>
  <c r="M23" i="20" s="1"/>
  <c r="E24" i="20"/>
  <c r="M24" i="20" s="1"/>
  <c r="E25" i="20"/>
  <c r="M25" i="20"/>
  <c r="E26" i="20"/>
  <c r="M26" i="20" s="1"/>
  <c r="E27" i="20"/>
  <c r="M27" i="20"/>
  <c r="E28" i="20"/>
  <c r="M28" i="20" s="1"/>
  <c r="E29" i="20"/>
  <c r="M29" i="20" s="1"/>
  <c r="E30" i="20"/>
  <c r="M30" i="20" s="1"/>
  <c r="H32" i="20"/>
  <c r="H34" i="20" s="1"/>
  <c r="I32" i="20"/>
  <c r="J32" i="20"/>
  <c r="J34" i="20" s="1"/>
  <c r="K32" i="20"/>
  <c r="L32" i="20"/>
  <c r="M33" i="20"/>
  <c r="N33" i="20"/>
  <c r="O33" i="20"/>
  <c r="P33" i="20"/>
  <c r="Q33" i="20"/>
  <c r="R33" i="20"/>
  <c r="S33" i="20"/>
  <c r="I34" i="20"/>
  <c r="K34" i="20"/>
  <c r="L34" i="20"/>
  <c r="E38" i="20"/>
  <c r="M38" i="20"/>
  <c r="E39" i="20"/>
  <c r="M39" i="20"/>
  <c r="E40" i="20"/>
  <c r="M40" i="20" s="1"/>
  <c r="E41" i="20"/>
  <c r="M41" i="20"/>
  <c r="E42" i="20"/>
  <c r="M42" i="20"/>
  <c r="E43" i="20"/>
  <c r="M43" i="20"/>
  <c r="E44" i="20"/>
  <c r="M44" i="20" s="1"/>
  <c r="E45" i="20"/>
  <c r="M45" i="20"/>
  <c r="E46" i="20"/>
  <c r="M46" i="20"/>
  <c r="E47" i="20"/>
  <c r="M47" i="20"/>
  <c r="E48" i="20"/>
  <c r="M48" i="20" s="1"/>
  <c r="E49" i="20"/>
  <c r="M49" i="20"/>
  <c r="E50" i="20"/>
  <c r="M50" i="20"/>
  <c r="E51" i="20"/>
  <c r="M51" i="20" s="1"/>
  <c r="E52" i="20"/>
  <c r="M52" i="20"/>
  <c r="N52" i="20"/>
  <c r="E53" i="20"/>
  <c r="M53" i="20"/>
  <c r="E54" i="20"/>
  <c r="M54" i="20"/>
  <c r="N54" i="20"/>
  <c r="E55" i="20"/>
  <c r="M55" i="20" s="1"/>
  <c r="E56" i="20"/>
  <c r="M56" i="20"/>
  <c r="E57" i="20"/>
  <c r="M57" i="20"/>
  <c r="H59" i="20"/>
  <c r="I59" i="20"/>
  <c r="I61" i="20" s="1"/>
  <c r="J59" i="20"/>
  <c r="K59" i="20"/>
  <c r="K61" i="20" s="1"/>
  <c r="L59" i="20"/>
  <c r="M60" i="20"/>
  <c r="N60" i="20"/>
  <c r="O60" i="20"/>
  <c r="P60" i="20"/>
  <c r="Q60" i="20"/>
  <c r="R60" i="20"/>
  <c r="S60" i="20"/>
  <c r="T60" i="20"/>
  <c r="H61" i="20"/>
  <c r="J61" i="20"/>
  <c r="L61" i="20"/>
  <c r="E65" i="20"/>
  <c r="M65" i="20" s="1"/>
  <c r="M67" i="20" s="1"/>
  <c r="M69" i="20" s="1"/>
  <c r="H67" i="20"/>
  <c r="I67" i="20"/>
  <c r="J67" i="20"/>
  <c r="J69" i="20" s="1"/>
  <c r="K67" i="20"/>
  <c r="L67" i="20"/>
  <c r="M68" i="20"/>
  <c r="N68" i="20"/>
  <c r="O68" i="20"/>
  <c r="T68" i="20" s="1"/>
  <c r="P68" i="20"/>
  <c r="Q68" i="20"/>
  <c r="R68" i="20"/>
  <c r="S68" i="20"/>
  <c r="H69" i="20"/>
  <c r="I69" i="20"/>
  <c r="K69" i="20"/>
  <c r="K118" i="20" s="1"/>
  <c r="L69" i="20"/>
  <c r="E75" i="20"/>
  <c r="M75" i="20" s="1"/>
  <c r="N75" i="20"/>
  <c r="E76" i="20"/>
  <c r="M76" i="20" s="1"/>
  <c r="H78" i="20"/>
  <c r="I78" i="20"/>
  <c r="J78" i="20"/>
  <c r="J80" i="20" s="1"/>
  <c r="K78" i="20"/>
  <c r="L78" i="20"/>
  <c r="M79" i="20"/>
  <c r="N79" i="20"/>
  <c r="O79" i="20"/>
  <c r="P79" i="20"/>
  <c r="Q79" i="20"/>
  <c r="R79" i="20"/>
  <c r="S79" i="20"/>
  <c r="I80" i="20"/>
  <c r="K80" i="20"/>
  <c r="L80" i="20"/>
  <c r="H87" i="20"/>
  <c r="I87" i="20"/>
  <c r="I89" i="20" s="1"/>
  <c r="J87" i="20"/>
  <c r="J89" i="20" s="1"/>
  <c r="K87" i="20"/>
  <c r="L87" i="20"/>
  <c r="M87" i="20"/>
  <c r="M89" i="20" s="1"/>
  <c r="N87" i="20"/>
  <c r="N89" i="20" s="1"/>
  <c r="O87" i="20"/>
  <c r="P87" i="20"/>
  <c r="Q87" i="20"/>
  <c r="Q89" i="20" s="1"/>
  <c r="R87" i="20"/>
  <c r="S87" i="20"/>
  <c r="H89" i="20"/>
  <c r="K89" i="20"/>
  <c r="L89" i="20"/>
  <c r="O89" i="20"/>
  <c r="P89" i="20"/>
  <c r="S89" i="20"/>
  <c r="H96" i="20"/>
  <c r="I96" i="20"/>
  <c r="J96" i="20"/>
  <c r="J98" i="20" s="1"/>
  <c r="K96" i="20"/>
  <c r="L96" i="20"/>
  <c r="M96" i="20"/>
  <c r="M98" i="20" s="1"/>
  <c r="N96" i="20"/>
  <c r="O96" i="20"/>
  <c r="P96" i="20"/>
  <c r="Q96" i="20"/>
  <c r="Q98" i="20" s="1"/>
  <c r="R96" i="20"/>
  <c r="R98" i="20" s="1"/>
  <c r="S96" i="20"/>
  <c r="H98" i="20"/>
  <c r="I98" i="20"/>
  <c r="K98" i="20"/>
  <c r="L98" i="20"/>
  <c r="N98" i="20"/>
  <c r="O98" i="20"/>
  <c r="P98" i="20"/>
  <c r="S98" i="20"/>
  <c r="E103" i="20"/>
  <c r="M103" i="20"/>
  <c r="N103" i="20"/>
  <c r="E104" i="20"/>
  <c r="M104" i="20"/>
  <c r="O104" i="20"/>
  <c r="H112" i="20"/>
  <c r="I112" i="20"/>
  <c r="I114" i="20" s="1"/>
  <c r="I131" i="20" s="1"/>
  <c r="J112" i="20"/>
  <c r="J114" i="20" s="1"/>
  <c r="J131" i="20" s="1"/>
  <c r="K112" i="20"/>
  <c r="L112" i="20"/>
  <c r="M112" i="20"/>
  <c r="N112" i="20"/>
  <c r="O112" i="20"/>
  <c r="P112" i="20"/>
  <c r="Q112" i="20"/>
  <c r="R112" i="20"/>
  <c r="S112" i="20"/>
  <c r="T112" i="20"/>
  <c r="H114" i="20"/>
  <c r="H131" i="20" s="1"/>
  <c r="K114" i="20"/>
  <c r="K131" i="20" s="1"/>
  <c r="L114" i="20"/>
  <c r="I117" i="20"/>
  <c r="L117" i="20"/>
  <c r="K123" i="20"/>
  <c r="J123" i="20" s="1"/>
  <c r="L123" i="20"/>
  <c r="N123" i="20"/>
  <c r="O123" i="20"/>
  <c r="H126" i="20"/>
  <c r="I126" i="20"/>
  <c r="J126" i="20"/>
  <c r="K126" i="20"/>
  <c r="L126" i="20"/>
  <c r="M126" i="20"/>
  <c r="H127" i="20"/>
  <c r="I127" i="20"/>
  <c r="J127" i="20"/>
  <c r="K127" i="20"/>
  <c r="L127" i="20"/>
  <c r="H128" i="20"/>
  <c r="I128" i="20"/>
  <c r="J128" i="20"/>
  <c r="K128" i="20"/>
  <c r="L128" i="20"/>
  <c r="H129" i="20"/>
  <c r="I129" i="20"/>
  <c r="J129" i="20"/>
  <c r="K129" i="20"/>
  <c r="L129" i="20"/>
  <c r="I130" i="20"/>
  <c r="K130" i="20"/>
  <c r="L130" i="20"/>
  <c r="L131" i="20"/>
  <c r="AH61" i="20" l="1"/>
  <c r="W118" i="20"/>
  <c r="AH32" i="20"/>
  <c r="AH34" i="20" s="1"/>
  <c r="Z127" i="20"/>
  <c r="Y34" i="20"/>
  <c r="AC32" i="20"/>
  <c r="AC34" i="20" s="1"/>
  <c r="Z118" i="20"/>
  <c r="X117" i="20"/>
  <c r="X130" i="20"/>
  <c r="X80" i="20"/>
  <c r="X69" i="20"/>
  <c r="X129" i="20"/>
  <c r="W80" i="20"/>
  <c r="W130" i="20"/>
  <c r="Z128" i="20"/>
  <c r="V69" i="20"/>
  <c r="V118" i="20" s="1"/>
  <c r="V129" i="20"/>
  <c r="V117" i="20"/>
  <c r="AE127" i="20"/>
  <c r="W117" i="20"/>
  <c r="W128" i="20"/>
  <c r="AA126" i="20"/>
  <c r="AD69" i="20"/>
  <c r="AD129" i="20"/>
  <c r="Z130" i="20"/>
  <c r="Z80" i="20"/>
  <c r="Y128" i="20"/>
  <c r="Y117" i="20"/>
  <c r="Y118" i="20"/>
  <c r="X128" i="20"/>
  <c r="AF126" i="20"/>
  <c r="AB104" i="20"/>
  <c r="AG103" i="20"/>
  <c r="AG76" i="20"/>
  <c r="AD75" i="20"/>
  <c r="AC65" i="20"/>
  <c r="AB65" i="20"/>
  <c r="AB67" i="20" s="1"/>
  <c r="Y129" i="20"/>
  <c r="AE103" i="20"/>
  <c r="AD89" i="20"/>
  <c r="AE76" i="20"/>
  <c r="AE78" i="20" s="1"/>
  <c r="AB75" i="20"/>
  <c r="AA65" i="20"/>
  <c r="AA67" i="20" s="1"/>
  <c r="X127" i="20"/>
  <c r="AG104" i="20"/>
  <c r="AD103" i="20"/>
  <c r="AD76" i="20"/>
  <c r="AA75" i="20"/>
  <c r="W129" i="20"/>
  <c r="AF104" i="20"/>
  <c r="AF114" i="20" s="1"/>
  <c r="AF131" i="20" s="1"/>
  <c r="AC103" i="20"/>
  <c r="AC76" i="20"/>
  <c r="AG65" i="20"/>
  <c r="AG67" i="20" s="1"/>
  <c r="X118" i="20"/>
  <c r="AE104" i="20"/>
  <c r="AB103" i="20"/>
  <c r="AB114" i="20" s="1"/>
  <c r="AB131" i="20" s="1"/>
  <c r="AB76" i="20"/>
  <c r="AG75" i="20"/>
  <c r="AG78" i="20" s="1"/>
  <c r="AF65" i="20"/>
  <c r="AF67" i="20" s="1"/>
  <c r="AD104" i="20"/>
  <c r="AH104" i="20" s="1"/>
  <c r="AA103" i="20"/>
  <c r="AA114" i="20" s="1"/>
  <c r="AA131" i="20" s="1"/>
  <c r="AA76" i="20"/>
  <c r="AF75" i="20"/>
  <c r="AF78" i="20" s="1"/>
  <c r="AE65" i="20"/>
  <c r="AE67" i="20" s="1"/>
  <c r="AO38" i="20"/>
  <c r="AO45" i="20"/>
  <c r="AO53" i="20"/>
  <c r="AO55" i="20"/>
  <c r="AO42" i="20"/>
  <c r="AO50" i="20"/>
  <c r="AO13" i="20"/>
  <c r="AO15" i="20" s="1"/>
  <c r="AO39" i="20"/>
  <c r="AO44" i="20"/>
  <c r="AO52" i="20"/>
  <c r="AO24" i="20"/>
  <c r="AO28" i="20"/>
  <c r="AO65" i="20"/>
  <c r="AO67" i="20" s="1"/>
  <c r="AO69" i="20" s="1"/>
  <c r="AO129" i="20" s="1"/>
  <c r="AO75" i="20"/>
  <c r="AO40" i="20"/>
  <c r="AO43" i="20"/>
  <c r="AO51" i="20"/>
  <c r="AO56" i="20"/>
  <c r="AO23" i="20"/>
  <c r="AO27" i="20"/>
  <c r="AO49" i="20"/>
  <c r="AO104" i="20"/>
  <c r="AO41" i="20"/>
  <c r="AO57" i="20"/>
  <c r="AO46" i="20"/>
  <c r="AO47" i="20"/>
  <c r="AO48" i="20"/>
  <c r="AO76" i="20"/>
  <c r="AO103" i="20"/>
  <c r="AM40" i="20"/>
  <c r="AM13" i="20"/>
  <c r="AM15" i="20" s="1"/>
  <c r="AM39" i="20"/>
  <c r="AM47" i="20"/>
  <c r="AM57" i="20"/>
  <c r="AM44" i="20"/>
  <c r="AM52" i="20"/>
  <c r="AM41" i="20"/>
  <c r="AM38" i="20"/>
  <c r="AM46" i="20"/>
  <c r="AM56" i="20"/>
  <c r="AM75" i="20"/>
  <c r="AM24" i="20"/>
  <c r="AM28" i="20"/>
  <c r="AM43" i="20"/>
  <c r="AM51" i="20"/>
  <c r="AM104" i="20"/>
  <c r="AM23" i="20"/>
  <c r="AM27" i="20"/>
  <c r="AM49" i="20"/>
  <c r="AM42" i="20"/>
  <c r="AM50" i="20"/>
  <c r="AM55" i="20"/>
  <c r="AM22" i="20"/>
  <c r="AM26" i="20"/>
  <c r="AM30" i="20"/>
  <c r="AM48" i="20"/>
  <c r="AM54" i="20"/>
  <c r="AM76" i="20"/>
  <c r="AM103" i="20"/>
  <c r="AM21" i="20"/>
  <c r="AM25" i="20"/>
  <c r="AM29" i="20"/>
  <c r="AK123" i="20"/>
  <c r="AO54" i="20"/>
  <c r="AO22" i="20"/>
  <c r="AL13" i="20"/>
  <c r="AL44" i="20"/>
  <c r="AL52" i="20"/>
  <c r="AL41" i="20"/>
  <c r="AL49" i="20"/>
  <c r="AL54" i="20"/>
  <c r="AL38" i="20"/>
  <c r="AL21" i="20"/>
  <c r="AL22" i="20"/>
  <c r="AL23" i="20"/>
  <c r="AL24" i="20"/>
  <c r="AL25" i="20"/>
  <c r="AL26" i="20"/>
  <c r="AL27" i="20"/>
  <c r="AL28" i="20"/>
  <c r="AL29" i="20"/>
  <c r="AL30" i="20"/>
  <c r="AL43" i="20"/>
  <c r="AL51" i="20"/>
  <c r="AL65" i="20"/>
  <c r="AL40" i="20"/>
  <c r="AL56" i="20"/>
  <c r="AL42" i="20"/>
  <c r="AL50" i="20"/>
  <c r="AL55" i="20"/>
  <c r="AL57" i="20"/>
  <c r="AL48" i="20"/>
  <c r="AL76" i="20"/>
  <c r="AL103" i="20"/>
  <c r="AL46" i="20"/>
  <c r="AL39" i="20"/>
  <c r="AL45" i="20"/>
  <c r="AL53" i="20"/>
  <c r="AJ123" i="20"/>
  <c r="AQ87" i="20"/>
  <c r="AQ89" i="20" s="1"/>
  <c r="AL89" i="20"/>
  <c r="AO21" i="20"/>
  <c r="AL75" i="20"/>
  <c r="AM53" i="20"/>
  <c r="AO26" i="20"/>
  <c r="AQ68" i="20"/>
  <c r="AN123" i="20"/>
  <c r="AL104" i="20"/>
  <c r="AQ79" i="20"/>
  <c r="AM45" i="20"/>
  <c r="AO25" i="20"/>
  <c r="AP123" i="20"/>
  <c r="AM65" i="20"/>
  <c r="AM67" i="20" s="1"/>
  <c r="AM69" i="20" s="1"/>
  <c r="AM129" i="20" s="1"/>
  <c r="AL47" i="20"/>
  <c r="AO30" i="20"/>
  <c r="AO29" i="20"/>
  <c r="AL98" i="20"/>
  <c r="AQ16" i="20"/>
  <c r="M114" i="20"/>
  <c r="M131" i="20" s="1"/>
  <c r="T87" i="20"/>
  <c r="T89" i="20" s="1"/>
  <c r="R89" i="20"/>
  <c r="I123" i="20"/>
  <c r="M129" i="20"/>
  <c r="L118" i="20"/>
  <c r="O13" i="20"/>
  <c r="O21" i="20"/>
  <c r="O29" i="20"/>
  <c r="O41" i="20"/>
  <c r="O45" i="20"/>
  <c r="O49" i="20"/>
  <c r="O22" i="20"/>
  <c r="O30" i="20"/>
  <c r="O24" i="20"/>
  <c r="O23" i="20"/>
  <c r="O25" i="20"/>
  <c r="O26" i="20"/>
  <c r="O39" i="20"/>
  <c r="O42" i="20"/>
  <c r="O44" i="20"/>
  <c r="O47" i="20"/>
  <c r="O48" i="20"/>
  <c r="O43" i="20"/>
  <c r="O46" i="20"/>
  <c r="O50" i="20"/>
  <c r="O56" i="20"/>
  <c r="O53" i="20"/>
  <c r="O40" i="20"/>
  <c r="O28" i="20"/>
  <c r="O65" i="20"/>
  <c r="O51" i="20"/>
  <c r="O52" i="20"/>
  <c r="O103" i="20"/>
  <c r="P123" i="20"/>
  <c r="O38" i="20"/>
  <c r="O27" i="20"/>
  <c r="O55" i="20"/>
  <c r="O57" i="20"/>
  <c r="O54" i="20"/>
  <c r="O76" i="20"/>
  <c r="O75" i="20"/>
  <c r="H80" i="20"/>
  <c r="H118" i="20" s="1"/>
  <c r="H130" i="20"/>
  <c r="M78" i="20"/>
  <c r="J118" i="20"/>
  <c r="N13" i="20"/>
  <c r="N15" i="20" s="1"/>
  <c r="N21" i="20"/>
  <c r="N22" i="20"/>
  <c r="N30" i="20"/>
  <c r="N23" i="20"/>
  <c r="N40" i="20"/>
  <c r="N44" i="20"/>
  <c r="N25" i="20"/>
  <c r="N39" i="20"/>
  <c r="N43" i="20"/>
  <c r="N47" i="20"/>
  <c r="N24" i="20"/>
  <c r="N27" i="20"/>
  <c r="N28" i="20"/>
  <c r="N29" i="20"/>
  <c r="N49" i="20"/>
  <c r="N51" i="20"/>
  <c r="N38" i="20"/>
  <c r="N59" i="20" s="1"/>
  <c r="N26" i="20"/>
  <c r="N46" i="20"/>
  <c r="N41" i="20"/>
  <c r="N48" i="20"/>
  <c r="N53" i="20"/>
  <c r="N45" i="20"/>
  <c r="N104" i="20"/>
  <c r="N114" i="20" s="1"/>
  <c r="N131" i="20" s="1"/>
  <c r="N65" i="20"/>
  <c r="N67" i="20" s="1"/>
  <c r="N76" i="20"/>
  <c r="N78" i="20" s="1"/>
  <c r="N50" i="20"/>
  <c r="N42" i="20"/>
  <c r="T79" i="20"/>
  <c r="I118" i="20"/>
  <c r="J130" i="20"/>
  <c r="J117" i="20"/>
  <c r="T96" i="20"/>
  <c r="T98" i="20" s="1"/>
  <c r="H117" i="20"/>
  <c r="N57" i="20"/>
  <c r="N56" i="20"/>
  <c r="N55" i="20"/>
  <c r="K117" i="20"/>
  <c r="M59" i="20"/>
  <c r="M32" i="20"/>
  <c r="T16" i="20"/>
  <c r="T33" i="20"/>
  <c r="F4" i="47"/>
  <c r="G7" i="47"/>
  <c r="G10" i="47" s="1"/>
  <c r="G21" i="47" s="1"/>
  <c r="G24" i="47" s="1"/>
  <c r="H7" i="47"/>
  <c r="I7" i="47"/>
  <c r="J7" i="47"/>
  <c r="K7" i="47"/>
  <c r="L7" i="47"/>
  <c r="L10" i="47" s="1"/>
  <c r="L21" i="47" s="1"/>
  <c r="L24" i="47" s="1"/>
  <c r="M7" i="47"/>
  <c r="M10" i="47" s="1"/>
  <c r="N7" i="47"/>
  <c r="N10" i="47" s="1"/>
  <c r="N21" i="47" s="1"/>
  <c r="N24" i="47" s="1"/>
  <c r="O7" i="47"/>
  <c r="O10" i="47" s="1"/>
  <c r="O21" i="47" s="1"/>
  <c r="O24" i="47" s="1"/>
  <c r="P7" i="47"/>
  <c r="Q7" i="47"/>
  <c r="R7" i="47"/>
  <c r="U7" i="47"/>
  <c r="U10" i="47" s="1"/>
  <c r="U21" i="47" s="1"/>
  <c r="U24" i="47" s="1"/>
  <c r="V7" i="47"/>
  <c r="V10" i="47" s="1"/>
  <c r="W7" i="47"/>
  <c r="W10" i="47" s="1"/>
  <c r="X7" i="47"/>
  <c r="X10" i="47" s="1"/>
  <c r="X21" i="47" s="1"/>
  <c r="X24" i="47" s="1"/>
  <c r="Y7" i="47"/>
  <c r="Z7" i="47"/>
  <c r="AA7" i="47"/>
  <c r="AB7" i="47"/>
  <c r="AG7" i="47" s="1"/>
  <c r="AG10" i="47" s="1"/>
  <c r="AC7" i="47"/>
  <c r="AC10" i="47" s="1"/>
  <c r="AC21" i="47" s="1"/>
  <c r="AC24" i="47" s="1"/>
  <c r="AD7" i="47"/>
  <c r="AD10" i="47" s="1"/>
  <c r="AE7" i="47"/>
  <c r="AE10" i="47" s="1"/>
  <c r="AF7" i="47"/>
  <c r="AF10" i="47" s="1"/>
  <c r="AF21" i="47" s="1"/>
  <c r="AF24" i="47" s="1"/>
  <c r="L8" i="47"/>
  <c r="M8" i="47"/>
  <c r="N8" i="47"/>
  <c r="S8" i="47" s="1"/>
  <c r="O8" i="47"/>
  <c r="P8" i="47"/>
  <c r="P10" i="47" s="1"/>
  <c r="P21" i="47" s="1"/>
  <c r="P24" i="47" s="1"/>
  <c r="Q8" i="47"/>
  <c r="Q10" i="47" s="1"/>
  <c r="R8" i="47"/>
  <c r="Z8" i="47"/>
  <c r="AA8" i="47"/>
  <c r="AB8" i="47"/>
  <c r="AG8" i="47" s="1"/>
  <c r="AC8" i="47"/>
  <c r="AD8" i="47"/>
  <c r="AE8" i="47"/>
  <c r="AF8" i="47"/>
  <c r="E10" i="47"/>
  <c r="H10" i="47"/>
  <c r="I10" i="47"/>
  <c r="J10" i="47"/>
  <c r="K10" i="47"/>
  <c r="K21" i="47" s="1"/>
  <c r="K24" i="47" s="1"/>
  <c r="R10" i="47"/>
  <c r="Y10" i="47"/>
  <c r="Z10" i="47"/>
  <c r="AA10" i="47"/>
  <c r="AB10" i="47"/>
  <c r="AB21" i="47" s="1"/>
  <c r="AB24" i="47" s="1"/>
  <c r="G13" i="47"/>
  <c r="G18" i="47" s="1"/>
  <c r="H13" i="47"/>
  <c r="H18" i="47" s="1"/>
  <c r="H21" i="47" s="1"/>
  <c r="H24" i="47" s="1"/>
  <c r="I13" i="47"/>
  <c r="J13" i="47"/>
  <c r="K13" i="47"/>
  <c r="L13" i="47"/>
  <c r="M13" i="47"/>
  <c r="M18" i="47" s="1"/>
  <c r="N13" i="47"/>
  <c r="N18" i="47" s="1"/>
  <c r="O13" i="47"/>
  <c r="O18" i="47" s="1"/>
  <c r="P13" i="47"/>
  <c r="P18" i="47" s="1"/>
  <c r="Q13" i="47"/>
  <c r="R13" i="47"/>
  <c r="U13" i="47"/>
  <c r="V13" i="47"/>
  <c r="V18" i="47" s="1"/>
  <c r="W13" i="47"/>
  <c r="W18" i="47" s="1"/>
  <c r="X13" i="47"/>
  <c r="X18" i="47" s="1"/>
  <c r="Y13" i="47"/>
  <c r="Y18" i="47" s="1"/>
  <c r="Y21" i="47" s="1"/>
  <c r="Y24" i="47" s="1"/>
  <c r="Z13" i="47"/>
  <c r="AA13" i="47"/>
  <c r="AB13" i="47"/>
  <c r="AC13" i="47"/>
  <c r="AD13" i="47"/>
  <c r="AD18" i="47" s="1"/>
  <c r="AE13" i="47"/>
  <c r="AE18" i="47" s="1"/>
  <c r="AF13" i="47"/>
  <c r="AF18" i="47" s="1"/>
  <c r="AG13" i="47"/>
  <c r="G14" i="47"/>
  <c r="H14" i="47"/>
  <c r="I14" i="47"/>
  <c r="J14" i="47"/>
  <c r="K14" i="47"/>
  <c r="L14" i="47"/>
  <c r="M14" i="47"/>
  <c r="N14" i="47"/>
  <c r="O14" i="47"/>
  <c r="P14" i="47"/>
  <c r="Q14" i="47"/>
  <c r="R14" i="47"/>
  <c r="S14" i="47"/>
  <c r="U14" i="47"/>
  <c r="V14" i="47"/>
  <c r="W14" i="47"/>
  <c r="X14" i="47"/>
  <c r="Y14" i="47"/>
  <c r="Z14" i="47"/>
  <c r="AA14" i="47"/>
  <c r="AB14" i="47"/>
  <c r="AG14" i="47" s="1"/>
  <c r="AC14" i="47"/>
  <c r="AD14" i="47"/>
  <c r="AE14" i="47"/>
  <c r="AF14" i="47"/>
  <c r="G15" i="47"/>
  <c r="H15" i="47"/>
  <c r="I15" i="47"/>
  <c r="I18" i="47" s="1"/>
  <c r="I21" i="47" s="1"/>
  <c r="I24" i="47" s="1"/>
  <c r="J15" i="47"/>
  <c r="J18" i="47" s="1"/>
  <c r="J21" i="47" s="1"/>
  <c r="J24" i="47" s="1"/>
  <c r="K15" i="47"/>
  <c r="L15" i="47"/>
  <c r="M15" i="47"/>
  <c r="N15" i="47"/>
  <c r="O15" i="47"/>
  <c r="S15" i="47" s="1"/>
  <c r="P15" i="47"/>
  <c r="Q15" i="47"/>
  <c r="Q18" i="47" s="1"/>
  <c r="R15" i="47"/>
  <c r="R18" i="47" s="1"/>
  <c r="R21" i="47" s="1"/>
  <c r="R24" i="47" s="1"/>
  <c r="U15" i="47"/>
  <c r="V15" i="47"/>
  <c r="W15" i="47"/>
  <c r="X15" i="47"/>
  <c r="Y15" i="47"/>
  <c r="Z15" i="47"/>
  <c r="Z18" i="47" s="1"/>
  <c r="Z21" i="47" s="1"/>
  <c r="Z24" i="47" s="1"/>
  <c r="AA15" i="47"/>
  <c r="AA18" i="47" s="1"/>
  <c r="AA21" i="47" s="1"/>
  <c r="AA24" i="47" s="1"/>
  <c r="AB15" i="47"/>
  <c r="AC15" i="47"/>
  <c r="AD15" i="47"/>
  <c r="AE15" i="47"/>
  <c r="AF15" i="47"/>
  <c r="AG15" i="47"/>
  <c r="G16" i="47"/>
  <c r="H16" i="47"/>
  <c r="I16" i="47"/>
  <c r="J16" i="47"/>
  <c r="K16" i="47"/>
  <c r="L16" i="47"/>
  <c r="M16" i="47"/>
  <c r="N16" i="47"/>
  <c r="S16" i="47" s="1"/>
  <c r="O16" i="47"/>
  <c r="P16" i="47"/>
  <c r="Q16" i="47"/>
  <c r="R16" i="47"/>
  <c r="U16" i="47"/>
  <c r="V16" i="47"/>
  <c r="W16" i="47"/>
  <c r="X16" i="47"/>
  <c r="Y16" i="47"/>
  <c r="Z16" i="47"/>
  <c r="AA16" i="47"/>
  <c r="AB16" i="47"/>
  <c r="AC16" i="47"/>
  <c r="AG16" i="47" s="1"/>
  <c r="AD16" i="47"/>
  <c r="AE16" i="47"/>
  <c r="AF16" i="47"/>
  <c r="E18" i="47"/>
  <c r="K18" i="47"/>
  <c r="L18" i="47"/>
  <c r="U18" i="47"/>
  <c r="AB18" i="47"/>
  <c r="AC18" i="47"/>
  <c r="B2" i="11"/>
  <c r="H3" i="11"/>
  <c r="I3" i="11"/>
  <c r="J3" i="11"/>
  <c r="K3" i="11"/>
  <c r="L3" i="11"/>
  <c r="M3" i="11"/>
  <c r="N3" i="11"/>
  <c r="O3" i="11"/>
  <c r="P3" i="11"/>
  <c r="Q3" i="11"/>
  <c r="R3" i="11"/>
  <c r="S3" i="11"/>
  <c r="H4" i="11"/>
  <c r="I4" i="11"/>
  <c r="J4" i="11"/>
  <c r="K4" i="11"/>
  <c r="L4" i="11"/>
  <c r="M4" i="11"/>
  <c r="N4" i="11"/>
  <c r="O4" i="11"/>
  <c r="P4" i="11"/>
  <c r="Q4" i="11"/>
  <c r="Q11" i="11" s="1"/>
  <c r="R4" i="11"/>
  <c r="R11" i="11" s="1"/>
  <c r="S4" i="11"/>
  <c r="S11" i="11" s="1"/>
  <c r="H5" i="11"/>
  <c r="I5" i="11"/>
  <c r="J5" i="11"/>
  <c r="K5" i="11"/>
  <c r="L5" i="11"/>
  <c r="M5" i="11"/>
  <c r="N5" i="11"/>
  <c r="O5" i="11"/>
  <c r="P5" i="11"/>
  <c r="Q5" i="11"/>
  <c r="R5" i="11"/>
  <c r="S5" i="11"/>
  <c r="M11" i="11"/>
  <c r="M22" i="11" s="1"/>
  <c r="N11" i="11"/>
  <c r="N38" i="11" s="1"/>
  <c r="O11" i="11"/>
  <c r="O25" i="11" s="1"/>
  <c r="O27" i="11" s="1"/>
  <c r="P11" i="11"/>
  <c r="P26" i="11" s="1"/>
  <c r="P19" i="11"/>
  <c r="M25" i="11"/>
  <c r="M27" i="11" s="1"/>
  <c r="N25" i="11"/>
  <c r="N27" i="11" s="1"/>
  <c r="M26" i="11"/>
  <c r="N26" i="11"/>
  <c r="O26" i="11"/>
  <c r="M38" i="11"/>
  <c r="M41" i="11"/>
  <c r="M43" i="11" s="1"/>
  <c r="N41" i="11"/>
  <c r="N43" i="11" s="1"/>
  <c r="O41" i="11"/>
  <c r="O43" i="11" s="1"/>
  <c r="M42" i="11"/>
  <c r="N42" i="11"/>
  <c r="O42" i="11"/>
  <c r="P42" i="11"/>
  <c r="M60" i="11"/>
  <c r="M61" i="11"/>
  <c r="N61" i="11"/>
  <c r="M64" i="11"/>
  <c r="N64" i="11"/>
  <c r="O64" i="11"/>
  <c r="M65" i="11"/>
  <c r="N65" i="11"/>
  <c r="O65" i="11"/>
  <c r="P65" i="11"/>
  <c r="P66" i="11"/>
  <c r="M80" i="11"/>
  <c r="N80" i="11"/>
  <c r="M83" i="11"/>
  <c r="N83" i="11"/>
  <c r="O83" i="11"/>
  <c r="M86" i="11"/>
  <c r="N86" i="11"/>
  <c r="O86" i="11"/>
  <c r="P86" i="11"/>
  <c r="P87" i="11"/>
  <c r="M93" i="11"/>
  <c r="M96" i="11"/>
  <c r="N96" i="11"/>
  <c r="M97" i="11"/>
  <c r="N97" i="11"/>
  <c r="O97" i="11"/>
  <c r="B2" i="29"/>
  <c r="E9" i="29"/>
  <c r="G9" i="29" s="1"/>
  <c r="N9" i="29" s="1"/>
  <c r="Q9" i="29" s="1"/>
  <c r="F9" i="29"/>
  <c r="K9" i="29"/>
  <c r="L9" i="29" s="1"/>
  <c r="M9" i="29"/>
  <c r="P9" i="29"/>
  <c r="E10" i="29"/>
  <c r="F10" i="29"/>
  <c r="G10" i="29"/>
  <c r="N10" i="29" s="1"/>
  <c r="Q10" i="29" s="1"/>
  <c r="K10" i="29"/>
  <c r="L10" i="29" s="1"/>
  <c r="M10" i="29"/>
  <c r="P10" i="29"/>
  <c r="E11" i="29"/>
  <c r="G11" i="29" s="1"/>
  <c r="N11" i="29" s="1"/>
  <c r="Q11" i="29" s="1"/>
  <c r="F11" i="29"/>
  <c r="K11" i="29"/>
  <c r="L11" i="29" s="1"/>
  <c r="M11" i="29"/>
  <c r="O11" i="29"/>
  <c r="R11" i="29" s="1"/>
  <c r="P11" i="29"/>
  <c r="E12" i="29"/>
  <c r="G12" i="29" s="1"/>
  <c r="N12" i="29" s="1"/>
  <c r="Q12" i="29" s="1"/>
  <c r="F12" i="29"/>
  <c r="K12" i="29"/>
  <c r="L12" i="29"/>
  <c r="M12" i="29"/>
  <c r="O12" i="29" s="1"/>
  <c r="R12" i="29" s="1"/>
  <c r="P12" i="29"/>
  <c r="E13" i="29"/>
  <c r="F13" i="29"/>
  <c r="G13" i="29" s="1"/>
  <c r="N13" i="29" s="1"/>
  <c r="K13" i="29"/>
  <c r="L13" i="29"/>
  <c r="M13" i="29"/>
  <c r="P13" i="29"/>
  <c r="Q13" i="29"/>
  <c r="E14" i="29"/>
  <c r="F14" i="29"/>
  <c r="G14" i="29"/>
  <c r="K14" i="29"/>
  <c r="L14" i="29"/>
  <c r="M14" i="29"/>
  <c r="N14" i="29"/>
  <c r="P14" i="29"/>
  <c r="E15" i="29"/>
  <c r="F15" i="29"/>
  <c r="G15" i="29" s="1"/>
  <c r="N15" i="29" s="1"/>
  <c r="K15" i="29"/>
  <c r="L15" i="29" s="1"/>
  <c r="M15" i="29"/>
  <c r="P15" i="29"/>
  <c r="E16" i="29"/>
  <c r="G16" i="29" s="1"/>
  <c r="N16" i="29" s="1"/>
  <c r="F16" i="29"/>
  <c r="K16" i="29"/>
  <c r="L16" i="29"/>
  <c r="M16" i="29"/>
  <c r="O16" i="29" s="1"/>
  <c r="P16" i="29"/>
  <c r="E17" i="29"/>
  <c r="G17" i="29" s="1"/>
  <c r="N17" i="29" s="1"/>
  <c r="Q17" i="29" s="1"/>
  <c r="F17" i="29"/>
  <c r="K17" i="29"/>
  <c r="L17" i="29" s="1"/>
  <c r="M17" i="29"/>
  <c r="P17" i="29"/>
  <c r="E18" i="29"/>
  <c r="F18" i="29"/>
  <c r="G18" i="29"/>
  <c r="N18" i="29" s="1"/>
  <c r="Q18" i="29" s="1"/>
  <c r="K18" i="29"/>
  <c r="L18" i="29" s="1"/>
  <c r="M18" i="29"/>
  <c r="P18" i="29"/>
  <c r="E19" i="29"/>
  <c r="G19" i="29" s="1"/>
  <c r="N19" i="29" s="1"/>
  <c r="Q19" i="29" s="1"/>
  <c r="F19" i="29"/>
  <c r="K19" i="29"/>
  <c r="L19" i="29" s="1"/>
  <c r="M19" i="29"/>
  <c r="P19" i="29"/>
  <c r="E20" i="29"/>
  <c r="G20" i="29" s="1"/>
  <c r="N20" i="29" s="1"/>
  <c r="Q20" i="29" s="1"/>
  <c r="F20" i="29"/>
  <c r="K20" i="29"/>
  <c r="L20" i="29"/>
  <c r="M20" i="29"/>
  <c r="O20" i="29" s="1"/>
  <c r="R20" i="29" s="1"/>
  <c r="P20" i="29"/>
  <c r="E21" i="29"/>
  <c r="F21" i="29"/>
  <c r="G21" i="29" s="1"/>
  <c r="N21" i="29" s="1"/>
  <c r="K21" i="29"/>
  <c r="L21" i="29" s="1"/>
  <c r="M21" i="29"/>
  <c r="P21" i="29"/>
  <c r="Q21" i="29"/>
  <c r="E22" i="29"/>
  <c r="F22" i="29"/>
  <c r="G22" i="29"/>
  <c r="K22" i="29"/>
  <c r="L22" i="29"/>
  <c r="M22" i="29"/>
  <c r="N22" i="29"/>
  <c r="P22" i="29"/>
  <c r="E23" i="29"/>
  <c r="G23" i="29" s="1"/>
  <c r="N23" i="29" s="1"/>
  <c r="F23" i="29"/>
  <c r="K23" i="29"/>
  <c r="L23" i="29" s="1"/>
  <c r="M23" i="29"/>
  <c r="P23" i="29"/>
  <c r="E24" i="29"/>
  <c r="G24" i="29" s="1"/>
  <c r="N24" i="29" s="1"/>
  <c r="F24" i="29"/>
  <c r="K24" i="29"/>
  <c r="L24" i="29"/>
  <c r="M24" i="29"/>
  <c r="O24" i="29" s="1"/>
  <c r="R24" i="29" s="1"/>
  <c r="P24" i="29"/>
  <c r="E25" i="29"/>
  <c r="G25" i="29" s="1"/>
  <c r="N25" i="29" s="1"/>
  <c r="Q25" i="29" s="1"/>
  <c r="F25" i="29"/>
  <c r="K25" i="29"/>
  <c r="L25" i="29" s="1"/>
  <c r="M25" i="29"/>
  <c r="O25" i="29" s="1"/>
  <c r="R25" i="29" s="1"/>
  <c r="P25" i="29"/>
  <c r="E26" i="29"/>
  <c r="F26" i="29"/>
  <c r="G26" i="29"/>
  <c r="N26" i="29" s="1"/>
  <c r="Q26" i="29" s="1"/>
  <c r="K26" i="29"/>
  <c r="L26" i="29" s="1"/>
  <c r="M26" i="29"/>
  <c r="P26" i="29"/>
  <c r="E27" i="29"/>
  <c r="G27" i="29" s="1"/>
  <c r="N27" i="29" s="1"/>
  <c r="Q27" i="29" s="1"/>
  <c r="F27" i="29"/>
  <c r="K27" i="29"/>
  <c r="L27" i="29" s="1"/>
  <c r="M27" i="29"/>
  <c r="P27" i="29"/>
  <c r="E28" i="29"/>
  <c r="G28" i="29" s="1"/>
  <c r="N28" i="29" s="1"/>
  <c r="Q28" i="29" s="1"/>
  <c r="F28" i="29"/>
  <c r="K28" i="29"/>
  <c r="L28" i="29"/>
  <c r="M28" i="29"/>
  <c r="O28" i="29" s="1"/>
  <c r="R28" i="29" s="1"/>
  <c r="P28" i="29"/>
  <c r="E29" i="29"/>
  <c r="F29" i="29"/>
  <c r="G29" i="29" s="1"/>
  <c r="N29" i="29" s="1"/>
  <c r="K29" i="29"/>
  <c r="L29" i="29" s="1"/>
  <c r="M29" i="29"/>
  <c r="O29" i="29" s="1"/>
  <c r="R29" i="29" s="1"/>
  <c r="P29" i="29"/>
  <c r="Q29" i="29"/>
  <c r="E30" i="29"/>
  <c r="F30" i="29"/>
  <c r="G30" i="29"/>
  <c r="K30" i="29"/>
  <c r="L30" i="29" s="1"/>
  <c r="M30" i="29"/>
  <c r="N30" i="29"/>
  <c r="P30" i="29"/>
  <c r="E31" i="29"/>
  <c r="G31" i="29" s="1"/>
  <c r="N31" i="29" s="1"/>
  <c r="F31" i="29"/>
  <c r="K31" i="29"/>
  <c r="L31" i="29" s="1"/>
  <c r="M31" i="29"/>
  <c r="P31" i="29"/>
  <c r="E32" i="29"/>
  <c r="G32" i="29" s="1"/>
  <c r="N32" i="29" s="1"/>
  <c r="F32" i="29"/>
  <c r="K32" i="29"/>
  <c r="L32" i="29"/>
  <c r="M32" i="29"/>
  <c r="O32" i="29" s="1"/>
  <c r="P32" i="29"/>
  <c r="E33" i="29"/>
  <c r="G33" i="29" s="1"/>
  <c r="N33" i="29" s="1"/>
  <c r="Q33" i="29" s="1"/>
  <c r="F33" i="29"/>
  <c r="K33" i="29"/>
  <c r="L33" i="29" s="1"/>
  <c r="M33" i="29"/>
  <c r="O33" i="29" s="1"/>
  <c r="R33" i="29" s="1"/>
  <c r="P33" i="29"/>
  <c r="E34" i="29"/>
  <c r="F34" i="29"/>
  <c r="G34" i="29"/>
  <c r="N34" i="29" s="1"/>
  <c r="Q34" i="29" s="1"/>
  <c r="K34" i="29"/>
  <c r="L34" i="29" s="1"/>
  <c r="M34" i="29"/>
  <c r="P34" i="29"/>
  <c r="E35" i="29"/>
  <c r="G35" i="29" s="1"/>
  <c r="N35" i="29" s="1"/>
  <c r="Q35" i="29" s="1"/>
  <c r="F35" i="29"/>
  <c r="K35" i="29"/>
  <c r="L35" i="29" s="1"/>
  <c r="M35" i="29"/>
  <c r="P35" i="29"/>
  <c r="E36" i="29"/>
  <c r="G36" i="29" s="1"/>
  <c r="N36" i="29" s="1"/>
  <c r="Q36" i="29" s="1"/>
  <c r="F36" i="29"/>
  <c r="K36" i="29"/>
  <c r="L36" i="29"/>
  <c r="M36" i="29"/>
  <c r="O36" i="29" s="1"/>
  <c r="R36" i="29" s="1"/>
  <c r="P36" i="29"/>
  <c r="E37" i="29"/>
  <c r="F37" i="29"/>
  <c r="G37" i="29" s="1"/>
  <c r="N37" i="29" s="1"/>
  <c r="K37" i="29"/>
  <c r="L37" i="29" s="1"/>
  <c r="M37" i="29"/>
  <c r="O37" i="29" s="1"/>
  <c r="R37" i="29" s="1"/>
  <c r="P37" i="29"/>
  <c r="Q37" i="29"/>
  <c r="E38" i="29"/>
  <c r="F38" i="29"/>
  <c r="G38" i="29"/>
  <c r="K38" i="29"/>
  <c r="L38" i="29" s="1"/>
  <c r="M38" i="29"/>
  <c r="N38" i="29"/>
  <c r="P38" i="29"/>
  <c r="E39" i="29"/>
  <c r="G39" i="29" s="1"/>
  <c r="N39" i="29" s="1"/>
  <c r="F39" i="29"/>
  <c r="K39" i="29"/>
  <c r="L39" i="29" s="1"/>
  <c r="M39" i="29"/>
  <c r="P39" i="29"/>
  <c r="E40" i="29"/>
  <c r="G40" i="29" s="1"/>
  <c r="N40" i="29" s="1"/>
  <c r="F40" i="29"/>
  <c r="K40" i="29"/>
  <c r="L40" i="29"/>
  <c r="M40" i="29"/>
  <c r="O40" i="29" s="1"/>
  <c r="P40" i="29"/>
  <c r="E41" i="29"/>
  <c r="G41" i="29" s="1"/>
  <c r="N41" i="29" s="1"/>
  <c r="Q41" i="29" s="1"/>
  <c r="F41" i="29"/>
  <c r="K41" i="29"/>
  <c r="L41" i="29"/>
  <c r="M41" i="29"/>
  <c r="O41" i="29" s="1"/>
  <c r="R41" i="29" s="1"/>
  <c r="P41" i="29"/>
  <c r="E42" i="29"/>
  <c r="F42" i="29"/>
  <c r="G42" i="29"/>
  <c r="N42" i="29" s="1"/>
  <c r="Q42" i="29" s="1"/>
  <c r="K42" i="29"/>
  <c r="L42" i="29" s="1"/>
  <c r="M42" i="29"/>
  <c r="O42" i="29" s="1"/>
  <c r="P42" i="29"/>
  <c r="R42" i="29"/>
  <c r="E43" i="29"/>
  <c r="G43" i="29" s="1"/>
  <c r="N43" i="29" s="1"/>
  <c r="Q43" i="29" s="1"/>
  <c r="F43" i="29"/>
  <c r="K43" i="29"/>
  <c r="L43" i="29" s="1"/>
  <c r="M43" i="29"/>
  <c r="P43" i="29"/>
  <c r="E44" i="29"/>
  <c r="G44" i="29" s="1"/>
  <c r="N44" i="29" s="1"/>
  <c r="Q44" i="29" s="1"/>
  <c r="F44" i="29"/>
  <c r="K44" i="29"/>
  <c r="L44" i="29"/>
  <c r="M44" i="29"/>
  <c r="P44" i="29"/>
  <c r="E45" i="29"/>
  <c r="F45" i="29"/>
  <c r="G45" i="29" s="1"/>
  <c r="N45" i="29" s="1"/>
  <c r="K45" i="29"/>
  <c r="L45" i="29"/>
  <c r="M45" i="29"/>
  <c r="O45" i="29" s="1"/>
  <c r="R45" i="29" s="1"/>
  <c r="P45" i="29"/>
  <c r="Q45" i="29"/>
  <c r="E46" i="29"/>
  <c r="F46" i="29"/>
  <c r="G46" i="29"/>
  <c r="K46" i="29"/>
  <c r="L46" i="29" s="1"/>
  <c r="M46" i="29"/>
  <c r="N46" i="29"/>
  <c r="P46" i="29"/>
  <c r="E47" i="29"/>
  <c r="G47" i="29" s="1"/>
  <c r="N47" i="29" s="1"/>
  <c r="F47" i="29"/>
  <c r="K47" i="29"/>
  <c r="L47" i="29" s="1"/>
  <c r="M47" i="29"/>
  <c r="P47" i="29"/>
  <c r="E48" i="29"/>
  <c r="G48" i="29" s="1"/>
  <c r="N48" i="29" s="1"/>
  <c r="Q48" i="29" s="1"/>
  <c r="F48" i="29"/>
  <c r="K48" i="29"/>
  <c r="L48" i="29"/>
  <c r="M48" i="29"/>
  <c r="P48" i="29"/>
  <c r="E49" i="29"/>
  <c r="G49" i="29" s="1"/>
  <c r="N49" i="29" s="1"/>
  <c r="Q49" i="29" s="1"/>
  <c r="F49" i="29"/>
  <c r="K49" i="29"/>
  <c r="L49" i="29" s="1"/>
  <c r="M49" i="29"/>
  <c r="O49" i="29" s="1"/>
  <c r="R49" i="29" s="1"/>
  <c r="P49" i="29"/>
  <c r="E50" i="29"/>
  <c r="F50" i="29"/>
  <c r="G50" i="29"/>
  <c r="N50" i="29" s="1"/>
  <c r="Q50" i="29" s="1"/>
  <c r="K50" i="29"/>
  <c r="L50" i="29" s="1"/>
  <c r="M50" i="29"/>
  <c r="O50" i="29" s="1"/>
  <c r="R50" i="29" s="1"/>
  <c r="P50" i="29"/>
  <c r="E51" i="29"/>
  <c r="G51" i="29" s="1"/>
  <c r="N51" i="29" s="1"/>
  <c r="Q51" i="29" s="1"/>
  <c r="F51" i="29"/>
  <c r="K51" i="29"/>
  <c r="L51" i="29" s="1"/>
  <c r="M51" i="29"/>
  <c r="P51" i="29"/>
  <c r="E52" i="29"/>
  <c r="G52" i="29" s="1"/>
  <c r="N52" i="29" s="1"/>
  <c r="Q52" i="29" s="1"/>
  <c r="F52" i="29"/>
  <c r="K52" i="29"/>
  <c r="L52" i="29"/>
  <c r="M52" i="29"/>
  <c r="P52" i="29"/>
  <c r="E53" i="29"/>
  <c r="F53" i="29"/>
  <c r="G53" i="29" s="1"/>
  <c r="N53" i="29" s="1"/>
  <c r="Q53" i="29" s="1"/>
  <c r="K53" i="29"/>
  <c r="L53" i="29"/>
  <c r="M53" i="29"/>
  <c r="P53" i="29"/>
  <c r="E54" i="29"/>
  <c r="F54" i="29"/>
  <c r="G54" i="29"/>
  <c r="K54" i="29"/>
  <c r="L54" i="29" s="1"/>
  <c r="M54" i="29"/>
  <c r="N54" i="29"/>
  <c r="Q54" i="29" s="1"/>
  <c r="O54" i="29"/>
  <c r="R54" i="29" s="1"/>
  <c r="P54" i="29"/>
  <c r="E55" i="29"/>
  <c r="G55" i="29" s="1"/>
  <c r="N55" i="29" s="1"/>
  <c r="F55" i="29"/>
  <c r="K55" i="29"/>
  <c r="L55" i="29" s="1"/>
  <c r="M55" i="29"/>
  <c r="P55" i="29"/>
  <c r="E56" i="29"/>
  <c r="G56" i="29" s="1"/>
  <c r="N56" i="29" s="1"/>
  <c r="F56" i="29"/>
  <c r="K56" i="29"/>
  <c r="L56" i="29"/>
  <c r="M56" i="29"/>
  <c r="O56" i="29" s="1"/>
  <c r="R56" i="29" s="1"/>
  <c r="P56" i="29"/>
  <c r="Q56" i="29"/>
  <c r="E57" i="29"/>
  <c r="G57" i="29" s="1"/>
  <c r="F57" i="29"/>
  <c r="K57" i="29"/>
  <c r="L57" i="29" s="1"/>
  <c r="M57" i="29"/>
  <c r="O57" i="29" s="1"/>
  <c r="R57" i="29" s="1"/>
  <c r="N57" i="29"/>
  <c r="Q57" i="29" s="1"/>
  <c r="P57" i="29"/>
  <c r="E58" i="29"/>
  <c r="F58" i="29"/>
  <c r="G58" i="29"/>
  <c r="N58" i="29" s="1"/>
  <c r="Q58" i="29" s="1"/>
  <c r="K58" i="29"/>
  <c r="L58" i="29" s="1"/>
  <c r="M58" i="29"/>
  <c r="O58" i="29" s="1"/>
  <c r="P58" i="29"/>
  <c r="R58" i="29"/>
  <c r="E59" i="29"/>
  <c r="G59" i="29" s="1"/>
  <c r="N59" i="29" s="1"/>
  <c r="Q59" i="29" s="1"/>
  <c r="F59" i="29"/>
  <c r="K59" i="29"/>
  <c r="L59" i="29" s="1"/>
  <c r="M59" i="29"/>
  <c r="P59" i="29"/>
  <c r="E60" i="29"/>
  <c r="G60" i="29" s="1"/>
  <c r="N60" i="29" s="1"/>
  <c r="Q60" i="29" s="1"/>
  <c r="F60" i="29"/>
  <c r="K60" i="29"/>
  <c r="L60" i="29"/>
  <c r="M60" i="29"/>
  <c r="P60" i="29"/>
  <c r="E61" i="29"/>
  <c r="F61" i="29"/>
  <c r="G61" i="29"/>
  <c r="N61" i="29" s="1"/>
  <c r="Q61" i="29" s="1"/>
  <c r="K61" i="29"/>
  <c r="L61" i="29"/>
  <c r="M61" i="29"/>
  <c r="P61" i="29"/>
  <c r="E62" i="29"/>
  <c r="F62" i="29"/>
  <c r="G62" i="29"/>
  <c r="K62" i="29"/>
  <c r="L62" i="29" s="1"/>
  <c r="M62" i="29"/>
  <c r="N62" i="29"/>
  <c r="Q62" i="29" s="1"/>
  <c r="P62" i="29"/>
  <c r="E63" i="29"/>
  <c r="F63" i="29"/>
  <c r="G63" i="29"/>
  <c r="K63" i="29"/>
  <c r="L63" i="29" s="1"/>
  <c r="M63" i="29"/>
  <c r="N63" i="29"/>
  <c r="Q63" i="29" s="1"/>
  <c r="O63" i="29"/>
  <c r="R63" i="29" s="1"/>
  <c r="P63" i="29"/>
  <c r="E64" i="29"/>
  <c r="G64" i="29" s="1"/>
  <c r="N64" i="29" s="1"/>
  <c r="Q64" i="29" s="1"/>
  <c r="F64" i="29"/>
  <c r="K64" i="29"/>
  <c r="L64" i="29"/>
  <c r="M64" i="29"/>
  <c r="P64" i="29"/>
  <c r="E65" i="29"/>
  <c r="G65" i="29" s="1"/>
  <c r="F65" i="29"/>
  <c r="K65" i="29"/>
  <c r="L65" i="29"/>
  <c r="M65" i="29"/>
  <c r="N65" i="29"/>
  <c r="Q65" i="29" s="1"/>
  <c r="P65" i="29"/>
  <c r="E66" i="29"/>
  <c r="F66" i="29"/>
  <c r="G66" i="29"/>
  <c r="N66" i="29" s="1"/>
  <c r="Q66" i="29" s="1"/>
  <c r="K66" i="29"/>
  <c r="L66" i="29" s="1"/>
  <c r="M66" i="29"/>
  <c r="P66" i="29"/>
  <c r="E67" i="29"/>
  <c r="G67" i="29" s="1"/>
  <c r="N67" i="29" s="1"/>
  <c r="F67" i="29"/>
  <c r="K67" i="29"/>
  <c r="L67" i="29" s="1"/>
  <c r="M67" i="29"/>
  <c r="O67" i="29"/>
  <c r="P67" i="29"/>
  <c r="E68" i="29"/>
  <c r="G68" i="29" s="1"/>
  <c r="N68" i="29" s="1"/>
  <c r="Q68" i="29" s="1"/>
  <c r="F68" i="29"/>
  <c r="K68" i="29"/>
  <c r="L68" i="29"/>
  <c r="M68" i="29"/>
  <c r="P68" i="29"/>
  <c r="E69" i="29"/>
  <c r="F69" i="29"/>
  <c r="G69" i="29" s="1"/>
  <c r="N69" i="29" s="1"/>
  <c r="Q69" i="29" s="1"/>
  <c r="K69" i="29"/>
  <c r="L69" i="29"/>
  <c r="M69" i="29"/>
  <c r="P69" i="29"/>
  <c r="E70" i="29"/>
  <c r="F70" i="29"/>
  <c r="G70" i="29"/>
  <c r="K70" i="29"/>
  <c r="L70" i="29" s="1"/>
  <c r="M70" i="29"/>
  <c r="N70" i="29"/>
  <c r="Q70" i="29" s="1"/>
  <c r="O70" i="29"/>
  <c r="R70" i="29" s="1"/>
  <c r="P70" i="29"/>
  <c r="E71" i="29"/>
  <c r="F71" i="29"/>
  <c r="G71" i="29"/>
  <c r="K71" i="29"/>
  <c r="L71" i="29"/>
  <c r="M71" i="29"/>
  <c r="N71" i="29"/>
  <c r="Q71" i="29" s="1"/>
  <c r="O71" i="29"/>
  <c r="R71" i="29" s="1"/>
  <c r="P71" i="29"/>
  <c r="E72" i="29"/>
  <c r="F72" i="29"/>
  <c r="K72" i="29"/>
  <c r="L72" i="29"/>
  <c r="M72" i="29"/>
  <c r="P72" i="29"/>
  <c r="E73" i="29"/>
  <c r="G73" i="29" s="1"/>
  <c r="N73" i="29" s="1"/>
  <c r="Q73" i="29" s="1"/>
  <c r="F73" i="29"/>
  <c r="K73" i="29"/>
  <c r="L73" i="29"/>
  <c r="M73" i="29"/>
  <c r="P73" i="29"/>
  <c r="E74" i="29"/>
  <c r="F74" i="29"/>
  <c r="G74" i="29"/>
  <c r="N74" i="29" s="1"/>
  <c r="Q74" i="29" s="1"/>
  <c r="K74" i="29"/>
  <c r="L74" i="29" s="1"/>
  <c r="M74" i="29"/>
  <c r="P74" i="29"/>
  <c r="E75" i="29"/>
  <c r="G75" i="29" s="1"/>
  <c r="N75" i="29" s="1"/>
  <c r="Q75" i="29" s="1"/>
  <c r="F75" i="29"/>
  <c r="K75" i="29"/>
  <c r="L75" i="29" s="1"/>
  <c r="M75" i="29"/>
  <c r="P75" i="29"/>
  <c r="E76" i="29"/>
  <c r="G76" i="29" s="1"/>
  <c r="N76" i="29" s="1"/>
  <c r="F76" i="29"/>
  <c r="K76" i="29"/>
  <c r="L76" i="29"/>
  <c r="M76" i="29"/>
  <c r="O76" i="29" s="1"/>
  <c r="R76" i="29" s="1"/>
  <c r="P76" i="29"/>
  <c r="E77" i="29"/>
  <c r="F77" i="29"/>
  <c r="G77" i="29"/>
  <c r="N77" i="29" s="1"/>
  <c r="K77" i="29"/>
  <c r="L77" i="29"/>
  <c r="M77" i="29"/>
  <c r="O77" i="29" s="1"/>
  <c r="P77" i="29"/>
  <c r="Q77" i="29"/>
  <c r="R77" i="29"/>
  <c r="E78" i="29"/>
  <c r="F78" i="29"/>
  <c r="G78" i="29"/>
  <c r="K78" i="29"/>
  <c r="L78" i="29" s="1"/>
  <c r="M78" i="29"/>
  <c r="N78" i="29"/>
  <c r="Q78" i="29" s="1"/>
  <c r="P78" i="29"/>
  <c r="E79" i="29"/>
  <c r="F79" i="29"/>
  <c r="G79" i="29"/>
  <c r="K79" i="29"/>
  <c r="L79" i="29"/>
  <c r="M79" i="29"/>
  <c r="N79" i="29"/>
  <c r="Q79" i="29" s="1"/>
  <c r="O79" i="29"/>
  <c r="R79" i="29" s="1"/>
  <c r="P79" i="29"/>
  <c r="E80" i="29"/>
  <c r="F80" i="29"/>
  <c r="K80" i="29"/>
  <c r="L80" i="29"/>
  <c r="M80" i="29"/>
  <c r="P80" i="29"/>
  <c r="E81" i="29"/>
  <c r="F81" i="29"/>
  <c r="K81" i="29"/>
  <c r="L81" i="29"/>
  <c r="M81" i="29"/>
  <c r="P81" i="29"/>
  <c r="E82" i="29"/>
  <c r="F82" i="29"/>
  <c r="G82" i="29"/>
  <c r="N82" i="29" s="1"/>
  <c r="Q82" i="29" s="1"/>
  <c r="K82" i="29"/>
  <c r="L82" i="29" s="1"/>
  <c r="M82" i="29"/>
  <c r="P82" i="29"/>
  <c r="E83" i="29"/>
  <c r="F83" i="29"/>
  <c r="G83" i="29"/>
  <c r="N83" i="29" s="1"/>
  <c r="Q83" i="29" s="1"/>
  <c r="K83" i="29"/>
  <c r="L83" i="29" s="1"/>
  <c r="M83" i="29"/>
  <c r="P83" i="29"/>
  <c r="E84" i="29"/>
  <c r="G84" i="29" s="1"/>
  <c r="N84" i="29" s="1"/>
  <c r="F84" i="29"/>
  <c r="K84" i="29"/>
  <c r="L84" i="29"/>
  <c r="M84" i="29"/>
  <c r="O84" i="29" s="1"/>
  <c r="R84" i="29" s="1"/>
  <c r="P84" i="29"/>
  <c r="E85" i="29"/>
  <c r="F85" i="29"/>
  <c r="G85" i="29" s="1"/>
  <c r="N85" i="29" s="1"/>
  <c r="Q85" i="29" s="1"/>
  <c r="K85" i="29"/>
  <c r="L85" i="29"/>
  <c r="M85" i="29"/>
  <c r="P85" i="29"/>
  <c r="E86" i="29"/>
  <c r="F86" i="29"/>
  <c r="G86" i="29"/>
  <c r="N86" i="29" s="1"/>
  <c r="K86" i="29"/>
  <c r="L86" i="29" s="1"/>
  <c r="M86" i="29"/>
  <c r="P86" i="29"/>
  <c r="E87" i="29"/>
  <c r="F87" i="29"/>
  <c r="G87" i="29"/>
  <c r="K87" i="29"/>
  <c r="L87" i="29"/>
  <c r="M87" i="29"/>
  <c r="N87" i="29"/>
  <c r="Q87" i="29" s="1"/>
  <c r="P87" i="29"/>
  <c r="E88" i="29"/>
  <c r="F88" i="29"/>
  <c r="G88" i="29" s="1"/>
  <c r="N88" i="29" s="1"/>
  <c r="Q88" i="29" s="1"/>
  <c r="K88" i="29"/>
  <c r="L88" i="29" s="1"/>
  <c r="M88" i="29"/>
  <c r="P88" i="29"/>
  <c r="E89" i="29"/>
  <c r="G89" i="29" s="1"/>
  <c r="N89" i="29" s="1"/>
  <c r="F89" i="29"/>
  <c r="K89" i="29"/>
  <c r="L89" i="29"/>
  <c r="M89" i="29"/>
  <c r="P89" i="29"/>
  <c r="E90" i="29"/>
  <c r="F90" i="29"/>
  <c r="G90" i="29"/>
  <c r="K90" i="29"/>
  <c r="L90" i="29" s="1"/>
  <c r="M90" i="29"/>
  <c r="O90" i="29" s="1"/>
  <c r="R90" i="29" s="1"/>
  <c r="N90" i="29"/>
  <c r="Q90" i="29" s="1"/>
  <c r="P90" i="29"/>
  <c r="E91" i="29"/>
  <c r="G91" i="29" s="1"/>
  <c r="N91" i="29" s="1"/>
  <c r="F91" i="29"/>
  <c r="K91" i="29"/>
  <c r="L91" i="29" s="1"/>
  <c r="M91" i="29"/>
  <c r="P91" i="29"/>
  <c r="E92" i="29"/>
  <c r="G92" i="29" s="1"/>
  <c r="F92" i="29"/>
  <c r="K92" i="29"/>
  <c r="L92" i="29"/>
  <c r="M92" i="29"/>
  <c r="N92" i="29"/>
  <c r="O92" i="29" s="1"/>
  <c r="R92" i="29" s="1"/>
  <c r="P92" i="29"/>
  <c r="E93" i="29"/>
  <c r="F93" i="29"/>
  <c r="G93" i="29" s="1"/>
  <c r="N93" i="29" s="1"/>
  <c r="Q93" i="29" s="1"/>
  <c r="K93" i="29"/>
  <c r="L93" i="29" s="1"/>
  <c r="M93" i="29"/>
  <c r="P93" i="29"/>
  <c r="E94" i="29"/>
  <c r="F94" i="29"/>
  <c r="G94" i="29"/>
  <c r="N94" i="29" s="1"/>
  <c r="K94" i="29"/>
  <c r="L94" i="29" s="1"/>
  <c r="M94" i="29"/>
  <c r="P94" i="29"/>
  <c r="E95" i="29"/>
  <c r="F95" i="29"/>
  <c r="G95" i="29"/>
  <c r="K95" i="29"/>
  <c r="L95" i="29"/>
  <c r="M95" i="29"/>
  <c r="N95" i="29"/>
  <c r="Q95" i="29" s="1"/>
  <c r="P95" i="29"/>
  <c r="E96" i="29"/>
  <c r="G96" i="29" s="1"/>
  <c r="N96" i="29" s="1"/>
  <c r="F96" i="29"/>
  <c r="K96" i="29"/>
  <c r="L96" i="29" s="1"/>
  <c r="M96" i="29"/>
  <c r="P96" i="29"/>
  <c r="E97" i="29"/>
  <c r="G97" i="29" s="1"/>
  <c r="N97" i="29" s="1"/>
  <c r="F97" i="29"/>
  <c r="K97" i="29"/>
  <c r="L97" i="29"/>
  <c r="M97" i="29"/>
  <c r="P97" i="29"/>
  <c r="E98" i="29"/>
  <c r="F98" i="29"/>
  <c r="G98" i="29"/>
  <c r="K98" i="29"/>
  <c r="L98" i="29" s="1"/>
  <c r="M98" i="29"/>
  <c r="N98" i="29"/>
  <c r="Q98" i="29" s="1"/>
  <c r="P98" i="29"/>
  <c r="E99" i="29"/>
  <c r="G99" i="29" s="1"/>
  <c r="N99" i="29" s="1"/>
  <c r="F99" i="29"/>
  <c r="K99" i="29"/>
  <c r="L99" i="29" s="1"/>
  <c r="M99" i="29"/>
  <c r="P99" i="29"/>
  <c r="E100" i="29"/>
  <c r="G100" i="29" s="1"/>
  <c r="F100" i="29"/>
  <c r="K100" i="29"/>
  <c r="L100" i="29"/>
  <c r="M100" i="29"/>
  <c r="O100" i="29" s="1"/>
  <c r="R100" i="29" s="1"/>
  <c r="N100" i="29"/>
  <c r="Q100" i="29" s="1"/>
  <c r="P100" i="29"/>
  <c r="E101" i="29"/>
  <c r="F101" i="29"/>
  <c r="G101" i="29" s="1"/>
  <c r="N101" i="29" s="1"/>
  <c r="Q101" i="29" s="1"/>
  <c r="K101" i="29"/>
  <c r="L101" i="29"/>
  <c r="M101" i="29"/>
  <c r="P101" i="29"/>
  <c r="E102" i="29"/>
  <c r="F102" i="29"/>
  <c r="G102" i="29"/>
  <c r="N102" i="29" s="1"/>
  <c r="K102" i="29"/>
  <c r="L102" i="29" s="1"/>
  <c r="M102" i="29"/>
  <c r="P102" i="29"/>
  <c r="E103" i="29"/>
  <c r="F103" i="29"/>
  <c r="G103" i="29"/>
  <c r="K103" i="29"/>
  <c r="L103" i="29"/>
  <c r="M103" i="29"/>
  <c r="N103" i="29"/>
  <c r="Q103" i="29" s="1"/>
  <c r="P103" i="29"/>
  <c r="E104" i="29"/>
  <c r="G104" i="29" s="1"/>
  <c r="N104" i="29" s="1"/>
  <c r="F104" i="29"/>
  <c r="K104" i="29"/>
  <c r="L104" i="29" s="1"/>
  <c r="M104" i="29"/>
  <c r="P104" i="29"/>
  <c r="E105" i="29"/>
  <c r="G105" i="29" s="1"/>
  <c r="N105" i="29" s="1"/>
  <c r="F105" i="29"/>
  <c r="K105" i="29"/>
  <c r="L105" i="29"/>
  <c r="M105" i="29"/>
  <c r="P105" i="29"/>
  <c r="E106" i="29"/>
  <c r="F106" i="29"/>
  <c r="G106" i="29"/>
  <c r="K106" i="29"/>
  <c r="L106" i="29" s="1"/>
  <c r="M106" i="29"/>
  <c r="N106" i="29"/>
  <c r="Q106" i="29" s="1"/>
  <c r="P106" i="29"/>
  <c r="E107" i="29"/>
  <c r="G107" i="29" s="1"/>
  <c r="N107" i="29" s="1"/>
  <c r="F107" i="29"/>
  <c r="K107" i="29"/>
  <c r="L107" i="29" s="1"/>
  <c r="M107" i="29"/>
  <c r="P107" i="29"/>
  <c r="E108" i="29"/>
  <c r="G108" i="29" s="1"/>
  <c r="F108" i="29"/>
  <c r="K108" i="29"/>
  <c r="L108" i="29"/>
  <c r="M108" i="29"/>
  <c r="O108" i="29" s="1"/>
  <c r="R108" i="29" s="1"/>
  <c r="N108" i="29"/>
  <c r="Q108" i="29" s="1"/>
  <c r="P108" i="29"/>
  <c r="E109" i="29"/>
  <c r="F109" i="29"/>
  <c r="G109" i="29" s="1"/>
  <c r="N109" i="29" s="1"/>
  <c r="Q109" i="29" s="1"/>
  <c r="K109" i="29"/>
  <c r="L109" i="29"/>
  <c r="M109" i="29"/>
  <c r="P109" i="29"/>
  <c r="E110" i="29"/>
  <c r="F110" i="29"/>
  <c r="G110" i="29"/>
  <c r="N110" i="29" s="1"/>
  <c r="K110" i="29"/>
  <c r="L110" i="29" s="1"/>
  <c r="M110" i="29"/>
  <c r="P110" i="29"/>
  <c r="E111" i="29"/>
  <c r="F111" i="29"/>
  <c r="G111" i="29"/>
  <c r="K111" i="29"/>
  <c r="L111" i="29"/>
  <c r="M111" i="29"/>
  <c r="N111" i="29"/>
  <c r="Q111" i="29" s="1"/>
  <c r="P111" i="29"/>
  <c r="E112" i="29"/>
  <c r="G112" i="29" s="1"/>
  <c r="N112" i="29" s="1"/>
  <c r="F112" i="29"/>
  <c r="K112" i="29"/>
  <c r="L112" i="29" s="1"/>
  <c r="M112" i="29"/>
  <c r="P112" i="29"/>
  <c r="E113" i="29"/>
  <c r="G113" i="29" s="1"/>
  <c r="N113" i="29" s="1"/>
  <c r="F113" i="29"/>
  <c r="K113" i="29"/>
  <c r="L113" i="29"/>
  <c r="M113" i="29"/>
  <c r="P113" i="29"/>
  <c r="E114" i="29"/>
  <c r="F114" i="29"/>
  <c r="G114" i="29"/>
  <c r="K114" i="29"/>
  <c r="L114" i="29" s="1"/>
  <c r="M114" i="29"/>
  <c r="N114" i="29"/>
  <c r="Q114" i="29" s="1"/>
  <c r="P114" i="29"/>
  <c r="E115" i="29"/>
  <c r="G115" i="29" s="1"/>
  <c r="N115" i="29" s="1"/>
  <c r="F115" i="29"/>
  <c r="K115" i="29"/>
  <c r="L115" i="29" s="1"/>
  <c r="M115" i="29"/>
  <c r="P115" i="29"/>
  <c r="E116" i="29"/>
  <c r="G116" i="29" s="1"/>
  <c r="F116" i="29"/>
  <c r="K116" i="29"/>
  <c r="L116" i="29"/>
  <c r="M116" i="29"/>
  <c r="O116" i="29" s="1"/>
  <c r="R116" i="29" s="1"/>
  <c r="N116" i="29"/>
  <c r="Q116" i="29" s="1"/>
  <c r="P116" i="29"/>
  <c r="E117" i="29"/>
  <c r="F117" i="29"/>
  <c r="G117" i="29" s="1"/>
  <c r="N117" i="29" s="1"/>
  <c r="Q117" i="29" s="1"/>
  <c r="K117" i="29"/>
  <c r="L117" i="29"/>
  <c r="M117" i="29"/>
  <c r="P117" i="29"/>
  <c r="E118" i="29"/>
  <c r="F118" i="29"/>
  <c r="G118" i="29"/>
  <c r="N118" i="29" s="1"/>
  <c r="Q118" i="29" s="1"/>
  <c r="K118" i="29"/>
  <c r="L118" i="29" s="1"/>
  <c r="M118" i="29"/>
  <c r="O118" i="29" s="1"/>
  <c r="R118" i="29" s="1"/>
  <c r="P118" i="29"/>
  <c r="E119" i="29"/>
  <c r="F119" i="29"/>
  <c r="G119" i="29"/>
  <c r="N119" i="29" s="1"/>
  <c r="K119" i="29"/>
  <c r="L119" i="29"/>
  <c r="M119" i="29"/>
  <c r="P119" i="29"/>
  <c r="E120" i="29"/>
  <c r="G120" i="29" s="1"/>
  <c r="N120" i="29" s="1"/>
  <c r="F120" i="29"/>
  <c r="K120" i="29"/>
  <c r="L120" i="29"/>
  <c r="M120" i="29"/>
  <c r="P120" i="29"/>
  <c r="E121" i="29"/>
  <c r="G121" i="29" s="1"/>
  <c r="F121" i="29"/>
  <c r="K121" i="29"/>
  <c r="L121" i="29"/>
  <c r="M121" i="29"/>
  <c r="N121" i="29"/>
  <c r="O121" i="29" s="1"/>
  <c r="R121" i="29" s="1"/>
  <c r="P121" i="29"/>
  <c r="E122" i="29"/>
  <c r="F122" i="29"/>
  <c r="G122" i="29"/>
  <c r="N122" i="29" s="1"/>
  <c r="Q122" i="29" s="1"/>
  <c r="K122" i="29"/>
  <c r="L122" i="29" s="1"/>
  <c r="M122" i="29"/>
  <c r="P122" i="29"/>
  <c r="E123" i="29"/>
  <c r="G123" i="29" s="1"/>
  <c r="N123" i="29" s="1"/>
  <c r="F123" i="29"/>
  <c r="K123" i="29"/>
  <c r="L123" i="29" s="1"/>
  <c r="M123" i="29"/>
  <c r="P123" i="29"/>
  <c r="E124" i="29"/>
  <c r="G124" i="29" s="1"/>
  <c r="N124" i="29" s="1"/>
  <c r="Q124" i="29" s="1"/>
  <c r="F124" i="29"/>
  <c r="K124" i="29"/>
  <c r="L124" i="29"/>
  <c r="M124" i="29"/>
  <c r="P124" i="29"/>
  <c r="E125" i="29"/>
  <c r="F125" i="29"/>
  <c r="G125" i="29"/>
  <c r="N125" i="29" s="1"/>
  <c r="Q125" i="29" s="1"/>
  <c r="K125" i="29"/>
  <c r="L125" i="29" s="1"/>
  <c r="M125" i="29"/>
  <c r="P125" i="29"/>
  <c r="E126" i="29"/>
  <c r="G126" i="29" s="1"/>
  <c r="N126" i="29" s="1"/>
  <c r="F126" i="29"/>
  <c r="K126" i="29"/>
  <c r="L126" i="29"/>
  <c r="M126" i="29"/>
  <c r="P126" i="29"/>
  <c r="E127" i="29"/>
  <c r="F127" i="29"/>
  <c r="G127" i="29" s="1"/>
  <c r="N127" i="29" s="1"/>
  <c r="Q127" i="29" s="1"/>
  <c r="K127" i="29"/>
  <c r="L127" i="29"/>
  <c r="M127" i="29"/>
  <c r="P127" i="29"/>
  <c r="E128" i="29"/>
  <c r="F128" i="29"/>
  <c r="G128" i="29" s="1"/>
  <c r="N128" i="29" s="1"/>
  <c r="K128" i="29"/>
  <c r="L128" i="29"/>
  <c r="M128" i="29"/>
  <c r="P128" i="29"/>
  <c r="E129" i="29"/>
  <c r="G129" i="29" s="1"/>
  <c r="N129" i="29" s="1"/>
  <c r="F129" i="29"/>
  <c r="K129" i="29"/>
  <c r="L129" i="29" s="1"/>
  <c r="M129" i="29"/>
  <c r="P129" i="29"/>
  <c r="E130" i="29"/>
  <c r="F130" i="29"/>
  <c r="G130" i="29"/>
  <c r="K130" i="29"/>
  <c r="L130" i="29" s="1"/>
  <c r="M130" i="29"/>
  <c r="O130" i="29" s="1"/>
  <c r="R130" i="29" s="1"/>
  <c r="N130" i="29"/>
  <c r="Q130" i="29" s="1"/>
  <c r="P130" i="29"/>
  <c r="E131" i="29"/>
  <c r="G131" i="29" s="1"/>
  <c r="N131" i="29" s="1"/>
  <c r="F131" i="29"/>
  <c r="K131" i="29"/>
  <c r="L131" i="29" s="1"/>
  <c r="M131" i="29"/>
  <c r="P131" i="29"/>
  <c r="E132" i="29"/>
  <c r="G132" i="29" s="1"/>
  <c r="N132" i="29" s="1"/>
  <c r="Q132" i="29" s="1"/>
  <c r="F132" i="29"/>
  <c r="K132" i="29"/>
  <c r="L132" i="29"/>
  <c r="M132" i="29"/>
  <c r="P132" i="29"/>
  <c r="E133" i="29"/>
  <c r="F133" i="29"/>
  <c r="G133" i="29"/>
  <c r="N133" i="29" s="1"/>
  <c r="Q133" i="29" s="1"/>
  <c r="K133" i="29"/>
  <c r="L133" i="29" s="1"/>
  <c r="M133" i="29"/>
  <c r="P133" i="29"/>
  <c r="E134" i="29"/>
  <c r="G134" i="29" s="1"/>
  <c r="N134" i="29" s="1"/>
  <c r="F134" i="29"/>
  <c r="K134" i="29"/>
  <c r="L134" i="29"/>
  <c r="M134" i="29"/>
  <c r="P134" i="29"/>
  <c r="E135" i="29"/>
  <c r="F135" i="29"/>
  <c r="G135" i="29" s="1"/>
  <c r="N135" i="29" s="1"/>
  <c r="Q135" i="29" s="1"/>
  <c r="K135" i="29"/>
  <c r="L135" i="29"/>
  <c r="M135" i="29"/>
  <c r="P135" i="29"/>
  <c r="E136" i="29"/>
  <c r="F136" i="29"/>
  <c r="G136" i="29" s="1"/>
  <c r="N136" i="29" s="1"/>
  <c r="K136" i="29"/>
  <c r="L136" i="29"/>
  <c r="M136" i="29"/>
  <c r="P136" i="29"/>
  <c r="E137" i="29"/>
  <c r="G137" i="29" s="1"/>
  <c r="N137" i="29" s="1"/>
  <c r="F137" i="29"/>
  <c r="K137" i="29"/>
  <c r="L137" i="29" s="1"/>
  <c r="M137" i="29"/>
  <c r="P137" i="29"/>
  <c r="E138" i="29"/>
  <c r="F138" i="29"/>
  <c r="G138" i="29"/>
  <c r="K138" i="29"/>
  <c r="L138" i="29" s="1"/>
  <c r="M138" i="29"/>
  <c r="O138" i="29" s="1"/>
  <c r="R138" i="29" s="1"/>
  <c r="N138" i="29"/>
  <c r="Q138" i="29" s="1"/>
  <c r="P138" i="29"/>
  <c r="E139" i="29"/>
  <c r="G139" i="29" s="1"/>
  <c r="N139" i="29" s="1"/>
  <c r="F139" i="29"/>
  <c r="K139" i="29"/>
  <c r="L139" i="29" s="1"/>
  <c r="M139" i="29"/>
  <c r="P139" i="29"/>
  <c r="E140" i="29"/>
  <c r="G140" i="29" s="1"/>
  <c r="N140" i="29" s="1"/>
  <c r="Q140" i="29" s="1"/>
  <c r="F140" i="29"/>
  <c r="K140" i="29"/>
  <c r="L140" i="29"/>
  <c r="M140" i="29"/>
  <c r="P140" i="29"/>
  <c r="E141" i="29"/>
  <c r="F141" i="29"/>
  <c r="G141" i="29"/>
  <c r="N141" i="29" s="1"/>
  <c r="Q141" i="29" s="1"/>
  <c r="K141" i="29"/>
  <c r="L141" i="29" s="1"/>
  <c r="M141" i="29"/>
  <c r="O141" i="29" s="1"/>
  <c r="R141" i="29" s="1"/>
  <c r="P141" i="29"/>
  <c r="E142" i="29"/>
  <c r="G142" i="29" s="1"/>
  <c r="N142" i="29" s="1"/>
  <c r="F142" i="29"/>
  <c r="K142" i="29"/>
  <c r="L142" i="29"/>
  <c r="M142" i="29"/>
  <c r="P142" i="29"/>
  <c r="E143" i="29"/>
  <c r="F143" i="29"/>
  <c r="G143" i="29" s="1"/>
  <c r="N143" i="29" s="1"/>
  <c r="Q143" i="29" s="1"/>
  <c r="K143" i="29"/>
  <c r="L143" i="29"/>
  <c r="M143" i="29"/>
  <c r="O143" i="29" s="1"/>
  <c r="R143" i="29" s="1"/>
  <c r="P143" i="29"/>
  <c r="E144" i="29"/>
  <c r="F144" i="29"/>
  <c r="G144" i="29"/>
  <c r="N144" i="29" s="1"/>
  <c r="K144" i="29"/>
  <c r="L144" i="29"/>
  <c r="M144" i="29"/>
  <c r="P144" i="29"/>
  <c r="E145" i="29"/>
  <c r="G145" i="29" s="1"/>
  <c r="N145" i="29" s="1"/>
  <c r="F145" i="29"/>
  <c r="K145" i="29"/>
  <c r="L145" i="29"/>
  <c r="M145" i="29"/>
  <c r="P145" i="29"/>
  <c r="E146" i="29"/>
  <c r="F146" i="29"/>
  <c r="G146" i="29"/>
  <c r="K146" i="29"/>
  <c r="L146" i="29"/>
  <c r="M146" i="29"/>
  <c r="O146" i="29" s="1"/>
  <c r="R146" i="29" s="1"/>
  <c r="N146" i="29"/>
  <c r="Q146" i="29" s="1"/>
  <c r="P146" i="29"/>
  <c r="B2" i="64"/>
  <c r="H3" i="64"/>
  <c r="I3" i="64"/>
  <c r="J3" i="64"/>
  <c r="K3" i="64"/>
  <c r="L3" i="64"/>
  <c r="M3" i="64"/>
  <c r="N3" i="64"/>
  <c r="O3" i="64"/>
  <c r="P3" i="64"/>
  <c r="Q3" i="64"/>
  <c r="R3" i="64"/>
  <c r="S3" i="64"/>
  <c r="H4" i="64"/>
  <c r="I4" i="64"/>
  <c r="J4" i="64"/>
  <c r="K4" i="64"/>
  <c r="L4" i="64"/>
  <c r="M4" i="64"/>
  <c r="N4" i="64"/>
  <c r="O4" i="64"/>
  <c r="P4" i="64"/>
  <c r="Q4" i="64"/>
  <c r="R4" i="64"/>
  <c r="S4" i="64"/>
  <c r="H5" i="64"/>
  <c r="I5" i="64"/>
  <c r="J5" i="64"/>
  <c r="K5" i="64"/>
  <c r="L5" i="64"/>
  <c r="M5" i="64"/>
  <c r="N5" i="64"/>
  <c r="O5" i="64"/>
  <c r="P5" i="64"/>
  <c r="Q5" i="64"/>
  <c r="R5" i="64"/>
  <c r="S5" i="64"/>
  <c r="H13" i="64"/>
  <c r="H22" i="64" s="1"/>
  <c r="I13" i="64"/>
  <c r="I16" i="64" s="1"/>
  <c r="I76" i="64" s="1"/>
  <c r="J13" i="64"/>
  <c r="J94" i="64" s="1"/>
  <c r="K13" i="64"/>
  <c r="K16" i="64" s="1"/>
  <c r="K76" i="64" s="1"/>
  <c r="L13" i="64"/>
  <c r="K15" i="64"/>
  <c r="K75" i="64" s="1"/>
  <c r="L15" i="64"/>
  <c r="L75" i="64" s="1"/>
  <c r="H16" i="64"/>
  <c r="H76" i="64" s="1"/>
  <c r="L16" i="64"/>
  <c r="K17" i="64"/>
  <c r="K77" i="64" s="1"/>
  <c r="L17" i="64"/>
  <c r="K18" i="64"/>
  <c r="L18" i="64"/>
  <c r="K21" i="64"/>
  <c r="K23" i="64" s="1"/>
  <c r="L21" i="64"/>
  <c r="L23" i="64" s="1"/>
  <c r="K22" i="64"/>
  <c r="L22" i="64"/>
  <c r="H33" i="64"/>
  <c r="H39" i="64" s="1"/>
  <c r="I33" i="64"/>
  <c r="J33" i="64"/>
  <c r="K33" i="64"/>
  <c r="L33" i="64"/>
  <c r="H37" i="64"/>
  <c r="I37" i="64"/>
  <c r="I39" i="64" s="1"/>
  <c r="J37" i="64"/>
  <c r="J39" i="64" s="1"/>
  <c r="K37" i="64"/>
  <c r="K39" i="64" s="1"/>
  <c r="L37" i="64"/>
  <c r="L39" i="64"/>
  <c r="H73" i="64"/>
  <c r="I73" i="64"/>
  <c r="J73" i="64"/>
  <c r="K73" i="64"/>
  <c r="L73" i="64"/>
  <c r="B75" i="64"/>
  <c r="B76" i="64"/>
  <c r="L76" i="64"/>
  <c r="L77" i="64"/>
  <c r="H87" i="64"/>
  <c r="K87" i="64"/>
  <c r="L87" i="64"/>
  <c r="J90" i="64"/>
  <c r="K90" i="64"/>
  <c r="K111" i="64" s="1"/>
  <c r="K113" i="64" s="1"/>
  <c r="L90" i="64"/>
  <c r="K93" i="64"/>
  <c r="L93" i="64"/>
  <c r="L111" i="64" s="1"/>
  <c r="L113" i="64" s="1"/>
  <c r="H94" i="64"/>
  <c r="I94" i="64"/>
  <c r="K94" i="64"/>
  <c r="L94" i="64"/>
  <c r="K97" i="64"/>
  <c r="L97" i="64"/>
  <c r="K98" i="64"/>
  <c r="L98" i="64"/>
  <c r="H103" i="64"/>
  <c r="I103" i="64"/>
  <c r="J103" i="64"/>
  <c r="K103" i="64"/>
  <c r="L103" i="64"/>
  <c r="K104" i="64"/>
  <c r="L104" i="64"/>
  <c r="H105" i="64"/>
  <c r="K105" i="64"/>
  <c r="L105" i="64"/>
  <c r="J106" i="64"/>
  <c r="K106" i="64"/>
  <c r="L106" i="64"/>
  <c r="K109" i="64"/>
  <c r="L109" i="64"/>
  <c r="Z117" i="20" l="1"/>
  <c r="AF127" i="20"/>
  <c r="AF117" i="20"/>
  <c r="AF128" i="20"/>
  <c r="AD128" i="20"/>
  <c r="AG128" i="20"/>
  <c r="AE80" i="20"/>
  <c r="AE130" i="20"/>
  <c r="AM114" i="20"/>
  <c r="AM131" i="20" s="1"/>
  <c r="AA78" i="20"/>
  <c r="AE114" i="20"/>
  <c r="AE131" i="20" s="1"/>
  <c r="AH65" i="20"/>
  <c r="AH67" i="20" s="1"/>
  <c r="AH69" i="20" s="1"/>
  <c r="AC67" i="20"/>
  <c r="AE69" i="20"/>
  <c r="AE129" i="20"/>
  <c r="AC127" i="20"/>
  <c r="AD78" i="20"/>
  <c r="AF130" i="20"/>
  <c r="AF80" i="20"/>
  <c r="AD114" i="20"/>
  <c r="AD131" i="20" s="1"/>
  <c r="AB129" i="20"/>
  <c r="AB69" i="20"/>
  <c r="AF69" i="20"/>
  <c r="AF129" i="20"/>
  <c r="AD126" i="20"/>
  <c r="AG126" i="20"/>
  <c r="AG117" i="20"/>
  <c r="AG114" i="20"/>
  <c r="AG131" i="20" s="1"/>
  <c r="AG130" i="20"/>
  <c r="AG80" i="20"/>
  <c r="AG69" i="20"/>
  <c r="AG129" i="20"/>
  <c r="AA69" i="20"/>
  <c r="AA129" i="20"/>
  <c r="AD117" i="20"/>
  <c r="AH76" i="20"/>
  <c r="AC78" i="20"/>
  <c r="AB78" i="20"/>
  <c r="AO114" i="20"/>
  <c r="AO131" i="20" s="1"/>
  <c r="AC114" i="20"/>
  <c r="AC131" i="20" s="1"/>
  <c r="AH103" i="20"/>
  <c r="AH114" i="20" s="1"/>
  <c r="AE126" i="20"/>
  <c r="AF118" i="20"/>
  <c r="AB126" i="20"/>
  <c r="AH75" i="20"/>
  <c r="AP41" i="20"/>
  <c r="AP40" i="20"/>
  <c r="AP48" i="20"/>
  <c r="AP45" i="20"/>
  <c r="AP53" i="20"/>
  <c r="AP55" i="20"/>
  <c r="AP13" i="20"/>
  <c r="AP15" i="20" s="1"/>
  <c r="AP39" i="20"/>
  <c r="AP47" i="20"/>
  <c r="AP57" i="20"/>
  <c r="AP21" i="20"/>
  <c r="AP25" i="20"/>
  <c r="AP29" i="20"/>
  <c r="AP44" i="20"/>
  <c r="AP52" i="20"/>
  <c r="AP24" i="20"/>
  <c r="AP28" i="20"/>
  <c r="AP65" i="20"/>
  <c r="AP67" i="20" s="1"/>
  <c r="AP69" i="20" s="1"/>
  <c r="AP129" i="20" s="1"/>
  <c r="AP75" i="20"/>
  <c r="AP38" i="20"/>
  <c r="AP43" i="20"/>
  <c r="AP51" i="20"/>
  <c r="AP56" i="20"/>
  <c r="AP23" i="20"/>
  <c r="AP27" i="20"/>
  <c r="AP42" i="20"/>
  <c r="AP49" i="20"/>
  <c r="AP50" i="20"/>
  <c r="AP104" i="20"/>
  <c r="AP22" i="20"/>
  <c r="AP26" i="20"/>
  <c r="AP30" i="20"/>
  <c r="AP54" i="20"/>
  <c r="AP76" i="20"/>
  <c r="AP46" i="20"/>
  <c r="AP103" i="20"/>
  <c r="AP114" i="20" s="1"/>
  <c r="AP131" i="20" s="1"/>
  <c r="AL78" i="20"/>
  <c r="AM59" i="20"/>
  <c r="AM61" i="20" s="1"/>
  <c r="AM128" i="20" s="1"/>
  <c r="AO17" i="20"/>
  <c r="AO32" i="20"/>
  <c r="AO34" i="20" s="1"/>
  <c r="AO127" i="20" s="1"/>
  <c r="AL15" i="20"/>
  <c r="AO78" i="20"/>
  <c r="AO80" i="20" s="1"/>
  <c r="AO130" i="20" s="1"/>
  <c r="AL32" i="20"/>
  <c r="AL34" i="20" s="1"/>
  <c r="AL127" i="20" s="1"/>
  <c r="AM32" i="20"/>
  <c r="AM34" i="20" s="1"/>
  <c r="AM127" i="20" s="1"/>
  <c r="AL59" i="20"/>
  <c r="AL61" i="20" s="1"/>
  <c r="AL128" i="20" s="1"/>
  <c r="AL114" i="20"/>
  <c r="AL131" i="20" s="1"/>
  <c r="AM78" i="20"/>
  <c r="AM80" i="20" s="1"/>
  <c r="AM130" i="20" s="1"/>
  <c r="AN21" i="20"/>
  <c r="AQ21" i="20" s="1"/>
  <c r="AN22" i="20"/>
  <c r="AQ22" i="20" s="1"/>
  <c r="AN23" i="20"/>
  <c r="AN24" i="20"/>
  <c r="AN25" i="20"/>
  <c r="AN26" i="20"/>
  <c r="AQ26" i="20" s="1"/>
  <c r="AN27" i="20"/>
  <c r="AQ27" i="20" s="1"/>
  <c r="AN28" i="20"/>
  <c r="AQ28" i="20" s="1"/>
  <c r="AN29" i="20"/>
  <c r="AQ29" i="20" s="1"/>
  <c r="AN30" i="20"/>
  <c r="AN42" i="20"/>
  <c r="AQ42" i="20" s="1"/>
  <c r="AN50" i="20"/>
  <c r="AQ50" i="20" s="1"/>
  <c r="AN13" i="20"/>
  <c r="AN15" i="20" s="1"/>
  <c r="AN39" i="20"/>
  <c r="AN47" i="20"/>
  <c r="AQ47" i="20" s="1"/>
  <c r="AN41" i="20"/>
  <c r="AQ41" i="20" s="1"/>
  <c r="AN49" i="20"/>
  <c r="AQ49" i="20" s="1"/>
  <c r="AN54" i="20"/>
  <c r="AN44" i="20"/>
  <c r="AQ44" i="20" s="1"/>
  <c r="AN45" i="20"/>
  <c r="AQ45" i="20" s="1"/>
  <c r="AN52" i="20"/>
  <c r="AN53" i="20"/>
  <c r="AQ53" i="20" s="1"/>
  <c r="AN65" i="20"/>
  <c r="AN67" i="20" s="1"/>
  <c r="AN69" i="20" s="1"/>
  <c r="AN129" i="20" s="1"/>
  <c r="AN40" i="20"/>
  <c r="AQ40" i="20" s="1"/>
  <c r="AN43" i="20"/>
  <c r="AQ43" i="20" s="1"/>
  <c r="AN51" i="20"/>
  <c r="AN56" i="20"/>
  <c r="AQ56" i="20" s="1"/>
  <c r="AN38" i="20"/>
  <c r="AN104" i="20"/>
  <c r="AQ104" i="20" s="1"/>
  <c r="AN57" i="20"/>
  <c r="AQ57" i="20" s="1"/>
  <c r="AN55" i="20"/>
  <c r="AQ55" i="20" s="1"/>
  <c r="AN46" i="20"/>
  <c r="AQ46" i="20" s="1"/>
  <c r="AN48" i="20"/>
  <c r="AN75" i="20"/>
  <c r="AN103" i="20"/>
  <c r="AN114" i="20" s="1"/>
  <c r="AN131" i="20" s="1"/>
  <c r="AN76" i="20"/>
  <c r="AJ13" i="20"/>
  <c r="AJ15" i="20" s="1"/>
  <c r="AJ39" i="20"/>
  <c r="AJ38" i="20"/>
  <c r="AJ46" i="20"/>
  <c r="AJ56" i="20"/>
  <c r="AJ75" i="20"/>
  <c r="AJ21" i="20"/>
  <c r="AJ22" i="20"/>
  <c r="AJ23" i="20"/>
  <c r="AJ24" i="20"/>
  <c r="AJ25" i="20"/>
  <c r="AJ26" i="20"/>
  <c r="AJ27" i="20"/>
  <c r="AJ28" i="20"/>
  <c r="AJ29" i="20"/>
  <c r="AJ30" i="20"/>
  <c r="AJ43" i="20"/>
  <c r="AJ51" i="20"/>
  <c r="AJ40" i="20"/>
  <c r="AJ45" i="20"/>
  <c r="AJ53" i="20"/>
  <c r="AJ55" i="20"/>
  <c r="AJ42" i="20"/>
  <c r="AJ50" i="20"/>
  <c r="AJ57" i="20"/>
  <c r="AJ49" i="20"/>
  <c r="AJ76" i="20"/>
  <c r="AJ103" i="20"/>
  <c r="AJ48" i="20"/>
  <c r="AJ41" i="20"/>
  <c r="AJ47" i="20"/>
  <c r="AJ54" i="20"/>
  <c r="AJ44" i="20"/>
  <c r="AJ52" i="20"/>
  <c r="AJ104" i="20"/>
  <c r="AJ65" i="20"/>
  <c r="AJ67" i="20" s="1"/>
  <c r="AJ69" i="20" s="1"/>
  <c r="AJ129" i="20" s="1"/>
  <c r="AQ76" i="20"/>
  <c r="AQ65" i="20"/>
  <c r="AQ67" i="20" s="1"/>
  <c r="AQ69" i="20" s="1"/>
  <c r="AL67" i="20"/>
  <c r="AL69" i="20" s="1"/>
  <c r="AL129" i="20" s="1"/>
  <c r="AQ25" i="20"/>
  <c r="AK13" i="20"/>
  <c r="AK15" i="20" s="1"/>
  <c r="AK41" i="20"/>
  <c r="AK49" i="20"/>
  <c r="AK54" i="20"/>
  <c r="AK38" i="20"/>
  <c r="AK46" i="20"/>
  <c r="AK56" i="20"/>
  <c r="AK21" i="20"/>
  <c r="AK22" i="20"/>
  <c r="AK23" i="20"/>
  <c r="AK24" i="20"/>
  <c r="AK25" i="20"/>
  <c r="AK26" i="20"/>
  <c r="AK27" i="20"/>
  <c r="AK28" i="20"/>
  <c r="AK29" i="20"/>
  <c r="AK30" i="20"/>
  <c r="AK40" i="20"/>
  <c r="AK48" i="20"/>
  <c r="AK42" i="20"/>
  <c r="AK50" i="20"/>
  <c r="AK55" i="20"/>
  <c r="AK57" i="20"/>
  <c r="AK76" i="20"/>
  <c r="AK103" i="20"/>
  <c r="AK47" i="20"/>
  <c r="AK65" i="20"/>
  <c r="AK67" i="20" s="1"/>
  <c r="AK69" i="20" s="1"/>
  <c r="AK129" i="20" s="1"/>
  <c r="AK75" i="20"/>
  <c r="AK39" i="20"/>
  <c r="AK45" i="20"/>
  <c r="AK104" i="20"/>
  <c r="AK44" i="20"/>
  <c r="AK43" i="20"/>
  <c r="AK52" i="20"/>
  <c r="AK53" i="20"/>
  <c r="AK51" i="20"/>
  <c r="AO59" i="20"/>
  <c r="AO61" i="20" s="1"/>
  <c r="AO128" i="20" s="1"/>
  <c r="AQ48" i="20"/>
  <c r="AQ51" i="20"/>
  <c r="AQ52" i="20"/>
  <c r="AM17" i="20"/>
  <c r="AM117" i="20"/>
  <c r="N130" i="20"/>
  <c r="N80" i="20"/>
  <c r="M34" i="20"/>
  <c r="M127" i="20"/>
  <c r="M117" i="20"/>
  <c r="N61" i="20"/>
  <c r="N128" i="20"/>
  <c r="M80" i="20"/>
  <c r="M130" i="20"/>
  <c r="O59" i="20"/>
  <c r="H123" i="20"/>
  <c r="M61" i="20"/>
  <c r="M128" i="20"/>
  <c r="O78" i="20"/>
  <c r="P28" i="20"/>
  <c r="P13" i="20"/>
  <c r="P15" i="20" s="1"/>
  <c r="P21" i="20"/>
  <c r="P29" i="20"/>
  <c r="P41" i="20"/>
  <c r="P45" i="20"/>
  <c r="P23" i="20"/>
  <c r="P40" i="20"/>
  <c r="P44" i="20"/>
  <c r="P48" i="20"/>
  <c r="P24" i="20"/>
  <c r="P30" i="20"/>
  <c r="P52" i="20"/>
  <c r="P55" i="20"/>
  <c r="P22" i="20"/>
  <c r="P27" i="20"/>
  <c r="P38" i="20"/>
  <c r="P42" i="20"/>
  <c r="P25" i="20"/>
  <c r="P43" i="20"/>
  <c r="P26" i="20"/>
  <c r="P65" i="20"/>
  <c r="P67" i="20" s="1"/>
  <c r="P46" i="20"/>
  <c r="P50" i="20"/>
  <c r="P56" i="20"/>
  <c r="P53" i="20"/>
  <c r="P54" i="20"/>
  <c r="P57" i="20"/>
  <c r="P49" i="20"/>
  <c r="P75" i="20"/>
  <c r="Q123" i="20"/>
  <c r="P39" i="20"/>
  <c r="P47" i="20"/>
  <c r="P51" i="20"/>
  <c r="P103" i="20"/>
  <c r="P104" i="20"/>
  <c r="P76" i="20"/>
  <c r="N69" i="20"/>
  <c r="N129" i="20"/>
  <c r="O114" i="20"/>
  <c r="O131" i="20" s="1"/>
  <c r="N32" i="20"/>
  <c r="O32" i="20"/>
  <c r="N17" i="20"/>
  <c r="N126" i="20"/>
  <c r="N117" i="20"/>
  <c r="O67" i="20"/>
  <c r="O15" i="20"/>
  <c r="V21" i="47"/>
  <c r="V24" i="47" s="1"/>
  <c r="AG21" i="47"/>
  <c r="AD21" i="47"/>
  <c r="AD24" i="47" s="1"/>
  <c r="AG18" i="47"/>
  <c r="Q21" i="47"/>
  <c r="Q24" i="47" s="1"/>
  <c r="AE21" i="47"/>
  <c r="AE24" i="47" s="1"/>
  <c r="W21" i="47"/>
  <c r="W24" i="47" s="1"/>
  <c r="M21" i="47"/>
  <c r="M24" i="47" s="1"/>
  <c r="S7" i="47"/>
  <c r="S10" i="47" s="1"/>
  <c r="S13" i="47"/>
  <c r="S18" i="47" s="1"/>
  <c r="R20" i="11"/>
  <c r="R35" i="11"/>
  <c r="R19" i="11"/>
  <c r="R66" i="11"/>
  <c r="R87" i="11"/>
  <c r="R67" i="11"/>
  <c r="R42" i="11"/>
  <c r="R65" i="11"/>
  <c r="R86" i="11"/>
  <c r="R60" i="11"/>
  <c r="R93" i="11"/>
  <c r="R37" i="11"/>
  <c r="R57" i="11"/>
  <c r="R92" i="11"/>
  <c r="R54" i="11"/>
  <c r="R26" i="11"/>
  <c r="R41" i="11"/>
  <c r="R64" i="11"/>
  <c r="R83" i="11"/>
  <c r="R97" i="11"/>
  <c r="R38" i="11"/>
  <c r="R22" i="11"/>
  <c r="R90" i="11"/>
  <c r="R25" i="11"/>
  <c r="R27" i="11" s="1"/>
  <c r="R61" i="11"/>
  <c r="R80" i="11"/>
  <c r="R96" i="11"/>
  <c r="R71" i="11"/>
  <c r="R36" i="11"/>
  <c r="R91" i="11"/>
  <c r="R21" i="11"/>
  <c r="R70" i="11"/>
  <c r="S92" i="11"/>
  <c r="S21" i="11"/>
  <c r="S36" i="11"/>
  <c r="S20" i="11"/>
  <c r="S35" i="11"/>
  <c r="S39" i="11" s="1"/>
  <c r="S67" i="11"/>
  <c r="S90" i="11"/>
  <c r="S22" i="11"/>
  <c r="S54" i="11"/>
  <c r="S70" i="11"/>
  <c r="S19" i="11"/>
  <c r="S23" i="11" s="1"/>
  <c r="S66" i="11"/>
  <c r="S87" i="11"/>
  <c r="S38" i="11"/>
  <c r="S60" i="11"/>
  <c r="S57" i="11"/>
  <c r="S91" i="11"/>
  <c r="S42" i="11"/>
  <c r="S65" i="11"/>
  <c r="S86" i="11"/>
  <c r="S25" i="11"/>
  <c r="S27" i="11" s="1"/>
  <c r="S61" i="11"/>
  <c r="S80" i="11"/>
  <c r="S96" i="11"/>
  <c r="S93" i="11"/>
  <c r="S26" i="11"/>
  <c r="S41" i="11"/>
  <c r="S43" i="11" s="1"/>
  <c r="S64" i="11"/>
  <c r="S83" i="11"/>
  <c r="S97" i="11"/>
  <c r="S37" i="11"/>
  <c r="S71" i="11"/>
  <c r="Q20" i="11"/>
  <c r="Q19" i="11"/>
  <c r="Q42" i="11"/>
  <c r="Q65" i="11"/>
  <c r="Q86" i="11"/>
  <c r="Q57" i="11"/>
  <c r="Q91" i="11"/>
  <c r="Q66" i="11"/>
  <c r="Q26" i="11"/>
  <c r="Q41" i="11"/>
  <c r="Q43" i="11" s="1"/>
  <c r="Q64" i="11"/>
  <c r="Q83" i="11"/>
  <c r="Q97" i="11"/>
  <c r="Q37" i="11"/>
  <c r="Q21" i="11"/>
  <c r="Q36" i="11"/>
  <c r="Q25" i="11"/>
  <c r="Q27" i="11" s="1"/>
  <c r="Q61" i="11"/>
  <c r="Q80" i="11"/>
  <c r="Q96" i="11"/>
  <c r="Q22" i="11"/>
  <c r="Q71" i="11"/>
  <c r="Q92" i="11"/>
  <c r="Q87" i="11"/>
  <c r="Q38" i="11"/>
  <c r="Q60" i="11"/>
  <c r="Q93" i="11"/>
  <c r="Q54" i="11"/>
  <c r="Q35" i="11"/>
  <c r="Q90" i="11"/>
  <c r="Q70" i="11"/>
  <c r="Q67" i="11"/>
  <c r="O66" i="11"/>
  <c r="P36" i="11"/>
  <c r="O20" i="11"/>
  <c r="P67" i="11"/>
  <c r="O35" i="11"/>
  <c r="P21" i="11"/>
  <c r="P92" i="11"/>
  <c r="O91" i="11"/>
  <c r="N90" i="11"/>
  <c r="M87" i="11"/>
  <c r="P71" i="11"/>
  <c r="O70" i="11"/>
  <c r="N67" i="11"/>
  <c r="M66" i="11"/>
  <c r="P57" i="11"/>
  <c r="O54" i="11"/>
  <c r="P37" i="11"/>
  <c r="O36" i="11"/>
  <c r="N35" i="11"/>
  <c r="P22" i="11"/>
  <c r="O21" i="11"/>
  <c r="N20" i="11"/>
  <c r="M19" i="11"/>
  <c r="P90" i="11"/>
  <c r="O87" i="11"/>
  <c r="O90" i="11"/>
  <c r="O67" i="11"/>
  <c r="P54" i="11"/>
  <c r="P73" i="11" s="1"/>
  <c r="P93" i="11"/>
  <c r="O92" i="11"/>
  <c r="N91" i="11"/>
  <c r="M90" i="11"/>
  <c r="M99" i="11" s="1"/>
  <c r="O71" i="11"/>
  <c r="N70" i="11"/>
  <c r="M67" i="11"/>
  <c r="P60" i="11"/>
  <c r="O57" i="11"/>
  <c r="N54" i="11"/>
  <c r="P38" i="11"/>
  <c r="O37" i="11"/>
  <c r="N36" i="11"/>
  <c r="M35" i="11"/>
  <c r="M39" i="11" s="1"/>
  <c r="M45" i="11" s="1"/>
  <c r="O22" i="11"/>
  <c r="N21" i="11"/>
  <c r="M20" i="11"/>
  <c r="P35" i="11"/>
  <c r="P39" i="11" s="1"/>
  <c r="P20" i="11"/>
  <c r="P23" i="11" s="1"/>
  <c r="P29" i="11" s="1"/>
  <c r="O19" i="11"/>
  <c r="O23" i="11" s="1"/>
  <c r="O29" i="11" s="1"/>
  <c r="O31" i="11" s="1"/>
  <c r="P91" i="11"/>
  <c r="N87" i="11"/>
  <c r="N99" i="11" s="1"/>
  <c r="N66" i="11"/>
  <c r="P96" i="11"/>
  <c r="O93" i="11"/>
  <c r="N92" i="11"/>
  <c r="M91" i="11"/>
  <c r="P80" i="11"/>
  <c r="N71" i="11"/>
  <c r="M70" i="11"/>
  <c r="P61" i="11"/>
  <c r="O60" i="11"/>
  <c r="N57" i="11"/>
  <c r="M54" i="11"/>
  <c r="O38" i="11"/>
  <c r="N37" i="11"/>
  <c r="M36" i="11"/>
  <c r="P25" i="11"/>
  <c r="P27" i="11" s="1"/>
  <c r="N22" i="11"/>
  <c r="M21" i="11"/>
  <c r="P70" i="11"/>
  <c r="N19" i="11"/>
  <c r="P97" i="11"/>
  <c r="O96" i="11"/>
  <c r="N93" i="11"/>
  <c r="M92" i="11"/>
  <c r="P83" i="11"/>
  <c r="O80" i="11"/>
  <c r="M71" i="11"/>
  <c r="P64" i="11"/>
  <c r="O61" i="11"/>
  <c r="N60" i="11"/>
  <c r="M57" i="11"/>
  <c r="P41" i="11"/>
  <c r="P43" i="11" s="1"/>
  <c r="M37" i="11"/>
  <c r="O94" i="29"/>
  <c r="R94" i="29" s="1"/>
  <c r="Q94" i="29"/>
  <c r="O86" i="29"/>
  <c r="R86" i="29" s="1"/>
  <c r="Q86" i="29"/>
  <c r="Q145" i="29"/>
  <c r="O145" i="29"/>
  <c r="R145" i="29" s="1"/>
  <c r="O137" i="29"/>
  <c r="R137" i="29" s="1"/>
  <c r="Q137" i="29"/>
  <c r="O135" i="29"/>
  <c r="R135" i="29" s="1"/>
  <c r="O104" i="29"/>
  <c r="R104" i="29" s="1"/>
  <c r="Q104" i="29"/>
  <c r="Q99" i="29"/>
  <c r="O99" i="29"/>
  <c r="R99" i="29" s="1"/>
  <c r="O112" i="29"/>
  <c r="R112" i="29" s="1"/>
  <c r="Q112" i="29"/>
  <c r="Q89" i="29"/>
  <c r="O89" i="29"/>
  <c r="R89" i="29" s="1"/>
  <c r="O129" i="29"/>
  <c r="R129" i="29" s="1"/>
  <c r="Q129" i="29"/>
  <c r="O127" i="29"/>
  <c r="R127" i="29" s="1"/>
  <c r="Q126" i="29"/>
  <c r="O126" i="29"/>
  <c r="R126" i="29" s="1"/>
  <c r="O124" i="29"/>
  <c r="R124" i="29" s="1"/>
  <c r="Q113" i="29"/>
  <c r="O113" i="29"/>
  <c r="R113" i="29" s="1"/>
  <c r="O91" i="29"/>
  <c r="R91" i="29" s="1"/>
  <c r="Q91" i="29"/>
  <c r="Q107" i="29"/>
  <c r="O107" i="29"/>
  <c r="R107" i="29" s="1"/>
  <c r="O96" i="29"/>
  <c r="R96" i="29" s="1"/>
  <c r="Q96" i="29"/>
  <c r="Q123" i="29"/>
  <c r="O123" i="29"/>
  <c r="R123" i="29" s="1"/>
  <c r="Q105" i="29"/>
  <c r="O105" i="29"/>
  <c r="R105" i="29" s="1"/>
  <c r="Q134" i="29"/>
  <c r="O134" i="29"/>
  <c r="R134" i="29" s="1"/>
  <c r="O132" i="29"/>
  <c r="R132" i="29" s="1"/>
  <c r="Q119" i="29"/>
  <c r="O119" i="29"/>
  <c r="R119" i="29" s="1"/>
  <c r="O110" i="29"/>
  <c r="R110" i="29" s="1"/>
  <c r="Q110" i="29"/>
  <c r="Q142" i="29"/>
  <c r="O142" i="29"/>
  <c r="R142" i="29" s="1"/>
  <c r="O140" i="29"/>
  <c r="R140" i="29" s="1"/>
  <c r="Q131" i="29"/>
  <c r="O131" i="29"/>
  <c r="R131" i="29" s="1"/>
  <c r="O125" i="29"/>
  <c r="R125" i="29" s="1"/>
  <c r="Q139" i="29"/>
  <c r="O139" i="29"/>
  <c r="R139" i="29" s="1"/>
  <c r="O133" i="29"/>
  <c r="R133" i="29" s="1"/>
  <c r="O128" i="29"/>
  <c r="R128" i="29" s="1"/>
  <c r="Q128" i="29"/>
  <c r="O122" i="29"/>
  <c r="R122" i="29" s="1"/>
  <c r="Q115" i="29"/>
  <c r="O115" i="29"/>
  <c r="R115" i="29" s="1"/>
  <c r="O102" i="29"/>
  <c r="R102" i="29" s="1"/>
  <c r="Q102" i="29"/>
  <c r="Q144" i="29"/>
  <c r="O144" i="29"/>
  <c r="R144" i="29" s="1"/>
  <c r="Q136" i="29"/>
  <c r="O136" i="29"/>
  <c r="R136" i="29" s="1"/>
  <c r="Q120" i="29"/>
  <c r="O120" i="29"/>
  <c r="R120" i="29" s="1"/>
  <c r="Q97" i="29"/>
  <c r="O97" i="29"/>
  <c r="R97" i="29" s="1"/>
  <c r="O111" i="29"/>
  <c r="R111" i="29" s="1"/>
  <c r="O103" i="29"/>
  <c r="R103" i="29" s="1"/>
  <c r="O95" i="29"/>
  <c r="R95" i="29" s="1"/>
  <c r="O87" i="29"/>
  <c r="R87" i="29" s="1"/>
  <c r="G80" i="29"/>
  <c r="N80" i="29" s="1"/>
  <c r="Q80" i="29" s="1"/>
  <c r="O68" i="29"/>
  <c r="R68" i="29" s="1"/>
  <c r="O51" i="29"/>
  <c r="R51" i="29" s="1"/>
  <c r="Q40" i="29"/>
  <c r="Q32" i="29"/>
  <c r="Q24" i="29"/>
  <c r="O21" i="29"/>
  <c r="R21" i="29" s="1"/>
  <c r="O17" i="29"/>
  <c r="R17" i="29" s="1"/>
  <c r="O14" i="29"/>
  <c r="R14" i="29" s="1"/>
  <c r="Q14" i="29"/>
  <c r="O114" i="29"/>
  <c r="R114" i="29" s="1"/>
  <c r="O106" i="29"/>
  <c r="R106" i="29" s="1"/>
  <c r="O98" i="29"/>
  <c r="R98" i="29" s="1"/>
  <c r="O55" i="29"/>
  <c r="R55" i="29" s="1"/>
  <c r="Q55" i="29"/>
  <c r="O38" i="29"/>
  <c r="R38" i="29" s="1"/>
  <c r="Q38" i="29"/>
  <c r="O30" i="29"/>
  <c r="R30" i="29" s="1"/>
  <c r="Q30" i="29"/>
  <c r="O22" i="29"/>
  <c r="R22" i="29" s="1"/>
  <c r="Q22" i="29"/>
  <c r="O88" i="29"/>
  <c r="R88" i="29" s="1"/>
  <c r="Q84" i="29"/>
  <c r="G81" i="29"/>
  <c r="N81" i="29" s="1"/>
  <c r="Q81" i="29" s="1"/>
  <c r="Q76" i="29"/>
  <c r="O73" i="29"/>
  <c r="R73" i="29" s="1"/>
  <c r="O69" i="29"/>
  <c r="R69" i="29" s="1"/>
  <c r="O59" i="29"/>
  <c r="R59" i="29" s="1"/>
  <c r="O43" i="29"/>
  <c r="R43" i="29" s="1"/>
  <c r="O34" i="29"/>
  <c r="R34" i="29" s="1"/>
  <c r="O26" i="29"/>
  <c r="R26" i="29" s="1"/>
  <c r="Q16" i="29"/>
  <c r="O13" i="29"/>
  <c r="R13" i="29" s="1"/>
  <c r="O74" i="29"/>
  <c r="R74" i="29" s="1"/>
  <c r="Q67" i="29"/>
  <c r="O62" i="29"/>
  <c r="R62" i="29" s="1"/>
  <c r="O52" i="29"/>
  <c r="R52" i="29" s="1"/>
  <c r="O48" i="29"/>
  <c r="R48" i="29" s="1"/>
  <c r="O35" i="29"/>
  <c r="R35" i="29" s="1"/>
  <c r="O27" i="29"/>
  <c r="R27" i="29" s="1"/>
  <c r="O18" i="29"/>
  <c r="R18" i="29" s="1"/>
  <c r="O9" i="29"/>
  <c r="R9" i="29" s="1"/>
  <c r="Q121" i="29"/>
  <c r="O75" i="29"/>
  <c r="R75" i="29" s="1"/>
  <c r="O64" i="29"/>
  <c r="R64" i="29" s="1"/>
  <c r="O60" i="29"/>
  <c r="R60" i="29" s="1"/>
  <c r="O53" i="29"/>
  <c r="R53" i="29" s="1"/>
  <c r="O47" i="29"/>
  <c r="R47" i="29" s="1"/>
  <c r="Q47" i="29"/>
  <c r="O44" i="29"/>
  <c r="R44" i="29" s="1"/>
  <c r="O19" i="29"/>
  <c r="R19" i="29" s="1"/>
  <c r="O83" i="29"/>
  <c r="R83" i="29" s="1"/>
  <c r="O80" i="29"/>
  <c r="R80" i="29" s="1"/>
  <c r="O78" i="29"/>
  <c r="R78" i="29" s="1"/>
  <c r="G72" i="29"/>
  <c r="N72" i="29" s="1"/>
  <c r="Q72" i="29" s="1"/>
  <c r="O65" i="29"/>
  <c r="R65" i="29" s="1"/>
  <c r="O61" i="29"/>
  <c r="R61" i="29" s="1"/>
  <c r="R40" i="29"/>
  <c r="R32" i="29"/>
  <c r="O10" i="29"/>
  <c r="R10" i="29" s="1"/>
  <c r="O117" i="29"/>
  <c r="R117" i="29" s="1"/>
  <c r="O109" i="29"/>
  <c r="R109" i="29" s="1"/>
  <c r="O101" i="29"/>
  <c r="R101" i="29" s="1"/>
  <c r="O93" i="29"/>
  <c r="R93" i="29" s="1"/>
  <c r="Q92" i="29"/>
  <c r="O85" i="29"/>
  <c r="R85" i="29" s="1"/>
  <c r="O82" i="29"/>
  <c r="R82" i="29" s="1"/>
  <c r="O81" i="29"/>
  <c r="R81" i="29" s="1"/>
  <c r="O66" i="29"/>
  <c r="R66" i="29" s="1"/>
  <c r="O46" i="29"/>
  <c r="R46" i="29" s="1"/>
  <c r="Q46" i="29"/>
  <c r="O39" i="29"/>
  <c r="R39" i="29" s="1"/>
  <c r="Q39" i="29"/>
  <c r="O31" i="29"/>
  <c r="R31" i="29" s="1"/>
  <c r="Q31" i="29"/>
  <c r="O23" i="29"/>
  <c r="R23" i="29" s="1"/>
  <c r="Q23" i="29"/>
  <c r="R16" i="29"/>
  <c r="O15" i="29"/>
  <c r="R15" i="29" s="1"/>
  <c r="Q15" i="29"/>
  <c r="R67" i="29"/>
  <c r="C76" i="64"/>
  <c r="J97" i="64"/>
  <c r="H106" i="64"/>
  <c r="J104" i="64"/>
  <c r="I97" i="64"/>
  <c r="H90" i="64"/>
  <c r="H111" i="64" s="1"/>
  <c r="H113" i="64" s="1"/>
  <c r="I21" i="64"/>
  <c r="I23" i="64" s="1"/>
  <c r="H17" i="64"/>
  <c r="H77" i="64" s="1"/>
  <c r="C77" i="64" s="1"/>
  <c r="J15" i="64"/>
  <c r="I90" i="64"/>
  <c r="J21" i="64"/>
  <c r="I17" i="64"/>
  <c r="I77" i="64" s="1"/>
  <c r="J109" i="64"/>
  <c r="I104" i="64"/>
  <c r="H97" i="64"/>
  <c r="J93" i="64"/>
  <c r="H21" i="64"/>
  <c r="H23" i="64" s="1"/>
  <c r="J18" i="64"/>
  <c r="I15" i="64"/>
  <c r="I109" i="64"/>
  <c r="H104" i="64"/>
  <c r="J98" i="64"/>
  <c r="I93" i="64"/>
  <c r="J22" i="64"/>
  <c r="L19" i="64"/>
  <c r="L25" i="64" s="1"/>
  <c r="I18" i="64"/>
  <c r="H15" i="64"/>
  <c r="J17" i="64"/>
  <c r="J77" i="64" s="1"/>
  <c r="H109" i="64"/>
  <c r="J105" i="64"/>
  <c r="I98" i="64"/>
  <c r="H93" i="64"/>
  <c r="J87" i="64"/>
  <c r="I22" i="64"/>
  <c r="K19" i="64"/>
  <c r="K25" i="64" s="1"/>
  <c r="H18" i="64"/>
  <c r="J16" i="64"/>
  <c r="J76" i="64" s="1"/>
  <c r="I106" i="64"/>
  <c r="I105" i="64"/>
  <c r="H98" i="64"/>
  <c r="I87" i="64"/>
  <c r="S185" i="12"/>
  <c r="R185" i="12"/>
  <c r="Q185" i="12"/>
  <c r="P185" i="12"/>
  <c r="O185" i="12"/>
  <c r="N185" i="12"/>
  <c r="M185" i="12"/>
  <c r="AN78" i="20" l="1"/>
  <c r="AN80" i="20" s="1"/>
  <c r="AN130" i="20" s="1"/>
  <c r="AC126" i="20"/>
  <c r="AC117" i="20"/>
  <c r="AQ24" i="20"/>
  <c r="AE128" i="20"/>
  <c r="AB80" i="20"/>
  <c r="AB130" i="20"/>
  <c r="AC128" i="20"/>
  <c r="AC80" i="20"/>
  <c r="AH78" i="20"/>
  <c r="AH80" i="20" s="1"/>
  <c r="AC130" i="20"/>
  <c r="AG127" i="20"/>
  <c r="AB127" i="20"/>
  <c r="AE118" i="20"/>
  <c r="AA128" i="20"/>
  <c r="AB117" i="20"/>
  <c r="AE117" i="20"/>
  <c r="AD118" i="20"/>
  <c r="AD127" i="20"/>
  <c r="AC69" i="20"/>
  <c r="AC129" i="20"/>
  <c r="AB118" i="20"/>
  <c r="AB128" i="20"/>
  <c r="AD80" i="20"/>
  <c r="AD130" i="20"/>
  <c r="AA127" i="20"/>
  <c r="AA117" i="20"/>
  <c r="AG118" i="20"/>
  <c r="AA130" i="20"/>
  <c r="AA80" i="20"/>
  <c r="AK114" i="20"/>
  <c r="AK131" i="20" s="1"/>
  <c r="AQ39" i="20"/>
  <c r="AQ23" i="20"/>
  <c r="AQ32" i="20" s="1"/>
  <c r="AQ34" i="20" s="1"/>
  <c r="AQ30" i="20"/>
  <c r="AK59" i="20"/>
  <c r="AK61" i="20" s="1"/>
  <c r="AK128" i="20" s="1"/>
  <c r="AJ32" i="20"/>
  <c r="AJ34" i="20" s="1"/>
  <c r="AJ127" i="20" s="1"/>
  <c r="AQ103" i="20"/>
  <c r="AQ114" i="20" s="1"/>
  <c r="AK78" i="20"/>
  <c r="AK80" i="20" s="1"/>
  <c r="AK130" i="20" s="1"/>
  <c r="AJ78" i="20"/>
  <c r="AJ80" i="20" s="1"/>
  <c r="AJ130" i="20" s="1"/>
  <c r="AN17" i="20"/>
  <c r="AL80" i="20"/>
  <c r="AL130" i="20" s="1"/>
  <c r="AN59" i="20"/>
  <c r="AN61" i="20" s="1"/>
  <c r="AN128" i="20" s="1"/>
  <c r="AQ75" i="20"/>
  <c r="AP17" i="20"/>
  <c r="AJ114" i="20"/>
  <c r="AJ131" i="20" s="1"/>
  <c r="AK17" i="20"/>
  <c r="AJ59" i="20"/>
  <c r="AJ61" i="20" s="1"/>
  <c r="AJ128" i="20" s="1"/>
  <c r="AM118" i="20"/>
  <c r="AM126" i="20"/>
  <c r="AK32" i="20"/>
  <c r="AK34" i="20" s="1"/>
  <c r="AK127" i="20" s="1"/>
  <c r="AN32" i="20"/>
  <c r="AN34" i="20" s="1"/>
  <c r="AN127" i="20" s="1"/>
  <c r="AP59" i="20"/>
  <c r="AP61" i="20" s="1"/>
  <c r="AP128" i="20" s="1"/>
  <c r="AJ17" i="20"/>
  <c r="AQ13" i="20"/>
  <c r="AQ15" i="20" s="1"/>
  <c r="AO126" i="20"/>
  <c r="AO118" i="20"/>
  <c r="AP78" i="20"/>
  <c r="AP80" i="20" s="1"/>
  <c r="AP130" i="20" s="1"/>
  <c r="AP32" i="20"/>
  <c r="AP34" i="20" s="1"/>
  <c r="AP127" i="20" s="1"/>
  <c r="AQ38" i="20"/>
  <c r="AL17" i="20"/>
  <c r="AL117" i="20"/>
  <c r="AO117" i="20"/>
  <c r="O61" i="20"/>
  <c r="O128" i="20"/>
  <c r="O69" i="20"/>
  <c r="O129" i="20"/>
  <c r="O34" i="20"/>
  <c r="O127" i="20"/>
  <c r="N34" i="20"/>
  <c r="N127" i="20"/>
  <c r="P114" i="20"/>
  <c r="P131" i="20" s="1"/>
  <c r="P32" i="20"/>
  <c r="P17" i="20"/>
  <c r="P126" i="20"/>
  <c r="P59" i="20"/>
  <c r="O80" i="20"/>
  <c r="O130" i="20"/>
  <c r="M118" i="20"/>
  <c r="O17" i="20"/>
  <c r="O118" i="20" s="1"/>
  <c r="O126" i="20"/>
  <c r="O117" i="20"/>
  <c r="N118" i="20"/>
  <c r="Q27" i="20"/>
  <c r="Q38" i="20"/>
  <c r="Q42" i="20"/>
  <c r="Q46" i="20"/>
  <c r="Q28" i="20"/>
  <c r="Q22" i="20"/>
  <c r="Q30" i="20"/>
  <c r="Q13" i="20"/>
  <c r="Q21" i="20"/>
  <c r="Q23" i="20"/>
  <c r="Q25" i="20"/>
  <c r="Q26" i="20"/>
  <c r="Q24" i="20"/>
  <c r="Q39" i="20"/>
  <c r="Q40" i="20"/>
  <c r="Q29" i="20"/>
  <c r="Q45" i="20"/>
  <c r="Q43" i="20"/>
  <c r="Q49" i="20"/>
  <c r="Q75" i="20"/>
  <c r="Q41" i="20"/>
  <c r="Q44" i="20"/>
  <c r="Q48" i="20"/>
  <c r="Q47" i="20"/>
  <c r="Q56" i="20"/>
  <c r="Q53" i="20"/>
  <c r="Q54" i="20"/>
  <c r="Q57" i="20"/>
  <c r="Q55" i="20"/>
  <c r="Q104" i="20"/>
  <c r="R123" i="20"/>
  <c r="Q51" i="20"/>
  <c r="Q52" i="20"/>
  <c r="Q50" i="20"/>
  <c r="Q76" i="20"/>
  <c r="Q103" i="20"/>
  <c r="Q65" i="20"/>
  <c r="P78" i="20"/>
  <c r="P69" i="20"/>
  <c r="P129" i="20"/>
  <c r="S21" i="47"/>
  <c r="P31" i="11"/>
  <c r="P75" i="11"/>
  <c r="M101" i="11"/>
  <c r="O39" i="11"/>
  <c r="O45" i="11" s="1"/>
  <c r="Q23" i="11"/>
  <c r="Q29" i="11" s="1"/>
  <c r="S29" i="11"/>
  <c r="S45" i="11"/>
  <c r="M73" i="11"/>
  <c r="N39" i="11"/>
  <c r="N45" i="11" s="1"/>
  <c r="P99" i="11"/>
  <c r="N23" i="11"/>
  <c r="N29" i="11" s="1"/>
  <c r="P45" i="11"/>
  <c r="S73" i="11"/>
  <c r="R99" i="11"/>
  <c r="R23" i="11"/>
  <c r="R29" i="11" s="1"/>
  <c r="O75" i="11"/>
  <c r="O99" i="11"/>
  <c r="M47" i="11"/>
  <c r="Q39" i="11"/>
  <c r="Q45" i="11" s="1"/>
  <c r="S99" i="11"/>
  <c r="R43" i="11"/>
  <c r="R39" i="11"/>
  <c r="R45" i="11" s="1"/>
  <c r="N73" i="11"/>
  <c r="M23" i="11"/>
  <c r="M29" i="11" s="1"/>
  <c r="Q73" i="11"/>
  <c r="Q99" i="11"/>
  <c r="R73" i="11"/>
  <c r="O73" i="11"/>
  <c r="O72" i="29"/>
  <c r="R72" i="29" s="1"/>
  <c r="J23" i="64"/>
  <c r="H19" i="64"/>
  <c r="H25" i="64" s="1"/>
  <c r="H75" i="64"/>
  <c r="I19" i="64"/>
  <c r="I25" i="64" s="1"/>
  <c r="I75" i="64"/>
  <c r="I111" i="64"/>
  <c r="I113" i="64" s="1"/>
  <c r="J111" i="64"/>
  <c r="J113" i="64" s="1"/>
  <c r="J75" i="64"/>
  <c r="J19" i="64"/>
  <c r="J25" i="64" s="1"/>
  <c r="M107" i="33"/>
  <c r="M129" i="33" s="1"/>
  <c r="O100" i="33"/>
  <c r="M147" i="33"/>
  <c r="P103" i="33"/>
  <c r="R103" i="33"/>
  <c r="M37" i="33"/>
  <c r="M124" i="33" s="1"/>
  <c r="M93" i="33"/>
  <c r="M128" i="33" s="1"/>
  <c r="M79" i="33"/>
  <c r="M127" i="33" s="1"/>
  <c r="M51" i="33"/>
  <c r="M65" i="33"/>
  <c r="M126" i="33" s="1"/>
  <c r="N59" i="33"/>
  <c r="O58" i="33"/>
  <c r="R87" i="33"/>
  <c r="M144" i="33"/>
  <c r="O9"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AE204" i="38"/>
  <c r="O205" i="38"/>
  <c r="O206" i="38"/>
  <c r="O207" i="38"/>
  <c r="O208" i="38"/>
  <c r="O209" i="38"/>
  <c r="O210" i="38"/>
  <c r="O211" i="38"/>
  <c r="O212" i="38"/>
  <c r="O213" i="38"/>
  <c r="O214" i="38"/>
  <c r="O216" i="38"/>
  <c r="O217" i="38"/>
  <c r="O218" i="38"/>
  <c r="O219" i="38"/>
  <c r="O220" i="38"/>
  <c r="O221" i="38"/>
  <c r="O222" i="38"/>
  <c r="O223" i="38"/>
  <c r="O224" i="38"/>
  <c r="O225" i="38"/>
  <c r="O226" i="38"/>
  <c r="O227" i="38"/>
  <c r="O228" i="38"/>
  <c r="O229" i="38"/>
  <c r="O230" i="38"/>
  <c r="O231" i="38"/>
  <c r="O232" i="38"/>
  <c r="O233" i="38"/>
  <c r="O234" i="38"/>
  <c r="O235" i="38"/>
  <c r="B99" i="33"/>
  <c r="D99" i="33"/>
  <c r="O236" i="38"/>
  <c r="B29" i="33"/>
  <c r="D29" i="33"/>
  <c r="B30" i="33"/>
  <c r="D30" i="33"/>
  <c r="B31" i="33"/>
  <c r="D31" i="33"/>
  <c r="B32" i="33"/>
  <c r="D32" i="33"/>
  <c r="B33" i="33"/>
  <c r="D33" i="33"/>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B85" i="33"/>
  <c r="D85" i="33"/>
  <c r="B86" i="33"/>
  <c r="D86" i="33"/>
  <c r="O260" i="38"/>
  <c r="O261" i="38"/>
  <c r="O262" i="38"/>
  <c r="O263" i="38"/>
  <c r="O264" i="38"/>
  <c r="O265" i="38"/>
  <c r="O266" i="38"/>
  <c r="O267" i="38"/>
  <c r="B71" i="33"/>
  <c r="D71" i="33"/>
  <c r="B72" i="33"/>
  <c r="D72" i="33"/>
  <c r="B73" i="33"/>
  <c r="D73" i="33"/>
  <c r="O269" i="38"/>
  <c r="O270" i="38"/>
  <c r="O271" i="38"/>
  <c r="B43" i="33"/>
  <c r="D43" i="33"/>
  <c r="B44" i="33"/>
  <c r="D44" i="33"/>
  <c r="O272" i="38"/>
  <c r="O273" i="38"/>
  <c r="O274" i="38"/>
  <c r="O275" i="38"/>
  <c r="O276" i="38"/>
  <c r="O277" i="38"/>
  <c r="B57" i="33"/>
  <c r="D57" i="33"/>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O377" i="38"/>
  <c r="O378" i="38"/>
  <c r="O379" i="38"/>
  <c r="O380" i="38"/>
  <c r="O381" i="38"/>
  <c r="O382" i="38"/>
  <c r="O383" i="38"/>
  <c r="O384" i="38"/>
  <c r="O385" i="38"/>
  <c r="O386" i="38"/>
  <c r="O387" i="38"/>
  <c r="O388" i="38"/>
  <c r="O389" i="38"/>
  <c r="O390" i="38"/>
  <c r="O391" i="38"/>
  <c r="O392" i="38"/>
  <c r="O393" i="38"/>
  <c r="O394" i="38"/>
  <c r="O395" i="38"/>
  <c r="O396" i="38"/>
  <c r="O397" i="38"/>
  <c r="O398" i="38"/>
  <c r="O399" i="38"/>
  <c r="O400" i="38"/>
  <c r="O401" i="38"/>
  <c r="O402" i="38"/>
  <c r="O403" i="38"/>
  <c r="O404" i="38"/>
  <c r="O405" i="38"/>
  <c r="O406" i="38"/>
  <c r="O407" i="38"/>
  <c r="O408" i="38"/>
  <c r="O409" i="38"/>
  <c r="O410" i="38"/>
  <c r="O411" i="38"/>
  <c r="O412" i="38"/>
  <c r="O413" i="38"/>
  <c r="O414" i="38"/>
  <c r="O415" i="38"/>
  <c r="O416" i="38"/>
  <c r="O417" i="38"/>
  <c r="O418" i="38"/>
  <c r="O419" i="38"/>
  <c r="O420" i="38"/>
  <c r="O421" i="38"/>
  <c r="O422" i="38"/>
  <c r="O423" i="38"/>
  <c r="O424" i="38"/>
  <c r="O425" i="38"/>
  <c r="O426" i="38"/>
  <c r="O427" i="38"/>
  <c r="AE428" i="38"/>
  <c r="AE429" i="38"/>
  <c r="O430" i="38"/>
  <c r="O431" i="38"/>
  <c r="O432" i="38"/>
  <c r="O433" i="38"/>
  <c r="O434" i="38"/>
  <c r="O435" i="38"/>
  <c r="O436" i="38"/>
  <c r="O437" i="38"/>
  <c r="O438" i="38"/>
  <c r="O439" i="38"/>
  <c r="O440" i="38"/>
  <c r="O441" i="38"/>
  <c r="O442" i="38"/>
  <c r="O443" i="38"/>
  <c r="O444" i="38"/>
  <c r="O445" i="38"/>
  <c r="O446" i="38"/>
  <c r="O447" i="38"/>
  <c r="O448" i="38"/>
  <c r="O449" i="38"/>
  <c r="O450" i="38"/>
  <c r="O451" i="38"/>
  <c r="O452" i="38"/>
  <c r="O453" i="38"/>
  <c r="O454" i="38"/>
  <c r="O455" i="38"/>
  <c r="O457" i="38"/>
  <c r="O458" i="38"/>
  <c r="O459" i="38"/>
  <c r="O460" i="38"/>
  <c r="O462" i="38"/>
  <c r="O463" i="38"/>
  <c r="O464" i="38"/>
  <c r="O465" i="38"/>
  <c r="O466" i="38"/>
  <c r="O467" i="38"/>
  <c r="O468" i="38"/>
  <c r="O469" i="38"/>
  <c r="O470" i="38"/>
  <c r="O471" i="38"/>
  <c r="O472" i="38"/>
  <c r="O473" i="38"/>
  <c r="O474" i="38"/>
  <c r="O475" i="38"/>
  <c r="O476" i="38"/>
  <c r="O477" i="38"/>
  <c r="O478" i="38"/>
  <c r="O479" i="38"/>
  <c r="O480" i="38"/>
  <c r="O481" i="38"/>
  <c r="O483" i="38"/>
  <c r="O484" i="38"/>
  <c r="O485" i="38"/>
  <c r="O486" i="38"/>
  <c r="O487" i="38"/>
  <c r="O488" i="38"/>
  <c r="O489" i="38"/>
  <c r="O490" i="38"/>
  <c r="O491" i="38"/>
  <c r="O492" i="38"/>
  <c r="O493" i="38"/>
  <c r="O494" i="38"/>
  <c r="O495" i="38"/>
  <c r="O496" i="38"/>
  <c r="O497" i="38"/>
  <c r="O498" i="38"/>
  <c r="O499" i="38"/>
  <c r="O500" i="38"/>
  <c r="O501" i="38"/>
  <c r="O502" i="38"/>
  <c r="O503" i="38"/>
  <c r="O504" i="38"/>
  <c r="O505" i="38"/>
  <c r="O506" i="38"/>
  <c r="O507" i="38"/>
  <c r="O508" i="38"/>
  <c r="O509" i="38"/>
  <c r="O510" i="38"/>
  <c r="O511" i="38"/>
  <c r="O512" i="38"/>
  <c r="O513" i="38"/>
  <c r="O514" i="38"/>
  <c r="O515" i="38"/>
  <c r="O516" i="38"/>
  <c r="O517" i="38"/>
  <c r="O518" i="38"/>
  <c r="O519" i="38"/>
  <c r="O520" i="38"/>
  <c r="O521" i="38"/>
  <c r="O522" i="38"/>
  <c r="O523" i="38"/>
  <c r="O524" i="38"/>
  <c r="O525" i="38"/>
  <c r="O526" i="38"/>
  <c r="O527" i="38"/>
  <c r="O528" i="38"/>
  <c r="O529" i="38"/>
  <c r="O530" i="38"/>
  <c r="O531" i="38"/>
  <c r="O532" i="38"/>
  <c r="O533" i="38"/>
  <c r="O534" i="38"/>
  <c r="O535" i="38"/>
  <c r="O536" i="38"/>
  <c r="O537" i="38"/>
  <c r="O538" i="38"/>
  <c r="O539" i="38"/>
  <c r="O540" i="38"/>
  <c r="O541" i="38"/>
  <c r="O542" i="38"/>
  <c r="O543" i="38"/>
  <c r="O544" i="38"/>
  <c r="O545" i="38"/>
  <c r="O546" i="38"/>
  <c r="O547" i="38"/>
  <c r="O548" i="38"/>
  <c r="O549" i="38"/>
  <c r="O550" i="38"/>
  <c r="O551" i="38"/>
  <c r="O553" i="38"/>
  <c r="O554" i="38"/>
  <c r="O555" i="38"/>
  <c r="O556" i="38"/>
  <c r="O557" i="38"/>
  <c r="O558" i="38"/>
  <c r="O559" i="38"/>
  <c r="O560" i="38"/>
  <c r="O561" i="38"/>
  <c r="O562" i="38"/>
  <c r="O563" i="38"/>
  <c r="O564" i="38"/>
  <c r="O565" i="38"/>
  <c r="O566" i="38"/>
  <c r="O567" i="38"/>
  <c r="O568" i="38"/>
  <c r="O569" i="38"/>
  <c r="O570" i="38"/>
  <c r="O571" i="38"/>
  <c r="O572" i="38"/>
  <c r="O573" i="38"/>
  <c r="O574" i="38"/>
  <c r="O575" i="38"/>
  <c r="O576" i="38"/>
  <c r="O577" i="38"/>
  <c r="O578" i="38"/>
  <c r="O579" i="38"/>
  <c r="O580" i="38"/>
  <c r="O582" i="38"/>
  <c r="O583" i="38"/>
  <c r="O584" i="38"/>
  <c r="O585" i="38"/>
  <c r="O586" i="38"/>
  <c r="O587" i="38"/>
  <c r="O588" i="38"/>
  <c r="O589" i="38"/>
  <c r="O590" i="38"/>
  <c r="O591" i="38"/>
  <c r="O592" i="38"/>
  <c r="O593" i="38"/>
  <c r="O594" i="38"/>
  <c r="O595" i="38"/>
  <c r="O596" i="38"/>
  <c r="O597" i="38"/>
  <c r="O598" i="38"/>
  <c r="O599" i="38"/>
  <c r="O600" i="38"/>
  <c r="O601" i="38"/>
  <c r="O603" i="38"/>
  <c r="O604" i="38"/>
  <c r="O605" i="38"/>
  <c r="O606" i="38"/>
  <c r="O607" i="38"/>
  <c r="O608" i="38"/>
  <c r="O609" i="38"/>
  <c r="O611" i="38"/>
  <c r="O612" i="38"/>
  <c r="O613" i="38"/>
  <c r="O614" i="38"/>
  <c r="O615" i="38"/>
  <c r="O616" i="38"/>
  <c r="O617" i="38"/>
  <c r="O618" i="38"/>
  <c r="O619" i="38"/>
  <c r="O620" i="38"/>
  <c r="O621" i="38"/>
  <c r="O622" i="38"/>
  <c r="O623" i="38"/>
  <c r="O624" i="38"/>
  <c r="O625" i="38"/>
  <c r="O626" i="38"/>
  <c r="O627" i="38"/>
  <c r="O628" i="38"/>
  <c r="O629" i="38"/>
  <c r="O630" i="38"/>
  <c r="O631" i="38"/>
  <c r="O632" i="38"/>
  <c r="O633" i="38"/>
  <c r="O635" i="38"/>
  <c r="O636" i="38"/>
  <c r="O637" i="38"/>
  <c r="O638" i="38"/>
  <c r="O639" i="38"/>
  <c r="O640" i="38"/>
  <c r="O641" i="38"/>
  <c r="O643" i="38"/>
  <c r="O644" i="38"/>
  <c r="O645" i="38"/>
  <c r="O646" i="38"/>
  <c r="O647" i="38"/>
  <c r="O648" i="38"/>
  <c r="O649" i="38"/>
  <c r="O650" i="38"/>
  <c r="O651" i="38"/>
  <c r="O652" i="38"/>
  <c r="O653" i="38"/>
  <c r="O654" i="38"/>
  <c r="O655" i="38"/>
  <c r="O656" i="38"/>
  <c r="O657" i="38"/>
  <c r="O658" i="38"/>
  <c r="O659" i="38"/>
  <c r="O660" i="38"/>
  <c r="O661" i="38"/>
  <c r="O662" i="38"/>
  <c r="O663" i="38"/>
  <c r="O664" i="38"/>
  <c r="O665" i="38"/>
  <c r="O667" i="38"/>
  <c r="O668" i="38"/>
  <c r="O669" i="38"/>
  <c r="O670" i="38"/>
  <c r="O671" i="38"/>
  <c r="O672" i="38"/>
  <c r="O673" i="38"/>
  <c r="O675" i="38"/>
  <c r="O676" i="38"/>
  <c r="O677" i="38"/>
  <c r="O678" i="38"/>
  <c r="O679" i="38"/>
  <c r="O680" i="38"/>
  <c r="O681" i="38"/>
  <c r="O682" i="38"/>
  <c r="O683" i="38"/>
  <c r="O684" i="38"/>
  <c r="O685" i="38"/>
  <c r="O686" i="38"/>
  <c r="O687" i="38"/>
  <c r="O688" i="38"/>
  <c r="O689" i="38"/>
  <c r="O690" i="38"/>
  <c r="O691" i="38"/>
  <c r="O692" i="38"/>
  <c r="O693" i="38"/>
  <c r="O694" i="38"/>
  <c r="O695" i="38"/>
  <c r="O696" i="38"/>
  <c r="O697" i="38"/>
  <c r="O698" i="38"/>
  <c r="O699" i="38"/>
  <c r="O700" i="38"/>
  <c r="O701" i="38"/>
  <c r="O702" i="38"/>
  <c r="O703" i="38"/>
  <c r="O704" i="38"/>
  <c r="O705" i="38"/>
  <c r="O706" i="38"/>
  <c r="O707" i="38"/>
  <c r="O708" i="38"/>
  <c r="O709" i="38"/>
  <c r="O710" i="38"/>
  <c r="O711" i="38"/>
  <c r="O712" i="38"/>
  <c r="O713" i="38"/>
  <c r="O714" i="38"/>
  <c r="O715" i="38"/>
  <c r="O716" i="38"/>
  <c r="O717" i="38"/>
  <c r="O718" i="38"/>
  <c r="O719" i="38"/>
  <c r="O720" i="38"/>
  <c r="O721" i="38"/>
  <c r="O722" i="38"/>
  <c r="O723" i="38"/>
  <c r="O724" i="38"/>
  <c r="O725" i="38"/>
  <c r="O726" i="38"/>
  <c r="O727" i="38"/>
  <c r="O728" i="38"/>
  <c r="O729" i="38"/>
  <c r="O733" i="38"/>
  <c r="O734" i="38"/>
  <c r="O735" i="38"/>
  <c r="O736" i="38"/>
  <c r="O737" i="38"/>
  <c r="O738" i="38"/>
  <c r="O739" i="38"/>
  <c r="O740" i="38"/>
  <c r="O741" i="38"/>
  <c r="O742" i="38"/>
  <c r="O743" i="38"/>
  <c r="O744" i="38"/>
  <c r="O745" i="38"/>
  <c r="O746" i="38"/>
  <c r="O747" i="38"/>
  <c r="O748" i="38"/>
  <c r="O749" i="38"/>
  <c r="O750" i="38"/>
  <c r="O751" i="38"/>
  <c r="O752" i="38"/>
  <c r="O753" i="38"/>
  <c r="O754" i="38"/>
  <c r="O755" i="38"/>
  <c r="O756" i="38"/>
  <c r="O757" i="38"/>
  <c r="O758" i="38"/>
  <c r="O759" i="38"/>
  <c r="O760" i="38"/>
  <c r="O761" i="38"/>
  <c r="O762" i="38"/>
  <c r="O763" i="38"/>
  <c r="O764" i="38"/>
  <c r="O765" i="38"/>
  <c r="O766" i="38"/>
  <c r="O767" i="38"/>
  <c r="O768" i="38"/>
  <c r="O769" i="38"/>
  <c r="O770" i="38"/>
  <c r="O771" i="38"/>
  <c r="O772" i="38"/>
  <c r="O773" i="38"/>
  <c r="O774" i="38"/>
  <c r="O775" i="38"/>
  <c r="O776" i="38"/>
  <c r="O777" i="38"/>
  <c r="O778" i="38"/>
  <c r="O779" i="38"/>
  <c r="O780" i="38"/>
  <c r="O781" i="38"/>
  <c r="O782" i="38"/>
  <c r="O783" i="38"/>
  <c r="O784" i="38"/>
  <c r="O785" i="38"/>
  <c r="O786" i="38"/>
  <c r="O787" i="38"/>
  <c r="O788" i="38"/>
  <c r="O789" i="38"/>
  <c r="O790" i="38"/>
  <c r="O791" i="38"/>
  <c r="O792" i="38"/>
  <c r="O793" i="38"/>
  <c r="O794" i="38"/>
  <c r="O795" i="38"/>
  <c r="O796" i="38"/>
  <c r="O797" i="38"/>
  <c r="O798" i="38"/>
  <c r="O799" i="38"/>
  <c r="O800" i="38"/>
  <c r="O801" i="38"/>
  <c r="O802" i="38"/>
  <c r="O803" i="38"/>
  <c r="O804" i="38"/>
  <c r="O805" i="38"/>
  <c r="O806" i="38"/>
  <c r="O807" i="38"/>
  <c r="O808" i="38"/>
  <c r="O809" i="38"/>
  <c r="O810" i="38"/>
  <c r="O811" i="38"/>
  <c r="O812" i="38"/>
  <c r="O813" i="38"/>
  <c r="O814" i="38"/>
  <c r="O815" i="38"/>
  <c r="O816" i="38"/>
  <c r="O817" i="38"/>
  <c r="O818" i="38"/>
  <c r="O819" i="38"/>
  <c r="O820" i="38"/>
  <c r="O821" i="38"/>
  <c r="O822" i="38"/>
  <c r="O823" i="38"/>
  <c r="O824" i="38"/>
  <c r="O825" i="38"/>
  <c r="O826" i="38"/>
  <c r="O827" i="38"/>
  <c r="O828" i="38"/>
  <c r="O829" i="38"/>
  <c r="O830" i="38"/>
  <c r="O831" i="38"/>
  <c r="O832" i="38"/>
  <c r="O833" i="38"/>
  <c r="O834" i="38"/>
  <c r="O835" i="38"/>
  <c r="O836" i="38"/>
  <c r="O837" i="38"/>
  <c r="O838" i="38"/>
  <c r="O839" i="38"/>
  <c r="O840" i="38"/>
  <c r="O841" i="38"/>
  <c r="O842" i="38"/>
  <c r="O843" i="38"/>
  <c r="O844" i="38"/>
  <c r="O845" i="38"/>
  <c r="O846" i="38"/>
  <c r="O847" i="38"/>
  <c r="O848" i="38"/>
  <c r="O849" i="38"/>
  <c r="O850" i="38"/>
  <c r="O851" i="38"/>
  <c r="O852" i="38"/>
  <c r="O853" i="38"/>
  <c r="O854" i="38"/>
  <c r="O855" i="38"/>
  <c r="O856" i="38"/>
  <c r="O857" i="38"/>
  <c r="O858" i="38"/>
  <c r="O859" i="38"/>
  <c r="O860" i="38"/>
  <c r="O861" i="38"/>
  <c r="O862" i="38"/>
  <c r="O863" i="38"/>
  <c r="O864" i="38"/>
  <c r="O865" i="38"/>
  <c r="O866" i="38"/>
  <c r="O867" i="38"/>
  <c r="O868" i="38"/>
  <c r="O869" i="38"/>
  <c r="O870" i="38"/>
  <c r="O871" i="38"/>
  <c r="O872" i="38"/>
  <c r="O873" i="38"/>
  <c r="O874" i="38"/>
  <c r="O875" i="38"/>
  <c r="O876" i="38"/>
  <c r="O877" i="38"/>
  <c r="O878" i="38"/>
  <c r="O879" i="38"/>
  <c r="O880" i="38"/>
  <c r="O881" i="38"/>
  <c r="O882" i="38"/>
  <c r="O883" i="38"/>
  <c r="O884" i="38"/>
  <c r="O885" i="38"/>
  <c r="O886" i="38"/>
  <c r="O887" i="38"/>
  <c r="O888" i="38"/>
  <c r="O889" i="38"/>
  <c r="O890" i="38"/>
  <c r="O891" i="38"/>
  <c r="O892" i="38"/>
  <c r="O893" i="38"/>
  <c r="O894" i="38"/>
  <c r="O895" i="38"/>
  <c r="O896" i="38"/>
  <c r="O897" i="38"/>
  <c r="O898" i="38"/>
  <c r="O899" i="38"/>
  <c r="O900" i="38"/>
  <c r="O901" i="38"/>
  <c r="O902" i="38"/>
  <c r="O903" i="38"/>
  <c r="O904" i="38"/>
  <c r="O905" i="38"/>
  <c r="O906" i="38"/>
  <c r="O907" i="38"/>
  <c r="O908" i="38"/>
  <c r="O909" i="38"/>
  <c r="O910" i="38"/>
  <c r="O911" i="38"/>
  <c r="O912" i="38"/>
  <c r="O913" i="38"/>
  <c r="O914" i="38"/>
  <c r="O915" i="38"/>
  <c r="O916" i="38"/>
  <c r="O917" i="38"/>
  <c r="O918" i="38"/>
  <c r="O919" i="38"/>
  <c r="O920" i="38"/>
  <c r="O921" i="38"/>
  <c r="O922" i="38"/>
  <c r="O923" i="38"/>
  <c r="O924" i="38"/>
  <c r="O925" i="38"/>
  <c r="O926" i="38"/>
  <c r="O927" i="38"/>
  <c r="O928" i="38"/>
  <c r="O929" i="38"/>
  <c r="O930" i="38"/>
  <c r="O931" i="38"/>
  <c r="O932" i="38"/>
  <c r="O933" i="38"/>
  <c r="O934" i="38"/>
  <c r="O935" i="38"/>
  <c r="O936" i="38"/>
  <c r="O937" i="38"/>
  <c r="O938" i="38"/>
  <c r="O939" i="38"/>
  <c r="O940" i="38"/>
  <c r="O941" i="38"/>
  <c r="O942" i="38"/>
  <c r="O943" i="38"/>
  <c r="O944" i="38"/>
  <c r="O945" i="38"/>
  <c r="O946" i="38"/>
  <c r="O947" i="38"/>
  <c r="O948" i="38"/>
  <c r="O949" i="38"/>
  <c r="O950" i="38"/>
  <c r="O951" i="38"/>
  <c r="O952" i="38"/>
  <c r="O953" i="38"/>
  <c r="O954" i="38"/>
  <c r="O955" i="38"/>
  <c r="O956" i="38"/>
  <c r="O957" i="38"/>
  <c r="O958" i="38"/>
  <c r="O959" i="38"/>
  <c r="O960" i="38"/>
  <c r="O961" i="38"/>
  <c r="O962" i="38"/>
  <c r="O963" i="38"/>
  <c r="O964" i="38"/>
  <c r="O965" i="38"/>
  <c r="O966" i="38"/>
  <c r="O967" i="38"/>
  <c r="O968" i="38"/>
  <c r="O969" i="38"/>
  <c r="O970" i="38"/>
  <c r="O971" i="38"/>
  <c r="O972" i="38"/>
  <c r="O973" i="38"/>
  <c r="O974" i="38"/>
  <c r="O975" i="38"/>
  <c r="O976" i="38"/>
  <c r="O977" i="38"/>
  <c r="O978" i="38"/>
  <c r="O979" i="38"/>
  <c r="O980" i="38"/>
  <c r="O981" i="38"/>
  <c r="O982" i="38"/>
  <c r="O983" i="38"/>
  <c r="O984" i="38"/>
  <c r="O985" i="38"/>
  <c r="O986" i="38"/>
  <c r="O987" i="38"/>
  <c r="O988" i="38"/>
  <c r="O989" i="38"/>
  <c r="O990" i="38"/>
  <c r="O991" i="38"/>
  <c r="O992" i="38"/>
  <c r="O993" i="38"/>
  <c r="O994" i="38"/>
  <c r="O995" i="38"/>
  <c r="AE996" i="38"/>
  <c r="O998" i="38"/>
  <c r="O999" i="38"/>
  <c r="O1000" i="38"/>
  <c r="O1001" i="38"/>
  <c r="O1002" i="38"/>
  <c r="O1003" i="38"/>
  <c r="O1004" i="38"/>
  <c r="O1005" i="38"/>
  <c r="O1006" i="38"/>
  <c r="O1007" i="38"/>
  <c r="O1008" i="38"/>
  <c r="O1009" i="38"/>
  <c r="O1010" i="38"/>
  <c r="O1011" i="38"/>
  <c r="O1012" i="38"/>
  <c r="O1013" i="38"/>
  <c r="O1014" i="38"/>
  <c r="O1015" i="38"/>
  <c r="O1016" i="38"/>
  <c r="O1017" i="38"/>
  <c r="O1018" i="38"/>
  <c r="O1019" i="38"/>
  <c r="O1020" i="38"/>
  <c r="O1021" i="38"/>
  <c r="O1022" i="38"/>
  <c r="O1023" i="38"/>
  <c r="O1024" i="38"/>
  <c r="O1025" i="38"/>
  <c r="O1026" i="38"/>
  <c r="O1027" i="38"/>
  <c r="O1028" i="38"/>
  <c r="O1029" i="38"/>
  <c r="O1030" i="38"/>
  <c r="O1031" i="38"/>
  <c r="O1032" i="38"/>
  <c r="O1033" i="38"/>
  <c r="O1034" i="38"/>
  <c r="O1035" i="38"/>
  <c r="O1036" i="38"/>
  <c r="O1037" i="38"/>
  <c r="O1038" i="38"/>
  <c r="O1039" i="38"/>
  <c r="O1040" i="38"/>
  <c r="O1041" i="38"/>
  <c r="O1042" i="38"/>
  <c r="O1043" i="38"/>
  <c r="O1044" i="38"/>
  <c r="O1045" i="38"/>
  <c r="O1046" i="38"/>
  <c r="O1047" i="38"/>
  <c r="O1048" i="38"/>
  <c r="O1049" i="38"/>
  <c r="O1050" i="38"/>
  <c r="O1051" i="38"/>
  <c r="O1052" i="38"/>
  <c r="O1053" i="38"/>
  <c r="O1054" i="38"/>
  <c r="O1055" i="38"/>
  <c r="O1056" i="38"/>
  <c r="O1057" i="38"/>
  <c r="O1058" i="38"/>
  <c r="O1059" i="38"/>
  <c r="O1060" i="38"/>
  <c r="O1061" i="38"/>
  <c r="O1062" i="38"/>
  <c r="O1063" i="38"/>
  <c r="O1064" i="38"/>
  <c r="O1065" i="38"/>
  <c r="O1066" i="38"/>
  <c r="O1067" i="38"/>
  <c r="O1068" i="38"/>
  <c r="O1069" i="38"/>
  <c r="O1070" i="38"/>
  <c r="O1071" i="38"/>
  <c r="O1072" i="38"/>
  <c r="O1073" i="38"/>
  <c r="O1074" i="38"/>
  <c r="O1075" i="38"/>
  <c r="O1076" i="38"/>
  <c r="O1077" i="38"/>
  <c r="O1078" i="38"/>
  <c r="O1079" i="38"/>
  <c r="O1080" i="38"/>
  <c r="O1081" i="38"/>
  <c r="O1082" i="38"/>
  <c r="O1083" i="38"/>
  <c r="O1084" i="38"/>
  <c r="O1085" i="38"/>
  <c r="O1086" i="38"/>
  <c r="O1087" i="38"/>
  <c r="O1088" i="38"/>
  <c r="O1089" i="38"/>
  <c r="O1090" i="38"/>
  <c r="O1091" i="38"/>
  <c r="O1092" i="38"/>
  <c r="O1093" i="38"/>
  <c r="O1094" i="38"/>
  <c r="O1095" i="38"/>
  <c r="O1096" i="38"/>
  <c r="O1097" i="38"/>
  <c r="O1098" i="38"/>
  <c r="O1099" i="38"/>
  <c r="O1100" i="38"/>
  <c r="O1101" i="38"/>
  <c r="O1102" i="38"/>
  <c r="O1103" i="38"/>
  <c r="O1104" i="38"/>
  <c r="O1105" i="38"/>
  <c r="O1106" i="38"/>
  <c r="O1107" i="38"/>
  <c r="O1108" i="38"/>
  <c r="O1109" i="38"/>
  <c r="O1110" i="38"/>
  <c r="O1111" i="38"/>
  <c r="O1112" i="38"/>
  <c r="O1113" i="38"/>
  <c r="O1114" i="38"/>
  <c r="O1115" i="38"/>
  <c r="O1116" i="38"/>
  <c r="O1117" i="38"/>
  <c r="O1118" i="38"/>
  <c r="O1119" i="38"/>
  <c r="O1120" i="38"/>
  <c r="O1121" i="38"/>
  <c r="O1122" i="38"/>
  <c r="O1123" i="38"/>
  <c r="O1124" i="38"/>
  <c r="O1125" i="38"/>
  <c r="O1126" i="38"/>
  <c r="O1127" i="38"/>
  <c r="O1128" i="38"/>
  <c r="O1129" i="38"/>
  <c r="O1130" i="38"/>
  <c r="O1131" i="38"/>
  <c r="O1132" i="38"/>
  <c r="O1133" i="38"/>
  <c r="O1134" i="38"/>
  <c r="O1135" i="38"/>
  <c r="O1136" i="38"/>
  <c r="O1137" i="38"/>
  <c r="O1138" i="38"/>
  <c r="O1139" i="38"/>
  <c r="O1140" i="38"/>
  <c r="O1141" i="38"/>
  <c r="O1142" i="38"/>
  <c r="O1143" i="38"/>
  <c r="O1144" i="38"/>
  <c r="O1145" i="38"/>
  <c r="O1146" i="38"/>
  <c r="O1147" i="38"/>
  <c r="O1148" i="38"/>
  <c r="O1149" i="38"/>
  <c r="O1150" i="38"/>
  <c r="O1151" i="38"/>
  <c r="O1152" i="38"/>
  <c r="O1153" i="38"/>
  <c r="O1154" i="38"/>
  <c r="O1155" i="38"/>
  <c r="O1156" i="38"/>
  <c r="O1157" i="38"/>
  <c r="O1158" i="38"/>
  <c r="O1159" i="38"/>
  <c r="O1160" i="38"/>
  <c r="O1161" i="38"/>
  <c r="O1162" i="38"/>
  <c r="O1163" i="38"/>
  <c r="O1164" i="38"/>
  <c r="O1165" i="38"/>
  <c r="O1166" i="38"/>
  <c r="O1167" i="38"/>
  <c r="O1168" i="38"/>
  <c r="O1169" i="38"/>
  <c r="O1170" i="38"/>
  <c r="O1171" i="38"/>
  <c r="O1172" i="38"/>
  <c r="O1173" i="38"/>
  <c r="O1174" i="38"/>
  <c r="O1175" i="38"/>
  <c r="O1176" i="38"/>
  <c r="O1177" i="38"/>
  <c r="O1178" i="38"/>
  <c r="O1179" i="38"/>
  <c r="O1180" i="38"/>
  <c r="O1181" i="38"/>
  <c r="O1182" i="38"/>
  <c r="O1183" i="38"/>
  <c r="O1184" i="38"/>
  <c r="O1185" i="38"/>
  <c r="O1186" i="38"/>
  <c r="O1187" i="38"/>
  <c r="O1188" i="38"/>
  <c r="O1189" i="38"/>
  <c r="O1190" i="38"/>
  <c r="O1191" i="38"/>
  <c r="O1192" i="38"/>
  <c r="O1193" i="38"/>
  <c r="O1194" i="38"/>
  <c r="O1195" i="38"/>
  <c r="O1196" i="38"/>
  <c r="O1197" i="38"/>
  <c r="O1198" i="38"/>
  <c r="O1199" i="38"/>
  <c r="O1200" i="38"/>
  <c r="O1201" i="38"/>
  <c r="O1202" i="38"/>
  <c r="O1203" i="38"/>
  <c r="O1204" i="38"/>
  <c r="O1205" i="38"/>
  <c r="O1206" i="38"/>
  <c r="O1207" i="38"/>
  <c r="O1208" i="38"/>
  <c r="O1209" i="38"/>
  <c r="O1210" i="38"/>
  <c r="O1211" i="38"/>
  <c r="O1212" i="38"/>
  <c r="O1213" i="38"/>
  <c r="O1214" i="38"/>
  <c r="O1215" i="38"/>
  <c r="O1216" i="38"/>
  <c r="O1217" i="38"/>
  <c r="O1218" i="38"/>
  <c r="O1219" i="38"/>
  <c r="O1220" i="38"/>
  <c r="O1221" i="38"/>
  <c r="O1222" i="38"/>
  <c r="O1223" i="38"/>
  <c r="O1224" i="38"/>
  <c r="O1225" i="38"/>
  <c r="O1226" i="38"/>
  <c r="O1227" i="38"/>
  <c r="O1228" i="38"/>
  <c r="O1229" i="38"/>
  <c r="O1230" i="38"/>
  <c r="O1231" i="38"/>
  <c r="O1232" i="38"/>
  <c r="O1233" i="38"/>
  <c r="O1234" i="38"/>
  <c r="O1235" i="38"/>
  <c r="O1236" i="38"/>
  <c r="O1237" i="38"/>
  <c r="O1238" i="38"/>
  <c r="O1239" i="38"/>
  <c r="O1240" i="38"/>
  <c r="O1241" i="38"/>
  <c r="O1242" i="38"/>
  <c r="O1243" i="38"/>
  <c r="O1244" i="38"/>
  <c r="O1245" i="38"/>
  <c r="O1246" i="38"/>
  <c r="O1247" i="38"/>
  <c r="O1248" i="38"/>
  <c r="AE1249" i="38"/>
  <c r="O1251" i="38"/>
  <c r="O1252" i="38"/>
  <c r="O1253" i="38"/>
  <c r="O1254" i="38"/>
  <c r="O1255" i="38"/>
  <c r="O1256" i="38"/>
  <c r="O1257" i="38"/>
  <c r="O1258" i="38"/>
  <c r="O1259" i="38"/>
  <c r="O1260" i="38"/>
  <c r="O1261" i="38"/>
  <c r="O1262" i="38"/>
  <c r="O1263" i="38"/>
  <c r="O1264" i="38"/>
  <c r="O1265" i="38"/>
  <c r="O1266" i="38"/>
  <c r="O1267" i="38"/>
  <c r="O1268" i="38"/>
  <c r="O1269" i="38"/>
  <c r="O1270" i="38"/>
  <c r="O1271" i="38"/>
  <c r="O1272" i="38"/>
  <c r="O1273" i="38"/>
  <c r="O1274" i="38"/>
  <c r="O1275" i="38"/>
  <c r="O1276" i="38"/>
  <c r="O1277" i="38"/>
  <c r="O1278" i="38"/>
  <c r="O1279" i="38"/>
  <c r="O1280" i="38"/>
  <c r="O1281" i="38"/>
  <c r="O1282" i="38"/>
  <c r="O1283" i="38"/>
  <c r="O1284" i="38"/>
  <c r="O1285" i="38"/>
  <c r="O1286" i="38"/>
  <c r="O1287" i="38"/>
  <c r="O1288" i="38"/>
  <c r="O1289" i="38"/>
  <c r="O1290" i="38"/>
  <c r="O1291" i="38"/>
  <c r="O1292" i="38"/>
  <c r="O1293" i="38"/>
  <c r="O1294" i="38"/>
  <c r="O1295" i="38"/>
  <c r="O1296" i="38"/>
  <c r="O1297" i="38"/>
  <c r="O1298" i="38"/>
  <c r="O1299" i="38"/>
  <c r="O1301" i="38"/>
  <c r="O1302" i="38"/>
  <c r="O1303" i="38"/>
  <c r="O1304" i="38"/>
  <c r="O1306" i="38"/>
  <c r="O1307" i="38"/>
  <c r="O1308" i="38"/>
  <c r="O1309" i="38"/>
  <c r="O1310" i="38"/>
  <c r="O1311" i="38"/>
  <c r="O1312" i="38"/>
  <c r="O1313" i="38"/>
  <c r="O1314" i="38"/>
  <c r="O1315" i="38"/>
  <c r="O1316" i="38"/>
  <c r="O1317" i="38"/>
  <c r="O1318" i="38"/>
  <c r="O1319" i="38"/>
  <c r="O1320" i="38"/>
  <c r="O1321" i="38"/>
  <c r="O1322" i="38"/>
  <c r="O1323" i="38"/>
  <c r="O1324" i="38"/>
  <c r="O1325" i="38"/>
  <c r="O1326" i="38"/>
  <c r="O1327" i="38"/>
  <c r="O1328" i="38"/>
  <c r="O1329" i="38"/>
  <c r="O1330" i="38"/>
  <c r="O1331" i="38"/>
  <c r="O1332" i="38"/>
  <c r="O1333" i="38"/>
  <c r="O1334" i="38"/>
  <c r="O1335" i="38"/>
  <c r="O1336" i="38"/>
  <c r="O1337" i="38"/>
  <c r="O1338" i="38"/>
  <c r="O1339" i="38"/>
  <c r="O1340" i="38"/>
  <c r="O1341" i="38"/>
  <c r="O1342" i="38"/>
  <c r="O1343" i="38"/>
  <c r="O1344" i="38"/>
  <c r="O1345" i="38"/>
  <c r="O1346" i="38"/>
  <c r="O1347" i="38"/>
  <c r="O1348" i="38"/>
  <c r="O1349" i="38"/>
  <c r="O1350" i="38"/>
  <c r="O1351" i="38"/>
  <c r="O1352" i="38"/>
  <c r="O1353" i="38"/>
  <c r="O1354" i="38"/>
  <c r="O1355" i="38"/>
  <c r="O1356" i="38"/>
  <c r="O1357" i="38"/>
  <c r="O1358" i="38"/>
  <c r="O1359" i="38"/>
  <c r="O1360" i="38"/>
  <c r="O1361" i="38"/>
  <c r="O1362" i="38"/>
  <c r="O1363" i="38"/>
  <c r="O1364" i="38"/>
  <c r="O1365" i="38"/>
  <c r="O1366" i="38"/>
  <c r="O1367" i="38"/>
  <c r="O1368" i="38"/>
  <c r="O1369" i="38"/>
  <c r="O1370" i="38"/>
  <c r="O1371" i="38"/>
  <c r="O1372" i="38"/>
  <c r="O1373" i="38"/>
  <c r="O1374" i="38"/>
  <c r="O1375" i="38"/>
  <c r="O1376" i="38"/>
  <c r="O1377" i="38"/>
  <c r="O1378" i="38"/>
  <c r="O1379" i="38"/>
  <c r="O1380" i="38"/>
  <c r="O1381" i="38"/>
  <c r="O1382" i="38"/>
  <c r="O1383" i="38"/>
  <c r="O1384" i="38"/>
  <c r="O1385" i="38"/>
  <c r="O1386" i="38"/>
  <c r="O1387" i="38"/>
  <c r="O1388" i="38"/>
  <c r="O1389" i="38"/>
  <c r="O1390" i="38"/>
  <c r="O1391" i="38"/>
  <c r="O1392" i="38"/>
  <c r="O1393" i="38"/>
  <c r="O1394" i="38"/>
  <c r="O1395" i="38"/>
  <c r="O1396" i="38"/>
  <c r="O1397" i="38"/>
  <c r="O1398" i="38"/>
  <c r="O1399" i="38"/>
  <c r="O1400" i="38"/>
  <c r="O1401" i="38"/>
  <c r="O1402" i="38"/>
  <c r="O1403" i="38"/>
  <c r="O1404" i="38"/>
  <c r="O1405" i="38"/>
  <c r="O1406" i="38"/>
  <c r="O1407" i="38"/>
  <c r="O1408" i="38"/>
  <c r="O1409" i="38"/>
  <c r="O1410" i="38"/>
  <c r="O1411" i="38"/>
  <c r="O1413" i="38"/>
  <c r="O1414" i="38"/>
  <c r="O1415" i="38"/>
  <c r="O1416" i="38"/>
  <c r="O1417" i="38"/>
  <c r="O1418" i="38"/>
  <c r="O1419" i="38"/>
  <c r="O1420" i="38"/>
  <c r="O1421" i="38"/>
  <c r="O1422" i="38"/>
  <c r="O1423" i="38"/>
  <c r="O1424" i="38"/>
  <c r="O1425" i="38"/>
  <c r="O1426" i="38"/>
  <c r="O1427" i="38"/>
  <c r="O1428" i="38"/>
  <c r="O1429" i="38"/>
  <c r="O1430" i="38"/>
  <c r="O1431" i="38"/>
  <c r="O1432" i="38"/>
  <c r="O1433" i="38"/>
  <c r="O1434" i="38"/>
  <c r="O1435" i="38"/>
  <c r="O1436" i="38"/>
  <c r="O1437" i="38"/>
  <c r="O1438" i="38"/>
  <c r="O1439" i="38"/>
  <c r="O1440" i="38"/>
  <c r="O1441" i="38"/>
  <c r="O1442" i="38"/>
  <c r="O1443" i="38"/>
  <c r="O1445" i="38"/>
  <c r="O1446" i="38"/>
  <c r="O1447" i="38"/>
  <c r="O1448" i="38"/>
  <c r="O1450" i="38"/>
  <c r="O1451" i="38"/>
  <c r="O1452" i="38"/>
  <c r="O1453" i="38"/>
  <c r="O1454" i="38"/>
  <c r="O1455" i="38"/>
  <c r="O1456" i="38"/>
  <c r="O1457" i="38"/>
  <c r="O1458" i="38"/>
  <c r="O1459" i="38"/>
  <c r="O1460" i="38"/>
  <c r="O1461" i="38"/>
  <c r="O1462" i="38"/>
  <c r="O1463" i="38"/>
  <c r="O1464" i="38"/>
  <c r="O1465" i="38"/>
  <c r="O1466" i="38"/>
  <c r="O1467" i="38"/>
  <c r="O1468" i="38"/>
  <c r="O1469" i="38"/>
  <c r="O1470" i="38"/>
  <c r="O1471" i="38"/>
  <c r="O1472" i="38"/>
  <c r="O1473" i="38"/>
  <c r="O1474" i="38"/>
  <c r="O1475" i="38"/>
  <c r="O1476" i="38"/>
  <c r="O1477" i="38"/>
  <c r="O1478" i="38"/>
  <c r="O1479" i="38"/>
  <c r="O1480" i="38"/>
  <c r="O1481" i="38"/>
  <c r="O1482" i="38"/>
  <c r="O1483" i="38"/>
  <c r="O1484" i="38"/>
  <c r="O1485" i="38"/>
  <c r="O1486" i="38"/>
  <c r="O1487" i="38"/>
  <c r="O1488" i="38"/>
  <c r="O1489" i="38"/>
  <c r="O1490" i="38"/>
  <c r="O1491" i="38"/>
  <c r="O1492" i="38"/>
  <c r="O1493" i="38"/>
  <c r="O1494" i="38"/>
  <c r="O1495" i="38"/>
  <c r="O1496" i="38"/>
  <c r="O1497" i="38"/>
  <c r="O1498" i="38"/>
  <c r="O1499" i="38"/>
  <c r="O1500" i="38"/>
  <c r="O1501" i="38"/>
  <c r="O1502" i="38"/>
  <c r="O1503" i="38"/>
  <c r="O1504" i="38"/>
  <c r="O1505" i="38"/>
  <c r="O1506" i="38"/>
  <c r="O1507" i="38"/>
  <c r="O1508" i="38"/>
  <c r="O1509" i="38"/>
  <c r="O1510" i="38"/>
  <c r="O1511" i="38"/>
  <c r="O1512" i="38"/>
  <c r="O1513" i="38"/>
  <c r="O1514" i="38"/>
  <c r="O1515" i="38"/>
  <c r="O1516" i="38"/>
  <c r="O1517" i="38"/>
  <c r="O1518" i="38"/>
  <c r="O1519" i="38"/>
  <c r="O1520" i="38"/>
  <c r="O1521" i="38"/>
  <c r="O1522" i="38"/>
  <c r="O1523" i="38"/>
  <c r="O1524" i="38"/>
  <c r="O1525" i="38"/>
  <c r="O1526" i="38"/>
  <c r="O1527" i="38"/>
  <c r="O1528" i="38"/>
  <c r="O1529" i="38"/>
  <c r="O1530" i="38"/>
  <c r="O1531" i="38"/>
  <c r="O1532" i="38"/>
  <c r="O1533" i="38"/>
  <c r="O1534" i="38"/>
  <c r="O1535" i="38"/>
  <c r="O1536" i="38"/>
  <c r="O1537" i="38"/>
  <c r="O1538" i="38"/>
  <c r="O1539" i="38"/>
  <c r="O1540" i="38"/>
  <c r="O1541" i="38"/>
  <c r="O1542" i="38"/>
  <c r="O1543" i="38"/>
  <c r="O1544" i="38"/>
  <c r="O1545" i="38"/>
  <c r="O1546" i="38"/>
  <c r="O1547" i="38"/>
  <c r="O1548" i="38"/>
  <c r="O1549" i="38"/>
  <c r="O1550" i="38"/>
  <c r="O1551" i="38"/>
  <c r="O1552" i="38"/>
  <c r="O1553" i="38"/>
  <c r="O1554" i="38"/>
  <c r="O1555" i="38"/>
  <c r="O1556" i="38"/>
  <c r="O1557" i="38"/>
  <c r="O1558" i="38"/>
  <c r="O1559" i="38"/>
  <c r="O1560" i="38"/>
  <c r="O1561" i="38"/>
  <c r="O1562" i="38"/>
  <c r="O1563" i="38"/>
  <c r="AE1565" i="38"/>
  <c r="O1567" i="38"/>
  <c r="O1568" i="38"/>
  <c r="O1569" i="38"/>
  <c r="O1570" i="38"/>
  <c r="O1571" i="38"/>
  <c r="O1572" i="38"/>
  <c r="O1573" i="38"/>
  <c r="O1575" i="38"/>
  <c r="O1576" i="38"/>
  <c r="O1577" i="38"/>
  <c r="O1578" i="38"/>
  <c r="O1579" i="38"/>
  <c r="O1580" i="38"/>
  <c r="O1581" i="38"/>
  <c r="O1583" i="38"/>
  <c r="O1584" i="38"/>
  <c r="O1585" i="38"/>
  <c r="O1586" i="38"/>
  <c r="O1587" i="38"/>
  <c r="O1588" i="38"/>
  <c r="O1589" i="38"/>
  <c r="O1591" i="38"/>
  <c r="O1592" i="38"/>
  <c r="O1593" i="38"/>
  <c r="O1594" i="38"/>
  <c r="O1595" i="38"/>
  <c r="O1596" i="38"/>
  <c r="O1597" i="38"/>
  <c r="O1599" i="38"/>
  <c r="O1600" i="38"/>
  <c r="O1601" i="38"/>
  <c r="O1602" i="38"/>
  <c r="O1603" i="38"/>
  <c r="O1604" i="38"/>
  <c r="O1605" i="38"/>
  <c r="O1607" i="38"/>
  <c r="O1608" i="38"/>
  <c r="O1609" i="38"/>
  <c r="O1610" i="38"/>
  <c r="O1611" i="38"/>
  <c r="O1612" i="38"/>
  <c r="O1613" i="38"/>
  <c r="O1615" i="38"/>
  <c r="O1616" i="38"/>
  <c r="O1617" i="38"/>
  <c r="O1618" i="38"/>
  <c r="O1619" i="38"/>
  <c r="O1620" i="38"/>
  <c r="O1621" i="38"/>
  <c r="O1623" i="38"/>
  <c r="O1624" i="38"/>
  <c r="O1625" i="38"/>
  <c r="O1626" i="38"/>
  <c r="O1627" i="38"/>
  <c r="O1628" i="38"/>
  <c r="O1629" i="38"/>
  <c r="O1631" i="38"/>
  <c r="O1632" i="38"/>
  <c r="O1633" i="38"/>
  <c r="O1634" i="38"/>
  <c r="O1635" i="38"/>
  <c r="O1636" i="38"/>
  <c r="O1637" i="38"/>
  <c r="O1639" i="38"/>
  <c r="O1640" i="38"/>
  <c r="O1641" i="38"/>
  <c r="O1642" i="38"/>
  <c r="O1643" i="38"/>
  <c r="O1644" i="38"/>
  <c r="O1645" i="38"/>
  <c r="O1647" i="38"/>
  <c r="O1648" i="38"/>
  <c r="O1649" i="38"/>
  <c r="O1650" i="38"/>
  <c r="O1651" i="38"/>
  <c r="O1652" i="38"/>
  <c r="O1653" i="38"/>
  <c r="O1655" i="38"/>
  <c r="O1656" i="38"/>
  <c r="O1657" i="38"/>
  <c r="O1658" i="38"/>
  <c r="O1659" i="38"/>
  <c r="O1660" i="38"/>
  <c r="O1661" i="38"/>
  <c r="O1663" i="38"/>
  <c r="O1664" i="38"/>
  <c r="O1665" i="38"/>
  <c r="O1666" i="38"/>
  <c r="O1667" i="38"/>
  <c r="O1668" i="38"/>
  <c r="O1669" i="38"/>
  <c r="O1671" i="38"/>
  <c r="O1672" i="38"/>
  <c r="O1673" i="38"/>
  <c r="O1674" i="38"/>
  <c r="O1675" i="38"/>
  <c r="O1676" i="38"/>
  <c r="O1677" i="38"/>
  <c r="O1679" i="38"/>
  <c r="O1680" i="38"/>
  <c r="O1681" i="38"/>
  <c r="O1682" i="38"/>
  <c r="O1683" i="38"/>
  <c r="O1684" i="38"/>
  <c r="O1685" i="38"/>
  <c r="O1687" i="38"/>
  <c r="O1688" i="38"/>
  <c r="O1689" i="38"/>
  <c r="O1690" i="38"/>
  <c r="O1691" i="38"/>
  <c r="O1692" i="38"/>
  <c r="O1693" i="38"/>
  <c r="O1695" i="38"/>
  <c r="O1696" i="38"/>
  <c r="O1697" i="38"/>
  <c r="O1698" i="38"/>
  <c r="O1699" i="38"/>
  <c r="O1700" i="38"/>
  <c r="O1701" i="38"/>
  <c r="O1703" i="38"/>
  <c r="O1704" i="38"/>
  <c r="O1705" i="38"/>
  <c r="O1706" i="38"/>
  <c r="O1707" i="38"/>
  <c r="O1708" i="38"/>
  <c r="O1709" i="38"/>
  <c r="O1711" i="38"/>
  <c r="O1712" i="38"/>
  <c r="O1713" i="38"/>
  <c r="O1714" i="38"/>
  <c r="O1715" i="38"/>
  <c r="O1716" i="38"/>
  <c r="O1717" i="38"/>
  <c r="O1719" i="38"/>
  <c r="O1720" i="38"/>
  <c r="O1721" i="38"/>
  <c r="O1722" i="38"/>
  <c r="O1723" i="38"/>
  <c r="O1724" i="38"/>
  <c r="O1725" i="38"/>
  <c r="O1727" i="38"/>
  <c r="O1728" i="38"/>
  <c r="O1729" i="38"/>
  <c r="O1730" i="38"/>
  <c r="O1731" i="38"/>
  <c r="O1732" i="38"/>
  <c r="O1733" i="38"/>
  <c r="O1735" i="38"/>
  <c r="O1736" i="38"/>
  <c r="O1737" i="38"/>
  <c r="O1738" i="38"/>
  <c r="O1739" i="38"/>
  <c r="O1740" i="38"/>
  <c r="O1741" i="38"/>
  <c r="O1743" i="38"/>
  <c r="O1744" i="38"/>
  <c r="O1745" i="38"/>
  <c r="O1746" i="38"/>
  <c r="O1747" i="38"/>
  <c r="O1748" i="38"/>
  <c r="O1749" i="38"/>
  <c r="O1751" i="38"/>
  <c r="O1752" i="38"/>
  <c r="O1753" i="38"/>
  <c r="O1754" i="38"/>
  <c r="O1755" i="38"/>
  <c r="O1756" i="38"/>
  <c r="O1757" i="38"/>
  <c r="O1759" i="38"/>
  <c r="O1760" i="38"/>
  <c r="O1761" i="38"/>
  <c r="O1762" i="38"/>
  <c r="O1763" i="38"/>
  <c r="O1764" i="38"/>
  <c r="O1765" i="38"/>
  <c r="O1767" i="38"/>
  <c r="O1768" i="38"/>
  <c r="O1769" i="38"/>
  <c r="O1770" i="38"/>
  <c r="O1771" i="38"/>
  <c r="O1772" i="38"/>
  <c r="O1773" i="38"/>
  <c r="O1775" i="38"/>
  <c r="O1776" i="38"/>
  <c r="O1777" i="38"/>
  <c r="O1778" i="38"/>
  <c r="O1779" i="38"/>
  <c r="O1780" i="38"/>
  <c r="O1781" i="38"/>
  <c r="O1783" i="38"/>
  <c r="O1784" i="38"/>
  <c r="O1785" i="38"/>
  <c r="O1786" i="38"/>
  <c r="O1787" i="38"/>
  <c r="O1788" i="38"/>
  <c r="O1789" i="38"/>
  <c r="O1791" i="38"/>
  <c r="O1792" i="38"/>
  <c r="O1793" i="38"/>
  <c r="O1794" i="38"/>
  <c r="O1795" i="38"/>
  <c r="O1796" i="38"/>
  <c r="O1797" i="38"/>
  <c r="O1799" i="38"/>
  <c r="O1800" i="38"/>
  <c r="O1801" i="38"/>
  <c r="O1802" i="38"/>
  <c r="O1803" i="38"/>
  <c r="O1804" i="38"/>
  <c r="O1805" i="38"/>
  <c r="O1807" i="38"/>
  <c r="O1808" i="38"/>
  <c r="O1809" i="38"/>
  <c r="O1810" i="38"/>
  <c r="O1811" i="38"/>
  <c r="O1812" i="38"/>
  <c r="O1813" i="38"/>
  <c r="O1815" i="38"/>
  <c r="O1816" i="38"/>
  <c r="O1817" i="38"/>
  <c r="O1818" i="38"/>
  <c r="O1819" i="38"/>
  <c r="O1820" i="38"/>
  <c r="O1821" i="38"/>
  <c r="O1823" i="38"/>
  <c r="O1824" i="38"/>
  <c r="O1825" i="38"/>
  <c r="O1826" i="38"/>
  <c r="O1827" i="38"/>
  <c r="O1828" i="38"/>
  <c r="O1829" i="38"/>
  <c r="O1831" i="38"/>
  <c r="O1832" i="38"/>
  <c r="O1833" i="38"/>
  <c r="O1834" i="38"/>
  <c r="O1835" i="38"/>
  <c r="O1836" i="38"/>
  <c r="O1837" i="38"/>
  <c r="O1839" i="38"/>
  <c r="O1840" i="38"/>
  <c r="O1841" i="38"/>
  <c r="O1842" i="38"/>
  <c r="O1843" i="38"/>
  <c r="AE1845" i="38"/>
  <c r="O1846" i="38"/>
  <c r="O1847" i="38"/>
  <c r="O1848" i="38"/>
  <c r="O1849" i="38"/>
  <c r="O1850" i="38"/>
  <c r="O1851" i="38"/>
  <c r="O1852" i="38"/>
  <c r="O1853" i="38"/>
  <c r="O1854" i="38"/>
  <c r="O1855" i="38"/>
  <c r="O1856" i="38"/>
  <c r="O1857" i="38"/>
  <c r="O1858" i="38"/>
  <c r="O1859" i="38"/>
  <c r="O1860" i="38"/>
  <c r="O1861" i="38"/>
  <c r="O1862" i="38"/>
  <c r="O1863" i="38"/>
  <c r="O1864" i="38"/>
  <c r="O1865" i="38"/>
  <c r="O1866" i="38"/>
  <c r="O1867" i="38"/>
  <c r="O1868" i="38"/>
  <c r="O1869" i="38"/>
  <c r="O1871" i="38"/>
  <c r="O1872" i="38"/>
  <c r="O1873" i="38"/>
  <c r="O1874" i="38"/>
  <c r="O1876" i="38"/>
  <c r="O1877" i="38"/>
  <c r="O1878" i="38"/>
  <c r="O1879" i="38"/>
  <c r="O1880" i="38"/>
  <c r="O1881" i="38"/>
  <c r="O1882" i="38"/>
  <c r="O1883" i="38"/>
  <c r="L13" i="38"/>
  <c r="L19" i="38"/>
  <c r="AB19" i="38" s="1"/>
  <c r="L24" i="38"/>
  <c r="AB24" i="38" s="1"/>
  <c r="L27" i="38"/>
  <c r="AB27" i="38" s="1"/>
  <c r="L29" i="38"/>
  <c r="L32" i="38"/>
  <c r="AB32" i="38" s="1"/>
  <c r="L35" i="38"/>
  <c r="AB35" i="38" s="1"/>
  <c r="L37" i="38"/>
  <c r="L40" i="38"/>
  <c r="AB40" i="38" s="1"/>
  <c r="L43" i="38"/>
  <c r="AB43" i="38" s="1"/>
  <c r="L45" i="38"/>
  <c r="L48" i="38"/>
  <c r="AB48" i="38" s="1"/>
  <c r="L51" i="38"/>
  <c r="AB51" i="38" s="1"/>
  <c r="L53" i="38"/>
  <c r="L56" i="38"/>
  <c r="AB56" i="38" s="1"/>
  <c r="L61" i="38"/>
  <c r="Y61" i="38" s="1"/>
  <c r="L64" i="38"/>
  <c r="AB64" i="38" s="1"/>
  <c r="L69" i="38"/>
  <c r="L72" i="38"/>
  <c r="AB72" i="38" s="1"/>
  <c r="L75" i="38"/>
  <c r="AB75" i="38" s="1"/>
  <c r="L77" i="38"/>
  <c r="AC77" i="38" s="1"/>
  <c r="L83" i="38"/>
  <c r="AB83" i="38" s="1"/>
  <c r="L85" i="38"/>
  <c r="L88" i="38"/>
  <c r="L91" i="38"/>
  <c r="AB91" i="38" s="1"/>
  <c r="L93" i="38"/>
  <c r="L96" i="38"/>
  <c r="L99" i="38"/>
  <c r="AB99" i="38" s="1"/>
  <c r="L101" i="38"/>
  <c r="L104" i="38"/>
  <c r="L107" i="38"/>
  <c r="AB107" i="38" s="1"/>
  <c r="L109" i="38"/>
  <c r="L112" i="38"/>
  <c r="AB112" i="38" s="1"/>
  <c r="L115" i="38"/>
  <c r="AB115" i="38" s="1"/>
  <c r="L117" i="38"/>
  <c r="L120" i="38"/>
  <c r="AB120" i="38" s="1"/>
  <c r="L123" i="38"/>
  <c r="AB123" i="38" s="1"/>
  <c r="L125" i="38"/>
  <c r="AB125" i="38" s="1"/>
  <c r="L128" i="38"/>
  <c r="AB128" i="38" s="1"/>
  <c r="L131" i="38"/>
  <c r="AB131" i="38" s="1"/>
  <c r="L133" i="38"/>
  <c r="L136" i="38"/>
  <c r="AB136" i="38" s="1"/>
  <c r="L139" i="38"/>
  <c r="AB139" i="38" s="1"/>
  <c r="L141" i="38"/>
  <c r="AB141" i="38" s="1"/>
  <c r="L144" i="38"/>
  <c r="AB144" i="38" s="1"/>
  <c r="L147" i="38"/>
  <c r="AB147" i="38" s="1"/>
  <c r="L149" i="38"/>
  <c r="L152" i="38"/>
  <c r="AB152" i="38" s="1"/>
  <c r="L157" i="38"/>
  <c r="L160" i="38"/>
  <c r="L165" i="38"/>
  <c r="L168" i="38"/>
  <c r="AB168" i="38" s="1"/>
  <c r="L171" i="38"/>
  <c r="AB171" i="38" s="1"/>
  <c r="L173" i="38"/>
  <c r="Y173" i="38" s="1"/>
  <c r="L176" i="38"/>
  <c r="AB176" i="38" s="1"/>
  <c r="L179" i="38"/>
  <c r="AB179" i="38" s="1"/>
  <c r="L181" i="38"/>
  <c r="L184" i="38"/>
  <c r="AB184" i="38" s="1"/>
  <c r="L187" i="38"/>
  <c r="AB187" i="38" s="1"/>
  <c r="L189" i="38"/>
  <c r="AB189" i="38" s="1"/>
  <c r="L192" i="38"/>
  <c r="AB192" i="38" s="1"/>
  <c r="L195" i="38"/>
  <c r="AB195" i="38" s="1"/>
  <c r="L197" i="38"/>
  <c r="AC197" i="38" s="1"/>
  <c r="L200" i="38"/>
  <c r="AB200" i="38" s="1"/>
  <c r="L203" i="38"/>
  <c r="AB203" i="38" s="1"/>
  <c r="L205" i="38"/>
  <c r="L207" i="38"/>
  <c r="AB207" i="38" s="1"/>
  <c r="L210" i="38"/>
  <c r="AB210" i="38" s="1"/>
  <c r="L213" i="38"/>
  <c r="L215" i="38"/>
  <c r="AB215" i="38" s="1"/>
  <c r="L218" i="38"/>
  <c r="AB218" i="38" s="1"/>
  <c r="L221" i="38"/>
  <c r="AB221" i="38" s="1"/>
  <c r="L223" i="38"/>
  <c r="AB223" i="38" s="1"/>
  <c r="L226" i="38"/>
  <c r="AB226" i="38" s="1"/>
  <c r="L229" i="38"/>
  <c r="Y229" i="38" s="1"/>
  <c r="L231" i="38"/>
  <c r="Y231" i="38" s="1"/>
  <c r="L234" i="38"/>
  <c r="Y234" i="38" s="1"/>
  <c r="L236" i="38"/>
  <c r="AB236" i="38" s="1"/>
  <c r="L244" i="38"/>
  <c r="AB244" i="38" s="1"/>
  <c r="L250" i="38"/>
  <c r="L252" i="38"/>
  <c r="L258" i="38"/>
  <c r="L263" i="38"/>
  <c r="AB263" i="38" s="1"/>
  <c r="L266" i="38"/>
  <c r="AC266" i="38" s="1"/>
  <c r="L281" i="38"/>
  <c r="AB281" i="38" s="1"/>
  <c r="L289" i="38"/>
  <c r="AB289" i="38" s="1"/>
  <c r="L297" i="38"/>
  <c r="AB297" i="38" s="1"/>
  <c r="L305" i="38"/>
  <c r="AB305" i="38" s="1"/>
  <c r="L313" i="38"/>
  <c r="L321" i="38"/>
  <c r="L329" i="38"/>
  <c r="L337" i="38"/>
  <c r="AB337" i="38" s="1"/>
  <c r="L345" i="38"/>
  <c r="L353" i="38"/>
  <c r="L361" i="38"/>
  <c r="AB361" i="38" s="1"/>
  <c r="L369" i="38"/>
  <c r="AB369" i="38" s="1"/>
  <c r="L377" i="38"/>
  <c r="L385" i="38"/>
  <c r="AB385" i="38" s="1"/>
  <c r="L393" i="38"/>
  <c r="L401" i="38"/>
  <c r="AB401" i="38" s="1"/>
  <c r="L409" i="38"/>
  <c r="L417" i="38"/>
  <c r="AB417" i="38" s="1"/>
  <c r="L425" i="38"/>
  <c r="AB425" i="38" s="1"/>
  <c r="L435" i="38"/>
  <c r="AB435" i="38" s="1"/>
  <c r="L443" i="38"/>
  <c r="AB443" i="38" s="1"/>
  <c r="L451" i="38"/>
  <c r="AB451" i="38" s="1"/>
  <c r="L459" i="38"/>
  <c r="AB459" i="38" s="1"/>
  <c r="L467" i="38"/>
  <c r="L475" i="38"/>
  <c r="L480" i="38"/>
  <c r="Y480" i="38" s="1"/>
  <c r="L483" i="38"/>
  <c r="L491" i="38"/>
  <c r="L504" i="38"/>
  <c r="Y504" i="38" s="1"/>
  <c r="L523" i="38"/>
  <c r="L528" i="38"/>
  <c r="Y528" i="38" s="1"/>
  <c r="L539" i="38"/>
  <c r="AB539" i="38" s="1"/>
  <c r="L544" i="38"/>
  <c r="L547" i="38"/>
  <c r="AB547" i="38" s="1"/>
  <c r="L555" i="38"/>
  <c r="AB555" i="38" s="1"/>
  <c r="L563" i="38"/>
  <c r="AB563" i="38" s="1"/>
  <c r="L568" i="38"/>
  <c r="L579" i="38"/>
  <c r="AB579" i="38" s="1"/>
  <c r="L584" i="38"/>
  <c r="AB584" i="38" s="1"/>
  <c r="L587" i="38"/>
  <c r="AB587" i="38" s="1"/>
  <c r="L595" i="38"/>
  <c r="AB595" i="38" s="1"/>
  <c r="L600" i="38"/>
  <c r="AB600" i="38" s="1"/>
  <c r="L603" i="38"/>
  <c r="AB603" i="38" s="1"/>
  <c r="L608" i="38"/>
  <c r="AB608" i="38" s="1"/>
  <c r="L611" i="38"/>
  <c r="L616" i="38"/>
  <c r="L619" i="38"/>
  <c r="AB619" i="38" s="1"/>
  <c r="L624" i="38"/>
  <c r="AB624" i="38" s="1"/>
  <c r="L627" i="38"/>
  <c r="AB627" i="38" s="1"/>
  <c r="L632" i="38"/>
  <c r="L635" i="38"/>
  <c r="L640" i="38"/>
  <c r="AB640" i="38" s="1"/>
  <c r="L643" i="38"/>
  <c r="AB643" i="38" s="1"/>
  <c r="L648" i="38"/>
  <c r="AC648" i="38" s="1"/>
  <c r="L651" i="38"/>
  <c r="AB651" i="38" s="1"/>
  <c r="L656" i="38"/>
  <c r="AB656" i="38" s="1"/>
  <c r="L659" i="38"/>
  <c r="AB659" i="38" s="1"/>
  <c r="L664" i="38"/>
  <c r="AB664" i="38" s="1"/>
  <c r="L667" i="38"/>
  <c r="AB667" i="38" s="1"/>
  <c r="L672" i="38"/>
  <c r="AB672" i="38" s="1"/>
  <c r="L675" i="38"/>
  <c r="AB675" i="38" s="1"/>
  <c r="L680" i="38"/>
  <c r="AB680" i="38" s="1"/>
  <c r="L683" i="38"/>
  <c r="AB683" i="38" s="1"/>
  <c r="L688" i="38"/>
  <c r="AB688" i="38" s="1"/>
  <c r="L691" i="38"/>
  <c r="AB691" i="38" s="1"/>
  <c r="L696" i="38"/>
  <c r="L699" i="38"/>
  <c r="AB699" i="38" s="1"/>
  <c r="L704" i="38"/>
  <c r="AB704" i="38" s="1"/>
  <c r="L707" i="38"/>
  <c r="AB707" i="38" s="1"/>
  <c r="L712" i="38"/>
  <c r="L715" i="38"/>
  <c r="AB715" i="38" s="1"/>
  <c r="L720" i="38"/>
  <c r="AB720" i="38" s="1"/>
  <c r="L723" i="38"/>
  <c r="AB723" i="38" s="1"/>
  <c r="L728" i="38"/>
  <c r="AB728" i="38" s="1"/>
  <c r="L731" i="38"/>
  <c r="L733" i="38"/>
  <c r="L735" i="38"/>
  <c r="AB735" i="38" s="1"/>
  <c r="L738" i="38"/>
  <c r="AB738" i="38" s="1"/>
  <c r="L741" i="38"/>
  <c r="L743" i="38"/>
  <c r="L746" i="38"/>
  <c r="AB746" i="38" s="1"/>
  <c r="L749" i="38"/>
  <c r="L751" i="38"/>
  <c r="AB751" i="38" s="1"/>
  <c r="L754" i="38"/>
  <c r="AB754" i="38" s="1"/>
  <c r="L757" i="38"/>
  <c r="L759" i="38"/>
  <c r="AB759" i="38" s="1"/>
  <c r="L762" i="38"/>
  <c r="AB762" i="38" s="1"/>
  <c r="L765" i="38"/>
  <c r="L767" i="38"/>
  <c r="AB767" i="38" s="1"/>
  <c r="L770" i="38"/>
  <c r="AB770" i="38" s="1"/>
  <c r="L773" i="38"/>
  <c r="L775" i="38"/>
  <c r="Y775" i="38" s="1"/>
  <c r="L778" i="38"/>
  <c r="Y778" i="38" s="1"/>
  <c r="L781" i="38"/>
  <c r="Y781" i="38" s="1"/>
  <c r="L783" i="38"/>
  <c r="Y783" i="38" s="1"/>
  <c r="L786" i="38"/>
  <c r="Y786" i="38" s="1"/>
  <c r="L789" i="38"/>
  <c r="Y789" i="38" s="1"/>
  <c r="L791" i="38"/>
  <c r="Y791" i="38" s="1"/>
  <c r="L794" i="38"/>
  <c r="Y794" i="38" s="1"/>
  <c r="L797" i="38"/>
  <c r="Y797" i="38" s="1"/>
  <c r="L799" i="38"/>
  <c r="AB799" i="38" s="1"/>
  <c r="L805" i="38"/>
  <c r="Y805" i="38" s="1"/>
  <c r="L810" i="38"/>
  <c r="AB810" i="38" s="1"/>
  <c r="L813" i="38"/>
  <c r="AB813" i="38" s="1"/>
  <c r="L815" i="38"/>
  <c r="AB815" i="38" s="1"/>
  <c r="L818" i="38"/>
  <c r="L821" i="38"/>
  <c r="L823" i="38"/>
  <c r="AB823" i="38" s="1"/>
  <c r="L826" i="38"/>
  <c r="AB826" i="38" s="1"/>
  <c r="L829" i="38"/>
  <c r="L831" i="38"/>
  <c r="AB831" i="38" s="1"/>
  <c r="L834" i="38"/>
  <c r="AB834" i="38" s="1"/>
  <c r="L837" i="38"/>
  <c r="L839" i="38"/>
  <c r="AB839" i="38" s="1"/>
  <c r="L842" i="38"/>
  <c r="AB842" i="38" s="1"/>
  <c r="L845" i="38"/>
  <c r="L847" i="38"/>
  <c r="AB847" i="38" s="1"/>
  <c r="L850" i="38"/>
  <c r="AB850" i="38" s="1"/>
  <c r="L853" i="38"/>
  <c r="L858" i="38"/>
  <c r="AB858" i="38" s="1"/>
  <c r="L861" i="38"/>
  <c r="AB861" i="38" s="1"/>
  <c r="L863" i="38"/>
  <c r="AB863" i="38" s="1"/>
  <c r="L866" i="38"/>
  <c r="AB866" i="38" s="1"/>
  <c r="L869" i="38"/>
  <c r="L871" i="38"/>
  <c r="L874" i="38"/>
  <c r="AB874" i="38" s="1"/>
  <c r="L877" i="38"/>
  <c r="L879" i="38"/>
  <c r="AB879" i="38" s="1"/>
  <c r="L882" i="38"/>
  <c r="AB882" i="38" s="1"/>
  <c r="L885" i="38"/>
  <c r="L887" i="38"/>
  <c r="L890" i="38"/>
  <c r="L893" i="38"/>
  <c r="AB893" i="38" s="1"/>
  <c r="L895" i="38"/>
  <c r="AB895" i="38" s="1"/>
  <c r="L898" i="38"/>
  <c r="AB898" i="38" s="1"/>
  <c r="L901" i="38"/>
  <c r="L903" i="38"/>
  <c r="AB903" i="38" s="1"/>
  <c r="L906" i="38"/>
  <c r="AB906" i="38" s="1"/>
  <c r="L909" i="38"/>
  <c r="L911" i="38"/>
  <c r="AB911" i="38" s="1"/>
  <c r="L914" i="38"/>
  <c r="AB914" i="38" s="1"/>
  <c r="L917" i="38"/>
  <c r="L919" i="38"/>
  <c r="L922" i="38"/>
  <c r="AB922" i="38" s="1"/>
  <c r="L925" i="38"/>
  <c r="Y925" i="38" s="1"/>
  <c r="L927" i="38"/>
  <c r="AB927" i="38" s="1"/>
  <c r="L930" i="38"/>
  <c r="AB930" i="38" s="1"/>
  <c r="L933" i="38"/>
  <c r="L941" i="38"/>
  <c r="L943" i="38"/>
  <c r="AB943" i="38" s="1"/>
  <c r="L946" i="38"/>
  <c r="AB946" i="38" s="1"/>
  <c r="L949" i="38"/>
  <c r="L951" i="38"/>
  <c r="AB951" i="38" s="1"/>
  <c r="L954" i="38"/>
  <c r="L957" i="38"/>
  <c r="L959" i="38"/>
  <c r="AB959" i="38" s="1"/>
  <c r="L962" i="38"/>
  <c r="L965" i="38"/>
  <c r="AC965" i="38" s="1"/>
  <c r="L967" i="38"/>
  <c r="AB967" i="38" s="1"/>
  <c r="L970" i="38"/>
  <c r="AB970" i="38" s="1"/>
  <c r="L973" i="38"/>
  <c r="L975" i="38"/>
  <c r="AB975" i="38" s="1"/>
  <c r="L978" i="38"/>
  <c r="AB978" i="38" s="1"/>
  <c r="L981" i="38"/>
  <c r="L986" i="38"/>
  <c r="L989" i="38"/>
  <c r="Y989" i="38" s="1"/>
  <c r="L991" i="38"/>
  <c r="AB991" i="38" s="1"/>
  <c r="L994" i="38"/>
  <c r="AB994" i="38" s="1"/>
  <c r="L997" i="38"/>
  <c r="L999" i="38"/>
  <c r="AB999" i="38" s="1"/>
  <c r="L1004" i="38"/>
  <c r="L1007" i="38"/>
  <c r="L1009" i="38"/>
  <c r="L1012" i="38"/>
  <c r="L1015" i="38"/>
  <c r="Y1015" i="38" s="1"/>
  <c r="L1020" i="38"/>
  <c r="L1023" i="38"/>
  <c r="Y1023" i="38" s="1"/>
  <c r="L1028" i="38"/>
  <c r="L1031" i="38"/>
  <c r="Y1031" i="38" s="1"/>
  <c r="L1036" i="38"/>
  <c r="L1039" i="38"/>
  <c r="Y1039" i="38" s="1"/>
  <c r="L1044" i="38"/>
  <c r="L1047" i="38"/>
  <c r="Y1047" i="38" s="1"/>
  <c r="L1052" i="38"/>
  <c r="L1055" i="38"/>
  <c r="L1060" i="38"/>
  <c r="L1063" i="38"/>
  <c r="AB1063" i="38" s="1"/>
  <c r="L1068" i="38"/>
  <c r="AB1068" i="38" s="1"/>
  <c r="L1071" i="38"/>
  <c r="L1073" i="38"/>
  <c r="L1076" i="38"/>
  <c r="L1079" i="38"/>
  <c r="AB1079" i="38" s="1"/>
  <c r="L1084" i="38"/>
  <c r="Y1084" i="38" s="1"/>
  <c r="L1087" i="38"/>
  <c r="AB1087" i="38" s="1"/>
  <c r="L1092" i="38"/>
  <c r="AB1092" i="38" s="1"/>
  <c r="L1095" i="38"/>
  <c r="AB1095" i="38" s="1"/>
  <c r="L1100" i="38"/>
  <c r="L1103" i="38"/>
  <c r="L1108" i="38"/>
  <c r="L1111" i="38"/>
  <c r="AB1111" i="38" s="1"/>
  <c r="L1116" i="38"/>
  <c r="AB1116" i="38" s="1"/>
  <c r="L1119" i="38"/>
  <c r="L1124" i="38"/>
  <c r="L1127" i="38"/>
  <c r="AB1127" i="38" s="1"/>
  <c r="L1132" i="38"/>
  <c r="L1135" i="38"/>
  <c r="AB1135" i="38" s="1"/>
  <c r="L1140" i="38"/>
  <c r="L1143" i="38"/>
  <c r="AB1143" i="38" s="1"/>
  <c r="L1148" i="38"/>
  <c r="L1151" i="38"/>
  <c r="L1156" i="38"/>
  <c r="L1159" i="38"/>
  <c r="AB1159" i="38" s="1"/>
  <c r="L1161" i="38"/>
  <c r="L1164" i="38"/>
  <c r="AC1164" i="38" s="1"/>
  <c r="L1167" i="38"/>
  <c r="AB1167" i="38" s="1"/>
  <c r="L1169" i="38"/>
  <c r="L1172" i="38"/>
  <c r="L1175" i="38"/>
  <c r="AB1175" i="38" s="1"/>
  <c r="L1180" i="38"/>
  <c r="AC1180" i="38" s="1"/>
  <c r="L1183" i="38"/>
  <c r="AB1183" i="38" s="1"/>
  <c r="L1188" i="38"/>
  <c r="L1191" i="38"/>
  <c r="AB1191" i="38" s="1"/>
  <c r="L1196" i="38"/>
  <c r="L1199" i="38"/>
  <c r="AB1199" i="38" s="1"/>
  <c r="L1201" i="38"/>
  <c r="L1204" i="38"/>
  <c r="L1207" i="38"/>
  <c r="AB1207" i="38" s="1"/>
  <c r="L1209" i="38"/>
  <c r="L1212" i="38"/>
  <c r="L1215" i="38"/>
  <c r="AB1215" i="38" s="1"/>
  <c r="L1220" i="38"/>
  <c r="L1223" i="38"/>
  <c r="AB1223" i="38" s="1"/>
  <c r="L1225" i="38"/>
  <c r="L1228" i="38"/>
  <c r="L1231" i="38"/>
  <c r="AB1231" i="38" s="1"/>
  <c r="L1233" i="38"/>
  <c r="L1236" i="38"/>
  <c r="L1239" i="38"/>
  <c r="AB1239" i="38" s="1"/>
  <c r="L1244" i="38"/>
  <c r="L1247" i="38"/>
  <c r="AB1247" i="38" s="1"/>
  <c r="L1254" i="38"/>
  <c r="AB1254" i="38" s="1"/>
  <c r="L1257" i="38"/>
  <c r="L1262" i="38"/>
  <c r="AB1262" i="38" s="1"/>
  <c r="L1265" i="38"/>
  <c r="AB1265" i="38" s="1"/>
  <c r="L1270" i="38"/>
  <c r="AB1270" i="38" s="1"/>
  <c r="L1273" i="38"/>
  <c r="AB1273" i="38" s="1"/>
  <c r="L1278" i="38"/>
  <c r="AB1278" i="38" s="1"/>
  <c r="L1281" i="38"/>
  <c r="AB1281" i="38" s="1"/>
  <c r="L1286" i="38"/>
  <c r="AB1286" i="38" s="1"/>
  <c r="L1289" i="38"/>
  <c r="AB1289" i="38" s="1"/>
  <c r="L1294" i="38"/>
  <c r="AC1294" i="38" s="1"/>
  <c r="L1297" i="38"/>
  <c r="AB1297" i="38" s="1"/>
  <c r="L1302" i="38"/>
  <c r="L1305" i="38"/>
  <c r="Y1305" i="38" s="1"/>
  <c r="L1310" i="38"/>
  <c r="Y1310" i="38" s="1"/>
  <c r="L1313" i="38"/>
  <c r="Y1313" i="38" s="1"/>
  <c r="L1318" i="38"/>
  <c r="Y1318" i="38" s="1"/>
  <c r="L1321" i="38"/>
  <c r="Y1321" i="38" s="1"/>
  <c r="L1329" i="38"/>
  <c r="Y1329" i="38" s="1"/>
  <c r="L1334" i="38"/>
  <c r="Y1334" i="38" s="1"/>
  <c r="L1337" i="38"/>
  <c r="Y1337" i="38" s="1"/>
  <c r="L1342" i="38"/>
  <c r="Y1342" i="38" s="1"/>
  <c r="L1345" i="38"/>
  <c r="Y1345" i="38" s="1"/>
  <c r="L1350" i="38"/>
  <c r="Y1350" i="38" s="1"/>
  <c r="L1353" i="38"/>
  <c r="Y1353" i="38" s="1"/>
  <c r="L1358" i="38"/>
  <c r="Y1358" i="38" s="1"/>
  <c r="L1361" i="38"/>
  <c r="Y1361" i="38" s="1"/>
  <c r="L1366" i="38"/>
  <c r="AB1366" i="38" s="1"/>
  <c r="L1369" i="38"/>
  <c r="AB1369" i="38" s="1"/>
  <c r="L1374" i="38"/>
  <c r="AB1374" i="38" s="1"/>
  <c r="L1377" i="38"/>
  <c r="L1382" i="38"/>
  <c r="AB1382" i="38" s="1"/>
  <c r="L1385" i="38"/>
  <c r="AB1385" i="38" s="1"/>
  <c r="L1390" i="38"/>
  <c r="L1393" i="38"/>
  <c r="L1401" i="38"/>
  <c r="AB1401" i="38" s="1"/>
  <c r="L1409" i="38"/>
  <c r="AB1409" i="38" s="1"/>
  <c r="L1417" i="38"/>
  <c r="AB1417" i="38" s="1"/>
  <c r="L1425" i="38"/>
  <c r="AB1425" i="38" s="1"/>
  <c r="L1430" i="38"/>
  <c r="AB1430" i="38" s="1"/>
  <c r="L1433" i="38"/>
  <c r="AB1433" i="38" s="1"/>
  <c r="L1438" i="38"/>
  <c r="AB1438" i="38" s="1"/>
  <c r="L1441" i="38"/>
  <c r="AB1441" i="38" s="1"/>
  <c r="L1446" i="38"/>
  <c r="L1449" i="38"/>
  <c r="AB1449" i="38" s="1"/>
  <c r="L1454" i="38"/>
  <c r="L1457" i="38"/>
  <c r="L1462" i="38"/>
  <c r="AB1462" i="38" s="1"/>
  <c r="L1465" i="38"/>
  <c r="AB1465" i="38" s="1"/>
  <c r="L1470" i="38"/>
  <c r="L1473" i="38"/>
  <c r="L1478" i="38"/>
  <c r="AB1478" i="38" s="1"/>
  <c r="L1486" i="38"/>
  <c r="AB1486" i="38" s="1"/>
  <c r="L1494" i="38"/>
  <c r="L1502" i="38"/>
  <c r="L1518" i="38"/>
  <c r="AB1518" i="38" s="1"/>
  <c r="L1526" i="38"/>
  <c r="AB1526" i="38" s="1"/>
  <c r="L1534" i="38"/>
  <c r="AB1534" i="38" s="1"/>
  <c r="L1542" i="38"/>
  <c r="AB1542" i="38" s="1"/>
  <c r="L1553" i="38"/>
  <c r="AB1553" i="38" s="1"/>
  <c r="L1571" i="38"/>
  <c r="AB1571" i="38" s="1"/>
  <c r="L1611" i="38"/>
  <c r="AB1611" i="38" s="1"/>
  <c r="L1683" i="38"/>
  <c r="AB1683" i="38" s="1"/>
  <c r="L1699" i="38"/>
  <c r="L1795" i="38"/>
  <c r="AB1795" i="38" s="1"/>
  <c r="L80" i="38"/>
  <c r="L802" i="38"/>
  <c r="L938" i="38"/>
  <c r="L1153" i="38"/>
  <c r="AB1153" i="38" s="1"/>
  <c r="L1326" i="38"/>
  <c r="Y1326" i="38" s="1"/>
  <c r="L1510" i="38"/>
  <c r="AB1510" i="38" s="1"/>
  <c r="D100" i="70"/>
  <c r="M100" i="70" s="1"/>
  <c r="L271" i="65"/>
  <c r="I29" i="42"/>
  <c r="I30" i="42"/>
  <c r="I34" i="42"/>
  <c r="I38" i="42"/>
  <c r="AE9" i="38"/>
  <c r="AE11" i="38"/>
  <c r="AE12" i="38"/>
  <c r="AE15" i="38"/>
  <c r="AE17" i="38"/>
  <c r="AE20" i="38"/>
  <c r="AE22" i="38"/>
  <c r="AE25" i="38"/>
  <c r="AE27" i="38"/>
  <c r="AE28" i="38"/>
  <c r="AE30" i="38"/>
  <c r="AE33" i="38"/>
  <c r="AE35" i="38"/>
  <c r="AE36" i="38"/>
  <c r="AE38" i="38"/>
  <c r="AE41" i="38"/>
  <c r="AE43" i="38"/>
  <c r="AE44" i="38"/>
  <c r="AE46" i="38"/>
  <c r="AE49" i="38"/>
  <c r="AE51" i="38"/>
  <c r="AE52" i="38"/>
  <c r="AE54" i="38"/>
  <c r="AE57" i="38"/>
  <c r="AE59" i="38"/>
  <c r="AE60" i="38"/>
  <c r="AE62" i="38"/>
  <c r="AE65" i="38"/>
  <c r="AE67" i="38"/>
  <c r="AE68" i="38"/>
  <c r="AE70" i="38"/>
  <c r="AE73" i="38"/>
  <c r="AE75" i="38"/>
  <c r="AE76" i="38"/>
  <c r="AE78" i="38"/>
  <c r="AE81" i="38"/>
  <c r="AE83" i="38"/>
  <c r="AE84" i="38"/>
  <c r="AE86" i="38"/>
  <c r="AE89" i="38"/>
  <c r="AE91" i="38"/>
  <c r="AE92" i="38"/>
  <c r="AE94" i="38"/>
  <c r="AE97" i="38"/>
  <c r="AE99" i="38"/>
  <c r="AE100" i="38"/>
  <c r="AE102" i="38"/>
  <c r="AE105" i="38"/>
  <c r="AE107" i="38"/>
  <c r="AE108" i="38"/>
  <c r="AE110" i="38"/>
  <c r="AE113" i="38"/>
  <c r="AE115" i="38"/>
  <c r="AE116" i="38"/>
  <c r="AE118" i="38"/>
  <c r="AE121" i="38"/>
  <c r="AE123" i="38"/>
  <c r="AE124" i="38"/>
  <c r="AE126" i="38"/>
  <c r="AE129" i="38"/>
  <c r="AE131" i="38"/>
  <c r="AE132" i="38"/>
  <c r="AE134" i="38"/>
  <c r="AE137" i="38"/>
  <c r="AE139" i="38"/>
  <c r="AE142" i="38"/>
  <c r="AE145" i="38"/>
  <c r="AE147" i="38"/>
  <c r="AE150" i="38"/>
  <c r="AE153" i="38"/>
  <c r="AE155" i="38"/>
  <c r="AE156" i="38"/>
  <c r="AE158" i="38"/>
  <c r="AE161" i="38"/>
  <c r="AE163" i="38"/>
  <c r="AE166" i="38"/>
  <c r="AE169" i="38"/>
  <c r="AE171" i="38"/>
  <c r="AE172" i="38"/>
  <c r="AE174" i="38"/>
  <c r="AE177" i="38"/>
  <c r="AE179" i="38"/>
  <c r="AE180" i="38"/>
  <c r="AE182" i="38"/>
  <c r="AE185" i="38"/>
  <c r="AE187" i="38"/>
  <c r="AE188" i="38"/>
  <c r="AE190" i="38"/>
  <c r="AE193" i="38"/>
  <c r="AE195" i="38"/>
  <c r="AE196" i="38"/>
  <c r="AE198" i="38"/>
  <c r="AE201" i="38"/>
  <c r="AE203" i="38"/>
  <c r="AE205" i="38"/>
  <c r="AE206" i="38"/>
  <c r="AE208" i="38"/>
  <c r="AE209" i="38"/>
  <c r="AE211" i="38"/>
  <c r="AE213" i="38"/>
  <c r="AE214" i="38"/>
  <c r="AE216" i="38"/>
  <c r="AE217" i="38"/>
  <c r="AE219" i="38"/>
  <c r="AE221" i="38"/>
  <c r="AE222" i="38"/>
  <c r="AE224" i="38"/>
  <c r="AE225" i="38"/>
  <c r="AE227" i="38"/>
  <c r="AE229" i="38"/>
  <c r="AE230" i="38"/>
  <c r="AE232" i="38"/>
  <c r="AE233" i="38"/>
  <c r="AE235" i="38"/>
  <c r="AE240" i="38"/>
  <c r="AE241" i="38"/>
  <c r="AE242" i="38"/>
  <c r="AE244" i="38"/>
  <c r="AE248" i="38"/>
  <c r="AE249" i="38"/>
  <c r="AE250" i="38"/>
  <c r="AE252" i="38"/>
  <c r="AE256" i="38"/>
  <c r="AE257" i="38"/>
  <c r="AE258" i="38"/>
  <c r="AE261" i="38"/>
  <c r="AE262" i="38"/>
  <c r="AE264" i="38"/>
  <c r="AE270" i="38"/>
  <c r="AE277" i="38"/>
  <c r="AE279" i="38"/>
  <c r="AE280" i="38"/>
  <c r="AE281" i="38"/>
  <c r="AE287" i="38"/>
  <c r="AE288" i="38"/>
  <c r="AE289" i="38"/>
  <c r="AE295" i="38"/>
  <c r="AE296" i="38"/>
  <c r="AE297" i="38"/>
  <c r="AE303" i="38"/>
  <c r="AE304" i="38"/>
  <c r="AE305" i="38"/>
  <c r="AE311" i="38"/>
  <c r="AE312" i="38"/>
  <c r="AE313" i="38"/>
  <c r="AE319" i="38"/>
  <c r="AE320" i="38"/>
  <c r="AE321" i="38"/>
  <c r="AE327" i="38"/>
  <c r="AE328" i="38"/>
  <c r="AE329" i="38"/>
  <c r="AE335" i="38"/>
  <c r="AE336" i="38"/>
  <c r="AE337" i="38"/>
  <c r="AE343" i="38"/>
  <c r="AE344" i="38"/>
  <c r="AE345" i="38"/>
  <c r="AE351" i="38"/>
  <c r="AE352" i="38"/>
  <c r="AE353" i="38"/>
  <c r="AE359" i="38"/>
  <c r="AE360" i="38"/>
  <c r="AE361" i="38"/>
  <c r="AE367" i="38"/>
  <c r="AE368" i="38"/>
  <c r="AE369" i="38"/>
  <c r="AE375" i="38"/>
  <c r="AE376" i="38"/>
  <c r="AE377" i="38"/>
  <c r="AE383" i="38"/>
  <c r="AE384" i="38"/>
  <c r="AE385" i="38"/>
  <c r="AE391" i="38"/>
  <c r="AE392" i="38"/>
  <c r="AE393" i="38"/>
  <c r="AE399" i="38"/>
  <c r="AE400" i="38"/>
  <c r="AE401" i="38"/>
  <c r="AE407" i="38"/>
  <c r="AE408" i="38"/>
  <c r="AE409" i="38"/>
  <c r="AE410" i="38"/>
  <c r="AE415" i="38"/>
  <c r="AE416" i="38"/>
  <c r="AE417" i="38"/>
  <c r="AE423" i="38"/>
  <c r="AE424" i="38"/>
  <c r="AE425" i="38"/>
  <c r="AE430" i="38"/>
  <c r="AE433" i="38"/>
  <c r="AE434" i="38"/>
  <c r="AE438" i="38"/>
  <c r="AE441" i="38"/>
  <c r="AE442" i="38"/>
  <c r="AE443" i="38"/>
  <c r="AE446" i="38"/>
  <c r="AE449" i="38"/>
  <c r="AE450" i="38"/>
  <c r="AE451" i="38"/>
  <c r="AE454" i="38"/>
  <c r="AE457" i="38"/>
  <c r="AE458" i="38"/>
  <c r="AE459" i="38"/>
  <c r="AE462" i="38"/>
  <c r="AE465" i="38"/>
  <c r="AE466" i="38"/>
  <c r="AE467" i="38"/>
  <c r="AE470" i="38"/>
  <c r="AE473" i="38"/>
  <c r="AE474" i="38"/>
  <c r="AE475" i="38"/>
  <c r="AE478" i="38"/>
  <c r="AE481" i="38"/>
  <c r="AE483" i="38"/>
  <c r="AE486" i="38"/>
  <c r="AE489" i="38"/>
  <c r="AE490" i="38"/>
  <c r="AE491" i="38"/>
  <c r="AE494" i="38"/>
  <c r="AE497" i="38"/>
  <c r="AE498" i="38"/>
  <c r="AE499" i="38"/>
  <c r="AE502" i="38"/>
  <c r="AE505" i="38"/>
  <c r="AE506" i="38"/>
  <c r="AE507" i="38"/>
  <c r="AE510" i="38"/>
  <c r="AE513" i="38"/>
  <c r="AE514" i="38"/>
  <c r="AE515" i="38"/>
  <c r="AE521" i="38"/>
  <c r="AE522" i="38"/>
  <c r="AE523" i="38"/>
  <c r="AE526" i="38"/>
  <c r="AE529" i="38"/>
  <c r="AE530" i="38"/>
  <c r="AE532" i="38"/>
  <c r="AE534" i="38"/>
  <c r="AE537" i="38"/>
  <c r="AE538" i="38"/>
  <c r="AE540" i="38"/>
  <c r="AE542" i="38"/>
  <c r="AE545" i="38"/>
  <c r="AE546" i="38"/>
  <c r="AE548" i="38"/>
  <c r="AE550" i="38"/>
  <c r="AE553" i="38"/>
  <c r="AE554" i="38"/>
  <c r="AE555" i="38"/>
  <c r="AE556" i="38"/>
  <c r="AE558" i="38"/>
  <c r="AE561" i="38"/>
  <c r="AE562" i="38"/>
  <c r="AE563" i="38"/>
  <c r="AE564" i="38"/>
  <c r="AE566" i="38"/>
  <c r="AE569" i="38"/>
  <c r="AE570" i="38"/>
  <c r="AE571" i="38"/>
  <c r="AE572" i="38"/>
  <c r="AE574" i="38"/>
  <c r="AE577" i="38"/>
  <c r="AE578" i="38"/>
  <c r="AE579" i="38"/>
  <c r="AE580" i="38"/>
  <c r="AE582" i="38"/>
  <c r="AE583" i="38"/>
  <c r="AE585" i="38"/>
  <c r="AE588" i="38"/>
  <c r="AE590" i="38"/>
  <c r="AE591" i="38"/>
  <c r="AE593" i="38"/>
  <c r="AE595" i="38"/>
  <c r="AE596" i="38"/>
  <c r="AE598" i="38"/>
  <c r="AE601" i="38"/>
  <c r="AE603" i="38"/>
  <c r="AE604" i="38"/>
  <c r="AE606" i="38"/>
  <c r="AE609" i="38"/>
  <c r="AE611" i="38"/>
  <c r="AE612" i="38"/>
  <c r="AE614" i="38"/>
  <c r="AE617" i="38"/>
  <c r="AE619" i="38"/>
  <c r="AE620" i="38"/>
  <c r="AE622" i="38"/>
  <c r="AE625" i="38"/>
  <c r="AE627" i="38"/>
  <c r="AE628" i="38"/>
  <c r="AE630" i="38"/>
  <c r="AE633" i="38"/>
  <c r="AE635" i="38"/>
  <c r="AE636" i="38"/>
  <c r="AE638" i="38"/>
  <c r="AE641" i="38"/>
  <c r="AE643" i="38"/>
  <c r="AE644" i="38"/>
  <c r="AE646" i="38"/>
  <c r="AE649" i="38"/>
  <c r="AE651" i="38"/>
  <c r="AE652" i="38"/>
  <c r="AE654" i="38"/>
  <c r="AE657" i="38"/>
  <c r="AE659" i="38"/>
  <c r="AE660" i="38"/>
  <c r="AE662" i="38"/>
  <c r="AE665" i="38"/>
  <c r="AE667" i="38"/>
  <c r="AE668" i="38"/>
  <c r="AE670" i="38"/>
  <c r="AE673" i="38"/>
  <c r="AE675" i="38"/>
  <c r="AE676" i="38"/>
  <c r="AE678" i="38"/>
  <c r="AE681" i="38"/>
  <c r="AE683" i="38"/>
  <c r="AE684" i="38"/>
  <c r="AE686" i="38"/>
  <c r="AE689" i="38"/>
  <c r="AE691" i="38"/>
  <c r="AE692" i="38"/>
  <c r="AE694" i="38"/>
  <c r="AE697" i="38"/>
  <c r="AE699" i="38"/>
  <c r="AE700" i="38"/>
  <c r="AE702" i="38"/>
  <c r="AE705" i="38"/>
  <c r="AE707" i="38"/>
  <c r="AE708" i="38"/>
  <c r="AE710" i="38"/>
  <c r="AE713" i="38"/>
  <c r="AE715" i="38"/>
  <c r="AE716" i="38"/>
  <c r="AE718" i="38"/>
  <c r="AE721" i="38"/>
  <c r="AE723" i="38"/>
  <c r="AE724" i="38"/>
  <c r="AE726" i="38"/>
  <c r="AE729" i="38"/>
  <c r="AE731" i="38"/>
  <c r="AE732" i="38"/>
  <c r="AE733" i="38"/>
  <c r="AE734" i="38"/>
  <c r="AE736" i="38"/>
  <c r="AE739" i="38"/>
  <c r="AE741" i="38"/>
  <c r="AE742" i="38"/>
  <c r="AE744" i="38"/>
  <c r="AE747" i="38"/>
  <c r="AE749" i="38"/>
  <c r="AE750" i="38"/>
  <c r="AE752" i="38"/>
  <c r="AE755" i="38"/>
  <c r="AE757" i="38"/>
  <c r="AE758" i="38"/>
  <c r="AE760" i="38"/>
  <c r="AE763" i="38"/>
  <c r="AE765" i="38"/>
  <c r="AE766" i="38"/>
  <c r="AE768" i="38"/>
  <c r="AE771" i="38"/>
  <c r="AE773" i="38"/>
  <c r="AE774" i="38"/>
  <c r="AE776" i="38"/>
  <c r="AE779" i="38"/>
  <c r="AE781" i="38"/>
  <c r="AE782" i="38"/>
  <c r="AE784" i="38"/>
  <c r="AE787" i="38"/>
  <c r="AE789" i="38"/>
  <c r="AE790" i="38"/>
  <c r="AE792" i="38"/>
  <c r="AE795" i="38"/>
  <c r="AE797" i="38"/>
  <c r="AE798" i="38"/>
  <c r="AE800" i="38"/>
  <c r="AE803" i="38"/>
  <c r="AE805" i="38"/>
  <c r="AE806" i="38"/>
  <c r="AE808" i="38"/>
  <c r="AE811" i="38"/>
  <c r="AE813" i="38"/>
  <c r="AE814" i="38"/>
  <c r="AE816" i="38"/>
  <c r="AE819" i="38"/>
  <c r="AE821" i="38"/>
  <c r="AE822" i="38"/>
  <c r="AE824" i="38"/>
  <c r="AE827" i="38"/>
  <c r="AE829" i="38"/>
  <c r="AE830" i="38"/>
  <c r="AE832" i="38"/>
  <c r="AE835" i="38"/>
  <c r="AE837" i="38"/>
  <c r="AE838" i="38"/>
  <c r="AE840" i="38"/>
  <c r="AE843" i="38"/>
  <c r="AE845" i="38"/>
  <c r="AE846" i="38"/>
  <c r="AE848" i="38"/>
  <c r="AE851" i="38"/>
  <c r="AE853" i="38"/>
  <c r="AE854" i="38"/>
  <c r="AE856" i="38"/>
  <c r="AE859" i="38"/>
  <c r="AE861" i="38"/>
  <c r="AE862" i="38"/>
  <c r="AE864" i="38"/>
  <c r="AE867" i="38"/>
  <c r="AE869" i="38"/>
  <c r="AE870" i="38"/>
  <c r="AE872" i="38"/>
  <c r="AE875" i="38"/>
  <c r="AE877" i="38"/>
  <c r="AE878" i="38"/>
  <c r="AE880" i="38"/>
  <c r="AE883" i="38"/>
  <c r="AE885" i="38"/>
  <c r="AE886" i="38"/>
  <c r="AE888" i="38"/>
  <c r="AE891" i="38"/>
  <c r="AE893" i="38"/>
  <c r="AE894" i="38"/>
  <c r="AE896" i="38"/>
  <c r="AE899" i="38"/>
  <c r="AE901" i="38"/>
  <c r="AE902" i="38"/>
  <c r="AE904" i="38"/>
  <c r="AE907" i="38"/>
  <c r="AE909" i="38"/>
  <c r="AE910" i="38"/>
  <c r="AE912" i="38"/>
  <c r="AE915" i="38"/>
  <c r="AE917" i="38"/>
  <c r="AE918" i="38"/>
  <c r="AE920" i="38"/>
  <c r="AE923" i="38"/>
  <c r="AE925" i="38"/>
  <c r="AE926" i="38"/>
  <c r="AE928" i="38"/>
  <c r="AE931" i="38"/>
  <c r="AE933" i="38"/>
  <c r="AE934" i="38"/>
  <c r="AE936" i="38"/>
  <c r="AE939" i="38"/>
  <c r="AE941" i="38"/>
  <c r="AE942" i="38"/>
  <c r="AE944" i="38"/>
  <c r="AE947" i="38"/>
  <c r="AE949" i="38"/>
  <c r="AE950" i="38"/>
  <c r="AE952" i="38"/>
  <c r="AE955" i="38"/>
  <c r="AE957" i="38"/>
  <c r="AE958" i="38"/>
  <c r="AE960" i="38"/>
  <c r="AE963" i="38"/>
  <c r="AE965" i="38"/>
  <c r="AE966" i="38"/>
  <c r="AE968" i="38"/>
  <c r="AE971" i="38"/>
  <c r="AE973" i="38"/>
  <c r="AE974" i="38"/>
  <c r="AE976" i="38"/>
  <c r="AE979" i="38"/>
  <c r="AE981" i="38"/>
  <c r="AE982" i="38"/>
  <c r="AE984" i="38"/>
  <c r="AE987" i="38"/>
  <c r="AE989" i="38"/>
  <c r="AE990" i="38"/>
  <c r="AE992" i="38"/>
  <c r="AE995" i="38"/>
  <c r="AE997" i="38"/>
  <c r="AE998" i="38"/>
  <c r="AE999" i="38"/>
  <c r="AE1000" i="38"/>
  <c r="AE1002" i="38"/>
  <c r="AE1005" i="38"/>
  <c r="AE1006" i="38"/>
  <c r="AE1007" i="38"/>
  <c r="AE1008" i="38"/>
  <c r="AE1010" i="38"/>
  <c r="AE1013" i="38"/>
  <c r="AE1014" i="38"/>
  <c r="AE1015" i="38"/>
  <c r="AE1016" i="38"/>
  <c r="AE1018" i="38"/>
  <c r="AE1021" i="38"/>
  <c r="AE1022" i="38"/>
  <c r="AE1023" i="38"/>
  <c r="AE1024" i="38"/>
  <c r="AE1026" i="38"/>
  <c r="AE1029" i="38"/>
  <c r="AE1030" i="38"/>
  <c r="AE1031" i="38"/>
  <c r="AE1032" i="38"/>
  <c r="AE1034" i="38"/>
  <c r="AE1037" i="38"/>
  <c r="AE1038" i="38"/>
  <c r="AE1039" i="38"/>
  <c r="AE1040" i="38"/>
  <c r="AE1042" i="38"/>
  <c r="AE1045" i="38"/>
  <c r="AE1046" i="38"/>
  <c r="AE1047" i="38"/>
  <c r="AE1048" i="38"/>
  <c r="AE1050" i="38"/>
  <c r="AE1053" i="38"/>
  <c r="AE1054" i="38"/>
  <c r="AE1055" i="38"/>
  <c r="AE1056" i="38"/>
  <c r="AE1058" i="38"/>
  <c r="AE1061" i="38"/>
  <c r="AE1062" i="38"/>
  <c r="AE1063" i="38"/>
  <c r="AE1064" i="38"/>
  <c r="AE1066" i="38"/>
  <c r="AE1069" i="38"/>
  <c r="AE1070" i="38"/>
  <c r="AE1071" i="38"/>
  <c r="AE1072" i="38"/>
  <c r="AE1074" i="38"/>
  <c r="AE1077" i="38"/>
  <c r="AE1078" i="38"/>
  <c r="AE1079" i="38"/>
  <c r="AE1080" i="38"/>
  <c r="AE1082" i="38"/>
  <c r="AE1085" i="38"/>
  <c r="AE1086" i="38"/>
  <c r="AE1087" i="38"/>
  <c r="AE1088" i="38"/>
  <c r="AE1090" i="38"/>
  <c r="AE1093" i="38"/>
  <c r="AE1094" i="38"/>
  <c r="AE1095" i="38"/>
  <c r="AE1096" i="38"/>
  <c r="AE1098" i="38"/>
  <c r="AE1101" i="38"/>
  <c r="AE1102" i="38"/>
  <c r="AE1103" i="38"/>
  <c r="AE1104" i="38"/>
  <c r="AE1106" i="38"/>
  <c r="AE1109" i="38"/>
  <c r="AE1110" i="38"/>
  <c r="AE1111" i="38"/>
  <c r="AE1112" i="38"/>
  <c r="AE1114" i="38"/>
  <c r="AE1117" i="38"/>
  <c r="AE1118" i="38"/>
  <c r="AE1119" i="38"/>
  <c r="AE1120" i="38"/>
  <c r="AE1122" i="38"/>
  <c r="AE1125" i="38"/>
  <c r="AE1126" i="38"/>
  <c r="AE1127" i="38"/>
  <c r="AE1128" i="38"/>
  <c r="AE1130" i="38"/>
  <c r="AE1133" i="38"/>
  <c r="AE1134" i="38"/>
  <c r="AE1135" i="38"/>
  <c r="AE1136" i="38"/>
  <c r="AE1138" i="38"/>
  <c r="AE1141" i="38"/>
  <c r="AE1142" i="38"/>
  <c r="AE1143" i="38"/>
  <c r="AE1144" i="38"/>
  <c r="AE1146" i="38"/>
  <c r="AE1149" i="38"/>
  <c r="AE1150" i="38"/>
  <c r="AE1151" i="38"/>
  <c r="AE1152" i="38"/>
  <c r="AE1154" i="38"/>
  <c r="AE1157" i="38"/>
  <c r="AE1158" i="38"/>
  <c r="AE1159" i="38"/>
  <c r="AE1160" i="38"/>
  <c r="AE1162" i="38"/>
  <c r="AE1165" i="38"/>
  <c r="AE1166" i="38"/>
  <c r="AE1167" i="38"/>
  <c r="AE1168" i="38"/>
  <c r="AE1170" i="38"/>
  <c r="AE1173" i="38"/>
  <c r="AE1174" i="38"/>
  <c r="AE1175" i="38"/>
  <c r="AE1176" i="38"/>
  <c r="AE1178" i="38"/>
  <c r="AE1181" i="38"/>
  <c r="AE1182" i="38"/>
  <c r="AE1183" i="38"/>
  <c r="AE1184" i="38"/>
  <c r="AE1186" i="38"/>
  <c r="AE1189" i="38"/>
  <c r="AE1190" i="38"/>
  <c r="AE1191" i="38"/>
  <c r="AE1192" i="38"/>
  <c r="AE1194" i="38"/>
  <c r="AE1197" i="38"/>
  <c r="AE1198" i="38"/>
  <c r="AE1199" i="38"/>
  <c r="AE1200" i="38"/>
  <c r="AE1202" i="38"/>
  <c r="AE1205" i="38"/>
  <c r="AE1206" i="38"/>
  <c r="AE1207" i="38"/>
  <c r="AE1208" i="38"/>
  <c r="AE1210" i="38"/>
  <c r="AE1213" i="38"/>
  <c r="AE1214" i="38"/>
  <c r="AE1215" i="38"/>
  <c r="AE1216" i="38"/>
  <c r="AE1218" i="38"/>
  <c r="AE1221" i="38"/>
  <c r="AE1222" i="38"/>
  <c r="AE1223" i="38"/>
  <c r="AE1224" i="38"/>
  <c r="AE1226" i="38"/>
  <c r="AE1229" i="38"/>
  <c r="AE1230" i="38"/>
  <c r="AE1231" i="38"/>
  <c r="AE1232" i="38"/>
  <c r="AE1234" i="38"/>
  <c r="AE1237" i="38"/>
  <c r="AE1238" i="38"/>
  <c r="AE1239" i="38"/>
  <c r="AE1240" i="38"/>
  <c r="AE1242" i="38"/>
  <c r="AE1245" i="38"/>
  <c r="AE1246" i="38"/>
  <c r="AE1247" i="38"/>
  <c r="AE1248" i="38"/>
  <c r="AE1250" i="38"/>
  <c r="AE1252" i="38"/>
  <c r="AE1253" i="38"/>
  <c r="AE1255" i="38"/>
  <c r="AE1257" i="38"/>
  <c r="AE1258" i="38"/>
  <c r="AE1260" i="38"/>
  <c r="AE1261" i="38"/>
  <c r="AE1263" i="38"/>
  <c r="AE1265" i="38"/>
  <c r="AE1266" i="38"/>
  <c r="AE1268" i="38"/>
  <c r="AE1269" i="38"/>
  <c r="AE1271" i="38"/>
  <c r="AE1273" i="38"/>
  <c r="AE1274" i="38"/>
  <c r="AE1276" i="38"/>
  <c r="AE1277" i="38"/>
  <c r="AE1279" i="38"/>
  <c r="AE1281" i="38"/>
  <c r="AE1282" i="38"/>
  <c r="AE1284" i="38"/>
  <c r="AE1285" i="38"/>
  <c r="AE1287" i="38"/>
  <c r="AE1289" i="38"/>
  <c r="AE1290" i="38"/>
  <c r="AE1292" i="38"/>
  <c r="AE1293" i="38"/>
  <c r="AE1295" i="38"/>
  <c r="AE1297" i="38"/>
  <c r="AE1298" i="38"/>
  <c r="AE1301" i="38"/>
  <c r="AE1303" i="38"/>
  <c r="AE1306" i="38"/>
  <c r="AE1308" i="38"/>
  <c r="AE1309" i="38"/>
  <c r="AE1311" i="38"/>
  <c r="AE1313" i="38"/>
  <c r="AE1314" i="38"/>
  <c r="AE1316" i="38"/>
  <c r="AE1317" i="38"/>
  <c r="AE1319" i="38"/>
  <c r="AE1321" i="38"/>
  <c r="AE1324" i="38"/>
  <c r="AE1325" i="38"/>
  <c r="AE1327" i="38"/>
  <c r="AE1329" i="38"/>
  <c r="AE1332" i="38"/>
  <c r="AE1333" i="38"/>
  <c r="AE1335" i="38"/>
  <c r="AE1337" i="38"/>
  <c r="AE1340" i="38"/>
  <c r="AE1341" i="38"/>
  <c r="AE1343" i="38"/>
  <c r="AE1345" i="38"/>
  <c r="AE1348" i="38"/>
  <c r="AE1349" i="38"/>
  <c r="AE1353" i="38"/>
  <c r="AE1356" i="38"/>
  <c r="AE1357" i="38"/>
  <c r="AE1359" i="38"/>
  <c r="AE1361" i="38"/>
  <c r="AE1364" i="38"/>
  <c r="AE1365" i="38"/>
  <c r="AE1367" i="38"/>
  <c r="AE1369" i="38"/>
  <c r="AE1372" i="38"/>
  <c r="AE1373" i="38"/>
  <c r="AE1375" i="38"/>
  <c r="AE1377" i="38"/>
  <c r="AE1380" i="38"/>
  <c r="AE1381" i="38"/>
  <c r="AE1383" i="38"/>
  <c r="AE1385" i="38"/>
  <c r="AE1388" i="38"/>
  <c r="AE1389" i="38"/>
  <c r="AE1391" i="38"/>
  <c r="AE1393" i="38"/>
  <c r="AE1397" i="38"/>
  <c r="AE1399" i="38"/>
  <c r="AE1401" i="38"/>
  <c r="AE1405" i="38"/>
  <c r="AE1407" i="38"/>
  <c r="AE1409" i="38"/>
  <c r="AE1413" i="38"/>
  <c r="AE1415" i="38"/>
  <c r="AE1417" i="38"/>
  <c r="AE1421" i="38"/>
  <c r="AE1423" i="38"/>
  <c r="AE1425" i="38"/>
  <c r="AE1428" i="38"/>
  <c r="AE1429" i="38"/>
  <c r="AE1431" i="38"/>
  <c r="AE1433" i="38"/>
  <c r="AE1436" i="38"/>
  <c r="AE1437" i="38"/>
  <c r="AE1439" i="38"/>
  <c r="AE1441" i="38"/>
  <c r="AE1445" i="38"/>
  <c r="AE1447" i="38"/>
  <c r="AE1452" i="38"/>
  <c r="AE1453" i="38"/>
  <c r="AE1455" i="38"/>
  <c r="AE1457" i="38"/>
  <c r="AE1460" i="38"/>
  <c r="AE1461" i="38"/>
  <c r="AE1463" i="38"/>
  <c r="AE1465" i="38"/>
  <c r="AE1468" i="38"/>
  <c r="AE1469" i="38"/>
  <c r="AE1471" i="38"/>
  <c r="AE1473" i="38"/>
  <c r="AE1476" i="38"/>
  <c r="AE1477" i="38"/>
  <c r="AE1479" i="38"/>
  <c r="AE1481" i="38"/>
  <c r="AE1482" i="38"/>
  <c r="AE1484" i="38"/>
  <c r="AE1485" i="38"/>
  <c r="AE1487" i="38"/>
  <c r="AE1489" i="38"/>
  <c r="AE1490" i="38"/>
  <c r="AE1492" i="38"/>
  <c r="AE1493" i="38"/>
  <c r="AE1495" i="38"/>
  <c r="AE1497" i="38"/>
  <c r="AE1498" i="38"/>
  <c r="AE1500" i="38"/>
  <c r="AE1501" i="38"/>
  <c r="AE1503" i="38"/>
  <c r="AE1505" i="38"/>
  <c r="AE1506" i="38"/>
  <c r="AE1508" i="38"/>
  <c r="AE1509" i="38"/>
  <c r="AE1511" i="38"/>
  <c r="AE1513" i="38"/>
  <c r="AE1514" i="38"/>
  <c r="AE1516" i="38"/>
  <c r="AE1517" i="38"/>
  <c r="AE1519" i="38"/>
  <c r="AE1521" i="38"/>
  <c r="AE1522" i="38"/>
  <c r="AE1524" i="38"/>
  <c r="AE1525" i="38"/>
  <c r="AE1527" i="38"/>
  <c r="AE1529" i="38"/>
  <c r="AE1530" i="38"/>
  <c r="AE1532" i="38"/>
  <c r="AE1533" i="38"/>
  <c r="AE1535" i="38"/>
  <c r="AE1537" i="38"/>
  <c r="AE1538" i="38"/>
  <c r="AE1540" i="38"/>
  <c r="AE1541" i="38"/>
  <c r="AE1543" i="38"/>
  <c r="AE1545" i="38"/>
  <c r="AE1546" i="38"/>
  <c r="AE1548" i="38"/>
  <c r="AE1549" i="38"/>
  <c r="AE1551" i="38"/>
  <c r="AE1553" i="38"/>
  <c r="AE1554" i="38"/>
  <c r="AE1556" i="38"/>
  <c r="AE1557" i="38"/>
  <c r="AE1559" i="38"/>
  <c r="AE1561" i="38"/>
  <c r="AE1562" i="38"/>
  <c r="AE1564" i="38"/>
  <c r="AE1569" i="38"/>
  <c r="AE1570" i="38"/>
  <c r="AE1571" i="38"/>
  <c r="AE1572" i="38"/>
  <c r="AE1577" i="38"/>
  <c r="AE1578" i="38"/>
  <c r="AE1579" i="38"/>
  <c r="AE1580" i="38"/>
  <c r="AE1585" i="38"/>
  <c r="AE1586" i="38"/>
  <c r="AE1587" i="38"/>
  <c r="AE1588" i="38"/>
  <c r="AE1593" i="38"/>
  <c r="AE1594" i="38"/>
  <c r="AE1595" i="38"/>
  <c r="AE1596" i="38"/>
  <c r="AE1601" i="38"/>
  <c r="AE1602" i="38"/>
  <c r="AE1603" i="38"/>
  <c r="AE1604" i="38"/>
  <c r="AE1609" i="38"/>
  <c r="AE1610" i="38"/>
  <c r="AE1611" i="38"/>
  <c r="AE1612" i="38"/>
  <c r="AE1617" i="38"/>
  <c r="AE1618" i="38"/>
  <c r="AE1619" i="38"/>
  <c r="AE1620" i="38"/>
  <c r="AE1625" i="38"/>
  <c r="AE1626" i="38"/>
  <c r="AE1627" i="38"/>
  <c r="AE1628" i="38"/>
  <c r="AE1633" i="38"/>
  <c r="AE1634" i="38"/>
  <c r="AE1635" i="38"/>
  <c r="AE1636" i="38"/>
  <c r="AE1641" i="38"/>
  <c r="AE1642" i="38"/>
  <c r="AE1643" i="38"/>
  <c r="AE1644" i="38"/>
  <c r="AE1649" i="38"/>
  <c r="AE1650" i="38"/>
  <c r="AE1651" i="38"/>
  <c r="AE1652" i="38"/>
  <c r="AE1657" i="38"/>
  <c r="AE1658" i="38"/>
  <c r="AE1659" i="38"/>
  <c r="AE1660" i="38"/>
  <c r="AE1665" i="38"/>
  <c r="AE1666" i="38"/>
  <c r="AE1667" i="38"/>
  <c r="AE1668" i="38"/>
  <c r="AE1673" i="38"/>
  <c r="AE1674" i="38"/>
  <c r="AE1675" i="38"/>
  <c r="AE1676" i="38"/>
  <c r="AE1681" i="38"/>
  <c r="AE1682" i="38"/>
  <c r="AE1683" i="38"/>
  <c r="AE1684" i="38"/>
  <c r="AE1689" i="38"/>
  <c r="AE1690" i="38"/>
  <c r="AE1691" i="38"/>
  <c r="AE1692" i="38"/>
  <c r="AE1697" i="38"/>
  <c r="AE1698" i="38"/>
  <c r="AE1699" i="38"/>
  <c r="AE1700" i="38"/>
  <c r="AE1705" i="38"/>
  <c r="AE1706" i="38"/>
  <c r="AE1707" i="38"/>
  <c r="AE1708" i="38"/>
  <c r="AE1713" i="38"/>
  <c r="AE1714" i="38"/>
  <c r="AE1715" i="38"/>
  <c r="AE1716" i="38"/>
  <c r="AE1721" i="38"/>
  <c r="AE1722" i="38"/>
  <c r="AE1723" i="38"/>
  <c r="AE1724" i="38"/>
  <c r="AE1729" i="38"/>
  <c r="AE1730" i="38"/>
  <c r="AE1731" i="38"/>
  <c r="AE1732" i="38"/>
  <c r="AE1737" i="38"/>
  <c r="AE1738" i="38"/>
  <c r="AE1739" i="38"/>
  <c r="AE1740" i="38"/>
  <c r="AE1745" i="38"/>
  <c r="AE1746" i="38"/>
  <c r="AE1747" i="38"/>
  <c r="AE1748" i="38"/>
  <c r="AE1753" i="38"/>
  <c r="AE1754" i="38"/>
  <c r="AE1755" i="38"/>
  <c r="AE1756" i="38"/>
  <c r="AE1761" i="38"/>
  <c r="AE1762" i="38"/>
  <c r="AE1763" i="38"/>
  <c r="AE1764" i="38"/>
  <c r="AE1769" i="38"/>
  <c r="AE1770" i="38"/>
  <c r="AE1771" i="38"/>
  <c r="AE1772" i="38"/>
  <c r="AE1777" i="38"/>
  <c r="AE1778" i="38"/>
  <c r="AE1779" i="38"/>
  <c r="AE1780" i="38"/>
  <c r="AE1785" i="38"/>
  <c r="AE1786" i="38"/>
  <c r="AE1787" i="38"/>
  <c r="AE1788" i="38"/>
  <c r="AE1793" i="38"/>
  <c r="AE1794" i="38"/>
  <c r="AE1795" i="38"/>
  <c r="AE1796" i="38"/>
  <c r="AE1801" i="38"/>
  <c r="AE1802" i="38"/>
  <c r="AE1803" i="38"/>
  <c r="AE1804" i="38"/>
  <c r="AE1809" i="38"/>
  <c r="AE1810" i="38"/>
  <c r="AE1811" i="38"/>
  <c r="AE1812" i="38"/>
  <c r="AE1817" i="38"/>
  <c r="AE1818" i="38"/>
  <c r="AE1819" i="38"/>
  <c r="AE1820" i="38"/>
  <c r="AE1825" i="38"/>
  <c r="AE1826" i="38"/>
  <c r="AE1827" i="38"/>
  <c r="AE1828" i="38"/>
  <c r="AE1833" i="38"/>
  <c r="AE1834" i="38"/>
  <c r="AE1835" i="38"/>
  <c r="AE1836" i="38"/>
  <c r="AE1841" i="38"/>
  <c r="AE1842" i="38"/>
  <c r="AE1843" i="38"/>
  <c r="AE1844" i="38"/>
  <c r="AE1848" i="38"/>
  <c r="AE1849" i="38"/>
  <c r="AE1851" i="38"/>
  <c r="AE1853" i="38"/>
  <c r="AE1856" i="38"/>
  <c r="AE1857" i="38"/>
  <c r="AE1859" i="38"/>
  <c r="AE1861" i="38"/>
  <c r="AE1864" i="38"/>
  <c r="AE1869" i="38"/>
  <c r="AE1872" i="38"/>
  <c r="AE1873" i="38"/>
  <c r="AE1877" i="38"/>
  <c r="AE1880" i="38"/>
  <c r="AE1881" i="38"/>
  <c r="AE1883" i="38"/>
  <c r="L113" i="70"/>
  <c r="L115" i="70"/>
  <c r="L15" i="70" s="1"/>
  <c r="I37" i="42"/>
  <c r="S141" i="33"/>
  <c r="O30" i="24" s="1"/>
  <c r="R141" i="33"/>
  <c r="N30" i="24" s="1"/>
  <c r="Q141" i="33"/>
  <c r="M30" i="24" s="1"/>
  <c r="P141" i="33"/>
  <c r="L30" i="24" s="1"/>
  <c r="O141" i="33"/>
  <c r="K30" i="24" s="1"/>
  <c r="N141" i="33"/>
  <c r="J30" i="24" s="1"/>
  <c r="M141" i="33"/>
  <c r="I30" i="24" s="1"/>
  <c r="S140" i="33"/>
  <c r="O29" i="24" s="1"/>
  <c r="R140" i="33"/>
  <c r="N29" i="24" s="1"/>
  <c r="Q140" i="33"/>
  <c r="M29" i="24" s="1"/>
  <c r="P140" i="33"/>
  <c r="L29" i="24" s="1"/>
  <c r="O140" i="33"/>
  <c r="K29" i="24" s="1"/>
  <c r="N140" i="33"/>
  <c r="J29" i="24" s="1"/>
  <c r="M140" i="33"/>
  <c r="I29" i="24" s="1"/>
  <c r="S138" i="33"/>
  <c r="O27" i="24" s="1"/>
  <c r="R138" i="33"/>
  <c r="N27" i="24" s="1"/>
  <c r="Q138" i="33"/>
  <c r="M27" i="24" s="1"/>
  <c r="P138" i="33"/>
  <c r="L27" i="24" s="1"/>
  <c r="O138" i="33"/>
  <c r="K27" i="24" s="1"/>
  <c r="N138" i="33"/>
  <c r="J27" i="24" s="1"/>
  <c r="M138" i="33"/>
  <c r="I27" i="24" s="1"/>
  <c r="S137" i="33"/>
  <c r="O26" i="24" s="1"/>
  <c r="R137" i="33"/>
  <c r="N26" i="24" s="1"/>
  <c r="Q137" i="33"/>
  <c r="M26" i="24" s="1"/>
  <c r="P137" i="33"/>
  <c r="L26" i="24" s="1"/>
  <c r="O137" i="33"/>
  <c r="K26" i="24" s="1"/>
  <c r="N137" i="33"/>
  <c r="J26" i="24" s="1"/>
  <c r="M137" i="33"/>
  <c r="I26" i="24" s="1"/>
  <c r="T49" i="10"/>
  <c r="S25" i="33" s="1"/>
  <c r="S49" i="10"/>
  <c r="R25" i="33" s="1"/>
  <c r="R49" i="10"/>
  <c r="Q25" i="33" s="1"/>
  <c r="Q49" i="10"/>
  <c r="P25" i="33" s="1"/>
  <c r="P49" i="10"/>
  <c r="O25" i="33" s="1"/>
  <c r="O49" i="10"/>
  <c r="N25" i="33" s="1"/>
  <c r="N49" i="10"/>
  <c r="M25" i="33" s="1"/>
  <c r="T48" i="10"/>
  <c r="S24" i="33" s="1"/>
  <c r="S48" i="10"/>
  <c r="R24" i="33" s="1"/>
  <c r="R48" i="10"/>
  <c r="Q24" i="33" s="1"/>
  <c r="Q48" i="10"/>
  <c r="P24" i="33" s="1"/>
  <c r="P48" i="10"/>
  <c r="O24" i="33" s="1"/>
  <c r="O48" i="10"/>
  <c r="N24" i="33" s="1"/>
  <c r="N48" i="10"/>
  <c r="M24" i="33" s="1"/>
  <c r="T47" i="10"/>
  <c r="S23" i="33" s="1"/>
  <c r="S47" i="10"/>
  <c r="R23" i="33" s="1"/>
  <c r="R47" i="10"/>
  <c r="Q23" i="33" s="1"/>
  <c r="Q47" i="10"/>
  <c r="P23" i="33" s="1"/>
  <c r="P47" i="10"/>
  <c r="O23" i="33" s="1"/>
  <c r="O47" i="10"/>
  <c r="N23" i="33" s="1"/>
  <c r="N47" i="10"/>
  <c r="M23" i="33" s="1"/>
  <c r="T46" i="10"/>
  <c r="S22" i="33" s="1"/>
  <c r="S46" i="10"/>
  <c r="R22" i="33" s="1"/>
  <c r="R46" i="10"/>
  <c r="Q22" i="33" s="1"/>
  <c r="Q46" i="10"/>
  <c r="P22" i="33" s="1"/>
  <c r="P46" i="10"/>
  <c r="O22" i="33" s="1"/>
  <c r="O46" i="10"/>
  <c r="N22" i="33" s="1"/>
  <c r="N46" i="10"/>
  <c r="M22" i="33" s="1"/>
  <c r="M18" i="46"/>
  <c r="L18" i="46"/>
  <c r="K24" i="46"/>
  <c r="K26" i="46" s="1"/>
  <c r="J24" i="46"/>
  <c r="J26" i="46" s="1"/>
  <c r="I24" i="46"/>
  <c r="I26" i="46" s="1"/>
  <c r="L17" i="46"/>
  <c r="K17" i="46"/>
  <c r="J17" i="46"/>
  <c r="M11" i="46"/>
  <c r="M13" i="46" s="1"/>
  <c r="L11" i="46"/>
  <c r="L13" i="46" s="1"/>
  <c r="K11" i="46"/>
  <c r="K13" i="46" s="1"/>
  <c r="I11" i="46"/>
  <c r="I13" i="46" s="1"/>
  <c r="L6" i="46"/>
  <c r="L8" i="46" s="1"/>
  <c r="J6" i="46"/>
  <c r="J8" i="46" s="1"/>
  <c r="I6" i="46"/>
  <c r="I8" i="46" s="1"/>
  <c r="I27" i="43"/>
  <c r="G27" i="43"/>
  <c r="F27" i="43"/>
  <c r="H26" i="43"/>
  <c r="G26" i="43"/>
  <c r="I24" i="43"/>
  <c r="G24" i="43"/>
  <c r="E24" i="43"/>
  <c r="I23" i="43"/>
  <c r="H23" i="43"/>
  <c r="F23" i="43"/>
  <c r="I22" i="43"/>
  <c r="G22" i="43"/>
  <c r="F22" i="43"/>
  <c r="H21" i="43"/>
  <c r="G21" i="43"/>
  <c r="F21" i="43"/>
  <c r="H38" i="42"/>
  <c r="G38" i="42"/>
  <c r="F38" i="42"/>
  <c r="H34" i="42"/>
  <c r="G34" i="42"/>
  <c r="F34" i="42"/>
  <c r="E34" i="42"/>
  <c r="H30" i="42"/>
  <c r="G30" i="42"/>
  <c r="F30" i="42"/>
  <c r="H29" i="42"/>
  <c r="G29" i="42"/>
  <c r="F29" i="42"/>
  <c r="E29" i="42"/>
  <c r="H28" i="42"/>
  <c r="G28" i="42"/>
  <c r="F28" i="42"/>
  <c r="H26" i="42"/>
  <c r="G26" i="42"/>
  <c r="F26" i="42"/>
  <c r="H25" i="42"/>
  <c r="J271" i="65"/>
  <c r="I271" i="65"/>
  <c r="G24" i="42"/>
  <c r="H23" i="42"/>
  <c r="G23" i="42"/>
  <c r="F23" i="42"/>
  <c r="M14" i="10"/>
  <c r="H11" i="24"/>
  <c r="G11" i="24"/>
  <c r="F22" i="24"/>
  <c r="E22" i="24"/>
  <c r="D50" i="18"/>
  <c r="D49" i="18"/>
  <c r="D48" i="18"/>
  <c r="D47" i="18"/>
  <c r="D51" i="18"/>
  <c r="I57" i="42"/>
  <c r="H57" i="42"/>
  <c r="G57" i="42"/>
  <c r="F57" i="42"/>
  <c r="E57" i="42"/>
  <c r="I53" i="42"/>
  <c r="H53" i="42"/>
  <c r="G53" i="42"/>
  <c r="F53" i="42"/>
  <c r="I52" i="42"/>
  <c r="G52" i="42"/>
  <c r="F52" i="42"/>
  <c r="I51" i="42"/>
  <c r="G51" i="42"/>
  <c r="E51" i="42"/>
  <c r="I49" i="42"/>
  <c r="H49" i="42"/>
  <c r="G49" i="42"/>
  <c r="F49" i="42"/>
  <c r="E49" i="42"/>
  <c r="I48" i="42"/>
  <c r="H48" i="42"/>
  <c r="G48" i="42"/>
  <c r="F48" i="42"/>
  <c r="E48" i="42"/>
  <c r="I47" i="42"/>
  <c r="H47" i="42"/>
  <c r="G47" i="42"/>
  <c r="F47" i="42"/>
  <c r="E47" i="42"/>
  <c r="I46" i="42"/>
  <c r="H46" i="42"/>
  <c r="G46" i="42"/>
  <c r="F46" i="42"/>
  <c r="E46" i="42"/>
  <c r="AD1883" i="38"/>
  <c r="AD1881" i="38"/>
  <c r="AD1880" i="38"/>
  <c r="AD1879" i="38"/>
  <c r="AD1878" i="38"/>
  <c r="AD1877" i="38"/>
  <c r="AD1876" i="38"/>
  <c r="AD1875" i="38"/>
  <c r="AD1874" i="38"/>
  <c r="AD1873" i="38"/>
  <c r="AD1872" i="38"/>
  <c r="AD1871" i="38"/>
  <c r="AD1870" i="38"/>
  <c r="AD1869" i="38"/>
  <c r="AD1868" i="38"/>
  <c r="AD1867" i="38"/>
  <c r="AD1865" i="38"/>
  <c r="AD1864" i="38"/>
  <c r="AD1863" i="38"/>
  <c r="AD1862" i="38"/>
  <c r="AD1861" i="38"/>
  <c r="AD1860" i="38"/>
  <c r="AD1859" i="38"/>
  <c r="AD1858" i="38"/>
  <c r="AD1857" i="38"/>
  <c r="AD1856" i="38"/>
  <c r="AD1855" i="38"/>
  <c r="AD1854" i="38"/>
  <c r="AD1853" i="38"/>
  <c r="AD1852" i="38"/>
  <c r="AD1851" i="38"/>
  <c r="AD1850" i="38"/>
  <c r="AD1849" i="38"/>
  <c r="AD1848" i="38"/>
  <c r="AD1847" i="38"/>
  <c r="AD1846" i="38"/>
  <c r="AD1845" i="38"/>
  <c r="AD1844" i="38"/>
  <c r="AD1843" i="38"/>
  <c r="AD1842" i="38"/>
  <c r="AD1841" i="38"/>
  <c r="AD1840" i="38"/>
  <c r="AD1839" i="38"/>
  <c r="AD1838" i="38"/>
  <c r="AD1837" i="38"/>
  <c r="AD1836" i="38"/>
  <c r="AD1835" i="38"/>
  <c r="AD1834" i="38"/>
  <c r="AD1832" i="38"/>
  <c r="AD1831" i="38"/>
  <c r="AD1830" i="38"/>
  <c r="AD1829" i="38"/>
  <c r="AD1828" i="38"/>
  <c r="AD1827" i="38"/>
  <c r="AD1826" i="38"/>
  <c r="AD1825" i="38"/>
  <c r="AD1824" i="38"/>
  <c r="AD1823" i="38"/>
  <c r="AD1822" i="38"/>
  <c r="AD1821" i="38"/>
  <c r="AD1820" i="38"/>
  <c r="AD1819" i="38"/>
  <c r="AD1818" i="38"/>
  <c r="AD1817" i="38"/>
  <c r="AD1816" i="38"/>
  <c r="AD1815" i="38"/>
  <c r="AD1814" i="38"/>
  <c r="AD1813" i="38"/>
  <c r="AD1812" i="38"/>
  <c r="AD1811" i="38"/>
  <c r="AD1810" i="38"/>
  <c r="AD1809" i="38"/>
  <c r="AD1808" i="38"/>
  <c r="AD1807" i="38"/>
  <c r="AD1806" i="38"/>
  <c r="AD1805" i="38"/>
  <c r="AD1804" i="38"/>
  <c r="AD1803" i="38"/>
  <c r="AD1802" i="38"/>
  <c r="AD1801" i="38"/>
  <c r="AD1800" i="38"/>
  <c r="AD1799" i="38"/>
  <c r="AD1798" i="38"/>
  <c r="AD1797" i="38"/>
  <c r="AD1796" i="38"/>
  <c r="AD1795" i="38"/>
  <c r="AD1794" i="38"/>
  <c r="AD1793" i="38"/>
  <c r="AD1792" i="38"/>
  <c r="AD1791" i="38"/>
  <c r="AD1790" i="38"/>
  <c r="AD1789" i="38"/>
  <c r="AD1788" i="38"/>
  <c r="AD1787" i="38"/>
  <c r="AD1786" i="38"/>
  <c r="AD1785" i="38"/>
  <c r="AD1784" i="38"/>
  <c r="AD1783" i="38"/>
  <c r="AD1782" i="38"/>
  <c r="AD1780" i="38"/>
  <c r="AD1779" i="38"/>
  <c r="AD1778" i="38"/>
  <c r="AD1777" i="38"/>
  <c r="AD1776" i="38"/>
  <c r="AD1775" i="38"/>
  <c r="AD1774" i="38"/>
  <c r="AD1773" i="38"/>
  <c r="AD1772" i="38"/>
  <c r="AD1771" i="38"/>
  <c r="AD1770" i="38"/>
  <c r="AD1769" i="38"/>
  <c r="AD1768" i="38"/>
  <c r="AD1767" i="38"/>
  <c r="AD1766" i="38"/>
  <c r="AD1765" i="38"/>
  <c r="AD1764" i="38"/>
  <c r="AD1763" i="38"/>
  <c r="AD1762" i="38"/>
  <c r="AD1761" i="38"/>
  <c r="AD1760" i="38"/>
  <c r="AD1759" i="38"/>
  <c r="AD1758" i="38"/>
  <c r="AD1757" i="38"/>
  <c r="AD1756" i="38"/>
  <c r="AD1755" i="38"/>
  <c r="AD1754" i="38"/>
  <c r="AD1753" i="38"/>
  <c r="AD1752" i="38"/>
  <c r="AD1751" i="38"/>
  <c r="AD1750" i="38"/>
  <c r="AD1748" i="38"/>
  <c r="AD1747" i="38"/>
  <c r="AD1746" i="38"/>
  <c r="AD1745" i="38"/>
  <c r="AD1744" i="38"/>
  <c r="AD1743" i="38"/>
  <c r="AD1742" i="38"/>
  <c r="AD1741" i="38"/>
  <c r="AD1740" i="38"/>
  <c r="AD1739" i="38"/>
  <c r="AD1738" i="38"/>
  <c r="AD1737" i="38"/>
  <c r="AD1736" i="38"/>
  <c r="AD1735" i="38"/>
  <c r="AD1734" i="38"/>
  <c r="AD1733" i="38"/>
  <c r="AD1732" i="38"/>
  <c r="AD1731" i="38"/>
  <c r="AD1730" i="38"/>
  <c r="AD1729" i="38"/>
  <c r="AD1728" i="38"/>
  <c r="AD1727" i="38"/>
  <c r="AD1726" i="38"/>
  <c r="AD1725" i="38"/>
  <c r="AD1724" i="38"/>
  <c r="AD1723" i="38"/>
  <c r="AD1722" i="38"/>
  <c r="AD1721" i="38"/>
  <c r="AD1720" i="38"/>
  <c r="AD1719" i="38"/>
  <c r="AD1718" i="38"/>
  <c r="AD1717" i="38"/>
  <c r="AD1716" i="38"/>
  <c r="AD1715" i="38"/>
  <c r="AD1714" i="38"/>
  <c r="AD1713" i="38"/>
  <c r="AD1712" i="38"/>
  <c r="AD1711" i="38"/>
  <c r="AD1709" i="38"/>
  <c r="AD1708" i="38"/>
  <c r="AD1707" i="38"/>
  <c r="AD1706" i="38"/>
  <c r="AD1705" i="38"/>
  <c r="AD1704" i="38"/>
  <c r="AD1703" i="38"/>
  <c r="AD1702" i="38"/>
  <c r="AD1701" i="38"/>
  <c r="AD1700" i="38"/>
  <c r="AD1699" i="38"/>
  <c r="AD1698" i="38"/>
  <c r="AD1697" i="38"/>
  <c r="AD1696" i="38"/>
  <c r="AD1695" i="38"/>
  <c r="AD1694" i="38"/>
  <c r="AD1693" i="38"/>
  <c r="AD1692" i="38"/>
  <c r="AD1691" i="38"/>
  <c r="AD1690" i="38"/>
  <c r="AD1689" i="38"/>
  <c r="AD1688" i="38"/>
  <c r="AD1687" i="38"/>
  <c r="AD1686" i="38"/>
  <c r="AD1685" i="38"/>
  <c r="AD1684" i="38"/>
  <c r="AD1683" i="38"/>
  <c r="AD1682" i="38"/>
  <c r="AD1681" i="38"/>
  <c r="AD1680" i="38"/>
  <c r="AD1679" i="38"/>
  <c r="AD1678" i="38"/>
  <c r="AD1677" i="38"/>
  <c r="AD1676" i="38"/>
  <c r="AD1675" i="38"/>
  <c r="AD1674" i="38"/>
  <c r="AD1673" i="38"/>
  <c r="AD1672" i="38"/>
  <c r="AD1671" i="38"/>
  <c r="AD1669" i="38"/>
  <c r="AD1668" i="38"/>
  <c r="AD1667" i="38"/>
  <c r="AD1666" i="38"/>
  <c r="AD1665" i="38"/>
  <c r="AD1664" i="38"/>
  <c r="AD1663" i="38"/>
  <c r="AD1662" i="38"/>
  <c r="AD1661" i="38"/>
  <c r="AD1660" i="38"/>
  <c r="AD1659" i="38"/>
  <c r="AD1658" i="38"/>
  <c r="AD1657" i="38"/>
  <c r="AD1656" i="38"/>
  <c r="AD1655" i="38"/>
  <c r="AD1654" i="38"/>
  <c r="AD1653" i="38"/>
  <c r="AD1652" i="38"/>
  <c r="AD1651" i="38"/>
  <c r="AD1650" i="38"/>
  <c r="AD1649" i="38"/>
  <c r="AD1648" i="38"/>
  <c r="AD1647" i="38"/>
  <c r="AD1646" i="38"/>
  <c r="AD1645" i="38"/>
  <c r="AD1644" i="38"/>
  <c r="AD1643" i="38"/>
  <c r="AD1642" i="38"/>
  <c r="AD1641" i="38"/>
  <c r="AD1640" i="38"/>
  <c r="AD1639" i="38"/>
  <c r="AD1638" i="38"/>
  <c r="AD1637" i="38"/>
  <c r="AD1636" i="38"/>
  <c r="AD1635" i="38"/>
  <c r="AD1634" i="38"/>
  <c r="AD1633" i="38"/>
  <c r="AD1632" i="38"/>
  <c r="AD1631" i="38"/>
  <c r="AD1630" i="38"/>
  <c r="AD1629" i="38"/>
  <c r="AD1628" i="38"/>
  <c r="AD1627" i="38"/>
  <c r="AD1626" i="38"/>
  <c r="AD1625" i="38"/>
  <c r="AD1624" i="38"/>
  <c r="AD1623" i="38"/>
  <c r="AD1622" i="38"/>
  <c r="AD1621" i="38"/>
  <c r="AD1620" i="38"/>
  <c r="AD1619" i="38"/>
  <c r="AD1618" i="38"/>
  <c r="AD1617" i="38"/>
  <c r="AD1616" i="38"/>
  <c r="AD1615" i="38"/>
  <c r="AD1614" i="38"/>
  <c r="AD1613" i="38"/>
  <c r="AD1612" i="38"/>
  <c r="AD1611" i="38"/>
  <c r="AD1610" i="38"/>
  <c r="AD1609" i="38"/>
  <c r="AD1608" i="38"/>
  <c r="AD1607" i="38"/>
  <c r="AD1606" i="38"/>
  <c r="AD1605" i="38"/>
  <c r="AD1604" i="38"/>
  <c r="AD1603" i="38"/>
  <c r="AD1602" i="38"/>
  <c r="AD1601" i="38"/>
  <c r="AD1600" i="38"/>
  <c r="AD1599" i="38"/>
  <c r="AD1598" i="38"/>
  <c r="AD1597" i="38"/>
  <c r="AD1596" i="38"/>
  <c r="AD1595" i="38"/>
  <c r="AD1594" i="38"/>
  <c r="AD1593" i="38"/>
  <c r="AD1592" i="38"/>
  <c r="AD1590" i="38"/>
  <c r="AD1589" i="38"/>
  <c r="AD1588" i="38"/>
  <c r="AD1587" i="38"/>
  <c r="AD1586" i="38"/>
  <c r="AD1585" i="38"/>
  <c r="AD1584" i="38"/>
  <c r="AD1583" i="38"/>
  <c r="AD1582" i="38"/>
  <c r="AD1581" i="38"/>
  <c r="AD1580" i="38"/>
  <c r="AD1579" i="38"/>
  <c r="AD1578" i="38"/>
  <c r="AD1577" i="38"/>
  <c r="AD1576" i="38"/>
  <c r="AD1575" i="38"/>
  <c r="AD1574" i="38"/>
  <c r="AD1573" i="38"/>
  <c r="AD1572" i="38"/>
  <c r="AD1571" i="38"/>
  <c r="AD1570" i="38"/>
  <c r="AD1569" i="38"/>
  <c r="AD1568" i="38"/>
  <c r="AD1567" i="38"/>
  <c r="AD1566" i="38"/>
  <c r="AD1565" i="38"/>
  <c r="AD1564" i="38"/>
  <c r="AD1563" i="38"/>
  <c r="AD1562" i="38"/>
  <c r="AD1561" i="38"/>
  <c r="AD1560" i="38"/>
  <c r="AD1559" i="38"/>
  <c r="AD1558" i="38"/>
  <c r="AD1557" i="38"/>
  <c r="AD1556" i="38"/>
  <c r="AD1555" i="38"/>
  <c r="AD1554" i="38"/>
  <c r="AD1553" i="38"/>
  <c r="AD1552" i="38"/>
  <c r="AD1551" i="38"/>
  <c r="AD1550" i="38"/>
  <c r="AD1549" i="38"/>
  <c r="AD1548" i="38"/>
  <c r="AD1547" i="38"/>
  <c r="AD1546" i="38"/>
  <c r="AD1545" i="38"/>
  <c r="AD1544" i="38"/>
  <c r="AD1543" i="38"/>
  <c r="AD1542" i="38"/>
  <c r="AD1541" i="38"/>
  <c r="AD1540" i="38"/>
  <c r="AD1539" i="38"/>
  <c r="AD1538" i="38"/>
  <c r="AD1537" i="38"/>
  <c r="AD1536" i="38"/>
  <c r="AD1535" i="38"/>
  <c r="AD1534" i="38"/>
  <c r="AD1533" i="38"/>
  <c r="AD1532" i="38"/>
  <c r="AD1531" i="38"/>
  <c r="AD1530" i="38"/>
  <c r="AD1529" i="38"/>
  <c r="AD1528" i="38"/>
  <c r="AD1527" i="38"/>
  <c r="AD1526" i="38"/>
  <c r="AD1525" i="38"/>
  <c r="AD1524" i="38"/>
  <c r="AD1523" i="38"/>
  <c r="AD1522" i="38"/>
  <c r="AD1521" i="38"/>
  <c r="AD1520" i="38"/>
  <c r="AD1519" i="38"/>
  <c r="AD1518" i="38"/>
  <c r="AD1517" i="38"/>
  <c r="AD1516" i="38"/>
  <c r="AD1515" i="38"/>
  <c r="AD1514" i="38"/>
  <c r="AD1513" i="38"/>
  <c r="AD1512" i="38"/>
  <c r="AD1511" i="38"/>
  <c r="AD1510" i="38"/>
  <c r="AD1509" i="38"/>
  <c r="AD1508" i="38"/>
  <c r="AD1507" i="38"/>
  <c r="AD1506" i="38"/>
  <c r="AD1505" i="38"/>
  <c r="AD1504" i="38"/>
  <c r="AD1503" i="38"/>
  <c r="AD1502" i="38"/>
  <c r="AD1501" i="38"/>
  <c r="AD1500" i="38"/>
  <c r="AD1499" i="38"/>
  <c r="AD1498" i="38"/>
  <c r="AD1497" i="38"/>
  <c r="AD1496" i="38"/>
  <c r="AD1495" i="38"/>
  <c r="AD1494" i="38"/>
  <c r="AD1493" i="38"/>
  <c r="AD1492" i="38"/>
  <c r="AD1490" i="38"/>
  <c r="AD1489" i="38"/>
  <c r="AD1488" i="38"/>
  <c r="AD1487" i="38"/>
  <c r="AD1486" i="38"/>
  <c r="AD1485" i="38"/>
  <c r="AD1484" i="38"/>
  <c r="AD1483" i="38"/>
  <c r="AD1482" i="38"/>
  <c r="AD1481" i="38"/>
  <c r="AD1480" i="38"/>
  <c r="AD1479" i="38"/>
  <c r="AD1478" i="38"/>
  <c r="AD1477" i="38"/>
  <c r="AD1476" i="38"/>
  <c r="AD1475" i="38"/>
  <c r="AD1474" i="38"/>
  <c r="AD1473" i="38"/>
  <c r="AD1472" i="38"/>
  <c r="AD1471" i="38"/>
  <c r="AD1470" i="38"/>
  <c r="AD1469" i="38"/>
  <c r="AD1468" i="38"/>
  <c r="AD1467" i="38"/>
  <c r="AD1466" i="38"/>
  <c r="AD1465" i="38"/>
  <c r="AD1464" i="38"/>
  <c r="AD1463" i="38"/>
  <c r="AD1462" i="38"/>
  <c r="AD1461" i="38"/>
  <c r="AD1460" i="38"/>
  <c r="AD1459" i="38"/>
  <c r="AD1458" i="38"/>
  <c r="AD1457" i="38"/>
  <c r="AD1456" i="38"/>
  <c r="AD1455" i="38"/>
  <c r="AD1454" i="38"/>
  <c r="AD1453" i="38"/>
  <c r="AD1452" i="38"/>
  <c r="AD1451" i="38"/>
  <c r="AD1450" i="38"/>
  <c r="AD1449" i="38"/>
  <c r="AD1448" i="38"/>
  <c r="AD1447" i="38"/>
  <c r="AD1446" i="38"/>
  <c r="AD1445" i="38"/>
  <c r="AD1444" i="38"/>
  <c r="AD1443" i="38"/>
  <c r="AD1442" i="38"/>
  <c r="AD1441" i="38"/>
  <c r="AD1440" i="38"/>
  <c r="AD1439" i="38"/>
  <c r="AD1438" i="38"/>
  <c r="AD1437" i="38"/>
  <c r="AD1436" i="38"/>
  <c r="AD1435" i="38"/>
  <c r="AD1434" i="38"/>
  <c r="AD1433" i="38"/>
  <c r="AD1432" i="38"/>
  <c r="AD1431" i="38"/>
  <c r="AD1430" i="38"/>
  <c r="AD1429" i="38"/>
  <c r="AD1428" i="38"/>
  <c r="AD1427" i="38"/>
  <c r="AD1426" i="38"/>
  <c r="AD1425" i="38"/>
  <c r="AD1424" i="38"/>
  <c r="AD1423" i="38"/>
  <c r="AD1422" i="38"/>
  <c r="AD1421" i="38"/>
  <c r="AD1420" i="38"/>
  <c r="AD1419" i="38"/>
  <c r="AD1418" i="38"/>
  <c r="AD1417" i="38"/>
  <c r="AD1416" i="38"/>
  <c r="AD1415" i="38"/>
  <c r="AD1414" i="38"/>
  <c r="AD1413" i="38"/>
  <c r="AD1412" i="38"/>
  <c r="AD1411" i="38"/>
  <c r="AD1410" i="38"/>
  <c r="AD1409" i="38"/>
  <c r="AD1408" i="38"/>
  <c r="AD1407" i="38"/>
  <c r="AD1406" i="38"/>
  <c r="AD1405" i="38"/>
  <c r="AD1404" i="38"/>
  <c r="AD1403" i="38"/>
  <c r="AD1402" i="38"/>
  <c r="AD1401" i="38"/>
  <c r="AD1400" i="38"/>
  <c r="AD1399" i="38"/>
  <c r="AD1398" i="38"/>
  <c r="AD1397" i="38"/>
  <c r="AD1396" i="38"/>
  <c r="AD1395" i="38"/>
  <c r="AD1394" i="38"/>
  <c r="AD1393" i="38"/>
  <c r="AD1392" i="38"/>
  <c r="AD1391" i="38"/>
  <c r="AD1390" i="38"/>
  <c r="AD1389" i="38"/>
  <c r="AD1388" i="38"/>
  <c r="AD1387" i="38"/>
  <c r="AD1386" i="38"/>
  <c r="AD1385" i="38"/>
  <c r="AD1384" i="38"/>
  <c r="AD1383" i="38"/>
  <c r="AD1382" i="38"/>
  <c r="AD1381" i="38"/>
  <c r="AD1380" i="38"/>
  <c r="AD1379" i="38"/>
  <c r="AD1378" i="38"/>
  <c r="AD1377" i="38"/>
  <c r="AD1376" i="38"/>
  <c r="AD1375" i="38"/>
  <c r="AD1374" i="38"/>
  <c r="AD1373" i="38"/>
  <c r="AD1372" i="38"/>
  <c r="AD1371" i="38"/>
  <c r="AD1370" i="38"/>
  <c r="AD1369" i="38"/>
  <c r="AD1368" i="38"/>
  <c r="AD1367" i="38"/>
  <c r="AD1366" i="38"/>
  <c r="AD1365" i="38"/>
  <c r="AD1364" i="38"/>
  <c r="AD1363" i="38"/>
  <c r="AD1362" i="38"/>
  <c r="AD1361" i="38"/>
  <c r="AD1360" i="38"/>
  <c r="AD1359" i="38"/>
  <c r="AD1358" i="38"/>
  <c r="AD1357" i="38"/>
  <c r="AD1356" i="38"/>
  <c r="AD1355" i="38"/>
  <c r="AD1354" i="38"/>
  <c r="AD1353" i="38"/>
  <c r="AD1352" i="38"/>
  <c r="AD1351" i="38"/>
  <c r="AD1350" i="38"/>
  <c r="AD1349" i="38"/>
  <c r="AD1348" i="38"/>
  <c r="AD1347" i="38"/>
  <c r="AD1346" i="38"/>
  <c r="AD1345" i="38"/>
  <c r="AD1344" i="38"/>
  <c r="AD1343" i="38"/>
  <c r="AD1342" i="38"/>
  <c r="AD1341" i="38"/>
  <c r="AD1340" i="38"/>
  <c r="AD1339" i="38"/>
  <c r="AD1338" i="38"/>
  <c r="AD1337" i="38"/>
  <c r="AD1336" i="38"/>
  <c r="AD1335" i="38"/>
  <c r="AD1334" i="38"/>
  <c r="AD1333" i="38"/>
  <c r="AD1332" i="38"/>
  <c r="AD1331" i="38"/>
  <c r="AD1330" i="38"/>
  <c r="AD1329" i="38"/>
  <c r="AD1328" i="38"/>
  <c r="AD1327" i="38"/>
  <c r="AD1326" i="38"/>
  <c r="AD1325" i="38"/>
  <c r="AD1324" i="38"/>
  <c r="AD1323" i="38"/>
  <c r="AD1322" i="38"/>
  <c r="AD1321" i="38"/>
  <c r="AD1320" i="38"/>
  <c r="AD1319" i="38"/>
  <c r="AD1318" i="38"/>
  <c r="AD1317" i="38"/>
  <c r="AD1316" i="38"/>
  <c r="AD1315" i="38"/>
  <c r="AD1314" i="38"/>
  <c r="AD1313" i="38"/>
  <c r="AD1312" i="38"/>
  <c r="AD1311" i="38"/>
  <c r="AD1310" i="38"/>
  <c r="AD1309" i="38"/>
  <c r="AD1308" i="38"/>
  <c r="AD1307" i="38"/>
  <c r="AD1306" i="38"/>
  <c r="AD1305" i="38"/>
  <c r="AD1304" i="38"/>
  <c r="AD1303" i="38"/>
  <c r="AD1302" i="38"/>
  <c r="AD1301" i="38"/>
  <c r="AD1300" i="38"/>
  <c r="AD1299" i="38"/>
  <c r="AD1298" i="38"/>
  <c r="AD1297" i="38"/>
  <c r="AD1296" i="38"/>
  <c r="AD1295" i="38"/>
  <c r="AD1294" i="38"/>
  <c r="AD1293" i="38"/>
  <c r="AD1292" i="38"/>
  <c r="AD1291" i="38"/>
  <c r="AD1290" i="38"/>
  <c r="AD1289" i="38"/>
  <c r="AD1288" i="38"/>
  <c r="AD1287" i="38"/>
  <c r="AD1286" i="38"/>
  <c r="AD1285" i="38"/>
  <c r="AD1284" i="38"/>
  <c r="AD1283" i="38"/>
  <c r="AD1282" i="38"/>
  <c r="AD1281" i="38"/>
  <c r="AD1280" i="38"/>
  <c r="AD1279" i="38"/>
  <c r="AD1278" i="38"/>
  <c r="AD1277" i="38"/>
  <c r="AD1276" i="38"/>
  <c r="AD1275" i="38"/>
  <c r="AD1274" i="38"/>
  <c r="AD1273" i="38"/>
  <c r="AD1272" i="38"/>
  <c r="AD1271" i="38"/>
  <c r="AD1270" i="38"/>
  <c r="AD1269" i="38"/>
  <c r="AD1268" i="38"/>
  <c r="AD1267" i="38"/>
  <c r="AD1266" i="38"/>
  <c r="AD1265" i="38"/>
  <c r="AD1264" i="38"/>
  <c r="AD1263" i="38"/>
  <c r="AD1262" i="38"/>
  <c r="AD1261" i="38"/>
  <c r="AD1260" i="38"/>
  <c r="AD1259" i="38"/>
  <c r="AD1258" i="38"/>
  <c r="AD1257" i="38"/>
  <c r="AD1256" i="38"/>
  <c r="AD1255" i="38"/>
  <c r="AD1254" i="38"/>
  <c r="AD1253" i="38"/>
  <c r="AD1252" i="38"/>
  <c r="AD1251" i="38"/>
  <c r="AD1250" i="38"/>
  <c r="AD1249" i="38"/>
  <c r="AD1248" i="38"/>
  <c r="AD1247" i="38"/>
  <c r="AD1246" i="38"/>
  <c r="AD1245" i="38"/>
  <c r="AD1244" i="38"/>
  <c r="AD1243" i="38"/>
  <c r="AD1242" i="38"/>
  <c r="AD1241" i="38"/>
  <c r="AD1240" i="38"/>
  <c r="AD1239" i="38"/>
  <c r="AD1238" i="38"/>
  <c r="AD1237" i="38"/>
  <c r="AD1236" i="38"/>
  <c r="AD1235" i="38"/>
  <c r="AD1234" i="38"/>
  <c r="AD1233" i="38"/>
  <c r="AD1232" i="38"/>
  <c r="AD1231" i="38"/>
  <c r="AD1230" i="38"/>
  <c r="AD1229" i="38"/>
  <c r="AD1228" i="38"/>
  <c r="AD1227" i="38"/>
  <c r="AD1226" i="38"/>
  <c r="AD1225" i="38"/>
  <c r="AD1224" i="38"/>
  <c r="AD1223" i="38"/>
  <c r="AD1222" i="38"/>
  <c r="AD1221" i="38"/>
  <c r="AD1220" i="38"/>
  <c r="AD1219" i="38"/>
  <c r="AD1218" i="38"/>
  <c r="AD1217" i="38"/>
  <c r="AD1216" i="38"/>
  <c r="AD1215" i="38"/>
  <c r="AD1214" i="38"/>
  <c r="AD1213" i="38"/>
  <c r="AD1212" i="38"/>
  <c r="AD1211" i="38"/>
  <c r="AD1210" i="38"/>
  <c r="AD1209" i="38"/>
  <c r="AD1208" i="38"/>
  <c r="AD1207" i="38"/>
  <c r="AD1206" i="38"/>
  <c r="AD1205" i="38"/>
  <c r="AD1204" i="38"/>
  <c r="AD1203" i="38"/>
  <c r="AD1202" i="38"/>
  <c r="AD1201" i="38"/>
  <c r="AD1200" i="38"/>
  <c r="AD1199" i="38"/>
  <c r="AD1198" i="38"/>
  <c r="AD1197" i="38"/>
  <c r="AD1196" i="38"/>
  <c r="AD1195" i="38"/>
  <c r="AD1194" i="38"/>
  <c r="AD1193" i="38"/>
  <c r="AD1192" i="38"/>
  <c r="AD1191" i="38"/>
  <c r="AD1190" i="38"/>
  <c r="AD1189" i="38"/>
  <c r="AD1188" i="38"/>
  <c r="AD1187" i="38"/>
  <c r="AD1186" i="38"/>
  <c r="AD1185" i="38"/>
  <c r="AD1184" i="38"/>
  <c r="AD1183" i="38"/>
  <c r="AD1182" i="38"/>
  <c r="AD1181" i="38"/>
  <c r="AD1180" i="38"/>
  <c r="AD1179" i="38"/>
  <c r="AD1178" i="38"/>
  <c r="AD1177" i="38"/>
  <c r="AD1176" i="38"/>
  <c r="AD1175" i="38"/>
  <c r="AD1174" i="38"/>
  <c r="AD1173" i="38"/>
  <c r="AD1171" i="38"/>
  <c r="AD1170" i="38"/>
  <c r="AD1169" i="38"/>
  <c r="AD1168" i="38"/>
  <c r="AD1167" i="38"/>
  <c r="AD1166" i="38"/>
  <c r="AD1165" i="38"/>
  <c r="AD1164" i="38"/>
  <c r="AD1163" i="38"/>
  <c r="AD1162" i="38"/>
  <c r="AD1161" i="38"/>
  <c r="AD1160" i="38"/>
  <c r="AD1159" i="38"/>
  <c r="AD1158" i="38"/>
  <c r="AD1157" i="38"/>
  <c r="AD1156" i="38"/>
  <c r="AD1155" i="38"/>
  <c r="AD1154" i="38"/>
  <c r="AD1153" i="38"/>
  <c r="AD1152" i="38"/>
  <c r="AD1151" i="38"/>
  <c r="AD1150" i="38"/>
  <c r="AD1149" i="38"/>
  <c r="AD1148" i="38"/>
  <c r="AD1147" i="38"/>
  <c r="AD1146" i="38"/>
  <c r="AD1145" i="38"/>
  <c r="AD1144" i="38"/>
  <c r="AD1143" i="38"/>
  <c r="AD1142" i="38"/>
  <c r="AD1141" i="38"/>
  <c r="AD1140" i="38"/>
  <c r="AD1139" i="38"/>
  <c r="AD1138" i="38"/>
  <c r="AD1137" i="38"/>
  <c r="AD1136" i="38"/>
  <c r="AD1135" i="38"/>
  <c r="AD1134" i="38"/>
  <c r="AD1133" i="38"/>
  <c r="AD1132" i="38"/>
  <c r="AD1131" i="38"/>
  <c r="AD1130" i="38"/>
  <c r="AD1129" i="38"/>
  <c r="AD1128" i="38"/>
  <c r="AD1127" i="38"/>
  <c r="AD1126" i="38"/>
  <c r="AD1125" i="38"/>
  <c r="AD1124" i="38"/>
  <c r="AD1123" i="38"/>
  <c r="AD1122" i="38"/>
  <c r="AD1121" i="38"/>
  <c r="AD1120" i="38"/>
  <c r="AD1119" i="38"/>
  <c r="AD1118" i="38"/>
  <c r="AD1117" i="38"/>
  <c r="AD1116" i="38"/>
  <c r="AD1115" i="38"/>
  <c r="AD1114" i="38"/>
  <c r="AD1113" i="38"/>
  <c r="AD1112" i="38"/>
  <c r="AD1111" i="38"/>
  <c r="AD1110" i="38"/>
  <c r="AD1109" i="38"/>
  <c r="AD1108" i="38"/>
  <c r="AD1107" i="38"/>
  <c r="AD1106" i="38"/>
  <c r="AD1105" i="38"/>
  <c r="AD1104" i="38"/>
  <c r="AD1103" i="38"/>
  <c r="AD1102" i="38"/>
  <c r="AD1101" i="38"/>
  <c r="AD1100" i="38"/>
  <c r="AD1099" i="38"/>
  <c r="AD1098" i="38"/>
  <c r="AD1097" i="38"/>
  <c r="AD1096" i="38"/>
  <c r="AD1095" i="38"/>
  <c r="AD1094" i="38"/>
  <c r="AD1093" i="38"/>
  <c r="AD1092" i="38"/>
  <c r="AD1091" i="38"/>
  <c r="AD1090" i="38"/>
  <c r="AD1089" i="38"/>
  <c r="AD1088" i="38"/>
  <c r="AD1087" i="38"/>
  <c r="AD1086" i="38"/>
  <c r="AD1085" i="38"/>
  <c r="AD1084" i="38"/>
  <c r="AD1083" i="38"/>
  <c r="AD1082" i="38"/>
  <c r="AD1081" i="38"/>
  <c r="AD1080" i="38"/>
  <c r="AD1079" i="38"/>
  <c r="AD1078" i="38"/>
  <c r="AD1077" i="38"/>
  <c r="AD1076" i="38"/>
  <c r="AD1075" i="38"/>
  <c r="AD1074" i="38"/>
  <c r="AD1073" i="38"/>
  <c r="AD1072" i="38"/>
  <c r="AD1071" i="38"/>
  <c r="AD1070" i="38"/>
  <c r="AD1069" i="38"/>
  <c r="AD1068" i="38"/>
  <c r="AD1067" i="38"/>
  <c r="AD1066" i="38"/>
  <c r="AD1065" i="38"/>
  <c r="AD1064" i="38"/>
  <c r="AD1063" i="38"/>
  <c r="AD1062" i="38"/>
  <c r="AD1061" i="38"/>
  <c r="AD1059" i="38"/>
  <c r="AD1058" i="38"/>
  <c r="AD1057" i="38"/>
  <c r="AD1056" i="38"/>
  <c r="AD1055" i="38"/>
  <c r="AD1054" i="38"/>
  <c r="AD1052" i="38"/>
  <c r="AD1051" i="38"/>
  <c r="AD1050" i="38"/>
  <c r="AD1049" i="38"/>
  <c r="AD1048" i="38"/>
  <c r="AD1047" i="38"/>
  <c r="AD1046" i="38"/>
  <c r="AD1045" i="38"/>
  <c r="AD1044" i="38"/>
  <c r="AD1043" i="38"/>
  <c r="AD1042" i="38"/>
  <c r="AD1041" i="38"/>
  <c r="AD1040" i="38"/>
  <c r="AD1039" i="38"/>
  <c r="AD1038" i="38"/>
  <c r="AD1037" i="38"/>
  <c r="AD1036" i="38"/>
  <c r="AD1035" i="38"/>
  <c r="AD1034" i="38"/>
  <c r="AD1033" i="38"/>
  <c r="AD1032" i="38"/>
  <c r="AD1031" i="38"/>
  <c r="AD1030" i="38"/>
  <c r="AD1029" i="38"/>
  <c r="AD1028" i="38"/>
  <c r="AD1027" i="38"/>
  <c r="AD1026" i="38"/>
  <c r="AD1025" i="38"/>
  <c r="AD1024" i="38"/>
  <c r="AD1023" i="38"/>
  <c r="AD1022" i="38"/>
  <c r="AD1021" i="38"/>
  <c r="AD1020" i="38"/>
  <c r="AD1019" i="38"/>
  <c r="AD1018" i="38"/>
  <c r="AD1017" i="38"/>
  <c r="AD1016" i="38"/>
  <c r="AD1015" i="38"/>
  <c r="AD1014" i="38"/>
  <c r="AD1013" i="38"/>
  <c r="AD1012" i="38"/>
  <c r="AD1011" i="38"/>
  <c r="AD1010" i="38"/>
  <c r="AD1009" i="38"/>
  <c r="AD1008" i="38"/>
  <c r="AD1007" i="38"/>
  <c r="AD1006" i="38"/>
  <c r="AD1005" i="38"/>
  <c r="AD1004" i="38"/>
  <c r="AD1003" i="38"/>
  <c r="AD1002" i="38"/>
  <c r="AD1001" i="38"/>
  <c r="AD1000" i="38"/>
  <c r="AD999" i="38"/>
  <c r="AD998" i="38"/>
  <c r="AD997" i="38"/>
  <c r="AD995" i="38"/>
  <c r="AD994" i="38"/>
  <c r="AD993" i="38"/>
  <c r="AD992" i="38"/>
  <c r="AD991" i="38"/>
  <c r="AD990" i="38"/>
  <c r="AD989" i="38"/>
  <c r="AD988" i="38"/>
  <c r="AD987" i="38"/>
  <c r="AD986" i="38"/>
  <c r="AD985" i="38"/>
  <c r="AD984" i="38"/>
  <c r="AD983" i="38"/>
  <c r="AD982" i="38"/>
  <c r="AD981" i="38"/>
  <c r="AD980" i="38"/>
  <c r="AD979" i="38"/>
  <c r="AD978" i="38"/>
  <c r="AD977" i="38"/>
  <c r="AD976" i="38"/>
  <c r="AD975" i="38"/>
  <c r="AD974" i="38"/>
  <c r="AD973" i="38"/>
  <c r="AD972" i="38"/>
  <c r="AD971" i="38"/>
  <c r="AD970" i="38"/>
  <c r="AD969" i="38"/>
  <c r="AD968" i="38"/>
  <c r="AD967" i="38"/>
  <c r="AD966" i="38"/>
  <c r="AD965" i="38"/>
  <c r="AD964" i="38"/>
  <c r="AD963" i="38"/>
  <c r="AD962" i="38"/>
  <c r="AD961" i="38"/>
  <c r="AD960" i="38"/>
  <c r="AD959" i="38"/>
  <c r="AD958" i="38"/>
  <c r="AD957" i="38"/>
  <c r="AD956" i="38"/>
  <c r="AD955" i="38"/>
  <c r="AD954" i="38"/>
  <c r="AD953" i="38"/>
  <c r="AD952" i="38"/>
  <c r="AD951" i="38"/>
  <c r="AD950" i="38"/>
  <c r="AD949" i="38"/>
  <c r="AD948" i="38"/>
  <c r="AD947" i="38"/>
  <c r="AD946" i="38"/>
  <c r="AD945" i="38"/>
  <c r="AD944" i="38"/>
  <c r="AD943" i="38"/>
  <c r="AD942" i="38"/>
  <c r="AD941" i="38"/>
  <c r="AD940" i="38"/>
  <c r="AD939" i="38"/>
  <c r="AD938" i="38"/>
  <c r="AD937" i="38"/>
  <c r="AD936" i="38"/>
  <c r="AD935" i="38"/>
  <c r="AD934" i="38"/>
  <c r="AD933" i="38"/>
  <c r="AD932" i="38"/>
  <c r="AD931" i="38"/>
  <c r="AD930" i="38"/>
  <c r="AD929" i="38"/>
  <c r="AD928" i="38"/>
  <c r="AD927" i="38"/>
  <c r="AD926" i="38"/>
  <c r="AD925" i="38"/>
  <c r="AD924" i="38"/>
  <c r="AD923" i="38"/>
  <c r="AD922" i="38"/>
  <c r="AD921" i="38"/>
  <c r="AD920" i="38"/>
  <c r="AD919" i="38"/>
  <c r="AD918" i="38"/>
  <c r="AD917" i="38"/>
  <c r="AD916" i="38"/>
  <c r="AD915" i="38"/>
  <c r="AD914" i="38"/>
  <c r="AD913" i="38"/>
  <c r="AD912" i="38"/>
  <c r="AD911" i="38"/>
  <c r="AD910" i="38"/>
  <c r="AD909" i="38"/>
  <c r="AD908" i="38"/>
  <c r="AD907" i="38"/>
  <c r="AD906" i="38"/>
  <c r="AD905" i="38"/>
  <c r="AD904" i="38"/>
  <c r="AD903" i="38"/>
  <c r="AD902" i="38"/>
  <c r="AD901" i="38"/>
  <c r="AD900" i="38"/>
  <c r="AD899" i="38"/>
  <c r="AD898" i="38"/>
  <c r="AD897" i="38"/>
  <c r="AD896" i="38"/>
  <c r="AD895" i="38"/>
  <c r="AD894" i="38"/>
  <c r="AD893" i="38"/>
  <c r="AD892" i="38"/>
  <c r="AD891" i="38"/>
  <c r="AD890" i="38"/>
  <c r="AD889" i="38"/>
  <c r="AD888" i="38"/>
  <c r="AD887" i="38"/>
  <c r="AD886" i="38"/>
  <c r="AD885" i="38"/>
  <c r="AD884" i="38"/>
  <c r="AD883" i="38"/>
  <c r="AD882" i="38"/>
  <c r="AD881" i="38"/>
  <c r="AD880" i="38"/>
  <c r="AD879" i="38"/>
  <c r="AD878" i="38"/>
  <c r="AD877" i="38"/>
  <c r="AD876" i="38"/>
  <c r="AD875" i="38"/>
  <c r="AD874" i="38"/>
  <c r="AD873" i="38"/>
  <c r="AD872" i="38"/>
  <c r="AD871" i="38"/>
  <c r="AD870" i="38"/>
  <c r="AD869" i="38"/>
  <c r="AD868" i="38"/>
  <c r="AD867" i="38"/>
  <c r="AD866" i="38"/>
  <c r="AD865" i="38"/>
  <c r="AD864" i="38"/>
  <c r="AD863" i="38"/>
  <c r="AD862" i="38"/>
  <c r="AD861" i="38"/>
  <c r="AD860" i="38"/>
  <c r="AD859" i="38"/>
  <c r="AD858" i="38"/>
  <c r="AD857" i="38"/>
  <c r="AD856" i="38"/>
  <c r="AD855" i="38"/>
  <c r="AD854" i="38"/>
  <c r="AD853" i="38"/>
  <c r="AD852" i="38"/>
  <c r="AD851" i="38"/>
  <c r="AD850" i="38"/>
  <c r="AD849" i="38"/>
  <c r="AD848" i="38"/>
  <c r="AD847" i="38"/>
  <c r="AD846" i="38"/>
  <c r="AD845" i="38"/>
  <c r="AD844" i="38"/>
  <c r="AD843" i="38"/>
  <c r="AD842" i="38"/>
  <c r="AD841" i="38"/>
  <c r="AD840" i="38"/>
  <c r="AD839" i="38"/>
  <c r="AD838" i="38"/>
  <c r="AD837" i="38"/>
  <c r="AD836" i="38"/>
  <c r="AD835" i="38"/>
  <c r="AD834" i="38"/>
  <c r="AD833" i="38"/>
  <c r="AD832" i="38"/>
  <c r="AD831" i="38"/>
  <c r="AD830" i="38"/>
  <c r="AD829" i="38"/>
  <c r="AD828" i="38"/>
  <c r="AD827" i="38"/>
  <c r="AD826" i="38"/>
  <c r="AD825" i="38"/>
  <c r="AD824" i="38"/>
  <c r="AD823" i="38"/>
  <c r="AD822" i="38"/>
  <c r="AD821" i="38"/>
  <c r="AD820" i="38"/>
  <c r="AD819" i="38"/>
  <c r="AD818" i="38"/>
  <c r="AD817" i="38"/>
  <c r="AD816" i="38"/>
  <c r="AD815" i="38"/>
  <c r="AD814" i="38"/>
  <c r="AD813" i="38"/>
  <c r="AD812" i="38"/>
  <c r="AD811" i="38"/>
  <c r="AD810" i="38"/>
  <c r="AD809" i="38"/>
  <c r="AD808" i="38"/>
  <c r="AD807" i="38"/>
  <c r="AD806" i="38"/>
  <c r="AD805" i="38"/>
  <c r="AD804" i="38"/>
  <c r="AD803" i="38"/>
  <c r="AD802" i="38"/>
  <c r="AD801" i="38"/>
  <c r="AD800" i="38"/>
  <c r="AD799" i="38"/>
  <c r="AD798" i="38"/>
  <c r="AD797" i="38"/>
  <c r="AD796" i="38"/>
  <c r="AD795" i="38"/>
  <c r="AD794" i="38"/>
  <c r="AD793" i="38"/>
  <c r="AD792" i="38"/>
  <c r="AD791" i="38"/>
  <c r="AD790" i="38"/>
  <c r="AD789" i="38"/>
  <c r="AD788" i="38"/>
  <c r="AD787" i="38"/>
  <c r="AD786" i="38"/>
  <c r="AD785" i="38"/>
  <c r="AD784" i="38"/>
  <c r="AD783" i="38"/>
  <c r="AD782" i="38"/>
  <c r="AD781" i="38"/>
  <c r="AD780" i="38"/>
  <c r="AD779" i="38"/>
  <c r="AD778" i="38"/>
  <c r="AD777" i="38"/>
  <c r="AD776" i="38"/>
  <c r="AD775" i="38"/>
  <c r="AD774" i="38"/>
  <c r="AD773" i="38"/>
  <c r="AD772" i="38"/>
  <c r="AD771" i="38"/>
  <c r="AD770" i="38"/>
  <c r="AD769" i="38"/>
  <c r="AD768" i="38"/>
  <c r="AD767" i="38"/>
  <c r="AD766" i="38"/>
  <c r="AD765" i="38"/>
  <c r="AD764" i="38"/>
  <c r="AD763" i="38"/>
  <c r="AD762" i="38"/>
  <c r="AD761" i="38"/>
  <c r="AD760" i="38"/>
  <c r="AD759" i="38"/>
  <c r="AD758" i="38"/>
  <c r="AD757" i="38"/>
  <c r="AD756" i="38"/>
  <c r="AD755" i="38"/>
  <c r="AD754" i="38"/>
  <c r="AD753" i="38"/>
  <c r="AD752" i="38"/>
  <c r="AD751" i="38"/>
  <c r="AD750" i="38"/>
  <c r="AD749" i="38"/>
  <c r="AD748" i="38"/>
  <c r="AD747" i="38"/>
  <c r="AD746" i="38"/>
  <c r="AD745" i="38"/>
  <c r="AD744" i="38"/>
  <c r="AD743" i="38"/>
  <c r="AD742" i="38"/>
  <c r="AD741" i="38"/>
  <c r="AD740" i="38"/>
  <c r="AD739" i="38"/>
  <c r="AD738" i="38"/>
  <c r="AD737" i="38"/>
  <c r="AD736" i="38"/>
  <c r="AD735" i="38"/>
  <c r="AD734" i="38"/>
  <c r="AD733" i="38"/>
  <c r="AD732" i="38"/>
  <c r="AD731" i="38"/>
  <c r="AD730" i="38"/>
  <c r="AD729" i="38"/>
  <c r="AD728" i="38"/>
  <c r="AD727" i="38"/>
  <c r="AD726" i="38"/>
  <c r="AD725" i="38"/>
  <c r="AD724" i="38"/>
  <c r="AD723" i="38"/>
  <c r="AD722" i="38"/>
  <c r="AD721" i="38"/>
  <c r="AD720" i="38"/>
  <c r="AD719" i="38"/>
  <c r="AD718" i="38"/>
  <c r="AD717" i="38"/>
  <c r="AD716" i="38"/>
  <c r="AD715" i="38"/>
  <c r="AD714" i="38"/>
  <c r="AD713" i="38"/>
  <c r="AD712" i="38"/>
  <c r="AD711" i="38"/>
  <c r="AD710" i="38"/>
  <c r="AD709" i="38"/>
  <c r="AD708" i="38"/>
  <c r="AD707" i="38"/>
  <c r="AD706" i="38"/>
  <c r="AD705" i="38"/>
  <c r="AD704" i="38"/>
  <c r="AD703" i="38"/>
  <c r="AD702" i="38"/>
  <c r="AD701" i="38"/>
  <c r="AD700" i="38"/>
  <c r="AD699" i="38"/>
  <c r="AD698" i="38"/>
  <c r="AD697" i="38"/>
  <c r="AD696" i="38"/>
  <c r="AD695" i="38"/>
  <c r="AD694" i="38"/>
  <c r="AD693" i="38"/>
  <c r="AD692" i="38"/>
  <c r="AD691" i="38"/>
  <c r="AD690" i="38"/>
  <c r="AD689" i="38"/>
  <c r="AD688" i="38"/>
  <c r="AD687" i="38"/>
  <c r="AD686" i="38"/>
  <c r="AD685" i="38"/>
  <c r="AD684" i="38"/>
  <c r="AD683" i="38"/>
  <c r="AD682" i="38"/>
  <c r="AD681" i="38"/>
  <c r="AD680" i="38"/>
  <c r="AD679" i="38"/>
  <c r="AD678" i="38"/>
  <c r="AD677" i="38"/>
  <c r="AD676" i="38"/>
  <c r="AD675" i="38"/>
  <c r="AD674" i="38"/>
  <c r="AD673" i="38"/>
  <c r="AD672" i="38"/>
  <c r="AD671" i="38"/>
  <c r="AD670" i="38"/>
  <c r="AD669" i="38"/>
  <c r="AD668" i="38"/>
  <c r="AD667" i="38"/>
  <c r="AD666" i="38"/>
  <c r="AD665" i="38"/>
  <c r="AD664" i="38"/>
  <c r="AD663" i="38"/>
  <c r="AD662" i="38"/>
  <c r="AD661" i="38"/>
  <c r="AD660" i="38"/>
  <c r="AD659" i="38"/>
  <c r="AD658" i="38"/>
  <c r="AD657" i="38"/>
  <c r="AD656" i="38"/>
  <c r="AD655" i="38"/>
  <c r="AD654" i="38"/>
  <c r="AD653" i="38"/>
  <c r="AD652" i="38"/>
  <c r="AD651" i="38"/>
  <c r="AD650" i="38"/>
  <c r="AD649" i="38"/>
  <c r="AD648" i="38"/>
  <c r="AD647" i="38"/>
  <c r="AD646" i="38"/>
  <c r="AD645" i="38"/>
  <c r="AD644" i="38"/>
  <c r="AD643" i="38"/>
  <c r="AD642" i="38"/>
  <c r="AD641" i="38"/>
  <c r="AD640" i="38"/>
  <c r="AD639" i="38"/>
  <c r="AD638" i="38"/>
  <c r="AD637" i="38"/>
  <c r="AD636" i="38"/>
  <c r="AD635" i="38"/>
  <c r="AD634" i="38"/>
  <c r="AD633" i="38"/>
  <c r="AD632" i="38"/>
  <c r="AD631" i="38"/>
  <c r="AD630" i="38"/>
  <c r="AD629" i="38"/>
  <c r="AD628" i="38"/>
  <c r="AD627" i="38"/>
  <c r="AD626" i="38"/>
  <c r="AD625" i="38"/>
  <c r="AD624" i="38"/>
  <c r="AD623" i="38"/>
  <c r="AD622" i="38"/>
  <c r="AD621" i="38"/>
  <c r="AD620" i="38"/>
  <c r="AD619" i="38"/>
  <c r="AD618" i="38"/>
  <c r="AD617" i="38"/>
  <c r="AD616" i="38"/>
  <c r="AD615" i="38"/>
  <c r="AD614" i="38"/>
  <c r="AD613" i="38"/>
  <c r="AD612" i="38"/>
  <c r="AD611" i="38"/>
  <c r="AD610" i="38"/>
  <c r="AD609" i="38"/>
  <c r="AD608" i="38"/>
  <c r="AD607" i="38"/>
  <c r="AD606" i="38"/>
  <c r="AD605" i="38"/>
  <c r="AD604" i="38"/>
  <c r="AD603" i="38"/>
  <c r="AD602" i="38"/>
  <c r="AD601" i="38"/>
  <c r="AD600" i="38"/>
  <c r="AD599" i="38"/>
  <c r="AD598" i="38"/>
  <c r="AD597" i="38"/>
  <c r="AD596" i="38"/>
  <c r="AD595" i="38"/>
  <c r="AD594" i="38"/>
  <c r="AD593" i="38"/>
  <c r="AD592" i="38"/>
  <c r="AD591" i="38"/>
  <c r="AD590" i="38"/>
  <c r="AD589" i="38"/>
  <c r="AD588" i="38"/>
  <c r="AD587" i="38"/>
  <c r="AD586" i="38"/>
  <c r="AD585" i="38"/>
  <c r="AD584" i="38"/>
  <c r="AD583" i="38"/>
  <c r="AD582" i="38"/>
  <c r="AD581" i="38"/>
  <c r="AD580" i="38"/>
  <c r="AD579" i="38"/>
  <c r="AD578" i="38"/>
  <c r="AD577" i="38"/>
  <c r="AD576" i="38"/>
  <c r="AD575" i="38"/>
  <c r="AD574" i="38"/>
  <c r="AD573" i="38"/>
  <c r="AD572" i="38"/>
  <c r="AD571" i="38"/>
  <c r="AD570" i="38"/>
  <c r="AD569" i="38"/>
  <c r="AD568" i="38"/>
  <c r="AD567" i="38"/>
  <c r="AD566" i="38"/>
  <c r="AD565" i="38"/>
  <c r="AD564" i="38"/>
  <c r="AD563" i="38"/>
  <c r="AD562" i="38"/>
  <c r="AD561" i="38"/>
  <c r="AD560" i="38"/>
  <c r="AD559" i="38"/>
  <c r="AD558" i="38"/>
  <c r="AD557" i="38"/>
  <c r="AD556" i="38"/>
  <c r="AD555" i="38"/>
  <c r="AD554" i="38"/>
  <c r="AD553" i="38"/>
  <c r="AD552" i="38"/>
  <c r="AD551" i="38"/>
  <c r="AD550" i="38"/>
  <c r="AD549" i="38"/>
  <c r="AD548" i="38"/>
  <c r="AD547" i="38"/>
  <c r="AD546" i="38"/>
  <c r="AD545" i="38"/>
  <c r="AD544" i="38"/>
  <c r="AD543" i="38"/>
  <c r="AD542" i="38"/>
  <c r="AD541" i="38"/>
  <c r="AD540" i="38"/>
  <c r="AD539" i="38"/>
  <c r="AD538" i="38"/>
  <c r="AD537" i="38"/>
  <c r="AD536" i="38"/>
  <c r="AD535" i="38"/>
  <c r="AD534" i="38"/>
  <c r="AD533" i="38"/>
  <c r="AD531" i="38"/>
  <c r="AD530" i="38"/>
  <c r="AD529" i="38"/>
  <c r="AD528" i="38"/>
  <c r="AD527" i="38"/>
  <c r="AD526" i="38"/>
  <c r="AD525" i="38"/>
  <c r="AD524" i="38"/>
  <c r="AD523" i="38"/>
  <c r="AD522" i="38"/>
  <c r="AD521" i="38"/>
  <c r="AD520" i="38"/>
  <c r="AD519" i="38"/>
  <c r="AD518" i="38"/>
  <c r="AD517" i="38"/>
  <c r="AD516" i="38"/>
  <c r="AD515" i="38"/>
  <c r="AD514" i="38"/>
  <c r="AD513" i="38"/>
  <c r="AD512" i="38"/>
  <c r="AD511" i="38"/>
  <c r="AD510" i="38"/>
  <c r="AD509" i="38"/>
  <c r="AD508" i="38"/>
  <c r="AD507" i="38"/>
  <c r="AD506" i="38"/>
  <c r="AD505" i="38"/>
  <c r="AD504" i="38"/>
  <c r="AD503" i="38"/>
  <c r="AD502" i="38"/>
  <c r="AD501" i="38"/>
  <c r="AD500" i="38"/>
  <c r="AD499" i="38"/>
  <c r="AD498" i="38"/>
  <c r="AD497" i="38"/>
  <c r="AD496" i="38"/>
  <c r="AD495" i="38"/>
  <c r="AD494" i="38"/>
  <c r="AD493" i="38"/>
  <c r="AD492" i="38"/>
  <c r="AD491" i="38"/>
  <c r="AD490" i="38"/>
  <c r="AD489" i="38"/>
  <c r="AD488" i="38"/>
  <c r="AD487" i="38"/>
  <c r="AD486" i="38"/>
  <c r="AD485" i="38"/>
  <c r="AD484" i="38"/>
  <c r="AD483" i="38"/>
  <c r="AD482" i="38"/>
  <c r="AD481" i="38"/>
  <c r="AD480" i="38"/>
  <c r="AD479" i="38"/>
  <c r="AD478" i="38"/>
  <c r="AD477" i="38"/>
  <c r="AD476" i="38"/>
  <c r="AD475" i="38"/>
  <c r="AD474" i="38"/>
  <c r="AD473" i="38"/>
  <c r="AD472" i="38"/>
  <c r="AD471" i="38"/>
  <c r="AD470" i="38"/>
  <c r="AD469" i="38"/>
  <c r="AD468" i="38"/>
  <c r="AD467" i="38"/>
  <c r="AD466" i="38"/>
  <c r="AD465" i="38"/>
  <c r="AD464" i="38"/>
  <c r="AD463" i="38"/>
  <c r="AD462" i="38"/>
  <c r="AD461" i="38"/>
  <c r="AD460" i="38"/>
  <c r="AD459" i="38"/>
  <c r="AD458" i="38"/>
  <c r="AD457" i="38"/>
  <c r="AD456" i="38"/>
  <c r="AD455" i="38"/>
  <c r="AD454" i="38"/>
  <c r="AD453" i="38"/>
  <c r="AD452" i="38"/>
  <c r="AD451" i="38"/>
  <c r="AD450" i="38"/>
  <c r="AD449" i="38"/>
  <c r="AD448" i="38"/>
  <c r="AD447" i="38"/>
  <c r="AD446" i="38"/>
  <c r="AD445" i="38"/>
  <c r="AD444" i="38"/>
  <c r="AD443" i="38"/>
  <c r="AD442" i="38"/>
  <c r="AD441" i="38"/>
  <c r="AD440" i="38"/>
  <c r="AD439" i="38"/>
  <c r="AD438" i="38"/>
  <c r="AD437" i="38"/>
  <c r="AD436" i="38"/>
  <c r="AD435" i="38"/>
  <c r="AD434" i="38"/>
  <c r="AD433" i="38"/>
  <c r="AD432" i="38"/>
  <c r="AD431" i="38"/>
  <c r="AD430" i="38"/>
  <c r="AD429" i="38"/>
  <c r="AD428" i="38"/>
  <c r="AD427" i="38"/>
  <c r="AD426" i="38"/>
  <c r="AD425" i="38"/>
  <c r="AD424" i="38"/>
  <c r="AD423" i="38"/>
  <c r="AD422" i="38"/>
  <c r="AD421" i="38"/>
  <c r="AD420" i="38"/>
  <c r="AD419" i="38"/>
  <c r="AD418" i="38"/>
  <c r="AD417" i="38"/>
  <c r="AD416" i="38"/>
  <c r="AD415" i="38"/>
  <c r="AD414" i="38"/>
  <c r="AD413" i="38"/>
  <c r="AD412" i="38"/>
  <c r="AD411" i="38"/>
  <c r="AD410" i="38"/>
  <c r="AD409" i="38"/>
  <c r="AD408" i="38"/>
  <c r="AD407" i="38"/>
  <c r="AD406" i="38"/>
  <c r="AD405" i="38"/>
  <c r="AD404" i="38"/>
  <c r="AD403" i="38"/>
  <c r="AD402" i="38"/>
  <c r="AD401" i="38"/>
  <c r="AD400" i="38"/>
  <c r="AD399" i="38"/>
  <c r="AD398" i="38"/>
  <c r="AD397" i="38"/>
  <c r="AD396" i="38"/>
  <c r="AD395" i="38"/>
  <c r="AD394" i="38"/>
  <c r="AD393" i="38"/>
  <c r="AD392" i="38"/>
  <c r="AD391" i="38"/>
  <c r="AD390" i="38"/>
  <c r="AD389" i="38"/>
  <c r="AD388" i="38"/>
  <c r="AD387" i="38"/>
  <c r="AD386" i="38"/>
  <c r="AD385" i="38"/>
  <c r="AD384" i="38"/>
  <c r="AD383" i="38"/>
  <c r="AD382" i="38"/>
  <c r="AD381" i="38"/>
  <c r="AD380" i="38"/>
  <c r="AD379" i="38"/>
  <c r="AD378" i="38"/>
  <c r="AD377" i="38"/>
  <c r="AD376" i="38"/>
  <c r="AD375" i="38"/>
  <c r="AD374" i="38"/>
  <c r="AD373" i="38"/>
  <c r="AD372" i="38"/>
  <c r="AD371" i="38"/>
  <c r="AD370" i="38"/>
  <c r="AD369" i="38"/>
  <c r="AD368" i="38"/>
  <c r="AD367" i="38"/>
  <c r="AD366" i="38"/>
  <c r="AD365" i="38"/>
  <c r="AD364" i="38"/>
  <c r="AD363" i="38"/>
  <c r="AD362" i="38"/>
  <c r="AD361" i="38"/>
  <c r="AD360" i="38"/>
  <c r="AD359" i="38"/>
  <c r="AD358" i="38"/>
  <c r="AD357" i="38"/>
  <c r="AD356" i="38"/>
  <c r="AD355" i="38"/>
  <c r="AD354" i="38"/>
  <c r="AD353" i="38"/>
  <c r="AD352" i="38"/>
  <c r="AD351" i="38"/>
  <c r="AD350" i="38"/>
  <c r="AD349" i="38"/>
  <c r="AD348" i="38"/>
  <c r="AD347" i="38"/>
  <c r="AD346" i="38"/>
  <c r="AD345" i="38"/>
  <c r="AD344" i="38"/>
  <c r="AD343" i="38"/>
  <c r="AD342" i="38"/>
  <c r="AD341" i="38"/>
  <c r="AD340" i="38"/>
  <c r="AD339" i="38"/>
  <c r="AD338" i="38"/>
  <c r="AD337" i="38"/>
  <c r="AD336" i="38"/>
  <c r="AD335" i="38"/>
  <c r="AD334" i="38"/>
  <c r="AD333" i="38"/>
  <c r="AD332" i="38"/>
  <c r="AD331" i="38"/>
  <c r="AD330" i="38"/>
  <c r="AD329" i="38"/>
  <c r="AD328" i="38"/>
  <c r="AD327" i="38"/>
  <c r="AD326" i="38"/>
  <c r="AD325" i="38"/>
  <c r="AD324" i="38"/>
  <c r="AD323" i="38"/>
  <c r="AD322" i="38"/>
  <c r="AD321" i="38"/>
  <c r="AD320" i="38"/>
  <c r="AD319" i="38"/>
  <c r="AD318" i="38"/>
  <c r="AD317" i="38"/>
  <c r="AD316" i="38"/>
  <c r="AD315" i="38"/>
  <c r="AD314" i="38"/>
  <c r="AD313" i="38"/>
  <c r="AD312" i="38"/>
  <c r="AD311" i="38"/>
  <c r="AD310" i="38"/>
  <c r="AD309" i="38"/>
  <c r="AD308" i="38"/>
  <c r="AD307" i="38"/>
  <c r="AD306" i="38"/>
  <c r="AD305" i="38"/>
  <c r="AD304" i="38"/>
  <c r="AD303" i="38"/>
  <c r="AD302" i="38"/>
  <c r="AD301" i="38"/>
  <c r="AD300" i="38"/>
  <c r="AD299" i="38"/>
  <c r="AD298" i="38"/>
  <c r="AD297" i="38"/>
  <c r="AD296" i="38"/>
  <c r="AD295" i="38"/>
  <c r="AD294" i="38"/>
  <c r="AD293" i="38"/>
  <c r="AD292" i="38"/>
  <c r="AD291" i="38"/>
  <c r="AD290" i="38"/>
  <c r="AD289" i="38"/>
  <c r="AD288" i="38"/>
  <c r="AD287" i="38"/>
  <c r="AD286" i="38"/>
  <c r="AD285" i="38"/>
  <c r="AD284" i="38"/>
  <c r="AD283" i="38"/>
  <c r="AD282" i="38"/>
  <c r="AD281" i="38"/>
  <c r="AD280" i="38"/>
  <c r="AD279" i="38"/>
  <c r="AD278" i="38"/>
  <c r="AD277" i="38"/>
  <c r="AD276" i="38"/>
  <c r="AD275" i="38"/>
  <c r="AD274" i="38"/>
  <c r="AD273" i="38"/>
  <c r="AD272" i="38"/>
  <c r="AD271" i="38"/>
  <c r="AD270" i="38"/>
  <c r="AD269" i="38"/>
  <c r="AD268" i="38"/>
  <c r="AD267" i="38"/>
  <c r="AD266" i="38"/>
  <c r="AD265" i="38"/>
  <c r="AD264" i="38"/>
  <c r="AD263" i="38"/>
  <c r="AD262" i="38"/>
  <c r="AD261" i="38"/>
  <c r="AD260" i="38"/>
  <c r="AD259" i="38"/>
  <c r="AD258" i="38"/>
  <c r="AD257" i="38"/>
  <c r="AD256" i="38"/>
  <c r="AD255" i="38"/>
  <c r="AD254" i="38"/>
  <c r="AD253" i="38"/>
  <c r="AD252" i="38"/>
  <c r="AD251" i="38"/>
  <c r="AD250" i="38"/>
  <c r="AD249" i="38"/>
  <c r="AD248" i="38"/>
  <c r="AD247" i="38"/>
  <c r="AD246" i="38"/>
  <c r="AD245" i="38"/>
  <c r="AD244" i="38"/>
  <c r="AD243" i="38"/>
  <c r="AD242" i="38"/>
  <c r="AD241" i="38"/>
  <c r="AD240" i="38"/>
  <c r="AD239" i="38"/>
  <c r="AD238" i="38"/>
  <c r="AD237" i="38"/>
  <c r="AD236" i="38"/>
  <c r="AD235" i="38"/>
  <c r="AD234" i="38"/>
  <c r="AD233" i="38"/>
  <c r="AD232" i="38"/>
  <c r="AD231" i="38"/>
  <c r="AD230" i="38"/>
  <c r="AD229" i="38"/>
  <c r="AD228" i="38"/>
  <c r="AD227" i="38"/>
  <c r="AD226" i="38"/>
  <c r="AD225" i="38"/>
  <c r="AD224" i="38"/>
  <c r="AD223" i="38"/>
  <c r="AD222" i="38"/>
  <c r="AD221" i="38"/>
  <c r="AD220" i="38"/>
  <c r="AD219" i="38"/>
  <c r="AD218" i="38"/>
  <c r="AD217" i="38"/>
  <c r="AD216" i="38"/>
  <c r="AD215" i="38"/>
  <c r="AD214" i="38"/>
  <c r="AD213" i="38"/>
  <c r="AD212" i="38"/>
  <c r="AD211" i="38"/>
  <c r="AD210" i="38"/>
  <c r="AD209" i="38"/>
  <c r="AD208" i="38"/>
  <c r="AD207" i="38"/>
  <c r="AD206" i="38"/>
  <c r="AD205" i="38"/>
  <c r="AD204" i="38"/>
  <c r="AD203" i="38"/>
  <c r="AD202" i="38"/>
  <c r="AD201" i="38"/>
  <c r="AD200" i="38"/>
  <c r="AD199" i="38"/>
  <c r="AD198" i="38"/>
  <c r="AD197" i="38"/>
  <c r="AD196" i="38"/>
  <c r="AD195" i="38"/>
  <c r="AD194" i="38"/>
  <c r="AD193" i="38"/>
  <c r="AD192" i="38"/>
  <c r="AD191" i="38"/>
  <c r="AD190" i="38"/>
  <c r="AD189" i="38"/>
  <c r="AD188" i="38"/>
  <c r="AD187" i="38"/>
  <c r="AD186" i="38"/>
  <c r="AD185" i="38"/>
  <c r="AD184" i="38"/>
  <c r="AD183" i="38"/>
  <c r="AD182" i="38"/>
  <c r="AD181" i="38"/>
  <c r="AD180" i="38"/>
  <c r="AD179" i="38"/>
  <c r="AD178" i="38"/>
  <c r="AD177" i="38"/>
  <c r="AD176" i="38"/>
  <c r="AD175" i="38"/>
  <c r="AD174" i="38"/>
  <c r="AD173" i="38"/>
  <c r="AD172" i="38"/>
  <c r="AD171" i="38"/>
  <c r="AD170" i="38"/>
  <c r="AD169" i="38"/>
  <c r="AD168" i="38"/>
  <c r="AD167" i="38"/>
  <c r="AD166" i="38"/>
  <c r="AD165" i="38"/>
  <c r="AD164" i="38"/>
  <c r="AD163" i="38"/>
  <c r="AD162" i="38"/>
  <c r="AD161" i="38"/>
  <c r="AD160" i="38"/>
  <c r="AD159" i="38"/>
  <c r="AD158" i="38"/>
  <c r="AD157" i="38"/>
  <c r="AD156" i="38"/>
  <c r="AD155" i="38"/>
  <c r="AD154" i="38"/>
  <c r="AD153" i="38"/>
  <c r="AD152" i="38"/>
  <c r="AD151" i="38"/>
  <c r="AD150" i="38"/>
  <c r="AD149" i="38"/>
  <c r="AD148" i="38"/>
  <c r="AD147" i="38"/>
  <c r="AD146" i="38"/>
  <c r="AD145" i="38"/>
  <c r="AD144" i="38"/>
  <c r="AD143" i="38"/>
  <c r="AD142" i="38"/>
  <c r="AD141" i="38"/>
  <c r="AD140" i="38"/>
  <c r="AD139" i="38"/>
  <c r="AD138" i="38"/>
  <c r="AD137" i="38"/>
  <c r="AD136" i="38"/>
  <c r="AD135" i="38"/>
  <c r="AD134" i="38"/>
  <c r="AD133" i="38"/>
  <c r="AD132" i="38"/>
  <c r="AD131" i="38"/>
  <c r="AD130" i="38"/>
  <c r="AD129" i="38"/>
  <c r="AD128" i="38"/>
  <c r="AD127" i="38"/>
  <c r="AD126" i="38"/>
  <c r="AD125" i="38"/>
  <c r="AD124" i="38"/>
  <c r="AD123" i="38"/>
  <c r="AD122" i="38"/>
  <c r="AD121" i="38"/>
  <c r="AD120" i="38"/>
  <c r="AD119" i="38"/>
  <c r="AD118" i="38"/>
  <c r="AD117" i="38"/>
  <c r="AD116" i="38"/>
  <c r="AD115" i="38"/>
  <c r="AD114" i="38"/>
  <c r="AD113" i="38"/>
  <c r="AD112" i="38"/>
  <c r="AD111" i="38"/>
  <c r="AD110" i="38"/>
  <c r="AD109" i="38"/>
  <c r="AD108" i="38"/>
  <c r="AD107" i="38"/>
  <c r="AD106" i="38"/>
  <c r="AD105" i="38"/>
  <c r="AD104" i="38"/>
  <c r="AD103" i="38"/>
  <c r="AD102" i="38"/>
  <c r="AD101" i="38"/>
  <c r="AD100" i="38"/>
  <c r="AD99" i="38"/>
  <c r="AD98" i="38"/>
  <c r="AD97" i="38"/>
  <c r="AD96" i="38"/>
  <c r="AD95" i="38"/>
  <c r="AD94" i="38"/>
  <c r="AD93" i="38"/>
  <c r="AD92" i="38"/>
  <c r="AD91" i="38"/>
  <c r="AD90" i="38"/>
  <c r="AD89" i="38"/>
  <c r="AD88" i="38"/>
  <c r="AD87" i="38"/>
  <c r="AD86" i="38"/>
  <c r="AD85" i="38"/>
  <c r="AD84" i="38"/>
  <c r="AD83" i="38"/>
  <c r="AD82" i="38"/>
  <c r="AD81" i="38"/>
  <c r="AD80"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C24" i="46"/>
  <c r="AB24" i="46"/>
  <c r="B149" i="65"/>
  <c r="B148" i="65"/>
  <c r="B147" i="65"/>
  <c r="B146" i="65"/>
  <c r="B145" i="65"/>
  <c r="B144" i="65"/>
  <c r="B143" i="65"/>
  <c r="B142" i="65"/>
  <c r="B141" i="65"/>
  <c r="B140" i="65"/>
  <c r="B139" i="65"/>
  <c r="B138" i="65"/>
  <c r="B137" i="65"/>
  <c r="B136" i="65"/>
  <c r="B135" i="65"/>
  <c r="B134" i="65"/>
  <c r="B133" i="65"/>
  <c r="B132" i="65"/>
  <c r="B131" i="65"/>
  <c r="B130" i="65"/>
  <c r="B151" i="76"/>
  <c r="B302" i="76" s="1"/>
  <c r="B150" i="76"/>
  <c r="B301" i="76" s="1"/>
  <c r="B149" i="76"/>
  <c r="B300" i="76" s="1"/>
  <c r="B148" i="76"/>
  <c r="B299" i="76" s="1"/>
  <c r="B147" i="76"/>
  <c r="B298" i="76" s="1"/>
  <c r="B146" i="76"/>
  <c r="B170" i="76" s="1"/>
  <c r="B194" i="76" s="1"/>
  <c r="B145" i="76"/>
  <c r="B296" i="76" s="1"/>
  <c r="B144" i="76"/>
  <c r="B168" i="76" s="1"/>
  <c r="B192" i="76" s="1"/>
  <c r="B143" i="76"/>
  <c r="B294" i="76" s="1"/>
  <c r="B142" i="76"/>
  <c r="B293" i="76" s="1"/>
  <c r="B141" i="76"/>
  <c r="B292" i="76" s="1"/>
  <c r="B140" i="76"/>
  <c r="B291" i="76" s="1"/>
  <c r="B139" i="76"/>
  <c r="B290" i="76" s="1"/>
  <c r="B138" i="76"/>
  <c r="B289" i="76" s="1"/>
  <c r="B137" i="76"/>
  <c r="B288" i="76" s="1"/>
  <c r="B136" i="76"/>
  <c r="B287" i="76" s="1"/>
  <c r="B135" i="76"/>
  <c r="B286" i="76" s="1"/>
  <c r="B134" i="76"/>
  <c r="B285" i="76" s="1"/>
  <c r="B133" i="76"/>
  <c r="B284" i="76" s="1"/>
  <c r="B158" i="76"/>
  <c r="B182" i="76" s="1"/>
  <c r="B166" i="76"/>
  <c r="B190" i="76" s="1"/>
  <c r="B162" i="76"/>
  <c r="B186" i="76" s="1"/>
  <c r="B174" i="76"/>
  <c r="B198" i="76" s="1"/>
  <c r="B169" i="76"/>
  <c r="B193" i="76" s="1"/>
  <c r="B160" i="76"/>
  <c r="B184" i="76" s="1"/>
  <c r="B173" i="76"/>
  <c r="B197" i="76" s="1"/>
  <c r="B171" i="76"/>
  <c r="B195" i="76" s="1"/>
  <c r="B175" i="76"/>
  <c r="B199" i="76" s="1"/>
  <c r="B172" i="76"/>
  <c r="B196" i="76" s="1"/>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E50" i="18"/>
  <c r="E49" i="18"/>
  <c r="E48" i="18"/>
  <c r="E47" i="18"/>
  <c r="E51" i="18"/>
  <c r="E46" i="18"/>
  <c r="E44" i="18"/>
  <c r="E45" i="18"/>
  <c r="E43" i="18"/>
  <c r="E42" i="18"/>
  <c r="B43" i="18"/>
  <c r="B44" i="18"/>
  <c r="B45" i="18"/>
  <c r="B46" i="18"/>
  <c r="B47" i="18"/>
  <c r="B48" i="18"/>
  <c r="B49" i="18"/>
  <c r="B50" i="18"/>
  <c r="B51" i="18"/>
  <c r="Q64" i="42"/>
  <c r="Q61" i="42"/>
  <c r="Q35" i="43"/>
  <c r="Q32" i="43"/>
  <c r="D46" i="1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N9" i="76"/>
  <c r="O9" i="76"/>
  <c r="B19" i="76"/>
  <c r="B49" i="76" s="1"/>
  <c r="B59" i="76" s="1"/>
  <c r="B20" i="76"/>
  <c r="B30" i="76" s="1"/>
  <c r="B40" i="76" s="1"/>
  <c r="B21" i="76"/>
  <c r="B31" i="76" s="1"/>
  <c r="B41" i="76" s="1"/>
  <c r="B22" i="76"/>
  <c r="B32" i="76" s="1"/>
  <c r="B42" i="76" s="1"/>
  <c r="B23" i="76"/>
  <c r="B53" i="76" s="1"/>
  <c r="B63" i="76" s="1"/>
  <c r="B24" i="76"/>
  <c r="B54" i="76" s="1"/>
  <c r="B64" i="76" s="1"/>
  <c r="B2" i="76"/>
  <c r="B85" i="76"/>
  <c r="B203" i="76"/>
  <c r="P9" i="76"/>
  <c r="Q9" i="76"/>
  <c r="R9" i="76"/>
  <c r="S9" i="76"/>
  <c r="E14" i="18"/>
  <c r="D14" i="18"/>
  <c r="E16" i="18"/>
  <c r="D16" i="18"/>
  <c r="E24" i="18"/>
  <c r="D24" i="18"/>
  <c r="E23" i="18"/>
  <c r="D23" i="18"/>
  <c r="E22" i="18"/>
  <c r="D22" i="18"/>
  <c r="E21" i="18"/>
  <c r="D21" i="18"/>
  <c r="E20" i="18"/>
  <c r="D20" i="18"/>
  <c r="E19" i="18"/>
  <c r="D19" i="18"/>
  <c r="E18" i="18"/>
  <c r="D18" i="18"/>
  <c r="E17" i="18"/>
  <c r="D17" i="18"/>
  <c r="E15" i="18"/>
  <c r="D15" i="18"/>
  <c r="E13" i="18"/>
  <c r="D13" i="18"/>
  <c r="E12" i="18"/>
  <c r="D12" i="18"/>
  <c r="E11" i="18"/>
  <c r="D11" i="18"/>
  <c r="E10" i="18"/>
  <c r="D10" i="18"/>
  <c r="E9" i="18"/>
  <c r="D9" i="18"/>
  <c r="E8" i="18"/>
  <c r="D8" i="18"/>
  <c r="E7" i="18"/>
  <c r="D7" i="18"/>
  <c r="E6" i="18"/>
  <c r="D6" i="18"/>
  <c r="E33" i="18"/>
  <c r="D33" i="18"/>
  <c r="E32" i="18"/>
  <c r="D32" i="18"/>
  <c r="E30" i="18"/>
  <c r="D30" i="18"/>
  <c r="E31" i="18"/>
  <c r="D31" i="18"/>
  <c r="E34" i="18"/>
  <c r="D34" i="18"/>
  <c r="E35" i="18"/>
  <c r="D35" i="18"/>
  <c r="E29" i="18"/>
  <c r="D29" i="18"/>
  <c r="E25" i="18"/>
  <c r="D25" i="18"/>
  <c r="E28" i="18"/>
  <c r="D28" i="18"/>
  <c r="E27" i="18"/>
  <c r="D27" i="18"/>
  <c r="E26" i="18"/>
  <c r="D26" i="18"/>
  <c r="B243" i="76"/>
  <c r="B315" i="76" s="1"/>
  <c r="B244" i="76"/>
  <c r="B316" i="76" s="1"/>
  <c r="B206" i="76"/>
  <c r="B306" i="76"/>
  <c r="B132" i="76"/>
  <c r="B156" i="76" s="1"/>
  <c r="B180" i="76" s="1"/>
  <c r="B71" i="76"/>
  <c r="B76" i="76" s="1"/>
  <c r="B81" i="76" s="1"/>
  <c r="B88" i="76"/>
  <c r="B270" i="76" s="1"/>
  <c r="B224" i="76"/>
  <c r="B311" i="76"/>
  <c r="B223" i="76"/>
  <c r="B310" i="76" s="1"/>
  <c r="B283" i="76"/>
  <c r="B96" i="76"/>
  <c r="B278" i="76" s="1"/>
  <c r="B89" i="76"/>
  <c r="B271" i="76" s="1"/>
  <c r="B93" i="76"/>
  <c r="B275" i="76" s="1"/>
  <c r="B90" i="76"/>
  <c r="B104" i="76" s="1"/>
  <c r="B118" i="76" s="1"/>
  <c r="B94" i="76"/>
  <c r="B276" i="76" s="1"/>
  <c r="B97" i="76"/>
  <c r="B279" i="76" s="1"/>
  <c r="B91" i="76"/>
  <c r="B273" i="76" s="1"/>
  <c r="B92" i="76"/>
  <c r="B274" i="76" s="1"/>
  <c r="B95" i="76"/>
  <c r="B277" i="76" s="1"/>
  <c r="B211" i="76"/>
  <c r="B216" i="76" s="1"/>
  <c r="B229" i="76"/>
  <c r="B235" i="76" s="1"/>
  <c r="B250" i="76"/>
  <c r="B256" i="76" s="1"/>
  <c r="B102" i="76"/>
  <c r="B116" i="76" s="1"/>
  <c r="B249" i="76"/>
  <c r="B255" i="76" s="1"/>
  <c r="B103" i="76"/>
  <c r="B117" i="76" s="1"/>
  <c r="B230" i="76"/>
  <c r="B236" i="76" s="1"/>
  <c r="B107" i="76"/>
  <c r="B121" i="76" s="1"/>
  <c r="B105" i="76"/>
  <c r="B119" i="76" s="1"/>
  <c r="B111" i="76"/>
  <c r="B125" i="76" s="1"/>
  <c r="AD1882" i="38"/>
  <c r="AD1866" i="38"/>
  <c r="AD1833" i="38"/>
  <c r="AD1781" i="38"/>
  <c r="AD1749" i="38"/>
  <c r="AD1710" i="38"/>
  <c r="AD1670" i="38"/>
  <c r="AD1591" i="38"/>
  <c r="AD1491" i="38"/>
  <c r="AD1172" i="38"/>
  <c r="AD1060" i="38"/>
  <c r="AC83" i="38"/>
  <c r="AC213" i="38"/>
  <c r="AC120" i="38"/>
  <c r="AC128" i="38"/>
  <c r="AC184" i="38"/>
  <c r="AC192" i="38"/>
  <c r="AC207" i="38"/>
  <c r="Y994" i="38"/>
  <c r="AC236" i="38"/>
  <c r="AC720" i="38"/>
  <c r="Y728" i="38"/>
  <c r="AC281" i="38"/>
  <c r="Y337" i="38"/>
  <c r="Y48" i="38"/>
  <c r="Y64" i="38"/>
  <c r="Y27" i="38"/>
  <c r="Y43" i="38"/>
  <c r="Y200" i="38"/>
  <c r="Y584" i="38"/>
  <c r="AC600" i="38"/>
  <c r="Y1611" i="38"/>
  <c r="Y19" i="38"/>
  <c r="Y99" i="38"/>
  <c r="AC115" i="38"/>
  <c r="AC131" i="38"/>
  <c r="AC139" i="38"/>
  <c r="AC179" i="38"/>
  <c r="AC203" i="38"/>
  <c r="AC443" i="38"/>
  <c r="Y451" i="38"/>
  <c r="Y579" i="38"/>
  <c r="AC587" i="38"/>
  <c r="Y603" i="38"/>
  <c r="AC619" i="38"/>
  <c r="AC643" i="38"/>
  <c r="AC651" i="38"/>
  <c r="AC683" i="38"/>
  <c r="AC699" i="38"/>
  <c r="Y707" i="38"/>
  <c r="Y715" i="38"/>
  <c r="AC1108" i="38"/>
  <c r="Y767" i="38"/>
  <c r="Y799" i="38"/>
  <c r="Y863" i="38"/>
  <c r="Y895" i="38"/>
  <c r="AC903" i="38"/>
  <c r="Y959" i="38"/>
  <c r="Y967" i="38"/>
  <c r="AC975" i="38"/>
  <c r="AC226" i="38"/>
  <c r="Y250" i="38"/>
  <c r="AC754" i="38"/>
  <c r="AC762" i="38"/>
  <c r="AC826" i="38"/>
  <c r="AC834" i="38"/>
  <c r="AC858" i="38"/>
  <c r="AC922" i="38"/>
  <c r="Y1254" i="38"/>
  <c r="Y1302" i="38"/>
  <c r="AC1478" i="38"/>
  <c r="Y1534" i="38"/>
  <c r="AC1063" i="38"/>
  <c r="AC1079" i="38"/>
  <c r="AC1087" i="38"/>
  <c r="AC1127" i="38"/>
  <c r="Y1143" i="38"/>
  <c r="AC1199" i="38"/>
  <c r="AC1207" i="38"/>
  <c r="AC874" i="38"/>
  <c r="AC882" i="38"/>
  <c r="AC890" i="38"/>
  <c r="AC914" i="38"/>
  <c r="AC1153" i="38"/>
  <c r="Y1430" i="38"/>
  <c r="Y1462" i="38"/>
  <c r="AC1273" i="38"/>
  <c r="Y1281" i="38"/>
  <c r="Y1369" i="38"/>
  <c r="AC1409" i="38"/>
  <c r="Y1417" i="38"/>
  <c r="Y1433" i="38"/>
  <c r="AC1449" i="38"/>
  <c r="AC1465" i="38"/>
  <c r="AC1553" i="38"/>
  <c r="AC51" i="38"/>
  <c r="Y51" i="38"/>
  <c r="AC751" i="38"/>
  <c r="Y751" i="38"/>
  <c r="AC815" i="38"/>
  <c r="Y815" i="38"/>
  <c r="AC879" i="38"/>
  <c r="Y879" i="38"/>
  <c r="AC943" i="38"/>
  <c r="Y943" i="38"/>
  <c r="Y1007" i="38"/>
  <c r="AC1111" i="38"/>
  <c r="Y1111" i="38"/>
  <c r="Y1119" i="38"/>
  <c r="Y1175" i="38"/>
  <c r="AC1175" i="38"/>
  <c r="Y1239" i="38"/>
  <c r="AC1239" i="38"/>
  <c r="Y377" i="38"/>
  <c r="AC40" i="38"/>
  <c r="Y40" i="38"/>
  <c r="AC168" i="38"/>
  <c r="Y168" i="38"/>
  <c r="AC568" i="38"/>
  <c r="AC632" i="38"/>
  <c r="Y696" i="38"/>
  <c r="Y1116" i="38"/>
  <c r="AC1148" i="38"/>
  <c r="AC215" i="38"/>
  <c r="Y215" i="38"/>
  <c r="AC112" i="38"/>
  <c r="Y112" i="38"/>
  <c r="AC136" i="38"/>
  <c r="Y152" i="38"/>
  <c r="AC152" i="38"/>
  <c r="Y176" i="38"/>
  <c r="AC176" i="38"/>
  <c r="AC712" i="38"/>
  <c r="AC200" i="38"/>
  <c r="Y329" i="38"/>
  <c r="Y184" i="38"/>
  <c r="Y120" i="38"/>
  <c r="AC1297" i="38"/>
  <c r="AC584" i="38"/>
  <c r="Y1127" i="38"/>
  <c r="Y831" i="38"/>
  <c r="Y83" i="38"/>
  <c r="Y699" i="38"/>
  <c r="Y1063" i="38"/>
  <c r="Y443" i="38"/>
  <c r="AC1611" i="38"/>
  <c r="AC831" i="38"/>
  <c r="AC19" i="38"/>
  <c r="AC895" i="38"/>
  <c r="AC959" i="38"/>
  <c r="AC1191" i="38"/>
  <c r="Y131" i="38"/>
  <c r="Y218" i="38"/>
  <c r="Y1191" i="38"/>
  <c r="AC767" i="38"/>
  <c r="AC218" i="38"/>
  <c r="AC1278" i="38"/>
  <c r="AC1425" i="38"/>
  <c r="Y1553" i="38"/>
  <c r="AC738" i="38"/>
  <c r="Y802" i="38"/>
  <c r="AC839" i="38"/>
  <c r="AC967" i="38"/>
  <c r="AC1433" i="38"/>
  <c r="AC1401" i="38"/>
  <c r="AC1369" i="38"/>
  <c r="Y1273" i="38"/>
  <c r="Y1478" i="38"/>
  <c r="Y1401" i="38"/>
  <c r="Y922" i="38"/>
  <c r="Y1465" i="38"/>
  <c r="Y810" i="38"/>
  <c r="Y738" i="38"/>
  <c r="Y128" i="38"/>
  <c r="Y720" i="38"/>
  <c r="Y139" i="38"/>
  <c r="Y192" i="38"/>
  <c r="AC1135" i="38"/>
  <c r="AC656" i="38"/>
  <c r="Y656" i="38"/>
  <c r="AC263" i="38"/>
  <c r="Y263" i="38"/>
  <c r="Y903" i="38"/>
  <c r="AC401" i="38"/>
  <c r="Y401" i="38"/>
  <c r="AC1462" i="38"/>
  <c r="Y1199" i="38"/>
  <c r="Y1135" i="38"/>
  <c r="Y839" i="38"/>
  <c r="AC337" i="38"/>
  <c r="Y643" i="38"/>
  <c r="AC451" i="38"/>
  <c r="Y818" i="38"/>
  <c r="AC1430" i="38"/>
  <c r="Y911" i="38"/>
  <c r="Y1207" i="38"/>
  <c r="Y1795" i="38"/>
  <c r="AC1143" i="38"/>
  <c r="AC1795" i="38"/>
  <c r="AC911" i="38"/>
  <c r="Y651" i="38"/>
  <c r="AC147" i="38"/>
  <c r="Y136" i="38"/>
  <c r="AC24" i="38"/>
  <c r="AC1116" i="38"/>
  <c r="AC728" i="38"/>
  <c r="Y24" i="38"/>
  <c r="Y600" i="38"/>
  <c r="Y874" i="38"/>
  <c r="Y1079" i="38"/>
  <c r="Y975" i="38"/>
  <c r="Y1441" i="38"/>
  <c r="Y1502" i="38"/>
  <c r="AC847" i="38"/>
  <c r="AC994" i="38"/>
  <c r="AC48" i="38"/>
  <c r="Y847" i="38"/>
  <c r="AC27" i="38"/>
  <c r="Y1409" i="38"/>
  <c r="Y1377" i="38"/>
  <c r="AC715" i="38"/>
  <c r="AC579" i="38"/>
  <c r="Y203" i="38"/>
  <c r="AC746" i="38"/>
  <c r="AC1441" i="38"/>
  <c r="Y147" i="38"/>
  <c r="Y281" i="38"/>
  <c r="AC707" i="38"/>
  <c r="Y587" i="38"/>
  <c r="AC75" i="38"/>
  <c r="Y826" i="38"/>
  <c r="Y754" i="38"/>
  <c r="Y1473" i="38"/>
  <c r="AC459" i="38"/>
  <c r="Y75" i="38"/>
  <c r="Y459" i="38"/>
  <c r="Y1390" i="38"/>
  <c r="Y226" i="38"/>
  <c r="AC1281" i="38"/>
  <c r="Y746" i="38"/>
  <c r="AC919" i="38"/>
  <c r="AC659" i="38"/>
  <c r="AC91" i="38"/>
  <c r="Y91" i="38"/>
  <c r="AC35" i="38"/>
  <c r="AC417" i="38"/>
  <c r="Y417" i="38"/>
  <c r="Y207" i="38"/>
  <c r="Y1510" i="38"/>
  <c r="AC1510" i="38"/>
  <c r="AC608" i="38"/>
  <c r="Y608" i="38"/>
  <c r="AC56" i="38"/>
  <c r="AC289" i="38"/>
  <c r="Y289" i="38"/>
  <c r="AC144" i="38"/>
  <c r="Y144" i="38"/>
  <c r="Y659" i="38"/>
  <c r="Y35" i="38"/>
  <c r="Y1215" i="38"/>
  <c r="AC1215" i="38"/>
  <c r="AC723" i="38"/>
  <c r="Y723" i="38"/>
  <c r="Y56" i="38"/>
  <c r="AC1196" i="38"/>
  <c r="AC1254" i="38"/>
  <c r="Y236" i="38"/>
  <c r="AC1366" i="38"/>
  <c r="Y1124" i="38"/>
  <c r="AC595" i="38"/>
  <c r="Y595" i="38"/>
  <c r="Y672" i="38"/>
  <c r="AC672" i="38"/>
  <c r="Y1571" i="38"/>
  <c r="AC1571" i="38"/>
  <c r="AC32" i="38"/>
  <c r="Y32" i="38"/>
  <c r="Y1087" i="38"/>
  <c r="Y762" i="38"/>
  <c r="Y898" i="38"/>
  <c r="Y834" i="38"/>
  <c r="AC898" i="38"/>
  <c r="Y970" i="38"/>
  <c r="AC970" i="38"/>
  <c r="AC1167" i="38"/>
  <c r="AC1076" i="38"/>
  <c r="Y72" i="38"/>
  <c r="AC72" i="38"/>
  <c r="Y369" i="38"/>
  <c r="AC688" i="38"/>
  <c r="Y688" i="38"/>
  <c r="AC1374" i="38"/>
  <c r="Y1374" i="38"/>
  <c r="Y946" i="38"/>
  <c r="AC946" i="38"/>
  <c r="AC850" i="38"/>
  <c r="Y850" i="38"/>
  <c r="AC547" i="38"/>
  <c r="Y547" i="38"/>
  <c r="AC107" i="38"/>
  <c r="Y1167" i="38"/>
  <c r="Y906" i="38"/>
  <c r="AC906" i="38"/>
  <c r="AC1270" i="38"/>
  <c r="Y1270" i="38"/>
  <c r="AC1212" i="38"/>
  <c r="Y871" i="38"/>
  <c r="Y1140" i="38"/>
  <c r="AC171" i="38"/>
  <c r="Y624" i="38"/>
  <c r="AC305" i="38"/>
  <c r="Y305" i="38"/>
  <c r="AC252" i="38"/>
  <c r="Y160" i="38"/>
  <c r="AC369" i="38"/>
  <c r="Y107" i="38"/>
  <c r="AC978" i="38"/>
  <c r="Y978" i="38"/>
  <c r="Y1231" i="38"/>
  <c r="AC1231" i="38"/>
  <c r="AC1526" i="38"/>
  <c r="Y1526" i="38"/>
  <c r="AC195" i="38"/>
  <c r="Y195" i="38"/>
  <c r="AC999" i="38"/>
  <c r="Y999" i="38"/>
  <c r="AC743" i="38"/>
  <c r="Y675" i="38"/>
  <c r="AC675" i="38"/>
  <c r="AC624" i="38"/>
  <c r="AC223" i="38"/>
  <c r="Y223" i="38"/>
  <c r="Y171" i="38"/>
  <c r="Y1247" i="38"/>
  <c r="AC210" i="38"/>
  <c r="AC887" i="38"/>
  <c r="AC759" i="38"/>
  <c r="Y1092" i="38"/>
  <c r="AC1092" i="38"/>
  <c r="AC627" i="38"/>
  <c r="AC123" i="38"/>
  <c r="Y123" i="38"/>
  <c r="AC640" i="38"/>
  <c r="Y385" i="38"/>
  <c r="AC385" i="38"/>
  <c r="AC704" i="38"/>
  <c r="Y704" i="38"/>
  <c r="AC1247" i="38"/>
  <c r="AC1454" i="38"/>
  <c r="Y1382" i="38"/>
  <c r="AC1382" i="38"/>
  <c r="Y1183" i="38"/>
  <c r="AC1183" i="38"/>
  <c r="Y1542" i="38"/>
  <c r="Y1286" i="38"/>
  <c r="Y1228" i="38"/>
  <c r="AC866" i="38"/>
  <c r="AC951" i="38"/>
  <c r="Y951" i="38"/>
  <c r="AC823" i="38"/>
  <c r="Y823" i="38"/>
  <c r="AC1156" i="38"/>
  <c r="Y691" i="38"/>
  <c r="AC563" i="38"/>
  <c r="AC435" i="38"/>
  <c r="Y435" i="38"/>
  <c r="Y640" i="38"/>
  <c r="Y759" i="38"/>
  <c r="AC1417" i="38"/>
  <c r="Y1289" i="38"/>
  <c r="AC1289" i="38"/>
  <c r="AC1159" i="38"/>
  <c r="AC770" i="38"/>
  <c r="Y770" i="38"/>
  <c r="AC863" i="38"/>
  <c r="AC1132" i="38"/>
  <c r="AC99" i="38"/>
  <c r="AC361" i="38"/>
  <c r="Y361" i="38"/>
  <c r="AC691" i="38"/>
  <c r="Y627" i="38"/>
  <c r="AC1262" i="38"/>
  <c r="Y1262" i="38"/>
  <c r="AC1204" i="38"/>
  <c r="AC187" i="38"/>
  <c r="AC991" i="38"/>
  <c r="Y991" i="38"/>
  <c r="AC667" i="38"/>
  <c r="Y667" i="38"/>
  <c r="AC425" i="38"/>
  <c r="Y425" i="38"/>
  <c r="AC680" i="38"/>
  <c r="Y680" i="38"/>
  <c r="Y563" i="38"/>
  <c r="AC1385" i="38"/>
  <c r="Y1385" i="38"/>
  <c r="Y1095" i="38"/>
  <c r="AC799" i="38"/>
  <c r="AC1068" i="38"/>
  <c r="Y1068" i="38"/>
  <c r="AC539" i="38"/>
  <c r="Y539" i="38"/>
  <c r="AC43" i="38"/>
  <c r="AC297" i="38"/>
  <c r="Y297" i="38"/>
  <c r="Y187" i="38"/>
  <c r="Y1449" i="38"/>
  <c r="Y1486" i="38"/>
  <c r="AC1486" i="38"/>
  <c r="Y1153" i="38"/>
  <c r="Y1223" i="38"/>
  <c r="AC1223" i="38"/>
  <c r="AC1518" i="38"/>
  <c r="AC842" i="38"/>
  <c r="Y842" i="38"/>
  <c r="AC927" i="38"/>
  <c r="Y735" i="38"/>
  <c r="AC603" i="38"/>
  <c r="AC64" i="38"/>
  <c r="Y244" i="38"/>
  <c r="AC244" i="38"/>
  <c r="Y1004" i="38"/>
  <c r="Y1159" i="38"/>
  <c r="AC1095" i="38"/>
  <c r="Y927" i="38"/>
  <c r="AC735" i="38"/>
  <c r="AC1542" i="38"/>
  <c r="Y1518" i="38"/>
  <c r="AC1286" i="38"/>
  <c r="AC1438" i="38"/>
  <c r="Y1438" i="38"/>
  <c r="Y1366" i="38"/>
  <c r="AC1534" i="38"/>
  <c r="Y1457" i="38"/>
  <c r="Y683" i="38"/>
  <c r="Y555" i="38"/>
  <c r="Y619" i="38"/>
  <c r="AC555" i="38"/>
  <c r="Y179" i="38"/>
  <c r="Y115" i="38"/>
  <c r="Y858" i="38"/>
  <c r="Y1425" i="38"/>
  <c r="Y1297" i="38"/>
  <c r="Y1278" i="38"/>
  <c r="Y882" i="38"/>
  <c r="Y914" i="38"/>
  <c r="AC1683" i="38"/>
  <c r="Y1683" i="38"/>
  <c r="Q93" i="65"/>
  <c r="Q95" i="65" s="1"/>
  <c r="Q98" i="65" s="1"/>
  <c r="M93" i="65"/>
  <c r="M95" i="65"/>
  <c r="M98" i="65"/>
  <c r="M36" i="65"/>
  <c r="R93" i="65"/>
  <c r="O93" i="65"/>
  <c r="O95" i="65" s="1"/>
  <c r="O98" i="65" s="1"/>
  <c r="P93" i="65"/>
  <c r="P95" i="65"/>
  <c r="P98" i="65"/>
  <c r="S93" i="65"/>
  <c r="S95" i="65" s="1"/>
  <c r="S98" i="65" s="1"/>
  <c r="N93" i="65"/>
  <c r="N95" i="65"/>
  <c r="N98" i="65"/>
  <c r="N36" i="65"/>
  <c r="R95" i="65"/>
  <c r="R98" i="65"/>
  <c r="D11" i="24"/>
  <c r="D22" i="24"/>
  <c r="D9" i="23"/>
  <c r="G4" i="46"/>
  <c r="H4" i="46"/>
  <c r="D44" i="18"/>
  <c r="F8" i="46"/>
  <c r="D45" i="18"/>
  <c r="I12" i="46"/>
  <c r="J12" i="46"/>
  <c r="K12" i="46"/>
  <c r="L12" i="46"/>
  <c r="M12" i="46"/>
  <c r="N12" i="46"/>
  <c r="O12" i="46"/>
  <c r="P12" i="46"/>
  <c r="Q12" i="46"/>
  <c r="R12" i="46"/>
  <c r="S12" i="46"/>
  <c r="T12" i="46"/>
  <c r="W12" i="46"/>
  <c r="X12" i="46"/>
  <c r="Y12" i="46"/>
  <c r="Z12" i="46"/>
  <c r="AA12" i="46"/>
  <c r="AB12" i="46"/>
  <c r="AC12" i="46"/>
  <c r="AD12" i="46"/>
  <c r="AE12" i="46"/>
  <c r="AF12" i="46"/>
  <c r="AG12" i="46"/>
  <c r="AH12" i="46"/>
  <c r="F13" i="46"/>
  <c r="G15" i="46"/>
  <c r="H15" i="46"/>
  <c r="W15" i="46"/>
  <c r="AD15" i="46"/>
  <c r="AE15" i="46"/>
  <c r="AF15" i="46"/>
  <c r="AG15" i="46"/>
  <c r="AH15" i="46"/>
  <c r="D42" i="18"/>
  <c r="D43" i="18"/>
  <c r="F20" i="46"/>
  <c r="U24" i="46"/>
  <c r="U26" i="46" s="1"/>
  <c r="F26" i="46"/>
  <c r="D4" i="45"/>
  <c r="S6" i="45"/>
  <c r="S7" i="45"/>
  <c r="S8" i="45"/>
  <c r="T8" i="45"/>
  <c r="U8" i="45"/>
  <c r="V8" i="45"/>
  <c r="W8" i="45"/>
  <c r="S9" i="45"/>
  <c r="T9" i="45"/>
  <c r="U9" i="45"/>
  <c r="V9" i="45"/>
  <c r="W9" i="45"/>
  <c r="S10" i="45"/>
  <c r="T10" i="45"/>
  <c r="U10" i="45"/>
  <c r="V10" i="45"/>
  <c r="W10" i="45"/>
  <c r="S11" i="45"/>
  <c r="T11" i="45"/>
  <c r="U11" i="45"/>
  <c r="V11" i="45"/>
  <c r="W11" i="45"/>
  <c r="S12" i="45"/>
  <c r="T12" i="45"/>
  <c r="U12" i="45"/>
  <c r="V12" i="45"/>
  <c r="W12" i="45"/>
  <c r="S13" i="45"/>
  <c r="T13" i="45"/>
  <c r="U13" i="45"/>
  <c r="V13" i="45"/>
  <c r="W13" i="45"/>
  <c r="S15" i="45"/>
  <c r="T15" i="45"/>
  <c r="U15" i="45"/>
  <c r="V15" i="45"/>
  <c r="W15" i="45"/>
  <c r="AN15" i="45"/>
  <c r="D18" i="45"/>
  <c r="E18" i="45"/>
  <c r="S22" i="45"/>
  <c r="T22" i="45"/>
  <c r="U22" i="45"/>
  <c r="V22" i="45"/>
  <c r="W22" i="45"/>
  <c r="S23" i="45"/>
  <c r="T23" i="45"/>
  <c r="U23" i="45"/>
  <c r="V23" i="45"/>
  <c r="W23" i="45"/>
  <c r="S24" i="45"/>
  <c r="T24" i="45"/>
  <c r="U24" i="45"/>
  <c r="V24" i="45"/>
  <c r="W24" i="45"/>
  <c r="S25" i="45"/>
  <c r="T25" i="45"/>
  <c r="U25" i="45"/>
  <c r="V25" i="45"/>
  <c r="W25" i="45"/>
  <c r="S26" i="45"/>
  <c r="T26" i="45"/>
  <c r="U26" i="45"/>
  <c r="V26" i="45"/>
  <c r="W26" i="45"/>
  <c r="S27" i="45"/>
  <c r="T27" i="45"/>
  <c r="U27" i="45"/>
  <c r="V27" i="45"/>
  <c r="W27" i="45"/>
  <c r="S29" i="45"/>
  <c r="T29" i="45"/>
  <c r="U29" i="45"/>
  <c r="V29" i="45"/>
  <c r="W29" i="45"/>
  <c r="AN29" i="45"/>
  <c r="J19" i="43"/>
  <c r="K19" i="43"/>
  <c r="L19" i="43"/>
  <c r="M19" i="43"/>
  <c r="N19" i="43"/>
  <c r="O19" i="43"/>
  <c r="P19" i="43"/>
  <c r="J21" i="42"/>
  <c r="K21" i="42"/>
  <c r="L21" i="42"/>
  <c r="M21" i="42"/>
  <c r="N21" i="42"/>
  <c r="O21" i="42"/>
  <c r="P21" i="42"/>
  <c r="C24" i="42"/>
  <c r="C26" i="42"/>
  <c r="C27" i="42"/>
  <c r="C28" i="42"/>
  <c r="C29" i="42"/>
  <c r="C30" i="42"/>
  <c r="C31" i="42"/>
  <c r="C33" i="42"/>
  <c r="C35" i="42"/>
  <c r="E37" i="42"/>
  <c r="F37" i="42"/>
  <c r="G37" i="42"/>
  <c r="H37" i="42"/>
  <c r="E39" i="42"/>
  <c r="F39" i="42"/>
  <c r="G39" i="42"/>
  <c r="H39" i="42"/>
  <c r="J39" i="42"/>
  <c r="K39" i="42"/>
  <c r="L39" i="42"/>
  <c r="M39" i="42"/>
  <c r="N39" i="42"/>
  <c r="O39" i="42"/>
  <c r="P39" i="42"/>
  <c r="C47" i="42"/>
  <c r="B2" i="31"/>
  <c r="B24" i="31"/>
  <c r="B25" i="31"/>
  <c r="B26" i="31"/>
  <c r="B27" i="31"/>
  <c r="B28" i="31"/>
  <c r="B29" i="31"/>
  <c r="B30" i="31"/>
  <c r="B2" i="37"/>
  <c r="M364" i="37"/>
  <c r="M366" i="37"/>
  <c r="N364" i="37"/>
  <c r="N366" i="37"/>
  <c r="O364" i="37"/>
  <c r="O366" i="37"/>
  <c r="P364" i="37"/>
  <c r="P366" i="37"/>
  <c r="Q364" i="37"/>
  <c r="Q366" i="37"/>
  <c r="R364" i="37"/>
  <c r="R366" i="37"/>
  <c r="S364" i="37"/>
  <c r="S366" i="37"/>
  <c r="M399" i="37"/>
  <c r="M401" i="37"/>
  <c r="M404" i="37"/>
  <c r="M406" i="37"/>
  <c r="N399" i="37"/>
  <c r="O399" i="37"/>
  <c r="O401" i="37"/>
  <c r="O404" i="37"/>
  <c r="O406" i="37"/>
  <c r="P399" i="37"/>
  <c r="P401" i="37"/>
  <c r="P404" i="37"/>
  <c r="P406" i="37"/>
  <c r="Q399" i="37"/>
  <c r="Q401" i="37"/>
  <c r="Q404" i="37"/>
  <c r="Q406" i="37"/>
  <c r="R399" i="37"/>
  <c r="R401" i="37"/>
  <c r="R404" i="37"/>
  <c r="R406" i="37"/>
  <c r="S399" i="37"/>
  <c r="S401" i="37"/>
  <c r="S404" i="37"/>
  <c r="S406" i="37"/>
  <c r="N401" i="37"/>
  <c r="N404" i="37"/>
  <c r="N406" i="37"/>
  <c r="B2" i="72"/>
  <c r="I11" i="72"/>
  <c r="J11" i="72"/>
  <c r="K11" i="72"/>
  <c r="L11" i="72"/>
  <c r="M11" i="72"/>
  <c r="B2" i="12"/>
  <c r="B2" i="33"/>
  <c r="B27" i="33"/>
  <c r="B124" i="33"/>
  <c r="B116" i="33"/>
  <c r="C14" i="24"/>
  <c r="B41" i="33"/>
  <c r="B125" i="33"/>
  <c r="B117" i="33"/>
  <c r="C15" i="24"/>
  <c r="B45" i="33"/>
  <c r="O45" i="33" s="1"/>
  <c r="D45" i="33"/>
  <c r="B46" i="33"/>
  <c r="O46" i="33" s="1"/>
  <c r="D46" i="33"/>
  <c r="B47" i="33"/>
  <c r="O47" i="33" s="1"/>
  <c r="D47" i="33"/>
  <c r="B55" i="33"/>
  <c r="B126" i="33"/>
  <c r="B118" i="33"/>
  <c r="C16" i="24"/>
  <c r="B58" i="33"/>
  <c r="R58" i="33" s="1"/>
  <c r="D58" i="33"/>
  <c r="B59" i="33"/>
  <c r="Q59" i="33" s="1"/>
  <c r="D59" i="33"/>
  <c r="D62" i="33" s="1"/>
  <c r="D67" i="33" s="1"/>
  <c r="D38" i="28" s="1"/>
  <c r="B60" i="33"/>
  <c r="P60" i="33" s="1"/>
  <c r="D60" i="33"/>
  <c r="B61" i="33"/>
  <c r="O61" i="33" s="1"/>
  <c r="D61" i="33"/>
  <c r="M61" i="33"/>
  <c r="B69" i="33"/>
  <c r="B127" i="33"/>
  <c r="B119" i="33"/>
  <c r="C17" i="24"/>
  <c r="B74" i="33"/>
  <c r="O74" i="33" s="1"/>
  <c r="D74" i="33"/>
  <c r="B75" i="33"/>
  <c r="O75" i="33" s="1"/>
  <c r="D75" i="33"/>
  <c r="B83" i="33"/>
  <c r="B87" i="33"/>
  <c r="S87" i="33" s="1"/>
  <c r="D87" i="33"/>
  <c r="B88" i="33"/>
  <c r="N88" i="33" s="1"/>
  <c r="M88" i="33"/>
  <c r="D88" i="33"/>
  <c r="B89" i="33"/>
  <c r="N89" i="33" s="1"/>
  <c r="D89" i="33"/>
  <c r="B97" i="33"/>
  <c r="B129" i="33"/>
  <c r="B121" i="33"/>
  <c r="C19" i="24"/>
  <c r="B100" i="33"/>
  <c r="N100" i="33" s="1"/>
  <c r="D100" i="33"/>
  <c r="B101" i="33"/>
  <c r="N101" i="33" s="1"/>
  <c r="D101" i="33"/>
  <c r="B102" i="33"/>
  <c r="Q102" i="33" s="1"/>
  <c r="D102" i="33"/>
  <c r="D104" i="33" s="1"/>
  <c r="D109" i="33" s="1"/>
  <c r="D41" i="28" s="1"/>
  <c r="B103" i="33"/>
  <c r="O103" i="33" s="1"/>
  <c r="D103" i="33"/>
  <c r="B128" i="33"/>
  <c r="B120" i="33"/>
  <c r="C18" i="24"/>
  <c r="B136" i="33"/>
  <c r="C25" i="24"/>
  <c r="B137" i="33"/>
  <c r="C26" i="24"/>
  <c r="B138" i="33"/>
  <c r="C27" i="24"/>
  <c r="B139" i="33"/>
  <c r="C28" i="24"/>
  <c r="B140" i="33"/>
  <c r="C29" i="24"/>
  <c r="B141" i="33"/>
  <c r="C30" i="24"/>
  <c r="B144" i="33"/>
  <c r="B145" i="33"/>
  <c r="M145" i="33"/>
  <c r="B146" i="33"/>
  <c r="M146" i="33"/>
  <c r="B148" i="33"/>
  <c r="M148" i="33"/>
  <c r="M149" i="33"/>
  <c r="D157" i="33"/>
  <c r="B2" i="70"/>
  <c r="H6" i="70"/>
  <c r="M6" i="70"/>
  <c r="O6" i="70"/>
  <c r="P48" i="70"/>
  <c r="Q48" i="70"/>
  <c r="R48" i="70"/>
  <c r="S48" i="70"/>
  <c r="L25" i="70"/>
  <c r="L26" i="70"/>
  <c r="L27" i="70"/>
  <c r="L111" i="70"/>
  <c r="L123" i="70"/>
  <c r="B2" i="38"/>
  <c r="B2" i="68"/>
  <c r="N63" i="68"/>
  <c r="N60" i="31"/>
  <c r="O63" i="68"/>
  <c r="O60" i="31" s="1"/>
  <c r="P63" i="68"/>
  <c r="P60" i="31" s="1"/>
  <c r="Q63" i="68"/>
  <c r="Q60" i="31" s="1"/>
  <c r="R63" i="68"/>
  <c r="R60" i="31"/>
  <c r="S63" i="68"/>
  <c r="S60" i="31" s="1"/>
  <c r="B2" i="65"/>
  <c r="H51" i="42"/>
  <c r="E52" i="42"/>
  <c r="H52" i="42"/>
  <c r="I39" i="42"/>
  <c r="I221" i="65"/>
  <c r="T6" i="45"/>
  <c r="J221" i="65"/>
  <c r="U6" i="45"/>
  <c r="U14" i="45" s="1"/>
  <c r="U16" i="45" s="1"/>
  <c r="K221" i="65"/>
  <c r="V6" i="45"/>
  <c r="L221" i="65"/>
  <c r="W6" i="45"/>
  <c r="I222" i="65"/>
  <c r="T7" i="45"/>
  <c r="J222" i="65"/>
  <c r="U7" i="45"/>
  <c r="K222" i="65"/>
  <c r="V7" i="45"/>
  <c r="L222" i="65"/>
  <c r="W7" i="45"/>
  <c r="H230" i="65"/>
  <c r="H235" i="65" s="1"/>
  <c r="H257" i="65"/>
  <c r="S20" i="45"/>
  <c r="I257" i="65"/>
  <c r="T20" i="45"/>
  <c r="J257" i="65"/>
  <c r="U20" i="45"/>
  <c r="K257" i="65"/>
  <c r="V20" i="45"/>
  <c r="L257" i="65"/>
  <c r="W20" i="45"/>
  <c r="H258" i="65"/>
  <c r="S21" i="45"/>
  <c r="I258" i="65"/>
  <c r="T21" i="45"/>
  <c r="J258" i="65"/>
  <c r="U21" i="45"/>
  <c r="K258" i="65"/>
  <c r="V21" i="45"/>
  <c r="L258" i="65"/>
  <c r="W21" i="45"/>
  <c r="E21" i="43"/>
  <c r="H22" i="43"/>
  <c r="E23" i="43"/>
  <c r="G23" i="43"/>
  <c r="F24" i="43"/>
  <c r="H24" i="43"/>
  <c r="E26" i="43"/>
  <c r="H27" i="43"/>
  <c r="K6" i="46"/>
  <c r="K8" i="46" s="1"/>
  <c r="M6" i="46"/>
  <c r="M8" i="46" s="1"/>
  <c r="J11" i="46"/>
  <c r="J13" i="46" s="1"/>
  <c r="I17" i="46"/>
  <c r="M17" i="46"/>
  <c r="B2" i="10"/>
  <c r="N14" i="10"/>
  <c r="B37" i="10"/>
  <c r="B13" i="33"/>
  <c r="B38" i="10"/>
  <c r="B14" i="33"/>
  <c r="B39" i="10"/>
  <c r="B15" i="33"/>
  <c r="B40" i="10"/>
  <c r="B16" i="33"/>
  <c r="B41" i="10"/>
  <c r="B17" i="33"/>
  <c r="B42" i="10"/>
  <c r="B18" i="33"/>
  <c r="B43" i="10"/>
  <c r="B19" i="33"/>
  <c r="B44" i="10"/>
  <c r="B20" i="33"/>
  <c r="B45" i="10"/>
  <c r="B21" i="33"/>
  <c r="B46" i="10"/>
  <c r="B22" i="33"/>
  <c r="B47" i="10"/>
  <c r="B23" i="33"/>
  <c r="B48" i="10"/>
  <c r="B24" i="33"/>
  <c r="B49" i="10"/>
  <c r="B25" i="33"/>
  <c r="M137" i="10"/>
  <c r="N137" i="10"/>
  <c r="O137" i="10"/>
  <c r="P137" i="10"/>
  <c r="Q137" i="10"/>
  <c r="R137" i="10"/>
  <c r="S137" i="10"/>
  <c r="T137" i="10"/>
  <c r="U137" i="10"/>
  <c r="B2" i="28"/>
  <c r="H3" i="28"/>
  <c r="H3" i="76"/>
  <c r="B20" i="28"/>
  <c r="B21" i="28"/>
  <c r="B22" i="28"/>
  <c r="B23" i="28"/>
  <c r="B24" i="28"/>
  <c r="B25" i="28"/>
  <c r="B28" i="28"/>
  <c r="B29" i="28"/>
  <c r="B30" i="28"/>
  <c r="B31" i="28"/>
  <c r="B36" i="28"/>
  <c r="B37" i="28"/>
  <c r="B38" i="28"/>
  <c r="B39" i="28"/>
  <c r="B40" i="28"/>
  <c r="B41" i="28"/>
  <c r="B44" i="28"/>
  <c r="B45" i="28"/>
  <c r="B46" i="28"/>
  <c r="B47" i="28"/>
  <c r="B50" i="28"/>
  <c r="B51" i="28"/>
  <c r="B52" i="28"/>
  <c r="B53" i="28"/>
  <c r="B54" i="28"/>
  <c r="B55" i="28"/>
  <c r="B56" i="28"/>
  <c r="B57" i="28"/>
  <c r="B60" i="28"/>
  <c r="B61" i="28"/>
  <c r="B62" i="28"/>
  <c r="B63" i="28"/>
  <c r="B64" i="28"/>
  <c r="B65" i="28"/>
  <c r="B66" i="28"/>
  <c r="B67" i="28"/>
  <c r="B68" i="28"/>
  <c r="B69" i="28"/>
  <c r="B70" i="28"/>
  <c r="B71" i="28"/>
  <c r="B74" i="28"/>
  <c r="B75" i="28"/>
  <c r="B76" i="28"/>
  <c r="B77" i="28"/>
  <c r="B78" i="28"/>
  <c r="B79" i="28"/>
  <c r="B80" i="28"/>
  <c r="B81" i="28"/>
  <c r="B82" i="28"/>
  <c r="B83" i="28"/>
  <c r="B84" i="28"/>
  <c r="B85" i="28"/>
  <c r="B86" i="28"/>
  <c r="B87" i="28"/>
  <c r="B88" i="28"/>
  <c r="B89" i="28"/>
  <c r="B90" i="28"/>
  <c r="B91" i="28"/>
  <c r="B92" i="28"/>
  <c r="B93" i="28"/>
  <c r="B94" i="28"/>
  <c r="B95" i="28"/>
  <c r="B96" i="28"/>
  <c r="B97" i="28"/>
  <c r="H3" i="68"/>
  <c r="M44" i="68"/>
  <c r="H4" i="28"/>
  <c r="H4" i="76"/>
  <c r="D48" i="33"/>
  <c r="D53" i="33" s="1"/>
  <c r="D37" i="28" s="1"/>
  <c r="Q44" i="68"/>
  <c r="L118" i="70"/>
  <c r="L18" i="70" s="1"/>
  <c r="O44" i="68"/>
  <c r="B147" i="33"/>
  <c r="M101" i="33"/>
  <c r="M103" i="33"/>
  <c r="M58" i="33"/>
  <c r="M45" i="33"/>
  <c r="B149" i="33"/>
  <c r="J266" i="65"/>
  <c r="J269" i="65"/>
  <c r="I230" i="65"/>
  <c r="I233" i="65"/>
  <c r="J230" i="65"/>
  <c r="J233" i="65"/>
  <c r="I26" i="43"/>
  <c r="I21" i="43"/>
  <c r="W28" i="45"/>
  <c r="W30" i="45"/>
  <c r="S28" i="45"/>
  <c r="S30" i="45"/>
  <c r="U28" i="45"/>
  <c r="U30" i="45"/>
  <c r="W14" i="45"/>
  <c r="W16" i="45" s="1"/>
  <c r="T14" i="45"/>
  <c r="T16" i="45"/>
  <c r="T33" i="45"/>
  <c r="O176" i="33"/>
  <c r="O158" i="33"/>
  <c r="D101" i="10"/>
  <c r="D103" i="10" s="1"/>
  <c r="D23" i="28" s="1"/>
  <c r="D91" i="10"/>
  <c r="D93" i="10" s="1"/>
  <c r="D22" i="28" s="1"/>
  <c r="I4" i="10"/>
  <c r="L266" i="65"/>
  <c r="L269" i="65"/>
  <c r="T28" i="45"/>
  <c r="T30" i="45"/>
  <c r="V14" i="45"/>
  <c r="V16" i="45" s="1"/>
  <c r="N158" i="33"/>
  <c r="N176" i="33"/>
  <c r="K266" i="65"/>
  <c r="K269" i="65"/>
  <c r="P158" i="33"/>
  <c r="P176" i="33"/>
  <c r="I266" i="65"/>
  <c r="I269" i="65"/>
  <c r="M158" i="33"/>
  <c r="M163" i="33"/>
  <c r="M176" i="33"/>
  <c r="D81" i="10"/>
  <c r="D83" i="10" s="1"/>
  <c r="D21" i="28" s="1"/>
  <c r="I3" i="10"/>
  <c r="H266" i="65"/>
  <c r="H269" i="65"/>
  <c r="V28" i="45"/>
  <c r="V30" i="45"/>
  <c r="H3" i="65"/>
  <c r="H4" i="37"/>
  <c r="H11" i="37"/>
  <c r="S158" i="33"/>
  <c r="S176" i="33"/>
  <c r="H5" i="28"/>
  <c r="H5" i="76"/>
  <c r="H3" i="37"/>
  <c r="H3" i="31"/>
  <c r="H3" i="12"/>
  <c r="H3" i="72"/>
  <c r="H3" i="33"/>
  <c r="H3" i="70"/>
  <c r="R176" i="33"/>
  <c r="R158" i="33"/>
  <c r="L230" i="65"/>
  <c r="L233" i="65" s="1"/>
  <c r="Q176" i="33"/>
  <c r="Q158" i="33"/>
  <c r="D121" i="10"/>
  <c r="D123" i="10" s="1"/>
  <c r="D25" i="28" s="1"/>
  <c r="G22" i="24"/>
  <c r="K230" i="65"/>
  <c r="K235" i="65" s="1"/>
  <c r="K233" i="65"/>
  <c r="M60" i="33"/>
  <c r="M100" i="33"/>
  <c r="M75" i="33"/>
  <c r="M59" i="33"/>
  <c r="M46" i="33"/>
  <c r="N11" i="72"/>
  <c r="D366" i="37"/>
  <c r="D93" i="28"/>
  <c r="D406" i="37"/>
  <c r="D95" i="28"/>
  <c r="Q39" i="42"/>
  <c r="S14" i="45"/>
  <c r="S16" i="45" s="1"/>
  <c r="U34" i="45"/>
  <c r="H4" i="31"/>
  <c r="H4" i="70"/>
  <c r="H4" i="33"/>
  <c r="I3" i="28"/>
  <c r="I3" i="76"/>
  <c r="H4" i="68"/>
  <c r="H4" i="12"/>
  <c r="H4" i="65"/>
  <c r="H4" i="72"/>
  <c r="W34" i="45"/>
  <c r="V34" i="45"/>
  <c r="S34" i="45"/>
  <c r="R168" i="33"/>
  <c r="S168" i="33"/>
  <c r="O11" i="72"/>
  <c r="P166" i="33"/>
  <c r="Q166" i="33"/>
  <c r="R166" i="33"/>
  <c r="S166" i="33"/>
  <c r="H5" i="37"/>
  <c r="H5" i="31"/>
  <c r="H5" i="72"/>
  <c r="H5" i="12"/>
  <c r="H5" i="33"/>
  <c r="H5" i="70"/>
  <c r="H5" i="68"/>
  <c r="H5" i="65"/>
  <c r="I5" i="10"/>
  <c r="S169" i="33"/>
  <c r="N163" i="33"/>
  <c r="O163" i="33"/>
  <c r="P163" i="33"/>
  <c r="Q163" i="33"/>
  <c r="R163" i="33"/>
  <c r="S163" i="33"/>
  <c r="N164" i="33"/>
  <c r="O164" i="33"/>
  <c r="P164" i="33"/>
  <c r="Q164" i="33"/>
  <c r="R164" i="33"/>
  <c r="S164" i="33"/>
  <c r="I3" i="37"/>
  <c r="I3" i="31"/>
  <c r="I3" i="72"/>
  <c r="I3" i="12"/>
  <c r="I3" i="70"/>
  <c r="I3" i="33"/>
  <c r="I3" i="68"/>
  <c r="I3" i="65"/>
  <c r="J3" i="10"/>
  <c r="I4" i="28"/>
  <c r="I4" i="76"/>
  <c r="O165" i="33"/>
  <c r="P165" i="33"/>
  <c r="Q165" i="33"/>
  <c r="R165" i="33"/>
  <c r="S165" i="33"/>
  <c r="Q167" i="33"/>
  <c r="R167" i="33"/>
  <c r="S167" i="33"/>
  <c r="T34" i="45"/>
  <c r="J3" i="28"/>
  <c r="J3" i="76"/>
  <c r="I4" i="31"/>
  <c r="I4" i="37"/>
  <c r="I11" i="37"/>
  <c r="I4" i="72"/>
  <c r="I4" i="12"/>
  <c r="I4" i="33"/>
  <c r="I4" i="70"/>
  <c r="I5" i="28"/>
  <c r="I5" i="76"/>
  <c r="I4" i="65"/>
  <c r="I4" i="68"/>
  <c r="J4" i="10"/>
  <c r="P11" i="72"/>
  <c r="J4" i="28"/>
  <c r="J4" i="76"/>
  <c r="J3" i="33"/>
  <c r="J3" i="12"/>
  <c r="J3" i="31"/>
  <c r="J3" i="65"/>
  <c r="J3" i="68"/>
  <c r="J3" i="37"/>
  <c r="J3" i="70"/>
  <c r="K3" i="10"/>
  <c r="J3" i="72"/>
  <c r="I5" i="37"/>
  <c r="I5" i="31"/>
  <c r="I5" i="72"/>
  <c r="I5" i="12"/>
  <c r="I5" i="33"/>
  <c r="I5" i="70"/>
  <c r="I5" i="68"/>
  <c r="I5" i="65"/>
  <c r="J5" i="10"/>
  <c r="J4" i="72"/>
  <c r="K4" i="10"/>
  <c r="Q11" i="72"/>
  <c r="J4" i="70"/>
  <c r="J4" i="68"/>
  <c r="J4" i="33"/>
  <c r="K3" i="28"/>
  <c r="J4" i="12"/>
  <c r="J5" i="28"/>
  <c r="J5" i="76"/>
  <c r="J4" i="37"/>
  <c r="J11" i="37"/>
  <c r="J4" i="65"/>
  <c r="J4" i="31"/>
  <c r="R11" i="72"/>
  <c r="J5" i="72"/>
  <c r="K5" i="10"/>
  <c r="J5" i="12"/>
  <c r="J5" i="68"/>
  <c r="J5" i="37"/>
  <c r="J5" i="65"/>
  <c r="J5" i="31"/>
  <c r="J5" i="70"/>
  <c r="K3" i="76"/>
  <c r="K3" i="12"/>
  <c r="L3" i="10"/>
  <c r="K3" i="33"/>
  <c r="K3" i="70"/>
  <c r="K4" i="28"/>
  <c r="L3" i="28"/>
  <c r="K3" i="31"/>
  <c r="K3" i="37"/>
  <c r="K3" i="68"/>
  <c r="K3" i="72"/>
  <c r="K3" i="65"/>
  <c r="J5" i="33"/>
  <c r="S11" i="72"/>
  <c r="M3" i="10"/>
  <c r="L3" i="37"/>
  <c r="L3" i="33"/>
  <c r="L3" i="70"/>
  <c r="K4" i="76"/>
  <c r="K4" i="12"/>
  <c r="K4" i="33"/>
  <c r="K4" i="70"/>
  <c r="K4" i="68"/>
  <c r="K4" i="37"/>
  <c r="K11" i="37"/>
  <c r="L4" i="10"/>
  <c r="K4" i="31"/>
  <c r="K4" i="65"/>
  <c r="K4" i="72"/>
  <c r="K5" i="28"/>
  <c r="L3" i="76"/>
  <c r="L3" i="65"/>
  <c r="L3" i="72"/>
  <c r="L3" i="12"/>
  <c r="L3" i="31"/>
  <c r="L4" i="28"/>
  <c r="L3" i="68"/>
  <c r="L4" i="76"/>
  <c r="L4" i="68"/>
  <c r="L4" i="65"/>
  <c r="M4" i="10"/>
  <c r="M133" i="10"/>
  <c r="L4" i="37"/>
  <c r="L11" i="37"/>
  <c r="L126" i="28"/>
  <c r="L4" i="31"/>
  <c r="L4" i="33"/>
  <c r="L4" i="70"/>
  <c r="L13" i="70"/>
  <c r="M3" i="28"/>
  <c r="M3" i="76"/>
  <c r="L4" i="72"/>
  <c r="L5" i="28"/>
  <c r="L4" i="12"/>
  <c r="K5" i="76"/>
  <c r="K5" i="70"/>
  <c r="K5" i="31"/>
  <c r="K5" i="68"/>
  <c r="K5" i="37"/>
  <c r="K5" i="65"/>
  <c r="K5" i="72"/>
  <c r="L5" i="10"/>
  <c r="K5" i="12"/>
  <c r="K5" i="33"/>
  <c r="M3" i="68"/>
  <c r="M3" i="31"/>
  <c r="N3" i="10"/>
  <c r="M4" i="28"/>
  <c r="M4" i="76"/>
  <c r="M3" i="70"/>
  <c r="M3" i="72"/>
  <c r="M3" i="33"/>
  <c r="M3" i="65"/>
  <c r="L5" i="76"/>
  <c r="L5" i="31"/>
  <c r="L5" i="68"/>
  <c r="L5" i="65"/>
  <c r="M5" i="10"/>
  <c r="L5" i="33"/>
  <c r="L5" i="70"/>
  <c r="L5" i="37"/>
  <c r="L5" i="72"/>
  <c r="L5" i="12"/>
  <c r="M3" i="37"/>
  <c r="M3" i="12"/>
  <c r="M4" i="72"/>
  <c r="M4" i="12"/>
  <c r="M11" i="12" s="1"/>
  <c r="M4" i="37"/>
  <c r="M11" i="37"/>
  <c r="M4" i="68"/>
  <c r="M11" i="68"/>
  <c r="M4" i="70"/>
  <c r="M13" i="70"/>
  <c r="M126" i="28"/>
  <c r="M4" i="65"/>
  <c r="M4" i="33"/>
  <c r="N3" i="28"/>
  <c r="N3" i="76"/>
  <c r="M5" i="28"/>
  <c r="M5" i="76"/>
  <c r="N4" i="10"/>
  <c r="N133" i="10"/>
  <c r="M4" i="31"/>
  <c r="M5" i="70"/>
  <c r="M5" i="68"/>
  <c r="M5" i="31"/>
  <c r="M5" i="33"/>
  <c r="M160" i="33"/>
  <c r="M133" i="33"/>
  <c r="M178" i="33"/>
  <c r="M113" i="33"/>
  <c r="N3" i="33"/>
  <c r="N4" i="28"/>
  <c r="N4" i="76"/>
  <c r="N3" i="68"/>
  <c r="N3" i="70"/>
  <c r="N3" i="31"/>
  <c r="N3" i="65"/>
  <c r="N3" i="37"/>
  <c r="O3" i="10"/>
  <c r="N3" i="72"/>
  <c r="N3" i="12"/>
  <c r="M5" i="72"/>
  <c r="M5" i="65"/>
  <c r="M5" i="37"/>
  <c r="N5" i="10"/>
  <c r="M5" i="12"/>
  <c r="N4" i="68"/>
  <c r="N11" i="68"/>
  <c r="N4" i="37"/>
  <c r="N11" i="37"/>
  <c r="N126" i="28"/>
  <c r="N4" i="12"/>
  <c r="N11" i="12" s="1"/>
  <c r="N4" i="72"/>
  <c r="N4" i="33"/>
  <c r="N5" i="28"/>
  <c r="N5" i="76"/>
  <c r="O4" i="10"/>
  <c r="O133" i="10"/>
  <c r="N4" i="65"/>
  <c r="N4" i="70"/>
  <c r="N13" i="70"/>
  <c r="N4" i="31"/>
  <c r="O3" i="28"/>
  <c r="O3" i="76"/>
  <c r="AB26" i="46"/>
  <c r="N5" i="12"/>
  <c r="N5" i="68"/>
  <c r="N5" i="31"/>
  <c r="N5" i="65"/>
  <c r="O5" i="10"/>
  <c r="N5" i="37"/>
  <c r="N5" i="72"/>
  <c r="N5" i="33"/>
  <c r="N5" i="70"/>
  <c r="N160" i="33"/>
  <c r="N133" i="33"/>
  <c r="N178" i="33"/>
  <c r="N113" i="33"/>
  <c r="O3" i="33"/>
  <c r="O4" i="28"/>
  <c r="O4" i="76"/>
  <c r="O3" i="37"/>
  <c r="O3" i="68"/>
  <c r="O3" i="31"/>
  <c r="O3" i="65"/>
  <c r="O3" i="12"/>
  <c r="P3" i="10"/>
  <c r="O3" i="72"/>
  <c r="O3" i="70"/>
  <c r="P3" i="28"/>
  <c r="P3" i="76"/>
  <c r="O4" i="31"/>
  <c r="O4" i="33"/>
  <c r="P4" i="10"/>
  <c r="P133" i="10"/>
  <c r="O5" i="28"/>
  <c r="O5" i="76"/>
  <c r="O126" i="28"/>
  <c r="O4" i="68"/>
  <c r="O11" i="68"/>
  <c r="O4" i="37"/>
  <c r="O11" i="37"/>
  <c r="O4" i="65"/>
  <c r="O4" i="72"/>
  <c r="O4" i="12"/>
  <c r="O11" i="12" s="1"/>
  <c r="O4" i="70"/>
  <c r="O13" i="70"/>
  <c r="P3" i="33"/>
  <c r="P3" i="70"/>
  <c r="P3" i="68"/>
  <c r="P3" i="31"/>
  <c r="P3" i="37"/>
  <c r="P3" i="12"/>
  <c r="Q3" i="10"/>
  <c r="P3" i="72"/>
  <c r="P4" i="28"/>
  <c r="P4" i="76"/>
  <c r="P3" i="65"/>
  <c r="Q3" i="28"/>
  <c r="Q3" i="76"/>
  <c r="P5" i="28"/>
  <c r="P5" i="76"/>
  <c r="P4" i="31"/>
  <c r="P4" i="72"/>
  <c r="P4" i="68"/>
  <c r="P11" i="68"/>
  <c r="Q4" i="10"/>
  <c r="Q133" i="10"/>
  <c r="P4" i="70"/>
  <c r="P13" i="70"/>
  <c r="P126" i="28"/>
  <c r="P4" i="65"/>
  <c r="P4" i="37"/>
  <c r="P11" i="37"/>
  <c r="P4" i="12"/>
  <c r="P11" i="12" s="1"/>
  <c r="O5" i="12"/>
  <c r="O5" i="65"/>
  <c r="O5" i="72"/>
  <c r="O5" i="33"/>
  <c r="O5" i="68"/>
  <c r="O5" i="31"/>
  <c r="P5" i="10"/>
  <c r="O5" i="37"/>
  <c r="O5" i="70"/>
  <c r="AC26" i="46"/>
  <c r="O178" i="33"/>
  <c r="O113" i="33"/>
  <c r="O133" i="33"/>
  <c r="O160" i="33"/>
  <c r="P4" i="33"/>
  <c r="P5" i="37"/>
  <c r="P5" i="65"/>
  <c r="P5" i="70"/>
  <c r="P5" i="31"/>
  <c r="P5" i="72"/>
  <c r="P5" i="12"/>
  <c r="P5" i="68"/>
  <c r="Q5" i="10"/>
  <c r="P5" i="33"/>
  <c r="P133" i="33"/>
  <c r="P160" i="33"/>
  <c r="P178" i="33"/>
  <c r="P113" i="33"/>
  <c r="Q4" i="28"/>
  <c r="Q4" i="76"/>
  <c r="Q3" i="37"/>
  <c r="Q3" i="31"/>
  <c r="Q3" i="68"/>
  <c r="Q3" i="12"/>
  <c r="R3" i="10"/>
  <c r="Q3" i="33"/>
  <c r="Q3" i="72"/>
  <c r="Q3" i="70"/>
  <c r="Q3" i="65"/>
  <c r="R3" i="28"/>
  <c r="R3" i="76"/>
  <c r="Q4" i="12"/>
  <c r="Q11" i="12"/>
  <c r="Q4" i="65"/>
  <c r="Q4" i="37"/>
  <c r="Q11" i="37"/>
  <c r="Q126" i="28"/>
  <c r="Q4" i="68"/>
  <c r="Q11" i="68"/>
  <c r="Q5" i="28"/>
  <c r="Q5" i="76"/>
  <c r="Q4" i="31"/>
  <c r="Q4" i="72"/>
  <c r="R4" i="10"/>
  <c r="R133" i="10"/>
  <c r="Q4" i="70"/>
  <c r="Q13" i="70"/>
  <c r="Q4" i="33"/>
  <c r="R3" i="12"/>
  <c r="R4" i="28"/>
  <c r="R4" i="76"/>
  <c r="R3" i="33"/>
  <c r="R3" i="70"/>
  <c r="S3" i="10"/>
  <c r="R3" i="37"/>
  <c r="R3" i="68"/>
  <c r="R3" i="72"/>
  <c r="R3" i="31"/>
  <c r="R3" i="65"/>
  <c r="Q5" i="37"/>
  <c r="Q5" i="65"/>
  <c r="Q5" i="72"/>
  <c r="Q5" i="12"/>
  <c r="Q5" i="33"/>
  <c r="Q5" i="70"/>
  <c r="Q5" i="68"/>
  <c r="R5" i="10"/>
  <c r="Q5" i="31"/>
  <c r="Q160" i="33"/>
  <c r="Q113" i="33"/>
  <c r="Q133" i="33"/>
  <c r="Q178" i="33"/>
  <c r="S3" i="28"/>
  <c r="R4" i="37"/>
  <c r="R11" i="37"/>
  <c r="S4" i="10"/>
  <c r="S133" i="10"/>
  <c r="R4" i="12"/>
  <c r="R11" i="12" s="1"/>
  <c r="R4" i="33"/>
  <c r="R126" i="28"/>
  <c r="R4" i="68"/>
  <c r="R11" i="68"/>
  <c r="R4" i="72"/>
  <c r="R4" i="70"/>
  <c r="R13" i="70"/>
  <c r="R4" i="31"/>
  <c r="R4" i="65"/>
  <c r="R5" i="28"/>
  <c r="R5" i="76"/>
  <c r="S3" i="33"/>
  <c r="S4" i="28"/>
  <c r="T3" i="10"/>
  <c r="S3" i="76"/>
  <c r="S3" i="70"/>
  <c r="R5" i="70"/>
  <c r="R5" i="33"/>
  <c r="S5" i="10"/>
  <c r="R5" i="37"/>
  <c r="R5" i="68"/>
  <c r="R5" i="31"/>
  <c r="R5" i="65"/>
  <c r="R5" i="72"/>
  <c r="R5" i="12"/>
  <c r="R133" i="33"/>
  <c r="R113" i="33"/>
  <c r="R178" i="33"/>
  <c r="R160" i="33"/>
  <c r="S3" i="12"/>
  <c r="S3" i="65"/>
  <c r="S3" i="31"/>
  <c r="S3" i="68"/>
  <c r="S3" i="37"/>
  <c r="S3" i="72"/>
  <c r="S5" i="28"/>
  <c r="S4" i="33"/>
  <c r="S4" i="70"/>
  <c r="S13" i="70"/>
  <c r="T4" i="10"/>
  <c r="S4" i="76"/>
  <c r="S126" i="28"/>
  <c r="S133" i="33"/>
  <c r="S113" i="33"/>
  <c r="S178" i="33"/>
  <c r="S160" i="33"/>
  <c r="T5" i="10"/>
  <c r="S5" i="76"/>
  <c r="S5" i="33"/>
  <c r="S5" i="70"/>
  <c r="S4" i="68"/>
  <c r="S11" i="68"/>
  <c r="S4" i="65"/>
  <c r="S4" i="31"/>
  <c r="S4" i="72"/>
  <c r="S4" i="37"/>
  <c r="S11" i="37"/>
  <c r="S4" i="12"/>
  <c r="S11" i="12" s="1"/>
  <c r="T133" i="10"/>
  <c r="U133" i="10"/>
  <c r="S5" i="65"/>
  <c r="S5" i="31"/>
  <c r="S5" i="72"/>
  <c r="S5" i="37"/>
  <c r="S5" i="12"/>
  <c r="S5" i="68"/>
  <c r="E38" i="42"/>
  <c r="I28" i="42"/>
  <c r="I26" i="42"/>
  <c r="I23" i="42"/>
  <c r="H271" i="65"/>
  <c r="E25" i="42"/>
  <c r="E30" i="42"/>
  <c r="E28" i="42"/>
  <c r="E26" i="42"/>
  <c r="E23" i="42"/>
  <c r="F25" i="42"/>
  <c r="AQ59" i="20" l="1"/>
  <c r="AQ61" i="20" s="1"/>
  <c r="AA118" i="20"/>
  <c r="AH117" i="20"/>
  <c r="AH118" i="20"/>
  <c r="AC118" i="20"/>
  <c r="AK117" i="20"/>
  <c r="AP126" i="20"/>
  <c r="AP118" i="20"/>
  <c r="AL118" i="20"/>
  <c r="AL126" i="20"/>
  <c r="AJ117" i="20"/>
  <c r="AJ118" i="20"/>
  <c r="AJ126" i="20"/>
  <c r="AN117" i="20"/>
  <c r="AN118" i="20"/>
  <c r="AN126" i="20"/>
  <c r="AQ17" i="20"/>
  <c r="AQ78" i="20"/>
  <c r="AQ80" i="20" s="1"/>
  <c r="AK126" i="20"/>
  <c r="AK118" i="20"/>
  <c r="AP117" i="20"/>
  <c r="Q78" i="20"/>
  <c r="B295" i="76"/>
  <c r="B106" i="76"/>
  <c r="B120" i="76" s="1"/>
  <c r="B164" i="76"/>
  <c r="B188" i="76" s="1"/>
  <c r="Q59" i="20"/>
  <c r="P128" i="20"/>
  <c r="P61" i="20"/>
  <c r="P118" i="20" s="1"/>
  <c r="P117" i="20"/>
  <c r="P34" i="20"/>
  <c r="P127" i="20"/>
  <c r="Q32" i="20"/>
  <c r="R26" i="20"/>
  <c r="R27" i="20"/>
  <c r="R38" i="20"/>
  <c r="R42" i="20"/>
  <c r="R46" i="20"/>
  <c r="R13" i="20"/>
  <c r="R15" i="20" s="1"/>
  <c r="R21" i="20"/>
  <c r="R29" i="20"/>
  <c r="R41" i="20"/>
  <c r="R45" i="20"/>
  <c r="R49" i="20"/>
  <c r="R53" i="20"/>
  <c r="R56" i="20"/>
  <c r="R24" i="20"/>
  <c r="R28" i="20"/>
  <c r="R22" i="20"/>
  <c r="R25" i="20"/>
  <c r="R39" i="20"/>
  <c r="R23" i="20"/>
  <c r="R40" i="20"/>
  <c r="R30" i="20"/>
  <c r="R52" i="20"/>
  <c r="R43" i="20"/>
  <c r="R50" i="20"/>
  <c r="R47" i="20"/>
  <c r="R48" i="20"/>
  <c r="R76" i="20"/>
  <c r="R65" i="20"/>
  <c r="R67" i="20" s="1"/>
  <c r="R103" i="20"/>
  <c r="R55" i="20"/>
  <c r="R44" i="20"/>
  <c r="R51" i="20"/>
  <c r="R54" i="20"/>
  <c r="R104" i="20"/>
  <c r="R75" i="20"/>
  <c r="S123" i="20"/>
  <c r="R57" i="20"/>
  <c r="Q15" i="20"/>
  <c r="P80" i="20"/>
  <c r="P130" i="20"/>
  <c r="B157" i="76"/>
  <c r="B181" i="76" s="1"/>
  <c r="Q67" i="20"/>
  <c r="B109" i="76"/>
  <c r="B123" i="76" s="1"/>
  <c r="Q114" i="20"/>
  <c r="Q131" i="20" s="1"/>
  <c r="B272" i="76"/>
  <c r="B165" i="76"/>
  <c r="B189" i="76" s="1"/>
  <c r="B108" i="76"/>
  <c r="B122" i="76" s="1"/>
  <c r="B161" i="76"/>
  <c r="B185" i="76" s="1"/>
  <c r="B159" i="76"/>
  <c r="B183" i="76" s="1"/>
  <c r="B163" i="76"/>
  <c r="B187" i="76" s="1"/>
  <c r="B110" i="76"/>
  <c r="B124" i="76" s="1"/>
  <c r="B297" i="76"/>
  <c r="B167" i="76"/>
  <c r="B191" i="76" s="1"/>
  <c r="M75" i="11"/>
  <c r="M31" i="11"/>
  <c r="R75" i="11"/>
  <c r="R31" i="11"/>
  <c r="S101" i="11"/>
  <c r="S47" i="11"/>
  <c r="Q75" i="11"/>
  <c r="Q31" i="11"/>
  <c r="S75" i="11"/>
  <c r="S31" i="11"/>
  <c r="P101" i="11"/>
  <c r="D101" i="11" s="1"/>
  <c r="P47" i="11"/>
  <c r="O101" i="11"/>
  <c r="O47" i="11"/>
  <c r="R101" i="11"/>
  <c r="R47" i="11"/>
  <c r="Q101" i="11"/>
  <c r="Q47" i="11"/>
  <c r="N75" i="11"/>
  <c r="N31" i="11"/>
  <c r="N101" i="11"/>
  <c r="N47" i="11"/>
  <c r="D47" i="11" s="1"/>
  <c r="C75" i="64"/>
  <c r="V33" i="45"/>
  <c r="U33" i="45"/>
  <c r="W33" i="45"/>
  <c r="L235" i="65"/>
  <c r="H233" i="65"/>
  <c r="S33" i="45" s="1"/>
  <c r="S101" i="33"/>
  <c r="Q101" i="33"/>
  <c r="O102" i="33"/>
  <c r="S100" i="33"/>
  <c r="Q100" i="33"/>
  <c r="O101" i="33"/>
  <c r="R102" i="33"/>
  <c r="P102" i="33"/>
  <c r="N103" i="33"/>
  <c r="R101" i="33"/>
  <c r="P101" i="33"/>
  <c r="N102" i="33"/>
  <c r="R100" i="33"/>
  <c r="P100" i="33"/>
  <c r="M102" i="33"/>
  <c r="S103" i="33"/>
  <c r="Q103" i="33"/>
  <c r="S102" i="33"/>
  <c r="R89" i="33"/>
  <c r="P87" i="33"/>
  <c r="N87" i="33"/>
  <c r="O89" i="33"/>
  <c r="M87" i="33"/>
  <c r="M89" i="33"/>
  <c r="R88" i="33"/>
  <c r="Q89" i="33"/>
  <c r="O88" i="33"/>
  <c r="Q88" i="33"/>
  <c r="O87" i="33"/>
  <c r="S89" i="33"/>
  <c r="Q87" i="33"/>
  <c r="S88" i="33"/>
  <c r="P89" i="33"/>
  <c r="P88" i="33"/>
  <c r="P75" i="33"/>
  <c r="S75" i="33"/>
  <c r="P74" i="33"/>
  <c r="S74" i="33"/>
  <c r="Q75" i="33"/>
  <c r="Q74" i="33"/>
  <c r="N75" i="33"/>
  <c r="N74" i="33"/>
  <c r="M74" i="33"/>
  <c r="R75" i="33"/>
  <c r="R74" i="33"/>
  <c r="Q58" i="33"/>
  <c r="P59" i="33"/>
  <c r="O60" i="33"/>
  <c r="N61" i="33"/>
  <c r="P58" i="33"/>
  <c r="O59" i="33"/>
  <c r="N60" i="33"/>
  <c r="S61" i="33"/>
  <c r="N58" i="33"/>
  <c r="S60" i="33"/>
  <c r="R61" i="33"/>
  <c r="S59" i="33"/>
  <c r="R60" i="33"/>
  <c r="Q61" i="33"/>
  <c r="S58" i="33"/>
  <c r="R59" i="33"/>
  <c r="Q60" i="33"/>
  <c r="P61" i="33"/>
  <c r="R47" i="33"/>
  <c r="P47" i="33"/>
  <c r="N47" i="33"/>
  <c r="R46" i="33"/>
  <c r="P46" i="33"/>
  <c r="N46" i="33"/>
  <c r="R45" i="33"/>
  <c r="P45" i="33"/>
  <c r="N45" i="33"/>
  <c r="M47" i="33"/>
  <c r="S47" i="33"/>
  <c r="Q47" i="33"/>
  <c r="S46" i="33"/>
  <c r="Q46" i="33"/>
  <c r="S45" i="33"/>
  <c r="Q45" i="33"/>
  <c r="AB986" i="38"/>
  <c r="Y986" i="38"/>
  <c r="AC986" i="38"/>
  <c r="AB258" i="38"/>
  <c r="AC258" i="38"/>
  <c r="Y258" i="38"/>
  <c r="AE1839" i="38"/>
  <c r="AE1831" i="38"/>
  <c r="AE1823" i="38"/>
  <c r="AE1815" i="38"/>
  <c r="AE1807" i="38"/>
  <c r="AE1799" i="38"/>
  <c r="AE1791" i="38"/>
  <c r="AE1783" i="38"/>
  <c r="AE1775" i="38"/>
  <c r="AE1767" i="38"/>
  <c r="AE1759" i="38"/>
  <c r="AE1751" i="38"/>
  <c r="AE1743" i="38"/>
  <c r="AE1735" i="38"/>
  <c r="AE1727" i="38"/>
  <c r="AE1719" i="38"/>
  <c r="AE1711" i="38"/>
  <c r="AE1703" i="38"/>
  <c r="AE1695" i="38"/>
  <c r="AE1687" i="38"/>
  <c r="AE1679" i="38"/>
  <c r="AE1671" i="38"/>
  <c r="AE1663" i="38"/>
  <c r="AE1655" i="38"/>
  <c r="AE1647" i="38"/>
  <c r="AE1639" i="38"/>
  <c r="AE1631" i="38"/>
  <c r="AE1623" i="38"/>
  <c r="AE1615" i="38"/>
  <c r="AE1607" i="38"/>
  <c r="AE1599" i="38"/>
  <c r="AE1591" i="38"/>
  <c r="AE1583" i="38"/>
  <c r="AE1575" i="38"/>
  <c r="AE1567" i="38"/>
  <c r="L362" i="38"/>
  <c r="Y362" i="38" s="1"/>
  <c r="AE1876" i="38"/>
  <c r="AE1868" i="38"/>
  <c r="AE1860" i="38"/>
  <c r="AE1852" i="38"/>
  <c r="AE275" i="38"/>
  <c r="L277" i="38"/>
  <c r="L1844" i="38"/>
  <c r="L572" i="38"/>
  <c r="L564" i="38"/>
  <c r="L556" i="38"/>
  <c r="L548" i="38"/>
  <c r="L540" i="38"/>
  <c r="L532" i="38"/>
  <c r="L524" i="38"/>
  <c r="Y524" i="38" s="1"/>
  <c r="L516" i="38"/>
  <c r="Y516" i="38" s="1"/>
  <c r="L508" i="38"/>
  <c r="Y508" i="38" s="1"/>
  <c r="L500" i="38"/>
  <c r="Y500" i="38" s="1"/>
  <c r="L492" i="38"/>
  <c r="Y492" i="38" s="1"/>
  <c r="L484" i="38"/>
  <c r="Y484" i="38" s="1"/>
  <c r="L468" i="38"/>
  <c r="Y468" i="38" s="1"/>
  <c r="L452" i="38"/>
  <c r="AC452" i="38" s="1"/>
  <c r="L444" i="38"/>
  <c r="L436" i="38"/>
  <c r="L268" i="38"/>
  <c r="L204" i="38"/>
  <c r="L196" i="38"/>
  <c r="L188" i="38"/>
  <c r="L180" i="38"/>
  <c r="L172" i="38"/>
  <c r="L164" i="38"/>
  <c r="L156" i="38"/>
  <c r="L148" i="38"/>
  <c r="L140" i="38"/>
  <c r="L132" i="38"/>
  <c r="L116" i="38"/>
  <c r="L108" i="38"/>
  <c r="L100" i="38"/>
  <c r="L92" i="38"/>
  <c r="L84" i="38"/>
  <c r="L76" i="38"/>
  <c r="L68" i="38"/>
  <c r="L60" i="38"/>
  <c r="L52" i="38"/>
  <c r="L44" i="38"/>
  <c r="L36" i="38"/>
  <c r="L28" i="38"/>
  <c r="L20" i="38"/>
  <c r="AE271" i="38"/>
  <c r="L1841" i="38"/>
  <c r="L1833" i="38"/>
  <c r="L1825" i="38"/>
  <c r="Y1825" i="38" s="1"/>
  <c r="L1817" i="38"/>
  <c r="L1809" i="38"/>
  <c r="L1801" i="38"/>
  <c r="L1793" i="38"/>
  <c r="L1785" i="38"/>
  <c r="AC1785" i="38" s="1"/>
  <c r="L1777" i="38"/>
  <c r="L1769" i="38"/>
  <c r="L1761" i="38"/>
  <c r="L1753" i="38"/>
  <c r="L1745" i="38"/>
  <c r="L1737" i="38"/>
  <c r="L1729" i="38"/>
  <c r="L1721" i="38"/>
  <c r="L1713" i="38"/>
  <c r="L1705" i="38"/>
  <c r="L1697" i="38"/>
  <c r="L1689" i="38"/>
  <c r="L1681" i="38"/>
  <c r="AC1681" i="38" s="1"/>
  <c r="L1673" i="38"/>
  <c r="L1665" i="38"/>
  <c r="L1657" i="38"/>
  <c r="L1649" i="38"/>
  <c r="Y1649" i="38" s="1"/>
  <c r="L1641" i="38"/>
  <c r="Y1641" i="38" s="1"/>
  <c r="L1633" i="38"/>
  <c r="Y1633" i="38" s="1"/>
  <c r="L1625" i="38"/>
  <c r="L1617" i="38"/>
  <c r="L1609" i="38"/>
  <c r="L1601" i="38"/>
  <c r="L1593" i="38"/>
  <c r="L1585" i="38"/>
  <c r="L1577" i="38"/>
  <c r="L1569" i="38"/>
  <c r="L657" i="38"/>
  <c r="Y657" i="38" s="1"/>
  <c r="L609" i="38"/>
  <c r="AB609" i="38" s="1"/>
  <c r="L585" i="38"/>
  <c r="L569" i="38"/>
  <c r="L545" i="38"/>
  <c r="L537" i="38"/>
  <c r="L513" i="38"/>
  <c r="Y513" i="38" s="1"/>
  <c r="L505" i="38"/>
  <c r="Y505" i="38" s="1"/>
  <c r="L497" i="38"/>
  <c r="Y497" i="38" s="1"/>
  <c r="L457" i="38"/>
  <c r="AB457" i="38" s="1"/>
  <c r="L185" i="38"/>
  <c r="L57" i="38"/>
  <c r="L1154" i="38"/>
  <c r="AE575" i="38"/>
  <c r="AE567" i="38"/>
  <c r="AE559" i="38"/>
  <c r="AE551" i="38"/>
  <c r="AE543" i="38"/>
  <c r="AE535" i="38"/>
  <c r="AE527" i="38"/>
  <c r="AE519" i="38"/>
  <c r="AE511" i="38"/>
  <c r="AE503" i="38"/>
  <c r="AE495" i="38"/>
  <c r="AE487" i="38"/>
  <c r="AE479" i="38"/>
  <c r="AE471" i="38"/>
  <c r="AE463" i="38"/>
  <c r="AE455" i="38"/>
  <c r="AE447" i="38"/>
  <c r="AE439" i="38"/>
  <c r="AE431" i="38"/>
  <c r="AE421" i="38"/>
  <c r="AE413" i="38"/>
  <c r="AE405" i="38"/>
  <c r="AE397" i="38"/>
  <c r="AE389" i="38"/>
  <c r="AE381" i="38"/>
  <c r="AE373" i="38"/>
  <c r="AE365" i="38"/>
  <c r="AE357" i="38"/>
  <c r="AE349" i="38"/>
  <c r="AE341" i="38"/>
  <c r="AE333" i="38"/>
  <c r="AE325" i="38"/>
  <c r="AE317" i="38"/>
  <c r="AE309" i="38"/>
  <c r="AE301" i="38"/>
  <c r="AE293" i="38"/>
  <c r="AE285" i="38"/>
  <c r="L1559" i="38"/>
  <c r="L1551" i="38"/>
  <c r="L1543" i="38"/>
  <c r="L1535" i="38"/>
  <c r="L1527" i="38"/>
  <c r="L1519" i="38"/>
  <c r="L1511" i="38"/>
  <c r="L1503" i="38"/>
  <c r="L1495" i="38"/>
  <c r="L1471" i="38"/>
  <c r="L1463" i="38"/>
  <c r="L1455" i="38"/>
  <c r="L1447" i="38"/>
  <c r="L1439" i="38"/>
  <c r="L1431" i="38"/>
  <c r="L1423" i="38"/>
  <c r="L1415" i="38"/>
  <c r="L1399" i="38"/>
  <c r="L1391" i="38"/>
  <c r="L1383" i="38"/>
  <c r="L1375" i="38"/>
  <c r="L1367" i="38"/>
  <c r="L1359" i="38"/>
  <c r="Y1359" i="38" s="1"/>
  <c r="L1351" i="38"/>
  <c r="Y1351" i="38" s="1"/>
  <c r="L1343" i="38"/>
  <c r="Y1343" i="38" s="1"/>
  <c r="L1335" i="38"/>
  <c r="Y1335" i="38" s="1"/>
  <c r="L423" i="38"/>
  <c r="L415" i="38"/>
  <c r="L407" i="38"/>
  <c r="L399" i="38"/>
  <c r="L391" i="38"/>
  <c r="L383" i="38"/>
  <c r="L375" i="38"/>
  <c r="L367" i="38"/>
  <c r="L359" i="38"/>
  <c r="L351" i="38"/>
  <c r="L343" i="38"/>
  <c r="L335" i="38"/>
  <c r="L327" i="38"/>
  <c r="L319" i="38"/>
  <c r="L311" i="38"/>
  <c r="L303" i="38"/>
  <c r="L295" i="38"/>
  <c r="L287" i="38"/>
  <c r="L279" i="38"/>
  <c r="AB1777" i="38"/>
  <c r="Y1777" i="38"/>
  <c r="AC1777" i="38"/>
  <c r="AB1257" i="38"/>
  <c r="Y1257" i="38"/>
  <c r="AC1257" i="38"/>
  <c r="AB1233" i="38"/>
  <c r="Y1233" i="38"/>
  <c r="AC1233" i="38"/>
  <c r="AB1073" i="38"/>
  <c r="Y1073" i="38"/>
  <c r="AC1073" i="38"/>
  <c r="AB545" i="38"/>
  <c r="Y545" i="38"/>
  <c r="AC545" i="38"/>
  <c r="AB537" i="38"/>
  <c r="Y537" i="38"/>
  <c r="AC537" i="38"/>
  <c r="AB353" i="38"/>
  <c r="Y353" i="38"/>
  <c r="AC353" i="38"/>
  <c r="P44" i="68"/>
  <c r="L1508" i="38"/>
  <c r="L1388" i="38"/>
  <c r="Y1388" i="38" s="1"/>
  <c r="L1364" i="38"/>
  <c r="L1316" i="38"/>
  <c r="L1308" i="38"/>
  <c r="L1300" i="38"/>
  <c r="Y1300" i="38" s="1"/>
  <c r="L1292" i="38"/>
  <c r="L1284" i="38"/>
  <c r="Y1284" i="38" s="1"/>
  <c r="L1276" i="38"/>
  <c r="Y1276" i="38" s="1"/>
  <c r="L1268" i="38"/>
  <c r="Y1268" i="38" s="1"/>
  <c r="L1260" i="38"/>
  <c r="Y1260" i="38" s="1"/>
  <c r="L1252" i="38"/>
  <c r="L992" i="38"/>
  <c r="L984" i="38"/>
  <c r="L976" i="38"/>
  <c r="L968" i="38"/>
  <c r="L960" i="38"/>
  <c r="L952" i="38"/>
  <c r="L944" i="38"/>
  <c r="Y944" i="38" s="1"/>
  <c r="L936" i="38"/>
  <c r="L928" i="38"/>
  <c r="L920" i="38"/>
  <c r="L912" i="38"/>
  <c r="L904" i="38"/>
  <c r="L896" i="38"/>
  <c r="L888" i="38"/>
  <c r="L880" i="38"/>
  <c r="L872" i="38"/>
  <c r="AC872" i="38" s="1"/>
  <c r="L864" i="38"/>
  <c r="AC864" i="38" s="1"/>
  <c r="L856" i="38"/>
  <c r="L848" i="38"/>
  <c r="L840" i="38"/>
  <c r="AC840" i="38" s="1"/>
  <c r="L832" i="38"/>
  <c r="L824" i="38"/>
  <c r="L816" i="38"/>
  <c r="L808" i="38"/>
  <c r="L800" i="38"/>
  <c r="L792" i="38"/>
  <c r="Y792" i="38" s="1"/>
  <c r="L784" i="38"/>
  <c r="Y784" i="38" s="1"/>
  <c r="L776" i="38"/>
  <c r="Y776" i="38" s="1"/>
  <c r="L768" i="38"/>
  <c r="AC768" i="38" s="1"/>
  <c r="L760" i="38"/>
  <c r="Y760" i="38" s="1"/>
  <c r="L752" i="38"/>
  <c r="L744" i="38"/>
  <c r="L736" i="38"/>
  <c r="AB1585" i="38"/>
  <c r="Y1585" i="38"/>
  <c r="AB1393" i="38"/>
  <c r="Y1393" i="38"/>
  <c r="AC1393" i="38"/>
  <c r="AB1225" i="38"/>
  <c r="AC1225" i="38"/>
  <c r="Y1225" i="38"/>
  <c r="AB1209" i="38"/>
  <c r="AC1209" i="38"/>
  <c r="Y1209" i="38"/>
  <c r="AB1201" i="38"/>
  <c r="Y1201" i="38"/>
  <c r="AC1201" i="38"/>
  <c r="AB1169" i="38"/>
  <c r="AC1169" i="38"/>
  <c r="Y1169" i="38"/>
  <c r="AB1161" i="38"/>
  <c r="Y1161" i="38"/>
  <c r="AC1161" i="38"/>
  <c r="AB1009" i="38"/>
  <c r="AC1009" i="38"/>
  <c r="Y1009" i="38"/>
  <c r="AB585" i="38"/>
  <c r="AC585" i="38"/>
  <c r="Y585" i="38"/>
  <c r="AB569" i="38"/>
  <c r="Y569" i="38"/>
  <c r="AC569" i="38"/>
  <c r="AB409" i="38"/>
  <c r="AC409" i="38"/>
  <c r="Y409" i="38"/>
  <c r="AB393" i="38"/>
  <c r="AC393" i="38"/>
  <c r="Y393" i="38"/>
  <c r="AB345" i="38"/>
  <c r="AC345" i="38"/>
  <c r="Y345" i="38"/>
  <c r="AB321" i="38"/>
  <c r="AC321" i="38"/>
  <c r="AB313" i="38"/>
  <c r="Y313" i="38"/>
  <c r="AC313" i="38"/>
  <c r="AB1154" i="38"/>
  <c r="Y1154" i="38"/>
  <c r="AB968" i="38"/>
  <c r="AC968" i="38"/>
  <c r="AE1878" i="38"/>
  <c r="AE1862" i="38"/>
  <c r="AE1854" i="38"/>
  <c r="AE1846" i="38"/>
  <c r="L1250" i="38"/>
  <c r="L1242" i="38"/>
  <c r="L1234" i="38"/>
  <c r="L1226" i="38"/>
  <c r="L1218" i="38"/>
  <c r="L1210" i="38"/>
  <c r="L1202" i="38"/>
  <c r="L1194" i="38"/>
  <c r="L1186" i="38"/>
  <c r="L1178" i="38"/>
  <c r="L1170" i="38"/>
  <c r="L1162" i="38"/>
  <c r="L1146" i="38"/>
  <c r="Y1146" i="38" s="1"/>
  <c r="L1138" i="38"/>
  <c r="L1130" i="38"/>
  <c r="L1122" i="38"/>
  <c r="L1114" i="38"/>
  <c r="L1106" i="38"/>
  <c r="L1098" i="38"/>
  <c r="L1090" i="38"/>
  <c r="Y1090" i="38" s="1"/>
  <c r="L264" i="38"/>
  <c r="L232" i="38"/>
  <c r="Y232" i="38" s="1"/>
  <c r="L216" i="38"/>
  <c r="AC216" i="38" s="1"/>
  <c r="L208" i="38"/>
  <c r="AC208" i="38" s="1"/>
  <c r="Y866" i="38"/>
  <c r="Y984" i="38"/>
  <c r="Y960" i="38"/>
  <c r="L1774" i="38"/>
  <c r="AB1774" i="38" s="1"/>
  <c r="L1630" i="38"/>
  <c r="Y1630" i="38" s="1"/>
  <c r="L1598" i="38"/>
  <c r="L726" i="38"/>
  <c r="L718" i="38"/>
  <c r="L710" i="38"/>
  <c r="L702" i="38"/>
  <c r="L694" i="38"/>
  <c r="L686" i="38"/>
  <c r="L678" i="38"/>
  <c r="L670" i="38"/>
  <c r="L662" i="38"/>
  <c r="L654" i="38"/>
  <c r="L646" i="38"/>
  <c r="L638" i="38"/>
  <c r="L630" i="38"/>
  <c r="L622" i="38"/>
  <c r="L614" i="38"/>
  <c r="L606" i="38"/>
  <c r="L598" i="38"/>
  <c r="L574" i="38"/>
  <c r="L566" i="38"/>
  <c r="L558" i="38"/>
  <c r="L550" i="38"/>
  <c r="L542" i="38"/>
  <c r="L534" i="38"/>
  <c r="L526" i="38"/>
  <c r="Y526" i="38" s="1"/>
  <c r="L158" i="38"/>
  <c r="Y158" i="38" s="1"/>
  <c r="L134" i="38"/>
  <c r="Y134" i="38" s="1"/>
  <c r="L126" i="38"/>
  <c r="Y126" i="38" s="1"/>
  <c r="L118" i="38"/>
  <c r="L14" i="38"/>
  <c r="B129" i="76"/>
  <c r="B50" i="76"/>
  <c r="B60" i="76" s="1"/>
  <c r="B240" i="76"/>
  <c r="B34" i="76"/>
  <c r="B44" i="76" s="1"/>
  <c r="B52" i="76"/>
  <c r="B62" i="76" s="1"/>
  <c r="B220" i="76"/>
  <c r="B33" i="76"/>
  <c r="B43" i="76" s="1"/>
  <c r="B29" i="76"/>
  <c r="B39" i="76" s="1"/>
  <c r="B51" i="76"/>
  <c r="B61" i="76" s="1"/>
  <c r="B68" i="76"/>
  <c r="Q33" i="43"/>
  <c r="L9" i="38"/>
  <c r="AB890" i="38"/>
  <c r="Y890" i="38"/>
  <c r="AB250" i="38"/>
  <c r="AC250" i="38"/>
  <c r="AB1649" i="38"/>
  <c r="AC1649" i="38"/>
  <c r="AB1457" i="38"/>
  <c r="AC1457" i="38"/>
  <c r="L1842" i="38"/>
  <c r="L1834" i="38"/>
  <c r="AB1834" i="38" s="1"/>
  <c r="L1818" i="38"/>
  <c r="AB1818" i="38" s="1"/>
  <c r="L1810" i="38"/>
  <c r="L1802" i="38"/>
  <c r="AC1802" i="38" s="1"/>
  <c r="L1794" i="38"/>
  <c r="L1770" i="38"/>
  <c r="AC1770" i="38" s="1"/>
  <c r="L1754" i="38"/>
  <c r="AB1754" i="38" s="1"/>
  <c r="L1746" i="38"/>
  <c r="Y1746" i="38" s="1"/>
  <c r="L1738" i="38"/>
  <c r="AC1738" i="38" s="1"/>
  <c r="L1730" i="38"/>
  <c r="Y1730" i="38" s="1"/>
  <c r="L1722" i="38"/>
  <c r="L1706" i="38"/>
  <c r="AB1706" i="38" s="1"/>
  <c r="L1690" i="38"/>
  <c r="L1682" i="38"/>
  <c r="Y1682" i="38" s="1"/>
  <c r="L1666" i="38"/>
  <c r="AB1666" i="38" s="1"/>
  <c r="L1658" i="38"/>
  <c r="Y1658" i="38" s="1"/>
  <c r="L1642" i="38"/>
  <c r="Y1642" i="38" s="1"/>
  <c r="L1634" i="38"/>
  <c r="Y1634" i="38" s="1"/>
  <c r="L1626" i="38"/>
  <c r="Y1626" i="38" s="1"/>
  <c r="L1618" i="38"/>
  <c r="AB1618" i="38" s="1"/>
  <c r="L1610" i="38"/>
  <c r="Y1610" i="38" s="1"/>
  <c r="L1602" i="38"/>
  <c r="L1594" i="38"/>
  <c r="Y1594" i="38" s="1"/>
  <c r="L1586" i="38"/>
  <c r="L1578" i="38"/>
  <c r="Y1578" i="38" s="1"/>
  <c r="Y321" i="38"/>
  <c r="Y968" i="38"/>
  <c r="AC664" i="38"/>
  <c r="L1883" i="38"/>
  <c r="L1875" i="38"/>
  <c r="L1867" i="38"/>
  <c r="L1851" i="38"/>
  <c r="L1547" i="38"/>
  <c r="L1531" i="38"/>
  <c r="L1523" i="38"/>
  <c r="L1515" i="38"/>
  <c r="AB1515" i="38" s="1"/>
  <c r="L1507" i="38"/>
  <c r="L1499" i="38"/>
  <c r="AC1499" i="38" s="1"/>
  <c r="L1491" i="38"/>
  <c r="L1483" i="38"/>
  <c r="L1475" i="38"/>
  <c r="AC1475" i="38" s="1"/>
  <c r="L1467" i="38"/>
  <c r="L1459" i="38"/>
  <c r="L1443" i="38"/>
  <c r="L1435" i="38"/>
  <c r="L1427" i="38"/>
  <c r="Y1427" i="38" s="1"/>
  <c r="L1419" i="38"/>
  <c r="L1411" i="38"/>
  <c r="L1403" i="38"/>
  <c r="L1395" i="38"/>
  <c r="L1387" i="38"/>
  <c r="L1379" i="38"/>
  <c r="L1371" i="38"/>
  <c r="L1363" i="38"/>
  <c r="L1355" i="38"/>
  <c r="L1347" i="38"/>
  <c r="L1339" i="38"/>
  <c r="L1331" i="38"/>
  <c r="L1323" i="38"/>
  <c r="Y1323" i="38" s="1"/>
  <c r="L1315" i="38"/>
  <c r="Y1315" i="38" s="1"/>
  <c r="L1299" i="38"/>
  <c r="L1291" i="38"/>
  <c r="L1283" i="38"/>
  <c r="L1275" i="38"/>
  <c r="L1267" i="38"/>
  <c r="L1259" i="38"/>
  <c r="L1251" i="38"/>
  <c r="L427" i="38"/>
  <c r="L419" i="38"/>
  <c r="L411" i="38"/>
  <c r="L403" i="38"/>
  <c r="AB403" i="38" s="1"/>
  <c r="L395" i="38"/>
  <c r="L387" i="38"/>
  <c r="L379" i="38"/>
  <c r="L371" i="38"/>
  <c r="L363" i="38"/>
  <c r="AB363" i="38" s="1"/>
  <c r="L355" i="38"/>
  <c r="L339" i="38"/>
  <c r="L323" i="38"/>
  <c r="L315" i="38"/>
  <c r="L307" i="38"/>
  <c r="L299" i="38"/>
  <c r="L283" i="38"/>
  <c r="L1241" i="38"/>
  <c r="L1217" i="38"/>
  <c r="L1193" i="38"/>
  <c r="L1185" i="38"/>
  <c r="L1177" i="38"/>
  <c r="L1145" i="38"/>
  <c r="L1137" i="38"/>
  <c r="L1129" i="38"/>
  <c r="L1121" i="38"/>
  <c r="L1113" i="38"/>
  <c r="L1105" i="38"/>
  <c r="L1097" i="38"/>
  <c r="Y1097" i="38" s="1"/>
  <c r="L1089" i="38"/>
  <c r="L1081" i="38"/>
  <c r="L1065" i="38"/>
  <c r="L1057" i="38"/>
  <c r="L1049" i="38"/>
  <c r="Y1049" i="38" s="1"/>
  <c r="L1041" i="38"/>
  <c r="Y1041" i="38" s="1"/>
  <c r="L1033" i="38"/>
  <c r="Y1033" i="38" s="1"/>
  <c r="L1025" i="38"/>
  <c r="Y1025" i="38" s="1"/>
  <c r="L1017" i="38"/>
  <c r="Y1017" i="38" s="1"/>
  <c r="L1001" i="38"/>
  <c r="L593" i="38"/>
  <c r="AC593" i="38" s="1"/>
  <c r="L577" i="38"/>
  <c r="L561" i="38"/>
  <c r="L553" i="38"/>
  <c r="L529" i="38"/>
  <c r="Y529" i="38" s="1"/>
  <c r="L521" i="38"/>
  <c r="Y521" i="38" s="1"/>
  <c r="L481" i="38"/>
  <c r="Y481" i="38" s="1"/>
  <c r="L473" i="38"/>
  <c r="Y473" i="38" s="1"/>
  <c r="L465" i="38"/>
  <c r="Y465" i="38" s="1"/>
  <c r="L449" i="38"/>
  <c r="L441" i="38"/>
  <c r="Y441" i="38" s="1"/>
  <c r="L433" i="38"/>
  <c r="Y210" i="38"/>
  <c r="Y664" i="38"/>
  <c r="AC1585" i="38"/>
  <c r="AC810" i="38"/>
  <c r="AB1470" i="38"/>
  <c r="Y1470" i="38"/>
  <c r="AC1470" i="38"/>
  <c r="Y457" i="38"/>
  <c r="AC609" i="38"/>
  <c r="AE1560" i="38"/>
  <c r="AE1552" i="38"/>
  <c r="AE1544" i="38"/>
  <c r="AE1536" i="38"/>
  <c r="AE1528" i="38"/>
  <c r="AE1520" i="38"/>
  <c r="AE1512" i="38"/>
  <c r="AE1504" i="38"/>
  <c r="AE1496" i="38"/>
  <c r="AE1488" i="38"/>
  <c r="AE1480" i="38"/>
  <c r="AE1472" i="38"/>
  <c r="AE1464" i="38"/>
  <c r="AE1456" i="38"/>
  <c r="AE1448" i="38"/>
  <c r="AE1440" i="38"/>
  <c r="AE1432" i="38"/>
  <c r="AE1424" i="38"/>
  <c r="AE1416" i="38"/>
  <c r="AE1408" i="38"/>
  <c r="AE1400" i="38"/>
  <c r="AE1392" i="38"/>
  <c r="AE1384" i="38"/>
  <c r="AE1376" i="38"/>
  <c r="AE1368" i="38"/>
  <c r="AE1360" i="38"/>
  <c r="AE1352" i="38"/>
  <c r="AE1344" i="38"/>
  <c r="AE1336" i="38"/>
  <c r="AE1328" i="38"/>
  <c r="AE1320" i="38"/>
  <c r="AE1312" i="38"/>
  <c r="AE1304" i="38"/>
  <c r="AE1296" i="38"/>
  <c r="AE1288" i="38"/>
  <c r="AE1280" i="38"/>
  <c r="AE1272" i="38"/>
  <c r="AE1264" i="38"/>
  <c r="AE1256" i="38"/>
  <c r="L1836" i="38"/>
  <c r="AC1836" i="38" s="1"/>
  <c r="L1828" i="38"/>
  <c r="AC1828" i="38" s="1"/>
  <c r="L1820" i="38"/>
  <c r="L1812" i="38"/>
  <c r="L1804" i="38"/>
  <c r="L1788" i="38"/>
  <c r="AC1788" i="38" s="1"/>
  <c r="L1780" i="38"/>
  <c r="AC1780" i="38" s="1"/>
  <c r="L1772" i="38"/>
  <c r="L1764" i="38"/>
  <c r="L1756" i="38"/>
  <c r="L1748" i="38"/>
  <c r="AC1748" i="38" s="1"/>
  <c r="L1740" i="38"/>
  <c r="L1732" i="38"/>
  <c r="L1724" i="38"/>
  <c r="L1716" i="38"/>
  <c r="L1708" i="38"/>
  <c r="Y1708" i="38" s="1"/>
  <c r="L1700" i="38"/>
  <c r="L1692" i="38"/>
  <c r="AC1692" i="38" s="1"/>
  <c r="L1676" i="38"/>
  <c r="Y1676" i="38" s="1"/>
  <c r="L1668" i="38"/>
  <c r="L1660" i="38"/>
  <c r="L1652" i="38"/>
  <c r="L1644" i="38"/>
  <c r="L1636" i="38"/>
  <c r="L1628" i="38"/>
  <c r="L1620" i="38"/>
  <c r="AC1620" i="38" s="1"/>
  <c r="L1612" i="38"/>
  <c r="Y1612" i="38" s="1"/>
  <c r="L1604" i="38"/>
  <c r="L1596" i="38"/>
  <c r="L1588" i="38"/>
  <c r="Y1588" i="38" s="1"/>
  <c r="L1580" i="38"/>
  <c r="Y1580" i="38" s="1"/>
  <c r="L1572" i="38"/>
  <c r="AC1572" i="38" s="1"/>
  <c r="AC1265" i="38"/>
  <c r="L1506" i="38"/>
  <c r="Y1265" i="38"/>
  <c r="AC861" i="38"/>
  <c r="AC457" i="38"/>
  <c r="AC1706" i="38"/>
  <c r="Y930" i="38"/>
  <c r="Y609" i="38"/>
  <c r="AC1154" i="38"/>
  <c r="Y221" i="38"/>
  <c r="AC930" i="38"/>
  <c r="R75" i="65"/>
  <c r="S75" i="65"/>
  <c r="AB635" i="38"/>
  <c r="Y635" i="38"/>
  <c r="AC635" i="38"/>
  <c r="AB1202" i="38"/>
  <c r="Y1202" i="38"/>
  <c r="AC1202" i="38"/>
  <c r="AB1138" i="38"/>
  <c r="Y1138" i="38"/>
  <c r="AC1138" i="38"/>
  <c r="AB1130" i="38"/>
  <c r="Y1130" i="38"/>
  <c r="AC1130" i="38"/>
  <c r="AB962" i="38"/>
  <c r="Y962" i="38"/>
  <c r="AC962" i="38"/>
  <c r="AB954" i="38"/>
  <c r="Y954" i="38"/>
  <c r="AC954" i="38"/>
  <c r="L1570" i="38"/>
  <c r="Y1570" i="38" s="1"/>
  <c r="L1881" i="38"/>
  <c r="Y1881" i="38" s="1"/>
  <c r="L1873" i="38"/>
  <c r="Y1873" i="38" s="1"/>
  <c r="L1865" i="38"/>
  <c r="L1857" i="38"/>
  <c r="L1849" i="38"/>
  <c r="L1123" i="38"/>
  <c r="AC1123" i="38" s="1"/>
  <c r="S44" i="68"/>
  <c r="I25" i="42"/>
  <c r="AB1825" i="38"/>
  <c r="AC1825" i="38"/>
  <c r="AB1681" i="38"/>
  <c r="Y1681" i="38"/>
  <c r="L546" i="38"/>
  <c r="Y546" i="38" s="1"/>
  <c r="L538" i="38"/>
  <c r="AC538" i="38" s="1"/>
  <c r="L530" i="38"/>
  <c r="Y530" i="38" s="1"/>
  <c r="L522" i="38"/>
  <c r="Y522" i="38" s="1"/>
  <c r="L514" i="38"/>
  <c r="Y514" i="38" s="1"/>
  <c r="L498" i="38"/>
  <c r="Y498" i="38" s="1"/>
  <c r="L490" i="38"/>
  <c r="Y490" i="38" s="1"/>
  <c r="L482" i="38"/>
  <c r="Y482" i="38" s="1"/>
  <c r="L474" i="38"/>
  <c r="Y474" i="38" s="1"/>
  <c r="L466" i="38"/>
  <c r="Y466" i="38" s="1"/>
  <c r="L450" i="38"/>
  <c r="AB450" i="38" s="1"/>
  <c r="L442" i="38"/>
  <c r="AC442" i="38" s="1"/>
  <c r="L434" i="38"/>
  <c r="AC434" i="38" s="1"/>
  <c r="L296" i="38"/>
  <c r="Y296" i="38" s="1"/>
  <c r="L202" i="38"/>
  <c r="L194" i="38"/>
  <c r="Y194" i="38" s="1"/>
  <c r="L178" i="38"/>
  <c r="Y178" i="38" s="1"/>
  <c r="L170" i="38"/>
  <c r="AB170" i="38" s="1"/>
  <c r="L162" i="38"/>
  <c r="Y162" i="38" s="1"/>
  <c r="L154" i="38"/>
  <c r="AC154" i="38" s="1"/>
  <c r="L146" i="38"/>
  <c r="AC146" i="38" s="1"/>
  <c r="L138" i="38"/>
  <c r="Y138" i="38" s="1"/>
  <c r="L130" i="38"/>
  <c r="AC130" i="38" s="1"/>
  <c r="L122" i="38"/>
  <c r="Y122" i="38" s="1"/>
  <c r="L114" i="38"/>
  <c r="AB114" i="38" s="1"/>
  <c r="L98" i="38"/>
  <c r="AC98" i="38" s="1"/>
  <c r="L74" i="38"/>
  <c r="AB74" i="38" s="1"/>
  <c r="L66" i="38"/>
  <c r="AB66" i="38" s="1"/>
  <c r="L58" i="38"/>
  <c r="AC58" i="38" s="1"/>
  <c r="L50" i="38"/>
  <c r="AC50" i="38" s="1"/>
  <c r="L42" i="38"/>
  <c r="AC42" i="38" s="1"/>
  <c r="L34" i="38"/>
  <c r="AC34" i="38" s="1"/>
  <c r="L18" i="38"/>
  <c r="AB18" i="38" s="1"/>
  <c r="G25" i="42"/>
  <c r="K22" i="65"/>
  <c r="AB957" i="38"/>
  <c r="Y957" i="38"/>
  <c r="AC957" i="38"/>
  <c r="AB901" i="38"/>
  <c r="AC901" i="38"/>
  <c r="Y901" i="38"/>
  <c r="AB853" i="38"/>
  <c r="Y853" i="38"/>
  <c r="AB837" i="38"/>
  <c r="Y837" i="38"/>
  <c r="AC837" i="38"/>
  <c r="AB757" i="38"/>
  <c r="Y757" i="38"/>
  <c r="AC757" i="38"/>
  <c r="AB213" i="38"/>
  <c r="Y213" i="38"/>
  <c r="AB149" i="38"/>
  <c r="Y149" i="38"/>
  <c r="AC149" i="38"/>
  <c r="AB93" i="38"/>
  <c r="AC93" i="38"/>
  <c r="Y93" i="38"/>
  <c r="AB29" i="38"/>
  <c r="Y29" i="38"/>
  <c r="AC29" i="38"/>
  <c r="AB1690" i="38"/>
  <c r="AC1690" i="38"/>
  <c r="Y1690" i="38"/>
  <c r="AB1586" i="38"/>
  <c r="Y1586" i="38"/>
  <c r="AB546" i="38"/>
  <c r="AB997" i="38"/>
  <c r="AC997" i="38"/>
  <c r="AB909" i="38"/>
  <c r="Y909" i="38"/>
  <c r="AB53" i="38"/>
  <c r="AC53" i="38"/>
  <c r="Y53" i="38"/>
  <c r="AB1794" i="38"/>
  <c r="AC1794" i="38"/>
  <c r="Y1794" i="38"/>
  <c r="AB162" i="38"/>
  <c r="Y130" i="38"/>
  <c r="Y74" i="38"/>
  <c r="Y58" i="38"/>
  <c r="AB42" i="38"/>
  <c r="Y42" i="38"/>
  <c r="AC141" i="38"/>
  <c r="Y997" i="38"/>
  <c r="AC853" i="38"/>
  <c r="AB1761" i="38"/>
  <c r="Y1761" i="38"/>
  <c r="AC1761" i="38"/>
  <c r="AB933" i="38"/>
  <c r="Y933" i="38"/>
  <c r="AC933" i="38"/>
  <c r="AB821" i="38"/>
  <c r="AC821" i="38"/>
  <c r="Y821" i="38"/>
  <c r="AB765" i="38"/>
  <c r="Y765" i="38"/>
  <c r="AC765" i="38"/>
  <c r="AB205" i="38"/>
  <c r="AC205" i="38"/>
  <c r="Y205" i="38"/>
  <c r="AB157" i="38"/>
  <c r="AC157" i="38"/>
  <c r="Y157" i="38"/>
  <c r="AB13" i="38"/>
  <c r="AC13" i="38"/>
  <c r="AB1810" i="38"/>
  <c r="AC1810" i="38"/>
  <c r="AB434" i="38"/>
  <c r="Y141" i="38"/>
  <c r="Y189" i="38"/>
  <c r="AC909" i="38"/>
  <c r="Y893" i="38"/>
  <c r="AB981" i="38"/>
  <c r="Y981" i="38"/>
  <c r="AC981" i="38"/>
  <c r="AB917" i="38"/>
  <c r="Y917" i="38"/>
  <c r="AB877" i="38"/>
  <c r="Y877" i="38"/>
  <c r="AC877" i="38"/>
  <c r="AB829" i="38"/>
  <c r="Y829" i="38"/>
  <c r="AC829" i="38"/>
  <c r="AB773" i="38"/>
  <c r="Y773" i="38"/>
  <c r="AC773" i="38"/>
  <c r="AB165" i="38"/>
  <c r="AC165" i="38"/>
  <c r="AB109" i="38"/>
  <c r="Y109" i="38"/>
  <c r="AB37" i="38"/>
  <c r="AC37" i="38"/>
  <c r="Y37" i="38"/>
  <c r="AB1682" i="38"/>
  <c r="AB1594" i="38"/>
  <c r="AC893" i="38"/>
  <c r="AC189" i="38"/>
  <c r="AB965" i="38"/>
  <c r="Y965" i="38"/>
  <c r="AB805" i="38"/>
  <c r="AC805" i="38"/>
  <c r="AB749" i="38"/>
  <c r="AC749" i="38"/>
  <c r="Y749" i="38"/>
  <c r="AB173" i="38"/>
  <c r="AC173" i="38"/>
  <c r="AB101" i="38"/>
  <c r="Y101" i="38"/>
  <c r="AB45" i="38"/>
  <c r="AC45" i="38"/>
  <c r="AB1722" i="38"/>
  <c r="AC1722" i="38"/>
  <c r="Y1722" i="38"/>
  <c r="AB1610" i="38"/>
  <c r="AC1610" i="38"/>
  <c r="AB178" i="38"/>
  <c r="AB949" i="38"/>
  <c r="AC949" i="38"/>
  <c r="Y949" i="38"/>
  <c r="AB869" i="38"/>
  <c r="Y869" i="38"/>
  <c r="AC869" i="38"/>
  <c r="AB741" i="38"/>
  <c r="Y741" i="38"/>
  <c r="AC741" i="38"/>
  <c r="AB181" i="38"/>
  <c r="Y181" i="38"/>
  <c r="AC181" i="38"/>
  <c r="AB133" i="38"/>
  <c r="Y133" i="38"/>
  <c r="AC133" i="38"/>
  <c r="AB69" i="38"/>
  <c r="AC69" i="38"/>
  <c r="Y69" i="38"/>
  <c r="Y165" i="38"/>
  <c r="AC917" i="38"/>
  <c r="Y813" i="38"/>
  <c r="AC101" i="38"/>
  <c r="AB1090" i="38"/>
  <c r="AB938" i="38"/>
  <c r="AC938" i="38"/>
  <c r="Y938" i="38"/>
  <c r="AB802" i="38"/>
  <c r="AC802" i="38"/>
  <c r="AB657" i="38"/>
  <c r="AC657" i="38"/>
  <c r="AB733" i="38"/>
  <c r="Y733" i="38"/>
  <c r="AB61" i="38"/>
  <c r="AC61" i="38"/>
  <c r="AB1770" i="38"/>
  <c r="AB1746" i="38"/>
  <c r="AC1746" i="38"/>
  <c r="AB1658" i="38"/>
  <c r="AC1658" i="38"/>
  <c r="AC1586" i="38"/>
  <c r="AC125" i="38"/>
  <c r="AC450" i="38"/>
  <c r="AC813" i="38"/>
  <c r="Y1770" i="38"/>
  <c r="AC109" i="38"/>
  <c r="Y13" i="38"/>
  <c r="AB1186" i="38"/>
  <c r="Y1186" i="38"/>
  <c r="AC1186" i="38"/>
  <c r="AB989" i="38"/>
  <c r="AC989" i="38"/>
  <c r="AB941" i="38"/>
  <c r="AC941" i="38"/>
  <c r="Y941" i="38"/>
  <c r="AB885" i="38"/>
  <c r="Y885" i="38"/>
  <c r="AB197" i="38"/>
  <c r="Y197" i="38"/>
  <c r="AB85" i="38"/>
  <c r="AC85" i="38"/>
  <c r="Y85" i="38"/>
  <c r="AB1842" i="38"/>
  <c r="Y1842" i="38"/>
  <c r="AC1842" i="38"/>
  <c r="AB538" i="38"/>
  <c r="Y538" i="38"/>
  <c r="AC885" i="38"/>
  <c r="AC1602" i="38"/>
  <c r="Y1810" i="38"/>
  <c r="Y125" i="38"/>
  <c r="Y45" i="38"/>
  <c r="Y861" i="38"/>
  <c r="AC221" i="38"/>
  <c r="AC733" i="38"/>
  <c r="AB1494" i="38"/>
  <c r="AC1494" i="38"/>
  <c r="Y1494" i="38"/>
  <c r="AB1446" i="38"/>
  <c r="Y1446" i="38"/>
  <c r="AC1446" i="38"/>
  <c r="AB550" i="38"/>
  <c r="AC550" i="38"/>
  <c r="Y550" i="38"/>
  <c r="AE1558" i="38"/>
  <c r="AE1550" i="38"/>
  <c r="AE1542" i="38"/>
  <c r="AE1534" i="38"/>
  <c r="AE1526" i="38"/>
  <c r="AE1518" i="38"/>
  <c r="AE1510" i="38"/>
  <c r="AE1502" i="38"/>
  <c r="AE1494" i="38"/>
  <c r="AE1486" i="38"/>
  <c r="AE1478" i="38"/>
  <c r="AE1470" i="38"/>
  <c r="AE1462" i="38"/>
  <c r="AE1454" i="38"/>
  <c r="AE1446" i="38"/>
  <c r="AE1438" i="38"/>
  <c r="AE1430" i="38"/>
  <c r="AE1422" i="38"/>
  <c r="AE1414" i="38"/>
  <c r="AE1406" i="38"/>
  <c r="AE1398" i="38"/>
  <c r="AE1390" i="38"/>
  <c r="AE1382" i="38"/>
  <c r="AE1374" i="38"/>
  <c r="AE1366" i="38"/>
  <c r="AE1358" i="38"/>
  <c r="AE1350" i="38"/>
  <c r="AE1342" i="38"/>
  <c r="AE1334" i="38"/>
  <c r="AE1326" i="38"/>
  <c r="AE1318" i="38"/>
  <c r="AE1310" i="38"/>
  <c r="AE1302" i="38"/>
  <c r="AE1294" i="38"/>
  <c r="AE1286" i="38"/>
  <c r="AE1278" i="38"/>
  <c r="AE1270" i="38"/>
  <c r="AE1262" i="38"/>
  <c r="AE1254" i="38"/>
  <c r="AE266" i="38"/>
  <c r="AE234" i="38"/>
  <c r="AE226" i="38"/>
  <c r="AE218" i="38"/>
  <c r="AE210" i="38"/>
  <c r="AE1244" i="38"/>
  <c r="AE1236" i="38"/>
  <c r="AE1228" i="38"/>
  <c r="AE1220" i="38"/>
  <c r="AE1212" i="38"/>
  <c r="AE1204" i="38"/>
  <c r="AE1196" i="38"/>
  <c r="AE1188" i="38"/>
  <c r="AE1180" i="38"/>
  <c r="AE1172" i="38"/>
  <c r="AE1164" i="38"/>
  <c r="AE1156" i="38"/>
  <c r="AE1148" i="38"/>
  <c r="AE1140" i="38"/>
  <c r="AE1132" i="38"/>
  <c r="AE1124" i="38"/>
  <c r="AE1116" i="38"/>
  <c r="AE1108" i="38"/>
  <c r="AE1100" i="38"/>
  <c r="AE1092" i="38"/>
  <c r="AE1084" i="38"/>
  <c r="AE1076" i="38"/>
  <c r="AE1068" i="38"/>
  <c r="AE1060" i="38"/>
  <c r="AE1052" i="38"/>
  <c r="AE1044" i="38"/>
  <c r="AE1036" i="38"/>
  <c r="AE1028" i="38"/>
  <c r="AE1020" i="38"/>
  <c r="AE1012" i="38"/>
  <c r="AE1004" i="38"/>
  <c r="AE200" i="38"/>
  <c r="AE192" i="38"/>
  <c r="AE184" i="38"/>
  <c r="AE176" i="38"/>
  <c r="AE168" i="38"/>
  <c r="AE160" i="38"/>
  <c r="AE152" i="38"/>
  <c r="AE144" i="38"/>
  <c r="AE136" i="38"/>
  <c r="AE128" i="38"/>
  <c r="AE120" i="38"/>
  <c r="AE112" i="38"/>
  <c r="AE96" i="38"/>
  <c r="AE88" i="38"/>
  <c r="AE80" i="38"/>
  <c r="AE72" i="38"/>
  <c r="AE64" i="38"/>
  <c r="AE56" i="38"/>
  <c r="AE48" i="38"/>
  <c r="AE40" i="38"/>
  <c r="AE32" i="38"/>
  <c r="AE24" i="38"/>
  <c r="AE1837" i="38"/>
  <c r="AE1829" i="38"/>
  <c r="AE1821" i="38"/>
  <c r="AE1813" i="38"/>
  <c r="AE1805" i="38"/>
  <c r="AE1797" i="38"/>
  <c r="AE1789" i="38"/>
  <c r="AE1781" i="38"/>
  <c r="AE1773" i="38"/>
  <c r="AE1765" i="38"/>
  <c r="AE1757" i="38"/>
  <c r="AE1563" i="38"/>
  <c r="AE1555" i="38"/>
  <c r="AE1547" i="38"/>
  <c r="AE1539" i="38"/>
  <c r="AE1531" i="38"/>
  <c r="AE1523" i="38"/>
  <c r="AE1515" i="38"/>
  <c r="AE1507" i="38"/>
  <c r="AE1499" i="38"/>
  <c r="AE1491" i="38"/>
  <c r="AE1483" i="38"/>
  <c r="AE1475" i="38"/>
  <c r="AE1467" i="38"/>
  <c r="AE1459" i="38"/>
  <c r="AE1451" i="38"/>
  <c r="AE1443" i="38"/>
  <c r="AE1435" i="38"/>
  <c r="AE1427" i="38"/>
  <c r="AE1419" i="38"/>
  <c r="AE1411" i="38"/>
  <c r="AE1403" i="38"/>
  <c r="AE1395" i="38"/>
  <c r="AE1387" i="38"/>
  <c r="AE1379" i="38"/>
  <c r="AE1371" i="38"/>
  <c r="AE1363" i="38"/>
  <c r="AE1355" i="38"/>
  <c r="AE1347" i="38"/>
  <c r="AE1339" i="38"/>
  <c r="AE1331" i="38"/>
  <c r="AE1323" i="38"/>
  <c r="AE1315" i="38"/>
  <c r="AE1307" i="38"/>
  <c r="AE1299" i="38"/>
  <c r="AE1291" i="38"/>
  <c r="AE1283" i="38"/>
  <c r="AE1275" i="38"/>
  <c r="AE1267" i="38"/>
  <c r="AE1259" i="38"/>
  <c r="AE1251" i="38"/>
  <c r="L44" i="70"/>
  <c r="M48" i="70" s="1"/>
  <c r="N48" i="70" s="1"/>
  <c r="L1852" i="38"/>
  <c r="Y1852" i="38" s="1"/>
  <c r="L876" i="38"/>
  <c r="L804" i="38"/>
  <c r="AC804" i="38" s="1"/>
  <c r="L228" i="38"/>
  <c r="L220" i="38"/>
  <c r="L212" i="38"/>
  <c r="L1243" i="38"/>
  <c r="L1195" i="38"/>
  <c r="L1179" i="38"/>
  <c r="L1139" i="38"/>
  <c r="L1059" i="38"/>
  <c r="L1035" i="38"/>
  <c r="L985" i="38"/>
  <c r="L977" i="38"/>
  <c r="L817" i="38"/>
  <c r="L793" i="38"/>
  <c r="Y793" i="38" s="1"/>
  <c r="L1796" i="38"/>
  <c r="Y1796" i="38" s="1"/>
  <c r="L1562" i="38"/>
  <c r="Y1562" i="38" s="1"/>
  <c r="L1554" i="38"/>
  <c r="Y1554" i="38" s="1"/>
  <c r="L1546" i="38"/>
  <c r="L1530" i="38"/>
  <c r="L1514" i="38"/>
  <c r="L1346" i="38"/>
  <c r="Y1346" i="38" s="1"/>
  <c r="L1330" i="38"/>
  <c r="Y1330" i="38" s="1"/>
  <c r="L426" i="38"/>
  <c r="Y426" i="38" s="1"/>
  <c r="L418" i="38"/>
  <c r="L410" i="38"/>
  <c r="L402" i="38"/>
  <c r="L394" i="38"/>
  <c r="Y394" i="38" s="1"/>
  <c r="L386" i="38"/>
  <c r="L378" i="38"/>
  <c r="L370" i="38"/>
  <c r="L354" i="38"/>
  <c r="L338" i="38"/>
  <c r="L330" i="38"/>
  <c r="Y330" i="38" s="1"/>
  <c r="L322" i="38"/>
  <c r="L306" i="38"/>
  <c r="L298" i="38"/>
  <c r="AC298" i="38" s="1"/>
  <c r="L290" i="38"/>
  <c r="L282" i="38"/>
  <c r="L242" i="38"/>
  <c r="L1826" i="38"/>
  <c r="L1786" i="38"/>
  <c r="L1778" i="38"/>
  <c r="L1762" i="38"/>
  <c r="L1714" i="38"/>
  <c r="L1698" i="38"/>
  <c r="L1674" i="38"/>
  <c r="AB1674" i="38" s="1"/>
  <c r="L1650" i="38"/>
  <c r="L506" i="38"/>
  <c r="Y506" i="38" s="1"/>
  <c r="AE592" i="38"/>
  <c r="AE584" i="38"/>
  <c r="AE544" i="38"/>
  <c r="AE528" i="38"/>
  <c r="AE520" i="38"/>
  <c r="AE512" i="38"/>
  <c r="AE504" i="38"/>
  <c r="AE496" i="38"/>
  <c r="AE488" i="38"/>
  <c r="AE480" i="38"/>
  <c r="AE472" i="38"/>
  <c r="AE464" i="38"/>
  <c r="AE448" i="38"/>
  <c r="AE440" i="38"/>
  <c r="AE432" i="38"/>
  <c r="AE422" i="38"/>
  <c r="AE414" i="38"/>
  <c r="AE406" i="38"/>
  <c r="AE398" i="38"/>
  <c r="AE390" i="38"/>
  <c r="AE382" i="38"/>
  <c r="AE374" i="38"/>
  <c r="AE366" i="38"/>
  <c r="AE358" i="38"/>
  <c r="AE350" i="38"/>
  <c r="AE342" i="38"/>
  <c r="AE334" i="38"/>
  <c r="AE326" i="38"/>
  <c r="AE318" i="38"/>
  <c r="AE310" i="38"/>
  <c r="AE302" i="38"/>
  <c r="AE294" i="38"/>
  <c r="AE286" i="38"/>
  <c r="AE278" i="38"/>
  <c r="AE254" i="38"/>
  <c r="AE246" i="38"/>
  <c r="AE238" i="38"/>
  <c r="R44" i="68"/>
  <c r="N44" i="68"/>
  <c r="I8" i="43"/>
  <c r="AE1866" i="38"/>
  <c r="AE1850" i="38"/>
  <c r="L1560" i="38"/>
  <c r="L1552" i="38"/>
  <c r="L1544" i="38"/>
  <c r="Y1544" i="38" s="1"/>
  <c r="L1536" i="38"/>
  <c r="L1528" i="38"/>
  <c r="L1520" i="38"/>
  <c r="L1512" i="38"/>
  <c r="L1504" i="38"/>
  <c r="L1496" i="38"/>
  <c r="L1488" i="38"/>
  <c r="L1480" i="38"/>
  <c r="L1472" i="38"/>
  <c r="L1464" i="38"/>
  <c r="L1456" i="38"/>
  <c r="AC1456" i="38" s="1"/>
  <c r="L1448" i="38"/>
  <c r="L1440" i="38"/>
  <c r="L1432" i="38"/>
  <c r="L1424" i="38"/>
  <c r="L1416" i="38"/>
  <c r="L1408" i="38"/>
  <c r="AC1408" i="38" s="1"/>
  <c r="L1400" i="38"/>
  <c r="L1392" i="38"/>
  <c r="Y1392" i="38" s="1"/>
  <c r="L1384" i="38"/>
  <c r="L1376" i="38"/>
  <c r="AB1376" i="38" s="1"/>
  <c r="L1368" i="38"/>
  <c r="AC1368" i="38" s="1"/>
  <c r="L1360" i="38"/>
  <c r="Y1360" i="38" s="1"/>
  <c r="L1352" i="38"/>
  <c r="Y1352" i="38" s="1"/>
  <c r="L1344" i="38"/>
  <c r="Y1344" i="38" s="1"/>
  <c r="L1336" i="38"/>
  <c r="Y1336" i="38" s="1"/>
  <c r="L1328" i="38"/>
  <c r="Y1328" i="38" s="1"/>
  <c r="L1320" i="38"/>
  <c r="Y1320" i="38" s="1"/>
  <c r="L1312" i="38"/>
  <c r="Y1312" i="38" s="1"/>
  <c r="L1288" i="38"/>
  <c r="L1256" i="38"/>
  <c r="L424" i="38"/>
  <c r="L416" i="38"/>
  <c r="L408" i="38"/>
  <c r="AC408" i="38" s="1"/>
  <c r="L400" i="38"/>
  <c r="L392" i="38"/>
  <c r="AC392" i="38" s="1"/>
  <c r="L384" i="38"/>
  <c r="L376" i="38"/>
  <c r="L368" i="38"/>
  <c r="L360" i="38"/>
  <c r="L352" i="38"/>
  <c r="L344" i="38"/>
  <c r="L336" i="38"/>
  <c r="L328" i="38"/>
  <c r="L320" i="38"/>
  <c r="L312" i="38"/>
  <c r="L304" i="38"/>
  <c r="L288" i="38"/>
  <c r="L280" i="38"/>
  <c r="L256" i="38"/>
  <c r="AC256" i="38" s="1"/>
  <c r="L248" i="38"/>
  <c r="L240" i="38"/>
  <c r="AC240" i="38" s="1"/>
  <c r="AE276" i="38"/>
  <c r="AE236" i="38"/>
  <c r="AE1840" i="38"/>
  <c r="AE1832" i="38"/>
  <c r="AE1824" i="38"/>
  <c r="AE1816" i="38"/>
  <c r="AE1808" i="38"/>
  <c r="AE1800" i="38"/>
  <c r="AE1792" i="38"/>
  <c r="AE1784" i="38"/>
  <c r="AE1776" i="38"/>
  <c r="AE1768" i="38"/>
  <c r="AE1760" i="38"/>
  <c r="AE1752" i="38"/>
  <c r="AE1744" i="38"/>
  <c r="AE1736" i="38"/>
  <c r="AE1728" i="38"/>
  <c r="AE1720" i="38"/>
  <c r="AE1712" i="38"/>
  <c r="AE1704" i="38"/>
  <c r="AE1696" i="38"/>
  <c r="AE1688" i="38"/>
  <c r="AE1680" i="38"/>
  <c r="AE1672" i="38"/>
  <c r="AE1664" i="38"/>
  <c r="AE1656" i="38"/>
  <c r="AE1648" i="38"/>
  <c r="AE1640" i="38"/>
  <c r="AE1632" i="38"/>
  <c r="AE1624" i="38"/>
  <c r="AE1616" i="38"/>
  <c r="AE1608" i="38"/>
  <c r="AE1600" i="38"/>
  <c r="AE1592" i="38"/>
  <c r="AE1584" i="38"/>
  <c r="AE1576" i="38"/>
  <c r="AE1568" i="38"/>
  <c r="L1238" i="38"/>
  <c r="L1230" i="38"/>
  <c r="L1206" i="38"/>
  <c r="L1182" i="38"/>
  <c r="O1844" i="38"/>
  <c r="E11" i="24"/>
  <c r="K271" i="65"/>
  <c r="I24" i="42"/>
  <c r="M24" i="46"/>
  <c r="M26" i="46" s="1"/>
  <c r="I18" i="46"/>
  <c r="I20" i="46" s="1"/>
  <c r="I29" i="46" s="1"/>
  <c r="AB1699" i="38"/>
  <c r="AC1699" i="38"/>
  <c r="Y1699" i="38"/>
  <c r="AB731" i="38"/>
  <c r="AC731" i="38"/>
  <c r="Y731" i="38"/>
  <c r="AB611" i="38"/>
  <c r="AC611" i="38"/>
  <c r="Y611" i="38"/>
  <c r="AC403" i="38"/>
  <c r="Y363" i="38"/>
  <c r="AB1562" i="38"/>
  <c r="AC1562" i="38"/>
  <c r="AB1554" i="38"/>
  <c r="AC1554" i="38"/>
  <c r="L1684" i="38"/>
  <c r="AE1879" i="38"/>
  <c r="AE1871" i="38"/>
  <c r="AE1863" i="38"/>
  <c r="AE1855" i="38"/>
  <c r="AE1847" i="38"/>
  <c r="L1538" i="38"/>
  <c r="L1522" i="38"/>
  <c r="L1498" i="38"/>
  <c r="L1482" i="38"/>
  <c r="L1362" i="38"/>
  <c r="Y1362" i="38" s="1"/>
  <c r="L346" i="38"/>
  <c r="L314" i="38"/>
  <c r="AE991" i="38"/>
  <c r="AE983" i="38"/>
  <c r="AE975" i="38"/>
  <c r="AE967" i="38"/>
  <c r="AE959" i="38"/>
  <c r="AE951" i="38"/>
  <c r="AE943" i="38"/>
  <c r="AE935" i="38"/>
  <c r="AE927" i="38"/>
  <c r="AE919" i="38"/>
  <c r="AE911" i="38"/>
  <c r="AE903" i="38"/>
  <c r="AE895" i="38"/>
  <c r="AE887" i="38"/>
  <c r="AE879" i="38"/>
  <c r="AE871" i="38"/>
  <c r="AE863" i="38"/>
  <c r="AE855" i="38"/>
  <c r="AE847" i="38"/>
  <c r="AE839" i="38"/>
  <c r="AE831" i="38"/>
  <c r="AE823" i="38"/>
  <c r="AE815" i="38"/>
  <c r="AE807" i="38"/>
  <c r="AE799" i="38"/>
  <c r="AE791" i="38"/>
  <c r="AE783" i="38"/>
  <c r="AE775" i="38"/>
  <c r="AE767" i="38"/>
  <c r="AE759" i="38"/>
  <c r="AE751" i="38"/>
  <c r="AE743" i="38"/>
  <c r="AE735" i="38"/>
  <c r="AE13" i="38"/>
  <c r="L1758" i="38"/>
  <c r="L1248" i="38"/>
  <c r="L1240" i="38"/>
  <c r="L1216" i="38"/>
  <c r="L1184" i="38"/>
  <c r="AC1184" i="38" s="1"/>
  <c r="L1176" i="38"/>
  <c r="L1128" i="38"/>
  <c r="L1112" i="38"/>
  <c r="L1072" i="38"/>
  <c r="L1000" i="38"/>
  <c r="L272" i="38"/>
  <c r="AE260" i="38"/>
  <c r="AE228" i="38"/>
  <c r="AE220" i="38"/>
  <c r="AE212" i="38"/>
  <c r="L15" i="38"/>
  <c r="AE1749" i="38"/>
  <c r="AE1741" i="38"/>
  <c r="AE1733" i="38"/>
  <c r="AE1725" i="38"/>
  <c r="AE1717" i="38"/>
  <c r="AE1709" i="38"/>
  <c r="AE1701" i="38"/>
  <c r="AE1693" i="38"/>
  <c r="AE1685" i="38"/>
  <c r="AE1677" i="38"/>
  <c r="AE1669" i="38"/>
  <c r="AE1661" i="38"/>
  <c r="AE1653" i="38"/>
  <c r="AE1645" i="38"/>
  <c r="AE1637" i="38"/>
  <c r="AE1629" i="38"/>
  <c r="AE1621" i="38"/>
  <c r="AE1613" i="38"/>
  <c r="AE1605" i="38"/>
  <c r="AE1597" i="38"/>
  <c r="AE1589" i="38"/>
  <c r="AE1581" i="38"/>
  <c r="AE1573" i="38"/>
  <c r="AE427" i="38"/>
  <c r="AE419" i="38"/>
  <c r="AE411" i="38"/>
  <c r="AE403" i="38"/>
  <c r="AE395" i="38"/>
  <c r="AE387" i="38"/>
  <c r="AE379" i="38"/>
  <c r="AE371" i="38"/>
  <c r="AE363" i="38"/>
  <c r="AE355" i="38"/>
  <c r="AE347" i="38"/>
  <c r="AE339" i="38"/>
  <c r="AE331" i="38"/>
  <c r="AE323" i="38"/>
  <c r="AE315" i="38"/>
  <c r="AE307" i="38"/>
  <c r="AE299" i="38"/>
  <c r="AE291" i="38"/>
  <c r="AE283" i="38"/>
  <c r="AE259" i="38"/>
  <c r="AE251" i="38"/>
  <c r="AE243" i="38"/>
  <c r="AE202" i="38"/>
  <c r="AE194" i="38"/>
  <c r="AE186" i="38"/>
  <c r="AE178" i="38"/>
  <c r="AE170" i="38"/>
  <c r="AE162" i="38"/>
  <c r="AE154" i="38"/>
  <c r="AE146" i="38"/>
  <c r="AE138" i="38"/>
  <c r="AE130" i="38"/>
  <c r="AE122" i="38"/>
  <c r="AE106" i="38"/>
  <c r="AE98" i="38"/>
  <c r="AE90" i="38"/>
  <c r="AE74" i="38"/>
  <c r="AE66" i="38"/>
  <c r="AE58" i="38"/>
  <c r="AE50" i="38"/>
  <c r="AE42" i="38"/>
  <c r="AE34" i="38"/>
  <c r="AE26" i="38"/>
  <c r="AE18" i="38"/>
  <c r="L1878" i="38"/>
  <c r="Y1878" i="38" s="1"/>
  <c r="L1854" i="38"/>
  <c r="L1846" i="38"/>
  <c r="Y1846" i="38" s="1"/>
  <c r="L262" i="38"/>
  <c r="L116" i="70"/>
  <c r="L16" i="70" s="1"/>
  <c r="O9" i="43"/>
  <c r="N9" i="43"/>
  <c r="L9" i="43"/>
  <c r="O24" i="46"/>
  <c r="O26" i="46" s="1"/>
  <c r="Q24" i="46"/>
  <c r="Q26" i="46" s="1"/>
  <c r="P9" i="43"/>
  <c r="J9" i="43"/>
  <c r="AB1388" i="38"/>
  <c r="AC1388" i="38"/>
  <c r="AB804" i="38"/>
  <c r="Y804" i="38"/>
  <c r="AB452" i="38"/>
  <c r="Y452" i="38"/>
  <c r="AB252" i="38"/>
  <c r="Y252" i="38"/>
  <c r="AB818" i="38"/>
  <c r="AC818" i="38"/>
  <c r="AB1785" i="38"/>
  <c r="Y1785" i="38"/>
  <c r="AB1473" i="38"/>
  <c r="AC1473" i="38"/>
  <c r="AB1377" i="38"/>
  <c r="AC1377" i="38"/>
  <c r="AB1097" i="38"/>
  <c r="AC1097" i="38"/>
  <c r="AB593" i="38"/>
  <c r="Y593" i="38"/>
  <c r="AB377" i="38"/>
  <c r="AC377" i="38"/>
  <c r="AB329" i="38"/>
  <c r="AC329" i="38"/>
  <c r="L265" i="38"/>
  <c r="AE1241" i="38"/>
  <c r="AE1233" i="38"/>
  <c r="AE1225" i="38"/>
  <c r="AE1217" i="38"/>
  <c r="AE1209" i="38"/>
  <c r="AE1201" i="38"/>
  <c r="AE1193" i="38"/>
  <c r="AE1105" i="38"/>
  <c r="AE1097" i="38"/>
  <c r="AE1089" i="38"/>
  <c r="AE1081" i="38"/>
  <c r="AE1073" i="38"/>
  <c r="AE1065" i="38"/>
  <c r="AE1057" i="38"/>
  <c r="AE1049" i="38"/>
  <c r="AE1041" i="38"/>
  <c r="AE1033" i="38"/>
  <c r="AE1025" i="38"/>
  <c r="AE1017" i="38"/>
  <c r="AE1009" i="38"/>
  <c r="AE1001" i="38"/>
  <c r="L588" i="38"/>
  <c r="L580" i="38"/>
  <c r="H22" i="65"/>
  <c r="I28" i="43"/>
  <c r="L963" i="38"/>
  <c r="L891" i="38"/>
  <c r="L843" i="38"/>
  <c r="Y843" i="38" s="1"/>
  <c r="L803" i="38"/>
  <c r="L787" i="38"/>
  <c r="L771" i="38"/>
  <c r="Y771" i="38" s="1"/>
  <c r="L755" i="38"/>
  <c r="L729" i="38"/>
  <c r="L721" i="38"/>
  <c r="L713" i="38"/>
  <c r="L705" i="38"/>
  <c r="L697" i="38"/>
  <c r="L689" i="38"/>
  <c r="L681" i="38"/>
  <c r="L673" i="38"/>
  <c r="L665" i="38"/>
  <c r="L649" i="38"/>
  <c r="Y649" i="38" s="1"/>
  <c r="L641" i="38"/>
  <c r="L633" i="38"/>
  <c r="L625" i="38"/>
  <c r="L617" i="38"/>
  <c r="L601" i="38"/>
  <c r="L1476" i="38"/>
  <c r="AC1476" i="38" s="1"/>
  <c r="L1460" i="38"/>
  <c r="Y1460" i="38" s="1"/>
  <c r="L1436" i="38"/>
  <c r="Y1436" i="38" s="1"/>
  <c r="L1428" i="38"/>
  <c r="L1412" i="38"/>
  <c r="L1396" i="38"/>
  <c r="L1356" i="38"/>
  <c r="L1332" i="38"/>
  <c r="L1324" i="38"/>
  <c r="L1880" i="38"/>
  <c r="Y1880" i="38" s="1"/>
  <c r="L1872" i="38"/>
  <c r="Y1872" i="38" s="1"/>
  <c r="L1864" i="38"/>
  <c r="AC1864" i="38" s="1"/>
  <c r="L1856" i="38"/>
  <c r="L1545" i="38"/>
  <c r="L1537" i="38"/>
  <c r="L1529" i="38"/>
  <c r="L1521" i="38"/>
  <c r="L1513" i="38"/>
  <c r="AC1513" i="38" s="1"/>
  <c r="L1505" i="38"/>
  <c r="L1497" i="38"/>
  <c r="L1489" i="38"/>
  <c r="L1481" i="38"/>
  <c r="D76" i="33"/>
  <c r="D81" i="33" s="1"/>
  <c r="D39" i="28" s="1"/>
  <c r="AE725" i="38"/>
  <c r="AE717" i="38"/>
  <c r="AE709" i="38"/>
  <c r="AE701" i="38"/>
  <c r="AE693" i="38"/>
  <c r="AE685" i="38"/>
  <c r="AE677" i="38"/>
  <c r="AE669" i="38"/>
  <c r="AE661" i="38"/>
  <c r="AE653" i="38"/>
  <c r="AE645" i="38"/>
  <c r="AE637" i="38"/>
  <c r="AE629" i="38"/>
  <c r="AE621" i="38"/>
  <c r="AE613" i="38"/>
  <c r="AE605" i="38"/>
  <c r="AE597" i="38"/>
  <c r="AE573" i="38"/>
  <c r="AE565" i="38"/>
  <c r="AE557" i="38"/>
  <c r="AE549" i="38"/>
  <c r="AE541" i="38"/>
  <c r="AE533" i="38"/>
  <c r="AE525" i="38"/>
  <c r="AE517" i="38"/>
  <c r="AE509" i="38"/>
  <c r="AE501" i="38"/>
  <c r="AE493" i="38"/>
  <c r="AE485" i="38"/>
  <c r="AE477" i="38"/>
  <c r="AE453" i="38"/>
  <c r="AE445" i="38"/>
  <c r="AE437" i="38"/>
  <c r="L1799" i="38"/>
  <c r="Y1799" i="38" s="1"/>
  <c r="L1783" i="38"/>
  <c r="Y1783" i="38" s="1"/>
  <c r="L1719" i="38"/>
  <c r="Y1719" i="38" s="1"/>
  <c r="L1671" i="38"/>
  <c r="L1607" i="38"/>
  <c r="L1850" i="38"/>
  <c r="L1558" i="38"/>
  <c r="L1845" i="38"/>
  <c r="AC1845" i="38" s="1"/>
  <c r="L1829" i="38"/>
  <c r="AB1829" i="38" s="1"/>
  <c r="L1781" i="38"/>
  <c r="AC1781" i="38" s="1"/>
  <c r="L1765" i="38"/>
  <c r="L1717" i="38"/>
  <c r="Y1717" i="38" s="1"/>
  <c r="L1701" i="38"/>
  <c r="Y1701" i="38" s="1"/>
  <c r="L1653" i="38"/>
  <c r="AC1653" i="38" s="1"/>
  <c r="L1637" i="38"/>
  <c r="Y1637" i="38" s="1"/>
  <c r="L1589" i="38"/>
  <c r="L1573" i="38"/>
  <c r="L1549" i="38"/>
  <c r="L1541" i="38"/>
  <c r="L1533" i="38"/>
  <c r="L1525" i="38"/>
  <c r="L1517" i="38"/>
  <c r="L1509" i="38"/>
  <c r="L1501" i="38"/>
  <c r="L1493" i="38"/>
  <c r="L1485" i="38"/>
  <c r="L1477" i="38"/>
  <c r="AC649" i="38"/>
  <c r="AB1502" i="38"/>
  <c r="AC1502" i="38"/>
  <c r="AB1454" i="38"/>
  <c r="Y1454" i="38"/>
  <c r="AB1390" i="38"/>
  <c r="AC1390" i="38"/>
  <c r="AB158" i="38"/>
  <c r="AC158" i="38"/>
  <c r="AB134" i="38"/>
  <c r="AC134" i="38"/>
  <c r="AE1243" i="38"/>
  <c r="AE1235" i="38"/>
  <c r="AE1227" i="38"/>
  <c r="AE1219" i="38"/>
  <c r="AE1211" i="38"/>
  <c r="AE1203" i="38"/>
  <c r="AE1195" i="38"/>
  <c r="AE1187" i="38"/>
  <c r="AE1179" i="38"/>
  <c r="AE1171" i="38"/>
  <c r="AE1163" i="38"/>
  <c r="AE1155" i="38"/>
  <c r="AE1147" i="38"/>
  <c r="AE1139" i="38"/>
  <c r="AE1131" i="38"/>
  <c r="AE1123" i="38"/>
  <c r="AE1115" i="38"/>
  <c r="AE1107" i="38"/>
  <c r="AE1099" i="38"/>
  <c r="AE1091" i="38"/>
  <c r="AE1083" i="38"/>
  <c r="AE1075" i="38"/>
  <c r="AE1067" i="38"/>
  <c r="AE1059" i="38"/>
  <c r="AE1051" i="38"/>
  <c r="AE1043" i="38"/>
  <c r="AE1035" i="38"/>
  <c r="AE1027" i="38"/>
  <c r="AE1019" i="38"/>
  <c r="AE1011" i="38"/>
  <c r="AE1003" i="38"/>
  <c r="L1245" i="38"/>
  <c r="L1237" i="38"/>
  <c r="L1229" i="38"/>
  <c r="L1221" i="38"/>
  <c r="L1213" i="38"/>
  <c r="L1205" i="38"/>
  <c r="L1197" i="38"/>
  <c r="L1189" i="38"/>
  <c r="L1181" i="38"/>
  <c r="L1173" i="38"/>
  <c r="L1165" i="38"/>
  <c r="L1157" i="38"/>
  <c r="AC1157" i="38" s="1"/>
  <c r="L1149" i="38"/>
  <c r="L1141" i="38"/>
  <c r="AC1141" i="38" s="1"/>
  <c r="L1133" i="38"/>
  <c r="L1125" i="38"/>
  <c r="L1117" i="38"/>
  <c r="L1109" i="38"/>
  <c r="L1101" i="38"/>
  <c r="L1093" i="38"/>
  <c r="AB1093" i="38" s="1"/>
  <c r="L1085" i="38"/>
  <c r="L1077" i="38"/>
  <c r="L1069" i="38"/>
  <c r="L1061" i="38"/>
  <c r="L1053" i="38"/>
  <c r="L1045" i="38"/>
  <c r="Y1045" i="38" s="1"/>
  <c r="L1037" i="38"/>
  <c r="Y1037" i="38" s="1"/>
  <c r="L1029" i="38"/>
  <c r="Y1029" i="38" s="1"/>
  <c r="L1021" i="38"/>
  <c r="Y1021" i="38" s="1"/>
  <c r="L1013" i="38"/>
  <c r="Y1013" i="38" s="1"/>
  <c r="L1005" i="38"/>
  <c r="L253" i="38"/>
  <c r="L245" i="38"/>
  <c r="L237" i="38"/>
  <c r="AE1474" i="38"/>
  <c r="AE1466" i="38"/>
  <c r="AE1458" i="38"/>
  <c r="AE1450" i="38"/>
  <c r="AE1442" i="38"/>
  <c r="AE1434" i="38"/>
  <c r="AE1426" i="38"/>
  <c r="AE1418" i="38"/>
  <c r="AE1410" i="38"/>
  <c r="AE1402" i="38"/>
  <c r="AE1394" i="38"/>
  <c r="AE1386" i="38"/>
  <c r="AE1378" i="38"/>
  <c r="AE1370" i="38"/>
  <c r="AE1362" i="38"/>
  <c r="AE1354" i="38"/>
  <c r="AE1338" i="38"/>
  <c r="AE1330" i="38"/>
  <c r="AE1322" i="38"/>
  <c r="AE594" i="38"/>
  <c r="AE586" i="38"/>
  <c r="AE273" i="38"/>
  <c r="L1468" i="38"/>
  <c r="L1452" i="38"/>
  <c r="L1444" i="38"/>
  <c r="L1420" i="38"/>
  <c r="L1404" i="38"/>
  <c r="L1380" i="38"/>
  <c r="Y1380" i="38" s="1"/>
  <c r="L1372" i="38"/>
  <c r="L1340" i="38"/>
  <c r="AE993" i="38"/>
  <c r="AE985" i="38"/>
  <c r="AE977" i="38"/>
  <c r="AE969" i="38"/>
  <c r="AE961" i="38"/>
  <c r="AE953" i="38"/>
  <c r="AE945" i="38"/>
  <c r="AE937" i="38"/>
  <c r="AE929" i="38"/>
  <c r="AE921" i="38"/>
  <c r="AE913" i="38"/>
  <c r="AE905" i="38"/>
  <c r="AE897" i="38"/>
  <c r="AE889" i="38"/>
  <c r="AE881" i="38"/>
  <c r="AE873" i="38"/>
  <c r="AE865" i="38"/>
  <c r="AE857" i="38"/>
  <c r="AE849" i="38"/>
  <c r="AE841" i="38"/>
  <c r="AE833" i="38"/>
  <c r="AE825" i="38"/>
  <c r="AE817" i="38"/>
  <c r="AE809" i="38"/>
  <c r="AE801" i="38"/>
  <c r="AE793" i="38"/>
  <c r="AE785" i="38"/>
  <c r="AE777" i="38"/>
  <c r="AE769" i="38"/>
  <c r="AE761" i="38"/>
  <c r="AE753" i="38"/>
  <c r="AE745" i="38"/>
  <c r="AE737" i="38"/>
  <c r="L995" i="38"/>
  <c r="L987" i="38"/>
  <c r="L979" i="38"/>
  <c r="L971" i="38"/>
  <c r="L955" i="38"/>
  <c r="L947" i="38"/>
  <c r="L939" i="38"/>
  <c r="L931" i="38"/>
  <c r="L923" i="38"/>
  <c r="L915" i="38"/>
  <c r="L907" i="38"/>
  <c r="L899" i="38"/>
  <c r="L883" i="38"/>
  <c r="L875" i="38"/>
  <c r="L867" i="38"/>
  <c r="L859" i="38"/>
  <c r="L851" i="38"/>
  <c r="L835" i="38"/>
  <c r="L827" i="38"/>
  <c r="L819" i="38"/>
  <c r="L811" i="38"/>
  <c r="L795" i="38"/>
  <c r="L779" i="38"/>
  <c r="L763" i="38"/>
  <c r="L747" i="38"/>
  <c r="L739" i="38"/>
  <c r="AE263" i="38"/>
  <c r="AE727" i="38"/>
  <c r="AE719" i="38"/>
  <c r="AE711" i="38"/>
  <c r="AE703" i="38"/>
  <c r="AE695" i="38"/>
  <c r="AE687" i="38"/>
  <c r="AE679" i="38"/>
  <c r="AE671" i="38"/>
  <c r="AE663" i="38"/>
  <c r="AE655" i="38"/>
  <c r="AE647" i="38"/>
  <c r="AE639" i="38"/>
  <c r="AE631" i="38"/>
  <c r="AE623" i="38"/>
  <c r="AE615" i="38"/>
  <c r="AE607" i="38"/>
  <c r="AE599" i="38"/>
  <c r="AE269" i="38"/>
  <c r="L1879" i="38"/>
  <c r="Y1879" i="38" s="1"/>
  <c r="L1871" i="38"/>
  <c r="Y1871" i="38" s="1"/>
  <c r="L1863" i="38"/>
  <c r="L519" i="38"/>
  <c r="Y519" i="38" s="1"/>
  <c r="L511" i="38"/>
  <c r="Y511" i="38" s="1"/>
  <c r="L503" i="38"/>
  <c r="Y503" i="38" s="1"/>
  <c r="L495" i="38"/>
  <c r="Y495" i="38" s="1"/>
  <c r="L487" i="38"/>
  <c r="Y487" i="38" s="1"/>
  <c r="L479" i="38"/>
  <c r="Y479" i="38" s="1"/>
  <c r="L169" i="38"/>
  <c r="L121" i="38"/>
  <c r="L105" i="38"/>
  <c r="L89" i="38"/>
  <c r="L73" i="38"/>
  <c r="L65" i="38"/>
  <c r="L33" i="38"/>
  <c r="L17" i="38"/>
  <c r="L1870" i="38"/>
  <c r="Y1870" i="38" s="1"/>
  <c r="L1862" i="38"/>
  <c r="L257" i="38"/>
  <c r="L241" i="38"/>
  <c r="L980" i="38"/>
  <c r="AC980" i="38" s="1"/>
  <c r="L972" i="38"/>
  <c r="L956" i="38"/>
  <c r="Y956" i="38" s="1"/>
  <c r="L932" i="38"/>
  <c r="Y932" i="38" s="1"/>
  <c r="L908" i="38"/>
  <c r="L884" i="38"/>
  <c r="L868" i="38"/>
  <c r="L860" i="38"/>
  <c r="Y860" i="38" s="1"/>
  <c r="L836" i="38"/>
  <c r="L828" i="38"/>
  <c r="Y828" i="38" s="1"/>
  <c r="L820" i="38"/>
  <c r="L812" i="38"/>
  <c r="L796" i="38"/>
  <c r="Y796" i="38" s="1"/>
  <c r="L788" i="38"/>
  <c r="Y788" i="38" s="1"/>
  <c r="L780" i="38"/>
  <c r="Y780" i="38" s="1"/>
  <c r="L772" i="38"/>
  <c r="L764" i="38"/>
  <c r="L748" i="38"/>
  <c r="L730" i="38"/>
  <c r="L722" i="38"/>
  <c r="L714" i="38"/>
  <c r="L706" i="38"/>
  <c r="AB706" i="38" s="1"/>
  <c r="L698" i="38"/>
  <c r="L690" i="38"/>
  <c r="L682" i="38"/>
  <c r="L674" i="38"/>
  <c r="L666" i="38"/>
  <c r="L658" i="38"/>
  <c r="L650" i="38"/>
  <c r="L642" i="38"/>
  <c r="L634" i="38"/>
  <c r="L626" i="38"/>
  <c r="L618" i="38"/>
  <c r="L610" i="38"/>
  <c r="L602" i="38"/>
  <c r="L594" i="38"/>
  <c r="AC594" i="38" s="1"/>
  <c r="L1838" i="38"/>
  <c r="AB1838" i="38" s="1"/>
  <c r="L1830" i="38"/>
  <c r="Y1830" i="38" s="1"/>
  <c r="L1822" i="38"/>
  <c r="L1814" i="38"/>
  <c r="Y1814" i="38" s="1"/>
  <c r="L1806" i="38"/>
  <c r="L1798" i="38"/>
  <c r="L1790" i="38"/>
  <c r="Y1790" i="38" s="1"/>
  <c r="L1782" i="38"/>
  <c r="L1766" i="38"/>
  <c r="L1750" i="38"/>
  <c r="L1742" i="38"/>
  <c r="L1734" i="38"/>
  <c r="AB1734" i="38" s="1"/>
  <c r="L1726" i="38"/>
  <c r="L1718" i="38"/>
  <c r="L1710" i="38"/>
  <c r="AB1710" i="38" s="1"/>
  <c r="L1702" i="38"/>
  <c r="L1694" i="38"/>
  <c r="L1686" i="38"/>
  <c r="Y1686" i="38" s="1"/>
  <c r="L1678" i="38"/>
  <c r="L1670" i="38"/>
  <c r="L1662" i="38"/>
  <c r="L1654" i="38"/>
  <c r="L1646" i="38"/>
  <c r="AB1646" i="38" s="1"/>
  <c r="L1638" i="38"/>
  <c r="Y1638" i="38" s="1"/>
  <c r="L1622" i="38"/>
  <c r="L1614" i="38"/>
  <c r="L1606" i="38"/>
  <c r="L1590" i="38"/>
  <c r="L1582" i="38"/>
  <c r="AB1582" i="38" s="1"/>
  <c r="L1574" i="38"/>
  <c r="L1566" i="38"/>
  <c r="L1450" i="38"/>
  <c r="L1442" i="38"/>
  <c r="AB1442" i="38" s="1"/>
  <c r="L1434" i="38"/>
  <c r="L1426" i="38"/>
  <c r="Y1426" i="38" s="1"/>
  <c r="L1418" i="38"/>
  <c r="L1410" i="38"/>
  <c r="Y1410" i="38" s="1"/>
  <c r="L1394" i="38"/>
  <c r="L1386" i="38"/>
  <c r="L1378" i="38"/>
  <c r="L1370" i="38"/>
  <c r="L1354" i="38"/>
  <c r="Y1354" i="38" s="1"/>
  <c r="L1338" i="38"/>
  <c r="Y1338" i="38" s="1"/>
  <c r="L1322" i="38"/>
  <c r="Y1322" i="38" s="1"/>
  <c r="L1219" i="38"/>
  <c r="L1187" i="38"/>
  <c r="L1171" i="38"/>
  <c r="L1155" i="38"/>
  <c r="L1131" i="38"/>
  <c r="L1107" i="38"/>
  <c r="L1099" i="38"/>
  <c r="L1091" i="38"/>
  <c r="AC1091" i="38" s="1"/>
  <c r="L1075" i="38"/>
  <c r="L1051" i="38"/>
  <c r="L1011" i="38"/>
  <c r="L1003" i="38"/>
  <c r="L961" i="38"/>
  <c r="L865" i="38"/>
  <c r="L769" i="38"/>
  <c r="L753" i="38"/>
  <c r="L586" i="38"/>
  <c r="L347" i="38"/>
  <c r="L331" i="38"/>
  <c r="L291" i="38"/>
  <c r="L273" i="38"/>
  <c r="L1811" i="38"/>
  <c r="L1707" i="38"/>
  <c r="L1659" i="38"/>
  <c r="L1643" i="38"/>
  <c r="L1603" i="38"/>
  <c r="L1564" i="38"/>
  <c r="Y1564" i="38" s="1"/>
  <c r="L1561" i="38"/>
  <c r="L1548" i="38"/>
  <c r="Y1548" i="38" s="1"/>
  <c r="L1540" i="38"/>
  <c r="L1532" i="38"/>
  <c r="Y1532" i="38" s="1"/>
  <c r="L1516" i="38"/>
  <c r="Y1516" i="38" s="1"/>
  <c r="L1500" i="38"/>
  <c r="L1484" i="38"/>
  <c r="AC1484" i="38" s="1"/>
  <c r="L1314" i="38"/>
  <c r="Y1314" i="38" s="1"/>
  <c r="L1258" i="38"/>
  <c r="D90" i="33"/>
  <c r="D95" i="33" s="1"/>
  <c r="D40" i="28" s="1"/>
  <c r="D34" i="33"/>
  <c r="D39" i="33" s="1"/>
  <c r="D36" i="28" s="1"/>
  <c r="M51" i="65"/>
  <c r="M35" i="65" s="1"/>
  <c r="M75" i="65"/>
  <c r="N75" i="65"/>
  <c r="N77" i="65" s="1"/>
  <c r="N80" i="65" s="1"/>
  <c r="N126" i="65"/>
  <c r="J184" i="65"/>
  <c r="J186" i="65" s="1"/>
  <c r="J189" i="65" s="1"/>
  <c r="J196" i="65" s="1"/>
  <c r="H184" i="65"/>
  <c r="H186" i="65" s="1"/>
  <c r="H189" i="65" s="1"/>
  <c r="H196" i="65" s="1"/>
  <c r="F11" i="24"/>
  <c r="H22" i="24"/>
  <c r="E24" i="42"/>
  <c r="I22" i="65"/>
  <c r="I24" i="65" s="1"/>
  <c r="I27" i="65" s="1"/>
  <c r="AB1536" i="38"/>
  <c r="AC1536" i="38"/>
  <c r="Y1536" i="38"/>
  <c r="AB832" i="38"/>
  <c r="AC832" i="38"/>
  <c r="Y832" i="38"/>
  <c r="AB616" i="38"/>
  <c r="Y616" i="38"/>
  <c r="AC616" i="38"/>
  <c r="L560" i="38"/>
  <c r="L552" i="38"/>
  <c r="L536" i="38"/>
  <c r="L1848" i="38"/>
  <c r="AB1848" i="38" s="1"/>
  <c r="L224" i="38"/>
  <c r="L1208" i="38"/>
  <c r="L1016" i="38"/>
  <c r="Y1016" i="38" s="1"/>
  <c r="AE728" i="38"/>
  <c r="AE720" i="38"/>
  <c r="AE712" i="38"/>
  <c r="AE704" i="38"/>
  <c r="AE696" i="38"/>
  <c r="AE688" i="38"/>
  <c r="AE680" i="38"/>
  <c r="AE672" i="38"/>
  <c r="AE664" i="38"/>
  <c r="AE656" i="38"/>
  <c r="AE648" i="38"/>
  <c r="AE640" i="38"/>
  <c r="AE632" i="38"/>
  <c r="AE624" i="38"/>
  <c r="AE616" i="38"/>
  <c r="AE608" i="38"/>
  <c r="AE600" i="38"/>
  <c r="L518" i="38"/>
  <c r="Y518" i="38" s="1"/>
  <c r="L510" i="38"/>
  <c r="Y510" i="38" s="1"/>
  <c r="L502" i="38"/>
  <c r="Y502" i="38" s="1"/>
  <c r="L494" i="38"/>
  <c r="Y494" i="38" s="1"/>
  <c r="L486" i="38"/>
  <c r="Y486" i="38" s="1"/>
  <c r="L388" i="38"/>
  <c r="AB388" i="38" s="1"/>
  <c r="L372" i="38"/>
  <c r="L183" i="38"/>
  <c r="AE255" i="38"/>
  <c r="AE247" i="38"/>
  <c r="AE239" i="38"/>
  <c r="AE199" i="38"/>
  <c r="AE191" i="38"/>
  <c r="AE183" i="38"/>
  <c r="AE175" i="38"/>
  <c r="AE167" i="38"/>
  <c r="AE159" i="38"/>
  <c r="AE151" i="38"/>
  <c r="AE143" i="38"/>
  <c r="AE135" i="38"/>
  <c r="AE127" i="38"/>
  <c r="AE119" i="38"/>
  <c r="AE111" i="38"/>
  <c r="AE103" i="38"/>
  <c r="AE95" i="38"/>
  <c r="AE87" i="38"/>
  <c r="AE79" i="38"/>
  <c r="AE71" i="38"/>
  <c r="AE63" i="38"/>
  <c r="AE55" i="38"/>
  <c r="AE47" i="38"/>
  <c r="AE39" i="38"/>
  <c r="AE31" i="38"/>
  <c r="AE23" i="38"/>
  <c r="L1490" i="38"/>
  <c r="AB1490" i="38" s="1"/>
  <c r="L1296" i="38"/>
  <c r="L1280" i="38"/>
  <c r="AC1280" i="38" s="1"/>
  <c r="L1264" i="38"/>
  <c r="AB1264" i="38" s="1"/>
  <c r="L1249" i="38"/>
  <c r="AB1249" i="38" s="1"/>
  <c r="L1246" i="38"/>
  <c r="L1222" i="38"/>
  <c r="L1214" i="38"/>
  <c r="L1198" i="38"/>
  <c r="L1190" i="38"/>
  <c r="L1174" i="38"/>
  <c r="L1166" i="38"/>
  <c r="AE420" i="38"/>
  <c r="AE412" i="38"/>
  <c r="AE404" i="38"/>
  <c r="AE396" i="38"/>
  <c r="AE388" i="38"/>
  <c r="AE380" i="38"/>
  <c r="AE372" i="38"/>
  <c r="AE364" i="38"/>
  <c r="AE356" i="38"/>
  <c r="AE348" i="38"/>
  <c r="AE340" i="38"/>
  <c r="AE332" i="38"/>
  <c r="AE324" i="38"/>
  <c r="AE316" i="38"/>
  <c r="AE308" i="38"/>
  <c r="AE300" i="38"/>
  <c r="AE292" i="38"/>
  <c r="AE284" i="38"/>
  <c r="L254" i="38"/>
  <c r="L246" i="38"/>
  <c r="L238" i="38"/>
  <c r="L190" i="38"/>
  <c r="L174" i="38"/>
  <c r="L110" i="38"/>
  <c r="L102" i="38"/>
  <c r="L94" i="38"/>
  <c r="L86" i="38"/>
  <c r="L78" i="38"/>
  <c r="L70" i="38"/>
  <c r="L46" i="38"/>
  <c r="L38" i="38"/>
  <c r="L30" i="38"/>
  <c r="L22" i="38"/>
  <c r="AE587" i="38"/>
  <c r="AE267" i="38"/>
  <c r="L1565" i="38"/>
  <c r="L1557" i="38"/>
  <c r="L517" i="38"/>
  <c r="Y517" i="38" s="1"/>
  <c r="L509" i="38"/>
  <c r="Y509" i="38" s="1"/>
  <c r="L501" i="38"/>
  <c r="Y501" i="38" s="1"/>
  <c r="L493" i="38"/>
  <c r="Y493" i="38" s="1"/>
  <c r="L485" i="38"/>
  <c r="Y485" i="38" s="1"/>
  <c r="L477" i="38"/>
  <c r="Y477" i="38" s="1"/>
  <c r="L469" i="38"/>
  <c r="Y469" i="38" s="1"/>
  <c r="L461" i="38"/>
  <c r="Y461" i="38" s="1"/>
  <c r="L453" i="38"/>
  <c r="L445" i="38"/>
  <c r="L437" i="38"/>
  <c r="AC437" i="38" s="1"/>
  <c r="L269" i="38"/>
  <c r="AE1185" i="38"/>
  <c r="AE1177" i="38"/>
  <c r="AE1169" i="38"/>
  <c r="AE1161" i="38"/>
  <c r="AE1153" i="38"/>
  <c r="AE1145" i="38"/>
  <c r="AE1137" i="38"/>
  <c r="AE1129" i="38"/>
  <c r="AE1121" i="38"/>
  <c r="AE1113" i="38"/>
  <c r="AE994" i="38"/>
  <c r="AE986" i="38"/>
  <c r="AE978" i="38"/>
  <c r="AE970" i="38"/>
  <c r="AE962" i="38"/>
  <c r="AE954" i="38"/>
  <c r="AE946" i="38"/>
  <c r="AE938" i="38"/>
  <c r="AE930" i="38"/>
  <c r="AE922" i="38"/>
  <c r="AE914" i="38"/>
  <c r="AE906" i="38"/>
  <c r="AE898" i="38"/>
  <c r="AE890" i="38"/>
  <c r="AE882" i="38"/>
  <c r="AE874" i="38"/>
  <c r="AE866" i="38"/>
  <c r="AE858" i="38"/>
  <c r="AE850" i="38"/>
  <c r="AE842" i="38"/>
  <c r="AE834" i="38"/>
  <c r="AE826" i="38"/>
  <c r="AE818" i="38"/>
  <c r="AE810" i="38"/>
  <c r="AE802" i="38"/>
  <c r="AE794" i="38"/>
  <c r="AE786" i="38"/>
  <c r="AE778" i="38"/>
  <c r="AE770" i="38"/>
  <c r="AE762" i="38"/>
  <c r="AE754" i="38"/>
  <c r="AE746" i="38"/>
  <c r="AE738" i="38"/>
  <c r="AE274" i="38"/>
  <c r="L1492" i="38"/>
  <c r="L1827" i="38"/>
  <c r="Y1827" i="38" s="1"/>
  <c r="O75" i="65"/>
  <c r="M126" i="65"/>
  <c r="O126" i="65"/>
  <c r="R126" i="65"/>
  <c r="N51" i="65"/>
  <c r="N35" i="65" s="1"/>
  <c r="S56" i="65"/>
  <c r="S62" i="65" s="1"/>
  <c r="R51" i="65"/>
  <c r="Q51" i="65"/>
  <c r="O51" i="65"/>
  <c r="P51" i="65"/>
  <c r="R77" i="65"/>
  <c r="R80" i="65" s="1"/>
  <c r="E22" i="43"/>
  <c r="E25" i="43" s="1"/>
  <c r="J235" i="65"/>
  <c r="M20" i="46"/>
  <c r="I184" i="65"/>
  <c r="I186" i="65" s="1"/>
  <c r="I189" i="65" s="1"/>
  <c r="I196" i="65" s="1"/>
  <c r="K184" i="65"/>
  <c r="K186" i="65" s="1"/>
  <c r="K189" i="65" s="1"/>
  <c r="K196" i="65" s="1"/>
  <c r="F26" i="43"/>
  <c r="F28" i="43" s="1"/>
  <c r="E31" i="42"/>
  <c r="J22" i="65"/>
  <c r="J24" i="65" s="1"/>
  <c r="G56" i="42" s="1"/>
  <c r="G58" i="42" s="1"/>
  <c r="E53" i="42"/>
  <c r="E54" i="42" s="1"/>
  <c r="AB1544" i="38"/>
  <c r="AC1544" i="38"/>
  <c r="AB1520" i="38"/>
  <c r="AC1520" i="38"/>
  <c r="Y1520" i="38"/>
  <c r="AB1456" i="38"/>
  <c r="Y1456" i="38"/>
  <c r="AB1408" i="38"/>
  <c r="Y1408" i="38"/>
  <c r="AB1216" i="38"/>
  <c r="AC1216" i="38"/>
  <c r="Y1216" i="38"/>
  <c r="Y1184" i="38"/>
  <c r="AB944" i="38"/>
  <c r="AC944" i="38"/>
  <c r="AB912" i="38"/>
  <c r="Y912" i="38"/>
  <c r="AC912" i="38"/>
  <c r="AB864" i="38"/>
  <c r="Y864" i="38"/>
  <c r="AB840" i="38"/>
  <c r="Y840" i="38"/>
  <c r="AB768" i="38"/>
  <c r="Y768" i="38"/>
  <c r="AB760" i="38"/>
  <c r="AC760" i="38"/>
  <c r="AB744" i="38"/>
  <c r="AC744" i="38"/>
  <c r="Y744" i="38"/>
  <c r="AB712" i="38"/>
  <c r="Y712" i="38"/>
  <c r="AB696" i="38"/>
  <c r="AC696" i="38"/>
  <c r="AB648" i="38"/>
  <c r="Y648" i="38"/>
  <c r="AB632" i="38"/>
  <c r="Y632" i="38"/>
  <c r="AB568" i="38"/>
  <c r="Y568" i="38"/>
  <c r="AB544" i="38"/>
  <c r="Y544" i="38"/>
  <c r="AC544" i="38"/>
  <c r="AB408" i="38"/>
  <c r="Y408" i="38"/>
  <c r="AB392" i="38"/>
  <c r="Y392" i="38"/>
  <c r="AB280" i="38"/>
  <c r="Y280" i="38"/>
  <c r="AC280" i="38"/>
  <c r="AB256" i="38"/>
  <c r="Y256" i="38"/>
  <c r="AB240" i="38"/>
  <c r="Y240" i="38"/>
  <c r="AB216" i="38"/>
  <c r="Y216" i="38"/>
  <c r="AB208" i="38"/>
  <c r="Y208" i="38"/>
  <c r="AB160" i="38"/>
  <c r="AC160" i="38"/>
  <c r="Y1848" i="38"/>
  <c r="AC1790" i="38"/>
  <c r="AB1427" i="38"/>
  <c r="L1304" i="38"/>
  <c r="L1272" i="38"/>
  <c r="L983" i="38"/>
  <c r="L935" i="38"/>
  <c r="L855" i="38"/>
  <c r="L807" i="38"/>
  <c r="L592" i="38"/>
  <c r="L571" i="38"/>
  <c r="L531" i="38"/>
  <c r="L1235" i="38"/>
  <c r="L1227" i="38"/>
  <c r="L1211" i="38"/>
  <c r="L1203" i="38"/>
  <c r="L1163" i="38"/>
  <c r="L1147" i="38"/>
  <c r="L1115" i="38"/>
  <c r="L1083" i="38"/>
  <c r="L1067" i="38"/>
  <c r="L1043" i="38"/>
  <c r="L1027" i="38"/>
  <c r="L1019" i="38"/>
  <c r="L576" i="38"/>
  <c r="L1763" i="38"/>
  <c r="L1747" i="38"/>
  <c r="AB1747" i="38" s="1"/>
  <c r="L1731" i="38"/>
  <c r="L1723" i="38"/>
  <c r="L1667" i="38"/>
  <c r="L1635" i="38"/>
  <c r="L1619" i="38"/>
  <c r="AC1619" i="38" s="1"/>
  <c r="L1595" i="38"/>
  <c r="L1579" i="38"/>
  <c r="AE524" i="38"/>
  <c r="AE516" i="38"/>
  <c r="AE508" i="38"/>
  <c r="AE500" i="38"/>
  <c r="AE492" i="38"/>
  <c r="AE77" i="38"/>
  <c r="AE69" i="38"/>
  <c r="AE61" i="38"/>
  <c r="AE53" i="38"/>
  <c r="AE45" i="38"/>
  <c r="L1158" i="38"/>
  <c r="L1150" i="38"/>
  <c r="L1142" i="38"/>
  <c r="L1134" i="38"/>
  <c r="L1126" i="38"/>
  <c r="L1118" i="38"/>
  <c r="L1110" i="38"/>
  <c r="L1102" i="38"/>
  <c r="L1094" i="38"/>
  <c r="L1086" i="38"/>
  <c r="L1078" i="38"/>
  <c r="L1070" i="38"/>
  <c r="L1062" i="38"/>
  <c r="L1054" i="38"/>
  <c r="L1046" i="38"/>
  <c r="Y1046" i="38" s="1"/>
  <c r="L1038" i="38"/>
  <c r="Y1038" i="38" s="1"/>
  <c r="L1030" i="38"/>
  <c r="Y1030" i="38" s="1"/>
  <c r="L1022" i="38"/>
  <c r="Y1022" i="38" s="1"/>
  <c r="L1014" i="38"/>
  <c r="Y1014" i="38" s="1"/>
  <c r="L1006" i="38"/>
  <c r="L998" i="38"/>
  <c r="L1877" i="38"/>
  <c r="Y1877" i="38" s="1"/>
  <c r="L1861" i="38"/>
  <c r="L1853" i="38"/>
  <c r="AC1853" i="38" s="1"/>
  <c r="L1469" i="38"/>
  <c r="L1461" i="38"/>
  <c r="L1453" i="38"/>
  <c r="L1445" i="38"/>
  <c r="L1437" i="38"/>
  <c r="L1429" i="38"/>
  <c r="L1421" i="38"/>
  <c r="L1413" i="38"/>
  <c r="L1405" i="38"/>
  <c r="L1397" i="38"/>
  <c r="L1389" i="38"/>
  <c r="L1381" i="38"/>
  <c r="L1373" i="38"/>
  <c r="L1365" i="38"/>
  <c r="L1357" i="38"/>
  <c r="Y1357" i="38" s="1"/>
  <c r="L1349" i="38"/>
  <c r="Y1349" i="38" s="1"/>
  <c r="L1341" i="38"/>
  <c r="Y1341" i="38" s="1"/>
  <c r="L1333" i="38"/>
  <c r="Y1333" i="38" s="1"/>
  <c r="L1325" i="38"/>
  <c r="Y1325" i="38" s="1"/>
  <c r="L1317" i="38"/>
  <c r="Y1317" i="38" s="1"/>
  <c r="L1309" i="38"/>
  <c r="Y1309" i="38" s="1"/>
  <c r="L1301" i="38"/>
  <c r="L1293" i="38"/>
  <c r="L1285" i="38"/>
  <c r="L1277" i="38"/>
  <c r="Y1277" i="38" s="1"/>
  <c r="L1269" i="38"/>
  <c r="L1261" i="38"/>
  <c r="L1253" i="38"/>
  <c r="L725" i="38"/>
  <c r="L717" i="38"/>
  <c r="L709" i="38"/>
  <c r="L701" i="38"/>
  <c r="Y701" i="38" s="1"/>
  <c r="L693" i="38"/>
  <c r="AB693" i="38" s="1"/>
  <c r="L685" i="38"/>
  <c r="L677" i="38"/>
  <c r="L669" i="38"/>
  <c r="AC669" i="38" s="1"/>
  <c r="L661" i="38"/>
  <c r="AB661" i="38" s="1"/>
  <c r="L653" i="38"/>
  <c r="L645" i="38"/>
  <c r="L637" i="38"/>
  <c r="L629" i="38"/>
  <c r="Y629" i="38" s="1"/>
  <c r="L621" i="38"/>
  <c r="L613" i="38"/>
  <c r="L605" i="38"/>
  <c r="L597" i="38"/>
  <c r="AB597" i="38" s="1"/>
  <c r="L589" i="38"/>
  <c r="L581" i="38"/>
  <c r="L1556" i="38"/>
  <c r="AC1556" i="38" s="1"/>
  <c r="L1524" i="38"/>
  <c r="Y1524" i="38" s="1"/>
  <c r="L996" i="38"/>
  <c r="L988" i="38"/>
  <c r="AC988" i="38" s="1"/>
  <c r="L964" i="38"/>
  <c r="AC964" i="38" s="1"/>
  <c r="L948" i="38"/>
  <c r="Y948" i="38" s="1"/>
  <c r="L940" i="38"/>
  <c r="L924" i="38"/>
  <c r="L916" i="38"/>
  <c r="AC916" i="38" s="1"/>
  <c r="L900" i="38"/>
  <c r="L892" i="38"/>
  <c r="L852" i="38"/>
  <c r="L844" i="38"/>
  <c r="L756" i="38"/>
  <c r="L740" i="38"/>
  <c r="L428" i="38"/>
  <c r="O997" i="38"/>
  <c r="L478" i="38"/>
  <c r="Y478" i="38" s="1"/>
  <c r="L420" i="38"/>
  <c r="L412" i="38"/>
  <c r="L404" i="38"/>
  <c r="L396" i="38"/>
  <c r="L380" i="38"/>
  <c r="L364" i="38"/>
  <c r="L356" i="38"/>
  <c r="L348" i="38"/>
  <c r="L340" i="38"/>
  <c r="L332" i="38"/>
  <c r="L324" i="38"/>
  <c r="AB324" i="38" s="1"/>
  <c r="L316" i="38"/>
  <c r="L308" i="38"/>
  <c r="AB308" i="38" s="1"/>
  <c r="L300" i="38"/>
  <c r="L292" i="38"/>
  <c r="L284" i="38"/>
  <c r="L274" i="38"/>
  <c r="L267" i="38"/>
  <c r="L255" i="38"/>
  <c r="AC255" i="38" s="1"/>
  <c r="L247" i="38"/>
  <c r="L233" i="38"/>
  <c r="Y233" i="38" s="1"/>
  <c r="L225" i="38"/>
  <c r="L217" i="38"/>
  <c r="L209" i="38"/>
  <c r="L135" i="38"/>
  <c r="L1306" i="38"/>
  <c r="Y1306" i="38" s="1"/>
  <c r="L1298" i="38"/>
  <c r="L1290" i="38"/>
  <c r="L1282" i="38"/>
  <c r="L1266" i="38"/>
  <c r="L1232" i="38"/>
  <c r="L1224" i="38"/>
  <c r="L1200" i="38"/>
  <c r="L1192" i="38"/>
  <c r="L1168" i="38"/>
  <c r="L1160" i="38"/>
  <c r="L1152" i="38"/>
  <c r="L1144" i="38"/>
  <c r="L1136" i="38"/>
  <c r="L1120" i="38"/>
  <c r="L1104" i="38"/>
  <c r="L1096" i="38"/>
  <c r="L1088" i="38"/>
  <c r="L1080" i="38"/>
  <c r="L1064" i="38"/>
  <c r="L1056" i="38"/>
  <c r="L1048" i="38"/>
  <c r="Y1048" i="38" s="1"/>
  <c r="L1040" i="38"/>
  <c r="Y1040" i="38" s="1"/>
  <c r="L1032" i="38"/>
  <c r="Y1032" i="38" s="1"/>
  <c r="L1024" i="38"/>
  <c r="Y1024" i="38" s="1"/>
  <c r="L1008" i="38"/>
  <c r="L993" i="38"/>
  <c r="L969" i="38"/>
  <c r="Y969" i="38" s="1"/>
  <c r="L953" i="38"/>
  <c r="L945" i="38"/>
  <c r="L937" i="38"/>
  <c r="L929" i="38"/>
  <c r="L921" i="38"/>
  <c r="L913" i="38"/>
  <c r="L905" i="38"/>
  <c r="L897" i="38"/>
  <c r="L889" i="38"/>
  <c r="L881" i="38"/>
  <c r="L873" i="38"/>
  <c r="L857" i="38"/>
  <c r="L849" i="38"/>
  <c r="L841" i="38"/>
  <c r="L833" i="38"/>
  <c r="L825" i="38"/>
  <c r="L809" i="38"/>
  <c r="L801" i="38"/>
  <c r="L785" i="38"/>
  <c r="Y785" i="38" s="1"/>
  <c r="L777" i="38"/>
  <c r="Y777" i="38" s="1"/>
  <c r="L761" i="38"/>
  <c r="L745" i="38"/>
  <c r="L737" i="38"/>
  <c r="L557" i="38"/>
  <c r="L512" i="38"/>
  <c r="Y512" i="38" s="1"/>
  <c r="L496" i="38"/>
  <c r="Y496" i="38" s="1"/>
  <c r="L488" i="38"/>
  <c r="Y488" i="38" s="1"/>
  <c r="L472" i="38"/>
  <c r="Y472" i="38" s="1"/>
  <c r="L464" i="38"/>
  <c r="Y464" i="38" s="1"/>
  <c r="L456" i="38"/>
  <c r="L448" i="38"/>
  <c r="L440" i="38"/>
  <c r="L432" i="38"/>
  <c r="L276" i="38"/>
  <c r="L249" i="38"/>
  <c r="L193" i="38"/>
  <c r="L177" i="38"/>
  <c r="L161" i="38"/>
  <c r="L153" i="38"/>
  <c r="L145" i="38"/>
  <c r="L113" i="38"/>
  <c r="L97" i="38"/>
  <c r="L81" i="38"/>
  <c r="L49" i="38"/>
  <c r="L41" i="38"/>
  <c r="L25" i="38"/>
  <c r="L12" i="38"/>
  <c r="L1855" i="38"/>
  <c r="AB1855" i="38" s="1"/>
  <c r="L1550" i="38"/>
  <c r="L1082" i="38"/>
  <c r="L1074" i="38"/>
  <c r="L1066" i="38"/>
  <c r="L1058" i="38"/>
  <c r="L1050" i="38"/>
  <c r="Y1050" i="38" s="1"/>
  <c r="L1042" i="38"/>
  <c r="Y1042" i="38" s="1"/>
  <c r="L1034" i="38"/>
  <c r="Y1034" i="38" s="1"/>
  <c r="L1026" i="38"/>
  <c r="Y1026" i="38" s="1"/>
  <c r="L1018" i="38"/>
  <c r="Y1018" i="38" s="1"/>
  <c r="L1010" i="38"/>
  <c r="Y1010" i="38" s="1"/>
  <c r="L1002" i="38"/>
  <c r="R147" i="38"/>
  <c r="R109" i="38"/>
  <c r="D111" i="10"/>
  <c r="D113" i="10" s="1"/>
  <c r="D24" i="28" s="1"/>
  <c r="D71" i="10"/>
  <c r="D73" i="10" s="1"/>
  <c r="D20" i="28" s="1"/>
  <c r="S77" i="65"/>
  <c r="S80" i="65" s="1"/>
  <c r="Q56" i="65"/>
  <c r="Q62" i="65" s="1"/>
  <c r="P56" i="65"/>
  <c r="P62" i="65" s="1"/>
  <c r="N56" i="65"/>
  <c r="N62" i="65" s="1"/>
  <c r="M56" i="65"/>
  <c r="M62" i="65" s="1"/>
  <c r="R56" i="65"/>
  <c r="R62" i="65" s="1"/>
  <c r="S51" i="65"/>
  <c r="O996" i="38"/>
  <c r="L14" i="10"/>
  <c r="K203" i="65" s="1"/>
  <c r="K212" i="65" s="1"/>
  <c r="H13" i="45" s="1"/>
  <c r="I235" i="65"/>
  <c r="E27" i="43"/>
  <c r="E28" i="43" s="1"/>
  <c r="L155" i="65"/>
  <c r="F24" i="42"/>
  <c r="I6" i="43"/>
  <c r="G28" i="43"/>
  <c r="G25" i="43"/>
  <c r="G31" i="42"/>
  <c r="G33" i="42" s="1"/>
  <c r="G35" i="42" s="1"/>
  <c r="G40" i="42" s="1"/>
  <c r="H24" i="42"/>
  <c r="I54" i="42"/>
  <c r="L22" i="65"/>
  <c r="L24" i="65" s="1"/>
  <c r="F51" i="42"/>
  <c r="F54" i="42" s="1"/>
  <c r="H24" i="65"/>
  <c r="K24" i="65"/>
  <c r="H56" i="42" s="1"/>
  <c r="H58" i="42" s="1"/>
  <c r="Y324" i="38"/>
  <c r="O268" i="38"/>
  <c r="AE268" i="38"/>
  <c r="O215" i="38"/>
  <c r="AE215" i="38"/>
  <c r="AE354" i="38"/>
  <c r="AE330" i="38"/>
  <c r="AE253" i="38"/>
  <c r="AE306" i="38"/>
  <c r="AE298" i="38"/>
  <c r="AE290" i="38"/>
  <c r="AE282" i="38"/>
  <c r="AE484" i="38"/>
  <c r="AE476" i="38"/>
  <c r="AE265" i="38"/>
  <c r="AE16" i="38"/>
  <c r="AE272" i="38"/>
  <c r="AE109" i="38"/>
  <c r="AE101" i="38"/>
  <c r="AE93" i="38"/>
  <c r="AE426" i="38"/>
  <c r="AE418" i="38"/>
  <c r="AE322" i="38"/>
  <c r="AE314" i="38"/>
  <c r="AE231" i="38"/>
  <c r="AE223" i="38"/>
  <c r="AE85" i="38"/>
  <c r="L1847" i="38"/>
  <c r="AC1847" i="38" s="1"/>
  <c r="L1839" i="38"/>
  <c r="L1831" i="38"/>
  <c r="L1823" i="38"/>
  <c r="L1815" i="38"/>
  <c r="L1807" i="38"/>
  <c r="L1791" i="38"/>
  <c r="L1775" i="38"/>
  <c r="L1767" i="38"/>
  <c r="L1759" i="38"/>
  <c r="L1751" i="38"/>
  <c r="L1743" i="38"/>
  <c r="L1735" i="38"/>
  <c r="AC1735" i="38" s="1"/>
  <c r="L1727" i="38"/>
  <c r="L1711" i="38"/>
  <c r="L1703" i="38"/>
  <c r="L1695" i="38"/>
  <c r="L1687" i="38"/>
  <c r="AE402" i="38"/>
  <c r="AE394" i="38"/>
  <c r="AE245" i="38"/>
  <c r="AE237" i="38"/>
  <c r="AE37" i="38"/>
  <c r="AE29" i="38"/>
  <c r="AE21" i="38"/>
  <c r="L573" i="38"/>
  <c r="AC573" i="38" s="1"/>
  <c r="L565" i="38"/>
  <c r="L549" i="38"/>
  <c r="L261" i="38"/>
  <c r="L1876" i="38"/>
  <c r="L1868" i="38"/>
  <c r="L1860" i="38"/>
  <c r="AC1860" i="38" s="1"/>
  <c r="L1563" i="38"/>
  <c r="L1555" i="38"/>
  <c r="AE386" i="38"/>
  <c r="AE378" i="38"/>
  <c r="AE370" i="38"/>
  <c r="AE362" i="38"/>
  <c r="AE207" i="38"/>
  <c r="AE468" i="38"/>
  <c r="AE460" i="38"/>
  <c r="AE452" i="38"/>
  <c r="AE444" i="38"/>
  <c r="AE346" i="38"/>
  <c r="AE197" i="38"/>
  <c r="AE189" i="38"/>
  <c r="AE181" i="38"/>
  <c r="AE173" i="38"/>
  <c r="AE165" i="38"/>
  <c r="AE157" i="38"/>
  <c r="AE149" i="38"/>
  <c r="AE436" i="38"/>
  <c r="AE338" i="38"/>
  <c r="AE141" i="38"/>
  <c r="AE133" i="38"/>
  <c r="AE125" i="38"/>
  <c r="AE117" i="38"/>
  <c r="L1679" i="38"/>
  <c r="L1663" i="38"/>
  <c r="L1655" i="38"/>
  <c r="AB1655" i="38" s="1"/>
  <c r="L1647" i="38"/>
  <c r="L1639" i="38"/>
  <c r="Y1639" i="38" s="1"/>
  <c r="L1631" i="38"/>
  <c r="Y1631" i="38" s="1"/>
  <c r="L1623" i="38"/>
  <c r="L1615" i="38"/>
  <c r="L1599" i="38"/>
  <c r="L1591" i="38"/>
  <c r="AC1591" i="38" s="1"/>
  <c r="L1583" i="38"/>
  <c r="L1575" i="38"/>
  <c r="L1567" i="38"/>
  <c r="L1327" i="38"/>
  <c r="Y1327" i="38" s="1"/>
  <c r="L1319" i="38"/>
  <c r="Y1319" i="38" s="1"/>
  <c r="L1311" i="38"/>
  <c r="Y1311" i="38" s="1"/>
  <c r="L1303" i="38"/>
  <c r="L1295" i="38"/>
  <c r="L1287" i="38"/>
  <c r="L1271" i="38"/>
  <c r="L1263" i="38"/>
  <c r="L1255" i="38"/>
  <c r="L727" i="38"/>
  <c r="L719" i="38"/>
  <c r="L711" i="38"/>
  <c r="L703" i="38"/>
  <c r="L695" i="38"/>
  <c r="L687" i="38"/>
  <c r="L679" i="38"/>
  <c r="L671" i="38"/>
  <c r="L663" i="38"/>
  <c r="L655" i="38"/>
  <c r="L647" i="38"/>
  <c r="L639" i="38"/>
  <c r="L631" i="38"/>
  <c r="L623" i="38"/>
  <c r="L615" i="38"/>
  <c r="L607" i="38"/>
  <c r="L599" i="38"/>
  <c r="L575" i="38"/>
  <c r="AC575" i="38" s="1"/>
  <c r="L567" i="38"/>
  <c r="L559" i="38"/>
  <c r="L551" i="38"/>
  <c r="L543" i="38"/>
  <c r="L535" i="38"/>
  <c r="L527" i="38"/>
  <c r="Y527" i="38" s="1"/>
  <c r="L239" i="38"/>
  <c r="L199" i="38"/>
  <c r="L175" i="38"/>
  <c r="L167" i="38"/>
  <c r="L159" i="38"/>
  <c r="L151" i="38"/>
  <c r="L143" i="38"/>
  <c r="L127" i="38"/>
  <c r="L119" i="38"/>
  <c r="L87" i="38"/>
  <c r="L71" i="38"/>
  <c r="L63" i="38"/>
  <c r="L55" i="38"/>
  <c r="L47" i="38"/>
  <c r="L39" i="38"/>
  <c r="L23" i="38"/>
  <c r="L1882" i="38"/>
  <c r="Y1882" i="38" s="1"/>
  <c r="L1874" i="38"/>
  <c r="Y1874" i="38" s="1"/>
  <c r="L1866" i="38"/>
  <c r="Y1866" i="38" s="1"/>
  <c r="L1858" i="38"/>
  <c r="L1843" i="38"/>
  <c r="L1835" i="38"/>
  <c r="L1819" i="38"/>
  <c r="L1803" i="38"/>
  <c r="L1787" i="38"/>
  <c r="L1779" i="38"/>
  <c r="L1771" i="38"/>
  <c r="L1755" i="38"/>
  <c r="L1739" i="38"/>
  <c r="L1715" i="38"/>
  <c r="L1691" i="38"/>
  <c r="L1675" i="38"/>
  <c r="L1651" i="38"/>
  <c r="L1627" i="38"/>
  <c r="L1587" i="38"/>
  <c r="L1474" i="38"/>
  <c r="L1466" i="38"/>
  <c r="L1458" i="38"/>
  <c r="L990" i="38"/>
  <c r="L470" i="38"/>
  <c r="Y470" i="38" s="1"/>
  <c r="L462" i="38"/>
  <c r="L454" i="38"/>
  <c r="L446" i="38"/>
  <c r="L438" i="38"/>
  <c r="L430" i="38"/>
  <c r="L422" i="38"/>
  <c r="L414" i="38"/>
  <c r="L406" i="38"/>
  <c r="L398" i="38"/>
  <c r="L390" i="38"/>
  <c r="L382" i="38"/>
  <c r="L374" i="38"/>
  <c r="L366" i="38"/>
  <c r="L358" i="38"/>
  <c r="L350" i="38"/>
  <c r="L342" i="38"/>
  <c r="L334" i="38"/>
  <c r="L326" i="38"/>
  <c r="L318" i="38"/>
  <c r="L310" i="38"/>
  <c r="L302" i="38"/>
  <c r="L294" i="38"/>
  <c r="L286" i="38"/>
  <c r="L278" i="38"/>
  <c r="L270" i="38"/>
  <c r="L230" i="38"/>
  <c r="Y230" i="38" s="1"/>
  <c r="L222" i="38"/>
  <c r="L214" i="38"/>
  <c r="L206" i="38"/>
  <c r="L117" i="70"/>
  <c r="L17" i="70" s="1"/>
  <c r="L76" i="70"/>
  <c r="L24" i="70" s="1"/>
  <c r="AA24" i="46"/>
  <c r="AA26" i="46" s="1"/>
  <c r="AB1853" i="38"/>
  <c r="Y1853" i="38"/>
  <c r="AB1781" i="38"/>
  <c r="AB1765" i="38"/>
  <c r="AC1765" i="38"/>
  <c r="Y1765" i="38"/>
  <c r="AB1717" i="38"/>
  <c r="AB1157" i="38"/>
  <c r="AB1141" i="38"/>
  <c r="Y1141" i="38"/>
  <c r="AB973" i="38"/>
  <c r="Y973" i="38"/>
  <c r="AC973" i="38"/>
  <c r="AB925" i="38"/>
  <c r="AC925" i="38"/>
  <c r="AB845" i="38"/>
  <c r="AC845" i="38"/>
  <c r="Y845" i="38"/>
  <c r="AB701" i="38"/>
  <c r="AC701" i="38"/>
  <c r="AB637" i="38"/>
  <c r="AC637" i="38"/>
  <c r="Y637" i="38"/>
  <c r="AB277" i="38"/>
  <c r="Y277" i="38"/>
  <c r="AC277" i="38"/>
  <c r="AB117" i="38"/>
  <c r="Y117" i="38"/>
  <c r="AC117" i="38"/>
  <c r="AB77" i="38"/>
  <c r="Y77" i="38"/>
  <c r="G54" i="42"/>
  <c r="I31" i="42"/>
  <c r="AB1415" i="38"/>
  <c r="AC1415" i="38"/>
  <c r="Y1415" i="38"/>
  <c r="AB1151" i="38"/>
  <c r="Y1151" i="38"/>
  <c r="AC1151" i="38"/>
  <c r="AB1103" i="38"/>
  <c r="Y1103" i="38"/>
  <c r="AC1103" i="38"/>
  <c r="AB1055" i="38"/>
  <c r="Y1055" i="38"/>
  <c r="AC1055" i="38"/>
  <c r="AB919" i="38"/>
  <c r="Y919" i="38"/>
  <c r="AB871" i="38"/>
  <c r="AC871" i="38"/>
  <c r="AB743" i="38"/>
  <c r="Y743" i="38"/>
  <c r="F31" i="42"/>
  <c r="L1837" i="38"/>
  <c r="L1821" i="38"/>
  <c r="L1813" i="38"/>
  <c r="L1805" i="38"/>
  <c r="L1797" i="38"/>
  <c r="L1789" i="38"/>
  <c r="L1773" i="38"/>
  <c r="L1757" i="38"/>
  <c r="L1749" i="38"/>
  <c r="L1741" i="38"/>
  <c r="L1733" i="38"/>
  <c r="L1725" i="38"/>
  <c r="L1709" i="38"/>
  <c r="L1693" i="38"/>
  <c r="L1685" i="38"/>
  <c r="L1677" i="38"/>
  <c r="L1669" i="38"/>
  <c r="L1661" i="38"/>
  <c r="L1645" i="38"/>
  <c r="Y1645" i="38" s="1"/>
  <c r="L1629" i="38"/>
  <c r="Y1629" i="38" s="1"/>
  <c r="L1621" i="38"/>
  <c r="L1613" i="38"/>
  <c r="L1605" i="38"/>
  <c r="L1597" i="38"/>
  <c r="L1581" i="38"/>
  <c r="L20" i="46"/>
  <c r="AE1858" i="38"/>
  <c r="L184" i="65"/>
  <c r="L186" i="65" s="1"/>
  <c r="L189" i="65" s="1"/>
  <c r="L196" i="65" s="1"/>
  <c r="P75" i="65"/>
  <c r="P77" i="65" s="1"/>
  <c r="P80" i="65" s="1"/>
  <c r="Q75" i="65"/>
  <c r="Q77" i="65" s="1"/>
  <c r="Q80" i="65" s="1"/>
  <c r="Q126" i="65"/>
  <c r="S126" i="65"/>
  <c r="L20" i="70"/>
  <c r="H54" i="42"/>
  <c r="J18" i="46"/>
  <c r="J20" i="46" s="1"/>
  <c r="J29" i="46" s="1"/>
  <c r="H31" i="42"/>
  <c r="I25" i="43"/>
  <c r="F25" i="43"/>
  <c r="L1487" i="38"/>
  <c r="L1479" i="38"/>
  <c r="AE1882" i="38"/>
  <c r="AE1874" i="38"/>
  <c r="O1845" i="38"/>
  <c r="L186" i="38"/>
  <c r="L59" i="38"/>
  <c r="O1565" i="38"/>
  <c r="L124" i="38"/>
  <c r="L111" i="38"/>
  <c r="L103" i="38"/>
  <c r="L95" i="38"/>
  <c r="L90" i="38"/>
  <c r="L82" i="38"/>
  <c r="L515" i="38"/>
  <c r="L507" i="38"/>
  <c r="L499" i="38"/>
  <c r="L489" i="38"/>
  <c r="Y489" i="38" s="1"/>
  <c r="L476" i="38"/>
  <c r="Y476" i="38" s="1"/>
  <c r="L460" i="38"/>
  <c r="L455" i="38"/>
  <c r="L447" i="38"/>
  <c r="L439" i="38"/>
  <c r="L431" i="38"/>
  <c r="L429" i="38"/>
  <c r="L421" i="38"/>
  <c r="L413" i="38"/>
  <c r="L405" i="38"/>
  <c r="L397" i="38"/>
  <c r="L389" i="38"/>
  <c r="L381" i="38"/>
  <c r="L373" i="38"/>
  <c r="L365" i="38"/>
  <c r="L357" i="38"/>
  <c r="L349" i="38"/>
  <c r="L341" i="38"/>
  <c r="L333" i="38"/>
  <c r="L325" i="38"/>
  <c r="L317" i="38"/>
  <c r="L309" i="38"/>
  <c r="L301" i="38"/>
  <c r="L293" i="38"/>
  <c r="L285" i="38"/>
  <c r="L275" i="38"/>
  <c r="L271" i="38"/>
  <c r="L260" i="38"/>
  <c r="L259" i="38"/>
  <c r="L251" i="38"/>
  <c r="L243" i="38"/>
  <c r="L235" i="38"/>
  <c r="L227" i="38"/>
  <c r="L219" i="38"/>
  <c r="L211" i="38"/>
  <c r="L201" i="38"/>
  <c r="L137" i="38"/>
  <c r="L129" i="38"/>
  <c r="L1869" i="38"/>
  <c r="Y1869" i="38" s="1"/>
  <c r="L1422" i="38"/>
  <c r="Y1422" i="38" s="1"/>
  <c r="L1414" i="38"/>
  <c r="Y1414" i="38" s="1"/>
  <c r="L1406" i="38"/>
  <c r="AB1406" i="38" s="1"/>
  <c r="L1398" i="38"/>
  <c r="Y1398" i="38" s="1"/>
  <c r="L982" i="38"/>
  <c r="AB982" i="38" s="1"/>
  <c r="L974" i="38"/>
  <c r="L966" i="38"/>
  <c r="Y966" i="38" s="1"/>
  <c r="L958" i="38"/>
  <c r="L950" i="38"/>
  <c r="Y950" i="38" s="1"/>
  <c r="L942" i="38"/>
  <c r="L934" i="38"/>
  <c r="AB934" i="38" s="1"/>
  <c r="L926" i="38"/>
  <c r="AC926" i="38" s="1"/>
  <c r="L918" i="38"/>
  <c r="Y918" i="38" s="1"/>
  <c r="L910" i="38"/>
  <c r="Y910" i="38" s="1"/>
  <c r="L902" i="38"/>
  <c r="AB902" i="38" s="1"/>
  <c r="L894" i="38"/>
  <c r="AB894" i="38" s="1"/>
  <c r="L886" i="38"/>
  <c r="Y886" i="38" s="1"/>
  <c r="L878" i="38"/>
  <c r="AB878" i="38" s="1"/>
  <c r="L870" i="38"/>
  <c r="Y870" i="38" s="1"/>
  <c r="L862" i="38"/>
  <c r="L854" i="38"/>
  <c r="AB854" i="38" s="1"/>
  <c r="L846" i="38"/>
  <c r="AC846" i="38" s="1"/>
  <c r="L838" i="38"/>
  <c r="AB838" i="38" s="1"/>
  <c r="L830" i="38"/>
  <c r="Y830" i="38" s="1"/>
  <c r="L822" i="38"/>
  <c r="Y822" i="38" s="1"/>
  <c r="L814" i="38"/>
  <c r="AC814" i="38" s="1"/>
  <c r="L806" i="38"/>
  <c r="AC806" i="38" s="1"/>
  <c r="L798" i="38"/>
  <c r="Y798" i="38" s="1"/>
  <c r="L790" i="38"/>
  <c r="Y790" i="38" s="1"/>
  <c r="L782" i="38"/>
  <c r="Y782" i="38" s="1"/>
  <c r="L774" i="38"/>
  <c r="AB774" i="38" s="1"/>
  <c r="L766" i="38"/>
  <c r="Y766" i="38" s="1"/>
  <c r="L758" i="38"/>
  <c r="AC758" i="38" s="1"/>
  <c r="L750" i="38"/>
  <c r="AB750" i="38" s="1"/>
  <c r="L742" i="38"/>
  <c r="Y742" i="38" s="1"/>
  <c r="L734" i="38"/>
  <c r="AB734" i="38" s="1"/>
  <c r="L732" i="38"/>
  <c r="AB732" i="38" s="1"/>
  <c r="L724" i="38"/>
  <c r="Y724" i="38" s="1"/>
  <c r="L716" i="38"/>
  <c r="AB716" i="38" s="1"/>
  <c r="L708" i="38"/>
  <c r="AB708" i="38" s="1"/>
  <c r="L700" i="38"/>
  <c r="Y700" i="38" s="1"/>
  <c r="L692" i="38"/>
  <c r="AB692" i="38" s="1"/>
  <c r="L684" i="38"/>
  <c r="AC684" i="38" s="1"/>
  <c r="L676" i="38"/>
  <c r="Y676" i="38" s="1"/>
  <c r="L668" i="38"/>
  <c r="AB668" i="38" s="1"/>
  <c r="L660" i="38"/>
  <c r="AB660" i="38" s="1"/>
  <c r="L652" i="38"/>
  <c r="AB652" i="38" s="1"/>
  <c r="L644" i="38"/>
  <c r="Y644" i="38" s="1"/>
  <c r="L636" i="38"/>
  <c r="AB636" i="38" s="1"/>
  <c r="L628" i="38"/>
  <c r="AB628" i="38" s="1"/>
  <c r="L620" i="38"/>
  <c r="Y620" i="38" s="1"/>
  <c r="L612" i="38"/>
  <c r="AB612" i="38" s="1"/>
  <c r="L604" i="38"/>
  <c r="AC604" i="38" s="1"/>
  <c r="L596" i="38"/>
  <c r="AB596" i="38" s="1"/>
  <c r="L591" i="38"/>
  <c r="AC591" i="38" s="1"/>
  <c r="L583" i="38"/>
  <c r="Y583" i="38" s="1"/>
  <c r="L578" i="38"/>
  <c r="Y578" i="38" s="1"/>
  <c r="L570" i="38"/>
  <c r="AB570" i="38" s="1"/>
  <c r="L562" i="38"/>
  <c r="AC562" i="38" s="1"/>
  <c r="L554" i="38"/>
  <c r="AB554" i="38" s="1"/>
  <c r="L541" i="38"/>
  <c r="AB541" i="38" s="1"/>
  <c r="L533" i="38"/>
  <c r="Y533" i="38" s="1"/>
  <c r="L525" i="38"/>
  <c r="Y525" i="38" s="1"/>
  <c r="L520" i="38"/>
  <c r="Y520" i="38" s="1"/>
  <c r="L150" i="38"/>
  <c r="AB150" i="38" s="1"/>
  <c r="L142" i="38"/>
  <c r="AC142" i="38" s="1"/>
  <c r="L21" i="38"/>
  <c r="AC21" i="38" s="1"/>
  <c r="L16" i="38"/>
  <c r="AC16" i="38" s="1"/>
  <c r="L10" i="38"/>
  <c r="AC10" i="38" s="1"/>
  <c r="L163" i="38"/>
  <c r="L155" i="38"/>
  <c r="L31" i="38"/>
  <c r="L26" i="38"/>
  <c r="L590" i="38"/>
  <c r="AB1491" i="38"/>
  <c r="Y1491" i="38"/>
  <c r="AB1459" i="38"/>
  <c r="Y1459" i="38"/>
  <c r="AC1459" i="38"/>
  <c r="AC878" i="38"/>
  <c r="O730" i="38"/>
  <c r="AE730" i="38"/>
  <c r="O642" i="38"/>
  <c r="AE642" i="38"/>
  <c r="O581" i="38"/>
  <c r="AE581" i="38"/>
  <c r="Y1811" i="38"/>
  <c r="Y1774" i="38"/>
  <c r="AB126" i="38"/>
  <c r="AC126" i="38"/>
  <c r="AB1729" i="38"/>
  <c r="AC1729" i="38"/>
  <c r="AB1531" i="38"/>
  <c r="AC1531" i="38"/>
  <c r="Y1531" i="38"/>
  <c r="AB1483" i="38"/>
  <c r="Y1483" i="38"/>
  <c r="AC1483" i="38"/>
  <c r="AC1426" i="38"/>
  <c r="AC1774" i="38"/>
  <c r="AE876" i="38"/>
  <c r="AB1573" i="38"/>
  <c r="AC1573" i="38"/>
  <c r="AB1523" i="38"/>
  <c r="AC1523" i="38"/>
  <c r="AB1475" i="38"/>
  <c r="Y1475" i="38"/>
  <c r="AB1434" i="38"/>
  <c r="AC1434" i="38"/>
  <c r="O1412" i="38"/>
  <c r="AE1412" i="38"/>
  <c r="Y1573" i="38"/>
  <c r="Y1523" i="38"/>
  <c r="Y1434" i="38"/>
  <c r="AE940" i="38"/>
  <c r="AE932" i="38"/>
  <c r="AE698" i="38"/>
  <c r="AB426" i="38"/>
  <c r="AC426" i="38"/>
  <c r="AB394" i="38"/>
  <c r="AC394" i="38"/>
  <c r="AB362" i="38"/>
  <c r="AC362" i="38"/>
  <c r="AB330" i="38"/>
  <c r="AC330" i="38"/>
  <c r="AB298" i="38"/>
  <c r="Y298" i="38"/>
  <c r="AB266" i="38"/>
  <c r="Y266" i="38"/>
  <c r="AB202" i="38"/>
  <c r="AC202" i="38"/>
  <c r="Y202" i="38"/>
  <c r="AB1719" i="38"/>
  <c r="AC1719" i="38"/>
  <c r="O666" i="38"/>
  <c r="AE666" i="38"/>
  <c r="O610" i="38"/>
  <c r="AE610" i="38"/>
  <c r="Y1838" i="38"/>
  <c r="AC1491" i="38"/>
  <c r="AB1392" i="38"/>
  <c r="AC1392" i="38"/>
  <c r="AB1384" i="38"/>
  <c r="AC1384" i="38"/>
  <c r="Y1384" i="38"/>
  <c r="AB1368" i="38"/>
  <c r="Y1368" i="38"/>
  <c r="AB1302" i="38"/>
  <c r="AC1302" i="38"/>
  <c r="AB1294" i="38"/>
  <c r="Y1294" i="38"/>
  <c r="AB1146" i="38"/>
  <c r="AC1146" i="38"/>
  <c r="AB1137" i="38"/>
  <c r="Y1137" i="38"/>
  <c r="AC1137" i="38"/>
  <c r="AB1128" i="38"/>
  <c r="AC1128" i="38"/>
  <c r="Y1128" i="38"/>
  <c r="AB1119" i="38"/>
  <c r="AC1119" i="38"/>
  <c r="Y1091" i="38"/>
  <c r="AB1081" i="38"/>
  <c r="Y1081" i="38"/>
  <c r="AC1081" i="38"/>
  <c r="AB1071" i="38"/>
  <c r="AC1071" i="38"/>
  <c r="Y1071" i="38"/>
  <c r="AB1007" i="38"/>
  <c r="AC1007" i="38"/>
  <c r="AB887" i="38"/>
  <c r="Y887" i="38"/>
  <c r="AB1793" i="38"/>
  <c r="Y1793" i="38"/>
  <c r="AC1701" i="38"/>
  <c r="AB1601" i="38"/>
  <c r="Y1601" i="38"/>
  <c r="Y1499" i="38"/>
  <c r="AB1467" i="38"/>
  <c r="Y1467" i="38"/>
  <c r="O1875" i="38"/>
  <c r="AE1875" i="38"/>
  <c r="O634" i="38"/>
  <c r="AE634" i="38"/>
  <c r="O602" i="38"/>
  <c r="AE602" i="38"/>
  <c r="AC1655" i="38"/>
  <c r="AC1829" i="38"/>
  <c r="Y1674" i="38"/>
  <c r="AC1793" i="38"/>
  <c r="Y1729" i="38"/>
  <c r="AC1601" i="38"/>
  <c r="AE1420" i="38"/>
  <c r="AB1864" i="38"/>
  <c r="Y1864" i="38"/>
  <c r="AB1783" i="38"/>
  <c r="AB1738" i="38"/>
  <c r="Y1738" i="38"/>
  <c r="AB1665" i="38"/>
  <c r="Y1665" i="38"/>
  <c r="AC1665" i="38"/>
  <c r="Y1619" i="38"/>
  <c r="AB1507" i="38"/>
  <c r="AC1507" i="38"/>
  <c r="Y1507" i="38"/>
  <c r="O674" i="38"/>
  <c r="AE674" i="38"/>
  <c r="O552" i="38"/>
  <c r="AE552" i="38"/>
  <c r="AC1467" i="38"/>
  <c r="Y1655" i="38"/>
  <c r="Y1829" i="38"/>
  <c r="AC1674" i="38"/>
  <c r="AC1450" i="38"/>
  <c r="AE772" i="38"/>
  <c r="AE764" i="38"/>
  <c r="AE756" i="38"/>
  <c r="AC1410" i="38"/>
  <c r="AE924" i="38"/>
  <c r="AE916" i="38"/>
  <c r="AE868" i="38"/>
  <c r="AE812" i="38"/>
  <c r="AE748" i="38"/>
  <c r="AE690" i="38"/>
  <c r="AE682" i="38"/>
  <c r="AE140" i="38"/>
  <c r="AE1404" i="38"/>
  <c r="AE908" i="38"/>
  <c r="AE860" i="38"/>
  <c r="AE852" i="38"/>
  <c r="AE804" i="38"/>
  <c r="AE740" i="38"/>
  <c r="AE626" i="38"/>
  <c r="AE618" i="38"/>
  <c r="AE576" i="38"/>
  <c r="AE568" i="38"/>
  <c r="L54" i="38"/>
  <c r="AE1396" i="38"/>
  <c r="AE988" i="38"/>
  <c r="AE980" i="38"/>
  <c r="AE900" i="38"/>
  <c r="AE844" i="38"/>
  <c r="AE796" i="38"/>
  <c r="AE788" i="38"/>
  <c r="AE589" i="38"/>
  <c r="AE560" i="38"/>
  <c r="AE547" i="38"/>
  <c r="AE539" i="38"/>
  <c r="AE14" i="38"/>
  <c r="AE972" i="38"/>
  <c r="AE964" i="38"/>
  <c r="AE956" i="38"/>
  <c r="AE948" i="38"/>
  <c r="AE892" i="38"/>
  <c r="AE884" i="38"/>
  <c r="AE836" i="38"/>
  <c r="AE780" i="38"/>
  <c r="AE658" i="38"/>
  <c r="AE650" i="38"/>
  <c r="AE148" i="38"/>
  <c r="AE19" i="38"/>
  <c r="AE1867" i="38"/>
  <c r="AE828" i="38"/>
  <c r="AE820" i="38"/>
  <c r="AE722" i="38"/>
  <c r="AE714" i="38"/>
  <c r="AE706" i="38"/>
  <c r="AE531" i="38"/>
  <c r="AE518" i="38"/>
  <c r="L1348" i="38"/>
  <c r="O1250" i="38"/>
  <c r="O429" i="38"/>
  <c r="L1840" i="38"/>
  <c r="AC1840" i="38" s="1"/>
  <c r="L1832" i="38"/>
  <c r="AC1832" i="38" s="1"/>
  <c r="L1824" i="38"/>
  <c r="Y1824" i="38" s="1"/>
  <c r="L1816" i="38"/>
  <c r="AB1816" i="38" s="1"/>
  <c r="L1808" i="38"/>
  <c r="AC1808" i="38" s="1"/>
  <c r="L1800" i="38"/>
  <c r="L1792" i="38"/>
  <c r="AB1792" i="38" s="1"/>
  <c r="L1784" i="38"/>
  <c r="L1776" i="38"/>
  <c r="AC1776" i="38" s="1"/>
  <c r="L1768" i="38"/>
  <c r="Y1768" i="38" s="1"/>
  <c r="L1760" i="38"/>
  <c r="AB1760" i="38" s="1"/>
  <c r="L1752" i="38"/>
  <c r="AB1752" i="38" s="1"/>
  <c r="L1744" i="38"/>
  <c r="L1736" i="38"/>
  <c r="AB1736" i="38" s="1"/>
  <c r="L1728" i="38"/>
  <c r="Y1728" i="38" s="1"/>
  <c r="L1720" i="38"/>
  <c r="L1712" i="38"/>
  <c r="AB1712" i="38" s="1"/>
  <c r="L1704" i="38"/>
  <c r="Y1704" i="38" s="1"/>
  <c r="L1696" i="38"/>
  <c r="AC1696" i="38" s="1"/>
  <c r="L1688" i="38"/>
  <c r="AB1688" i="38" s="1"/>
  <c r="L1680" i="38"/>
  <c r="L1672" i="38"/>
  <c r="L1664" i="38"/>
  <c r="L1656" i="38"/>
  <c r="Y1656" i="38" s="1"/>
  <c r="L1648" i="38"/>
  <c r="AB1648" i="38" s="1"/>
  <c r="L1640" i="38"/>
  <c r="Y1640" i="38" s="1"/>
  <c r="L1632" i="38"/>
  <c r="Y1632" i="38" s="1"/>
  <c r="L1624" i="38"/>
  <c r="AB1624" i="38" s="1"/>
  <c r="L1616" i="38"/>
  <c r="L1608" i="38"/>
  <c r="L1600" i="38"/>
  <c r="L1592" i="38"/>
  <c r="L1584" i="38"/>
  <c r="AB1584" i="38" s="1"/>
  <c r="L1576" i="38"/>
  <c r="AC1576" i="38" s="1"/>
  <c r="L1568" i="38"/>
  <c r="AC1568" i="38" s="1"/>
  <c r="L1402" i="38"/>
  <c r="AB1402" i="38" s="1"/>
  <c r="L1279" i="38"/>
  <c r="Y1279" i="38" s="1"/>
  <c r="L1274" i="38"/>
  <c r="L1407" i="38"/>
  <c r="L1859" i="38"/>
  <c r="L1539" i="38"/>
  <c r="AB1539" i="38" s="1"/>
  <c r="L1451" i="38"/>
  <c r="AB1451" i="38" s="1"/>
  <c r="L1307" i="38"/>
  <c r="Y1307" i="38" s="1"/>
  <c r="L471" i="38"/>
  <c r="Y471" i="38" s="1"/>
  <c r="L463" i="38"/>
  <c r="AB463" i="38" s="1"/>
  <c r="L458" i="38"/>
  <c r="L191" i="38"/>
  <c r="L166" i="38"/>
  <c r="L106" i="38"/>
  <c r="AC106" i="38" s="1"/>
  <c r="L67" i="38"/>
  <c r="AB67" i="38" s="1"/>
  <c r="L62" i="38"/>
  <c r="AC62" i="38" s="1"/>
  <c r="L11" i="38"/>
  <c r="AB11" i="38" s="1"/>
  <c r="R55" i="38"/>
  <c r="R115" i="38"/>
  <c r="S115" i="38" s="1"/>
  <c r="R99" i="38"/>
  <c r="S99" i="38" s="1"/>
  <c r="R35" i="38"/>
  <c r="R181" i="38"/>
  <c r="S181" i="38" s="1"/>
  <c r="R129" i="38"/>
  <c r="S129" i="38" s="1"/>
  <c r="R113" i="38"/>
  <c r="S113" i="38" s="1"/>
  <c r="R177" i="38"/>
  <c r="R312" i="37"/>
  <c r="S124" i="12"/>
  <c r="AD7" i="45" s="1"/>
  <c r="R124" i="12"/>
  <c r="AC7" i="45" s="1"/>
  <c r="S107" i="12"/>
  <c r="P7" i="45" s="1"/>
  <c r="O107" i="12"/>
  <c r="L7" i="45" s="1"/>
  <c r="S412" i="37"/>
  <c r="R107" i="12"/>
  <c r="O7" i="45" s="1"/>
  <c r="O412" i="37"/>
  <c r="P412" i="37"/>
  <c r="N308" i="37"/>
  <c r="R412" i="37"/>
  <c r="M412" i="37"/>
  <c r="AB104" i="38"/>
  <c r="Y104" i="38"/>
  <c r="AB96" i="38"/>
  <c r="Y96" i="38"/>
  <c r="AB88" i="38"/>
  <c r="AC88" i="38"/>
  <c r="Y88" i="38"/>
  <c r="AB80" i="38"/>
  <c r="AC80" i="38"/>
  <c r="Y80" i="38"/>
  <c r="AB71" i="38"/>
  <c r="Y71" i="38"/>
  <c r="O1870" i="38"/>
  <c r="AE1870" i="38"/>
  <c r="AB1859" i="38"/>
  <c r="AC1859" i="38"/>
  <c r="Y1859" i="38"/>
  <c r="O1449" i="38"/>
  <c r="AE1449" i="38"/>
  <c r="O1444" i="38"/>
  <c r="AE1444" i="38"/>
  <c r="O1305" i="38"/>
  <c r="AE1305" i="38"/>
  <c r="O1300" i="38"/>
  <c r="AE1300" i="38"/>
  <c r="Y463" i="38"/>
  <c r="AC463" i="38"/>
  <c r="O461" i="38"/>
  <c r="AE461" i="38"/>
  <c r="AB458" i="38"/>
  <c r="Y458" i="38"/>
  <c r="AC458" i="38"/>
  <c r="O456" i="38"/>
  <c r="AE456" i="38"/>
  <c r="AB191" i="38"/>
  <c r="AC191" i="38"/>
  <c r="O164" i="38"/>
  <c r="AE164" i="38"/>
  <c r="AC104" i="38"/>
  <c r="AC71" i="38"/>
  <c r="AC96" i="38"/>
  <c r="Y191" i="38"/>
  <c r="AE1865" i="38"/>
  <c r="AE469" i="38"/>
  <c r="AE104" i="38"/>
  <c r="L198" i="38"/>
  <c r="AC198" i="38" s="1"/>
  <c r="L582" i="38"/>
  <c r="AC582" i="38" s="1"/>
  <c r="L182" i="38"/>
  <c r="AB182" i="38" s="1"/>
  <c r="O1249" i="38"/>
  <c r="R191" i="38"/>
  <c r="R131" i="38"/>
  <c r="R67" i="38"/>
  <c r="R179" i="38"/>
  <c r="O732" i="38"/>
  <c r="R183" i="38"/>
  <c r="R97" i="38"/>
  <c r="R51" i="38"/>
  <c r="O1838" i="38"/>
  <c r="AE1838" i="38"/>
  <c r="O1830" i="38"/>
  <c r="AE1830" i="38"/>
  <c r="O1814" i="38"/>
  <c r="AE1814" i="38"/>
  <c r="AB1808" i="38"/>
  <c r="AB1800" i="38"/>
  <c r="AC1800" i="38"/>
  <c r="O1798" i="38"/>
  <c r="AE1798" i="38"/>
  <c r="Y1792" i="38"/>
  <c r="O1790" i="38"/>
  <c r="AE1790" i="38"/>
  <c r="AB1784" i="38"/>
  <c r="Y1784" i="38"/>
  <c r="O1782" i="38"/>
  <c r="AE1782" i="38"/>
  <c r="O1774" i="38"/>
  <c r="AE1774" i="38"/>
  <c r="O1766" i="38"/>
  <c r="AE1766" i="38"/>
  <c r="O1758" i="38"/>
  <c r="AE1758" i="38"/>
  <c r="O1750" i="38"/>
  <c r="AE1750" i="38"/>
  <c r="AB1744" i="38"/>
  <c r="Y1744" i="38"/>
  <c r="O1742" i="38"/>
  <c r="AE1742" i="38"/>
  <c r="AC1736" i="38"/>
  <c r="Y1736" i="38"/>
  <c r="O1734" i="38"/>
  <c r="AE1734" i="38"/>
  <c r="AC1728" i="38"/>
  <c r="O1726" i="38"/>
  <c r="AE1726" i="38"/>
  <c r="AB1720" i="38"/>
  <c r="AC1720" i="38"/>
  <c r="Y1720" i="38"/>
  <c r="O1718" i="38"/>
  <c r="AE1718" i="38"/>
  <c r="O1710" i="38"/>
  <c r="AE1710" i="38"/>
  <c r="O1702" i="38"/>
  <c r="AE1702" i="38"/>
  <c r="O1694" i="38"/>
  <c r="AE1694" i="38"/>
  <c r="O1686" i="38"/>
  <c r="AE1686" i="38"/>
  <c r="AB1680" i="38"/>
  <c r="Y1680" i="38"/>
  <c r="O1678" i="38"/>
  <c r="AE1678" i="38"/>
  <c r="AB1672" i="38"/>
  <c r="Y1672" i="38"/>
  <c r="AC1672" i="38"/>
  <c r="O1670" i="38"/>
  <c r="AE1670" i="38"/>
  <c r="AB1664" i="38"/>
  <c r="Y1664" i="38"/>
  <c r="O1662" i="38"/>
  <c r="AE1662" i="38"/>
  <c r="AB1656" i="38"/>
  <c r="AC1656" i="38"/>
  <c r="O1654" i="38"/>
  <c r="AE1654" i="38"/>
  <c r="O1646" i="38"/>
  <c r="AE1646" i="38"/>
  <c r="O1630" i="38"/>
  <c r="AE1630" i="38"/>
  <c r="O1622" i="38"/>
  <c r="AE1622" i="38"/>
  <c r="AB1616" i="38"/>
  <c r="AC1616" i="38"/>
  <c r="O1614" i="38"/>
  <c r="AE1614" i="38"/>
  <c r="AB1608" i="38"/>
  <c r="Y1608" i="38"/>
  <c r="AC1608" i="38"/>
  <c r="O1606" i="38"/>
  <c r="AE1606" i="38"/>
  <c r="AB1600" i="38"/>
  <c r="AC1600" i="38"/>
  <c r="Y1600" i="38"/>
  <c r="O1598" i="38"/>
  <c r="AE1598" i="38"/>
  <c r="AB1592" i="38"/>
  <c r="Y1592" i="38"/>
  <c r="O1590" i="38"/>
  <c r="AE1590" i="38"/>
  <c r="O1582" i="38"/>
  <c r="AE1582" i="38"/>
  <c r="O1574" i="38"/>
  <c r="AE1574" i="38"/>
  <c r="O1566" i="38"/>
  <c r="AE1566" i="38"/>
  <c r="AB1407" i="38"/>
  <c r="Y1407" i="38"/>
  <c r="AB1279" i="38"/>
  <c r="AC1279" i="38"/>
  <c r="AB1274" i="38"/>
  <c r="AC1274" i="38"/>
  <c r="Y1274" i="38"/>
  <c r="O482" i="38"/>
  <c r="AE482" i="38"/>
  <c r="AB166" i="38"/>
  <c r="AC166" i="38"/>
  <c r="Y166" i="38"/>
  <c r="O114" i="38"/>
  <c r="AE114" i="38"/>
  <c r="AB111" i="38"/>
  <c r="AC111" i="38"/>
  <c r="Y111" i="38"/>
  <c r="O82" i="38"/>
  <c r="AE82" i="38"/>
  <c r="L79" i="38"/>
  <c r="O10" i="38"/>
  <c r="AE10" i="38"/>
  <c r="AC1592" i="38"/>
  <c r="Y1616" i="38"/>
  <c r="AC1784" i="38"/>
  <c r="Y1624" i="38"/>
  <c r="AC1664" i="38"/>
  <c r="O1822" i="38"/>
  <c r="AE1822" i="38"/>
  <c r="AC1680" i="38"/>
  <c r="Y1752" i="38"/>
  <c r="Y1800" i="38"/>
  <c r="AC1744" i="38"/>
  <c r="O1806" i="38"/>
  <c r="AE1806" i="38"/>
  <c r="O1638" i="38"/>
  <c r="AE1638" i="38"/>
  <c r="AC1407" i="38"/>
  <c r="AE435" i="38"/>
  <c r="AE536" i="38"/>
  <c r="AE1346" i="38"/>
  <c r="AE1351" i="38"/>
  <c r="O428" i="38"/>
  <c r="R200" i="38"/>
  <c r="S200" i="38" s="1"/>
  <c r="R198" i="38"/>
  <c r="S198" i="38" s="1"/>
  <c r="R196" i="38"/>
  <c r="S196" i="38" s="1"/>
  <c r="R194" i="38"/>
  <c r="R192" i="38"/>
  <c r="S192" i="38" s="1"/>
  <c r="R190" i="38"/>
  <c r="R188" i="38"/>
  <c r="S188" i="38" s="1"/>
  <c r="R186" i="38"/>
  <c r="S186" i="38" s="1"/>
  <c r="R184" i="38"/>
  <c r="R182" i="38"/>
  <c r="S182" i="38" s="1"/>
  <c r="R111" i="38"/>
  <c r="R234" i="38"/>
  <c r="R53" i="38"/>
  <c r="R57" i="38"/>
  <c r="S57" i="38" s="1"/>
  <c r="O731" i="38"/>
  <c r="R123" i="38"/>
  <c r="S123" i="38" s="1"/>
  <c r="R107" i="38"/>
  <c r="R43" i="38"/>
  <c r="R33" i="38"/>
  <c r="R211" i="38"/>
  <c r="S211" i="38" s="1"/>
  <c r="R233" i="38"/>
  <c r="S233" i="38" s="1"/>
  <c r="R193" i="38"/>
  <c r="R209" i="38"/>
  <c r="R83" i="38"/>
  <c r="R127" i="38"/>
  <c r="R95" i="38"/>
  <c r="R221" i="38"/>
  <c r="S221" i="38" s="1"/>
  <c r="R163" i="38"/>
  <c r="R165" i="38"/>
  <c r="R167" i="38"/>
  <c r="R119" i="38"/>
  <c r="R225" i="38"/>
  <c r="R227" i="38"/>
  <c r="R164" i="38"/>
  <c r="R148" i="38"/>
  <c r="S148" i="38" s="1"/>
  <c r="N148" i="33"/>
  <c r="O148" i="33" s="1"/>
  <c r="P148" i="33" s="1"/>
  <c r="Q148" i="33" s="1"/>
  <c r="R148" i="33" s="1"/>
  <c r="S148" i="33" s="1"/>
  <c r="N149" i="33"/>
  <c r="O149" i="33" s="1"/>
  <c r="P149" i="33" s="1"/>
  <c r="Q149" i="33" s="1"/>
  <c r="R149" i="33" s="1"/>
  <c r="S149" i="33" s="1"/>
  <c r="R85" i="38"/>
  <c r="R201" i="38"/>
  <c r="R199" i="38"/>
  <c r="R197" i="38"/>
  <c r="S197" i="38" s="1"/>
  <c r="R195" i="38"/>
  <c r="R189" i="38"/>
  <c r="S189" i="38" s="1"/>
  <c r="R187" i="38"/>
  <c r="R185" i="38"/>
  <c r="R171" i="38"/>
  <c r="R169" i="38"/>
  <c r="R151" i="38"/>
  <c r="R135" i="38"/>
  <c r="R87" i="38"/>
  <c r="S87" i="38" s="1"/>
  <c r="R71" i="38"/>
  <c r="R39" i="38"/>
  <c r="R41" i="38"/>
  <c r="S41" i="38" s="1"/>
  <c r="R217" i="38"/>
  <c r="R157" i="38"/>
  <c r="R141" i="38"/>
  <c r="S141" i="38" s="1"/>
  <c r="R125" i="38"/>
  <c r="S125" i="38" s="1"/>
  <c r="R93" i="38"/>
  <c r="R77" i="38"/>
  <c r="S77" i="38" s="1"/>
  <c r="R61" i="38"/>
  <c r="R29" i="38"/>
  <c r="R13" i="38"/>
  <c r="R202" i="38"/>
  <c r="S202" i="38" s="1"/>
  <c r="N145" i="33"/>
  <c r="O145" i="33" s="1"/>
  <c r="P145" i="33" s="1"/>
  <c r="Q145" i="33" s="1"/>
  <c r="R145" i="33" s="1"/>
  <c r="S145" i="33" s="1"/>
  <c r="N146" i="33"/>
  <c r="O146" i="33" s="1"/>
  <c r="P146" i="33" s="1"/>
  <c r="Q146" i="33" s="1"/>
  <c r="R146" i="33" s="1"/>
  <c r="S146" i="33" s="1"/>
  <c r="R19" i="38"/>
  <c r="S19" i="38" s="1"/>
  <c r="R213" i="38"/>
  <c r="S213" i="38" s="1"/>
  <c r="R156" i="38"/>
  <c r="R149" i="38"/>
  <c r="S147" i="38"/>
  <c r="R140" i="38"/>
  <c r="S140" i="38" s="1"/>
  <c r="R117" i="38"/>
  <c r="R69" i="38"/>
  <c r="R37" i="38"/>
  <c r="S37" i="38" s="1"/>
  <c r="R21" i="38"/>
  <c r="R23" i="38"/>
  <c r="R205" i="38"/>
  <c r="S205" i="38" s="1"/>
  <c r="S183" i="38"/>
  <c r="R160" i="38"/>
  <c r="R153" i="38"/>
  <c r="S153" i="38" s="1"/>
  <c r="R144" i="38"/>
  <c r="R137" i="38"/>
  <c r="S137" i="38" s="1"/>
  <c r="R121" i="38"/>
  <c r="S121" i="38" s="1"/>
  <c r="R89" i="38"/>
  <c r="S89" i="38" s="1"/>
  <c r="R73" i="38"/>
  <c r="S73" i="38" s="1"/>
  <c r="R25" i="38"/>
  <c r="R155" i="38"/>
  <c r="R139" i="38"/>
  <c r="R91" i="38"/>
  <c r="R75" i="38"/>
  <c r="S75" i="38" s="1"/>
  <c r="R59" i="38"/>
  <c r="R27" i="38"/>
  <c r="R11" i="38"/>
  <c r="R180" i="38"/>
  <c r="S180" i="38" s="1"/>
  <c r="R178" i="38"/>
  <c r="R176" i="38"/>
  <c r="R174" i="38"/>
  <c r="R172" i="38"/>
  <c r="S172" i="38" s="1"/>
  <c r="R159" i="38"/>
  <c r="R143" i="38"/>
  <c r="R79" i="38"/>
  <c r="R63" i="38"/>
  <c r="R31" i="38"/>
  <c r="R15" i="38"/>
  <c r="R161" i="38"/>
  <c r="R152" i="38"/>
  <c r="R145" i="38"/>
  <c r="R81" i="38"/>
  <c r="S81" i="38" s="1"/>
  <c r="R65" i="38"/>
  <c r="R17" i="38"/>
  <c r="M329" i="37"/>
  <c r="P309" i="37"/>
  <c r="M326" i="37"/>
  <c r="N327" i="37"/>
  <c r="R311" i="37"/>
  <c r="P308" i="37"/>
  <c r="M308" i="37"/>
  <c r="R308" i="37"/>
  <c r="P324" i="37"/>
  <c r="N412" i="37"/>
  <c r="O124" i="12"/>
  <c r="Z7" i="45" s="1"/>
  <c r="S308" i="37"/>
  <c r="M124" i="12"/>
  <c r="X7" i="45" s="1"/>
  <c r="M428" i="37"/>
  <c r="O308" i="37"/>
  <c r="M107" i="12"/>
  <c r="J7" i="45" s="1"/>
  <c r="M312" i="37"/>
  <c r="O312" i="37"/>
  <c r="N328" i="37"/>
  <c r="P328" i="37"/>
  <c r="S312" i="37"/>
  <c r="N312" i="37"/>
  <c r="M77" i="65"/>
  <c r="M80" i="65" s="1"/>
  <c r="O77" i="65"/>
  <c r="O80" i="65" s="1"/>
  <c r="M324" i="37"/>
  <c r="P126" i="65"/>
  <c r="P327" i="37"/>
  <c r="H27" i="65"/>
  <c r="E56" i="42"/>
  <c r="E58" i="42" s="1"/>
  <c r="K252" i="65"/>
  <c r="H29" i="45" s="1"/>
  <c r="I12" i="43"/>
  <c r="AA17" i="46"/>
  <c r="AA11" i="46"/>
  <c r="AA13" i="46" s="1"/>
  <c r="I9" i="43"/>
  <c r="AA18" i="46"/>
  <c r="I56" i="42"/>
  <c r="I58" i="42" s="1"/>
  <c r="L27" i="65"/>
  <c r="H28" i="43"/>
  <c r="H25" i="43"/>
  <c r="Q326" i="37"/>
  <c r="R326" i="37"/>
  <c r="R310" i="37"/>
  <c r="Q310" i="37"/>
  <c r="P326" i="37"/>
  <c r="N311" i="37"/>
  <c r="O311" i="37"/>
  <c r="Q311" i="37"/>
  <c r="S311" i="37"/>
  <c r="S309" i="37"/>
  <c r="M309" i="37"/>
  <c r="O309" i="37"/>
  <c r="P313" i="37"/>
  <c r="N329" i="37"/>
  <c r="S313" i="37"/>
  <c r="Q313" i="37"/>
  <c r="P329" i="37"/>
  <c r="M313" i="37"/>
  <c r="R313" i="37"/>
  <c r="O313" i="37"/>
  <c r="S314" i="37"/>
  <c r="M330" i="37"/>
  <c r="M149" i="12"/>
  <c r="J27" i="45" s="1"/>
  <c r="M166" i="12"/>
  <c r="X27" i="45" s="1"/>
  <c r="N330" i="37"/>
  <c r="P314" i="37"/>
  <c r="M314" i="37"/>
  <c r="O314" i="37"/>
  <c r="M434" i="37"/>
  <c r="L203" i="65"/>
  <c r="L239" i="65"/>
  <c r="AD532" i="38"/>
  <c r="AD1053" i="38"/>
  <c r="M63" i="68"/>
  <c r="M60" i="31" s="1"/>
  <c r="Y1876" i="38"/>
  <c r="Y1868" i="38"/>
  <c r="AB1860" i="38"/>
  <c r="Y1860" i="38"/>
  <c r="AB1852" i="38"/>
  <c r="AC1852" i="38"/>
  <c r="AB1836" i="38"/>
  <c r="Y1836" i="38"/>
  <c r="AB1828" i="38"/>
  <c r="Y1828" i="38"/>
  <c r="AB1820" i="38"/>
  <c r="AC1820" i="38"/>
  <c r="Y1820" i="38"/>
  <c r="AB1804" i="38"/>
  <c r="Y1804" i="38"/>
  <c r="AC1804" i="38"/>
  <c r="AB1796" i="38"/>
  <c r="AC1796" i="38"/>
  <c r="AB1788" i="38"/>
  <c r="Y1788" i="38"/>
  <c r="AB1780" i="38"/>
  <c r="Y1780" i="38"/>
  <c r="AB1772" i="38"/>
  <c r="AC1772" i="38"/>
  <c r="Y1772" i="38"/>
  <c r="AB1756" i="38"/>
  <c r="Y1756" i="38"/>
  <c r="AC1756" i="38"/>
  <c r="AB1748" i="38"/>
  <c r="Y1748" i="38"/>
  <c r="AB1740" i="38"/>
  <c r="AC1740" i="38"/>
  <c r="Y1740" i="38"/>
  <c r="AB1732" i="38"/>
  <c r="AC1732" i="38"/>
  <c r="Y1732" i="38"/>
  <c r="AB1708" i="38"/>
  <c r="AC1708" i="38"/>
  <c r="AB1700" i="38"/>
  <c r="Y1700" i="38"/>
  <c r="AC1700" i="38"/>
  <c r="AB1692" i="38"/>
  <c r="Y1692" i="38"/>
  <c r="AB1684" i="38"/>
  <c r="Y1684" i="38"/>
  <c r="AC1684" i="38"/>
  <c r="AB1676" i="38"/>
  <c r="AC1676" i="38"/>
  <c r="AB1660" i="38"/>
  <c r="AC1660" i="38"/>
  <c r="Y1660" i="38"/>
  <c r="AB1652" i="38"/>
  <c r="Y1652" i="38"/>
  <c r="AC1652" i="38"/>
  <c r="Y1644" i="38"/>
  <c r="Y1636" i="38"/>
  <c r="Y1628" i="38"/>
  <c r="AB1620" i="38"/>
  <c r="Y1620" i="38"/>
  <c r="AB1612" i="38"/>
  <c r="AC1612" i="38"/>
  <c r="AB1604" i="38"/>
  <c r="Y1604" i="38"/>
  <c r="AC1604" i="38"/>
  <c r="AB1596" i="38"/>
  <c r="Y1596" i="38"/>
  <c r="AC1596" i="38"/>
  <c r="AB1588" i="38"/>
  <c r="AC1588" i="38"/>
  <c r="AB1580" i="38"/>
  <c r="AC1580" i="38"/>
  <c r="AB1572" i="38"/>
  <c r="Y1572" i="38"/>
  <c r="AB1564" i="38"/>
  <c r="AC1564" i="38"/>
  <c r="AB1556" i="38"/>
  <c r="Y1556" i="38"/>
  <c r="AB1548" i="38"/>
  <c r="AC1548" i="38"/>
  <c r="AB1540" i="38"/>
  <c r="Y1540" i="38"/>
  <c r="AC1540" i="38"/>
  <c r="AB1532" i="38"/>
  <c r="AC1532" i="38"/>
  <c r="AB1524" i="38"/>
  <c r="AC1524" i="38"/>
  <c r="AB1516" i="38"/>
  <c r="AC1516" i="38"/>
  <c r="AB1500" i="38"/>
  <c r="AC1500" i="38"/>
  <c r="Y1500" i="38"/>
  <c r="AB1492" i="38"/>
  <c r="Y1492" i="38"/>
  <c r="AC1492" i="38"/>
  <c r="AB1484" i="38"/>
  <c r="Y1484" i="38"/>
  <c r="AB1476" i="38"/>
  <c r="Y1476" i="38"/>
  <c r="AB1468" i="38"/>
  <c r="AC1468" i="38"/>
  <c r="Y1468" i="38"/>
  <c r="AB1460" i="38"/>
  <c r="AC1460" i="38"/>
  <c r="AB1452" i="38"/>
  <c r="AC1452" i="38"/>
  <c r="Y1452" i="38"/>
  <c r="AB1436" i="38"/>
  <c r="AC1436" i="38"/>
  <c r="AB1428" i="38"/>
  <c r="Y1428" i="38"/>
  <c r="AC1428" i="38"/>
  <c r="AB1412" i="38"/>
  <c r="AC1412" i="38"/>
  <c r="Y1412" i="38"/>
  <c r="AB1396" i="38"/>
  <c r="AC1396" i="38"/>
  <c r="Y1396" i="38"/>
  <c r="AB1380" i="38"/>
  <c r="AC1380" i="38"/>
  <c r="AB1372" i="38"/>
  <c r="AC1372" i="38"/>
  <c r="Y1372" i="38"/>
  <c r="Y1364" i="38"/>
  <c r="Y1356" i="38"/>
  <c r="Y1348" i="38"/>
  <c r="Y1340" i="38"/>
  <c r="Y1332" i="38"/>
  <c r="Y1324" i="38"/>
  <c r="Y1316" i="38"/>
  <c r="Y1308" i="38"/>
  <c r="AB1300" i="38"/>
  <c r="AC1300" i="38"/>
  <c r="AB1292" i="38"/>
  <c r="AC1292" i="38"/>
  <c r="Y1292" i="38"/>
  <c r="AB1284" i="38"/>
  <c r="AC1284" i="38"/>
  <c r="AB1276" i="38"/>
  <c r="AC1276" i="38"/>
  <c r="AB1268" i="38"/>
  <c r="AC1268" i="38"/>
  <c r="AB1260" i="38"/>
  <c r="AC1260" i="38"/>
  <c r="AB1252" i="38"/>
  <c r="AC1252" i="38"/>
  <c r="Y1252" i="38"/>
  <c r="AB1244" i="38"/>
  <c r="AC1244" i="38"/>
  <c r="Y1244" i="38"/>
  <c r="AB1236" i="38"/>
  <c r="AC1236" i="38"/>
  <c r="Y1236" i="38"/>
  <c r="AB1228" i="38"/>
  <c r="AC1228" i="38"/>
  <c r="AB1220" i="38"/>
  <c r="AC1220" i="38"/>
  <c r="Y1220" i="38"/>
  <c r="AB1212" i="38"/>
  <c r="Y1212" i="38"/>
  <c r="AB1204" i="38"/>
  <c r="Y1204" i="38"/>
  <c r="AB1196" i="38"/>
  <c r="Y1196" i="38"/>
  <c r="AB1188" i="38"/>
  <c r="AC1188" i="38"/>
  <c r="Y1188" i="38"/>
  <c r="AB1180" i="38"/>
  <c r="Y1180" i="38"/>
  <c r="AB1172" i="38"/>
  <c r="Y1172" i="38"/>
  <c r="AC1172" i="38"/>
  <c r="AB1164" i="38"/>
  <c r="Y1164" i="38"/>
  <c r="AB1156" i="38"/>
  <c r="Y1156" i="38"/>
  <c r="AB1148" i="38"/>
  <c r="Y1148" i="38"/>
  <c r="AB1140" i="38"/>
  <c r="AC1140" i="38"/>
  <c r="AB1132" i="38"/>
  <c r="Y1132" i="38"/>
  <c r="AB1124" i="38"/>
  <c r="AC1124" i="38"/>
  <c r="AB1108" i="38"/>
  <c r="Y1108" i="38"/>
  <c r="AB1100" i="38"/>
  <c r="AC1100" i="38"/>
  <c r="Y1100" i="38"/>
  <c r="AB1084" i="38"/>
  <c r="AC1084" i="38"/>
  <c r="AB1076" i="38"/>
  <c r="Y1076" i="38"/>
  <c r="AB1060" i="38"/>
  <c r="Y1060" i="38"/>
  <c r="AC1060" i="38"/>
  <c r="AB1052" i="38"/>
  <c r="AC1052" i="38"/>
  <c r="Y1052" i="38"/>
  <c r="Y1044" i="38"/>
  <c r="Y1036" i="38"/>
  <c r="Y1028" i="38"/>
  <c r="Y1020" i="38"/>
  <c r="Y1012" i="38"/>
  <c r="AB1004" i="38"/>
  <c r="AC1004" i="38"/>
  <c r="AB996" i="38"/>
  <c r="AC996" i="38"/>
  <c r="Y996" i="38"/>
  <c r="AB988" i="38"/>
  <c r="Y988" i="38"/>
  <c r="AB980" i="38"/>
  <c r="Y980" i="38"/>
  <c r="AB972" i="38"/>
  <c r="Y972" i="38"/>
  <c r="AC972" i="38"/>
  <c r="AB964" i="38"/>
  <c r="Y964" i="38"/>
  <c r="AB956" i="38"/>
  <c r="AC956" i="38"/>
  <c r="AB948" i="38"/>
  <c r="AC948" i="38"/>
  <c r="AB932" i="38"/>
  <c r="AC932" i="38"/>
  <c r="AB924" i="38"/>
  <c r="AC924" i="38"/>
  <c r="Y924" i="38"/>
  <c r="AB916" i="38"/>
  <c r="Y916" i="38"/>
  <c r="AB908" i="38"/>
  <c r="Y908" i="38"/>
  <c r="AC908" i="38"/>
  <c r="AB900" i="38"/>
  <c r="AC900" i="38"/>
  <c r="Y900" i="38"/>
  <c r="AB892" i="38"/>
  <c r="Y892" i="38"/>
  <c r="AC892" i="38"/>
  <c r="AD996" i="38"/>
  <c r="M435" i="37" s="1"/>
  <c r="S256" i="37"/>
  <c r="N255" i="37"/>
  <c r="R256" i="37"/>
  <c r="M258" i="37"/>
  <c r="O257" i="37"/>
  <c r="S257" i="37"/>
  <c r="M257" i="37"/>
  <c r="P256" i="37"/>
  <c r="N256" i="37"/>
  <c r="P255" i="37"/>
  <c r="R257" i="37"/>
  <c r="N257" i="37"/>
  <c r="R258" i="37"/>
  <c r="N258" i="37"/>
  <c r="Q256" i="37"/>
  <c r="R259" i="37"/>
  <c r="M256" i="37"/>
  <c r="O259" i="37"/>
  <c r="Q257" i="37"/>
  <c r="Y1643" i="38"/>
  <c r="Y1635" i="38"/>
  <c r="Y1627" i="38"/>
  <c r="Y1051" i="38"/>
  <c r="Y1043" i="38"/>
  <c r="Y1035" i="38"/>
  <c r="Y1027" i="38"/>
  <c r="Y1019" i="38"/>
  <c r="Y1011" i="38"/>
  <c r="Y531" i="38"/>
  <c r="Y523" i="38"/>
  <c r="Y515" i="38"/>
  <c r="M254" i="37"/>
  <c r="Y1331" i="38"/>
  <c r="Y507" i="38"/>
  <c r="Y499" i="38"/>
  <c r="Y491" i="38"/>
  <c r="Y483" i="38"/>
  <c r="Y475" i="38"/>
  <c r="Y467" i="38"/>
  <c r="N236" i="37"/>
  <c r="L24" i="46"/>
  <c r="L26" i="46" s="1"/>
  <c r="O56" i="65"/>
  <c r="Y1339" i="38"/>
  <c r="M62" i="70"/>
  <c r="Y1347" i="38"/>
  <c r="Y795" i="38"/>
  <c r="Y787" i="38"/>
  <c r="Y779" i="38"/>
  <c r="Q244" i="37"/>
  <c r="P243" i="37"/>
  <c r="N241" i="37"/>
  <c r="M240" i="37"/>
  <c r="Y1355" i="38"/>
  <c r="P244" i="37"/>
  <c r="N242" i="37"/>
  <c r="M241" i="37"/>
  <c r="S239" i="37"/>
  <c r="Y1883" i="38"/>
  <c r="Y1875" i="38"/>
  <c r="Y1867" i="38"/>
  <c r="Y1363" i="38"/>
  <c r="R244" i="37"/>
  <c r="P242" i="37"/>
  <c r="N240" i="37"/>
  <c r="M239" i="37"/>
  <c r="R236" i="37"/>
  <c r="P236" i="37"/>
  <c r="N243" i="37"/>
  <c r="M242" i="37"/>
  <c r="R239" i="37"/>
  <c r="P237" i="37"/>
  <c r="M236" i="37"/>
  <c r="N244" i="37"/>
  <c r="M243" i="37"/>
  <c r="Q239" i="37"/>
  <c r="M244" i="37"/>
  <c r="S242" i="37"/>
  <c r="P239" i="37"/>
  <c r="P240" i="37"/>
  <c r="O239" i="37"/>
  <c r="M237" i="37"/>
  <c r="S244" i="37"/>
  <c r="P241" i="37"/>
  <c r="N239" i="37"/>
  <c r="M238" i="37"/>
  <c r="S236" i="37"/>
  <c r="AB9" i="38"/>
  <c r="O1564" i="38"/>
  <c r="R219" i="38"/>
  <c r="S219" i="38" s="1"/>
  <c r="S165" i="38"/>
  <c r="R158" i="38"/>
  <c r="S158" i="38" s="1"/>
  <c r="S156" i="38"/>
  <c r="R142" i="38"/>
  <c r="S142" i="38" s="1"/>
  <c r="P39" i="72"/>
  <c r="O39" i="72"/>
  <c r="S39" i="72"/>
  <c r="M39" i="72"/>
  <c r="Q39" i="72"/>
  <c r="R223" i="38"/>
  <c r="S223" i="38" s="1"/>
  <c r="R207" i="38"/>
  <c r="O203" i="38"/>
  <c r="R162" i="38"/>
  <c r="S162" i="38" s="1"/>
  <c r="S160" i="38"/>
  <c r="R146" i="38"/>
  <c r="S144" i="38"/>
  <c r="R204" i="38"/>
  <c r="R170" i="38"/>
  <c r="R168" i="38"/>
  <c r="R166" i="38"/>
  <c r="S157" i="38"/>
  <c r="R150" i="38"/>
  <c r="S150" i="38" s="1"/>
  <c r="S109" i="38"/>
  <c r="R231" i="38"/>
  <c r="R215" i="38"/>
  <c r="O204" i="38"/>
  <c r="S161" i="38"/>
  <c r="R154" i="38"/>
  <c r="S154" i="38" s="1"/>
  <c r="N39" i="72"/>
  <c r="R203" i="38"/>
  <c r="R39" i="72"/>
  <c r="S91" i="38"/>
  <c r="S67" i="38"/>
  <c r="S55" i="38"/>
  <c r="S51" i="38"/>
  <c r="S31" i="38"/>
  <c r="S29" i="38"/>
  <c r="S17" i="38"/>
  <c r="R232" i="38"/>
  <c r="R230" i="38"/>
  <c r="R228" i="38"/>
  <c r="R226" i="38"/>
  <c r="R224" i="38"/>
  <c r="R222" i="38"/>
  <c r="S222" i="38" s="1"/>
  <c r="R220" i="38"/>
  <c r="R218" i="38"/>
  <c r="S218" i="38" s="1"/>
  <c r="R216" i="38"/>
  <c r="R214" i="38"/>
  <c r="R212" i="38"/>
  <c r="R210" i="38"/>
  <c r="R208" i="38"/>
  <c r="S208" i="38" s="1"/>
  <c r="R206" i="38"/>
  <c r="S206" i="38" s="1"/>
  <c r="R138" i="38"/>
  <c r="S138" i="38" s="1"/>
  <c r="R136" i="38"/>
  <c r="R134" i="38"/>
  <c r="R132" i="38"/>
  <c r="R130" i="38"/>
  <c r="R128" i="38"/>
  <c r="R126" i="38"/>
  <c r="S126" i="38" s="1"/>
  <c r="R124" i="38"/>
  <c r="R122" i="38"/>
  <c r="S122" i="38" s="1"/>
  <c r="R120" i="38"/>
  <c r="S120" i="38" s="1"/>
  <c r="R118" i="38"/>
  <c r="R116" i="38"/>
  <c r="R114" i="38"/>
  <c r="R112" i="38"/>
  <c r="S112" i="38" s="1"/>
  <c r="R110" i="38"/>
  <c r="R108" i="38"/>
  <c r="R106" i="38"/>
  <c r="R104" i="38"/>
  <c r="R102" i="38"/>
  <c r="R100" i="38"/>
  <c r="S100" i="38" s="1"/>
  <c r="R98" i="38"/>
  <c r="R96" i="38"/>
  <c r="R94" i="38"/>
  <c r="R92" i="38"/>
  <c r="S92" i="38" s="1"/>
  <c r="R90" i="38"/>
  <c r="R88" i="38"/>
  <c r="R86" i="38"/>
  <c r="R84" i="38"/>
  <c r="R82" i="38"/>
  <c r="R80" i="38"/>
  <c r="R78" i="38"/>
  <c r="R76" i="38"/>
  <c r="R74" i="38"/>
  <c r="S74" i="38" s="1"/>
  <c r="R72" i="38"/>
  <c r="R70" i="38"/>
  <c r="S70" i="38" s="1"/>
  <c r="R68" i="38"/>
  <c r="R66" i="38"/>
  <c r="S66" i="38" s="1"/>
  <c r="R64" i="38"/>
  <c r="R62" i="38"/>
  <c r="S62" i="38" s="1"/>
  <c r="R60" i="38"/>
  <c r="S60" i="38" s="1"/>
  <c r="R58" i="38"/>
  <c r="R56" i="38"/>
  <c r="R54" i="38"/>
  <c r="S54" i="38" s="1"/>
  <c r="R52" i="38"/>
  <c r="R50" i="38"/>
  <c r="R48" i="38"/>
  <c r="R46" i="38"/>
  <c r="R44" i="38"/>
  <c r="R42" i="38"/>
  <c r="R40" i="38"/>
  <c r="R38" i="38"/>
  <c r="R36" i="38"/>
  <c r="R34" i="38"/>
  <c r="R32" i="38"/>
  <c r="R30" i="38"/>
  <c r="R28" i="38"/>
  <c r="R26" i="38"/>
  <c r="R24" i="38"/>
  <c r="S24" i="38" s="1"/>
  <c r="R22" i="38"/>
  <c r="R20" i="38"/>
  <c r="R18" i="38"/>
  <c r="R16" i="38"/>
  <c r="R14" i="38"/>
  <c r="S14" i="38" s="1"/>
  <c r="R12" i="38"/>
  <c r="R10" i="38"/>
  <c r="S10" i="38" s="1"/>
  <c r="R9" i="38"/>
  <c r="S9" i="38" s="1"/>
  <c r="M125" i="33"/>
  <c r="R49" i="38" s="1"/>
  <c r="AQ117" i="20" l="1"/>
  <c r="AQ118" i="20"/>
  <c r="Q129" i="20"/>
  <c r="Q69" i="20"/>
  <c r="R78" i="20"/>
  <c r="R129" i="20"/>
  <c r="R69" i="20"/>
  <c r="R59" i="20"/>
  <c r="Q61" i="20"/>
  <c r="Q128" i="20"/>
  <c r="Q17" i="20"/>
  <c r="Q126" i="20"/>
  <c r="Q117" i="20"/>
  <c r="R32" i="20"/>
  <c r="Q34" i="20"/>
  <c r="Q127" i="20"/>
  <c r="Q130" i="20"/>
  <c r="Q80" i="20"/>
  <c r="R17" i="20"/>
  <c r="R117" i="20"/>
  <c r="R126" i="20"/>
  <c r="S25" i="20"/>
  <c r="T25" i="20" s="1"/>
  <c r="S39" i="20"/>
  <c r="T39" i="20" s="1"/>
  <c r="S43" i="20"/>
  <c r="T43" i="20" s="1"/>
  <c r="S47" i="20"/>
  <c r="T47" i="20" s="1"/>
  <c r="S26" i="20"/>
  <c r="T26" i="20" s="1"/>
  <c r="S28" i="20"/>
  <c r="T28" i="20" s="1"/>
  <c r="S13" i="20"/>
  <c r="S21" i="20"/>
  <c r="T21" i="20" s="1"/>
  <c r="S45" i="20"/>
  <c r="T45" i="20" s="1"/>
  <c r="S23" i="20"/>
  <c r="T23" i="20" s="1"/>
  <c r="S29" i="20"/>
  <c r="T29" i="20" s="1"/>
  <c r="S30" i="20"/>
  <c r="T30" i="20" s="1"/>
  <c r="S24" i="20"/>
  <c r="T24" i="20" s="1"/>
  <c r="S27" i="20"/>
  <c r="T27" i="20" s="1"/>
  <c r="S22" i="20"/>
  <c r="T22" i="20" s="1"/>
  <c r="S42" i="20"/>
  <c r="T42" i="20" s="1"/>
  <c r="S40" i="20"/>
  <c r="T40" i="20" s="1"/>
  <c r="S54" i="20"/>
  <c r="T54" i="20" s="1"/>
  <c r="S55" i="20"/>
  <c r="T55" i="20" s="1"/>
  <c r="S76" i="20"/>
  <c r="T76" i="20" s="1"/>
  <c r="S49" i="20"/>
  <c r="T49" i="20" s="1"/>
  <c r="S52" i="20"/>
  <c r="T52" i="20" s="1"/>
  <c r="S41" i="20"/>
  <c r="T41" i="20" s="1"/>
  <c r="S44" i="20"/>
  <c r="T44" i="20" s="1"/>
  <c r="S51" i="20"/>
  <c r="T51" i="20" s="1"/>
  <c r="S50" i="20"/>
  <c r="T50" i="20" s="1"/>
  <c r="S56" i="20"/>
  <c r="T56" i="20" s="1"/>
  <c r="S65" i="20"/>
  <c r="S46" i="20"/>
  <c r="T46" i="20" s="1"/>
  <c r="S75" i="20"/>
  <c r="S78" i="20" s="1"/>
  <c r="S104" i="20"/>
  <c r="T104" i="20" s="1"/>
  <c r="S38" i="20"/>
  <c r="S103" i="20"/>
  <c r="S114" i="20" s="1"/>
  <c r="S131" i="20" s="1"/>
  <c r="S53" i="20"/>
  <c r="T53" i="20" s="1"/>
  <c r="S57" i="20"/>
  <c r="T57" i="20" s="1"/>
  <c r="S48" i="20"/>
  <c r="T48" i="20" s="1"/>
  <c r="R114" i="20"/>
  <c r="R131" i="20" s="1"/>
  <c r="D31" i="11"/>
  <c r="D75" i="11"/>
  <c r="AC1624" i="38"/>
  <c r="Y732" i="38"/>
  <c r="AB279" i="38"/>
  <c r="AC279" i="38"/>
  <c r="Y279" i="38"/>
  <c r="AB343" i="38"/>
  <c r="AC343" i="38"/>
  <c r="Y343" i="38"/>
  <c r="AB407" i="38"/>
  <c r="Y407" i="38"/>
  <c r="AC407" i="38"/>
  <c r="AB1375" i="38"/>
  <c r="Y1375" i="38"/>
  <c r="AC1375" i="38"/>
  <c r="AB1447" i="38"/>
  <c r="AC1447" i="38"/>
  <c r="Y1447" i="38"/>
  <c r="AB1527" i="38"/>
  <c r="AC1527" i="38"/>
  <c r="Y1527" i="38"/>
  <c r="AB1577" i="38"/>
  <c r="Y1577" i="38"/>
  <c r="AC1577" i="38"/>
  <c r="AB1705" i="38"/>
  <c r="AC1705" i="38"/>
  <c r="Y1705" i="38"/>
  <c r="AB1769" i="38"/>
  <c r="AC1769" i="38"/>
  <c r="Y1769" i="38"/>
  <c r="AB1833" i="38"/>
  <c r="Y1833" i="38"/>
  <c r="AC1833" i="38"/>
  <c r="AB60" i="38"/>
  <c r="AC60" i="38"/>
  <c r="Y60" i="38"/>
  <c r="AB132" i="38"/>
  <c r="Y132" i="38"/>
  <c r="AC132" i="38"/>
  <c r="AB196" i="38"/>
  <c r="AC196" i="38"/>
  <c r="Y196" i="38"/>
  <c r="AB556" i="38"/>
  <c r="Y556" i="38"/>
  <c r="AC556" i="38"/>
  <c r="AB287" i="38"/>
  <c r="Y287" i="38"/>
  <c r="AC287" i="38"/>
  <c r="AB351" i="38"/>
  <c r="AC351" i="38"/>
  <c r="Y351" i="38"/>
  <c r="AB415" i="38"/>
  <c r="AC415" i="38"/>
  <c r="Y415" i="38"/>
  <c r="AB1383" i="38"/>
  <c r="AC1383" i="38"/>
  <c r="Y1383" i="38"/>
  <c r="AB1455" i="38"/>
  <c r="AC1455" i="38"/>
  <c r="Y1455" i="38"/>
  <c r="AB1535" i="38"/>
  <c r="AC1535" i="38"/>
  <c r="Y1535" i="38"/>
  <c r="AB1713" i="38"/>
  <c r="Y1713" i="38"/>
  <c r="AC1713" i="38"/>
  <c r="AB1841" i="38"/>
  <c r="Y1841" i="38"/>
  <c r="AC1841" i="38"/>
  <c r="AB68" i="38"/>
  <c r="Y68" i="38"/>
  <c r="AC68" i="38"/>
  <c r="AB140" i="38"/>
  <c r="AC140" i="38"/>
  <c r="Y140" i="38"/>
  <c r="AB204" i="38"/>
  <c r="AC204" i="38"/>
  <c r="Y204" i="38"/>
  <c r="AB564" i="38"/>
  <c r="AC564" i="38"/>
  <c r="Y564" i="38"/>
  <c r="AB295" i="38"/>
  <c r="AC295" i="38"/>
  <c r="Y295" i="38"/>
  <c r="AB359" i="38"/>
  <c r="Y359" i="38"/>
  <c r="AC359" i="38"/>
  <c r="AB423" i="38"/>
  <c r="Y423" i="38"/>
  <c r="AC423" i="38"/>
  <c r="AB1391" i="38"/>
  <c r="AC1391" i="38"/>
  <c r="Y1391" i="38"/>
  <c r="AB1463" i="38"/>
  <c r="AC1463" i="38"/>
  <c r="Y1463" i="38"/>
  <c r="AB1543" i="38"/>
  <c r="AC1543" i="38"/>
  <c r="Y1543" i="38"/>
  <c r="AB1593" i="38"/>
  <c r="Y1593" i="38"/>
  <c r="AC1593" i="38"/>
  <c r="AB1657" i="38"/>
  <c r="Y1657" i="38"/>
  <c r="AC1657" i="38"/>
  <c r="AB1721" i="38"/>
  <c r="Y1721" i="38"/>
  <c r="AC1721" i="38"/>
  <c r="AB76" i="38"/>
  <c r="AC76" i="38"/>
  <c r="Y76" i="38"/>
  <c r="AB148" i="38"/>
  <c r="AC148" i="38"/>
  <c r="Y148" i="38"/>
  <c r="AB268" i="38"/>
  <c r="Y268" i="38"/>
  <c r="AC268" i="38"/>
  <c r="AB572" i="38"/>
  <c r="AC572" i="38"/>
  <c r="Y572" i="38"/>
  <c r="AB303" i="38"/>
  <c r="AC303" i="38"/>
  <c r="Y303" i="38"/>
  <c r="AB367" i="38"/>
  <c r="Y367" i="38"/>
  <c r="AC367" i="38"/>
  <c r="AB1399" i="38"/>
  <c r="AC1399" i="38"/>
  <c r="Y1399" i="38"/>
  <c r="AB1471" i="38"/>
  <c r="Y1471" i="38"/>
  <c r="AC1471" i="38"/>
  <c r="AB1551" i="38"/>
  <c r="AC1551" i="38"/>
  <c r="Y1551" i="38"/>
  <c r="AB57" i="38"/>
  <c r="AC57" i="38"/>
  <c r="Y57" i="38"/>
  <c r="AB20" i="38"/>
  <c r="AC20" i="38"/>
  <c r="Y20" i="38"/>
  <c r="AB84" i="38"/>
  <c r="Y84" i="38"/>
  <c r="AC84" i="38"/>
  <c r="AB156" i="38"/>
  <c r="AC156" i="38"/>
  <c r="Y156" i="38"/>
  <c r="AB436" i="38"/>
  <c r="Y436" i="38"/>
  <c r="AC436" i="38"/>
  <c r="AB1844" i="38"/>
  <c r="AC1844" i="38"/>
  <c r="Y1844" i="38"/>
  <c r="R199" i="12"/>
  <c r="AB311" i="38"/>
  <c r="Y311" i="38"/>
  <c r="AC311" i="38"/>
  <c r="AB375" i="38"/>
  <c r="AC375" i="38"/>
  <c r="Y375" i="38"/>
  <c r="AB1495" i="38"/>
  <c r="AC1495" i="38"/>
  <c r="Y1495" i="38"/>
  <c r="AB1559" i="38"/>
  <c r="AC1559" i="38"/>
  <c r="Y1559" i="38"/>
  <c r="AB185" i="38"/>
  <c r="Y185" i="38"/>
  <c r="AC185" i="38"/>
  <c r="AB1609" i="38"/>
  <c r="Y1609" i="38"/>
  <c r="AC1609" i="38"/>
  <c r="AB1673" i="38"/>
  <c r="Y1673" i="38"/>
  <c r="AC1673" i="38"/>
  <c r="AB1737" i="38"/>
  <c r="AC1737" i="38"/>
  <c r="Y1737" i="38"/>
  <c r="AB1801" i="38"/>
  <c r="Y1801" i="38"/>
  <c r="AC1801" i="38"/>
  <c r="AB28" i="38"/>
  <c r="Y28" i="38"/>
  <c r="AC28" i="38"/>
  <c r="AB92" i="38"/>
  <c r="Y92" i="38"/>
  <c r="AC92" i="38"/>
  <c r="AB164" i="38"/>
  <c r="Y164" i="38"/>
  <c r="AC164" i="38"/>
  <c r="AB444" i="38"/>
  <c r="Y444" i="38"/>
  <c r="AC444" i="38"/>
  <c r="AB319" i="38"/>
  <c r="AC319" i="38"/>
  <c r="Y319" i="38"/>
  <c r="AB383" i="38"/>
  <c r="Y383" i="38"/>
  <c r="AC383" i="38"/>
  <c r="AB1423" i="38"/>
  <c r="AC1423" i="38"/>
  <c r="Y1423" i="38"/>
  <c r="AB1503" i="38"/>
  <c r="Y1503" i="38"/>
  <c r="AC1503" i="38"/>
  <c r="AB1617" i="38"/>
  <c r="Y1617" i="38"/>
  <c r="AC1617" i="38"/>
  <c r="AB1745" i="38"/>
  <c r="AC1745" i="38"/>
  <c r="Y1745" i="38"/>
  <c r="AB1809" i="38"/>
  <c r="Y1809" i="38"/>
  <c r="AC1809" i="38"/>
  <c r="AB36" i="38"/>
  <c r="Y36" i="38"/>
  <c r="AC36" i="38"/>
  <c r="AB100" i="38"/>
  <c r="AC100" i="38"/>
  <c r="Y100" i="38"/>
  <c r="AB172" i="38"/>
  <c r="AC172" i="38"/>
  <c r="Y172" i="38"/>
  <c r="AB532" i="38"/>
  <c r="AC532" i="38"/>
  <c r="Y532" i="38"/>
  <c r="Y1818" i="38"/>
  <c r="AB327" i="38"/>
  <c r="AC327" i="38"/>
  <c r="Y327" i="38"/>
  <c r="AB391" i="38"/>
  <c r="AC391" i="38"/>
  <c r="Y391" i="38"/>
  <c r="AB1431" i="38"/>
  <c r="Y1431" i="38"/>
  <c r="AC1431" i="38"/>
  <c r="AB1511" i="38"/>
  <c r="Y1511" i="38"/>
  <c r="AC1511" i="38"/>
  <c r="AB1625" i="38"/>
  <c r="AC1625" i="38"/>
  <c r="Y1625" i="38"/>
  <c r="AB1689" i="38"/>
  <c r="Y1689" i="38"/>
  <c r="AC1689" i="38"/>
  <c r="AB1753" i="38"/>
  <c r="Y1753" i="38"/>
  <c r="AC1753" i="38"/>
  <c r="AB1817" i="38"/>
  <c r="AC1817" i="38"/>
  <c r="Y1817" i="38"/>
  <c r="AB44" i="38"/>
  <c r="AC44" i="38"/>
  <c r="Y44" i="38"/>
  <c r="AB108" i="38"/>
  <c r="AC108" i="38"/>
  <c r="Y108" i="38"/>
  <c r="AB180" i="38"/>
  <c r="Y180" i="38"/>
  <c r="AC180" i="38"/>
  <c r="AB540" i="38"/>
  <c r="AC540" i="38"/>
  <c r="Y540" i="38"/>
  <c r="AB335" i="38"/>
  <c r="AC335" i="38"/>
  <c r="Y335" i="38"/>
  <c r="AB399" i="38"/>
  <c r="Y399" i="38"/>
  <c r="AC399" i="38"/>
  <c r="AB1367" i="38"/>
  <c r="AC1367" i="38"/>
  <c r="Y1367" i="38"/>
  <c r="AB1439" i="38"/>
  <c r="AC1439" i="38"/>
  <c r="Y1439" i="38"/>
  <c r="AB1519" i="38"/>
  <c r="AC1519" i="38"/>
  <c r="Y1519" i="38"/>
  <c r="AB1569" i="38"/>
  <c r="AC1569" i="38"/>
  <c r="Y1569" i="38"/>
  <c r="AB1697" i="38"/>
  <c r="AC1697" i="38"/>
  <c r="Y1697" i="38"/>
  <c r="AB52" i="38"/>
  <c r="AC52" i="38"/>
  <c r="Y52" i="38"/>
  <c r="AB116" i="38"/>
  <c r="Y116" i="38"/>
  <c r="AC116" i="38"/>
  <c r="AB188" i="38"/>
  <c r="Y188" i="38"/>
  <c r="AC188" i="38"/>
  <c r="AB548" i="38"/>
  <c r="Y548" i="38"/>
  <c r="AC548" i="38"/>
  <c r="AC693" i="38"/>
  <c r="AB824" i="38"/>
  <c r="Y824" i="38"/>
  <c r="AC824" i="38"/>
  <c r="AB888" i="38"/>
  <c r="AC888" i="38"/>
  <c r="Y888" i="38"/>
  <c r="AB952" i="38"/>
  <c r="AC952" i="38"/>
  <c r="Y952" i="38"/>
  <c r="O24" i="12"/>
  <c r="L11" i="42" s="1"/>
  <c r="Y255" i="38"/>
  <c r="Y170" i="38"/>
  <c r="Y434" i="38"/>
  <c r="AB58" i="38"/>
  <c r="AB896" i="38"/>
  <c r="Y896" i="38"/>
  <c r="AC896" i="38"/>
  <c r="AB960" i="38"/>
  <c r="AC960" i="38"/>
  <c r="AB1508" i="38"/>
  <c r="AC1508" i="38"/>
  <c r="Y1508" i="38"/>
  <c r="O198" i="12"/>
  <c r="M199" i="12"/>
  <c r="AB904" i="38"/>
  <c r="Y904" i="38"/>
  <c r="AC904" i="38"/>
  <c r="S198" i="12"/>
  <c r="P199" i="12"/>
  <c r="Y573" i="38"/>
  <c r="Y154" i="38"/>
  <c r="AC1818" i="38"/>
  <c r="AB848" i="38"/>
  <c r="Y848" i="38"/>
  <c r="AB976" i="38"/>
  <c r="AC976" i="38"/>
  <c r="Y976" i="38"/>
  <c r="R198" i="12"/>
  <c r="AC1582" i="38"/>
  <c r="Y597" i="38"/>
  <c r="AB649" i="38"/>
  <c r="Y98" i="38"/>
  <c r="AC1090" i="38"/>
  <c r="AC1570" i="38"/>
  <c r="AC170" i="38"/>
  <c r="AB130" i="38"/>
  <c r="AB856" i="38"/>
  <c r="AC856" i="38"/>
  <c r="Y856" i="38"/>
  <c r="AB920" i="38"/>
  <c r="Y920" i="38"/>
  <c r="AC920" i="38"/>
  <c r="AB984" i="38"/>
  <c r="AC984" i="38"/>
  <c r="S199" i="12"/>
  <c r="P198" i="12"/>
  <c r="AB98" i="38"/>
  <c r="AC162" i="38"/>
  <c r="AC848" i="38"/>
  <c r="AB736" i="38"/>
  <c r="Y736" i="38"/>
  <c r="AC736" i="38"/>
  <c r="AB800" i="38"/>
  <c r="AC800" i="38"/>
  <c r="Y800" i="38"/>
  <c r="AB928" i="38"/>
  <c r="Y928" i="38"/>
  <c r="AC928" i="38"/>
  <c r="AB992" i="38"/>
  <c r="AC992" i="38"/>
  <c r="Y992" i="38"/>
  <c r="N199" i="12"/>
  <c r="Q199" i="12"/>
  <c r="AB808" i="38"/>
  <c r="AC808" i="38"/>
  <c r="Y808" i="38"/>
  <c r="AB872" i="38"/>
  <c r="Y872" i="38"/>
  <c r="AB936" i="38"/>
  <c r="Y936" i="38"/>
  <c r="AC936" i="38"/>
  <c r="N198" i="12"/>
  <c r="AB1847" i="38"/>
  <c r="AB752" i="38"/>
  <c r="Y752" i="38"/>
  <c r="AC752" i="38"/>
  <c r="AB816" i="38"/>
  <c r="AC816" i="38"/>
  <c r="Y816" i="38"/>
  <c r="AB880" i="38"/>
  <c r="AC880" i="38"/>
  <c r="Y880" i="38"/>
  <c r="O199" i="12"/>
  <c r="M198" i="12"/>
  <c r="Q198" i="12"/>
  <c r="AB534" i="38"/>
  <c r="AC534" i="38"/>
  <c r="Y534" i="38"/>
  <c r="AB614" i="38"/>
  <c r="Y614" i="38"/>
  <c r="AC614" i="38"/>
  <c r="AB678" i="38"/>
  <c r="Y678" i="38"/>
  <c r="AC678" i="38"/>
  <c r="R24" i="12"/>
  <c r="P24" i="12"/>
  <c r="M11" i="42" s="1"/>
  <c r="AB264" i="38"/>
  <c r="AC264" i="38"/>
  <c r="Y264" i="38"/>
  <c r="AB1218" i="38"/>
  <c r="Y1218" i="38"/>
  <c r="AC1218" i="38"/>
  <c r="Y1754" i="38"/>
  <c r="AB542" i="38"/>
  <c r="AC542" i="38"/>
  <c r="Y542" i="38"/>
  <c r="AB622" i="38"/>
  <c r="Y622" i="38"/>
  <c r="AC622" i="38"/>
  <c r="AB686" i="38"/>
  <c r="AC686" i="38"/>
  <c r="Y686" i="38"/>
  <c r="S25" i="12"/>
  <c r="Q25" i="12"/>
  <c r="AB1162" i="38"/>
  <c r="Y1162" i="38"/>
  <c r="AC1162" i="38"/>
  <c r="AB1226" i="38"/>
  <c r="AC1226" i="38"/>
  <c r="Y1226" i="38"/>
  <c r="AC1754" i="38"/>
  <c r="AB14" i="38"/>
  <c r="Y14" i="38"/>
  <c r="AC14" i="38"/>
  <c r="AB630" i="38"/>
  <c r="AC630" i="38"/>
  <c r="Y630" i="38"/>
  <c r="AB694" i="38"/>
  <c r="Y694" i="38"/>
  <c r="AC694" i="38"/>
  <c r="M25" i="12"/>
  <c r="J12" i="42" s="1"/>
  <c r="P25" i="12"/>
  <c r="AB1098" i="38"/>
  <c r="Y1098" i="38"/>
  <c r="AC1098" i="38"/>
  <c r="AB1170" i="38"/>
  <c r="AC1170" i="38"/>
  <c r="Y1170" i="38"/>
  <c r="AB1234" i="38"/>
  <c r="AC1234" i="38"/>
  <c r="Y1234" i="38"/>
  <c r="AB118" i="38"/>
  <c r="AC118" i="38"/>
  <c r="Y118" i="38"/>
  <c r="AB558" i="38"/>
  <c r="AC558" i="38"/>
  <c r="Y558" i="38"/>
  <c r="AB638" i="38"/>
  <c r="Y638" i="38"/>
  <c r="AC638" i="38"/>
  <c r="AB702" i="38"/>
  <c r="Y702" i="38"/>
  <c r="AC702" i="38"/>
  <c r="O25" i="12"/>
  <c r="Q24" i="12"/>
  <c r="N11" i="42" s="1"/>
  <c r="AB1106" i="38"/>
  <c r="Y1106" i="38"/>
  <c r="AC1106" i="38"/>
  <c r="AB1178" i="38"/>
  <c r="Y1178" i="38"/>
  <c r="AC1178" i="38"/>
  <c r="AB1242" i="38"/>
  <c r="Y1242" i="38"/>
  <c r="AC1242" i="38"/>
  <c r="Y934" i="38"/>
  <c r="Y403" i="38"/>
  <c r="AC114" i="38"/>
  <c r="AC1594" i="38"/>
  <c r="AB566" i="38"/>
  <c r="AC566" i="38"/>
  <c r="Y566" i="38"/>
  <c r="AB646" i="38"/>
  <c r="Y646" i="38"/>
  <c r="AC646" i="38"/>
  <c r="AB710" i="38"/>
  <c r="Y710" i="38"/>
  <c r="AC710" i="38"/>
  <c r="M24" i="12"/>
  <c r="R25" i="12"/>
  <c r="O12" i="42" s="1"/>
  <c r="AB1114" i="38"/>
  <c r="AC1114" i="38"/>
  <c r="Y1114" i="38"/>
  <c r="AB1250" i="38"/>
  <c r="Y1250" i="38"/>
  <c r="AC1250" i="38"/>
  <c r="N326" i="37"/>
  <c r="AB442" i="38"/>
  <c r="Y1666" i="38"/>
  <c r="AC178" i="38"/>
  <c r="AC74" i="38"/>
  <c r="Y146" i="38"/>
  <c r="AB574" i="38"/>
  <c r="AC574" i="38"/>
  <c r="Y574" i="38"/>
  <c r="AB654" i="38"/>
  <c r="AC654" i="38"/>
  <c r="Y654" i="38"/>
  <c r="AB718" i="38"/>
  <c r="AC718" i="38"/>
  <c r="Y718" i="38"/>
  <c r="N25" i="12"/>
  <c r="AB1122" i="38"/>
  <c r="Y1122" i="38"/>
  <c r="AC1122" i="38"/>
  <c r="AB1194" i="38"/>
  <c r="Y1194" i="38"/>
  <c r="AC1194" i="38"/>
  <c r="AB598" i="38"/>
  <c r="Y598" i="38"/>
  <c r="AC598" i="38"/>
  <c r="AB662" i="38"/>
  <c r="AC662" i="38"/>
  <c r="Y662" i="38"/>
  <c r="AB726" i="38"/>
  <c r="AC726" i="38"/>
  <c r="Y726" i="38"/>
  <c r="N24" i="12"/>
  <c r="AC461" i="38"/>
  <c r="AC1666" i="38"/>
  <c r="AB606" i="38"/>
  <c r="Y606" i="38"/>
  <c r="AC606" i="38"/>
  <c r="AB670" i="38"/>
  <c r="AC670" i="38"/>
  <c r="Y670" i="38"/>
  <c r="AB1598" i="38"/>
  <c r="Y1598" i="38"/>
  <c r="AC1598" i="38"/>
  <c r="S24" i="12"/>
  <c r="P11" i="42" s="1"/>
  <c r="AB1210" i="38"/>
  <c r="AC1210" i="38"/>
  <c r="Y1210" i="38"/>
  <c r="AC182" i="38"/>
  <c r="AB1802" i="38"/>
  <c r="Y1845" i="38"/>
  <c r="Y1808" i="38"/>
  <c r="AB1499" i="38"/>
  <c r="AC620" i="38"/>
  <c r="AB1845" i="38"/>
  <c r="AC1848" i="38"/>
  <c r="AC363" i="38"/>
  <c r="N313" i="37"/>
  <c r="Y1515" i="38"/>
  <c r="AC1093" i="38"/>
  <c r="AB1184" i="38"/>
  <c r="Y1706" i="38"/>
  <c r="Y1093" i="38"/>
  <c r="Y1618" i="38"/>
  <c r="AB1410" i="38"/>
  <c r="Y1802" i="38"/>
  <c r="AB1426" i="38"/>
  <c r="Y1582" i="38"/>
  <c r="Y1781" i="38"/>
  <c r="AB122" i="38"/>
  <c r="AC1618" i="38"/>
  <c r="Y661" i="38"/>
  <c r="AC1427" i="38"/>
  <c r="AC441" i="38"/>
  <c r="Q312" i="37"/>
  <c r="AC1515" i="38"/>
  <c r="Y437" i="38"/>
  <c r="Y1157" i="38"/>
  <c r="AB441" i="38"/>
  <c r="AC1682" i="38"/>
  <c r="AC9" i="38"/>
  <c r="Y9" i="38"/>
  <c r="AC1799" i="38"/>
  <c r="AC1578" i="38"/>
  <c r="Y34" i="38"/>
  <c r="AB1185" i="38"/>
  <c r="Y1185" i="38"/>
  <c r="AC1185" i="38"/>
  <c r="AB323" i="38"/>
  <c r="AC323" i="38"/>
  <c r="Y323" i="38"/>
  <c r="AB1283" i="38"/>
  <c r="Y1283" i="38"/>
  <c r="AC1283" i="38"/>
  <c r="AB1419" i="38"/>
  <c r="Y1419" i="38"/>
  <c r="AC1419" i="38"/>
  <c r="AC1442" i="38"/>
  <c r="AB1799" i="38"/>
  <c r="AB1578" i="38"/>
  <c r="AB1570" i="38"/>
  <c r="AB34" i="38"/>
  <c r="AB146" i="38"/>
  <c r="AB1105" i="38"/>
  <c r="AC1105" i="38"/>
  <c r="Y1105" i="38"/>
  <c r="AB1193" i="38"/>
  <c r="AC1193" i="38"/>
  <c r="Y1193" i="38"/>
  <c r="AB339" i="38"/>
  <c r="AC339" i="38"/>
  <c r="Y339" i="38"/>
  <c r="AB411" i="38"/>
  <c r="AC411" i="38"/>
  <c r="Y411" i="38"/>
  <c r="AB1291" i="38"/>
  <c r="AC1291" i="38"/>
  <c r="Y1291" i="38"/>
  <c r="AB1602" i="38"/>
  <c r="Y1602" i="38"/>
  <c r="Y1584" i="38"/>
  <c r="Y1442" i="38"/>
  <c r="AB194" i="38"/>
  <c r="AB433" i="38"/>
  <c r="AC433" i="38"/>
  <c r="Y433" i="38"/>
  <c r="AB553" i="38"/>
  <c r="Y553" i="38"/>
  <c r="AC553" i="38"/>
  <c r="AB1113" i="38"/>
  <c r="Y1113" i="38"/>
  <c r="AC1113" i="38"/>
  <c r="AB1217" i="38"/>
  <c r="AC1217" i="38"/>
  <c r="Y1217" i="38"/>
  <c r="AB355" i="38"/>
  <c r="AC355" i="38"/>
  <c r="Y355" i="38"/>
  <c r="AB419" i="38"/>
  <c r="AC419" i="38"/>
  <c r="Y419" i="38"/>
  <c r="AB1299" i="38"/>
  <c r="AC1299" i="38"/>
  <c r="Y1299" i="38"/>
  <c r="AB1371" i="38"/>
  <c r="Y1371" i="38"/>
  <c r="AC1371" i="38"/>
  <c r="AB1435" i="38"/>
  <c r="AC1435" i="38"/>
  <c r="Y1435" i="38"/>
  <c r="AC1760" i="38"/>
  <c r="AC1838" i="38"/>
  <c r="Y1834" i="38"/>
  <c r="AB561" i="38"/>
  <c r="Y561" i="38"/>
  <c r="AC561" i="38"/>
  <c r="AB1121" i="38"/>
  <c r="AC1121" i="38"/>
  <c r="Y1121" i="38"/>
  <c r="AB1241" i="38"/>
  <c r="AC1241" i="38"/>
  <c r="Y1241" i="38"/>
  <c r="AB427" i="38"/>
  <c r="Y427" i="38"/>
  <c r="AC427" i="38"/>
  <c r="AB1379" i="38"/>
  <c r="AC1379" i="38"/>
  <c r="Y1379" i="38"/>
  <c r="AB1443" i="38"/>
  <c r="AC1443" i="38"/>
  <c r="Y1443" i="38"/>
  <c r="AC1834" i="38"/>
  <c r="AB449" i="38"/>
  <c r="Y449" i="38"/>
  <c r="AC449" i="38"/>
  <c r="AB577" i="38"/>
  <c r="AC577" i="38"/>
  <c r="Y577" i="38"/>
  <c r="AB1057" i="38"/>
  <c r="Y1057" i="38"/>
  <c r="AC1057" i="38"/>
  <c r="AB1129" i="38"/>
  <c r="AC1129" i="38"/>
  <c r="Y1129" i="38"/>
  <c r="AB283" i="38"/>
  <c r="Y283" i="38"/>
  <c r="AC283" i="38"/>
  <c r="AB371" i="38"/>
  <c r="AC371" i="38"/>
  <c r="Y371" i="38"/>
  <c r="AB1251" i="38"/>
  <c r="Y1251" i="38"/>
  <c r="AC1251" i="38"/>
  <c r="AB1387" i="38"/>
  <c r="AC1387" i="38"/>
  <c r="Y1387" i="38"/>
  <c r="AC1747" i="38"/>
  <c r="AC122" i="38"/>
  <c r="AB1065" i="38"/>
  <c r="AC1065" i="38"/>
  <c r="Y1065" i="38"/>
  <c r="AB299" i="38"/>
  <c r="Y299" i="38"/>
  <c r="AC299" i="38"/>
  <c r="AB379" i="38"/>
  <c r="AC379" i="38"/>
  <c r="Y379" i="38"/>
  <c r="AB1259" i="38"/>
  <c r="Y1259" i="38"/>
  <c r="AC1259" i="38"/>
  <c r="AB1395" i="38"/>
  <c r="AC1395" i="38"/>
  <c r="Y1395" i="38"/>
  <c r="AB1730" i="38"/>
  <c r="AC1730" i="38"/>
  <c r="AB1001" i="38"/>
  <c r="Y1001" i="38"/>
  <c r="AC1001" i="38"/>
  <c r="AB1145" i="38"/>
  <c r="Y1145" i="38"/>
  <c r="AC1145" i="38"/>
  <c r="AB307" i="38"/>
  <c r="Y307" i="38"/>
  <c r="AC307" i="38"/>
  <c r="AB387" i="38"/>
  <c r="Y387" i="38"/>
  <c r="AC387" i="38"/>
  <c r="AB1267" i="38"/>
  <c r="Y1267" i="38"/>
  <c r="AC1267" i="38"/>
  <c r="AB1403" i="38"/>
  <c r="AC1403" i="38"/>
  <c r="Y1403" i="38"/>
  <c r="AB1547" i="38"/>
  <c r="AC1547" i="38"/>
  <c r="Y1547" i="38"/>
  <c r="AC1376" i="38"/>
  <c r="Y1747" i="38"/>
  <c r="AB1513" i="38"/>
  <c r="AB1089" i="38"/>
  <c r="AC1089" i="38"/>
  <c r="Y1089" i="38"/>
  <c r="AB1177" i="38"/>
  <c r="AC1177" i="38"/>
  <c r="Y1177" i="38"/>
  <c r="AB315" i="38"/>
  <c r="AC315" i="38"/>
  <c r="Y315" i="38"/>
  <c r="AB395" i="38"/>
  <c r="AC395" i="38"/>
  <c r="Y395" i="38"/>
  <c r="AB1275" i="38"/>
  <c r="Y1275" i="38"/>
  <c r="AC1275" i="38"/>
  <c r="AB1411" i="38"/>
  <c r="AC1411" i="38"/>
  <c r="Y1411" i="38"/>
  <c r="AB1851" i="38"/>
  <c r="Y1851" i="38"/>
  <c r="AC1851" i="38"/>
  <c r="AC750" i="38"/>
  <c r="AB255" i="38"/>
  <c r="AB1668" i="38"/>
  <c r="Y1668" i="38"/>
  <c r="AC1668" i="38"/>
  <c r="AB1812" i="38"/>
  <c r="AC1812" i="38"/>
  <c r="Y1812" i="38"/>
  <c r="O326" i="37"/>
  <c r="Y50" i="38"/>
  <c r="AC324" i="38"/>
  <c r="AB50" i="38"/>
  <c r="AB296" i="38"/>
  <c r="AB1506" i="38"/>
  <c r="AC1506" i="38"/>
  <c r="Y1506" i="38"/>
  <c r="AB1764" i="38"/>
  <c r="AC1764" i="38"/>
  <c r="Y1764" i="38"/>
  <c r="AB1728" i="38"/>
  <c r="AB1619" i="38"/>
  <c r="Y669" i="38"/>
  <c r="AC1734" i="38"/>
  <c r="AC1792" i="38"/>
  <c r="Y1847" i="38"/>
  <c r="AB669" i="38"/>
  <c r="AC296" i="38"/>
  <c r="AB138" i="38"/>
  <c r="AB1716" i="38"/>
  <c r="AC1716" i="38"/>
  <c r="Y1716" i="38"/>
  <c r="AB1724" i="38"/>
  <c r="Y1724" i="38"/>
  <c r="AC1724" i="38"/>
  <c r="K205" i="65"/>
  <c r="H6" i="45" s="1"/>
  <c r="K216" i="65"/>
  <c r="H15" i="45" s="1"/>
  <c r="K248" i="65"/>
  <c r="H27" i="45" s="1"/>
  <c r="K241" i="65"/>
  <c r="H20" i="45" s="1"/>
  <c r="K247" i="65"/>
  <c r="H26" i="45" s="1"/>
  <c r="M29" i="46"/>
  <c r="K242" i="65"/>
  <c r="H21" i="45" s="1"/>
  <c r="K213" i="65"/>
  <c r="Y1712" i="38"/>
  <c r="AB1686" i="38"/>
  <c r="AB1849" i="38"/>
  <c r="Y1849" i="38"/>
  <c r="AC1849" i="38"/>
  <c r="Y1840" i="38"/>
  <c r="AB1857" i="38"/>
  <c r="Y1857" i="38"/>
  <c r="AC1857" i="38"/>
  <c r="AB1840" i="38"/>
  <c r="AB629" i="38"/>
  <c r="Y706" i="38"/>
  <c r="AB1865" i="38"/>
  <c r="AC1865" i="38"/>
  <c r="Y1865" i="38"/>
  <c r="AC1712" i="38"/>
  <c r="Q259" i="37"/>
  <c r="AB1277" i="38"/>
  <c r="AC1830" i="38"/>
  <c r="AC706" i="38"/>
  <c r="AC1846" i="38"/>
  <c r="N325" i="37"/>
  <c r="M325" i="37"/>
  <c r="AC1648" i="38"/>
  <c r="Y846" i="38"/>
  <c r="Y1648" i="38"/>
  <c r="AC1584" i="38"/>
  <c r="AC918" i="38"/>
  <c r="Y1776" i="38"/>
  <c r="M328" i="37"/>
  <c r="AC1686" i="38"/>
  <c r="AB771" i="38"/>
  <c r="AB1123" i="38"/>
  <c r="Y1123" i="38"/>
  <c r="S24" i="46"/>
  <c r="S26" i="46" s="1"/>
  <c r="M310" i="37"/>
  <c r="Y1710" i="38"/>
  <c r="AC1827" i="38"/>
  <c r="AB1790" i="38"/>
  <c r="AB154" i="38"/>
  <c r="AC18" i="38"/>
  <c r="Y114" i="38"/>
  <c r="AC546" i="38"/>
  <c r="P310" i="37"/>
  <c r="P312" i="37"/>
  <c r="M311" i="37"/>
  <c r="S329" i="37"/>
  <c r="Y1832" i="38"/>
  <c r="AC1646" i="38"/>
  <c r="AB926" i="38"/>
  <c r="AB1398" i="38"/>
  <c r="Y1249" i="38"/>
  <c r="Y442" i="38"/>
  <c r="Y450" i="38"/>
  <c r="M253" i="37"/>
  <c r="N310" i="37"/>
  <c r="Y575" i="38"/>
  <c r="Y1280" i="38"/>
  <c r="S326" i="37"/>
  <c r="N314" i="37"/>
  <c r="AB1280" i="38"/>
  <c r="AC66" i="38"/>
  <c r="AC138" i="38"/>
  <c r="Y18" i="38"/>
  <c r="P259" i="37"/>
  <c r="P258" i="37"/>
  <c r="P311" i="37"/>
  <c r="Y1646" i="38"/>
  <c r="AC724" i="38"/>
  <c r="AC541" i="38"/>
  <c r="Y308" i="38"/>
  <c r="Y388" i="38"/>
  <c r="Y66" i="38"/>
  <c r="AC194" i="38"/>
  <c r="N253" i="37"/>
  <c r="S310" i="37"/>
  <c r="O310" i="37"/>
  <c r="Y1855" i="38"/>
  <c r="P330" i="37"/>
  <c r="AC1710" i="38"/>
  <c r="Y1376" i="38"/>
  <c r="AB461" i="38"/>
  <c r="Y1490" i="38"/>
  <c r="Y1653" i="38"/>
  <c r="AB1653" i="38"/>
  <c r="AC1783" i="38"/>
  <c r="AB1701" i="38"/>
  <c r="AB1091" i="38"/>
  <c r="AB822" i="38"/>
  <c r="AB604" i="38"/>
  <c r="AB870" i="38"/>
  <c r="AC629" i="38"/>
  <c r="Y693" i="38"/>
  <c r="AC1717" i="38"/>
  <c r="R24" i="46"/>
  <c r="R26" i="46" s="1"/>
  <c r="AB1830" i="38"/>
  <c r="AC1249" i="38"/>
  <c r="AC388" i="38"/>
  <c r="Y1513" i="38"/>
  <c r="AB352" i="38"/>
  <c r="Y352" i="38"/>
  <c r="AC352" i="38"/>
  <c r="AB416" i="38"/>
  <c r="Y416" i="38"/>
  <c r="AC416" i="38"/>
  <c r="AB1472" i="38"/>
  <c r="AC1472" i="38"/>
  <c r="Y1472" i="38"/>
  <c r="AB282" i="38"/>
  <c r="AC282" i="38"/>
  <c r="Y282" i="38"/>
  <c r="AB370" i="38"/>
  <c r="AC370" i="38"/>
  <c r="Y370" i="38"/>
  <c r="AB1195" i="38"/>
  <c r="AC1195" i="38"/>
  <c r="Y1195" i="38"/>
  <c r="AB288" i="38"/>
  <c r="Y288" i="38"/>
  <c r="AC288" i="38"/>
  <c r="AB360" i="38"/>
  <c r="Y360" i="38"/>
  <c r="AC360" i="38"/>
  <c r="AB424" i="38"/>
  <c r="AC424" i="38"/>
  <c r="Y424" i="38"/>
  <c r="AB1416" i="38"/>
  <c r="AC1416" i="38"/>
  <c r="Y1416" i="38"/>
  <c r="AB1480" i="38"/>
  <c r="AC1480" i="38"/>
  <c r="Y1480" i="38"/>
  <c r="AB1698" i="38"/>
  <c r="AC1698" i="38"/>
  <c r="Y1698" i="38"/>
  <c r="AB290" i="38"/>
  <c r="AC290" i="38"/>
  <c r="Y290" i="38"/>
  <c r="AB378" i="38"/>
  <c r="AC378" i="38"/>
  <c r="Y378" i="38"/>
  <c r="AB817" i="38"/>
  <c r="AC817" i="38"/>
  <c r="Y817" i="38"/>
  <c r="AB1243" i="38"/>
  <c r="Y1243" i="38"/>
  <c r="AC1243" i="38"/>
  <c r="Y684" i="38"/>
  <c r="Y1406" i="38"/>
  <c r="AC934" i="38"/>
  <c r="AB620" i="38"/>
  <c r="AB437" i="38"/>
  <c r="Y1264" i="38"/>
  <c r="AB304" i="38"/>
  <c r="AC304" i="38"/>
  <c r="Y304" i="38"/>
  <c r="AB368" i="38"/>
  <c r="Y368" i="38"/>
  <c r="AC368" i="38"/>
  <c r="AB1256" i="38"/>
  <c r="AC1256" i="38"/>
  <c r="Y1256" i="38"/>
  <c r="AB1424" i="38"/>
  <c r="Y1424" i="38"/>
  <c r="AC1424" i="38"/>
  <c r="AB1488" i="38"/>
  <c r="Y1488" i="38"/>
  <c r="AC1488" i="38"/>
  <c r="AB1552" i="38"/>
  <c r="Y1552" i="38"/>
  <c r="AC1552" i="38"/>
  <c r="AB1714" i="38"/>
  <c r="AC1714" i="38"/>
  <c r="Y1714" i="38"/>
  <c r="AB386" i="38"/>
  <c r="Y386" i="38"/>
  <c r="AC386" i="38"/>
  <c r="AB1514" i="38"/>
  <c r="Y1514" i="38"/>
  <c r="AC1514" i="38"/>
  <c r="AB977" i="38"/>
  <c r="Y977" i="38"/>
  <c r="AC977" i="38"/>
  <c r="AB212" i="38"/>
  <c r="AC212" i="38"/>
  <c r="Y212" i="38"/>
  <c r="AC1277" i="38"/>
  <c r="AC1264" i="38"/>
  <c r="AB312" i="38"/>
  <c r="AC312" i="38"/>
  <c r="Y312" i="38"/>
  <c r="AB376" i="38"/>
  <c r="Y376" i="38"/>
  <c r="AC376" i="38"/>
  <c r="AB1288" i="38"/>
  <c r="Y1288" i="38"/>
  <c r="AC1288" i="38"/>
  <c r="AB1432" i="38"/>
  <c r="Y1432" i="38"/>
  <c r="AC1432" i="38"/>
  <c r="AB1496" i="38"/>
  <c r="AC1496" i="38"/>
  <c r="Y1496" i="38"/>
  <c r="AB1560" i="38"/>
  <c r="Y1560" i="38"/>
  <c r="AC1560" i="38"/>
  <c r="AB1762" i="38"/>
  <c r="Y1762" i="38"/>
  <c r="AC1762" i="38"/>
  <c r="AB306" i="38"/>
  <c r="Y306" i="38"/>
  <c r="AC306" i="38"/>
  <c r="AB1530" i="38"/>
  <c r="Y1530" i="38"/>
  <c r="AC1530" i="38"/>
  <c r="AB985" i="38"/>
  <c r="Y985" i="38"/>
  <c r="AC985" i="38"/>
  <c r="AB220" i="38"/>
  <c r="AC220" i="38"/>
  <c r="Y220" i="38"/>
  <c r="AC742" i="38"/>
  <c r="AB1182" i="38"/>
  <c r="Y1182" i="38"/>
  <c r="AC1182" i="38"/>
  <c r="AB320" i="38"/>
  <c r="Y320" i="38"/>
  <c r="AC320" i="38"/>
  <c r="AB384" i="38"/>
  <c r="AC384" i="38"/>
  <c r="Y384" i="38"/>
  <c r="AB1440" i="38"/>
  <c r="AC1440" i="38"/>
  <c r="Y1440" i="38"/>
  <c r="AB1504" i="38"/>
  <c r="Y1504" i="38"/>
  <c r="AC1504" i="38"/>
  <c r="AB1778" i="38"/>
  <c r="Y1778" i="38"/>
  <c r="AC1778" i="38"/>
  <c r="AB322" i="38"/>
  <c r="Y322" i="38"/>
  <c r="AC322" i="38"/>
  <c r="AB402" i="38"/>
  <c r="AC402" i="38"/>
  <c r="Y402" i="38"/>
  <c r="AB1546" i="38"/>
  <c r="AC1546" i="38"/>
  <c r="Y1546" i="38"/>
  <c r="AB228" i="38"/>
  <c r="AC228" i="38"/>
  <c r="Y228" i="38"/>
  <c r="AC969" i="38"/>
  <c r="AC1406" i="38"/>
  <c r="AB742" i="38"/>
  <c r="AC1855" i="38"/>
  <c r="AC308" i="38"/>
  <c r="AC843" i="38"/>
  <c r="AB1206" i="38"/>
  <c r="AC1206" i="38"/>
  <c r="Y1206" i="38"/>
  <c r="AB328" i="38"/>
  <c r="AC328" i="38"/>
  <c r="Y328" i="38"/>
  <c r="AB1448" i="38"/>
  <c r="AC1448" i="38"/>
  <c r="Y1448" i="38"/>
  <c r="AB1512" i="38"/>
  <c r="Y1512" i="38"/>
  <c r="AC1512" i="38"/>
  <c r="AB1786" i="38"/>
  <c r="AC1786" i="38"/>
  <c r="Y1786" i="38"/>
  <c r="AB410" i="38"/>
  <c r="AC410" i="38"/>
  <c r="Y410" i="38"/>
  <c r="AB1059" i="38"/>
  <c r="Y1059" i="38"/>
  <c r="AC1059" i="38"/>
  <c r="AB758" i="38"/>
  <c r="AB969" i="38"/>
  <c r="AC692" i="38"/>
  <c r="AC894" i="38"/>
  <c r="AC1490" i="38"/>
  <c r="AC828" i="38"/>
  <c r="AB843" i="38"/>
  <c r="AB1230" i="38"/>
  <c r="AC1230" i="38"/>
  <c r="Y1230" i="38"/>
  <c r="AB248" i="38"/>
  <c r="AC248" i="38"/>
  <c r="Y248" i="38"/>
  <c r="AB336" i="38"/>
  <c r="AC336" i="38"/>
  <c r="Y336" i="38"/>
  <c r="AB400" i="38"/>
  <c r="Y400" i="38"/>
  <c r="AC400" i="38"/>
  <c r="AB1826" i="38"/>
  <c r="AC1826" i="38"/>
  <c r="Y1826" i="38"/>
  <c r="AB338" i="38"/>
  <c r="Y338" i="38"/>
  <c r="AC338" i="38"/>
  <c r="AB418" i="38"/>
  <c r="AC418" i="38"/>
  <c r="Y418" i="38"/>
  <c r="AB1139" i="38"/>
  <c r="Y1139" i="38"/>
  <c r="AC1139" i="38"/>
  <c r="AB876" i="38"/>
  <c r="Y876" i="38"/>
  <c r="AC876" i="38"/>
  <c r="AB562" i="38"/>
  <c r="AC870" i="38"/>
  <c r="AB828" i="38"/>
  <c r="AB1238" i="38"/>
  <c r="Y1238" i="38"/>
  <c r="AC1238" i="38"/>
  <c r="AB344" i="38"/>
  <c r="Y344" i="38"/>
  <c r="AC344" i="38"/>
  <c r="AB1400" i="38"/>
  <c r="Y1400" i="38"/>
  <c r="AC1400" i="38"/>
  <c r="AB1464" i="38"/>
  <c r="AC1464" i="38"/>
  <c r="Y1464" i="38"/>
  <c r="AB1528" i="38"/>
  <c r="Y1528" i="38"/>
  <c r="AC1528" i="38"/>
  <c r="AB1650" i="38"/>
  <c r="AC1650" i="38"/>
  <c r="Y1650" i="38"/>
  <c r="AB242" i="38"/>
  <c r="Y242" i="38"/>
  <c r="AC242" i="38"/>
  <c r="AB354" i="38"/>
  <c r="AC354" i="38"/>
  <c r="Y354" i="38"/>
  <c r="AB1179" i="38"/>
  <c r="Y1179" i="38"/>
  <c r="AC1179" i="38"/>
  <c r="I29" i="43"/>
  <c r="I34" i="43" s="1"/>
  <c r="K211" i="65"/>
  <c r="H12" i="45" s="1"/>
  <c r="K245" i="65"/>
  <c r="H24" i="45" s="1"/>
  <c r="K210" i="65"/>
  <c r="H11" i="45" s="1"/>
  <c r="K244" i="65"/>
  <c r="H23" i="45" s="1"/>
  <c r="K207" i="65"/>
  <c r="H8" i="45" s="1"/>
  <c r="K209" i="65"/>
  <c r="H10" i="45" s="1"/>
  <c r="I33" i="42"/>
  <c r="I35" i="42" s="1"/>
  <c r="K239" i="65"/>
  <c r="K249" i="65"/>
  <c r="K208" i="65"/>
  <c r="H9" i="45" s="1"/>
  <c r="K14" i="10"/>
  <c r="K206" i="65"/>
  <c r="H7" i="45" s="1"/>
  <c r="K155" i="65"/>
  <c r="P24" i="46"/>
  <c r="P26" i="46" s="1"/>
  <c r="AB684" i="38"/>
  <c r="Y926" i="38"/>
  <c r="AB910" i="38"/>
  <c r="AB573" i="38"/>
  <c r="AC771" i="38"/>
  <c r="AB272" i="38"/>
  <c r="AC272" i="38"/>
  <c r="Y272" i="38"/>
  <c r="AB1240" i="38"/>
  <c r="Y1240" i="38"/>
  <c r="AC1240" i="38"/>
  <c r="AB1482" i="38"/>
  <c r="AC1482" i="38"/>
  <c r="Y1482" i="38"/>
  <c r="AB1000" i="38"/>
  <c r="AC1000" i="38"/>
  <c r="Y1000" i="38"/>
  <c r="AB1248" i="38"/>
  <c r="Y1248" i="38"/>
  <c r="AC1248" i="38"/>
  <c r="AB1498" i="38"/>
  <c r="Y1498" i="38"/>
  <c r="AC1498" i="38"/>
  <c r="AB1072" i="38"/>
  <c r="Y1072" i="38"/>
  <c r="AC1072" i="38"/>
  <c r="AB1758" i="38"/>
  <c r="Y1758" i="38"/>
  <c r="AC1758" i="38"/>
  <c r="AB1522" i="38"/>
  <c r="Y1522" i="38"/>
  <c r="AC1522" i="38"/>
  <c r="Y562" i="38"/>
  <c r="AB950" i="38"/>
  <c r="AC612" i="38"/>
  <c r="AC628" i="38"/>
  <c r="AC1398" i="38"/>
  <c r="AB1591" i="38"/>
  <c r="Y1735" i="38"/>
  <c r="AB1827" i="38"/>
  <c r="AB1846" i="38"/>
  <c r="AB15" i="38"/>
  <c r="AC15" i="38"/>
  <c r="Y15" i="38"/>
  <c r="AB1112" i="38"/>
  <c r="AC1112" i="38"/>
  <c r="Y1112" i="38"/>
  <c r="AB1538" i="38"/>
  <c r="Y1538" i="38"/>
  <c r="AC1538" i="38"/>
  <c r="AC966" i="38"/>
  <c r="AB262" i="38"/>
  <c r="AC262" i="38"/>
  <c r="Y262" i="38"/>
  <c r="AB591" i="38"/>
  <c r="AC533" i="38"/>
  <c r="AC1414" i="38"/>
  <c r="AB1176" i="38"/>
  <c r="Y1176" i="38"/>
  <c r="AC1176" i="38"/>
  <c r="AB314" i="38"/>
  <c r="Y314" i="38"/>
  <c r="AC314" i="38"/>
  <c r="AB1854" i="38"/>
  <c r="Y1854" i="38"/>
  <c r="AC1854" i="38"/>
  <c r="AB346" i="38"/>
  <c r="Y346" i="38"/>
  <c r="AC346" i="38"/>
  <c r="K9" i="43"/>
  <c r="M9" i="43"/>
  <c r="Q9" i="43" s="1"/>
  <c r="T24" i="46"/>
  <c r="T26" i="46" s="1"/>
  <c r="N24" i="46"/>
  <c r="N26" i="46" s="1"/>
  <c r="G63" i="42"/>
  <c r="G65" i="42" s="1"/>
  <c r="AB886" i="38"/>
  <c r="AB1422" i="38"/>
  <c r="AC822" i="38"/>
  <c r="Y10" i="38"/>
  <c r="I70" i="42"/>
  <c r="AB594" i="38"/>
  <c r="AC860" i="38"/>
  <c r="AB1517" i="38"/>
  <c r="AC1517" i="38"/>
  <c r="Y1517" i="38"/>
  <c r="AB1521" i="38"/>
  <c r="Y1521" i="38"/>
  <c r="AC1521" i="38"/>
  <c r="AB641" i="38"/>
  <c r="Y641" i="38"/>
  <c r="AC641" i="38"/>
  <c r="AB713" i="38"/>
  <c r="Y713" i="38"/>
  <c r="AC713" i="38"/>
  <c r="AB891" i="38"/>
  <c r="AC891" i="38"/>
  <c r="Y891" i="38"/>
  <c r="AB10" i="38"/>
  <c r="AB860" i="38"/>
  <c r="AB1525" i="38"/>
  <c r="AC1525" i="38"/>
  <c r="Y1525" i="38"/>
  <c r="AB1558" i="38"/>
  <c r="AC1558" i="38"/>
  <c r="Y1558" i="38"/>
  <c r="AB1529" i="38"/>
  <c r="AC1529" i="38"/>
  <c r="Y1529" i="38"/>
  <c r="AB721" i="38"/>
  <c r="Y721" i="38"/>
  <c r="AC721" i="38"/>
  <c r="AB963" i="38"/>
  <c r="AC963" i="38"/>
  <c r="Y963" i="38"/>
  <c r="AC700" i="38"/>
  <c r="AC732" i="38"/>
  <c r="Y854" i="38"/>
  <c r="Y668" i="38"/>
  <c r="AC1814" i="38"/>
  <c r="E29" i="43"/>
  <c r="E34" i="43" s="1"/>
  <c r="AB1533" i="38"/>
  <c r="Y1533" i="38"/>
  <c r="AC1533" i="38"/>
  <c r="AB1850" i="38"/>
  <c r="AC1850" i="38"/>
  <c r="Y1850" i="38"/>
  <c r="AB1537" i="38"/>
  <c r="Y1537" i="38"/>
  <c r="AC1537" i="38"/>
  <c r="AB665" i="38"/>
  <c r="AC665" i="38"/>
  <c r="Y665" i="38"/>
  <c r="AB729" i="38"/>
  <c r="Y729" i="38"/>
  <c r="AC729" i="38"/>
  <c r="AB700" i="38"/>
  <c r="AC578" i="38"/>
  <c r="Y758" i="38"/>
  <c r="Y982" i="38"/>
  <c r="AC668" i="38"/>
  <c r="Y1591" i="38"/>
  <c r="AB1814" i="38"/>
  <c r="AB1477" i="38"/>
  <c r="AC1477" i="38"/>
  <c r="Y1477" i="38"/>
  <c r="AB1541" i="38"/>
  <c r="Y1541" i="38"/>
  <c r="AC1541" i="38"/>
  <c r="AB1607" i="38"/>
  <c r="AC1607" i="38"/>
  <c r="Y1607" i="38"/>
  <c r="AB1481" i="38"/>
  <c r="Y1481" i="38"/>
  <c r="AC1481" i="38"/>
  <c r="AB1545" i="38"/>
  <c r="Y1545" i="38"/>
  <c r="AC1545" i="38"/>
  <c r="AB673" i="38"/>
  <c r="AC673" i="38"/>
  <c r="Y673" i="38"/>
  <c r="AB755" i="38"/>
  <c r="AC755" i="38"/>
  <c r="Y755" i="38"/>
  <c r="Y604" i="38"/>
  <c r="AC982" i="38"/>
  <c r="AB578" i="38"/>
  <c r="AC597" i="38"/>
  <c r="AC661" i="38"/>
  <c r="Y1734" i="38"/>
  <c r="AB1485" i="38"/>
  <c r="AC1485" i="38"/>
  <c r="Y1485" i="38"/>
  <c r="AB1549" i="38"/>
  <c r="AC1549" i="38"/>
  <c r="Y1549" i="38"/>
  <c r="AB1671" i="38"/>
  <c r="Y1671" i="38"/>
  <c r="AC1671" i="38"/>
  <c r="AB1489" i="38"/>
  <c r="Y1489" i="38"/>
  <c r="AC1489" i="38"/>
  <c r="AB1856" i="38"/>
  <c r="Y1856" i="38"/>
  <c r="AC1856" i="38"/>
  <c r="AB601" i="38"/>
  <c r="Y601" i="38"/>
  <c r="AC601" i="38"/>
  <c r="AB681" i="38"/>
  <c r="Y681" i="38"/>
  <c r="AC681" i="38"/>
  <c r="AB580" i="38"/>
  <c r="AC580" i="38"/>
  <c r="Y580" i="38"/>
  <c r="AB1493" i="38"/>
  <c r="AC1493" i="38"/>
  <c r="Y1493" i="38"/>
  <c r="AB1497" i="38"/>
  <c r="AC1497" i="38"/>
  <c r="Y1497" i="38"/>
  <c r="AB617" i="38"/>
  <c r="Y617" i="38"/>
  <c r="AC617" i="38"/>
  <c r="AB689" i="38"/>
  <c r="AC689" i="38"/>
  <c r="Y689" i="38"/>
  <c r="AB588" i="38"/>
  <c r="Y588" i="38"/>
  <c r="AC588" i="38"/>
  <c r="AB265" i="38"/>
  <c r="AC265" i="38"/>
  <c r="Y265" i="38"/>
  <c r="AB918" i="38"/>
  <c r="AC886" i="38"/>
  <c r="AC636" i="38"/>
  <c r="Y636" i="38"/>
  <c r="Y541" i="38"/>
  <c r="Y594" i="38"/>
  <c r="AB1501" i="38"/>
  <c r="AC1501" i="38"/>
  <c r="Y1501" i="38"/>
  <c r="AB1589" i="38"/>
  <c r="Y1589" i="38"/>
  <c r="AC1589" i="38"/>
  <c r="AB1505" i="38"/>
  <c r="AC1505" i="38"/>
  <c r="Y1505" i="38"/>
  <c r="AB625" i="38"/>
  <c r="AC625" i="38"/>
  <c r="Y625" i="38"/>
  <c r="AB697" i="38"/>
  <c r="Y697" i="38"/>
  <c r="AC697" i="38"/>
  <c r="AB803" i="38"/>
  <c r="Y803" i="38"/>
  <c r="AC803" i="38"/>
  <c r="AC854" i="38"/>
  <c r="AC950" i="38"/>
  <c r="AC150" i="38"/>
  <c r="AC1422" i="38"/>
  <c r="J27" i="65"/>
  <c r="G71" i="42" s="1"/>
  <c r="E33" i="42"/>
  <c r="E35" i="42" s="1"/>
  <c r="E40" i="42" s="1"/>
  <c r="AB1509" i="38"/>
  <c r="AC1509" i="38"/>
  <c r="Y1509" i="38"/>
  <c r="AB633" i="38"/>
  <c r="AC633" i="38"/>
  <c r="Y633" i="38"/>
  <c r="AB705" i="38"/>
  <c r="Y705" i="38"/>
  <c r="AC705" i="38"/>
  <c r="S95" i="38"/>
  <c r="S145" i="38"/>
  <c r="S97" i="38"/>
  <c r="S59" i="38"/>
  <c r="S164" i="38"/>
  <c r="AB819" i="38"/>
  <c r="Y819" i="38"/>
  <c r="AC819" i="38"/>
  <c r="AB899" i="38"/>
  <c r="AC899" i="38"/>
  <c r="Y899" i="38"/>
  <c r="AB971" i="38"/>
  <c r="Y971" i="38"/>
  <c r="AC971" i="38"/>
  <c r="AB1404" i="38"/>
  <c r="AC1404" i="38"/>
  <c r="Y1404" i="38"/>
  <c r="AB1085" i="38"/>
  <c r="AC1085" i="38"/>
  <c r="Y1085" i="38"/>
  <c r="AB1149" i="38"/>
  <c r="AC1149" i="38"/>
  <c r="Y1149" i="38"/>
  <c r="AB1213" i="38"/>
  <c r="AC1213" i="38"/>
  <c r="Y1213" i="38"/>
  <c r="AB827" i="38"/>
  <c r="AC827" i="38"/>
  <c r="Y827" i="38"/>
  <c r="AB907" i="38"/>
  <c r="AC907" i="38"/>
  <c r="Y907" i="38"/>
  <c r="AB979" i="38"/>
  <c r="AC979" i="38"/>
  <c r="Y979" i="38"/>
  <c r="AB1420" i="38"/>
  <c r="Y1420" i="38"/>
  <c r="AC1420" i="38"/>
  <c r="AB1221" i="38"/>
  <c r="Y1221" i="38"/>
  <c r="AC1221" i="38"/>
  <c r="AB739" i="38"/>
  <c r="Y739" i="38"/>
  <c r="AC739" i="38"/>
  <c r="AB835" i="38"/>
  <c r="Y835" i="38"/>
  <c r="AC835" i="38"/>
  <c r="AB915" i="38"/>
  <c r="Y915" i="38"/>
  <c r="AC915" i="38"/>
  <c r="AB987" i="38"/>
  <c r="AC987" i="38"/>
  <c r="Y987" i="38"/>
  <c r="AB1444" i="38"/>
  <c r="AC1444" i="38"/>
  <c r="Y1444" i="38"/>
  <c r="AB1101" i="38"/>
  <c r="Y1101" i="38"/>
  <c r="AC1101" i="38"/>
  <c r="AB1165" i="38"/>
  <c r="Y1165" i="38"/>
  <c r="AC1165" i="38"/>
  <c r="AB1229" i="38"/>
  <c r="AC1229" i="38"/>
  <c r="Y1229" i="38"/>
  <c r="AB747" i="38"/>
  <c r="AC747" i="38"/>
  <c r="Y747" i="38"/>
  <c r="AB851" i="38"/>
  <c r="Y851" i="38"/>
  <c r="AC851" i="38"/>
  <c r="AB923" i="38"/>
  <c r="AC923" i="38"/>
  <c r="Y923" i="38"/>
  <c r="AB995" i="38"/>
  <c r="Y995" i="38"/>
  <c r="AC995" i="38"/>
  <c r="AB237" i="38"/>
  <c r="Y237" i="38"/>
  <c r="AC237" i="38"/>
  <c r="AB1109" i="38"/>
  <c r="AC1109" i="38"/>
  <c r="Y1109" i="38"/>
  <c r="AB1173" i="38"/>
  <c r="AC1173" i="38"/>
  <c r="Y1173" i="38"/>
  <c r="AB1237" i="38"/>
  <c r="AC1237" i="38"/>
  <c r="Y1237" i="38"/>
  <c r="AB1863" i="38"/>
  <c r="Y1863" i="38"/>
  <c r="AC1863" i="38"/>
  <c r="AB763" i="38"/>
  <c r="AC763" i="38"/>
  <c r="Y763" i="38"/>
  <c r="AB859" i="38"/>
  <c r="AC859" i="38"/>
  <c r="Y859" i="38"/>
  <c r="AB931" i="38"/>
  <c r="Y931" i="38"/>
  <c r="AC931" i="38"/>
  <c r="AB245" i="38"/>
  <c r="Y245" i="38"/>
  <c r="AC245" i="38"/>
  <c r="AB1053" i="38"/>
  <c r="Y1053" i="38"/>
  <c r="AC1053" i="38"/>
  <c r="AB1117" i="38"/>
  <c r="Y1117" i="38"/>
  <c r="AC1117" i="38"/>
  <c r="AB1181" i="38"/>
  <c r="AC1181" i="38"/>
  <c r="Y1181" i="38"/>
  <c r="AB1245" i="38"/>
  <c r="AC1245" i="38"/>
  <c r="Y1245" i="38"/>
  <c r="AB867" i="38"/>
  <c r="AC867" i="38"/>
  <c r="Y867" i="38"/>
  <c r="AB939" i="38"/>
  <c r="AC939" i="38"/>
  <c r="Y939" i="38"/>
  <c r="AB253" i="38"/>
  <c r="AC253" i="38"/>
  <c r="Y253" i="38"/>
  <c r="AB1061" i="38"/>
  <c r="Y1061" i="38"/>
  <c r="AC1061" i="38"/>
  <c r="AB1125" i="38"/>
  <c r="AC1125" i="38"/>
  <c r="Y1125" i="38"/>
  <c r="AB1189" i="38"/>
  <c r="Y1189" i="38"/>
  <c r="AC1189" i="38"/>
  <c r="AB875" i="38"/>
  <c r="Y875" i="38"/>
  <c r="AC875" i="38"/>
  <c r="AB947" i="38"/>
  <c r="AC947" i="38"/>
  <c r="Y947" i="38"/>
  <c r="AB1005" i="38"/>
  <c r="AC1005" i="38"/>
  <c r="Y1005" i="38"/>
  <c r="AB1069" i="38"/>
  <c r="Y1069" i="38"/>
  <c r="AC1069" i="38"/>
  <c r="AB1133" i="38"/>
  <c r="Y1133" i="38"/>
  <c r="AC1133" i="38"/>
  <c r="AB1197" i="38"/>
  <c r="Y1197" i="38"/>
  <c r="AC1197" i="38"/>
  <c r="AB811" i="38"/>
  <c r="Y811" i="38"/>
  <c r="AC811" i="38"/>
  <c r="AB883" i="38"/>
  <c r="AC883" i="38"/>
  <c r="Y883" i="38"/>
  <c r="AB955" i="38"/>
  <c r="AC955" i="38"/>
  <c r="Y955" i="38"/>
  <c r="AB1077" i="38"/>
  <c r="AC1077" i="38"/>
  <c r="Y1077" i="38"/>
  <c r="AB1205" i="38"/>
  <c r="Y1205" i="38"/>
  <c r="AC1205" i="38"/>
  <c r="AB1258" i="38"/>
  <c r="AC1258" i="38"/>
  <c r="Y1258" i="38"/>
  <c r="AB1561" i="38"/>
  <c r="Y1561" i="38"/>
  <c r="AC1561" i="38"/>
  <c r="AB291" i="38"/>
  <c r="Y291" i="38"/>
  <c r="AC291" i="38"/>
  <c r="AB1003" i="38"/>
  <c r="AC1003" i="38"/>
  <c r="Y1003" i="38"/>
  <c r="AB1155" i="38"/>
  <c r="Y1155" i="38"/>
  <c r="AC1155" i="38"/>
  <c r="AB1378" i="38"/>
  <c r="Y1378" i="38"/>
  <c r="AC1378" i="38"/>
  <c r="AB1450" i="38"/>
  <c r="Y1450" i="38"/>
  <c r="AB1702" i="38"/>
  <c r="AC1702" i="38"/>
  <c r="Y1702" i="38"/>
  <c r="AB1782" i="38"/>
  <c r="Y1782" i="38"/>
  <c r="AC1782" i="38"/>
  <c r="AB658" i="38"/>
  <c r="AC658" i="38"/>
  <c r="Y658" i="38"/>
  <c r="AB722" i="38"/>
  <c r="Y722" i="38"/>
  <c r="AC722" i="38"/>
  <c r="AB812" i="38"/>
  <c r="AC812" i="38"/>
  <c r="Y812" i="38"/>
  <c r="AB17" i="38"/>
  <c r="AC17" i="38"/>
  <c r="Y17" i="38"/>
  <c r="AB331" i="38"/>
  <c r="AC331" i="38"/>
  <c r="Y331" i="38"/>
  <c r="AB1171" i="38"/>
  <c r="Y1171" i="38"/>
  <c r="AC1171" i="38"/>
  <c r="AB1386" i="38"/>
  <c r="Y1386" i="38"/>
  <c r="AC1386" i="38"/>
  <c r="AB1566" i="38"/>
  <c r="AC1566" i="38"/>
  <c r="Y1566" i="38"/>
  <c r="AB602" i="38"/>
  <c r="AC602" i="38"/>
  <c r="Y602" i="38"/>
  <c r="AB666" i="38"/>
  <c r="Y666" i="38"/>
  <c r="AC666" i="38"/>
  <c r="AB730" i="38"/>
  <c r="AC730" i="38"/>
  <c r="Y730" i="38"/>
  <c r="AB820" i="38"/>
  <c r="AC820" i="38"/>
  <c r="Y820" i="38"/>
  <c r="AB33" i="38"/>
  <c r="AC33" i="38"/>
  <c r="Y33" i="38"/>
  <c r="AB1603" i="38"/>
  <c r="AC1603" i="38"/>
  <c r="Y1603" i="38"/>
  <c r="AB347" i="38"/>
  <c r="AC347" i="38"/>
  <c r="Y347" i="38"/>
  <c r="AB1187" i="38"/>
  <c r="Y1187" i="38"/>
  <c r="AC1187" i="38"/>
  <c r="AB1394" i="38"/>
  <c r="Y1394" i="38"/>
  <c r="AC1394" i="38"/>
  <c r="AB1574" i="38"/>
  <c r="AC1574" i="38"/>
  <c r="Y1574" i="38"/>
  <c r="AB1654" i="38"/>
  <c r="AC1654" i="38"/>
  <c r="Y1654" i="38"/>
  <c r="AB1718" i="38"/>
  <c r="AC1718" i="38"/>
  <c r="Y1718" i="38"/>
  <c r="AB1798" i="38"/>
  <c r="Y1798" i="38"/>
  <c r="AC1798" i="38"/>
  <c r="AB610" i="38"/>
  <c r="AC610" i="38"/>
  <c r="Y610" i="38"/>
  <c r="AB674" i="38"/>
  <c r="Y674" i="38"/>
  <c r="AC674" i="38"/>
  <c r="AB748" i="38"/>
  <c r="Y748" i="38"/>
  <c r="AC748" i="38"/>
  <c r="AB65" i="38"/>
  <c r="AC65" i="38"/>
  <c r="Y65" i="38"/>
  <c r="AB586" i="38"/>
  <c r="AC586" i="38"/>
  <c r="Y586" i="38"/>
  <c r="AB1075" i="38"/>
  <c r="AC1075" i="38"/>
  <c r="Y1075" i="38"/>
  <c r="AB1219" i="38"/>
  <c r="AC1219" i="38"/>
  <c r="Y1219" i="38"/>
  <c r="AB1662" i="38"/>
  <c r="AC1662" i="38"/>
  <c r="Y1662" i="38"/>
  <c r="AB1726" i="38"/>
  <c r="AC1726" i="38"/>
  <c r="Y1726" i="38"/>
  <c r="AB1806" i="38"/>
  <c r="Y1806" i="38"/>
  <c r="AC1806" i="38"/>
  <c r="AB618" i="38"/>
  <c r="Y618" i="38"/>
  <c r="AC618" i="38"/>
  <c r="AB682" i="38"/>
  <c r="AC682" i="38"/>
  <c r="Y682" i="38"/>
  <c r="AB764" i="38"/>
  <c r="Y764" i="38"/>
  <c r="AC764" i="38"/>
  <c r="AB836" i="38"/>
  <c r="Y836" i="38"/>
  <c r="AC836" i="38"/>
  <c r="AB73" i="38"/>
  <c r="Y73" i="38"/>
  <c r="AC73" i="38"/>
  <c r="AB1659" i="38"/>
  <c r="AC1659" i="38"/>
  <c r="Y1659" i="38"/>
  <c r="AB753" i="38"/>
  <c r="AC753" i="38"/>
  <c r="Y753" i="38"/>
  <c r="AB1418" i="38"/>
  <c r="Y1418" i="38"/>
  <c r="AC1418" i="38"/>
  <c r="AB1590" i="38"/>
  <c r="Y1590" i="38"/>
  <c r="AC1590" i="38"/>
  <c r="AB1670" i="38"/>
  <c r="AC1670" i="38"/>
  <c r="Y1670" i="38"/>
  <c r="AB626" i="38"/>
  <c r="Y626" i="38"/>
  <c r="AC626" i="38"/>
  <c r="AB690" i="38"/>
  <c r="AC690" i="38"/>
  <c r="Y690" i="38"/>
  <c r="AB772" i="38"/>
  <c r="Y772" i="38"/>
  <c r="AC772" i="38"/>
  <c r="AB241" i="38"/>
  <c r="Y241" i="38"/>
  <c r="AC241" i="38"/>
  <c r="AB89" i="38"/>
  <c r="Y89" i="38"/>
  <c r="AC89" i="38"/>
  <c r="AB1707" i="38"/>
  <c r="Y1707" i="38"/>
  <c r="AC1707" i="38"/>
  <c r="AB769" i="38"/>
  <c r="AC769" i="38"/>
  <c r="Y769" i="38"/>
  <c r="AB1099" i="38"/>
  <c r="AC1099" i="38"/>
  <c r="Y1099" i="38"/>
  <c r="AB1606" i="38"/>
  <c r="AC1606" i="38"/>
  <c r="Y1606" i="38"/>
  <c r="AB1678" i="38"/>
  <c r="AC1678" i="38"/>
  <c r="Y1678" i="38"/>
  <c r="AB1742" i="38"/>
  <c r="Y1742" i="38"/>
  <c r="AC1742" i="38"/>
  <c r="AB1822" i="38"/>
  <c r="AC1822" i="38"/>
  <c r="Y1822" i="38"/>
  <c r="AB634" i="38"/>
  <c r="AC634" i="38"/>
  <c r="Y634" i="38"/>
  <c r="AB698" i="38"/>
  <c r="AC698" i="38"/>
  <c r="Y698" i="38"/>
  <c r="AB868" i="38"/>
  <c r="AC868" i="38"/>
  <c r="Y868" i="38"/>
  <c r="AB257" i="38"/>
  <c r="AC257" i="38"/>
  <c r="Y257" i="38"/>
  <c r="AB105" i="38"/>
  <c r="AC105" i="38"/>
  <c r="Y105" i="38"/>
  <c r="AB1811" i="38"/>
  <c r="AC1811" i="38"/>
  <c r="AB865" i="38"/>
  <c r="AC865" i="38"/>
  <c r="Y865" i="38"/>
  <c r="AB1107" i="38"/>
  <c r="Y1107" i="38"/>
  <c r="AC1107" i="38"/>
  <c r="AB1614" i="38"/>
  <c r="AC1614" i="38"/>
  <c r="Y1614" i="38"/>
  <c r="AB1750" i="38"/>
  <c r="AC1750" i="38"/>
  <c r="Y1750" i="38"/>
  <c r="AB642" i="38"/>
  <c r="AC642" i="38"/>
  <c r="Y642" i="38"/>
  <c r="AB884" i="38"/>
  <c r="Y884" i="38"/>
  <c r="AC884" i="38"/>
  <c r="AB1862" i="38"/>
  <c r="AC1862" i="38"/>
  <c r="Y1862" i="38"/>
  <c r="AB121" i="38"/>
  <c r="AC121" i="38"/>
  <c r="Y121" i="38"/>
  <c r="AB273" i="38"/>
  <c r="AC273" i="38"/>
  <c r="Y273" i="38"/>
  <c r="AB961" i="38"/>
  <c r="AC961" i="38"/>
  <c r="Y961" i="38"/>
  <c r="AB1131" i="38"/>
  <c r="AC1131" i="38"/>
  <c r="Y1131" i="38"/>
  <c r="AB1370" i="38"/>
  <c r="Y1370" i="38"/>
  <c r="AC1370" i="38"/>
  <c r="AB1622" i="38"/>
  <c r="Y1622" i="38"/>
  <c r="AC1622" i="38"/>
  <c r="AB1694" i="38"/>
  <c r="AC1694" i="38"/>
  <c r="Y1694" i="38"/>
  <c r="AB1766" i="38"/>
  <c r="Y1766" i="38"/>
  <c r="AC1766" i="38"/>
  <c r="AB650" i="38"/>
  <c r="Y650" i="38"/>
  <c r="AC650" i="38"/>
  <c r="AB714" i="38"/>
  <c r="AC714" i="38"/>
  <c r="Y714" i="38"/>
  <c r="AB169" i="38"/>
  <c r="Y169" i="38"/>
  <c r="AC169" i="38"/>
  <c r="L164" i="65"/>
  <c r="I11" i="42" s="1"/>
  <c r="L160" i="65"/>
  <c r="F56" i="42"/>
  <c r="F58" i="42" s="1"/>
  <c r="F63" i="42" s="1"/>
  <c r="F65" i="42" s="1"/>
  <c r="Y750" i="38"/>
  <c r="Y814" i="38"/>
  <c r="AC570" i="38"/>
  <c r="AC596" i="38"/>
  <c r="AB16" i="38"/>
  <c r="AB1414" i="38"/>
  <c r="AB575" i="38"/>
  <c r="AB1557" i="38"/>
  <c r="Y1557" i="38"/>
  <c r="AC1557" i="38"/>
  <c r="AB70" i="38"/>
  <c r="Y70" i="38"/>
  <c r="AC70" i="38"/>
  <c r="AB238" i="38"/>
  <c r="Y238" i="38"/>
  <c r="AC238" i="38"/>
  <c r="AB1198" i="38"/>
  <c r="Y1198" i="38"/>
  <c r="AC1198" i="38"/>
  <c r="AB536" i="38"/>
  <c r="Y536" i="38"/>
  <c r="AC536" i="38"/>
  <c r="AB814" i="38"/>
  <c r="Y142" i="38"/>
  <c r="Y596" i="38"/>
  <c r="AB1565" i="38"/>
  <c r="Y1565" i="38"/>
  <c r="AC1565" i="38"/>
  <c r="AB78" i="38"/>
  <c r="AC78" i="38"/>
  <c r="Y78" i="38"/>
  <c r="AB246" i="38"/>
  <c r="Y246" i="38"/>
  <c r="AC246" i="38"/>
  <c r="AB1214" i="38"/>
  <c r="AC1214" i="38"/>
  <c r="Y1214" i="38"/>
  <c r="AB552" i="38"/>
  <c r="Y552" i="38"/>
  <c r="AC552" i="38"/>
  <c r="AC660" i="38"/>
  <c r="AB846" i="38"/>
  <c r="AC830" i="38"/>
  <c r="Y878" i="38"/>
  <c r="AB142" i="38"/>
  <c r="AB86" i="38"/>
  <c r="Y86" i="38"/>
  <c r="AC86" i="38"/>
  <c r="AB254" i="38"/>
  <c r="Y254" i="38"/>
  <c r="AC254" i="38"/>
  <c r="AB1222" i="38"/>
  <c r="Y1222" i="38"/>
  <c r="AC1222" i="38"/>
  <c r="AB560" i="38"/>
  <c r="Y560" i="38"/>
  <c r="AC560" i="38"/>
  <c r="AC644" i="38"/>
  <c r="AB830" i="38"/>
  <c r="AB94" i="38"/>
  <c r="Y94" i="38"/>
  <c r="AC94" i="38"/>
  <c r="AB1246" i="38"/>
  <c r="Y1246" i="38"/>
  <c r="AC1246" i="38"/>
  <c r="AB183" i="38"/>
  <c r="AC183" i="38"/>
  <c r="Y183" i="38"/>
  <c r="AC708" i="38"/>
  <c r="AB644" i="38"/>
  <c r="Y894" i="38"/>
  <c r="AB533" i="38"/>
  <c r="Y692" i="38"/>
  <c r="AB1735" i="38"/>
  <c r="AB269" i="38"/>
  <c r="AC269" i="38"/>
  <c r="Y269" i="38"/>
  <c r="AB22" i="38"/>
  <c r="Y22" i="38"/>
  <c r="AC22" i="38"/>
  <c r="AB102" i="38"/>
  <c r="AC102" i="38"/>
  <c r="Y102" i="38"/>
  <c r="AB372" i="38"/>
  <c r="Y372" i="38"/>
  <c r="AC372" i="38"/>
  <c r="AB30" i="38"/>
  <c r="AC30" i="38"/>
  <c r="Y30" i="38"/>
  <c r="AB110" i="38"/>
  <c r="AC110" i="38"/>
  <c r="Y110" i="38"/>
  <c r="AB1166" i="38"/>
  <c r="Y1166" i="38"/>
  <c r="AC1166" i="38"/>
  <c r="AB1208" i="38"/>
  <c r="AC1208" i="38"/>
  <c r="Y1208" i="38"/>
  <c r="Y570" i="38"/>
  <c r="Y660" i="38"/>
  <c r="AB724" i="38"/>
  <c r="AC910" i="38"/>
  <c r="Y734" i="38"/>
  <c r="AB445" i="38"/>
  <c r="AC445" i="38"/>
  <c r="Y445" i="38"/>
  <c r="AB38" i="38"/>
  <c r="AC38" i="38"/>
  <c r="Y38" i="38"/>
  <c r="AB174" i="38"/>
  <c r="AC174" i="38"/>
  <c r="Y174" i="38"/>
  <c r="AB1174" i="38"/>
  <c r="Y1174" i="38"/>
  <c r="AC1174" i="38"/>
  <c r="AB224" i="38"/>
  <c r="Y224" i="38"/>
  <c r="AC224" i="38"/>
  <c r="AB766" i="38"/>
  <c r="AB453" i="38"/>
  <c r="Y453" i="38"/>
  <c r="AC453" i="38"/>
  <c r="AB46" i="38"/>
  <c r="AC46" i="38"/>
  <c r="Y46" i="38"/>
  <c r="AB190" i="38"/>
  <c r="Y190" i="38"/>
  <c r="AC190" i="38"/>
  <c r="AB1190" i="38"/>
  <c r="Y1190" i="38"/>
  <c r="AC1190" i="38"/>
  <c r="AB1296" i="38"/>
  <c r="AC1296" i="38"/>
  <c r="Y1296" i="38"/>
  <c r="L165" i="65"/>
  <c r="I12" i="42" s="1"/>
  <c r="F29" i="43"/>
  <c r="L157" i="65"/>
  <c r="K246" i="65"/>
  <c r="H25" i="45" s="1"/>
  <c r="H33" i="42"/>
  <c r="H35" i="42" s="1"/>
  <c r="K243" i="65"/>
  <c r="H22" i="45" s="1"/>
  <c r="K27" i="65"/>
  <c r="AB428" i="38"/>
  <c r="Y428" i="38"/>
  <c r="AC428" i="38"/>
  <c r="AB581" i="38"/>
  <c r="AC581" i="38"/>
  <c r="Y581" i="38"/>
  <c r="AB645" i="38"/>
  <c r="AC645" i="38"/>
  <c r="Y645" i="38"/>
  <c r="AB709" i="38"/>
  <c r="AC709" i="38"/>
  <c r="Y709" i="38"/>
  <c r="AB1293" i="38"/>
  <c r="Y1293" i="38"/>
  <c r="AC1293" i="38"/>
  <c r="AB1421" i="38"/>
  <c r="AC1421" i="38"/>
  <c r="Y1421" i="38"/>
  <c r="AB1861" i="38"/>
  <c r="Y1861" i="38"/>
  <c r="AC1861" i="38"/>
  <c r="AB1110" i="38"/>
  <c r="AC1110" i="38"/>
  <c r="Y1110" i="38"/>
  <c r="AB1115" i="38"/>
  <c r="AC1115" i="38"/>
  <c r="Y1115" i="38"/>
  <c r="AB571" i="38"/>
  <c r="Y571" i="38"/>
  <c r="AC571" i="38"/>
  <c r="Y708" i="38"/>
  <c r="AB740" i="38"/>
  <c r="Y740" i="38"/>
  <c r="AC740" i="38"/>
  <c r="AB940" i="38"/>
  <c r="Y940" i="38"/>
  <c r="AC940" i="38"/>
  <c r="AB589" i="38"/>
  <c r="AC589" i="38"/>
  <c r="Y589" i="38"/>
  <c r="AB653" i="38"/>
  <c r="Y653" i="38"/>
  <c r="AC653" i="38"/>
  <c r="AB717" i="38"/>
  <c r="AC717" i="38"/>
  <c r="Y717" i="38"/>
  <c r="AB1301" i="38"/>
  <c r="AC1301" i="38"/>
  <c r="Y1301" i="38"/>
  <c r="AB1365" i="38"/>
  <c r="Y1365" i="38"/>
  <c r="AC1365" i="38"/>
  <c r="AB1429" i="38"/>
  <c r="Y1429" i="38"/>
  <c r="AC1429" i="38"/>
  <c r="AB1054" i="38"/>
  <c r="Y1054" i="38"/>
  <c r="AC1054" i="38"/>
  <c r="AB1118" i="38"/>
  <c r="Y1118" i="38"/>
  <c r="AC1118" i="38"/>
  <c r="AB1579" i="38"/>
  <c r="AC1579" i="38"/>
  <c r="Y1579" i="38"/>
  <c r="AB1763" i="38"/>
  <c r="AC1763" i="38"/>
  <c r="Y1763" i="38"/>
  <c r="AB1147" i="38"/>
  <c r="AC1147" i="38"/>
  <c r="Y1147" i="38"/>
  <c r="AB592" i="38"/>
  <c r="Y592" i="38"/>
  <c r="AC592" i="38"/>
  <c r="AC583" i="38"/>
  <c r="AB756" i="38"/>
  <c r="AC756" i="38"/>
  <c r="Y756" i="38"/>
  <c r="AB725" i="38"/>
  <c r="AC725" i="38"/>
  <c r="Y725" i="38"/>
  <c r="AB1373" i="38"/>
  <c r="Y1373" i="38"/>
  <c r="AC1373" i="38"/>
  <c r="AB1437" i="38"/>
  <c r="AC1437" i="38"/>
  <c r="Y1437" i="38"/>
  <c r="AB998" i="38"/>
  <c r="Y998" i="38"/>
  <c r="AC998" i="38"/>
  <c r="AB1062" i="38"/>
  <c r="Y1062" i="38"/>
  <c r="AC1062" i="38"/>
  <c r="AB1126" i="38"/>
  <c r="AC1126" i="38"/>
  <c r="Y1126" i="38"/>
  <c r="AB1595" i="38"/>
  <c r="AC1595" i="38"/>
  <c r="Y1595" i="38"/>
  <c r="AB576" i="38"/>
  <c r="AC576" i="38"/>
  <c r="Y576" i="38"/>
  <c r="AB1163" i="38"/>
  <c r="AC1163" i="38"/>
  <c r="Y1163" i="38"/>
  <c r="AB807" i="38"/>
  <c r="Y807" i="38"/>
  <c r="AC807" i="38"/>
  <c r="Y1576" i="38"/>
  <c r="AB583" i="38"/>
  <c r="AB844" i="38"/>
  <c r="Y844" i="38"/>
  <c r="AC844" i="38"/>
  <c r="AB605" i="38"/>
  <c r="Y605" i="38"/>
  <c r="AC605" i="38"/>
  <c r="AB1253" i="38"/>
  <c r="AC1253" i="38"/>
  <c r="Y1253" i="38"/>
  <c r="AB1381" i="38"/>
  <c r="AC1381" i="38"/>
  <c r="Y1381" i="38"/>
  <c r="AB1445" i="38"/>
  <c r="AC1445" i="38"/>
  <c r="Y1445" i="38"/>
  <c r="AB1006" i="38"/>
  <c r="AC1006" i="38"/>
  <c r="Y1006" i="38"/>
  <c r="AB1070" i="38"/>
  <c r="Y1070" i="38"/>
  <c r="AC1070" i="38"/>
  <c r="AB1134" i="38"/>
  <c r="AC1134" i="38"/>
  <c r="Y1134" i="38"/>
  <c r="AB1203" i="38"/>
  <c r="AC1203" i="38"/>
  <c r="Y1203" i="38"/>
  <c r="AB855" i="38"/>
  <c r="Y855" i="38"/>
  <c r="AC855" i="38"/>
  <c r="AB852" i="38"/>
  <c r="Y852" i="38"/>
  <c r="AC852" i="38"/>
  <c r="AB613" i="38"/>
  <c r="AC613" i="38"/>
  <c r="Y613" i="38"/>
  <c r="AB677" i="38"/>
  <c r="Y677" i="38"/>
  <c r="AC677" i="38"/>
  <c r="AB1261" i="38"/>
  <c r="Y1261" i="38"/>
  <c r="AC1261" i="38"/>
  <c r="AB1389" i="38"/>
  <c r="AC1389" i="38"/>
  <c r="Y1389" i="38"/>
  <c r="AB1453" i="38"/>
  <c r="AC1453" i="38"/>
  <c r="Y1453" i="38"/>
  <c r="AB1078" i="38"/>
  <c r="AC1078" i="38"/>
  <c r="Y1078" i="38"/>
  <c r="AB1142" i="38"/>
  <c r="AC1142" i="38"/>
  <c r="Y1142" i="38"/>
  <c r="AB1211" i="38"/>
  <c r="Y1211" i="38"/>
  <c r="AC1211" i="38"/>
  <c r="AB935" i="38"/>
  <c r="Y935" i="38"/>
  <c r="AC935" i="38"/>
  <c r="AB621" i="38"/>
  <c r="AC621" i="38"/>
  <c r="Y621" i="38"/>
  <c r="AB685" i="38"/>
  <c r="AC685" i="38"/>
  <c r="Y685" i="38"/>
  <c r="AB1269" i="38"/>
  <c r="Y1269" i="38"/>
  <c r="AC1269" i="38"/>
  <c r="AB1397" i="38"/>
  <c r="AC1397" i="38"/>
  <c r="Y1397" i="38"/>
  <c r="AB1461" i="38"/>
  <c r="Y1461" i="38"/>
  <c r="AC1461" i="38"/>
  <c r="AB1086" i="38"/>
  <c r="AC1086" i="38"/>
  <c r="Y1086" i="38"/>
  <c r="AB1150" i="38"/>
  <c r="AC1150" i="38"/>
  <c r="Y1150" i="38"/>
  <c r="AB1667" i="38"/>
  <c r="AC1667" i="38"/>
  <c r="Y1667" i="38"/>
  <c r="AB1227" i="38"/>
  <c r="Y1227" i="38"/>
  <c r="AC1227" i="38"/>
  <c r="AB983" i="38"/>
  <c r="AC983" i="38"/>
  <c r="Y983" i="38"/>
  <c r="AB1405" i="38"/>
  <c r="Y1405" i="38"/>
  <c r="AC1405" i="38"/>
  <c r="AB1469" i="38"/>
  <c r="AC1469" i="38"/>
  <c r="Y1469" i="38"/>
  <c r="AB1094" i="38"/>
  <c r="AC1094" i="38"/>
  <c r="Y1094" i="38"/>
  <c r="AB1158" i="38"/>
  <c r="Y1158" i="38"/>
  <c r="AC1158" i="38"/>
  <c r="AB1723" i="38"/>
  <c r="AC1723" i="38"/>
  <c r="Y1723" i="38"/>
  <c r="AB1067" i="38"/>
  <c r="Y1067" i="38"/>
  <c r="AC1067" i="38"/>
  <c r="AB1235" i="38"/>
  <c r="Y1235" i="38"/>
  <c r="AC1235" i="38"/>
  <c r="AB1272" i="38"/>
  <c r="AC1272" i="38"/>
  <c r="Y1272" i="38"/>
  <c r="AC766" i="38"/>
  <c r="AB1285" i="38"/>
  <c r="Y1285" i="38"/>
  <c r="AC1285" i="38"/>
  <c r="AB1413" i="38"/>
  <c r="AC1413" i="38"/>
  <c r="Y1413" i="38"/>
  <c r="AB1102" i="38"/>
  <c r="Y1102" i="38"/>
  <c r="AC1102" i="38"/>
  <c r="AB1731" i="38"/>
  <c r="Y1731" i="38"/>
  <c r="AC1731" i="38"/>
  <c r="AB1083" i="38"/>
  <c r="Y1083" i="38"/>
  <c r="AC1083" i="38"/>
  <c r="AB1304" i="38"/>
  <c r="AC1304" i="38"/>
  <c r="Y1304" i="38"/>
  <c r="AB1776" i="38"/>
  <c r="Y628" i="38"/>
  <c r="Y554" i="38"/>
  <c r="AC676" i="38"/>
  <c r="Y612" i="38"/>
  <c r="AB676" i="38"/>
  <c r="Y16" i="38"/>
  <c r="AC554" i="38"/>
  <c r="AC734" i="38"/>
  <c r="AB1704" i="38"/>
  <c r="Y67" i="38"/>
  <c r="AC1539" i="38"/>
  <c r="AB1082" i="38"/>
  <c r="Y1082" i="38"/>
  <c r="AC1082" i="38"/>
  <c r="AB97" i="38"/>
  <c r="AC97" i="38"/>
  <c r="Y97" i="38"/>
  <c r="AB276" i="38"/>
  <c r="Y276" i="38"/>
  <c r="AC276" i="38"/>
  <c r="AB801" i="38"/>
  <c r="AC801" i="38"/>
  <c r="Y801" i="38"/>
  <c r="AB881" i="38"/>
  <c r="AC881" i="38"/>
  <c r="Y881" i="38"/>
  <c r="AB945" i="38"/>
  <c r="Y945" i="38"/>
  <c r="AC945" i="38"/>
  <c r="AB1136" i="38"/>
  <c r="AC1136" i="38"/>
  <c r="Y1136" i="38"/>
  <c r="AB1232" i="38"/>
  <c r="Y1232" i="38"/>
  <c r="AC1232" i="38"/>
  <c r="AB217" i="38"/>
  <c r="Y217" i="38"/>
  <c r="AC217" i="38"/>
  <c r="AB292" i="38"/>
  <c r="Y292" i="38"/>
  <c r="AC292" i="38"/>
  <c r="AB356" i="38"/>
  <c r="AC356" i="38"/>
  <c r="Y356" i="38"/>
  <c r="Y106" i="38"/>
  <c r="AB1550" i="38"/>
  <c r="Y1550" i="38"/>
  <c r="AC1550" i="38"/>
  <c r="AB113" i="38"/>
  <c r="Y113" i="38"/>
  <c r="AC113" i="38"/>
  <c r="AB432" i="38"/>
  <c r="AC432" i="38"/>
  <c r="Y432" i="38"/>
  <c r="AB809" i="38"/>
  <c r="AC809" i="38"/>
  <c r="Y809" i="38"/>
  <c r="AB889" i="38"/>
  <c r="Y889" i="38"/>
  <c r="AC889" i="38"/>
  <c r="AB953" i="38"/>
  <c r="AC953" i="38"/>
  <c r="Y953" i="38"/>
  <c r="AB1056" i="38"/>
  <c r="AC1056" i="38"/>
  <c r="Y1056" i="38"/>
  <c r="AB1144" i="38"/>
  <c r="Y1144" i="38"/>
  <c r="AC1144" i="38"/>
  <c r="AB1266" i="38"/>
  <c r="AC1266" i="38"/>
  <c r="Y1266" i="38"/>
  <c r="AB225" i="38"/>
  <c r="Y225" i="38"/>
  <c r="AC225" i="38"/>
  <c r="AB300" i="38"/>
  <c r="AC300" i="38"/>
  <c r="Y300" i="38"/>
  <c r="AB364" i="38"/>
  <c r="AC364" i="38"/>
  <c r="Y364" i="38"/>
  <c r="AB145" i="38"/>
  <c r="Y145" i="38"/>
  <c r="AC145" i="38"/>
  <c r="AB440" i="38"/>
  <c r="Y440" i="38"/>
  <c r="AC440" i="38"/>
  <c r="AB557" i="38"/>
  <c r="Y557" i="38"/>
  <c r="AC557" i="38"/>
  <c r="AB825" i="38"/>
  <c r="Y825" i="38"/>
  <c r="AC825" i="38"/>
  <c r="AB897" i="38"/>
  <c r="AC897" i="38"/>
  <c r="Y897" i="38"/>
  <c r="AB1064" i="38"/>
  <c r="AC1064" i="38"/>
  <c r="Y1064" i="38"/>
  <c r="AB1152" i="38"/>
  <c r="AC1152" i="38"/>
  <c r="Y1152" i="38"/>
  <c r="AB1282" i="38"/>
  <c r="AC1282" i="38"/>
  <c r="Y1282" i="38"/>
  <c r="AB380" i="38"/>
  <c r="Y380" i="38"/>
  <c r="AC380" i="38"/>
  <c r="AB12" i="38"/>
  <c r="Y12" i="38"/>
  <c r="AC12" i="38"/>
  <c r="AB153" i="38"/>
  <c r="AC153" i="38"/>
  <c r="Y153" i="38"/>
  <c r="AB448" i="38"/>
  <c r="Y448" i="38"/>
  <c r="AC448" i="38"/>
  <c r="AB737" i="38"/>
  <c r="AC737" i="38"/>
  <c r="Y737" i="38"/>
  <c r="AB833" i="38"/>
  <c r="AC833" i="38"/>
  <c r="Y833" i="38"/>
  <c r="AB905" i="38"/>
  <c r="Y905" i="38"/>
  <c r="AC905" i="38"/>
  <c r="AB993" i="38"/>
  <c r="AC993" i="38"/>
  <c r="Y993" i="38"/>
  <c r="AB1080" i="38"/>
  <c r="Y1080" i="38"/>
  <c r="AC1080" i="38"/>
  <c r="AB1160" i="38"/>
  <c r="Y1160" i="38"/>
  <c r="AC1160" i="38"/>
  <c r="AB1290" i="38"/>
  <c r="AC1290" i="38"/>
  <c r="Y1290" i="38"/>
  <c r="AB247" i="38"/>
  <c r="AC247" i="38"/>
  <c r="Y247" i="38"/>
  <c r="AB316" i="38"/>
  <c r="AC316" i="38"/>
  <c r="Y316" i="38"/>
  <c r="AB396" i="38"/>
  <c r="AC396" i="38"/>
  <c r="Y396" i="38"/>
  <c r="AB25" i="38"/>
  <c r="Y25" i="38"/>
  <c r="AC25" i="38"/>
  <c r="AB161" i="38"/>
  <c r="AC161" i="38"/>
  <c r="Y161" i="38"/>
  <c r="AB456" i="38"/>
  <c r="Y456" i="38"/>
  <c r="AC456" i="38"/>
  <c r="AB745" i="38"/>
  <c r="AC745" i="38"/>
  <c r="Y745" i="38"/>
  <c r="AB841" i="38"/>
  <c r="AC841" i="38"/>
  <c r="Y841" i="38"/>
  <c r="AB913" i="38"/>
  <c r="Y913" i="38"/>
  <c r="AC913" i="38"/>
  <c r="AB1008" i="38"/>
  <c r="Y1008" i="38"/>
  <c r="AC1008" i="38"/>
  <c r="AB1088" i="38"/>
  <c r="Y1088" i="38"/>
  <c r="AC1088" i="38"/>
  <c r="AB1168" i="38"/>
  <c r="Y1168" i="38"/>
  <c r="AC1168" i="38"/>
  <c r="AB1298" i="38"/>
  <c r="AC1298" i="38"/>
  <c r="Y1298" i="38"/>
  <c r="AB404" i="38"/>
  <c r="AC404" i="38"/>
  <c r="Y404" i="38"/>
  <c r="AB1058" i="38"/>
  <c r="Y1058" i="38"/>
  <c r="AC1058" i="38"/>
  <c r="AB41" i="38"/>
  <c r="Y41" i="38"/>
  <c r="AC41" i="38"/>
  <c r="AB177" i="38"/>
  <c r="Y177" i="38"/>
  <c r="AC177" i="38"/>
  <c r="AB761" i="38"/>
  <c r="AC761" i="38"/>
  <c r="Y761" i="38"/>
  <c r="AB849" i="38"/>
  <c r="Y849" i="38"/>
  <c r="AC849" i="38"/>
  <c r="AB921" i="38"/>
  <c r="AC921" i="38"/>
  <c r="Y921" i="38"/>
  <c r="AB1096" i="38"/>
  <c r="Y1096" i="38"/>
  <c r="AC1096" i="38"/>
  <c r="AB1192" i="38"/>
  <c r="Y1192" i="38"/>
  <c r="AC1192" i="38"/>
  <c r="AB267" i="38"/>
  <c r="Y267" i="38"/>
  <c r="AC267" i="38"/>
  <c r="AB332" i="38"/>
  <c r="Y332" i="38"/>
  <c r="AC332" i="38"/>
  <c r="AB412" i="38"/>
  <c r="Y412" i="38"/>
  <c r="AC412" i="38"/>
  <c r="AB1002" i="38"/>
  <c r="Y1002" i="38"/>
  <c r="AC1002" i="38"/>
  <c r="AB1066" i="38"/>
  <c r="AC1066" i="38"/>
  <c r="Y1066" i="38"/>
  <c r="AB49" i="38"/>
  <c r="Y49" i="38"/>
  <c r="AC49" i="38"/>
  <c r="AB193" i="38"/>
  <c r="AC193" i="38"/>
  <c r="Y193" i="38"/>
  <c r="AB857" i="38"/>
  <c r="Y857" i="38"/>
  <c r="AC857" i="38"/>
  <c r="AB929" i="38"/>
  <c r="AC929" i="38"/>
  <c r="Y929" i="38"/>
  <c r="AB1104" i="38"/>
  <c r="AC1104" i="38"/>
  <c r="Y1104" i="38"/>
  <c r="AB1200" i="38"/>
  <c r="Y1200" i="38"/>
  <c r="AC1200" i="38"/>
  <c r="AB135" i="38"/>
  <c r="AC135" i="38"/>
  <c r="Y135" i="38"/>
  <c r="AB274" i="38"/>
  <c r="Y274" i="38"/>
  <c r="AC274" i="38"/>
  <c r="AB340" i="38"/>
  <c r="AC340" i="38"/>
  <c r="Y340" i="38"/>
  <c r="AB420" i="38"/>
  <c r="Y420" i="38"/>
  <c r="AC420" i="38"/>
  <c r="AB1074" i="38"/>
  <c r="Y1074" i="38"/>
  <c r="AC1074" i="38"/>
  <c r="AB81" i="38"/>
  <c r="AC81" i="38"/>
  <c r="Y81" i="38"/>
  <c r="AB249" i="38"/>
  <c r="Y249" i="38"/>
  <c r="AC249" i="38"/>
  <c r="AB873" i="38"/>
  <c r="AC873" i="38"/>
  <c r="Y873" i="38"/>
  <c r="AB937" i="38"/>
  <c r="AC937" i="38"/>
  <c r="Y937" i="38"/>
  <c r="AB1120" i="38"/>
  <c r="Y1120" i="38"/>
  <c r="AC1120" i="38"/>
  <c r="AB1224" i="38"/>
  <c r="AC1224" i="38"/>
  <c r="Y1224" i="38"/>
  <c r="AB209" i="38"/>
  <c r="AC209" i="38"/>
  <c r="Y209" i="38"/>
  <c r="AB284" i="38"/>
  <c r="AC284" i="38"/>
  <c r="Y284" i="38"/>
  <c r="AB348" i="38"/>
  <c r="AC348" i="38"/>
  <c r="Y348" i="38"/>
  <c r="S35" i="38"/>
  <c r="S83" i="38"/>
  <c r="L170" i="65"/>
  <c r="L158" i="65"/>
  <c r="L159" i="65"/>
  <c r="L34" i="70"/>
  <c r="L108" i="70" s="1"/>
  <c r="L29" i="46"/>
  <c r="F33" i="42"/>
  <c r="F35" i="42" s="1"/>
  <c r="L163" i="65"/>
  <c r="K18" i="46"/>
  <c r="K20" i="46" s="1"/>
  <c r="K29" i="46" s="1"/>
  <c r="G29" i="43"/>
  <c r="I40" i="42"/>
  <c r="G70" i="42"/>
  <c r="S53" i="38"/>
  <c r="AB294" i="38"/>
  <c r="AC294" i="38"/>
  <c r="Y294" i="38"/>
  <c r="AB358" i="38"/>
  <c r="AC358" i="38"/>
  <c r="Y358" i="38"/>
  <c r="AB422" i="38"/>
  <c r="Y422" i="38"/>
  <c r="AC422" i="38"/>
  <c r="AB1458" i="38"/>
  <c r="Y1458" i="38"/>
  <c r="AC1458" i="38"/>
  <c r="AB1715" i="38"/>
  <c r="Y1715" i="38"/>
  <c r="AC1715" i="38"/>
  <c r="AB1835" i="38"/>
  <c r="AC1835" i="38"/>
  <c r="Y1835" i="38"/>
  <c r="AB47" i="38"/>
  <c r="Y47" i="38"/>
  <c r="AC47" i="38"/>
  <c r="AB151" i="38"/>
  <c r="Y151" i="38"/>
  <c r="AC151" i="38"/>
  <c r="AB543" i="38"/>
  <c r="AC543" i="38"/>
  <c r="Y543" i="38"/>
  <c r="AB623" i="38"/>
  <c r="Y623" i="38"/>
  <c r="AC623" i="38"/>
  <c r="AB687" i="38"/>
  <c r="Y687" i="38"/>
  <c r="AC687" i="38"/>
  <c r="AB1271" i="38"/>
  <c r="Y1271" i="38"/>
  <c r="AC1271" i="38"/>
  <c r="AB1575" i="38"/>
  <c r="Y1575" i="38"/>
  <c r="AC1575" i="38"/>
  <c r="AB1647" i="38"/>
  <c r="Y1647" i="38"/>
  <c r="AC1647" i="38"/>
  <c r="AB261" i="38"/>
  <c r="AC261" i="38"/>
  <c r="Y261" i="38"/>
  <c r="AB1815" i="38"/>
  <c r="AC1815" i="38"/>
  <c r="Y1815" i="38"/>
  <c r="AB1576" i="38"/>
  <c r="AB106" i="38"/>
  <c r="Y1539" i="38"/>
  <c r="AB206" i="38"/>
  <c r="Y206" i="38"/>
  <c r="AC206" i="38"/>
  <c r="AB302" i="38"/>
  <c r="Y302" i="38"/>
  <c r="AC302" i="38"/>
  <c r="AB366" i="38"/>
  <c r="AC366" i="38"/>
  <c r="Y366" i="38"/>
  <c r="AB430" i="38"/>
  <c r="AC430" i="38"/>
  <c r="Y430" i="38"/>
  <c r="AB1466" i="38"/>
  <c r="Y1466" i="38"/>
  <c r="AC1466" i="38"/>
  <c r="AB1739" i="38"/>
  <c r="AC1739" i="38"/>
  <c r="Y1739" i="38"/>
  <c r="AB1843" i="38"/>
  <c r="Y1843" i="38"/>
  <c r="AC1843" i="38"/>
  <c r="AB55" i="38"/>
  <c r="Y55" i="38"/>
  <c r="AC55" i="38"/>
  <c r="AB159" i="38"/>
  <c r="AC159" i="38"/>
  <c r="Y159" i="38"/>
  <c r="AB551" i="38"/>
  <c r="AC551" i="38"/>
  <c r="Y551" i="38"/>
  <c r="AB631" i="38"/>
  <c r="AC631" i="38"/>
  <c r="Y631" i="38"/>
  <c r="AB695" i="38"/>
  <c r="Y695" i="38"/>
  <c r="AC695" i="38"/>
  <c r="AB1287" i="38"/>
  <c r="Y1287" i="38"/>
  <c r="AC1287" i="38"/>
  <c r="AB1583" i="38"/>
  <c r="Y1583" i="38"/>
  <c r="AC1583" i="38"/>
  <c r="AB549" i="38"/>
  <c r="Y549" i="38"/>
  <c r="AC549" i="38"/>
  <c r="AB1743" i="38"/>
  <c r="AC1743" i="38"/>
  <c r="Y1743" i="38"/>
  <c r="AB1823" i="38"/>
  <c r="Y1823" i="38"/>
  <c r="AC1823" i="38"/>
  <c r="AB1768" i="38"/>
  <c r="AB214" i="38"/>
  <c r="Y214" i="38"/>
  <c r="AC214" i="38"/>
  <c r="AB310" i="38"/>
  <c r="AC310" i="38"/>
  <c r="Y310" i="38"/>
  <c r="AB374" i="38"/>
  <c r="AC374" i="38"/>
  <c r="Y374" i="38"/>
  <c r="AB438" i="38"/>
  <c r="AC438" i="38"/>
  <c r="Y438" i="38"/>
  <c r="AB1474" i="38"/>
  <c r="Y1474" i="38"/>
  <c r="AC1474" i="38"/>
  <c r="AB1755" i="38"/>
  <c r="Y1755" i="38"/>
  <c r="AC1755" i="38"/>
  <c r="AB1858" i="38"/>
  <c r="Y1858" i="38"/>
  <c r="AC1858" i="38"/>
  <c r="AB63" i="38"/>
  <c r="AC63" i="38"/>
  <c r="Y63" i="38"/>
  <c r="AB167" i="38"/>
  <c r="Y167" i="38"/>
  <c r="AC167" i="38"/>
  <c r="AB559" i="38"/>
  <c r="Y559" i="38"/>
  <c r="AC559" i="38"/>
  <c r="AB639" i="38"/>
  <c r="AC639" i="38"/>
  <c r="Y639" i="38"/>
  <c r="AB703" i="38"/>
  <c r="AC703" i="38"/>
  <c r="Y703" i="38"/>
  <c r="AB1295" i="38"/>
  <c r="Y1295" i="38"/>
  <c r="AC1295" i="38"/>
  <c r="AB1663" i="38"/>
  <c r="Y1663" i="38"/>
  <c r="AC1663" i="38"/>
  <c r="AB565" i="38"/>
  <c r="AC565" i="38"/>
  <c r="Y565" i="38"/>
  <c r="AB1751" i="38"/>
  <c r="AC1751" i="38"/>
  <c r="Y1751" i="38"/>
  <c r="AB1831" i="38"/>
  <c r="Y1831" i="38"/>
  <c r="AC1831" i="38"/>
  <c r="AB222" i="38"/>
  <c r="Y222" i="38"/>
  <c r="AC222" i="38"/>
  <c r="AB318" i="38"/>
  <c r="AC318" i="38"/>
  <c r="Y318" i="38"/>
  <c r="AB382" i="38"/>
  <c r="Y382" i="38"/>
  <c r="AC382" i="38"/>
  <c r="AB446" i="38"/>
  <c r="Y446" i="38"/>
  <c r="AC446" i="38"/>
  <c r="AB1587" i="38"/>
  <c r="Y1587" i="38"/>
  <c r="AC1587" i="38"/>
  <c r="AB1771" i="38"/>
  <c r="AC1771" i="38"/>
  <c r="Y1771" i="38"/>
  <c r="AB175" i="38"/>
  <c r="Y175" i="38"/>
  <c r="AC175" i="38"/>
  <c r="AB567" i="38"/>
  <c r="Y567" i="38"/>
  <c r="AC567" i="38"/>
  <c r="AB647" i="38"/>
  <c r="Y647" i="38"/>
  <c r="AC647" i="38"/>
  <c r="AB711" i="38"/>
  <c r="Y711" i="38"/>
  <c r="AC711" i="38"/>
  <c r="AB1303" i="38"/>
  <c r="AC1303" i="38"/>
  <c r="Y1303" i="38"/>
  <c r="AB1599" i="38"/>
  <c r="AC1599" i="38"/>
  <c r="Y1599" i="38"/>
  <c r="AB1679" i="38"/>
  <c r="AC1679" i="38"/>
  <c r="Y1679" i="38"/>
  <c r="AB1555" i="38"/>
  <c r="AC1555" i="38"/>
  <c r="Y1555" i="38"/>
  <c r="AB1687" i="38"/>
  <c r="AC1687" i="38"/>
  <c r="Y1687" i="38"/>
  <c r="AB1759" i="38"/>
  <c r="Y1759" i="38"/>
  <c r="AC1759" i="38"/>
  <c r="AB1839" i="38"/>
  <c r="Y1839" i="38"/>
  <c r="AC1839" i="38"/>
  <c r="AB326" i="38"/>
  <c r="Y326" i="38"/>
  <c r="AC326" i="38"/>
  <c r="AB390" i="38"/>
  <c r="Y390" i="38"/>
  <c r="AC390" i="38"/>
  <c r="AB454" i="38"/>
  <c r="Y454" i="38"/>
  <c r="AC454" i="38"/>
  <c r="AB1779" i="38"/>
  <c r="Y1779" i="38"/>
  <c r="AC1779" i="38"/>
  <c r="AB87" i="38"/>
  <c r="AC87" i="38"/>
  <c r="Y87" i="38"/>
  <c r="AB199" i="38"/>
  <c r="AC199" i="38"/>
  <c r="Y199" i="38"/>
  <c r="AB655" i="38"/>
  <c r="Y655" i="38"/>
  <c r="AC655" i="38"/>
  <c r="AB719" i="38"/>
  <c r="AC719" i="38"/>
  <c r="Y719" i="38"/>
  <c r="AB1615" i="38"/>
  <c r="AC1615" i="38"/>
  <c r="Y1615" i="38"/>
  <c r="AB1563" i="38"/>
  <c r="AC1563" i="38"/>
  <c r="Y1563" i="38"/>
  <c r="AB1695" i="38"/>
  <c r="Y1695" i="38"/>
  <c r="AC1695" i="38"/>
  <c r="AB1767" i="38"/>
  <c r="Y1767" i="38"/>
  <c r="AC1767" i="38"/>
  <c r="AB270" i="38"/>
  <c r="AC270" i="38"/>
  <c r="Y270" i="38"/>
  <c r="AB334" i="38"/>
  <c r="Y334" i="38"/>
  <c r="AC334" i="38"/>
  <c r="AB398" i="38"/>
  <c r="AC398" i="38"/>
  <c r="Y398" i="38"/>
  <c r="AB462" i="38"/>
  <c r="AC462" i="38"/>
  <c r="Y462" i="38"/>
  <c r="AB1651" i="38"/>
  <c r="AC1651" i="38"/>
  <c r="Y1651" i="38"/>
  <c r="AB1787" i="38"/>
  <c r="Y1787" i="38"/>
  <c r="AC1787" i="38"/>
  <c r="AB119" i="38"/>
  <c r="AC119" i="38"/>
  <c r="Y119" i="38"/>
  <c r="AB239" i="38"/>
  <c r="Y239" i="38"/>
  <c r="AC239" i="38"/>
  <c r="AB599" i="38"/>
  <c r="AC599" i="38"/>
  <c r="Y599" i="38"/>
  <c r="AB663" i="38"/>
  <c r="AC663" i="38"/>
  <c r="Y663" i="38"/>
  <c r="AB727" i="38"/>
  <c r="Y727" i="38"/>
  <c r="AC727" i="38"/>
  <c r="AB1623" i="38"/>
  <c r="AC1623" i="38"/>
  <c r="Y1623" i="38"/>
  <c r="AB1703" i="38"/>
  <c r="Y1703" i="38"/>
  <c r="AC1703" i="38"/>
  <c r="AB1775" i="38"/>
  <c r="Y1775" i="38"/>
  <c r="AC1775" i="38"/>
  <c r="AB278" i="38"/>
  <c r="AC278" i="38"/>
  <c r="Y278" i="38"/>
  <c r="AB342" i="38"/>
  <c r="AC342" i="38"/>
  <c r="Y342" i="38"/>
  <c r="AB406" i="38"/>
  <c r="Y406" i="38"/>
  <c r="AC406" i="38"/>
  <c r="AB1675" i="38"/>
  <c r="AC1675" i="38"/>
  <c r="Y1675" i="38"/>
  <c r="AB1803" i="38"/>
  <c r="Y1803" i="38"/>
  <c r="AC1803" i="38"/>
  <c r="AB23" i="38"/>
  <c r="AC23" i="38"/>
  <c r="Y23" i="38"/>
  <c r="AB127" i="38"/>
  <c r="Y127" i="38"/>
  <c r="AC127" i="38"/>
  <c r="AB607" i="38"/>
  <c r="Y607" i="38"/>
  <c r="AC607" i="38"/>
  <c r="AB671" i="38"/>
  <c r="Y671" i="38"/>
  <c r="AC671" i="38"/>
  <c r="AB1255" i="38"/>
  <c r="Y1255" i="38"/>
  <c r="AC1255" i="38"/>
  <c r="AB1711" i="38"/>
  <c r="AC1711" i="38"/>
  <c r="Y1711" i="38"/>
  <c r="AB1791" i="38"/>
  <c r="AC1791" i="38"/>
  <c r="Y1791" i="38"/>
  <c r="AB286" i="38"/>
  <c r="AC286" i="38"/>
  <c r="Y286" i="38"/>
  <c r="AB350" i="38"/>
  <c r="AC350" i="38"/>
  <c r="Y350" i="38"/>
  <c r="AB414" i="38"/>
  <c r="Y414" i="38"/>
  <c r="AC414" i="38"/>
  <c r="AB990" i="38"/>
  <c r="Y990" i="38"/>
  <c r="AC990" i="38"/>
  <c r="AB1691" i="38"/>
  <c r="AC1691" i="38"/>
  <c r="Y1691" i="38"/>
  <c r="AB1819" i="38"/>
  <c r="AC1819" i="38"/>
  <c r="Y1819" i="38"/>
  <c r="AB39" i="38"/>
  <c r="AC39" i="38"/>
  <c r="Y39" i="38"/>
  <c r="AB143" i="38"/>
  <c r="Y143" i="38"/>
  <c r="AC143" i="38"/>
  <c r="AB535" i="38"/>
  <c r="AC535" i="38"/>
  <c r="Y535" i="38"/>
  <c r="AB615" i="38"/>
  <c r="Y615" i="38"/>
  <c r="AC615" i="38"/>
  <c r="AB679" i="38"/>
  <c r="Y679" i="38"/>
  <c r="AC679" i="38"/>
  <c r="AB1263" i="38"/>
  <c r="AC1263" i="38"/>
  <c r="Y1263" i="38"/>
  <c r="AB1567" i="38"/>
  <c r="AC1567" i="38"/>
  <c r="Y1567" i="38"/>
  <c r="AB1727" i="38"/>
  <c r="Y1727" i="38"/>
  <c r="AC1727" i="38"/>
  <c r="AB1807" i="38"/>
  <c r="Y1807" i="38"/>
  <c r="AC1807" i="38"/>
  <c r="AC1704" i="38"/>
  <c r="AB155" i="38"/>
  <c r="AC155" i="38"/>
  <c r="Y155" i="38"/>
  <c r="AB201" i="38"/>
  <c r="AC201" i="38"/>
  <c r="Y201" i="38"/>
  <c r="AB260" i="38"/>
  <c r="Y260" i="38"/>
  <c r="AC260" i="38"/>
  <c r="AB325" i="38"/>
  <c r="Y325" i="38"/>
  <c r="AC325" i="38"/>
  <c r="AB389" i="38"/>
  <c r="AC389" i="38"/>
  <c r="Y389" i="38"/>
  <c r="AB447" i="38"/>
  <c r="AC447" i="38"/>
  <c r="Y447" i="38"/>
  <c r="AB82" i="38"/>
  <c r="AC82" i="38"/>
  <c r="Y82" i="38"/>
  <c r="AB1661" i="38"/>
  <c r="Y1661" i="38"/>
  <c r="AC1661" i="38"/>
  <c r="AB1741" i="38"/>
  <c r="Y1741" i="38"/>
  <c r="AC1741" i="38"/>
  <c r="AB1821" i="38"/>
  <c r="AC1821" i="38"/>
  <c r="Y1821" i="38"/>
  <c r="AB1832" i="38"/>
  <c r="AC1768" i="38"/>
  <c r="AC1451" i="38"/>
  <c r="AB966" i="38"/>
  <c r="Y774" i="38"/>
  <c r="Y838" i="38"/>
  <c r="Y150" i="38"/>
  <c r="AB163" i="38"/>
  <c r="AC163" i="38"/>
  <c r="Y163" i="38"/>
  <c r="AB974" i="38"/>
  <c r="Y974" i="38"/>
  <c r="AC974" i="38"/>
  <c r="AB211" i="38"/>
  <c r="Y211" i="38"/>
  <c r="AC211" i="38"/>
  <c r="AB271" i="38"/>
  <c r="AC271" i="38"/>
  <c r="Y271" i="38"/>
  <c r="AB333" i="38"/>
  <c r="Y333" i="38"/>
  <c r="AC333" i="38"/>
  <c r="AB397" i="38"/>
  <c r="Y397" i="38"/>
  <c r="AC397" i="38"/>
  <c r="AB455" i="38"/>
  <c r="AC455" i="38"/>
  <c r="Y455" i="38"/>
  <c r="AB90" i="38"/>
  <c r="Y90" i="38"/>
  <c r="AC90" i="38"/>
  <c r="AB1581" i="38"/>
  <c r="Y1581" i="38"/>
  <c r="AC1581" i="38"/>
  <c r="AB1669" i="38"/>
  <c r="AC1669" i="38"/>
  <c r="Y1669" i="38"/>
  <c r="AB1749" i="38"/>
  <c r="AC1749" i="38"/>
  <c r="Y1749" i="38"/>
  <c r="AB1837" i="38"/>
  <c r="AC1837" i="38"/>
  <c r="Y1837" i="38"/>
  <c r="AC652" i="38"/>
  <c r="AC774" i="38"/>
  <c r="AC838" i="38"/>
  <c r="AB219" i="38"/>
  <c r="Y219" i="38"/>
  <c r="AC219" i="38"/>
  <c r="AB275" i="38"/>
  <c r="Y275" i="38"/>
  <c r="AC275" i="38"/>
  <c r="AB341" i="38"/>
  <c r="AC341" i="38"/>
  <c r="Y341" i="38"/>
  <c r="AB405" i="38"/>
  <c r="AC405" i="38"/>
  <c r="Y405" i="38"/>
  <c r="AB460" i="38"/>
  <c r="AC460" i="38"/>
  <c r="Y460" i="38"/>
  <c r="AB95" i="38"/>
  <c r="Y95" i="38"/>
  <c r="AC95" i="38"/>
  <c r="AB1597" i="38"/>
  <c r="Y1597" i="38"/>
  <c r="AC1597" i="38"/>
  <c r="AB1677" i="38"/>
  <c r="Y1677" i="38"/>
  <c r="AC1677" i="38"/>
  <c r="AB1757" i="38"/>
  <c r="AC1757" i="38"/>
  <c r="Y1757" i="38"/>
  <c r="AC716" i="38"/>
  <c r="AB590" i="38"/>
  <c r="AC590" i="38"/>
  <c r="Y590" i="38"/>
  <c r="AB862" i="38"/>
  <c r="AC862" i="38"/>
  <c r="Y862" i="38"/>
  <c r="AB227" i="38"/>
  <c r="AC227" i="38"/>
  <c r="Y227" i="38"/>
  <c r="AB285" i="38"/>
  <c r="Y285" i="38"/>
  <c r="AC285" i="38"/>
  <c r="AB349" i="38"/>
  <c r="Y349" i="38"/>
  <c r="AC349" i="38"/>
  <c r="AB413" i="38"/>
  <c r="AC413" i="38"/>
  <c r="Y413" i="38"/>
  <c r="AB103" i="38"/>
  <c r="AC103" i="38"/>
  <c r="Y103" i="38"/>
  <c r="AB59" i="38"/>
  <c r="Y59" i="38"/>
  <c r="AC59" i="38"/>
  <c r="AB1479" i="38"/>
  <c r="AC1479" i="38"/>
  <c r="Y1479" i="38"/>
  <c r="AB1605" i="38"/>
  <c r="AC1605" i="38"/>
  <c r="Y1605" i="38"/>
  <c r="AB1685" i="38"/>
  <c r="AC1685" i="38"/>
  <c r="Y1685" i="38"/>
  <c r="AB1773" i="38"/>
  <c r="AC1773" i="38"/>
  <c r="Y1773" i="38"/>
  <c r="Y182" i="38"/>
  <c r="Y1451" i="38"/>
  <c r="AC902" i="38"/>
  <c r="AB21" i="38"/>
  <c r="Y21" i="38"/>
  <c r="AB806" i="38"/>
  <c r="Y806" i="38"/>
  <c r="AB235" i="38"/>
  <c r="AC235" i="38"/>
  <c r="Y235" i="38"/>
  <c r="AB293" i="38"/>
  <c r="Y293" i="38"/>
  <c r="AC293" i="38"/>
  <c r="AB357" i="38"/>
  <c r="Y357" i="38"/>
  <c r="AC357" i="38"/>
  <c r="AB421" i="38"/>
  <c r="Y421" i="38"/>
  <c r="AC421" i="38"/>
  <c r="AB186" i="38"/>
  <c r="Y186" i="38"/>
  <c r="AC186" i="38"/>
  <c r="AB1487" i="38"/>
  <c r="Y1487" i="38"/>
  <c r="AC1487" i="38"/>
  <c r="AB1613" i="38"/>
  <c r="AC1613" i="38"/>
  <c r="Y1613" i="38"/>
  <c r="AB1693" i="38"/>
  <c r="AC1693" i="38"/>
  <c r="Y1693" i="38"/>
  <c r="AB1789" i="38"/>
  <c r="AC1789" i="38"/>
  <c r="Y1789" i="38"/>
  <c r="AC67" i="38"/>
  <c r="Y902" i="38"/>
  <c r="Y652" i="38"/>
  <c r="AB942" i="38"/>
  <c r="Y942" i="38"/>
  <c r="AC942" i="38"/>
  <c r="AB243" i="38"/>
  <c r="Y243" i="38"/>
  <c r="AC243" i="38"/>
  <c r="AB301" i="38"/>
  <c r="Y301" i="38"/>
  <c r="AC301" i="38"/>
  <c r="AB365" i="38"/>
  <c r="Y365" i="38"/>
  <c r="AC365" i="38"/>
  <c r="AB429" i="38"/>
  <c r="AC429" i="38"/>
  <c r="Y429" i="38"/>
  <c r="AB124" i="38"/>
  <c r="Y124" i="38"/>
  <c r="AC124" i="38"/>
  <c r="AB1621" i="38"/>
  <c r="AC1621" i="38"/>
  <c r="Y1621" i="38"/>
  <c r="AB1709" i="38"/>
  <c r="AC1709" i="38"/>
  <c r="Y1709" i="38"/>
  <c r="AB1797" i="38"/>
  <c r="Y1797" i="38"/>
  <c r="AC1797" i="38"/>
  <c r="AB26" i="38"/>
  <c r="Y26" i="38"/>
  <c r="AC26" i="38"/>
  <c r="AB129" i="38"/>
  <c r="Y129" i="38"/>
  <c r="AC129" i="38"/>
  <c r="AB251" i="38"/>
  <c r="AC251" i="38"/>
  <c r="Y251" i="38"/>
  <c r="AB309" i="38"/>
  <c r="Y309" i="38"/>
  <c r="AC309" i="38"/>
  <c r="AB373" i="38"/>
  <c r="Y373" i="38"/>
  <c r="AC373" i="38"/>
  <c r="AB431" i="38"/>
  <c r="Y431" i="38"/>
  <c r="AC431" i="38"/>
  <c r="AB1725" i="38"/>
  <c r="AC1725" i="38"/>
  <c r="Y1725" i="38"/>
  <c r="AB1805" i="38"/>
  <c r="Y1805" i="38"/>
  <c r="AC1805" i="38"/>
  <c r="O236" i="37"/>
  <c r="Y591" i="38"/>
  <c r="Y716" i="38"/>
  <c r="AB31" i="38"/>
  <c r="AC31" i="38"/>
  <c r="Y31" i="38"/>
  <c r="AB958" i="38"/>
  <c r="Y958" i="38"/>
  <c r="AC958" i="38"/>
  <c r="AB137" i="38"/>
  <c r="AC137" i="38"/>
  <c r="Y137" i="38"/>
  <c r="AB259" i="38"/>
  <c r="Y259" i="38"/>
  <c r="AC259" i="38"/>
  <c r="AB317" i="38"/>
  <c r="Y317" i="38"/>
  <c r="AC317" i="38"/>
  <c r="AB381" i="38"/>
  <c r="AC381" i="38"/>
  <c r="Y381" i="38"/>
  <c r="AB439" i="38"/>
  <c r="Y439" i="38"/>
  <c r="AC439" i="38"/>
  <c r="AB1733" i="38"/>
  <c r="AC1733" i="38"/>
  <c r="Y1733" i="38"/>
  <c r="AB1813" i="38"/>
  <c r="AC1813" i="38"/>
  <c r="Y1813" i="38"/>
  <c r="Y198" i="38"/>
  <c r="Y1696" i="38"/>
  <c r="AC1824" i="38"/>
  <c r="AB62" i="38"/>
  <c r="AB54" i="38"/>
  <c r="AC54" i="38"/>
  <c r="Y54" i="38"/>
  <c r="AB198" i="38"/>
  <c r="AB1696" i="38"/>
  <c r="Y1760" i="38"/>
  <c r="AB1824" i="38"/>
  <c r="Y1568" i="38"/>
  <c r="Y1688" i="38"/>
  <c r="AC11" i="38"/>
  <c r="M327" i="37"/>
  <c r="L33" i="70"/>
  <c r="L53" i="70" s="1"/>
  <c r="Y582" i="38"/>
  <c r="AC1402" i="38"/>
  <c r="AB1568" i="38"/>
  <c r="AC1688" i="38"/>
  <c r="Y11" i="38"/>
  <c r="AB582" i="38"/>
  <c r="Y1402" i="38"/>
  <c r="AC1752" i="38"/>
  <c r="Y1816" i="38"/>
  <c r="AC1816" i="38"/>
  <c r="Y62" i="38"/>
  <c r="M259" i="37"/>
  <c r="S43" i="38"/>
  <c r="S69" i="38"/>
  <c r="S191" i="38"/>
  <c r="S33" i="38"/>
  <c r="S117" i="38"/>
  <c r="S11" i="38"/>
  <c r="S177" i="38"/>
  <c r="S179" i="38"/>
  <c r="S131" i="38"/>
  <c r="S85" i="38"/>
  <c r="S15" i="38"/>
  <c r="S71" i="38"/>
  <c r="S93" i="38"/>
  <c r="S234" i="38"/>
  <c r="S190" i="38"/>
  <c r="S111" i="38"/>
  <c r="S23" i="38"/>
  <c r="N95" i="72"/>
  <c r="P253" i="37"/>
  <c r="Q258" i="37"/>
  <c r="P257" i="37"/>
  <c r="O256" i="37"/>
  <c r="S107" i="38"/>
  <c r="S194" i="38"/>
  <c r="S259" i="37"/>
  <c r="M255" i="37"/>
  <c r="N259" i="37"/>
  <c r="S258" i="37"/>
  <c r="S201" i="38"/>
  <c r="N435" i="37"/>
  <c r="O272" i="37"/>
  <c r="Q377" i="37"/>
  <c r="P54" i="72"/>
  <c r="R44" i="12"/>
  <c r="O29" i="42" s="1"/>
  <c r="S163" i="38"/>
  <c r="M287" i="37"/>
  <c r="Q33" i="76"/>
  <c r="Q294" i="37"/>
  <c r="S184" i="38"/>
  <c r="M110" i="72"/>
  <c r="O273" i="37"/>
  <c r="M106" i="12"/>
  <c r="J6" i="45" s="1"/>
  <c r="P287" i="37"/>
  <c r="S209" i="38"/>
  <c r="AB79" i="38"/>
  <c r="AC79" i="38"/>
  <c r="Y79" i="38"/>
  <c r="M96" i="70"/>
  <c r="M27" i="70" s="1"/>
  <c r="M20" i="37" s="1"/>
  <c r="L12" i="42"/>
  <c r="P377" i="37"/>
  <c r="O73" i="72"/>
  <c r="R266" i="37"/>
  <c r="O377" i="37"/>
  <c r="M72" i="12"/>
  <c r="N330" i="76"/>
  <c r="Q289" i="37"/>
  <c r="S143" i="38"/>
  <c r="R329" i="76"/>
  <c r="M91" i="12"/>
  <c r="P74" i="72"/>
  <c r="M88" i="72"/>
  <c r="S91" i="12"/>
  <c r="P43" i="76"/>
  <c r="S329" i="76"/>
  <c r="R95" i="72"/>
  <c r="R269" i="37"/>
  <c r="S119" i="38"/>
  <c r="S21" i="38"/>
  <c r="S65" i="38"/>
  <c r="S61" i="38"/>
  <c r="S127" i="38"/>
  <c r="S225" i="38"/>
  <c r="S27" i="38"/>
  <c r="S193" i="38"/>
  <c r="S149" i="38"/>
  <c r="S151" i="38"/>
  <c r="S174" i="38"/>
  <c r="S199" i="38"/>
  <c r="S171" i="38"/>
  <c r="S227" i="38"/>
  <c r="S185" i="38"/>
  <c r="S132" i="38"/>
  <c r="S167" i="38"/>
  <c r="S25" i="38"/>
  <c r="S63" i="38"/>
  <c r="S79" i="38"/>
  <c r="S187" i="38"/>
  <c r="S217" i="38"/>
  <c r="S13" i="38"/>
  <c r="S39" i="38"/>
  <c r="S168" i="38"/>
  <c r="S152" i="38"/>
  <c r="S106" i="38"/>
  <c r="S169" i="38"/>
  <c r="S155" i="38"/>
  <c r="S159" i="38"/>
  <c r="S135" i="38"/>
  <c r="S195" i="38"/>
  <c r="S224" i="38"/>
  <c r="S146" i="38"/>
  <c r="S46" i="38"/>
  <c r="S207" i="38"/>
  <c r="S118" i="38"/>
  <c r="S231" i="38"/>
  <c r="S38" i="38"/>
  <c r="S86" i="38"/>
  <c r="S102" i="38"/>
  <c r="S26" i="38"/>
  <c r="S42" i="38"/>
  <c r="S58" i="38"/>
  <c r="S90" i="38"/>
  <c r="S220" i="38"/>
  <c r="S104" i="38"/>
  <c r="S139" i="38"/>
  <c r="S68" i="38"/>
  <c r="S176" i="38"/>
  <c r="S178" i="38"/>
  <c r="S49" i="38"/>
  <c r="S88" i="38"/>
  <c r="S170" i="38"/>
  <c r="S84" i="38"/>
  <c r="R45" i="38"/>
  <c r="S96" i="38"/>
  <c r="S30" i="38"/>
  <c r="S28" i="38"/>
  <c r="S124" i="38"/>
  <c r="M427" i="37" s="1"/>
  <c r="R173" i="38"/>
  <c r="S226" i="38"/>
  <c r="R133" i="38"/>
  <c r="S50" i="38"/>
  <c r="S44" i="38"/>
  <c r="R175" i="38"/>
  <c r="S210" i="38"/>
  <c r="S20" i="38"/>
  <c r="S116" i="38"/>
  <c r="S82" i="38"/>
  <c r="S16" i="38"/>
  <c r="M376" i="37"/>
  <c r="S203" i="38"/>
  <c r="M34" i="31" s="1"/>
  <c r="S78" i="38"/>
  <c r="S76" i="38"/>
  <c r="R229" i="38"/>
  <c r="S230" i="38"/>
  <c r="S228" i="38"/>
  <c r="R43" i="31"/>
  <c r="AG24" i="46"/>
  <c r="AG26" i="46" s="1"/>
  <c r="O24" i="43"/>
  <c r="S214" i="38"/>
  <c r="S216" i="38"/>
  <c r="S22" i="38"/>
  <c r="S134" i="38"/>
  <c r="S36" i="38"/>
  <c r="S98" i="38"/>
  <c r="S32" i="38"/>
  <c r="S128" i="38"/>
  <c r="S94" i="38"/>
  <c r="S232" i="38"/>
  <c r="M43" i="31"/>
  <c r="J24" i="43"/>
  <c r="S114" i="38"/>
  <c r="S48" i="38"/>
  <c r="S40" i="38"/>
  <c r="S136" i="38"/>
  <c r="R47" i="38"/>
  <c r="R105" i="38"/>
  <c r="R103" i="38"/>
  <c r="R101" i="38"/>
  <c r="S215" i="38"/>
  <c r="S56" i="38"/>
  <c r="S166" i="38"/>
  <c r="S52" i="38"/>
  <c r="S18" i="38"/>
  <c r="S130" i="38"/>
  <c r="S64" i="38"/>
  <c r="S110" i="38"/>
  <c r="S108" i="38"/>
  <c r="S204" i="38"/>
  <c r="M35" i="31" s="1"/>
  <c r="S212" i="38"/>
  <c r="S72" i="38"/>
  <c r="S34" i="38"/>
  <c r="S80" i="38"/>
  <c r="S12" i="38"/>
  <c r="O62" i="65"/>
  <c r="E63" i="42"/>
  <c r="E65" i="42" s="1"/>
  <c r="E71" i="42"/>
  <c r="S43" i="31"/>
  <c r="P24" i="43"/>
  <c r="AH24" i="46"/>
  <c r="AH26" i="46" s="1"/>
  <c r="Q43" i="31"/>
  <c r="N24" i="43"/>
  <c r="AF24" i="46"/>
  <c r="AF26" i="46" s="1"/>
  <c r="O43" i="31"/>
  <c r="AD24" i="46"/>
  <c r="L24" i="43"/>
  <c r="N43" i="31"/>
  <c r="K24" i="43"/>
  <c r="I71" i="42"/>
  <c r="I63" i="42"/>
  <c r="I65" i="42" s="1"/>
  <c r="AA20" i="46"/>
  <c r="N323" i="37"/>
  <c r="M293" i="37"/>
  <c r="N43" i="76"/>
  <c r="O71" i="12"/>
  <c r="S88" i="72"/>
  <c r="P293" i="37"/>
  <c r="O323" i="37"/>
  <c r="N72" i="12"/>
  <c r="O111" i="72"/>
  <c r="Q329" i="76"/>
  <c r="O91" i="12"/>
  <c r="K12" i="42"/>
  <c r="N88" i="72"/>
  <c r="Q330" i="76"/>
  <c r="O287" i="37"/>
  <c r="M288" i="37"/>
  <c r="O54" i="72"/>
  <c r="M45" i="12"/>
  <c r="J30" i="42" s="1"/>
  <c r="N111" i="72"/>
  <c r="R294" i="37"/>
  <c r="S377" i="37"/>
  <c r="S44" i="12"/>
  <c r="P29" i="42" s="1"/>
  <c r="R92" i="12"/>
  <c r="K11" i="42"/>
  <c r="O92" i="12"/>
  <c r="R286" i="37"/>
  <c r="M111" i="72"/>
  <c r="M115" i="70"/>
  <c r="M15" i="70" s="1"/>
  <c r="I11" i="43"/>
  <c r="I13" i="43" s="1"/>
  <c r="Q299" i="37"/>
  <c r="Q45" i="12"/>
  <c r="N30" i="42" s="1"/>
  <c r="P323" i="37"/>
  <c r="O88" i="72"/>
  <c r="N286" i="37"/>
  <c r="S54" i="72"/>
  <c r="R330" i="76"/>
  <c r="O45" i="12"/>
  <c r="L30" i="42" s="1"/>
  <c r="R88" i="72"/>
  <c r="R33" i="76"/>
  <c r="O106" i="12"/>
  <c r="N87" i="72"/>
  <c r="P330" i="76"/>
  <c r="M54" i="72"/>
  <c r="Q292" i="37"/>
  <c r="O293" i="37"/>
  <c r="M377" i="37"/>
  <c r="M87" i="72"/>
  <c r="M33" i="76"/>
  <c r="M279" i="37"/>
  <c r="M104" i="72"/>
  <c r="P294" i="37"/>
  <c r="N289" i="37"/>
  <c r="S272" i="37"/>
  <c r="R293" i="37"/>
  <c r="S45" i="12"/>
  <c r="P30" i="42" s="1"/>
  <c r="N279" i="37"/>
  <c r="S269" i="37"/>
  <c r="O43" i="76"/>
  <c r="S123" i="12"/>
  <c r="S411" i="37"/>
  <c r="O411" i="37"/>
  <c r="R411" i="37"/>
  <c r="M411" i="37"/>
  <c r="Q323" i="37"/>
  <c r="R123" i="12"/>
  <c r="R323" i="37"/>
  <c r="S323" i="37"/>
  <c r="R106" i="12"/>
  <c r="P279" i="37"/>
  <c r="S299" i="37"/>
  <c r="P329" i="76"/>
  <c r="S106" i="12"/>
  <c r="S267" i="37"/>
  <c r="N73" i="72"/>
  <c r="S287" i="37"/>
  <c r="S289" i="37"/>
  <c r="M289" i="37"/>
  <c r="Q279" i="37"/>
  <c r="H29" i="43"/>
  <c r="M330" i="76"/>
  <c r="O95" i="72"/>
  <c r="O289" i="37"/>
  <c r="P53" i="72"/>
  <c r="P71" i="12"/>
  <c r="O292" i="37"/>
  <c r="N411" i="37"/>
  <c r="R87" i="72"/>
  <c r="N329" i="76"/>
  <c r="P292" i="37"/>
  <c r="R54" i="72"/>
  <c r="M95" i="72"/>
  <c r="R299" i="37"/>
  <c r="P267" i="37"/>
  <c r="N45" i="12"/>
  <c r="K30" i="42" s="1"/>
  <c r="M378" i="37"/>
  <c r="O266" i="37"/>
  <c r="M266" i="37"/>
  <c r="N53" i="72"/>
  <c r="M329" i="76"/>
  <c r="M272" i="37"/>
  <c r="P33" i="76"/>
  <c r="R72" i="12"/>
  <c r="P91" i="12"/>
  <c r="M92" i="12"/>
  <c r="S274" i="37"/>
  <c r="R289" i="37"/>
  <c r="P12" i="42"/>
  <c r="R45" i="12"/>
  <c r="O30" i="42" s="1"/>
  <c r="S72" i="12"/>
  <c r="Q44" i="12"/>
  <c r="N29" i="42" s="1"/>
  <c r="M292" i="37"/>
  <c r="S294" i="37"/>
  <c r="O11" i="42"/>
  <c r="Q71" i="12"/>
  <c r="M245" i="37"/>
  <c r="M247" i="37" s="1"/>
  <c r="S315" i="37"/>
  <c r="M419" i="37"/>
  <c r="M167" i="12"/>
  <c r="N167" i="12"/>
  <c r="P114" i="12"/>
  <c r="P150" i="12"/>
  <c r="P331" i="37"/>
  <c r="Q331" i="37"/>
  <c r="O167" i="12"/>
  <c r="O435" i="37"/>
  <c r="P131" i="12"/>
  <c r="R114" i="12"/>
  <c r="N419" i="37"/>
  <c r="N150" i="12"/>
  <c r="N114" i="12"/>
  <c r="O150" i="12"/>
  <c r="P315" i="37"/>
  <c r="M131" i="12"/>
  <c r="M150" i="12"/>
  <c r="O131" i="12"/>
  <c r="P435" i="37"/>
  <c r="R315" i="37"/>
  <c r="O331" i="37"/>
  <c r="Q419" i="37"/>
  <c r="Q435" i="37"/>
  <c r="O419" i="37"/>
  <c r="S150" i="12"/>
  <c r="N131" i="12"/>
  <c r="O114" i="12"/>
  <c r="P167" i="12"/>
  <c r="Q167" i="12"/>
  <c r="R419" i="37"/>
  <c r="S331" i="37"/>
  <c r="M331" i="37"/>
  <c r="Q150" i="12"/>
  <c r="N331" i="37"/>
  <c r="P419" i="37"/>
  <c r="R150" i="12"/>
  <c r="R435" i="37"/>
  <c r="Q315" i="37"/>
  <c r="Q131" i="12"/>
  <c r="Q114" i="12"/>
  <c r="R131" i="12"/>
  <c r="R167" i="12"/>
  <c r="S114" i="12"/>
  <c r="S435" i="37"/>
  <c r="R331" i="37"/>
  <c r="S167" i="12"/>
  <c r="S131" i="12"/>
  <c r="S419" i="37"/>
  <c r="M114" i="12"/>
  <c r="O315" i="37"/>
  <c r="S43" i="76"/>
  <c r="AA6" i="46"/>
  <c r="AA8" i="46" s="1"/>
  <c r="J11" i="42"/>
  <c r="M43" i="76"/>
  <c r="S87" i="72"/>
  <c r="O269" i="37"/>
  <c r="O72" i="12"/>
  <c r="N273" i="37"/>
  <c r="Q111" i="72"/>
  <c r="P266" i="37"/>
  <c r="N377" i="37"/>
  <c r="Q73" i="72"/>
  <c r="M12" i="42"/>
  <c r="M44" i="12"/>
  <c r="J29" i="42" s="1"/>
  <c r="R377" i="37"/>
  <c r="Q92" i="12"/>
  <c r="P289" i="37"/>
  <c r="N378" i="37"/>
  <c r="M323" i="37"/>
  <c r="O123" i="12"/>
  <c r="N44" i="12"/>
  <c r="K29" i="42" s="1"/>
  <c r="M286" i="37"/>
  <c r="M73" i="72"/>
  <c r="S95" i="72"/>
  <c r="M315" i="37"/>
  <c r="H63" i="42"/>
  <c r="H65" i="42" s="1"/>
  <c r="H71" i="42"/>
  <c r="M269" i="37"/>
  <c r="M299" i="37"/>
  <c r="N91" i="12"/>
  <c r="R279" i="37"/>
  <c r="O267" i="37"/>
  <c r="R273" i="37"/>
  <c r="M274" i="37"/>
  <c r="Q274" i="37"/>
  <c r="O294" i="37"/>
  <c r="N315" i="37"/>
  <c r="I7" i="43"/>
  <c r="I10" i="43" s="1"/>
  <c r="N292" i="37"/>
  <c r="P92" i="12"/>
  <c r="P111" i="72"/>
  <c r="N293" i="37"/>
  <c r="O53" i="72"/>
  <c r="S330" i="76"/>
  <c r="M273" i="37"/>
  <c r="Q72" i="12"/>
  <c r="N266" i="37"/>
  <c r="S111" i="72"/>
  <c r="Q43" i="76"/>
  <c r="P378" i="37"/>
  <c r="M294" i="37"/>
  <c r="N274" i="37"/>
  <c r="R53" i="72"/>
  <c r="Q95" i="72"/>
  <c r="S273" i="37"/>
  <c r="Q272" i="37"/>
  <c r="M53" i="72"/>
  <c r="S92" i="12"/>
  <c r="Q53" i="72"/>
  <c r="S279" i="37"/>
  <c r="N294" i="37"/>
  <c r="R292" i="37"/>
  <c r="Q91" i="12"/>
  <c r="P274" i="37"/>
  <c r="P286" i="37"/>
  <c r="R111" i="72"/>
  <c r="L247" i="65"/>
  <c r="I26" i="45" s="1"/>
  <c r="L207" i="65"/>
  <c r="I8" i="45" s="1"/>
  <c r="L206" i="65"/>
  <c r="I7" i="45" s="1"/>
  <c r="L243" i="65"/>
  <c r="I22" i="45" s="1"/>
  <c r="L205" i="65"/>
  <c r="L209" i="65"/>
  <c r="I10" i="45" s="1"/>
  <c r="L252" i="65"/>
  <c r="I29" i="45" s="1"/>
  <c r="L211" i="65"/>
  <c r="I12" i="45" s="1"/>
  <c r="L242" i="65"/>
  <c r="I21" i="45" s="1"/>
  <c r="L216" i="65"/>
  <c r="I15" i="45" s="1"/>
  <c r="L245" i="65"/>
  <c r="I24" i="45" s="1"/>
  <c r="L248" i="65"/>
  <c r="I27" i="45" s="1"/>
  <c r="L244" i="65"/>
  <c r="I23" i="45" s="1"/>
  <c r="L210" i="65"/>
  <c r="I11" i="45" s="1"/>
  <c r="L241" i="65"/>
  <c r="L246" i="65"/>
  <c r="I25" i="45" s="1"/>
  <c r="L213" i="65"/>
  <c r="L249" i="65"/>
  <c r="L208" i="65"/>
  <c r="I9" i="45" s="1"/>
  <c r="L212" i="65"/>
  <c r="I13" i="45" s="1"/>
  <c r="O330" i="76"/>
  <c r="O44" i="12"/>
  <c r="L29" i="42" s="1"/>
  <c r="N92" i="12"/>
  <c r="O74" i="72"/>
  <c r="N54" i="72"/>
  <c r="O329" i="76"/>
  <c r="P45" i="12"/>
  <c r="M30" i="42" s="1"/>
  <c r="S73" i="72"/>
  <c r="R71" i="12"/>
  <c r="N12" i="42"/>
  <c r="P44" i="12"/>
  <c r="M29" i="42" s="1"/>
  <c r="Q54" i="72"/>
  <c r="N299" i="37"/>
  <c r="S53" i="72"/>
  <c r="N272" i="37"/>
  <c r="Q74" i="72"/>
  <c r="O274" i="37"/>
  <c r="P73" i="72"/>
  <c r="S293" i="37"/>
  <c r="P87" i="72"/>
  <c r="P299" i="37"/>
  <c r="S74" i="72"/>
  <c r="S292" i="37"/>
  <c r="R272" i="37"/>
  <c r="Q273" i="37"/>
  <c r="S378" i="37"/>
  <c r="Q293" i="37"/>
  <c r="N71" i="12"/>
  <c r="N269" i="37"/>
  <c r="P43" i="31"/>
  <c r="AE24" i="46"/>
  <c r="AE26" i="46" s="1"/>
  <c r="M24" i="43"/>
  <c r="M267" i="37"/>
  <c r="R43" i="76"/>
  <c r="O378" i="37"/>
  <c r="M268" i="37"/>
  <c r="N74" i="72"/>
  <c r="P411" i="37"/>
  <c r="O286" i="37"/>
  <c r="R73" i="72"/>
  <c r="Q378" i="37"/>
  <c r="M123" i="12"/>
  <c r="M71" i="12"/>
  <c r="O87" i="72"/>
  <c r="O33" i="76"/>
  <c r="R74" i="72"/>
  <c r="S33" i="76"/>
  <c r="P95" i="72"/>
  <c r="N33" i="76"/>
  <c r="S71" i="12"/>
  <c r="P88" i="72"/>
  <c r="P273" i="37"/>
  <c r="M74" i="72"/>
  <c r="R378" i="37"/>
  <c r="P269" i="37"/>
  <c r="S286" i="37"/>
  <c r="Q266" i="37"/>
  <c r="Q286" i="37"/>
  <c r="P72" i="12"/>
  <c r="S266" i="37"/>
  <c r="R91" i="12"/>
  <c r="Q269" i="37"/>
  <c r="R274" i="37"/>
  <c r="P272" i="37"/>
  <c r="T32" i="20" l="1"/>
  <c r="T34" i="20" s="1"/>
  <c r="S130" i="20"/>
  <c r="S80" i="20"/>
  <c r="R34" i="20"/>
  <c r="R118" i="20" s="1"/>
  <c r="R127" i="20"/>
  <c r="Q118" i="20"/>
  <c r="S67" i="20"/>
  <c r="T65" i="20"/>
  <c r="T67" i="20" s="1"/>
  <c r="T69" i="20" s="1"/>
  <c r="R61" i="20"/>
  <c r="R128" i="20"/>
  <c r="T78" i="20"/>
  <c r="T80" i="20" s="1"/>
  <c r="R80" i="20"/>
  <c r="R130" i="20"/>
  <c r="S32" i="20"/>
  <c r="S59" i="20"/>
  <c r="T38" i="20"/>
  <c r="T59" i="20" s="1"/>
  <c r="T61" i="20" s="1"/>
  <c r="T103" i="20"/>
  <c r="T114" i="20" s="1"/>
  <c r="S15" i="20"/>
  <c r="T13" i="20"/>
  <c r="T15" i="20" s="1"/>
  <c r="T75" i="20"/>
  <c r="F39" i="43"/>
  <c r="E39" i="43"/>
  <c r="K160" i="65"/>
  <c r="E70" i="42"/>
  <c r="J14" i="10"/>
  <c r="F34" i="43"/>
  <c r="F71" i="42"/>
  <c r="M32" i="46"/>
  <c r="K214" i="65"/>
  <c r="K217" i="65" s="1"/>
  <c r="K165" i="65"/>
  <c r="H12" i="42" s="1"/>
  <c r="H14" i="45"/>
  <c r="H16" i="45" s="1"/>
  <c r="K159" i="65"/>
  <c r="H7" i="42" s="1"/>
  <c r="K157" i="65"/>
  <c r="H5" i="42" s="1"/>
  <c r="K164" i="65"/>
  <c r="H11" i="42" s="1"/>
  <c r="K158" i="65"/>
  <c r="K170" i="65"/>
  <c r="K163" i="65"/>
  <c r="J155" i="65"/>
  <c r="I39" i="43"/>
  <c r="J203" i="65"/>
  <c r="J216" i="65" s="1"/>
  <c r="G15" i="45" s="1"/>
  <c r="J239" i="65"/>
  <c r="H9" i="43"/>
  <c r="Z17" i="46"/>
  <c r="H11" i="43"/>
  <c r="Z24" i="46"/>
  <c r="Z26" i="46" s="1"/>
  <c r="H12" i="43"/>
  <c r="Z11" i="46"/>
  <c r="Z13" i="46" s="1"/>
  <c r="H28" i="45"/>
  <c r="H30" i="45" s="1"/>
  <c r="H8" i="43"/>
  <c r="Z6" i="46"/>
  <c r="Z8" i="46" s="1"/>
  <c r="K250" i="65"/>
  <c r="K253" i="65" s="1"/>
  <c r="Z18" i="46"/>
  <c r="I8" i="42"/>
  <c r="I14" i="43"/>
  <c r="I38" i="43" s="1"/>
  <c r="M260" i="37"/>
  <c r="M262" i="37" s="1"/>
  <c r="I5" i="42"/>
  <c r="H40" i="42"/>
  <c r="H70" i="42"/>
  <c r="R295" i="37"/>
  <c r="I10" i="42"/>
  <c r="I13" i="42" s="1"/>
  <c r="L166" i="65"/>
  <c r="F40" i="42"/>
  <c r="F70" i="42"/>
  <c r="I7" i="42"/>
  <c r="I6" i="42"/>
  <c r="G34" i="43"/>
  <c r="G39" i="43"/>
  <c r="I16" i="42"/>
  <c r="AA29" i="46"/>
  <c r="AA32" i="46" s="1"/>
  <c r="L54" i="70"/>
  <c r="H16" i="42"/>
  <c r="H8" i="42"/>
  <c r="H7" i="43"/>
  <c r="L35" i="70"/>
  <c r="L72" i="70" s="1"/>
  <c r="M69" i="70" s="1"/>
  <c r="L107" i="70"/>
  <c r="M95" i="70"/>
  <c r="M25" i="70" s="1"/>
  <c r="M17" i="37" s="1"/>
  <c r="O275" i="37"/>
  <c r="M417" i="37"/>
  <c r="P295" i="37"/>
  <c r="M347" i="37"/>
  <c r="Q12" i="42"/>
  <c r="M433" i="37"/>
  <c r="M430" i="37"/>
  <c r="M332" i="37"/>
  <c r="M334" i="37" s="1"/>
  <c r="M414" i="37"/>
  <c r="M429" i="37"/>
  <c r="M418" i="37"/>
  <c r="S295" i="37"/>
  <c r="M346" i="37"/>
  <c r="M342" i="37"/>
  <c r="R275" i="37"/>
  <c r="N275" i="37"/>
  <c r="Q275" i="37"/>
  <c r="M340" i="37"/>
  <c r="M343" i="37"/>
  <c r="M432" i="37"/>
  <c r="P275" i="37"/>
  <c r="M345" i="37"/>
  <c r="M379" i="37"/>
  <c r="S112" i="65"/>
  <c r="S307" i="37"/>
  <c r="S316" i="37" s="1"/>
  <c r="L214" i="65"/>
  <c r="L217" i="65" s="1"/>
  <c r="I6" i="45"/>
  <c r="I14" i="45" s="1"/>
  <c r="I16" i="45" s="1"/>
  <c r="O112" i="65"/>
  <c r="O307" i="37"/>
  <c r="O316" i="37" s="1"/>
  <c r="J244" i="65"/>
  <c r="G23" i="45" s="1"/>
  <c r="S103" i="38"/>
  <c r="N307" i="37"/>
  <c r="N112" i="65"/>
  <c r="P307" i="37"/>
  <c r="P316" i="37" s="1"/>
  <c r="P112" i="65"/>
  <c r="Q112" i="65"/>
  <c r="Q30" i="42"/>
  <c r="Y18" i="46"/>
  <c r="G9" i="43"/>
  <c r="Y17" i="46"/>
  <c r="Y11" i="46"/>
  <c r="Y13" i="46" s="1"/>
  <c r="G12" i="43"/>
  <c r="Y24" i="46"/>
  <c r="Y26" i="46" s="1"/>
  <c r="S105" i="38"/>
  <c r="M416" i="37"/>
  <c r="O6" i="45"/>
  <c r="X6" i="45"/>
  <c r="N295" i="37"/>
  <c r="M295" i="37"/>
  <c r="M297" i="37" s="1"/>
  <c r="M300" i="37" s="1"/>
  <c r="M302" i="37" s="1"/>
  <c r="M307" i="37"/>
  <c r="M316" i="37" s="1"/>
  <c r="M112" i="65"/>
  <c r="P6" i="45"/>
  <c r="J165" i="65"/>
  <c r="G12" i="42" s="1"/>
  <c r="J163" i="65"/>
  <c r="R112" i="65"/>
  <c r="R307" i="37"/>
  <c r="S45" i="38"/>
  <c r="M275" i="37"/>
  <c r="M277" i="37" s="1"/>
  <c r="M280" i="37" s="1"/>
  <c r="M282" i="37" s="1"/>
  <c r="O295" i="37"/>
  <c r="H34" i="43"/>
  <c r="H39" i="43"/>
  <c r="S275" i="37"/>
  <c r="I203" i="65"/>
  <c r="Q24" i="43"/>
  <c r="S229" i="38"/>
  <c r="M383" i="37"/>
  <c r="M348" i="37"/>
  <c r="S133" i="38"/>
  <c r="M431" i="37" s="1"/>
  <c r="Z6" i="45"/>
  <c r="S101" i="38"/>
  <c r="AC6" i="45"/>
  <c r="Q295" i="37"/>
  <c r="AD26" i="46"/>
  <c r="AI24" i="46"/>
  <c r="AI26" i="46" s="1"/>
  <c r="AD6" i="45"/>
  <c r="L6" i="45"/>
  <c r="S47" i="38"/>
  <c r="M36" i="31"/>
  <c r="S175" i="38"/>
  <c r="S173" i="38"/>
  <c r="Q29" i="42"/>
  <c r="I20" i="45"/>
  <c r="I28" i="45" s="1"/>
  <c r="I30" i="45" s="1"/>
  <c r="L250" i="65"/>
  <c r="L253" i="65" s="1"/>
  <c r="Q11" i="42"/>
  <c r="M413" i="37"/>
  <c r="T17" i="20" l="1"/>
  <c r="T118" i="20" s="1"/>
  <c r="T117" i="20"/>
  <c r="S69" i="20"/>
  <c r="S129" i="20"/>
  <c r="S17" i="20"/>
  <c r="S117" i="20"/>
  <c r="S126" i="20"/>
  <c r="S34" i="20"/>
  <c r="S127" i="20"/>
  <c r="S61" i="20"/>
  <c r="S128" i="20"/>
  <c r="I155" i="65"/>
  <c r="I14" i="10"/>
  <c r="J212" i="65"/>
  <c r="G13" i="45" s="1"/>
  <c r="I239" i="65"/>
  <c r="H6" i="42"/>
  <c r="H33" i="45"/>
  <c r="J160" i="65"/>
  <c r="J157" i="65"/>
  <c r="J158" i="65"/>
  <c r="J164" i="65"/>
  <c r="G11" i="42" s="1"/>
  <c r="J159" i="65"/>
  <c r="J170" i="65"/>
  <c r="J248" i="65"/>
  <c r="G27" i="45" s="1"/>
  <c r="J242" i="65"/>
  <c r="G21" i="45" s="1"/>
  <c r="J208" i="65"/>
  <c r="G9" i="45" s="1"/>
  <c r="J247" i="65"/>
  <c r="G26" i="45" s="1"/>
  <c r="J245" i="65"/>
  <c r="G24" i="45" s="1"/>
  <c r="J211" i="65"/>
  <c r="G12" i="45" s="1"/>
  <c r="J252" i="65"/>
  <c r="G29" i="45" s="1"/>
  <c r="J209" i="65"/>
  <c r="G10" i="45" s="1"/>
  <c r="J241" i="65"/>
  <c r="J213" i="65"/>
  <c r="J243" i="65"/>
  <c r="G22" i="45" s="1"/>
  <c r="J206" i="65"/>
  <c r="G7" i="45" s="1"/>
  <c r="J210" i="65"/>
  <c r="G11" i="45" s="1"/>
  <c r="J205" i="65"/>
  <c r="G6" i="45" s="1"/>
  <c r="J207" i="65"/>
  <c r="G8" i="45" s="1"/>
  <c r="J246" i="65"/>
  <c r="G25" i="45" s="1"/>
  <c r="J249" i="65"/>
  <c r="H13" i="43"/>
  <c r="K166" i="65"/>
  <c r="H34" i="45"/>
  <c r="H10" i="42"/>
  <c r="H13" i="42" s="1"/>
  <c r="H15" i="42" s="1"/>
  <c r="H17" i="42" s="1"/>
  <c r="H6" i="43"/>
  <c r="H10" i="43" s="1"/>
  <c r="L32" i="46"/>
  <c r="Z20" i="46"/>
  <c r="Z29" i="46" s="1"/>
  <c r="Z32" i="46" s="1"/>
  <c r="I15" i="42"/>
  <c r="I17" i="42" s="1"/>
  <c r="M318" i="37"/>
  <c r="L109" i="70"/>
  <c r="L122" i="70" s="1"/>
  <c r="L168" i="65"/>
  <c r="L171" i="65" s="1"/>
  <c r="I33" i="45"/>
  <c r="S318" i="37"/>
  <c r="K168" i="65"/>
  <c r="K171" i="65" s="1"/>
  <c r="I34" i="45"/>
  <c r="M102" i="70"/>
  <c r="M436" i="37"/>
  <c r="M438" i="37" s="1"/>
  <c r="M370" i="37"/>
  <c r="M415" i="37"/>
  <c r="M420" i="37" s="1"/>
  <c r="M422" i="37" s="1"/>
  <c r="M18" i="37"/>
  <c r="M341" i="37"/>
  <c r="P318" i="37"/>
  <c r="F12" i="43"/>
  <c r="X11" i="46"/>
  <c r="X13" i="46" s="1"/>
  <c r="X24" i="46"/>
  <c r="X26" i="46" s="1"/>
  <c r="X17" i="46"/>
  <c r="F9" i="43"/>
  <c r="X18" i="46"/>
  <c r="M373" i="37"/>
  <c r="H155" i="65"/>
  <c r="H239" i="65"/>
  <c r="H203" i="65"/>
  <c r="G11" i="43"/>
  <c r="G13" i="43" s="1"/>
  <c r="M372" i="37"/>
  <c r="G10" i="42"/>
  <c r="G6" i="43"/>
  <c r="M344" i="37"/>
  <c r="I170" i="65"/>
  <c r="I164" i="65"/>
  <c r="F11" i="42" s="1"/>
  <c r="I160" i="65"/>
  <c r="I157" i="65"/>
  <c r="I158" i="65"/>
  <c r="I163" i="65"/>
  <c r="I165" i="65"/>
  <c r="F12" i="42" s="1"/>
  <c r="I159" i="65"/>
  <c r="G16" i="42"/>
  <c r="G8" i="43"/>
  <c r="M371" i="37"/>
  <c r="G7" i="43"/>
  <c r="Y20" i="46"/>
  <c r="O318" i="37"/>
  <c r="G8" i="42"/>
  <c r="G5" i="42"/>
  <c r="Y6" i="46"/>
  <c r="Y8" i="46" s="1"/>
  <c r="G20" i="45"/>
  <c r="I210" i="65"/>
  <c r="F11" i="45" s="1"/>
  <c r="I216" i="65"/>
  <c r="F15" i="45" s="1"/>
  <c r="I209" i="65"/>
  <c r="F10" i="45" s="1"/>
  <c r="I243" i="65"/>
  <c r="F22" i="45" s="1"/>
  <c r="I245" i="65"/>
  <c r="F24" i="45" s="1"/>
  <c r="I241" i="65"/>
  <c r="I244" i="65"/>
  <c r="F23" i="45" s="1"/>
  <c r="I206" i="65"/>
  <c r="F7" i="45" s="1"/>
  <c r="I212" i="65"/>
  <c r="F13" i="45" s="1"/>
  <c r="I205" i="65"/>
  <c r="I246" i="65"/>
  <c r="F25" i="45" s="1"/>
  <c r="I213" i="65"/>
  <c r="I242" i="65"/>
  <c r="F21" i="45" s="1"/>
  <c r="I248" i="65"/>
  <c r="F27" i="45" s="1"/>
  <c r="I207" i="65"/>
  <c r="F8" i="45" s="1"/>
  <c r="I247" i="65"/>
  <c r="F26" i="45" s="1"/>
  <c r="I211" i="65"/>
  <c r="F12" i="45" s="1"/>
  <c r="I208" i="65"/>
  <c r="F9" i="45" s="1"/>
  <c r="I252" i="65"/>
  <c r="F29" i="45" s="1"/>
  <c r="I249" i="65"/>
  <c r="G6" i="42"/>
  <c r="S118" i="20" l="1"/>
  <c r="G7" i="42"/>
  <c r="H14" i="43"/>
  <c r="G13" i="42"/>
  <c r="G15" i="42" s="1"/>
  <c r="G17" i="42" s="1"/>
  <c r="J166" i="65"/>
  <c r="G14" i="45"/>
  <c r="G16" i="45" s="1"/>
  <c r="J214" i="65"/>
  <c r="J217" i="65" s="1"/>
  <c r="J250" i="65"/>
  <c r="J253" i="65" s="1"/>
  <c r="G34" i="45" s="1"/>
  <c r="G28" i="45"/>
  <c r="G30" i="45" s="1"/>
  <c r="I69" i="42"/>
  <c r="Y29" i="46"/>
  <c r="Y32" i="46" s="1"/>
  <c r="H69" i="42"/>
  <c r="X20" i="46"/>
  <c r="M381" i="37"/>
  <c r="M384" i="37" s="1"/>
  <c r="M386" i="37" s="1"/>
  <c r="M349" i="37"/>
  <c r="M351" i="37" s="1"/>
  <c r="F5" i="42"/>
  <c r="H208" i="65"/>
  <c r="E9" i="45" s="1"/>
  <c r="H248" i="65"/>
  <c r="E27" i="45" s="1"/>
  <c r="H245" i="65"/>
  <c r="E24" i="45" s="1"/>
  <c r="H246" i="65"/>
  <c r="E25" i="45" s="1"/>
  <c r="H249" i="65"/>
  <c r="H211" i="65"/>
  <c r="E12" i="45" s="1"/>
  <c r="H243" i="65"/>
  <c r="E22" i="45" s="1"/>
  <c r="H242" i="65"/>
  <c r="E21" i="45" s="1"/>
  <c r="H207" i="65"/>
  <c r="E8" i="45" s="1"/>
  <c r="H212" i="65"/>
  <c r="E13" i="45" s="1"/>
  <c r="H252" i="65"/>
  <c r="E29" i="45" s="1"/>
  <c r="H206" i="65"/>
  <c r="E7" i="45" s="1"/>
  <c r="H216" i="65"/>
  <c r="E15" i="45" s="1"/>
  <c r="H209" i="65"/>
  <c r="E10" i="45" s="1"/>
  <c r="H205" i="65"/>
  <c r="H210" i="65"/>
  <c r="E11" i="45" s="1"/>
  <c r="H247" i="65"/>
  <c r="E26" i="45" s="1"/>
  <c r="H244" i="65"/>
  <c r="E23" i="45" s="1"/>
  <c r="H241" i="65"/>
  <c r="H213" i="65"/>
  <c r="F20" i="45"/>
  <c r="F28" i="45" s="1"/>
  <c r="F30" i="45" s="1"/>
  <c r="I250" i="65"/>
  <c r="I253" i="65" s="1"/>
  <c r="F10" i="42"/>
  <c r="F13" i="42" s="1"/>
  <c r="I166" i="65"/>
  <c r="F16" i="42"/>
  <c r="W24" i="46"/>
  <c r="W26" i="46" s="1"/>
  <c r="E9" i="43"/>
  <c r="W17" i="46"/>
  <c r="W18" i="46"/>
  <c r="E12" i="43"/>
  <c r="W11" i="46"/>
  <c r="W13" i="46" s="1"/>
  <c r="H165" i="65"/>
  <c r="E12" i="42" s="1"/>
  <c r="H157" i="65"/>
  <c r="H170" i="65"/>
  <c r="H158" i="65"/>
  <c r="H163" i="65"/>
  <c r="H164" i="65"/>
  <c r="E11" i="42" s="1"/>
  <c r="H160" i="65"/>
  <c r="H159" i="65"/>
  <c r="F6" i="43"/>
  <c r="I214" i="65"/>
  <c r="I217" i="65" s="1"/>
  <c r="F6" i="45"/>
  <c r="F14" i="45" s="1"/>
  <c r="F16" i="45" s="1"/>
  <c r="F8" i="43"/>
  <c r="F8" i="42"/>
  <c r="G10" i="43"/>
  <c r="G14" i="43" s="1"/>
  <c r="X6" i="46"/>
  <c r="X8" i="46" s="1"/>
  <c r="F11" i="43"/>
  <c r="F13" i="43" s="1"/>
  <c r="F6" i="42"/>
  <c r="K32" i="46"/>
  <c r="F7" i="42"/>
  <c r="F7" i="43"/>
  <c r="G33" i="45" l="1"/>
  <c r="H38" i="43"/>
  <c r="J168" i="65"/>
  <c r="J171" i="65" s="1"/>
  <c r="G69" i="42" s="1"/>
  <c r="X29" i="46"/>
  <c r="X32" i="46" s="1"/>
  <c r="F33" i="45"/>
  <c r="F34" i="45"/>
  <c r="G38" i="43"/>
  <c r="E16" i="42"/>
  <c r="J32" i="46"/>
  <c r="W6" i="46"/>
  <c r="W8" i="46" s="1"/>
  <c r="E6" i="42"/>
  <c r="F10" i="43"/>
  <c r="F14" i="43" s="1"/>
  <c r="E8" i="42"/>
  <c r="E7" i="43"/>
  <c r="W20" i="46"/>
  <c r="H250" i="65"/>
  <c r="H253" i="65" s="1"/>
  <c r="E20" i="45"/>
  <c r="E28" i="45" s="1"/>
  <c r="E30" i="45" s="1"/>
  <c r="I168" i="65"/>
  <c r="I171" i="65" s="1"/>
  <c r="E10" i="42"/>
  <c r="E13" i="42" s="1"/>
  <c r="H166" i="65"/>
  <c r="E6" i="43"/>
  <c r="E11" i="43"/>
  <c r="E13" i="43" s="1"/>
  <c r="E5" i="42"/>
  <c r="E7" i="42"/>
  <c r="E8" i="43"/>
  <c r="F15" i="42"/>
  <c r="F17" i="42" s="1"/>
  <c r="H214" i="65"/>
  <c r="H217" i="65" s="1"/>
  <c r="E6" i="45"/>
  <c r="E14" i="45" s="1"/>
  <c r="E16" i="45" s="1"/>
  <c r="E33" i="45" l="1"/>
  <c r="H168" i="65"/>
  <c r="H171" i="65" s="1"/>
  <c r="F69" i="42"/>
  <c r="F38" i="43"/>
  <c r="E10" i="43"/>
  <c r="E14" i="43" s="1"/>
  <c r="I32" i="46"/>
  <c r="E15" i="42"/>
  <c r="E17" i="42" s="1"/>
  <c r="E34" i="45"/>
  <c r="W29" i="46"/>
  <c r="W32" i="46" s="1"/>
  <c r="E69" i="42" l="1"/>
  <c r="E38" i="43"/>
  <c r="P21" i="38" l="1"/>
  <c r="Z21" i="38" s="1"/>
  <c r="P316" i="38"/>
  <c r="Z316" i="38" s="1"/>
  <c r="P420" i="38"/>
  <c r="Z420" i="38" s="1"/>
  <c r="P391" i="38"/>
  <c r="Z391" i="38" s="1"/>
  <c r="P334" i="38"/>
  <c r="Z334" i="38" s="1"/>
  <c r="P295" i="38"/>
  <c r="Z295" i="38" s="1"/>
  <c r="P319" i="38"/>
  <c r="Z319" i="38" s="1"/>
  <c r="P405" i="38"/>
  <c r="Z405" i="38" s="1"/>
  <c r="P447" i="38"/>
  <c r="Z447" i="38" s="1"/>
  <c r="P442" i="38"/>
  <c r="Z442" i="38" s="1"/>
  <c r="P530" i="38"/>
  <c r="Z530" i="38" s="1"/>
  <c r="P280" i="38"/>
  <c r="Z280" i="38" s="1"/>
  <c r="P255" i="38"/>
  <c r="Z255" i="38" s="1"/>
  <c r="P356" i="38"/>
  <c r="Z356" i="38" s="1"/>
  <c r="P446" i="38"/>
  <c r="Z446" i="38" s="1"/>
  <c r="P298" i="38"/>
  <c r="Z298" i="38" s="1"/>
  <c r="P355" i="38"/>
  <c r="Z355" i="38" s="1"/>
  <c r="P425" i="38"/>
  <c r="Z425" i="38" s="1"/>
  <c r="P392" i="38"/>
  <c r="Z392" i="38" s="1"/>
  <c r="P301" i="38"/>
  <c r="Z301" i="38" s="1"/>
  <c r="P389" i="38"/>
  <c r="Z389" i="38" s="1"/>
  <c r="P477" i="38"/>
  <c r="Z477" i="38" s="1"/>
  <c r="P467" i="38"/>
  <c r="Z467" i="38" s="1"/>
  <c r="P306" i="38"/>
  <c r="Z306" i="38" s="1"/>
  <c r="P267" i="38"/>
  <c r="Z267" i="38" s="1"/>
  <c r="P337" i="38"/>
  <c r="Z337" i="38" s="1"/>
  <c r="P504" i="38"/>
  <c r="Z504" i="38" s="1"/>
  <c r="P479" i="38"/>
  <c r="Z479" i="38" s="1"/>
  <c r="P304" i="38"/>
  <c r="Z304" i="38" s="1"/>
  <c r="P333" i="38"/>
  <c r="Z333" i="38" s="1"/>
  <c r="P431" i="38"/>
  <c r="Z431" i="38" s="1"/>
  <c r="P485" i="38"/>
  <c r="Z485" i="38" s="1"/>
  <c r="P247" i="38"/>
  <c r="Z247" i="38" s="1"/>
  <c r="P379" i="38"/>
  <c r="Z379" i="38" s="1"/>
  <c r="P449" i="38"/>
  <c r="Z449" i="38" s="1"/>
  <c r="P249" i="38"/>
  <c r="Z249" i="38" s="1"/>
  <c r="P416" i="38"/>
  <c r="Z416" i="38" s="1"/>
  <c r="P469" i="38"/>
  <c r="Z469" i="38" s="1"/>
  <c r="P327" i="38"/>
  <c r="Z327" i="38" s="1"/>
  <c r="P266" i="38"/>
  <c r="Z266" i="38" s="1"/>
  <c r="P380" i="38"/>
  <c r="Z380" i="38" s="1"/>
  <c r="P450" i="38"/>
  <c r="Z450" i="38" s="1"/>
  <c r="P397" i="38"/>
  <c r="Z397" i="38" s="1"/>
  <c r="P239" i="38"/>
  <c r="Z239" i="38" s="1"/>
  <c r="P487" i="38"/>
  <c r="Z487" i="38" s="1"/>
  <c r="P373" i="38"/>
  <c r="Z373" i="38" s="1"/>
  <c r="P412" i="38"/>
  <c r="Z412" i="38" s="1"/>
  <c r="P244" i="38"/>
  <c r="Z244" i="38" s="1"/>
  <c r="P340" i="38"/>
  <c r="Z340" i="38" s="1"/>
  <c r="P428" i="38"/>
  <c r="Z428" i="38" s="1"/>
  <c r="P516" i="38"/>
  <c r="Z516" i="38" s="1"/>
  <c r="P491" i="38"/>
  <c r="Z491" i="38" s="1"/>
  <c r="P343" i="38"/>
  <c r="Z343" i="38" s="1"/>
  <c r="P291" i="38"/>
  <c r="Z291" i="38" s="1"/>
  <c r="P361" i="38"/>
  <c r="Z361" i="38" s="1"/>
  <c r="P528" i="38"/>
  <c r="Z528" i="38" s="1"/>
  <c r="P518" i="38"/>
  <c r="Z518" i="38" s="1"/>
  <c r="P328" i="38"/>
  <c r="Z328" i="38" s="1"/>
  <c r="P410" i="38"/>
  <c r="Z410" i="38" s="1"/>
  <c r="P509" i="38"/>
  <c r="Z509" i="38" s="1"/>
  <c r="P524" i="38"/>
  <c r="Z524" i="38" s="1"/>
  <c r="P286" i="38"/>
  <c r="Z286" i="38" s="1"/>
  <c r="P374" i="38"/>
  <c r="Z374" i="38" s="1"/>
  <c r="P403" i="38"/>
  <c r="Z403" i="38" s="1"/>
  <c r="P473" i="38"/>
  <c r="Z473" i="38" s="1"/>
  <c r="P273" i="38"/>
  <c r="Z273" i="38" s="1"/>
  <c r="P440" i="38"/>
  <c r="Z440" i="38" s="1"/>
  <c r="P378" i="38"/>
  <c r="Z378" i="38" s="1"/>
  <c r="P466" i="38"/>
  <c r="Z466" i="38" s="1"/>
  <c r="P515" i="38"/>
  <c r="Z515" i="38" s="1"/>
  <c r="P240" i="38"/>
  <c r="Z240" i="38" s="1"/>
  <c r="P382" i="38"/>
  <c r="Z382" i="38" s="1"/>
  <c r="P315" i="38"/>
  <c r="Z315" i="38" s="1"/>
  <c r="P385" i="38"/>
  <c r="Z385" i="38" s="1"/>
  <c r="P352" i="38"/>
  <c r="Z352" i="38" s="1"/>
  <c r="P10" i="38"/>
  <c r="Z10" i="38" s="1"/>
  <c r="P470" i="38"/>
  <c r="Z470" i="38" s="1"/>
  <c r="P302" i="38"/>
  <c r="Z302" i="38" s="1"/>
  <c r="P526" i="38"/>
  <c r="Z526" i="38" s="1"/>
  <c r="P284" i="38"/>
  <c r="Z284" i="38" s="1"/>
  <c r="P455" i="38"/>
  <c r="Z455" i="38" s="1"/>
  <c r="P474" i="38"/>
  <c r="Z474" i="38" s="1"/>
  <c r="P486" i="38"/>
  <c r="Z486" i="38" s="1"/>
  <c r="P237" i="38"/>
  <c r="Z237" i="38" s="1"/>
  <c r="P325" i="38"/>
  <c r="Z325" i="38" s="1"/>
  <c r="P413" i="38"/>
  <c r="Z413" i="38" s="1"/>
  <c r="P427" i="38"/>
  <c r="Z427" i="38" s="1"/>
  <c r="P497" i="38"/>
  <c r="Z497" i="38" s="1"/>
  <c r="P242" i="38"/>
  <c r="Z242" i="38" s="1"/>
  <c r="P297" i="38"/>
  <c r="Z297" i="38" s="1"/>
  <c r="P464" i="38"/>
  <c r="Z464" i="38" s="1"/>
  <c r="P415" i="38"/>
  <c r="Z415" i="38" s="1"/>
  <c r="P503" i="38"/>
  <c r="Z503" i="38" s="1"/>
  <c r="P264" i="38"/>
  <c r="Z264" i="38" s="1"/>
  <c r="P303" i="38"/>
  <c r="Z303" i="38" s="1"/>
  <c r="P421" i="38"/>
  <c r="Z421" i="38" s="1"/>
  <c r="P271" i="38"/>
  <c r="Z271" i="38" s="1"/>
  <c r="P339" i="38"/>
  <c r="Z339" i="38" s="1"/>
  <c r="P409" i="38"/>
  <c r="Z409" i="38" s="1"/>
  <c r="P276" i="38"/>
  <c r="Z276" i="38" s="1"/>
  <c r="P364" i="38"/>
  <c r="Z364" i="38" s="1"/>
  <c r="P452" i="38"/>
  <c r="Z452" i="38" s="1"/>
  <c r="P451" i="38"/>
  <c r="Z451" i="38" s="1"/>
  <c r="P521" i="38"/>
  <c r="Z521" i="38" s="1"/>
  <c r="P279" i="38"/>
  <c r="Z279" i="38" s="1"/>
  <c r="P251" i="38"/>
  <c r="Z251" i="38" s="1"/>
  <c r="P321" i="38"/>
  <c r="Z321" i="38" s="1"/>
  <c r="P488" i="38"/>
  <c r="Z488" i="38" s="1"/>
  <c r="P454" i="38"/>
  <c r="Z454" i="38" s="1"/>
  <c r="P288" i="38"/>
  <c r="Z288" i="38" s="1"/>
  <c r="P444" i="38"/>
  <c r="Z444" i="38" s="1"/>
  <c r="P494" i="38"/>
  <c r="Z494" i="38" s="1"/>
  <c r="P482" i="38"/>
  <c r="Z482" i="38" s="1"/>
  <c r="P359" i="38"/>
  <c r="Z359" i="38" s="1"/>
  <c r="P348" i="38"/>
  <c r="Z348" i="38" s="1"/>
  <c r="P437" i="38"/>
  <c r="Z437" i="38" s="1"/>
  <c r="P269" i="38"/>
  <c r="Z269" i="38" s="1"/>
  <c r="P394" i="38"/>
  <c r="Z394" i="38" s="1"/>
  <c r="P282" i="38"/>
  <c r="Z282" i="38" s="1"/>
  <c r="P381" i="38"/>
  <c r="Z381" i="38" s="1"/>
  <c r="P460" i="38"/>
  <c r="Z460" i="38" s="1"/>
  <c r="P310" i="38"/>
  <c r="Z310" i="38" s="1"/>
  <c r="P363" i="38"/>
  <c r="Z363" i="38" s="1"/>
  <c r="P433" i="38"/>
  <c r="Z433" i="38" s="1"/>
  <c r="P400" i="38"/>
  <c r="Z400" i="38" s="1"/>
  <c r="P314" i="38"/>
  <c r="Z314" i="38" s="1"/>
  <c r="P402" i="38"/>
  <c r="Z402" i="38" s="1"/>
  <c r="P490" i="38"/>
  <c r="Z490" i="38" s="1"/>
  <c r="P475" i="38"/>
  <c r="Z475" i="38" s="1"/>
  <c r="P318" i="38"/>
  <c r="Z318" i="38" s="1"/>
  <c r="P275" i="38"/>
  <c r="Z275" i="38" s="1"/>
  <c r="P512" i="38"/>
  <c r="Z512" i="38" s="1"/>
  <c r="P493" i="38"/>
  <c r="Z493" i="38" s="1"/>
  <c r="P312" i="38"/>
  <c r="Z312" i="38" s="1"/>
  <c r="P358" i="38"/>
  <c r="Z358" i="38" s="1"/>
  <c r="P458" i="38"/>
  <c r="Z458" i="38" s="1"/>
  <c r="P498" i="38"/>
  <c r="Z498" i="38" s="1"/>
  <c r="P261" i="38"/>
  <c r="Z261" i="38" s="1"/>
  <c r="P387" i="38"/>
  <c r="Z387" i="38" s="1"/>
  <c r="P457" i="38"/>
  <c r="Z457" i="38" s="1"/>
  <c r="P257" i="38"/>
  <c r="Z257" i="38" s="1"/>
  <c r="P424" i="38"/>
  <c r="Z424" i="38" s="1"/>
  <c r="P351" i="38"/>
  <c r="Z351" i="38" s="1"/>
  <c r="P439" i="38"/>
  <c r="Z439" i="38" s="1"/>
  <c r="P527" i="38"/>
  <c r="Z527" i="38" s="1"/>
  <c r="P499" i="38"/>
  <c r="Z499" i="38" s="1"/>
  <c r="P238" i="38"/>
  <c r="Z238" i="38" s="1"/>
  <c r="P341" i="38"/>
  <c r="Z341" i="38" s="1"/>
  <c r="P430" i="38"/>
  <c r="Z430" i="38" s="1"/>
  <c r="P367" i="38"/>
  <c r="Z367" i="38" s="1"/>
  <c r="P501" i="38"/>
  <c r="Z501" i="38" s="1"/>
  <c r="P422" i="38"/>
  <c r="Z422" i="38" s="1"/>
  <c r="P292" i="38"/>
  <c r="Z292" i="38" s="1"/>
  <c r="P514" i="38"/>
  <c r="Z514" i="38" s="1"/>
  <c r="P423" i="38"/>
  <c r="Z423" i="38" s="1"/>
  <c r="P500" i="38"/>
  <c r="Z500" i="38" s="1"/>
  <c r="P357" i="38"/>
  <c r="Z357" i="38" s="1"/>
  <c r="P299" i="38"/>
  <c r="Z299" i="38" s="1"/>
  <c r="P369" i="38"/>
  <c r="Z369" i="38" s="1"/>
  <c r="P336" i="38"/>
  <c r="Z336" i="38" s="1"/>
  <c r="P436" i="38"/>
  <c r="Z436" i="38" s="1"/>
  <c r="P300" i="38"/>
  <c r="Z300" i="38" s="1"/>
  <c r="P388" i="38"/>
  <c r="Z388" i="38" s="1"/>
  <c r="P411" i="38"/>
  <c r="Z411" i="38" s="1"/>
  <c r="P481" i="38"/>
  <c r="Z481" i="38" s="1"/>
  <c r="P281" i="38"/>
  <c r="Z281" i="38" s="1"/>
  <c r="P448" i="38"/>
  <c r="Z448" i="38" s="1"/>
  <c r="P390" i="38"/>
  <c r="Z390" i="38" s="1"/>
  <c r="P478" i="38"/>
  <c r="Z478" i="38" s="1"/>
  <c r="P523" i="38"/>
  <c r="Z523" i="38" s="1"/>
  <c r="P248" i="38"/>
  <c r="Z248" i="38" s="1"/>
  <c r="P253" i="38"/>
  <c r="Z253" i="38" s="1"/>
  <c r="P396" i="38"/>
  <c r="Z396" i="38" s="1"/>
  <c r="P246" i="38"/>
  <c r="Z246" i="38" s="1"/>
  <c r="P323" i="38"/>
  <c r="Z323" i="38" s="1"/>
  <c r="P393" i="38"/>
  <c r="Z393" i="38" s="1"/>
  <c r="P360" i="38"/>
  <c r="Z360" i="38" s="1"/>
  <c r="P511" i="38"/>
  <c r="Z511" i="38" s="1"/>
  <c r="P250" i="38"/>
  <c r="Z250" i="38" s="1"/>
  <c r="P338" i="38"/>
  <c r="Z338" i="38" s="1"/>
  <c r="P426" i="38"/>
  <c r="Z426" i="38" s="1"/>
  <c r="P435" i="38"/>
  <c r="Z435" i="38" s="1"/>
  <c r="P505" i="38"/>
  <c r="Z505" i="38" s="1"/>
  <c r="P519" i="38"/>
  <c r="Z519" i="38" s="1"/>
  <c r="P317" i="38"/>
  <c r="Z317" i="38" s="1"/>
  <c r="P309" i="38"/>
  <c r="Z309" i="38" s="1"/>
  <c r="P508" i="38"/>
  <c r="Z508" i="38" s="1"/>
  <c r="P245" i="38"/>
  <c r="Z245" i="38" s="1"/>
  <c r="P294" i="38"/>
  <c r="Z294" i="38" s="1"/>
  <c r="P445" i="38"/>
  <c r="Z445" i="38" s="1"/>
  <c r="P270" i="38"/>
  <c r="Z270" i="38" s="1"/>
  <c r="P254" i="38"/>
  <c r="Z254" i="38" s="1"/>
  <c r="P305" i="38"/>
  <c r="Z305" i="38" s="1"/>
  <c r="P472" i="38"/>
  <c r="Z472" i="38" s="1"/>
  <c r="P429" i="38"/>
  <c r="Z429" i="38" s="1"/>
  <c r="P517" i="38"/>
  <c r="Z517" i="38" s="1"/>
  <c r="P272" i="38"/>
  <c r="Z272" i="38" s="1"/>
  <c r="P330" i="38"/>
  <c r="Z330" i="38" s="1"/>
  <c r="P434" i="38"/>
  <c r="Z434" i="38" s="1"/>
  <c r="P347" i="38"/>
  <c r="Z347" i="38" s="1"/>
  <c r="P417" i="38"/>
  <c r="Z417" i="38" s="1"/>
  <c r="P384" i="38"/>
  <c r="Z384" i="38" s="1"/>
  <c r="P287" i="38"/>
  <c r="Z287" i="38" s="1"/>
  <c r="P375" i="38"/>
  <c r="Z375" i="38" s="1"/>
  <c r="P459" i="38"/>
  <c r="Z459" i="38" s="1"/>
  <c r="P529" i="38"/>
  <c r="Z529" i="38" s="1"/>
  <c r="P293" i="38"/>
  <c r="Z293" i="38" s="1"/>
  <c r="P259" i="38"/>
  <c r="Z259" i="38" s="1"/>
  <c r="P329" i="38"/>
  <c r="Z329" i="38" s="1"/>
  <c r="P496" i="38"/>
  <c r="Z496" i="38" s="1"/>
  <c r="P468" i="38"/>
  <c r="Z468" i="38" s="1"/>
  <c r="P296" i="38"/>
  <c r="Z296" i="38" s="1"/>
  <c r="P308" i="38"/>
  <c r="Z308" i="38" s="1"/>
  <c r="P406" i="38"/>
  <c r="Z406" i="38" s="1"/>
  <c r="P471" i="38"/>
  <c r="Z471" i="38" s="1"/>
  <c r="P236" i="38"/>
  <c r="Z236" i="38" s="1"/>
  <c r="P324" i="38"/>
  <c r="Z324" i="38" s="1"/>
  <c r="P371" i="38"/>
  <c r="Z371" i="38" s="1"/>
  <c r="P441" i="38"/>
  <c r="Z441" i="38" s="1"/>
  <c r="P263" i="38"/>
  <c r="Z263" i="38" s="1"/>
  <c r="P290" i="38"/>
  <c r="Z290" i="38" s="1"/>
  <c r="P372" i="38"/>
  <c r="Z372" i="38" s="1"/>
  <c r="P462" i="38"/>
  <c r="Z462" i="38" s="1"/>
  <c r="P354" i="38"/>
  <c r="Z354" i="38" s="1"/>
  <c r="P241" i="38"/>
  <c r="Z241" i="38" s="1"/>
  <c r="P408" i="38"/>
  <c r="Z408" i="38" s="1"/>
  <c r="P326" i="38"/>
  <c r="Z326" i="38" s="1"/>
  <c r="P414" i="38"/>
  <c r="Z414" i="38" s="1"/>
  <c r="P502" i="38"/>
  <c r="Z502" i="38" s="1"/>
  <c r="P483" i="38"/>
  <c r="Z483" i="38" s="1"/>
  <c r="P332" i="38"/>
  <c r="Z332" i="38" s="1"/>
  <c r="P283" i="38"/>
  <c r="Z283" i="38" s="1"/>
  <c r="P353" i="38"/>
  <c r="Z353" i="38" s="1"/>
  <c r="P520" i="38"/>
  <c r="Z520" i="38" s="1"/>
  <c r="P506" i="38"/>
  <c r="Z506" i="38" s="1"/>
  <c r="P320" i="38"/>
  <c r="Z320" i="38" s="1"/>
  <c r="P383" i="38"/>
  <c r="Z383" i="38" s="1"/>
  <c r="P484" i="38"/>
  <c r="Z484" i="38" s="1"/>
  <c r="P510" i="38"/>
  <c r="Z510" i="38" s="1"/>
  <c r="P274" i="38"/>
  <c r="Z274" i="38" s="1"/>
  <c r="P362" i="38"/>
  <c r="Z362" i="38" s="1"/>
  <c r="P395" i="38"/>
  <c r="Z395" i="38" s="1"/>
  <c r="P465" i="38"/>
  <c r="Z465" i="38" s="1"/>
  <c r="P265" i="38"/>
  <c r="Z265" i="38" s="1"/>
  <c r="P432" i="38"/>
  <c r="Z432" i="38" s="1"/>
  <c r="P365" i="38"/>
  <c r="Z365" i="38" s="1"/>
  <c r="P453" i="38"/>
  <c r="Z453" i="38" s="1"/>
  <c r="P507" i="38"/>
  <c r="Z507" i="38" s="1"/>
  <c r="P370" i="38"/>
  <c r="Z370" i="38" s="1"/>
  <c r="P307" i="38"/>
  <c r="Z307" i="38" s="1"/>
  <c r="P377" i="38"/>
  <c r="Z377" i="38" s="1"/>
  <c r="P418" i="38"/>
  <c r="Z418" i="38" s="1"/>
  <c r="P522" i="38"/>
  <c r="Z522" i="38" s="1"/>
  <c r="P277" i="38"/>
  <c r="Z277" i="38" s="1"/>
  <c r="P252" i="38"/>
  <c r="Z252" i="38" s="1"/>
  <c r="P476" i="38"/>
  <c r="Z476" i="38" s="1"/>
  <c r="P525" i="38"/>
  <c r="Z525" i="38" s="1"/>
  <c r="P258" i="38"/>
  <c r="Z258" i="38" s="1"/>
  <c r="P495" i="38"/>
  <c r="Z495" i="38" s="1"/>
  <c r="P322" i="38"/>
  <c r="Z322" i="38" s="1"/>
  <c r="P386" i="38"/>
  <c r="Z386" i="38" s="1"/>
  <c r="P344" i="38"/>
  <c r="Z344" i="38" s="1"/>
  <c r="P461" i="38"/>
  <c r="Z461" i="38" s="1"/>
  <c r="P311" i="38"/>
  <c r="Z311" i="38" s="1"/>
  <c r="P399" i="38"/>
  <c r="Z399" i="38" s="1"/>
  <c r="P419" i="38"/>
  <c r="Z419" i="38" s="1"/>
  <c r="P489" i="38"/>
  <c r="Z489" i="38" s="1"/>
  <c r="P289" i="38"/>
  <c r="Z289" i="38" s="1"/>
  <c r="P456" i="38"/>
  <c r="Z456" i="38" s="1"/>
  <c r="P404" i="38"/>
  <c r="Z404" i="38" s="1"/>
  <c r="P492" i="38"/>
  <c r="Z492" i="38" s="1"/>
  <c r="P531" i="38"/>
  <c r="Z531" i="38" s="1"/>
  <c r="P256" i="38"/>
  <c r="Z256" i="38" s="1"/>
  <c r="P278" i="38"/>
  <c r="Z278" i="38" s="1"/>
  <c r="P407" i="38"/>
  <c r="Z407" i="38" s="1"/>
  <c r="P260" i="38"/>
  <c r="Z260" i="38" s="1"/>
  <c r="P331" i="38"/>
  <c r="Z331" i="38" s="1"/>
  <c r="P401" i="38"/>
  <c r="Z401" i="38" s="1"/>
  <c r="P368" i="38"/>
  <c r="Z368" i="38" s="1"/>
  <c r="P262" i="38"/>
  <c r="Z262" i="38" s="1"/>
  <c r="P350" i="38"/>
  <c r="Z350" i="38" s="1"/>
  <c r="P438" i="38"/>
  <c r="Z438" i="38" s="1"/>
  <c r="P443" i="38"/>
  <c r="Z443" i="38" s="1"/>
  <c r="P513" i="38"/>
  <c r="Z513" i="38" s="1"/>
  <c r="P268" i="38"/>
  <c r="Z268" i="38" s="1"/>
  <c r="P243" i="38"/>
  <c r="Z243" i="38" s="1"/>
  <c r="P313" i="38"/>
  <c r="Z313" i="38" s="1"/>
  <c r="P480" i="38"/>
  <c r="Z480" i="38" s="1"/>
  <c r="P118" i="38" l="1"/>
  <c r="Z118" i="38" s="1"/>
  <c r="P30" i="38"/>
  <c r="Z30" i="38" s="1"/>
  <c r="P56" i="38"/>
  <c r="Z56" i="38" s="1"/>
  <c r="P172" i="38"/>
  <c r="Z172" i="38" s="1"/>
  <c r="P180" i="38"/>
  <c r="Z180" i="38" s="1"/>
  <c r="P177" i="38"/>
  <c r="Z177" i="38" s="1"/>
  <c r="P45" i="38"/>
  <c r="Z45" i="38" s="1"/>
  <c r="P232" i="38"/>
  <c r="Z232" i="38" s="1"/>
  <c r="P153" i="38"/>
  <c r="Z153" i="38" s="1"/>
  <c r="P94" i="38"/>
  <c r="Z94" i="38" s="1"/>
  <c r="P171" i="38"/>
  <c r="Z171" i="38" s="1"/>
  <c r="P36" i="38"/>
  <c r="Z36" i="38" s="1"/>
  <c r="P398" i="38"/>
  <c r="Z398" i="38" s="1"/>
  <c r="P96" i="38"/>
  <c r="Z96" i="38" s="1"/>
  <c r="P47" i="38"/>
  <c r="Z47" i="38" s="1"/>
  <c r="P72" i="38"/>
  <c r="Z72" i="38" s="1"/>
  <c r="P197" i="38"/>
  <c r="Z197" i="38" s="1"/>
  <c r="N194" i="12"/>
  <c r="P235" i="38"/>
  <c r="Z235" i="38" s="1"/>
  <c r="P160" i="38"/>
  <c r="Z160" i="38" s="1"/>
  <c r="P211" i="38"/>
  <c r="Z211" i="38" s="1"/>
  <c r="P212" i="38"/>
  <c r="Z212" i="38" s="1"/>
  <c r="P99" i="38"/>
  <c r="Z99" i="38" s="1"/>
  <c r="P231" i="38"/>
  <c r="Z231" i="38" s="1"/>
  <c r="P141" i="38"/>
  <c r="Z141" i="38" s="1"/>
  <c r="P214" i="38"/>
  <c r="Z214" i="38" s="1"/>
  <c r="P60" i="38"/>
  <c r="Z60" i="38" s="1"/>
  <c r="P213" i="38"/>
  <c r="Z213" i="38" s="1"/>
  <c r="P224" i="38"/>
  <c r="Z224" i="38" s="1"/>
  <c r="P187" i="38"/>
  <c r="Z187" i="38" s="1"/>
  <c r="P173" i="38"/>
  <c r="Z173" i="38" s="1"/>
  <c r="P200" i="38"/>
  <c r="Z200" i="38" s="1"/>
  <c r="P163" i="38"/>
  <c r="Z163" i="38" s="1"/>
  <c r="P111" i="38"/>
  <c r="Z111" i="38" s="1"/>
  <c r="P61" i="38"/>
  <c r="Z61" i="38" s="1"/>
  <c r="P366" i="38"/>
  <c r="Z366" i="38" s="1"/>
  <c r="N192" i="12"/>
  <c r="M197" i="12"/>
  <c r="M200" i="12" s="1"/>
  <c r="P121" i="38"/>
  <c r="Z121" i="38" s="1"/>
  <c r="P44" i="38"/>
  <c r="Z44" i="38" s="1"/>
  <c r="P101" i="38"/>
  <c r="Z101" i="38" s="1"/>
  <c r="P27" i="38"/>
  <c r="Z27" i="38" s="1"/>
  <c r="P152" i="38"/>
  <c r="Z152" i="38" s="1"/>
  <c r="P206" i="38"/>
  <c r="Z206" i="38" s="1"/>
  <c r="P228" i="38"/>
  <c r="Z228" i="38" s="1"/>
  <c r="P128" i="38"/>
  <c r="Z128" i="38" s="1"/>
  <c r="P20" i="38"/>
  <c r="Z20" i="38" s="1"/>
  <c r="P216" i="38"/>
  <c r="Z216" i="38" s="1"/>
  <c r="P130" i="38"/>
  <c r="Z130" i="38" s="1"/>
  <c r="P220" i="38"/>
  <c r="Z220" i="38" s="1"/>
  <c r="P74" i="38"/>
  <c r="Z74" i="38" s="1"/>
  <c r="P225" i="38"/>
  <c r="Z225" i="38" s="1"/>
  <c r="P65" i="38"/>
  <c r="Z65" i="38" s="1"/>
  <c r="P463" i="38"/>
  <c r="Z463" i="38" s="1"/>
  <c r="P106" i="38"/>
  <c r="Z106" i="38" s="1"/>
  <c r="P207" i="38"/>
  <c r="Z207" i="38" s="1"/>
  <c r="P33" i="38"/>
  <c r="Z33" i="38" s="1"/>
  <c r="P138" i="38"/>
  <c r="Z138" i="38" s="1"/>
  <c r="P205" i="38"/>
  <c r="Z205" i="38" s="1"/>
  <c r="P198" i="38"/>
  <c r="Z198" i="38" s="1"/>
  <c r="P104" i="38"/>
  <c r="Z104" i="38" s="1"/>
  <c r="P122" i="38"/>
  <c r="Z122" i="38" s="1"/>
  <c r="P201" i="38"/>
  <c r="Z201" i="38" s="1"/>
  <c r="P107" i="38"/>
  <c r="Z107" i="38" s="1"/>
  <c r="P190" i="38"/>
  <c r="Z190" i="38" s="1"/>
  <c r="P83" i="38"/>
  <c r="Z83" i="38" s="1"/>
  <c r="P41" i="38"/>
  <c r="Z41" i="38" s="1"/>
  <c r="P151" i="38"/>
  <c r="Z151" i="38" s="1"/>
  <c r="P90" i="38"/>
  <c r="Z90" i="38" s="1"/>
  <c r="P189" i="38"/>
  <c r="Z189" i="38" s="1"/>
  <c r="P148" i="38"/>
  <c r="Z148" i="38" s="1"/>
  <c r="P143" i="38"/>
  <c r="Z143" i="38" s="1"/>
  <c r="P184" i="38"/>
  <c r="Z184" i="38" s="1"/>
  <c r="P217" i="38"/>
  <c r="Z217" i="38" s="1"/>
  <c r="P109" i="38"/>
  <c r="Z109" i="38" s="1"/>
  <c r="P218" i="38"/>
  <c r="Z218" i="38" s="1"/>
  <c r="P123" i="38"/>
  <c r="Z123" i="38" s="1"/>
  <c r="P81" i="38"/>
  <c r="Z81" i="38" s="1"/>
  <c r="P68" i="38"/>
  <c r="Z68" i="38" s="1"/>
  <c r="P37" i="38"/>
  <c r="Z37" i="38" s="1"/>
  <c r="P175" i="38"/>
  <c r="Z175" i="38" s="1"/>
  <c r="P156" i="38"/>
  <c r="Z156" i="38" s="1"/>
  <c r="P57" i="38"/>
  <c r="Z57" i="38" s="1"/>
  <c r="P29" i="38"/>
  <c r="Z29" i="38" s="1"/>
  <c r="P145" i="38"/>
  <c r="Z145" i="38" s="1"/>
  <c r="P82" i="38"/>
  <c r="Z82" i="38" s="1"/>
  <c r="P140" i="38"/>
  <c r="Z140" i="38" s="1"/>
  <c r="P194" i="38"/>
  <c r="Z194" i="38" s="1"/>
  <c r="P117" i="38"/>
  <c r="Z117" i="38" s="1"/>
  <c r="P51" i="38"/>
  <c r="Z51" i="38" s="1"/>
  <c r="P376" i="38"/>
  <c r="Z376" i="38" s="1"/>
  <c r="P64" i="38"/>
  <c r="Z64" i="38" s="1"/>
  <c r="P183" i="38"/>
  <c r="Z183" i="38" s="1"/>
  <c r="P227" i="38"/>
  <c r="Z227" i="38" s="1"/>
  <c r="P39" i="38"/>
  <c r="Z39" i="38" s="1"/>
  <c r="P85" i="38"/>
  <c r="Z85" i="38" s="1"/>
  <c r="P40" i="38"/>
  <c r="Z40" i="38" s="1"/>
  <c r="P146" i="38"/>
  <c r="Z146" i="38" s="1"/>
  <c r="P127" i="38"/>
  <c r="Z127" i="38" s="1"/>
  <c r="P203" i="38"/>
  <c r="Z203" i="38" s="1"/>
  <c r="P23" i="38"/>
  <c r="Z23" i="38" s="1"/>
  <c r="P49" i="38"/>
  <c r="Z49" i="38" s="1"/>
  <c r="P149" i="38"/>
  <c r="Z149" i="38" s="1"/>
  <c r="P84" i="38"/>
  <c r="Z84" i="38" s="1"/>
  <c r="P219" i="38"/>
  <c r="Z219" i="38" s="1"/>
  <c r="P223" i="38"/>
  <c r="Z223" i="38" s="1"/>
  <c r="P79" i="38"/>
  <c r="Z79" i="38" s="1"/>
  <c r="P71" i="38"/>
  <c r="Z71" i="38" s="1"/>
  <c r="P202" i="38"/>
  <c r="Z202" i="38" s="1"/>
  <c r="P103" i="38"/>
  <c r="Z103" i="38" s="1"/>
  <c r="P129" i="38"/>
  <c r="Z129" i="38" s="1"/>
  <c r="P14" i="38"/>
  <c r="Z14" i="38" s="1"/>
  <c r="P77" i="38"/>
  <c r="Z77" i="38" s="1"/>
  <c r="P161" i="38"/>
  <c r="Z161" i="38" s="1"/>
  <c r="P16" i="38"/>
  <c r="Z16" i="38" s="1"/>
  <c r="P162" i="38"/>
  <c r="Z162" i="38" s="1"/>
  <c r="P135" i="38"/>
  <c r="Z135" i="38" s="1"/>
  <c r="P34" i="38"/>
  <c r="Z34" i="38" s="1"/>
  <c r="P179" i="38"/>
  <c r="Z179" i="38" s="1"/>
  <c r="P159" i="38"/>
  <c r="Z159" i="38" s="1"/>
  <c r="P157" i="38"/>
  <c r="Z157" i="38" s="1"/>
  <c r="P192" i="38"/>
  <c r="Z192" i="38" s="1"/>
  <c r="P155" i="38"/>
  <c r="Z155" i="38" s="1"/>
  <c r="P113" i="38"/>
  <c r="Z113" i="38" s="1"/>
  <c r="P181" i="38"/>
  <c r="Z181" i="38" s="1"/>
  <c r="P168" i="38"/>
  <c r="Z168" i="38" s="1"/>
  <c r="P131" i="38"/>
  <c r="Z131" i="38" s="1"/>
  <c r="P89" i="38"/>
  <c r="Z89" i="38" s="1"/>
  <c r="P50" i="38"/>
  <c r="Z50" i="38" s="1"/>
  <c r="N204" i="12"/>
  <c r="P342" i="38"/>
  <c r="Z342" i="38" s="1"/>
  <c r="N44" i="76" s="1"/>
  <c r="P221" i="38"/>
  <c r="Z221" i="38" s="1"/>
  <c r="P120" i="38"/>
  <c r="Z120" i="38" s="1"/>
  <c r="P125" i="38"/>
  <c r="Z125" i="38" s="1"/>
  <c r="P167" i="38"/>
  <c r="Z167" i="38" s="1"/>
  <c r="P164" i="38"/>
  <c r="Z164" i="38" s="1"/>
  <c r="P226" i="38"/>
  <c r="Z226" i="38" s="1"/>
  <c r="P55" i="38"/>
  <c r="Z55" i="38" s="1"/>
  <c r="P17" i="38"/>
  <c r="Z17" i="38" s="1"/>
  <c r="P147" i="38"/>
  <c r="Z147" i="38" s="1"/>
  <c r="P105" i="38"/>
  <c r="Z105" i="38" s="1"/>
  <c r="P18" i="38"/>
  <c r="Z18" i="38" s="1"/>
  <c r="P28" i="38"/>
  <c r="Z28" i="38" s="1"/>
  <c r="P92" i="38"/>
  <c r="Z92" i="38" s="1"/>
  <c r="P76" i="38"/>
  <c r="Z76" i="38" s="1"/>
  <c r="P11" i="38"/>
  <c r="Z11" i="38" s="1"/>
  <c r="P215" i="38"/>
  <c r="Z215" i="38" s="1"/>
  <c r="P24" i="38"/>
  <c r="Z24" i="38" s="1"/>
  <c r="M193" i="12"/>
  <c r="P119" i="38"/>
  <c r="Z119" i="38" s="1"/>
  <c r="P199" i="38"/>
  <c r="Z199" i="38" s="1"/>
  <c r="P188" i="38"/>
  <c r="Z188" i="38" s="1"/>
  <c r="P178" i="38"/>
  <c r="Z178" i="38" s="1"/>
  <c r="P349" i="38"/>
  <c r="Z349" i="38" s="1"/>
  <c r="P75" i="38"/>
  <c r="Z75" i="38" s="1"/>
  <c r="N197" i="12"/>
  <c r="N200" i="12" s="1"/>
  <c r="P345" i="38"/>
  <c r="Z345" i="38" s="1"/>
  <c r="P88" i="38"/>
  <c r="Z88" i="38" s="1"/>
  <c r="P222" i="38"/>
  <c r="Z222" i="38" s="1"/>
  <c r="P78" i="38"/>
  <c r="Z78" i="38" s="1"/>
  <c r="P22" i="38"/>
  <c r="Z22" i="38" s="1"/>
  <c r="P209" i="38"/>
  <c r="Z209" i="38" s="1"/>
  <c r="P95" i="38"/>
  <c r="Z95" i="38" s="1"/>
  <c r="P93" i="38"/>
  <c r="Z93" i="38" s="1"/>
  <c r="P185" i="38"/>
  <c r="Z185" i="38" s="1"/>
  <c r="P58" i="38"/>
  <c r="Z58" i="38" s="1"/>
  <c r="P54" i="38"/>
  <c r="Z54" i="38" s="1"/>
  <c r="P196" i="38"/>
  <c r="Z196" i="38" s="1"/>
  <c r="P150" i="38"/>
  <c r="Z150" i="38" s="1"/>
  <c r="P102" i="38"/>
  <c r="Z102" i="38" s="1"/>
  <c r="P48" i="38"/>
  <c r="Z48" i="38" s="1"/>
  <c r="P112" i="38"/>
  <c r="Z112" i="38" s="1"/>
  <c r="P134" i="38"/>
  <c r="Z134" i="38" s="1"/>
  <c r="P46" i="38"/>
  <c r="Z46" i="38" s="1"/>
  <c r="P176" i="38"/>
  <c r="Z176" i="38" s="1"/>
  <c r="P97" i="38"/>
  <c r="Z97" i="38" s="1"/>
  <c r="P15" i="38"/>
  <c r="Z15" i="38" s="1"/>
  <c r="P137" i="38"/>
  <c r="Z137" i="38" s="1"/>
  <c r="P69" i="38"/>
  <c r="Z69" i="38" s="1"/>
  <c r="P25" i="38"/>
  <c r="Z25" i="38" s="1"/>
  <c r="P126" i="38"/>
  <c r="Z126" i="38" s="1"/>
  <c r="P43" i="38"/>
  <c r="Z43" i="38" s="1"/>
  <c r="P86" i="38"/>
  <c r="Z86" i="38" s="1"/>
  <c r="P66" i="38"/>
  <c r="Z66" i="38" s="1"/>
  <c r="P166" i="38"/>
  <c r="Z166" i="38" s="1"/>
  <c r="P32" i="38"/>
  <c r="Z32" i="38" s="1"/>
  <c r="P133" i="38"/>
  <c r="Z133" i="38" s="1"/>
  <c r="P195" i="38"/>
  <c r="Z195" i="38" s="1"/>
  <c r="P186" i="38"/>
  <c r="Z186" i="38" s="1"/>
  <c r="P12" i="38"/>
  <c r="Z12" i="38" s="1"/>
  <c r="P182" i="38"/>
  <c r="Z182" i="38" s="1"/>
  <c r="P26" i="38"/>
  <c r="Z26" i="38" s="1"/>
  <c r="P98" i="38"/>
  <c r="Z98" i="38" s="1"/>
  <c r="P13" i="38"/>
  <c r="Z13" i="38" s="1"/>
  <c r="M191" i="12"/>
  <c r="P59" i="38"/>
  <c r="Z59" i="38" s="1"/>
  <c r="P114" i="38"/>
  <c r="Z114" i="38" s="1"/>
  <c r="N191" i="12"/>
  <c r="P285" i="38"/>
  <c r="Z285" i="38" s="1"/>
  <c r="P35" i="38"/>
  <c r="Z35" i="38" s="1"/>
  <c r="P174" i="38"/>
  <c r="Z174" i="38" s="1"/>
  <c r="M194" i="12"/>
  <c r="P9" i="38"/>
  <c r="Z9" i="38" s="1"/>
  <c r="P158" i="38"/>
  <c r="Z158" i="38" s="1"/>
  <c r="P154" i="38"/>
  <c r="Z154" i="38" s="1"/>
  <c r="P136" i="38"/>
  <c r="Z136" i="38" s="1"/>
  <c r="P169" i="38"/>
  <c r="Z169" i="38" s="1"/>
  <c r="P31" i="38"/>
  <c r="Z31" i="38" s="1"/>
  <c r="P63" i="38"/>
  <c r="Z63" i="38" s="1"/>
  <c r="P110" i="38"/>
  <c r="Z110" i="38" s="1"/>
  <c r="P100" i="38"/>
  <c r="Z100" i="38" s="1"/>
  <c r="P233" i="38"/>
  <c r="Z233" i="38" s="1"/>
  <c r="N193" i="12"/>
  <c r="P346" i="38"/>
  <c r="Z346" i="38" s="1"/>
  <c r="P124" i="38"/>
  <c r="Z124" i="38" s="1"/>
  <c r="P132" i="38"/>
  <c r="Z132" i="38" s="1"/>
  <c r="P139" i="38"/>
  <c r="Z139" i="38" s="1"/>
  <c r="M192" i="12"/>
  <c r="P38" i="38"/>
  <c r="Z38" i="38" s="1"/>
  <c r="P115" i="38"/>
  <c r="Z115" i="38" s="1"/>
  <c r="P73" i="38"/>
  <c r="Z73" i="38" s="1"/>
  <c r="P204" i="38"/>
  <c r="Z204" i="38" s="1"/>
  <c r="P91" i="38"/>
  <c r="Z91" i="38" s="1"/>
  <c r="P108" i="38"/>
  <c r="Z108" i="38" s="1"/>
  <c r="P52" i="38"/>
  <c r="Z52" i="38" s="1"/>
  <c r="P142" i="38"/>
  <c r="Z142" i="38" s="1"/>
  <c r="M204" i="12"/>
  <c r="P116" i="38"/>
  <c r="Z116" i="38" s="1"/>
  <c r="P80" i="38"/>
  <c r="Z80" i="38" s="1"/>
  <c r="P87" i="38"/>
  <c r="Z87" i="38" s="1"/>
  <c r="P19" i="38"/>
  <c r="Z19" i="38" s="1"/>
  <c r="P229" i="38"/>
  <c r="Z229" i="38" s="1"/>
  <c r="P144" i="38"/>
  <c r="Z144" i="38" s="1"/>
  <c r="P42" i="38"/>
  <c r="Z42" i="38" s="1"/>
  <c r="P208" i="38"/>
  <c r="Z208" i="38" s="1"/>
  <c r="P230" i="38"/>
  <c r="Z230" i="38" s="1"/>
  <c r="P193" i="38"/>
  <c r="Z193" i="38" s="1"/>
  <c r="P70" i="38"/>
  <c r="Z70" i="38" s="1"/>
  <c r="P170" i="38"/>
  <c r="Z170" i="38" s="1"/>
  <c r="P191" i="38"/>
  <c r="Z191" i="38" s="1"/>
  <c r="P62" i="38"/>
  <c r="Z62" i="38" s="1"/>
  <c r="P234" i="38"/>
  <c r="Z234" i="38" s="1"/>
  <c r="P165" i="38"/>
  <c r="Z165" i="38" s="1"/>
  <c r="P335" i="38"/>
  <c r="Z335" i="38" s="1"/>
  <c r="P67" i="38"/>
  <c r="Z67" i="38" s="1"/>
  <c r="P210" i="38"/>
  <c r="Z210" i="38" s="1"/>
  <c r="P53" i="38"/>
  <c r="Z53" i="38" s="1"/>
  <c r="T112" i="38"/>
  <c r="T134" i="38"/>
  <c r="T30" i="38"/>
  <c r="T56" i="38"/>
  <c r="T172" i="38"/>
  <c r="T180" i="38"/>
  <c r="T177" i="38"/>
  <c r="T201" i="38"/>
  <c r="T84" i="38"/>
  <c r="T219" i="38"/>
  <c r="T223" i="38"/>
  <c r="T107" i="38"/>
  <c r="T190" i="38"/>
  <c r="T83" i="38"/>
  <c r="T41" i="38"/>
  <c r="T151" i="38"/>
  <c r="T90" i="38"/>
  <c r="T189" i="38"/>
  <c r="T148" i="38"/>
  <c r="T143" i="38"/>
  <c r="T184" i="38"/>
  <c r="T217" i="38"/>
  <c r="T109" i="38"/>
  <c r="T218" i="38"/>
  <c r="T123" i="38"/>
  <c r="T81" i="38"/>
  <c r="T68" i="38"/>
  <c r="T37" i="38"/>
  <c r="T175" i="38"/>
  <c r="T156" i="38"/>
  <c r="T57" i="38"/>
  <c r="T29" i="38"/>
  <c r="T145" i="38"/>
  <c r="T82" i="38"/>
  <c r="T140" i="38"/>
  <c r="T194" i="38"/>
  <c r="T117" i="38"/>
  <c r="T51" i="38"/>
  <c r="Q376" i="38"/>
  <c r="T64" i="38"/>
  <c r="T183" i="38"/>
  <c r="T227" i="38"/>
  <c r="T39" i="38"/>
  <c r="T85" i="38"/>
  <c r="T40" i="38"/>
  <c r="T146" i="38"/>
  <c r="T127" i="38"/>
  <c r="T203" i="38"/>
  <c r="T23" i="38"/>
  <c r="T49" i="38"/>
  <c r="T149" i="38"/>
  <c r="T74" i="38"/>
  <c r="T225" i="38"/>
  <c r="T102" i="38"/>
  <c r="T65" i="38"/>
  <c r="Q463" i="38"/>
  <c r="T106" i="38"/>
  <c r="T207" i="38"/>
  <c r="T33" i="38"/>
  <c r="T138" i="38"/>
  <c r="T205" i="38"/>
  <c r="T198" i="38"/>
  <c r="T162" i="38"/>
  <c r="T135" i="38"/>
  <c r="T34" i="38"/>
  <c r="T179" i="38"/>
  <c r="T159" i="38"/>
  <c r="T157" i="38"/>
  <c r="T192" i="38"/>
  <c r="T155" i="38"/>
  <c r="T113" i="38"/>
  <c r="T181" i="38"/>
  <c r="T221" i="38"/>
  <c r="T120" i="38"/>
  <c r="T125" i="38"/>
  <c r="T167" i="38"/>
  <c r="T164" i="38"/>
  <c r="T226" i="38"/>
  <c r="T55" i="38"/>
  <c r="T17" i="38"/>
  <c r="T147" i="38"/>
  <c r="T105" i="38"/>
  <c r="T18" i="38"/>
  <c r="T28" i="38"/>
  <c r="T92" i="38"/>
  <c r="T76" i="38"/>
  <c r="T11" i="38"/>
  <c r="T215" i="38"/>
  <c r="T24" i="38"/>
  <c r="T199" i="38"/>
  <c r="T188" i="38"/>
  <c r="T178" i="38"/>
  <c r="T75" i="38"/>
  <c r="Q345" i="38"/>
  <c r="T88" i="38"/>
  <c r="T222" i="38"/>
  <c r="T78" i="38"/>
  <c r="T22" i="38"/>
  <c r="T209" i="38"/>
  <c r="T95" i="38"/>
  <c r="T93" i="38"/>
  <c r="T185" i="38"/>
  <c r="T58" i="38"/>
  <c r="T54" i="38"/>
  <c r="T196" i="38"/>
  <c r="T150" i="38"/>
  <c r="T131" i="38"/>
  <c r="T50" i="38"/>
  <c r="T79" i="38"/>
  <c r="T71" i="38"/>
  <c r="T202" i="38"/>
  <c r="T103" i="38"/>
  <c r="T129" i="38"/>
  <c r="T14" i="38"/>
  <c r="T77" i="38"/>
  <c r="T161" i="38"/>
  <c r="T16" i="38"/>
  <c r="T15" i="38"/>
  <c r="T137" i="38"/>
  <c r="T69" i="38"/>
  <c r="T25" i="38"/>
  <c r="T126" i="38"/>
  <c r="T43" i="38"/>
  <c r="T86" i="38"/>
  <c r="T66" i="38"/>
  <c r="T48" i="38"/>
  <c r="T168" i="38"/>
  <c r="T89" i="38"/>
  <c r="T118" i="38"/>
  <c r="T87" i="38"/>
  <c r="T19" i="38"/>
  <c r="T229" i="38"/>
  <c r="T32" i="38"/>
  <c r="T133" i="38"/>
  <c r="T195" i="38"/>
  <c r="T186" i="38"/>
  <c r="T12" i="38"/>
  <c r="T182" i="38"/>
  <c r="T26" i="38"/>
  <c r="T98" i="38"/>
  <c r="T13" i="38"/>
  <c r="T114" i="38"/>
  <c r="T35" i="38"/>
  <c r="T174" i="38"/>
  <c r="Q9" i="38"/>
  <c r="T158" i="38"/>
  <c r="T154" i="38"/>
  <c r="T136" i="38"/>
  <c r="T169" i="38"/>
  <c r="T31" i="38"/>
  <c r="T63" i="38"/>
  <c r="T110" i="38"/>
  <c r="T100" i="38"/>
  <c r="T233" i="38"/>
  <c r="T124" i="38"/>
  <c r="T132" i="38"/>
  <c r="T38" i="38"/>
  <c r="T115" i="38"/>
  <c r="T73" i="38"/>
  <c r="T204" i="38"/>
  <c r="T91" i="38"/>
  <c r="T108" i="38"/>
  <c r="T52" i="38"/>
  <c r="T142" i="38"/>
  <c r="T166" i="38"/>
  <c r="T176" i="38"/>
  <c r="T97" i="38"/>
  <c r="T165" i="38"/>
  <c r="Q335" i="38"/>
  <c r="T67" i="38"/>
  <c r="T210" i="38"/>
  <c r="T53" i="38"/>
  <c r="T45" i="38"/>
  <c r="T232" i="38"/>
  <c r="T153" i="38"/>
  <c r="T94" i="38"/>
  <c r="T171" i="38"/>
  <c r="T36" i="38"/>
  <c r="T96" i="38"/>
  <c r="T47" i="38"/>
  <c r="T72" i="38"/>
  <c r="T197" i="38"/>
  <c r="T160" i="38"/>
  <c r="T211" i="38"/>
  <c r="T212" i="38"/>
  <c r="T99" i="38"/>
  <c r="T231" i="38"/>
  <c r="T141" i="38"/>
  <c r="T214" i="38"/>
  <c r="T60" i="38"/>
  <c r="T213" i="38"/>
  <c r="T224" i="38"/>
  <c r="T187" i="38"/>
  <c r="T173" i="38"/>
  <c r="T200" i="38"/>
  <c r="T163" i="38"/>
  <c r="T111" i="38"/>
  <c r="T61" i="38"/>
  <c r="T44" i="38"/>
  <c r="T101" i="38"/>
  <c r="T27" i="38"/>
  <c r="T152" i="38"/>
  <c r="T206" i="38"/>
  <c r="T228" i="38"/>
  <c r="T128" i="38"/>
  <c r="T20" i="38"/>
  <c r="T216" i="38"/>
  <c r="T130" i="38"/>
  <c r="T220" i="38"/>
  <c r="T80" i="38"/>
  <c r="T46" i="38"/>
  <c r="T144" i="38"/>
  <c r="T42" i="38"/>
  <c r="T208" i="38"/>
  <c r="T230" i="38"/>
  <c r="T193" i="38"/>
  <c r="T70" i="38"/>
  <c r="T170" i="38"/>
  <c r="T191" i="38"/>
  <c r="T62" i="38"/>
  <c r="T234" i="38"/>
  <c r="T104" i="38"/>
  <c r="T122" i="38"/>
  <c r="Q80" i="38" l="1"/>
  <c r="X80" i="38" s="1"/>
  <c r="W80" i="38" s="1"/>
  <c r="AA80" i="38" s="1"/>
  <c r="Q28" i="38"/>
  <c r="X28" i="38" s="1"/>
  <c r="W28" i="38" s="1"/>
  <c r="AA28" i="38" s="1"/>
  <c r="Q208" i="38"/>
  <c r="X208" i="38" s="1"/>
  <c r="W208" i="38" s="1"/>
  <c r="U208" i="38" s="1"/>
  <c r="V208" i="38" s="1"/>
  <c r="Q170" i="38"/>
  <c r="X170" i="38" s="1"/>
  <c r="W170" i="38" s="1"/>
  <c r="AA170" i="38" s="1"/>
  <c r="Q188" i="38"/>
  <c r="X188" i="38" s="1"/>
  <c r="W188" i="38" s="1"/>
  <c r="U188" i="38" s="1"/>
  <c r="V188" i="38" s="1"/>
  <c r="N39" i="76"/>
  <c r="Q91" i="38"/>
  <c r="X91" i="38" s="1"/>
  <c r="W91" i="38" s="1"/>
  <c r="U91" i="38" s="1"/>
  <c r="V91" i="38" s="1"/>
  <c r="Q100" i="38"/>
  <c r="X100" i="38" s="1"/>
  <c r="W100" i="38" s="1"/>
  <c r="U100" i="38" s="1"/>
  <c r="V100" i="38" s="1"/>
  <c r="Q144" i="38"/>
  <c r="X144" i="38" s="1"/>
  <c r="W144" i="38" s="1"/>
  <c r="AA144" i="38" s="1"/>
  <c r="M44" i="76"/>
  <c r="Q204" i="38"/>
  <c r="X204" i="38" s="1"/>
  <c r="W204" i="38" s="1"/>
  <c r="U204" i="38" s="1"/>
  <c r="V204" i="38" s="1"/>
  <c r="Q132" i="38"/>
  <c r="X132" i="38" s="1"/>
  <c r="W132" i="38" s="1"/>
  <c r="U132" i="38" s="1"/>
  <c r="V132" i="38" s="1"/>
  <c r="Q185" i="38"/>
  <c r="X185" i="38" s="1"/>
  <c r="Q138" i="38"/>
  <c r="X138" i="38" s="1"/>
  <c r="W138" i="38" s="1"/>
  <c r="U138" i="38" s="1"/>
  <c r="V138" i="38" s="1"/>
  <c r="Q124" i="38"/>
  <c r="X124" i="38" s="1"/>
  <c r="W124" i="38" s="1"/>
  <c r="U124" i="38" s="1"/>
  <c r="V124" i="38" s="1"/>
  <c r="Q19" i="38"/>
  <c r="X19" i="38" s="1"/>
  <c r="W19" i="38" s="1"/>
  <c r="U19" i="38" s="1"/>
  <c r="V19" i="38" s="1"/>
  <c r="Q52" i="38"/>
  <c r="X52" i="38" s="1"/>
  <c r="W52" i="38" s="1"/>
  <c r="U52" i="38" s="1"/>
  <c r="V52" i="38" s="1"/>
  <c r="Q165" i="38"/>
  <c r="X165" i="38" s="1"/>
  <c r="W165" i="38" s="1"/>
  <c r="AA165" i="38" s="1"/>
  <c r="Q193" i="38"/>
  <c r="Q62" i="38"/>
  <c r="X62" i="38" s="1"/>
  <c r="W62" i="38" s="1"/>
  <c r="U62" i="38" s="1"/>
  <c r="V62" i="38" s="1"/>
  <c r="Q38" i="38"/>
  <c r="X38" i="38" s="1"/>
  <c r="W38" i="38" s="1"/>
  <c r="U38" i="38" s="1"/>
  <c r="V38" i="38" s="1"/>
  <c r="N41" i="76"/>
  <c r="Q169" i="38"/>
  <c r="X169" i="38" s="1"/>
  <c r="Q168" i="38"/>
  <c r="X168" i="38" s="1"/>
  <c r="W168" i="38" s="1"/>
  <c r="U168" i="38" s="1"/>
  <c r="V168" i="38" s="1"/>
  <c r="Q220" i="38"/>
  <c r="X220" i="38" s="1"/>
  <c r="W220" i="38" s="1"/>
  <c r="U220" i="38" s="1"/>
  <c r="V220" i="38" s="1"/>
  <c r="Q34" i="38"/>
  <c r="X34" i="38" s="1"/>
  <c r="W34" i="38" s="1"/>
  <c r="U34" i="38" s="1"/>
  <c r="V34" i="38" s="1"/>
  <c r="Q12" i="38"/>
  <c r="X12" i="38" s="1"/>
  <c r="W12" i="38" s="1"/>
  <c r="U12" i="38" s="1"/>
  <c r="V12" i="38" s="1"/>
  <c r="Q17" i="38"/>
  <c r="X17" i="38" s="1"/>
  <c r="W17" i="38" s="1"/>
  <c r="U17" i="38" s="1"/>
  <c r="V17" i="38" s="1"/>
  <c r="X9" i="38"/>
  <c r="Q410" i="38"/>
  <c r="Q248" i="38"/>
  <c r="Q346" i="38"/>
  <c r="N66" i="12"/>
  <c r="N152" i="12"/>
  <c r="K29" i="45" s="1"/>
  <c r="Q243" i="38"/>
  <c r="Q246" i="38"/>
  <c r="Q265" i="38"/>
  <c r="Q326" i="38"/>
  <c r="Q332" i="38"/>
  <c r="Q487" i="38"/>
  <c r="Q460" i="38"/>
  <c r="Q495" i="38"/>
  <c r="Q437" i="38"/>
  <c r="Q507" i="38"/>
  <c r="Q353" i="38"/>
  <c r="Q296" i="38"/>
  <c r="Q358" i="38"/>
  <c r="Q53" i="38"/>
  <c r="X53" i="38" s="1"/>
  <c r="W53" i="38" s="1"/>
  <c r="N287" i="37"/>
  <c r="Q338" i="38"/>
  <c r="Q384" i="38"/>
  <c r="Q395" i="38"/>
  <c r="Q530" i="38"/>
  <c r="Q382" i="38"/>
  <c r="Q339" i="38"/>
  <c r="Q433" i="38"/>
  <c r="Q501" i="38"/>
  <c r="Q281" i="38"/>
  <c r="Q309" i="38"/>
  <c r="Q529" i="38"/>
  <c r="Q465" i="38"/>
  <c r="Q399" i="38"/>
  <c r="Q404" i="38"/>
  <c r="Q301" i="38"/>
  <c r="Q496" i="38"/>
  <c r="T21" i="38"/>
  <c r="Q21" i="38"/>
  <c r="X21" i="38" s="1"/>
  <c r="Q524" i="38"/>
  <c r="Q427" i="38"/>
  <c r="Q282" i="38"/>
  <c r="Q511" i="38"/>
  <c r="Q434" i="38"/>
  <c r="Q389" i="38"/>
  <c r="Q327" i="38"/>
  <c r="Q432" i="38"/>
  <c r="Q340" i="38"/>
  <c r="Q237" i="38"/>
  <c r="Q279" i="38"/>
  <c r="Q314" i="38"/>
  <c r="Q508" i="38"/>
  <c r="Q484" i="38"/>
  <c r="Q438" i="38"/>
  <c r="Q142" i="38"/>
  <c r="X142" i="38" s="1"/>
  <c r="W142" i="38" s="1"/>
  <c r="Q316" i="38"/>
  <c r="Q477" i="38"/>
  <c r="Q428" i="38"/>
  <c r="Q273" i="38"/>
  <c r="Q121" i="38"/>
  <c r="T121" i="38"/>
  <c r="M70" i="12"/>
  <c r="M73" i="12" s="1"/>
  <c r="Q238" i="38"/>
  <c r="Q357" i="38"/>
  <c r="Q459" i="38"/>
  <c r="Q365" i="38"/>
  <c r="Q315" i="38"/>
  <c r="Q139" i="38"/>
  <c r="T139" i="38"/>
  <c r="M65" i="12"/>
  <c r="M116" i="12"/>
  <c r="J15" i="45" s="1"/>
  <c r="Q423" i="38"/>
  <c r="Q523" i="38"/>
  <c r="Q254" i="38"/>
  <c r="Q293" i="38"/>
  <c r="Q241" i="38"/>
  <c r="N96" i="70"/>
  <c r="N27" i="70" s="1"/>
  <c r="N20" i="37" s="1"/>
  <c r="N288" i="37"/>
  <c r="Q391" i="38"/>
  <c r="Q461" i="38"/>
  <c r="Q380" i="38"/>
  <c r="Q403" i="38"/>
  <c r="Q251" i="38"/>
  <c r="Q388" i="38"/>
  <c r="Q435" i="38"/>
  <c r="Q347" i="38"/>
  <c r="Q283" i="38"/>
  <c r="Q476" i="38"/>
  <c r="Q343" i="38"/>
  <c r="Q390" i="38"/>
  <c r="Q497" i="38"/>
  <c r="Q514" i="38"/>
  <c r="Q396" i="38"/>
  <c r="Q445" i="38"/>
  <c r="Q441" i="38"/>
  <c r="Q362" i="38"/>
  <c r="Q489" i="38"/>
  <c r="Q268" i="38"/>
  <c r="Q257" i="38"/>
  <c r="Q210" i="38"/>
  <c r="X210" i="38" s="1"/>
  <c r="W210" i="38" s="1"/>
  <c r="Q234" i="38"/>
  <c r="X234" i="38" s="1"/>
  <c r="W234" i="38" s="1"/>
  <c r="Q70" i="38"/>
  <c r="X70" i="38" s="1"/>
  <c r="W70" i="38" s="1"/>
  <c r="Q42" i="38"/>
  <c r="X42" i="38" s="1"/>
  <c r="W42" i="38" s="1"/>
  <c r="Q87" i="38"/>
  <c r="X87" i="38" s="1"/>
  <c r="W87" i="38" s="1"/>
  <c r="M40" i="76"/>
  <c r="Q178" i="38"/>
  <c r="X178" i="38" s="1"/>
  <c r="W178" i="38" s="1"/>
  <c r="Q24" i="38"/>
  <c r="X24" i="38" s="1"/>
  <c r="W24" i="38" s="1"/>
  <c r="Q92" i="38"/>
  <c r="X92" i="38" s="1"/>
  <c r="W92" i="38" s="1"/>
  <c r="Q147" i="38"/>
  <c r="X147" i="38" s="1"/>
  <c r="W147" i="38" s="1"/>
  <c r="Q164" i="38"/>
  <c r="X164" i="38" s="1"/>
  <c r="W164" i="38" s="1"/>
  <c r="Q221" i="38"/>
  <c r="Q131" i="38"/>
  <c r="Q155" i="38"/>
  <c r="Q179" i="38"/>
  <c r="X179" i="38" s="1"/>
  <c r="W179" i="38" s="1"/>
  <c r="Q16" i="38"/>
  <c r="X16" i="38" s="1"/>
  <c r="W16" i="38" s="1"/>
  <c r="Q129" i="38"/>
  <c r="Q79" i="38"/>
  <c r="X79" i="38" s="1"/>
  <c r="W79" i="38" s="1"/>
  <c r="Q149" i="38"/>
  <c r="X149" i="38" s="1"/>
  <c r="W149" i="38" s="1"/>
  <c r="Q127" i="38"/>
  <c r="Q39" i="38"/>
  <c r="X39" i="38" s="1"/>
  <c r="W39" i="38" s="1"/>
  <c r="Q140" i="38"/>
  <c r="X140" i="38" s="1"/>
  <c r="W140" i="38" s="1"/>
  <c r="Q57" i="38"/>
  <c r="X57" i="38" s="1"/>
  <c r="W57" i="38" s="1"/>
  <c r="Q68" i="38"/>
  <c r="X68" i="38" s="1"/>
  <c r="W68" i="38" s="1"/>
  <c r="Q109" i="38"/>
  <c r="X109" i="38" s="1"/>
  <c r="W109" i="38" s="1"/>
  <c r="Q148" i="38"/>
  <c r="X148" i="38" s="1"/>
  <c r="W148" i="38" s="1"/>
  <c r="Q41" i="38"/>
  <c r="X41" i="38" s="1"/>
  <c r="W41" i="38" s="1"/>
  <c r="Q201" i="38"/>
  <c r="Q205" i="38"/>
  <c r="Q106" i="38"/>
  <c r="X106" i="38" s="1"/>
  <c r="W106" i="38" s="1"/>
  <c r="Q74" i="38"/>
  <c r="X74" i="38" s="1"/>
  <c r="W74" i="38" s="1"/>
  <c r="Q20" i="38"/>
  <c r="X20" i="38" s="1"/>
  <c r="W20" i="38" s="1"/>
  <c r="Q152" i="38"/>
  <c r="X152" i="38" s="1"/>
  <c r="W152" i="38" s="1"/>
  <c r="Q163" i="38"/>
  <c r="Q224" i="38"/>
  <c r="X224" i="38" s="1"/>
  <c r="W224" i="38" s="1"/>
  <c r="Q141" i="38"/>
  <c r="X141" i="38" s="1"/>
  <c r="W141" i="38" s="1"/>
  <c r="Q211" i="38"/>
  <c r="X211" i="38" s="1"/>
  <c r="W211" i="38" s="1"/>
  <c r="Q72" i="38"/>
  <c r="X72" i="38" s="1"/>
  <c r="W72" i="38" s="1"/>
  <c r="Q36" i="38"/>
  <c r="X36" i="38" s="1"/>
  <c r="W36" i="38" s="1"/>
  <c r="Q232" i="38"/>
  <c r="X232" i="38" s="1"/>
  <c r="W232" i="38" s="1"/>
  <c r="Q172" i="38"/>
  <c r="X172" i="38" s="1"/>
  <c r="W172" i="38" s="1"/>
  <c r="Q521" i="38"/>
  <c r="Q236" i="38"/>
  <c r="Q440" i="38"/>
  <c r="Q342" i="38"/>
  <c r="N77" i="12"/>
  <c r="Q322" i="38"/>
  <c r="Q368" i="38"/>
  <c r="Q516" i="38"/>
  <c r="Q420" i="38"/>
  <c r="Q341" i="38"/>
  <c r="Q407" i="38"/>
  <c r="Q415" i="38"/>
  <c r="Q519" i="38"/>
  <c r="Q291" i="38"/>
  <c r="Q500" i="38"/>
  <c r="N202" i="12"/>
  <c r="N205" i="12" s="1"/>
  <c r="Q98" i="38"/>
  <c r="X98" i="38" s="1"/>
  <c r="W98" i="38" s="1"/>
  <c r="Q186" i="38"/>
  <c r="X186" i="38" s="1"/>
  <c r="W186" i="38" s="1"/>
  <c r="Q166" i="38"/>
  <c r="X166" i="38" s="1"/>
  <c r="W166" i="38" s="1"/>
  <c r="Q126" i="38"/>
  <c r="X126" i="38" s="1"/>
  <c r="W126" i="38" s="1"/>
  <c r="Q15" i="38"/>
  <c r="X15" i="38" s="1"/>
  <c r="W15" i="38" s="1"/>
  <c r="Q134" i="38"/>
  <c r="X134" i="38" s="1"/>
  <c r="W134" i="38" s="1"/>
  <c r="Q150" i="38"/>
  <c r="X150" i="38" s="1"/>
  <c r="W150" i="38" s="1"/>
  <c r="Q22" i="38"/>
  <c r="X22" i="38" s="1"/>
  <c r="W22" i="38" s="1"/>
  <c r="N23" i="12"/>
  <c r="Q457" i="38"/>
  <c r="Q526" i="38"/>
  <c r="Q300" i="38"/>
  <c r="Q386" i="38"/>
  <c r="Q336" i="38"/>
  <c r="Q408" i="38"/>
  <c r="Q317" i="38"/>
  <c r="Q311" i="38"/>
  <c r="Q249" i="38"/>
  <c r="Q287" i="38"/>
  <c r="Q367" i="38"/>
  <c r="Q458" i="38"/>
  <c r="Q483" i="38"/>
  <c r="Q366" i="38"/>
  <c r="N116" i="12"/>
  <c r="K15" i="45" s="1"/>
  <c r="N65" i="12"/>
  <c r="Q245" i="38"/>
  <c r="Q392" i="38"/>
  <c r="Q329" i="38"/>
  <c r="Q456" i="38"/>
  <c r="Q450" i="38"/>
  <c r="Q506" i="38"/>
  <c r="Q494" i="38"/>
  <c r="Q429" i="38"/>
  <c r="Q313" i="38"/>
  <c r="Q319" i="38"/>
  <c r="Q255" i="38"/>
  <c r="Q270" i="38"/>
  <c r="Q414" i="38"/>
  <c r="Q467" i="38"/>
  <c r="Q513" i="38"/>
  <c r="Q385" i="38"/>
  <c r="Q378" i="38"/>
  <c r="Q475" i="38"/>
  <c r="Q448" i="38"/>
  <c r="Q375" i="38"/>
  <c r="Q383" i="38"/>
  <c r="Q370" i="38"/>
  <c r="AA168" i="38"/>
  <c r="Q192" i="38"/>
  <c r="X192" i="38" s="1"/>
  <c r="W192" i="38" s="1"/>
  <c r="Q161" i="38"/>
  <c r="Q103" i="38"/>
  <c r="X103" i="38" s="1"/>
  <c r="W103" i="38" s="1"/>
  <c r="Q223" i="38"/>
  <c r="X223" i="38" s="1"/>
  <c r="W223" i="38" s="1"/>
  <c r="Q49" i="38"/>
  <c r="X49" i="38" s="1"/>
  <c r="W49" i="38" s="1"/>
  <c r="Q146" i="38"/>
  <c r="X146" i="38" s="1"/>
  <c r="W146" i="38" s="1"/>
  <c r="Q227" i="38"/>
  <c r="X227" i="38" s="1"/>
  <c r="W227" i="38" s="1"/>
  <c r="Q51" i="38"/>
  <c r="X51" i="38" s="1"/>
  <c r="W51" i="38" s="1"/>
  <c r="Q82" i="38"/>
  <c r="X82" i="38" s="1"/>
  <c r="W82" i="38" s="1"/>
  <c r="Q156" i="38"/>
  <c r="X156" i="38" s="1"/>
  <c r="W156" i="38" s="1"/>
  <c r="Q81" i="38"/>
  <c r="X81" i="38" s="1"/>
  <c r="W81" i="38" s="1"/>
  <c r="Q217" i="38"/>
  <c r="X217" i="38" s="1"/>
  <c r="W217" i="38" s="1"/>
  <c r="Q189" i="38"/>
  <c r="Q83" i="38"/>
  <c r="X83" i="38" s="1"/>
  <c r="W83" i="38" s="1"/>
  <c r="Q128" i="38"/>
  <c r="X128" i="38" s="1"/>
  <c r="W128" i="38" s="1"/>
  <c r="Q27" i="38"/>
  <c r="X27" i="38" s="1"/>
  <c r="W27" i="38" s="1"/>
  <c r="Q200" i="38"/>
  <c r="X200" i="38" s="1"/>
  <c r="W200" i="38" s="1"/>
  <c r="Q213" i="38"/>
  <c r="X213" i="38" s="1"/>
  <c r="W213" i="38" s="1"/>
  <c r="Q231" i="38"/>
  <c r="Q160" i="38"/>
  <c r="X160" i="38" s="1"/>
  <c r="W160" i="38" s="1"/>
  <c r="Q47" i="38"/>
  <c r="X47" i="38" s="1"/>
  <c r="W47" i="38" s="1"/>
  <c r="Q171" i="38"/>
  <c r="Q45" i="38"/>
  <c r="X45" i="38" s="1"/>
  <c r="W45" i="38" s="1"/>
  <c r="Q56" i="38"/>
  <c r="X56" i="38" s="1"/>
  <c r="W56" i="38" s="1"/>
  <c r="Q481" i="38"/>
  <c r="Q269" i="38"/>
  <c r="Q242" i="38"/>
  <c r="Q449" i="38"/>
  <c r="Q355" i="38"/>
  <c r="Q284" i="38"/>
  <c r="Q286" i="38"/>
  <c r="Q393" i="38"/>
  <c r="Q510" i="38"/>
  <c r="Q421" i="38"/>
  <c r="Q372" i="38"/>
  <c r="Q486" i="38"/>
  <c r="Q119" i="38"/>
  <c r="M152" i="12"/>
  <c r="J29" i="45" s="1"/>
  <c r="T119" i="38"/>
  <c r="M66" i="12"/>
  <c r="Q371" i="38"/>
  <c r="Q474" i="38"/>
  <c r="Q267" i="38"/>
  <c r="Q406" i="38"/>
  <c r="Q303" i="38"/>
  <c r="Q299" i="38"/>
  <c r="Q416" i="38"/>
  <c r="Q364" i="38"/>
  <c r="Q305" i="38"/>
  <c r="Q453" i="38"/>
  <c r="Q240" i="38"/>
  <c r="Q424" i="38"/>
  <c r="Q290" i="38"/>
  <c r="Q295" i="38"/>
  <c r="Q512" i="38"/>
  <c r="Q323" i="38"/>
  <c r="Q527" i="38"/>
  <c r="Q73" i="38"/>
  <c r="X73" i="38" s="1"/>
  <c r="W73" i="38" s="1"/>
  <c r="Q479" i="38"/>
  <c r="Q271" i="38"/>
  <c r="Q259" i="38"/>
  <c r="Q469" i="38"/>
  <c r="Q509" i="38"/>
  <c r="Q455" i="38"/>
  <c r="T59" i="38"/>
  <c r="M64" i="12"/>
  <c r="Q331" i="38"/>
  <c r="Q504" i="38"/>
  <c r="Q373" i="38"/>
  <c r="Q264" i="38"/>
  <c r="Q444" i="38"/>
  <c r="Q499" i="38"/>
  <c r="Q272" i="38"/>
  <c r="Q262" i="38"/>
  <c r="Q352" i="38"/>
  <c r="Q503" i="38"/>
  <c r="Q492" i="38"/>
  <c r="Q252" i="38"/>
  <c r="Q443" i="38"/>
  <c r="Q430" i="38"/>
  <c r="Q67" i="38"/>
  <c r="X67" i="38" s="1"/>
  <c r="W67" i="38" s="1"/>
  <c r="X193" i="38"/>
  <c r="M42" i="76"/>
  <c r="Q114" i="38"/>
  <c r="X114" i="38" s="1"/>
  <c r="W114" i="38" s="1"/>
  <c r="Q215" i="38"/>
  <c r="X215" i="38" s="1"/>
  <c r="W215" i="38" s="1"/>
  <c r="Q167" i="38"/>
  <c r="X167" i="38" s="1"/>
  <c r="W167" i="38" s="1"/>
  <c r="Q405" i="38"/>
  <c r="Q333" i="38"/>
  <c r="Q361" i="38"/>
  <c r="Q470" i="38"/>
  <c r="Q312" i="38"/>
  <c r="Q235" i="38"/>
  <c r="N67" i="12"/>
  <c r="Q468" i="38"/>
  <c r="Q377" i="38"/>
  <c r="Q306" i="38"/>
  <c r="Q239" i="38"/>
  <c r="Q447" i="38"/>
  <c r="Q374" i="38"/>
  <c r="Q288" i="38"/>
  <c r="Q275" i="38"/>
  <c r="Q369" i="38"/>
  <c r="Q360" i="38"/>
  <c r="Q330" i="38"/>
  <c r="Q324" i="38"/>
  <c r="Q278" i="38"/>
  <c r="Q350" i="38"/>
  <c r="Q400" i="38"/>
  <c r="Q294" i="38"/>
  <c r="Q244" i="38"/>
  <c r="Q482" i="38"/>
  <c r="Q318" i="38"/>
  <c r="Q462" i="38"/>
  <c r="Q274" i="38"/>
  <c r="Q321" i="38"/>
  <c r="Q417" i="38"/>
  <c r="Q328" i="38"/>
  <c r="Q498" i="38"/>
  <c r="Q250" i="38"/>
  <c r="Q307" i="38"/>
  <c r="Q256" i="38"/>
  <c r="Q525" i="38"/>
  <c r="Q108" i="38"/>
  <c r="X108" i="38" s="1"/>
  <c r="W108" i="38" s="1"/>
  <c r="Q115" i="38"/>
  <c r="X115" i="38" s="1"/>
  <c r="W115" i="38" s="1"/>
  <c r="Q110" i="38"/>
  <c r="X110" i="38" s="1"/>
  <c r="W110" i="38" s="1"/>
  <c r="Q136" i="38"/>
  <c r="X136" i="38" s="1"/>
  <c r="W136" i="38" s="1"/>
  <c r="Q195" i="38"/>
  <c r="Q25" i="38"/>
  <c r="X25" i="38" s="1"/>
  <c r="W25" i="38" s="1"/>
  <c r="Q112" i="38"/>
  <c r="X112" i="38" s="1"/>
  <c r="W112" i="38" s="1"/>
  <c r="Q78" i="38"/>
  <c r="X78" i="38" s="1"/>
  <c r="W78" i="38" s="1"/>
  <c r="Q122" i="38"/>
  <c r="X122" i="38" s="1"/>
  <c r="W122" i="38" s="1"/>
  <c r="N40" i="76"/>
  <c r="Q280" i="38"/>
  <c r="Q325" i="38"/>
  <c r="Q261" i="38"/>
  <c r="Q379" i="38"/>
  <c r="Q471" i="38"/>
  <c r="Q397" i="38"/>
  <c r="Q411" i="38"/>
  <c r="Q431" i="38"/>
  <c r="Q394" i="38"/>
  <c r="Q452" i="38"/>
  <c r="Q351" i="38"/>
  <c r="Q451" i="38"/>
  <c r="Q531" i="38"/>
  <c r="Q10" i="38"/>
  <c r="X10" i="38" s="1"/>
  <c r="T10" i="38"/>
  <c r="Q515" i="38"/>
  <c r="Q402" i="38"/>
  <c r="Q490" i="38"/>
  <c r="Q502" i="38"/>
  <c r="Q419" i="38"/>
  <c r="Q454" i="38"/>
  <c r="Q26" i="38"/>
  <c r="X26" i="38" s="1"/>
  <c r="W26" i="38" s="1"/>
  <c r="Q66" i="38"/>
  <c r="X66" i="38" s="1"/>
  <c r="W66" i="38" s="1"/>
  <c r="Q97" i="38"/>
  <c r="X97" i="38" s="1"/>
  <c r="W97" i="38" s="1"/>
  <c r="Q196" i="38"/>
  <c r="X196" i="38" s="1"/>
  <c r="W196" i="38" s="1"/>
  <c r="Q93" i="38"/>
  <c r="X93" i="38" s="1"/>
  <c r="W93" i="38" s="1"/>
  <c r="Q442" i="38"/>
  <c r="Q247" i="38"/>
  <c r="Q439" i="38"/>
  <c r="Q518" i="38"/>
  <c r="Q276" i="38"/>
  <c r="Q348" i="38"/>
  <c r="Q517" i="38"/>
  <c r="Q308" i="38"/>
  <c r="Q520" i="38"/>
  <c r="Q418" i="38"/>
  <c r="Q337" i="38"/>
  <c r="Q528" i="38"/>
  <c r="T116" i="38"/>
  <c r="M77" i="12"/>
  <c r="Q413" i="38"/>
  <c r="Q493" i="38"/>
  <c r="Q426" i="38"/>
  <c r="Q285" i="38"/>
  <c r="N64" i="12"/>
  <c r="Q263" i="38"/>
  <c r="Q258" i="38"/>
  <c r="Q260" i="38"/>
  <c r="Q356" i="38"/>
  <c r="Q485" i="38"/>
  <c r="Q304" i="38"/>
  <c r="Q491" i="38"/>
  <c r="Q409" i="38"/>
  <c r="Q359" i="38"/>
  <c r="N70" i="12"/>
  <c r="N73" i="12" s="1"/>
  <c r="Q422" i="38"/>
  <c r="Q253" i="38"/>
  <c r="Q354" i="38"/>
  <c r="Q446" i="38"/>
  <c r="Q473" i="38"/>
  <c r="Q381" i="38"/>
  <c r="Q387" i="38"/>
  <c r="Q436" i="38"/>
  <c r="Q505" i="38"/>
  <c r="Q277" i="38"/>
  <c r="Q480" i="38"/>
  <c r="Q191" i="38"/>
  <c r="Q230" i="38"/>
  <c r="X230" i="38" s="1"/>
  <c r="W230" i="38" s="1"/>
  <c r="Q229" i="38"/>
  <c r="Q116" i="38"/>
  <c r="Q174" i="38"/>
  <c r="X174" i="38" s="1"/>
  <c r="W174" i="38" s="1"/>
  <c r="Q59" i="38"/>
  <c r="Q75" i="38"/>
  <c r="X75" i="38" s="1"/>
  <c r="W75" i="38" s="1"/>
  <c r="Q199" i="38"/>
  <c r="Q11" i="38"/>
  <c r="X11" i="38" s="1"/>
  <c r="W11" i="38" s="1"/>
  <c r="Q18" i="38"/>
  <c r="X18" i="38" s="1"/>
  <c r="W18" i="38" s="1"/>
  <c r="Q55" i="38"/>
  <c r="X55" i="38" s="1"/>
  <c r="W55" i="38" s="1"/>
  <c r="Q125" i="38"/>
  <c r="Q50" i="38"/>
  <c r="X50" i="38" s="1"/>
  <c r="W50" i="38" s="1"/>
  <c r="Q181" i="38"/>
  <c r="X181" i="38" s="1"/>
  <c r="W181" i="38" s="1"/>
  <c r="Q157" i="38"/>
  <c r="X157" i="38" s="1"/>
  <c r="W157" i="38" s="1"/>
  <c r="Q135" i="38"/>
  <c r="Q77" i="38"/>
  <c r="X77" i="38" s="1"/>
  <c r="W77" i="38" s="1"/>
  <c r="Q202" i="38"/>
  <c r="X202" i="38" s="1"/>
  <c r="W202" i="38" s="1"/>
  <c r="Q219" i="38"/>
  <c r="X219" i="38" s="1"/>
  <c r="W219" i="38" s="1"/>
  <c r="Q23" i="38"/>
  <c r="X23" i="38" s="1"/>
  <c r="W23" i="38" s="1"/>
  <c r="Q40" i="38"/>
  <c r="X40" i="38" s="1"/>
  <c r="W40" i="38" s="1"/>
  <c r="Q183" i="38"/>
  <c r="X183" i="38" s="1"/>
  <c r="W183" i="38" s="1"/>
  <c r="Q117" i="38"/>
  <c r="X117" i="38" s="1"/>
  <c r="W117" i="38" s="1"/>
  <c r="Q145" i="38"/>
  <c r="X145" i="38" s="1"/>
  <c r="W145" i="38" s="1"/>
  <c r="Q175" i="38"/>
  <c r="X175" i="38" s="1"/>
  <c r="W175" i="38" s="1"/>
  <c r="Q123" i="38"/>
  <c r="Q184" i="38"/>
  <c r="X184" i="38" s="1"/>
  <c r="W184" i="38" s="1"/>
  <c r="Q90" i="38"/>
  <c r="X90" i="38" s="1"/>
  <c r="W90" i="38" s="1"/>
  <c r="Q190" i="38"/>
  <c r="X190" i="38" s="1"/>
  <c r="W190" i="38" s="1"/>
  <c r="Q104" i="38"/>
  <c r="X104" i="38" s="1"/>
  <c r="W104" i="38" s="1"/>
  <c r="Q33" i="38"/>
  <c r="X33" i="38" s="1"/>
  <c r="W33" i="38" s="1"/>
  <c r="Q65" i="38"/>
  <c r="X65" i="38" s="1"/>
  <c r="W65" i="38" s="1"/>
  <c r="Q130" i="38"/>
  <c r="X130" i="38" s="1"/>
  <c r="W130" i="38" s="1"/>
  <c r="Q228" i="38"/>
  <c r="X228" i="38" s="1"/>
  <c r="W228" i="38" s="1"/>
  <c r="Q101" i="38"/>
  <c r="X101" i="38" s="1"/>
  <c r="W101" i="38" s="1"/>
  <c r="Q61" i="38"/>
  <c r="X61" i="38" s="1"/>
  <c r="W61" i="38" s="1"/>
  <c r="Q173" i="38"/>
  <c r="X173" i="38" s="1"/>
  <c r="W173" i="38" s="1"/>
  <c r="Q60" i="38"/>
  <c r="X60" i="38" s="1"/>
  <c r="W60" i="38" s="1"/>
  <c r="Q99" i="38"/>
  <c r="X99" i="38" s="1"/>
  <c r="W99" i="38" s="1"/>
  <c r="N42" i="76"/>
  <c r="Q96" i="38"/>
  <c r="X96" i="38" s="1"/>
  <c r="W96" i="38" s="1"/>
  <c r="Q94" i="38"/>
  <c r="X94" i="38" s="1"/>
  <c r="W94" i="38" s="1"/>
  <c r="Q177" i="38"/>
  <c r="X177" i="38" s="1"/>
  <c r="W177" i="38" s="1"/>
  <c r="Q30" i="38"/>
  <c r="X30" i="38" s="1"/>
  <c r="W30" i="38" s="1"/>
  <c r="Q63" i="38"/>
  <c r="X63" i="38" s="1"/>
  <c r="W63" i="38" s="1"/>
  <c r="Q154" i="38"/>
  <c r="X154" i="38" s="1"/>
  <c r="W154" i="38" s="1"/>
  <c r="M39" i="76"/>
  <c r="Q182" i="38"/>
  <c r="X182" i="38" s="1"/>
  <c r="W182" i="38" s="1"/>
  <c r="Q133" i="38"/>
  <c r="Q86" i="38"/>
  <c r="X86" i="38" s="1"/>
  <c r="W86" i="38" s="1"/>
  <c r="Q69" i="38"/>
  <c r="X69" i="38" s="1"/>
  <c r="W69" i="38" s="1"/>
  <c r="Q176" i="38"/>
  <c r="X176" i="38" s="1"/>
  <c r="W176" i="38" s="1"/>
  <c r="Q48" i="38"/>
  <c r="X48" i="38" s="1"/>
  <c r="W48" i="38" s="1"/>
  <c r="Q54" i="38"/>
  <c r="X54" i="38" s="1"/>
  <c r="W54" i="38" s="1"/>
  <c r="Q95" i="38"/>
  <c r="X95" i="38" s="1"/>
  <c r="W95" i="38" s="1"/>
  <c r="Q222" i="38"/>
  <c r="X222" i="38" s="1"/>
  <c r="W222" i="38" s="1"/>
  <c r="Q289" i="38"/>
  <c r="Q292" i="38"/>
  <c r="Q334" i="38"/>
  <c r="T9" i="38"/>
  <c r="M67" i="12"/>
  <c r="Q320" i="38"/>
  <c r="Q298" i="38"/>
  <c r="Q302" i="38"/>
  <c r="Q472" i="38"/>
  <c r="Q310" i="38"/>
  <c r="Q401" i="38"/>
  <c r="Q478" i="38"/>
  <c r="Q464" i="38"/>
  <c r="Q344" i="38"/>
  <c r="Q266" i="38"/>
  <c r="Q466" i="38"/>
  <c r="Q35" i="38"/>
  <c r="X35" i="38" s="1"/>
  <c r="W35" i="38" s="1"/>
  <c r="M202" i="12"/>
  <c r="M205" i="12" s="1"/>
  <c r="Q349" i="38"/>
  <c r="M41" i="76"/>
  <c r="Q76" i="38"/>
  <c r="X76" i="38" s="1"/>
  <c r="W76" i="38" s="1"/>
  <c r="Q105" i="38"/>
  <c r="X105" i="38" s="1"/>
  <c r="W105" i="38" s="1"/>
  <c r="Q226" i="38"/>
  <c r="X226" i="38" s="1"/>
  <c r="W226" i="38" s="1"/>
  <c r="Q120" i="38"/>
  <c r="X120" i="38" s="1"/>
  <c r="W120" i="38" s="1"/>
  <c r="Q89" i="38"/>
  <c r="X89" i="38" s="1"/>
  <c r="W89" i="38" s="1"/>
  <c r="Q113" i="38"/>
  <c r="X113" i="38" s="1"/>
  <c r="W113" i="38" s="1"/>
  <c r="Q159" i="38"/>
  <c r="X159" i="38" s="1"/>
  <c r="W159" i="38" s="1"/>
  <c r="Q162" i="38"/>
  <c r="X162" i="38" s="1"/>
  <c r="W162" i="38" s="1"/>
  <c r="Q14" i="38"/>
  <c r="X14" i="38" s="1"/>
  <c r="W14" i="38" s="1"/>
  <c r="Q71" i="38"/>
  <c r="X71" i="38" s="1"/>
  <c r="W71" i="38" s="1"/>
  <c r="Q84" i="38"/>
  <c r="X84" i="38" s="1"/>
  <c r="W84" i="38" s="1"/>
  <c r="Q203" i="38"/>
  <c r="X203" i="38" s="1"/>
  <c r="W203" i="38" s="1"/>
  <c r="Q85" i="38"/>
  <c r="X85" i="38" s="1"/>
  <c r="W85" i="38" s="1"/>
  <c r="Q64" i="38"/>
  <c r="X64" i="38" s="1"/>
  <c r="W64" i="38" s="1"/>
  <c r="Q194" i="38"/>
  <c r="X194" i="38" s="1"/>
  <c r="W194" i="38" s="1"/>
  <c r="Q29" i="38"/>
  <c r="X29" i="38" s="1"/>
  <c r="W29" i="38" s="1"/>
  <c r="Q37" i="38"/>
  <c r="X37" i="38" s="1"/>
  <c r="W37" i="38" s="1"/>
  <c r="Q218" i="38"/>
  <c r="X218" i="38" s="1"/>
  <c r="W218" i="38" s="1"/>
  <c r="Q143" i="38"/>
  <c r="X143" i="38" s="1"/>
  <c r="W143" i="38" s="1"/>
  <c r="Q151" i="38"/>
  <c r="X151" i="38" s="1"/>
  <c r="W151" i="38" s="1"/>
  <c r="Q107" i="38"/>
  <c r="X107" i="38" s="1"/>
  <c r="W107" i="38" s="1"/>
  <c r="Q198" i="38"/>
  <c r="X198" i="38" s="1"/>
  <c r="W198" i="38" s="1"/>
  <c r="Q207" i="38"/>
  <c r="X207" i="38" s="1"/>
  <c r="W207" i="38" s="1"/>
  <c r="Q225" i="38"/>
  <c r="X225" i="38" s="1"/>
  <c r="W225" i="38" s="1"/>
  <c r="Q216" i="38"/>
  <c r="X216" i="38" s="1"/>
  <c r="W216" i="38" s="1"/>
  <c r="Q206" i="38"/>
  <c r="X206" i="38" s="1"/>
  <c r="W206" i="38" s="1"/>
  <c r="Q44" i="38"/>
  <c r="X44" i="38" s="1"/>
  <c r="W44" i="38" s="1"/>
  <c r="Q111" i="38"/>
  <c r="X111" i="38" s="1"/>
  <c r="W111" i="38" s="1"/>
  <c r="Q187" i="38"/>
  <c r="X187" i="38" s="1"/>
  <c r="W187" i="38" s="1"/>
  <c r="Q214" i="38"/>
  <c r="X214" i="38" s="1"/>
  <c r="W214" i="38" s="1"/>
  <c r="Q212" i="38"/>
  <c r="X212" i="38" s="1"/>
  <c r="W212" i="38" s="1"/>
  <c r="Q197" i="38"/>
  <c r="X197" i="38" s="1"/>
  <c r="W197" i="38" s="1"/>
  <c r="Q398" i="38"/>
  <c r="Q153" i="38"/>
  <c r="X153" i="38" s="1"/>
  <c r="W153" i="38" s="1"/>
  <c r="Q180" i="38"/>
  <c r="X180" i="38" s="1"/>
  <c r="W180" i="38" s="1"/>
  <c r="Q118" i="38"/>
  <c r="X118" i="38" s="1"/>
  <c r="W118" i="38" s="1"/>
  <c r="Q425" i="38"/>
  <c r="Q522" i="38"/>
  <c r="Q412" i="38"/>
  <c r="Q297" i="38"/>
  <c r="Q488" i="38"/>
  <c r="Q363" i="38"/>
  <c r="Q233" i="38"/>
  <c r="X233" i="38" s="1"/>
  <c r="W233" i="38" s="1"/>
  <c r="Q31" i="38"/>
  <c r="X31" i="38" s="1"/>
  <c r="W31" i="38" s="1"/>
  <c r="Q158" i="38"/>
  <c r="X158" i="38" s="1"/>
  <c r="W158" i="38" s="1"/>
  <c r="Q13" i="38"/>
  <c r="X13" i="38" s="1"/>
  <c r="W13" i="38" s="1"/>
  <c r="AA12" i="38"/>
  <c r="Q32" i="38"/>
  <c r="X32" i="38" s="1"/>
  <c r="W32" i="38" s="1"/>
  <c r="Q43" i="38"/>
  <c r="X43" i="38" s="1"/>
  <c r="W43" i="38" s="1"/>
  <c r="Q137" i="38"/>
  <c r="Q46" i="38"/>
  <c r="X46" i="38" s="1"/>
  <c r="W46" i="38" s="1"/>
  <c r="Q102" i="38"/>
  <c r="X102" i="38" s="1"/>
  <c r="W102" i="38" s="1"/>
  <c r="Q58" i="38"/>
  <c r="X58" i="38" s="1"/>
  <c r="W58" i="38" s="1"/>
  <c r="Q209" i="38"/>
  <c r="Q88" i="38"/>
  <c r="X88" i="38" s="1"/>
  <c r="W88" i="38" s="1"/>
  <c r="AA91" i="38" l="1"/>
  <c r="AA124" i="38"/>
  <c r="AA220" i="38"/>
  <c r="AA138" i="38"/>
  <c r="AA38" i="38"/>
  <c r="U80" i="38"/>
  <c r="V80" i="38" s="1"/>
  <c r="U144" i="38"/>
  <c r="V144" i="38" s="1"/>
  <c r="AA132" i="38"/>
  <c r="AA62" i="38"/>
  <c r="AA17" i="38"/>
  <c r="U165" i="38"/>
  <c r="V165" i="38" s="1"/>
  <c r="U28" i="38"/>
  <c r="V28" i="38" s="1"/>
  <c r="AA188" i="38"/>
  <c r="N297" i="37"/>
  <c r="N300" i="37" s="1"/>
  <c r="N302" i="37" s="1"/>
  <c r="U170" i="38"/>
  <c r="V170" i="38" s="1"/>
  <c r="AA52" i="38"/>
  <c r="AA19" i="38"/>
  <c r="W10" i="38"/>
  <c r="AA10" i="38" s="1"/>
  <c r="AA100" i="38"/>
  <c r="N46" i="76"/>
  <c r="AA208" i="38"/>
  <c r="AA34" i="38"/>
  <c r="AA204" i="38"/>
  <c r="M108" i="12"/>
  <c r="J8" i="45" s="1"/>
  <c r="M46" i="76"/>
  <c r="U227" i="38"/>
  <c r="V227" i="38" s="1"/>
  <c r="AA227" i="38"/>
  <c r="AA72" i="38"/>
  <c r="U72" i="38"/>
  <c r="V72" i="38" s="1"/>
  <c r="X155" i="38"/>
  <c r="M112" i="12"/>
  <c r="J12" i="45" s="1"/>
  <c r="AA30" i="38"/>
  <c r="U30" i="38"/>
  <c r="V30" i="38" s="1"/>
  <c r="AA50" i="38"/>
  <c r="U50" i="38"/>
  <c r="V50" i="38" s="1"/>
  <c r="N142" i="12"/>
  <c r="N75" i="12"/>
  <c r="N78" i="12" s="1"/>
  <c r="N80" i="12" s="1"/>
  <c r="AA102" i="38"/>
  <c r="U102" i="38"/>
  <c r="V102" i="38" s="1"/>
  <c r="U158" i="38"/>
  <c r="V158" i="38" s="1"/>
  <c r="AA158" i="38"/>
  <c r="U180" i="38"/>
  <c r="V180" i="38" s="1"/>
  <c r="AA180" i="38"/>
  <c r="U44" i="38"/>
  <c r="V44" i="38" s="1"/>
  <c r="AA44" i="38"/>
  <c r="AA143" i="38"/>
  <c r="U143" i="38"/>
  <c r="V143" i="38" s="1"/>
  <c r="AA84" i="38"/>
  <c r="U84" i="38"/>
  <c r="V84" i="38" s="1"/>
  <c r="U226" i="38"/>
  <c r="V226" i="38" s="1"/>
  <c r="AA226" i="38"/>
  <c r="AA48" i="38"/>
  <c r="U48" i="38"/>
  <c r="V48" i="38" s="1"/>
  <c r="U63" i="38"/>
  <c r="V63" i="38" s="1"/>
  <c r="AA63" i="38"/>
  <c r="AA96" i="38"/>
  <c r="U96" i="38"/>
  <c r="V96" i="38" s="1"/>
  <c r="AA228" i="38"/>
  <c r="U228" i="38"/>
  <c r="V228" i="38" s="1"/>
  <c r="M142" i="12"/>
  <c r="X123" i="38"/>
  <c r="AA202" i="38"/>
  <c r="U202" i="38"/>
  <c r="V202" i="38" s="1"/>
  <c r="AA18" i="38"/>
  <c r="U18" i="38"/>
  <c r="V18" i="38" s="1"/>
  <c r="AA230" i="38"/>
  <c r="U230" i="38"/>
  <c r="V230" i="38" s="1"/>
  <c r="U93" i="38"/>
  <c r="V93" i="38" s="1"/>
  <c r="AA93" i="38"/>
  <c r="U112" i="38"/>
  <c r="V112" i="38" s="1"/>
  <c r="AA112" i="38"/>
  <c r="U108" i="38"/>
  <c r="V108" i="38" s="1"/>
  <c r="AA108" i="38"/>
  <c r="N144" i="12"/>
  <c r="K22" i="45" s="1"/>
  <c r="AA167" i="38"/>
  <c r="U167" i="38"/>
  <c r="V167" i="38" s="1"/>
  <c r="U114" i="38"/>
  <c r="V114" i="38" s="1"/>
  <c r="AA114" i="38"/>
  <c r="X171" i="38"/>
  <c r="M113" i="12"/>
  <c r="J13" i="45" s="1"/>
  <c r="U81" i="38"/>
  <c r="V81" i="38" s="1"/>
  <c r="AA81" i="38"/>
  <c r="AA103" i="38"/>
  <c r="U103" i="38"/>
  <c r="V103" i="38" s="1"/>
  <c r="N18" i="12"/>
  <c r="N93" i="76" s="1"/>
  <c r="N109" i="12"/>
  <c r="K9" i="45" s="1"/>
  <c r="AA22" i="38"/>
  <c r="U22" i="38"/>
  <c r="V22" i="38" s="1"/>
  <c r="AA126" i="38"/>
  <c r="U126" i="38"/>
  <c r="V126" i="38" s="1"/>
  <c r="X163" i="38"/>
  <c r="M111" i="12"/>
  <c r="J11" i="45" s="1"/>
  <c r="U148" i="38"/>
  <c r="V148" i="38" s="1"/>
  <c r="AA148" i="38"/>
  <c r="AA79" i="38"/>
  <c r="U79" i="38"/>
  <c r="V79" i="38" s="1"/>
  <c r="U147" i="38"/>
  <c r="V147" i="38" s="1"/>
  <c r="AA147" i="38"/>
  <c r="AA234" i="38"/>
  <c r="U234" i="38"/>
  <c r="V234" i="38" s="1"/>
  <c r="X121" i="38"/>
  <c r="M23" i="12"/>
  <c r="AA53" i="38"/>
  <c r="U53" i="38"/>
  <c r="V53" i="38" s="1"/>
  <c r="U32" i="38"/>
  <c r="V32" i="38" s="1"/>
  <c r="AA32" i="38"/>
  <c r="U207" i="38"/>
  <c r="V207" i="38" s="1"/>
  <c r="AA207" i="38"/>
  <c r="AA159" i="38"/>
  <c r="U159" i="38"/>
  <c r="V159" i="38" s="1"/>
  <c r="N19" i="12"/>
  <c r="N141" i="76" s="1"/>
  <c r="X133" i="38"/>
  <c r="M146" i="12"/>
  <c r="J24" i="45" s="1"/>
  <c r="AA60" i="38"/>
  <c r="U60" i="38"/>
  <c r="V60" i="38" s="1"/>
  <c r="U104" i="38"/>
  <c r="V104" i="38" s="1"/>
  <c r="AA104" i="38"/>
  <c r="U183" i="38"/>
  <c r="V183" i="38" s="1"/>
  <c r="AA183" i="38"/>
  <c r="U181" i="38"/>
  <c r="V181" i="38" s="1"/>
  <c r="AA181" i="38"/>
  <c r="X59" i="38"/>
  <c r="M17" i="12"/>
  <c r="N146" i="76"/>
  <c r="AA26" i="38"/>
  <c r="U26" i="38"/>
  <c r="V26" i="38" s="1"/>
  <c r="AA110" i="38"/>
  <c r="U110" i="38"/>
  <c r="V110" i="38" s="1"/>
  <c r="AA130" i="38"/>
  <c r="U130" i="38"/>
  <c r="V130" i="38" s="1"/>
  <c r="U175" i="38"/>
  <c r="V175" i="38" s="1"/>
  <c r="AA175" i="38"/>
  <c r="AA77" i="38"/>
  <c r="U77" i="38"/>
  <c r="V77" i="38" s="1"/>
  <c r="U11" i="38"/>
  <c r="AA11" i="38"/>
  <c r="X191" i="38"/>
  <c r="U196" i="38"/>
  <c r="V196" i="38" s="1"/>
  <c r="AA196" i="38"/>
  <c r="U25" i="38"/>
  <c r="V25" i="38" s="1"/>
  <c r="AA25" i="38"/>
  <c r="M75" i="12"/>
  <c r="M78" i="12" s="1"/>
  <c r="M80" i="12" s="1"/>
  <c r="AA47" i="38"/>
  <c r="U47" i="38"/>
  <c r="V47" i="38" s="1"/>
  <c r="AA156" i="38"/>
  <c r="U156" i="38"/>
  <c r="V156" i="38" s="1"/>
  <c r="X161" i="38"/>
  <c r="M110" i="12"/>
  <c r="J10" i="45" s="1"/>
  <c r="U166" i="38"/>
  <c r="V166" i="38" s="1"/>
  <c r="AA166" i="38"/>
  <c r="AA172" i="38"/>
  <c r="U172" i="38"/>
  <c r="V172" i="38" s="1"/>
  <c r="U152" i="38"/>
  <c r="V152" i="38" s="1"/>
  <c r="AA152" i="38"/>
  <c r="U109" i="38"/>
  <c r="V109" i="38" s="1"/>
  <c r="AA109" i="38"/>
  <c r="X129" i="38"/>
  <c r="U92" i="38"/>
  <c r="V92" i="38" s="1"/>
  <c r="AA92" i="38"/>
  <c r="U210" i="38"/>
  <c r="V210" i="38" s="1"/>
  <c r="AA210" i="38"/>
  <c r="N110" i="12"/>
  <c r="K10" i="45" s="1"/>
  <c r="N107" i="12"/>
  <c r="K7" i="45" s="1"/>
  <c r="AA182" i="38"/>
  <c r="U182" i="38"/>
  <c r="V182" i="38" s="1"/>
  <c r="U190" i="38"/>
  <c r="V190" i="38" s="1"/>
  <c r="AA190" i="38"/>
  <c r="AA174" i="38"/>
  <c r="U174" i="38"/>
  <c r="V174" i="38" s="1"/>
  <c r="AA65" i="38"/>
  <c r="U65" i="38"/>
  <c r="V65" i="38" s="1"/>
  <c r="AA145" i="38"/>
  <c r="U145" i="38"/>
  <c r="V145" i="38" s="1"/>
  <c r="X135" i="38"/>
  <c r="X199" i="38"/>
  <c r="M84" i="12"/>
  <c r="M66" i="72"/>
  <c r="U160" i="38"/>
  <c r="V160" i="38" s="1"/>
  <c r="AA160" i="38"/>
  <c r="AA82" i="38"/>
  <c r="U82" i="38"/>
  <c r="V82" i="38" s="1"/>
  <c r="W169" i="38"/>
  <c r="M145" i="12"/>
  <c r="J23" i="45" s="1"/>
  <c r="AA186" i="38"/>
  <c r="U186" i="38"/>
  <c r="V186" i="38" s="1"/>
  <c r="N30" i="12"/>
  <c r="N243" i="76" s="1"/>
  <c r="U232" i="38"/>
  <c r="V232" i="38" s="1"/>
  <c r="AA232" i="38"/>
  <c r="U20" i="38"/>
  <c r="V20" i="38" s="1"/>
  <c r="AA20" i="38"/>
  <c r="U68" i="38"/>
  <c r="V68" i="38" s="1"/>
  <c r="AA68" i="38"/>
  <c r="AA16" i="38"/>
  <c r="U16" i="38"/>
  <c r="V16" i="38" s="1"/>
  <c r="AA24" i="38"/>
  <c r="U24" i="38"/>
  <c r="V24" i="38" s="1"/>
  <c r="M67" i="72"/>
  <c r="M133" i="12"/>
  <c r="X15" i="45" s="1"/>
  <c r="N146" i="12"/>
  <c r="K24" i="45" s="1"/>
  <c r="AA67" i="38"/>
  <c r="U67" i="38"/>
  <c r="V67" i="38" s="1"/>
  <c r="U213" i="38"/>
  <c r="V213" i="38" s="1"/>
  <c r="AA213" i="38"/>
  <c r="U192" i="38"/>
  <c r="V192" i="38" s="1"/>
  <c r="AA192" i="38"/>
  <c r="W185" i="38"/>
  <c r="AA106" i="38"/>
  <c r="U106" i="38"/>
  <c r="V106" i="38" s="1"/>
  <c r="AA140" i="38"/>
  <c r="U140" i="38"/>
  <c r="V140" i="38" s="1"/>
  <c r="U88" i="38"/>
  <c r="V88" i="38" s="1"/>
  <c r="AA88" i="38"/>
  <c r="AA214" i="38"/>
  <c r="U214" i="38"/>
  <c r="V214" i="38" s="1"/>
  <c r="U198" i="38"/>
  <c r="V198" i="38" s="1"/>
  <c r="AA198" i="38"/>
  <c r="AA64" i="38"/>
  <c r="U64" i="38"/>
  <c r="V64" i="38" s="1"/>
  <c r="U113" i="38"/>
  <c r="V113" i="38" s="1"/>
  <c r="AA113" i="38"/>
  <c r="AA222" i="38"/>
  <c r="U222" i="38"/>
  <c r="V222" i="38" s="1"/>
  <c r="AA173" i="38"/>
  <c r="U173" i="38"/>
  <c r="V173" i="38" s="1"/>
  <c r="AA40" i="38"/>
  <c r="U40" i="38"/>
  <c r="V40" i="38" s="1"/>
  <c r="U46" i="38"/>
  <c r="V46" i="38" s="1"/>
  <c r="AA46" i="38"/>
  <c r="U31" i="38"/>
  <c r="V31" i="38" s="1"/>
  <c r="AA31" i="38"/>
  <c r="U153" i="38"/>
  <c r="V153" i="38" s="1"/>
  <c r="AA153" i="38"/>
  <c r="U206" i="38"/>
  <c r="V206" i="38" s="1"/>
  <c r="AA206" i="38"/>
  <c r="U218" i="38"/>
  <c r="V218" i="38" s="1"/>
  <c r="AA218" i="38"/>
  <c r="U71" i="38"/>
  <c r="V71" i="38" s="1"/>
  <c r="AA71" i="38"/>
  <c r="AA105" i="38"/>
  <c r="U105" i="38"/>
  <c r="V105" i="38" s="1"/>
  <c r="AA176" i="38"/>
  <c r="U176" i="38"/>
  <c r="V176" i="38" s="1"/>
  <c r="W193" i="38"/>
  <c r="X137" i="38"/>
  <c r="U233" i="38"/>
  <c r="V233" i="38" s="1"/>
  <c r="AA233" i="38"/>
  <c r="N145" i="12"/>
  <c r="K23" i="45" s="1"/>
  <c r="N132" i="76"/>
  <c r="N113" i="12"/>
  <c r="K13" i="45" s="1"/>
  <c r="U216" i="38"/>
  <c r="V216" i="38" s="1"/>
  <c r="AA216" i="38"/>
  <c r="U37" i="38"/>
  <c r="V37" i="38" s="1"/>
  <c r="AA37" i="38"/>
  <c r="AA14" i="38"/>
  <c r="U14" i="38"/>
  <c r="V14" i="38" s="1"/>
  <c r="AA76" i="38"/>
  <c r="U76" i="38"/>
  <c r="V76" i="38" s="1"/>
  <c r="AA69" i="38"/>
  <c r="U69" i="38"/>
  <c r="V69" i="38" s="1"/>
  <c r="U97" i="38"/>
  <c r="V97" i="38" s="1"/>
  <c r="AA97" i="38"/>
  <c r="X195" i="38"/>
  <c r="U43" i="38"/>
  <c r="V43" i="38" s="1"/>
  <c r="AA43" i="38"/>
  <c r="U197" i="38"/>
  <c r="V197" i="38" s="1"/>
  <c r="AA197" i="38"/>
  <c r="AA225" i="38"/>
  <c r="U225" i="38"/>
  <c r="V225" i="38" s="1"/>
  <c r="U29" i="38"/>
  <c r="V29" i="38" s="1"/>
  <c r="AA29" i="38"/>
  <c r="U162" i="38"/>
  <c r="V162" i="38" s="1"/>
  <c r="AA162" i="38"/>
  <c r="U86" i="38"/>
  <c r="V86" i="38" s="1"/>
  <c r="AA86" i="38"/>
  <c r="AA99" i="38"/>
  <c r="U99" i="38"/>
  <c r="V99" i="38" s="1"/>
  <c r="AA33" i="38"/>
  <c r="U33" i="38"/>
  <c r="U117" i="38"/>
  <c r="AA117" i="38"/>
  <c r="AA157" i="38"/>
  <c r="U157" i="38"/>
  <c r="V157" i="38" s="1"/>
  <c r="U75" i="38"/>
  <c r="V75" i="38" s="1"/>
  <c r="AA75" i="38"/>
  <c r="U66" i="38"/>
  <c r="V66" i="38" s="1"/>
  <c r="AA66" i="38"/>
  <c r="U136" i="38"/>
  <c r="V136" i="38" s="1"/>
  <c r="AA136" i="38"/>
  <c r="N149" i="76"/>
  <c r="N143" i="12"/>
  <c r="K21" i="45" s="1"/>
  <c r="M68" i="72"/>
  <c r="M86" i="12"/>
  <c r="M169" i="12"/>
  <c r="X29" i="45" s="1"/>
  <c r="X231" i="38"/>
  <c r="U51" i="38"/>
  <c r="V51" i="38" s="1"/>
  <c r="AA51" i="38"/>
  <c r="AA98" i="38"/>
  <c r="U98" i="38"/>
  <c r="V98" i="38" s="1"/>
  <c r="AA36" i="38"/>
  <c r="U36" i="38"/>
  <c r="V36" i="38" s="1"/>
  <c r="AA74" i="38"/>
  <c r="U74" i="38"/>
  <c r="V74" i="38" s="1"/>
  <c r="U57" i="38"/>
  <c r="V57" i="38" s="1"/>
  <c r="AA57" i="38"/>
  <c r="U179" i="38"/>
  <c r="V179" i="38" s="1"/>
  <c r="AA179" i="38"/>
  <c r="AA178" i="38"/>
  <c r="U178" i="38"/>
  <c r="V178" i="38" s="1"/>
  <c r="X139" i="38"/>
  <c r="M109" i="12"/>
  <c r="J9" i="45" s="1"/>
  <c r="M18" i="12"/>
  <c r="M96" i="76" s="1"/>
  <c r="U142" i="38"/>
  <c r="V142" i="38" s="1"/>
  <c r="AA142" i="38"/>
  <c r="W21" i="38"/>
  <c r="N112" i="12"/>
  <c r="K12" i="45" s="1"/>
  <c r="U150" i="38"/>
  <c r="V150" i="38" s="1"/>
  <c r="AA150" i="38"/>
  <c r="U211" i="38"/>
  <c r="V211" i="38" s="1"/>
  <c r="AA211" i="38"/>
  <c r="X205" i="38"/>
  <c r="U39" i="38"/>
  <c r="AA39" i="38"/>
  <c r="X131" i="38"/>
  <c r="M148" i="12"/>
  <c r="J26" i="45" s="1"/>
  <c r="AA87" i="38"/>
  <c r="U87" i="38"/>
  <c r="V87" i="38" s="1"/>
  <c r="N111" i="12"/>
  <c r="K11" i="45" s="1"/>
  <c r="N140" i="76"/>
  <c r="M20" i="12"/>
  <c r="U212" i="38"/>
  <c r="V212" i="38" s="1"/>
  <c r="AA212" i="38"/>
  <c r="AA194" i="38"/>
  <c r="U194" i="38"/>
  <c r="V194" i="38" s="1"/>
  <c r="AA177" i="38"/>
  <c r="U177" i="38"/>
  <c r="V177" i="38" s="1"/>
  <c r="U61" i="38"/>
  <c r="V61" i="38" s="1"/>
  <c r="AA61" i="38"/>
  <c r="AA90" i="38"/>
  <c r="U90" i="38"/>
  <c r="V90" i="38" s="1"/>
  <c r="U23" i="38"/>
  <c r="V23" i="38" s="1"/>
  <c r="AA23" i="38"/>
  <c r="X125" i="38"/>
  <c r="M144" i="12"/>
  <c r="J22" i="45" s="1"/>
  <c r="X116" i="38"/>
  <c r="M30" i="12"/>
  <c r="M244" i="76" s="1"/>
  <c r="N148" i="12"/>
  <c r="K26" i="45" s="1"/>
  <c r="N142" i="76"/>
  <c r="U134" i="38"/>
  <c r="V134" i="38" s="1"/>
  <c r="AA134" i="38"/>
  <c r="AA141" i="38"/>
  <c r="U141" i="38"/>
  <c r="V141" i="38" s="1"/>
  <c r="X201" i="38"/>
  <c r="X127" i="38"/>
  <c r="X221" i="38"/>
  <c r="U42" i="38"/>
  <c r="V42" i="38" s="1"/>
  <c r="AA42" i="38"/>
  <c r="N147" i="12"/>
  <c r="K25" i="45" s="1"/>
  <c r="N147" i="76"/>
  <c r="W9" i="38"/>
  <c r="M40" i="12"/>
  <c r="J26" i="42" s="1"/>
  <c r="N20" i="12"/>
  <c r="N206" i="76" s="1"/>
  <c r="U215" i="38"/>
  <c r="V215" i="38" s="1"/>
  <c r="AA215" i="38"/>
  <c r="N135" i="76"/>
  <c r="X119" i="38"/>
  <c r="M19" i="12"/>
  <c r="M149" i="76" s="1"/>
  <c r="M147" i="12"/>
  <c r="J25" i="45" s="1"/>
  <c r="N106" i="12"/>
  <c r="AA200" i="38"/>
  <c r="U200" i="38"/>
  <c r="V200" i="38" s="1"/>
  <c r="AA83" i="38"/>
  <c r="U83" i="38"/>
  <c r="U146" i="38"/>
  <c r="V146" i="38" s="1"/>
  <c r="AA146" i="38"/>
  <c r="X209" i="38"/>
  <c r="U187" i="38"/>
  <c r="V187" i="38" s="1"/>
  <c r="AA187" i="38"/>
  <c r="AA107" i="38"/>
  <c r="U107" i="38"/>
  <c r="V107" i="38" s="1"/>
  <c r="AA85" i="38"/>
  <c r="U85" i="38"/>
  <c r="V85" i="38" s="1"/>
  <c r="U89" i="38"/>
  <c r="V89" i="38" s="1"/>
  <c r="AA89" i="38"/>
  <c r="AA35" i="38"/>
  <c r="U35" i="38"/>
  <c r="V35" i="38" s="1"/>
  <c r="M87" i="12"/>
  <c r="M69" i="72"/>
  <c r="M54" i="12"/>
  <c r="U95" i="38"/>
  <c r="V95" i="38" s="1"/>
  <c r="AA95" i="38"/>
  <c r="AA122" i="38"/>
  <c r="U122" i="38"/>
  <c r="V122" i="38" s="1"/>
  <c r="N137" i="76"/>
  <c r="AA56" i="38"/>
  <c r="U56" i="38"/>
  <c r="V56" i="38" s="1"/>
  <c r="AA27" i="38"/>
  <c r="U27" i="38"/>
  <c r="V27" i="38" s="1"/>
  <c r="X189" i="38"/>
  <c r="M162" i="12" s="1"/>
  <c r="X23" i="45" s="1"/>
  <c r="AA49" i="38"/>
  <c r="U49" i="38"/>
  <c r="V49" i="38" s="1"/>
  <c r="N149" i="12"/>
  <c r="K27" i="45" s="1"/>
  <c r="AA58" i="38"/>
  <c r="U58" i="38"/>
  <c r="V58" i="38" s="1"/>
  <c r="U13" i="38"/>
  <c r="AA13" i="38"/>
  <c r="U118" i="38"/>
  <c r="AA118" i="38"/>
  <c r="AA111" i="38"/>
  <c r="U111" i="38"/>
  <c r="V111" i="38" s="1"/>
  <c r="AA151" i="38"/>
  <c r="U151" i="38"/>
  <c r="V151" i="38" s="1"/>
  <c r="U203" i="38"/>
  <c r="V203" i="38" s="1"/>
  <c r="AA203" i="38"/>
  <c r="U120" i="38"/>
  <c r="V120" i="38" s="1"/>
  <c r="AA120" i="38"/>
  <c r="U54" i="38"/>
  <c r="V54" i="38" s="1"/>
  <c r="AA54" i="38"/>
  <c r="AA154" i="38"/>
  <c r="U154" i="38"/>
  <c r="V154" i="38" s="1"/>
  <c r="AA94" i="38"/>
  <c r="U94" i="38"/>
  <c r="V94" i="38" s="1"/>
  <c r="AA101" i="38"/>
  <c r="U101" i="38"/>
  <c r="V101" i="38" s="1"/>
  <c r="AA184" i="38"/>
  <c r="U184" i="38"/>
  <c r="V184" i="38" s="1"/>
  <c r="AA219" i="38"/>
  <c r="U219" i="38"/>
  <c r="V219" i="38" s="1"/>
  <c r="U55" i="38"/>
  <c r="V55" i="38" s="1"/>
  <c r="AA55" i="38"/>
  <c r="M143" i="12"/>
  <c r="J21" i="45" s="1"/>
  <c r="X229" i="38"/>
  <c r="N17" i="12"/>
  <c r="N71" i="76" s="1"/>
  <c r="M97" i="12"/>
  <c r="M79" i="72"/>
  <c r="AA78" i="38"/>
  <c r="U78" i="38"/>
  <c r="V78" i="38" s="1"/>
  <c r="AA115" i="38"/>
  <c r="U115" i="38"/>
  <c r="U73" i="38"/>
  <c r="V73" i="38" s="1"/>
  <c r="AA73" i="38"/>
  <c r="AA45" i="38"/>
  <c r="U45" i="38"/>
  <c r="AA128" i="38"/>
  <c r="U128" i="38"/>
  <c r="V128" i="38" s="1"/>
  <c r="U217" i="38"/>
  <c r="V217" i="38" s="1"/>
  <c r="AA217" i="38"/>
  <c r="AA223" i="38"/>
  <c r="U223" i="38"/>
  <c r="V223" i="38" s="1"/>
  <c r="K10" i="42"/>
  <c r="K13" i="42" s="1"/>
  <c r="N26" i="12"/>
  <c r="AA15" i="38"/>
  <c r="U15" i="38"/>
  <c r="V15" i="38" s="1"/>
  <c r="AA224" i="38"/>
  <c r="U224" i="38"/>
  <c r="V224" i="38" s="1"/>
  <c r="U41" i="38"/>
  <c r="AA41" i="38"/>
  <c r="U149" i="38"/>
  <c r="V149" i="38" s="1"/>
  <c r="AA149" i="38"/>
  <c r="AA164" i="38"/>
  <c r="U164" i="38"/>
  <c r="V164" i="38" s="1"/>
  <c r="AA70" i="38"/>
  <c r="U70" i="38"/>
  <c r="V70" i="38" s="1"/>
  <c r="N108" i="12"/>
  <c r="K8" i="45" s="1"/>
  <c r="M90" i="12"/>
  <c r="M93" i="12" s="1"/>
  <c r="M72" i="72"/>
  <c r="N139" i="76" l="1"/>
  <c r="U10" i="38"/>
  <c r="V10" i="38" s="1"/>
  <c r="M137" i="76"/>
  <c r="M133" i="76"/>
  <c r="M243" i="76"/>
  <c r="N133" i="76"/>
  <c r="N90" i="76"/>
  <c r="M97" i="76"/>
  <c r="N92" i="76"/>
  <c r="M125" i="12"/>
  <c r="N96" i="76"/>
  <c r="M147" i="76"/>
  <c r="M150" i="76"/>
  <c r="M95" i="76"/>
  <c r="N244" i="76"/>
  <c r="N246" i="76" s="1"/>
  <c r="N88" i="76"/>
  <c r="M138" i="76"/>
  <c r="X8" i="45"/>
  <c r="N208" i="76"/>
  <c r="V118" i="38"/>
  <c r="M37" i="72"/>
  <c r="W119" i="38"/>
  <c r="M164" i="12"/>
  <c r="X25" i="45" s="1"/>
  <c r="M39" i="12"/>
  <c r="J25" i="42" s="1"/>
  <c r="N73" i="76"/>
  <c r="V117" i="38"/>
  <c r="M36" i="72"/>
  <c r="W135" i="38"/>
  <c r="W59" i="38"/>
  <c r="M37" i="12"/>
  <c r="N151" i="76"/>
  <c r="N148" i="76"/>
  <c r="K7" i="42"/>
  <c r="N136" i="76"/>
  <c r="M128" i="12"/>
  <c r="X11" i="45" s="1"/>
  <c r="W163" i="38"/>
  <c r="M134" i="76"/>
  <c r="W229" i="38"/>
  <c r="M160" i="12"/>
  <c r="X21" i="45" s="1"/>
  <c r="M75" i="72"/>
  <c r="M77" i="72" s="1"/>
  <c r="M80" i="72" s="1"/>
  <c r="K5" i="42"/>
  <c r="N28" i="12"/>
  <c r="N31" i="12" s="1"/>
  <c r="N22" i="76" s="1"/>
  <c r="V13" i="38"/>
  <c r="U9" i="38"/>
  <c r="AA9" i="38"/>
  <c r="M140" i="76"/>
  <c r="W201" i="38"/>
  <c r="M148" i="76"/>
  <c r="V41" i="38"/>
  <c r="M141" i="76"/>
  <c r="K6" i="45"/>
  <c r="K14" i="45" s="1"/>
  <c r="K16" i="45" s="1"/>
  <c r="N115" i="12"/>
  <c r="M161" i="12"/>
  <c r="X22" i="45" s="1"/>
  <c r="W125" i="38"/>
  <c r="M206" i="76"/>
  <c r="J8" i="42"/>
  <c r="V33" i="38"/>
  <c r="M144" i="76"/>
  <c r="AC233" i="38"/>
  <c r="AB233" i="38" s="1"/>
  <c r="AA185" i="38"/>
  <c r="U185" i="38"/>
  <c r="AC232" i="38"/>
  <c r="AB232" i="38" s="1"/>
  <c r="N145" i="76"/>
  <c r="W129" i="38"/>
  <c r="V11" i="38"/>
  <c r="M139" i="76"/>
  <c r="AC230" i="38"/>
  <c r="AB230" i="38" s="1"/>
  <c r="J38" i="42"/>
  <c r="V83" i="38"/>
  <c r="W221" i="38"/>
  <c r="M142" i="76"/>
  <c r="W205" i="38"/>
  <c r="U21" i="38"/>
  <c r="V21" i="38" s="1"/>
  <c r="AA21" i="38"/>
  <c r="W231" i="38"/>
  <c r="M145" i="76"/>
  <c r="U169" i="38"/>
  <c r="AA169" i="38"/>
  <c r="M132" i="76"/>
  <c r="M130" i="12"/>
  <c r="X13" i="45" s="1"/>
  <c r="W171" i="38"/>
  <c r="N143" i="76"/>
  <c r="J20" i="45"/>
  <c r="J28" i="45" s="1"/>
  <c r="J30" i="45" s="1"/>
  <c r="M151" i="12"/>
  <c r="K8" i="42"/>
  <c r="W195" i="38"/>
  <c r="N144" i="76"/>
  <c r="N134" i="76"/>
  <c r="W189" i="38"/>
  <c r="M151" i="76"/>
  <c r="J7" i="42"/>
  <c r="M136" i="76"/>
  <c r="J16" i="42"/>
  <c r="W137" i="38"/>
  <c r="K16" i="42"/>
  <c r="M163" i="12"/>
  <c r="X24" i="45" s="1"/>
  <c r="W133" i="38"/>
  <c r="K20" i="45"/>
  <c r="K28" i="45" s="1"/>
  <c r="K30" i="45" s="1"/>
  <c r="N151" i="12"/>
  <c r="M129" i="12"/>
  <c r="X12" i="45" s="1"/>
  <c r="W155" i="38"/>
  <c r="W127" i="38"/>
  <c r="M50" i="12"/>
  <c r="J34" i="42" s="1"/>
  <c r="W116" i="38"/>
  <c r="W131" i="38"/>
  <c r="M165" i="12"/>
  <c r="X26" i="45" s="1"/>
  <c r="M89" i="76"/>
  <c r="M88" i="76"/>
  <c r="M93" i="76"/>
  <c r="J6" i="42"/>
  <c r="M90" i="76"/>
  <c r="M92" i="76"/>
  <c r="M91" i="76"/>
  <c r="M94" i="76"/>
  <c r="U193" i="38"/>
  <c r="V193" i="38" s="1"/>
  <c r="AA193" i="38"/>
  <c r="W199" i="38"/>
  <c r="M26" i="12"/>
  <c r="J10" i="42"/>
  <c r="J13" i="42" s="1"/>
  <c r="N91" i="76"/>
  <c r="N94" i="76"/>
  <c r="K6" i="42"/>
  <c r="N89" i="76"/>
  <c r="N97" i="76"/>
  <c r="N150" i="76"/>
  <c r="W209" i="38"/>
  <c r="V115" i="38"/>
  <c r="M143" i="76"/>
  <c r="W161" i="38"/>
  <c r="M127" i="12"/>
  <c r="X10" i="45" s="1"/>
  <c r="M135" i="76"/>
  <c r="M71" i="76"/>
  <c r="J5" i="42"/>
  <c r="M28" i="12"/>
  <c r="M31" i="12" s="1"/>
  <c r="M33" i="12" s="1"/>
  <c r="M328" i="76"/>
  <c r="W121" i="38"/>
  <c r="M43" i="12"/>
  <c r="N95" i="76"/>
  <c r="M115" i="12"/>
  <c r="N224" i="76"/>
  <c r="N223" i="76"/>
  <c r="V45" i="38"/>
  <c r="M19" i="72"/>
  <c r="M246" i="76"/>
  <c r="V39" i="38"/>
  <c r="M126" i="12"/>
  <c r="X9" i="45" s="1"/>
  <c r="W139" i="38"/>
  <c r="M38" i="12"/>
  <c r="J24" i="42" s="1"/>
  <c r="M146" i="76"/>
  <c r="W191" i="38"/>
  <c r="AC234" i="38"/>
  <c r="AB234" i="38" s="1"/>
  <c r="N138" i="76"/>
  <c r="M159" i="12"/>
  <c r="W123" i="38"/>
  <c r="J14" i="45"/>
  <c r="J16" i="45" s="1"/>
  <c r="N20" i="76" l="1"/>
  <c r="N23" i="76"/>
  <c r="N24" i="76"/>
  <c r="J15" i="42"/>
  <c r="J17" i="42" s="1"/>
  <c r="J69" i="42" s="1"/>
  <c r="M164" i="72"/>
  <c r="M165" i="72"/>
  <c r="N153" i="76"/>
  <c r="M119" i="12"/>
  <c r="M117" i="12"/>
  <c r="J33" i="45" s="1"/>
  <c r="N19" i="76"/>
  <c r="K57" i="18"/>
  <c r="N33" i="12"/>
  <c r="U163" i="38"/>
  <c r="AA163" i="38"/>
  <c r="AA123" i="38"/>
  <c r="U123" i="38"/>
  <c r="M73" i="76"/>
  <c r="M162" i="72"/>
  <c r="U127" i="38"/>
  <c r="V127" i="38" s="1"/>
  <c r="AA127" i="38"/>
  <c r="M21" i="76"/>
  <c r="AA231" i="38"/>
  <c r="U231" i="38"/>
  <c r="V231" i="38" s="1"/>
  <c r="AA129" i="38"/>
  <c r="U129" i="38"/>
  <c r="V129" i="38" s="1"/>
  <c r="K15" i="42"/>
  <c r="K17" i="42" s="1"/>
  <c r="K69" i="42" s="1"/>
  <c r="X20" i="45"/>
  <c r="X28" i="45" s="1"/>
  <c r="X30" i="45" s="1"/>
  <c r="M168" i="12"/>
  <c r="AA191" i="38"/>
  <c r="U191" i="38"/>
  <c r="V191" i="38" s="1"/>
  <c r="J28" i="42"/>
  <c r="J31" i="42" s="1"/>
  <c r="M46" i="12"/>
  <c r="M163" i="72"/>
  <c r="M170" i="72"/>
  <c r="M82" i="72"/>
  <c r="M169" i="72"/>
  <c r="U171" i="38"/>
  <c r="AA171" i="38"/>
  <c r="U221" i="38"/>
  <c r="V221" i="38" s="1"/>
  <c r="AA221" i="38"/>
  <c r="M22" i="76"/>
  <c r="N117" i="12"/>
  <c r="K33" i="45" s="1"/>
  <c r="N119" i="12"/>
  <c r="U201" i="38"/>
  <c r="AA201" i="38"/>
  <c r="M168" i="72"/>
  <c r="N21" i="76"/>
  <c r="J23" i="42"/>
  <c r="M48" i="12"/>
  <c r="M51" i="12" s="1"/>
  <c r="U119" i="38"/>
  <c r="AA119" i="38"/>
  <c r="AA139" i="38"/>
  <c r="U139" i="38"/>
  <c r="AA121" i="38"/>
  <c r="U121" i="38"/>
  <c r="U209" i="38"/>
  <c r="V209" i="38" s="1"/>
  <c r="AA209" i="38"/>
  <c r="M99" i="76"/>
  <c r="M172" i="72"/>
  <c r="U59" i="38"/>
  <c r="AA59" i="38"/>
  <c r="M29" i="76" s="1"/>
  <c r="AA161" i="38"/>
  <c r="U161" i="38"/>
  <c r="M20" i="76"/>
  <c r="U116" i="38"/>
  <c r="AA116" i="38"/>
  <c r="AA133" i="38"/>
  <c r="U133" i="38"/>
  <c r="U137" i="38"/>
  <c r="AA137" i="38"/>
  <c r="M153" i="76"/>
  <c r="V185" i="38"/>
  <c r="M208" i="76"/>
  <c r="M32" i="76"/>
  <c r="N226" i="76"/>
  <c r="AA155" i="38"/>
  <c r="U155" i="38"/>
  <c r="V9" i="38"/>
  <c r="M49" i="72"/>
  <c r="U135" i="38"/>
  <c r="V135" i="38" s="1"/>
  <c r="AA135" i="38"/>
  <c r="M19" i="76"/>
  <c r="N99" i="76"/>
  <c r="M223" i="76"/>
  <c r="M23" i="76"/>
  <c r="M224" i="76"/>
  <c r="U195" i="38"/>
  <c r="V195" i="38" s="1"/>
  <c r="AA195" i="38"/>
  <c r="U205" i="38"/>
  <c r="V205" i="38" s="1"/>
  <c r="AA205" i="38"/>
  <c r="U125" i="38"/>
  <c r="AA125" i="38"/>
  <c r="AA229" i="38"/>
  <c r="U229" i="38"/>
  <c r="X14" i="45"/>
  <c r="X16" i="45" s="1"/>
  <c r="AA199" i="38"/>
  <c r="U199" i="38"/>
  <c r="V199" i="38" s="1"/>
  <c r="AA131" i="38"/>
  <c r="U131" i="38"/>
  <c r="N155" i="12"/>
  <c r="N153" i="12"/>
  <c r="K34" i="45" s="1"/>
  <c r="M24" i="76"/>
  <c r="AA189" i="38"/>
  <c r="U189" i="38"/>
  <c r="V189" i="38" s="1"/>
  <c r="M153" i="12"/>
  <c r="J34" i="45" s="1"/>
  <c r="M155" i="12"/>
  <c r="V169" i="38"/>
  <c r="M132" i="12"/>
  <c r="P1358" i="38"/>
  <c r="Z1358" i="38" s="1"/>
  <c r="P921" i="38"/>
  <c r="Z921" i="38" s="1"/>
  <c r="P1825" i="38"/>
  <c r="Z1825" i="38" s="1"/>
  <c r="P1138" i="38"/>
  <c r="Z1138" i="38" s="1"/>
  <c r="P1799" i="38"/>
  <c r="Z1799" i="38" s="1"/>
  <c r="P646" i="38"/>
  <c r="Z646" i="38" s="1"/>
  <c r="P601" i="38"/>
  <c r="Z601" i="38" s="1"/>
  <c r="P648" i="38"/>
  <c r="Z648" i="38" s="1"/>
  <c r="P1714" i="38"/>
  <c r="Z1714" i="38" s="1"/>
  <c r="P1081" i="38"/>
  <c r="Z1081" i="38" s="1"/>
  <c r="P577" i="38"/>
  <c r="Z577" i="38" s="1"/>
  <c r="P1386" i="38"/>
  <c r="Z1386" i="38" s="1"/>
  <c r="P1627" i="38"/>
  <c r="Z1627" i="38" s="1"/>
  <c r="P1683" i="38"/>
  <c r="Z1683" i="38" s="1"/>
  <c r="P1383" i="38"/>
  <c r="Z1383" i="38" s="1"/>
  <c r="P1783" i="38"/>
  <c r="Z1783" i="38" s="1"/>
  <c r="P969" i="38"/>
  <c r="Z969" i="38" s="1"/>
  <c r="P958" i="38"/>
  <c r="Z958" i="38" s="1"/>
  <c r="P1392" i="38"/>
  <c r="Z1392" i="38" s="1"/>
  <c r="P1788" i="38"/>
  <c r="Z1788" i="38" s="1"/>
  <c r="P1308" i="38"/>
  <c r="Z1308" i="38" s="1"/>
  <c r="P1391" i="38"/>
  <c r="Z1391" i="38" s="1"/>
  <c r="P733" i="38"/>
  <c r="Z733" i="38" s="1"/>
  <c r="P857" i="38"/>
  <c r="Z857" i="38" s="1"/>
  <c r="P593" i="38"/>
  <c r="Z593" i="38" s="1"/>
  <c r="P669" i="38"/>
  <c r="Z669" i="38" s="1"/>
  <c r="P828" i="38"/>
  <c r="Z828" i="38" s="1"/>
  <c r="P1560" i="38"/>
  <c r="Z1560" i="38" s="1"/>
  <c r="P677" i="38"/>
  <c r="Z677" i="38" s="1"/>
  <c r="P1042" i="38"/>
  <c r="Z1042" i="38" s="1"/>
  <c r="P1274" i="38"/>
  <c r="Z1274" i="38" s="1"/>
  <c r="P896" i="38"/>
  <c r="Z896" i="38" s="1"/>
  <c r="P569" i="38"/>
  <c r="Z569" i="38" s="1"/>
  <c r="P1065" i="38"/>
  <c r="Z1065" i="38" s="1"/>
  <c r="P1111" i="38"/>
  <c r="Z1111" i="38" s="1"/>
  <c r="P1091" i="38"/>
  <c r="Z1091" i="38" s="1"/>
  <c r="P1744" i="38"/>
  <c r="Z1744" i="38" s="1"/>
  <c r="P1342" i="38"/>
  <c r="Z1342" i="38" s="1"/>
  <c r="P1669" i="38"/>
  <c r="Z1669" i="38" s="1"/>
  <c r="P1218" i="38"/>
  <c r="Z1218" i="38" s="1"/>
  <c r="P1307" i="38"/>
  <c r="Z1307" i="38" s="1"/>
  <c r="P1852" i="38"/>
  <c r="Z1852" i="38" s="1"/>
  <c r="P977" i="38"/>
  <c r="Z977" i="38" s="1"/>
  <c r="P1384" i="38"/>
  <c r="Z1384" i="38" s="1"/>
  <c r="P533" i="38"/>
  <c r="Z533" i="38" s="1"/>
  <c r="P831" i="38"/>
  <c r="Z831" i="38" s="1"/>
  <c r="P1493" i="38"/>
  <c r="Z1493" i="38" s="1"/>
  <c r="P699" i="38"/>
  <c r="Z699" i="38" s="1"/>
  <c r="P1123" i="38"/>
  <c r="Z1123" i="38" s="1"/>
  <c r="P588" i="38"/>
  <c r="Z588" i="38" s="1"/>
  <c r="P1664" i="38"/>
  <c r="Z1664" i="38" s="1"/>
  <c r="P877" i="38"/>
  <c r="Z877" i="38" s="1"/>
  <c r="P1288" i="38"/>
  <c r="Z1288" i="38" s="1"/>
  <c r="P961" i="38"/>
  <c r="Z961" i="38" s="1"/>
  <c r="P1623" i="38"/>
  <c r="Z1623" i="38" s="1"/>
  <c r="P1437" i="38"/>
  <c r="Z1437" i="38" s="1"/>
  <c r="P880" i="38"/>
  <c r="Z880" i="38" s="1"/>
  <c r="P1344" i="38"/>
  <c r="Z1344" i="38" s="1"/>
  <c r="P1784" i="38"/>
  <c r="Z1784" i="38" s="1"/>
  <c r="P1742" i="38"/>
  <c r="Z1742" i="38" s="1"/>
  <c r="P1548" i="38"/>
  <c r="Z1548" i="38" s="1"/>
  <c r="P1196" i="38"/>
  <c r="Z1196" i="38" s="1"/>
  <c r="P708" i="38"/>
  <c r="Z708" i="38" s="1"/>
  <c r="P1619" i="38"/>
  <c r="Z1619" i="38" s="1"/>
  <c r="P1254" i="38"/>
  <c r="Z1254" i="38" s="1"/>
  <c r="P1445" i="38"/>
  <c r="Z1445" i="38" s="1"/>
  <c r="P1316" i="38"/>
  <c r="Z1316" i="38" s="1"/>
  <c r="P1453" i="38"/>
  <c r="Z1453" i="38" s="1"/>
  <c r="P1671" i="38"/>
  <c r="Z1671" i="38" s="1"/>
  <c r="P826" i="38"/>
  <c r="Z826" i="38" s="1"/>
  <c r="P567" i="38"/>
  <c r="Z567" i="38" s="1"/>
  <c r="P539" i="38"/>
  <c r="Z539" i="38" s="1"/>
  <c r="P1359" i="38"/>
  <c r="Z1359" i="38" s="1"/>
  <c r="P1355" i="38"/>
  <c r="Z1355" i="38" s="1"/>
  <c r="P689" i="38"/>
  <c r="Z689" i="38" s="1"/>
  <c r="P895" i="38"/>
  <c r="Z895" i="38" s="1"/>
  <c r="P636" i="38"/>
  <c r="Z636" i="38" s="1"/>
  <c r="P1557" i="38"/>
  <c r="Z1557" i="38" s="1"/>
  <c r="P1876" i="38"/>
  <c r="Z1876" i="38" s="1"/>
  <c r="P1707" i="38"/>
  <c r="Z1707" i="38" s="1"/>
  <c r="P1531" i="38"/>
  <c r="Z1531" i="38" s="1"/>
  <c r="P1858" i="38"/>
  <c r="Z1858" i="38" s="1"/>
  <c r="P1814" i="38"/>
  <c r="Z1814" i="38" s="1"/>
  <c r="P1470" i="38"/>
  <c r="Z1470" i="38" s="1"/>
  <c r="P1805" i="38"/>
  <c r="Z1805" i="38" s="1"/>
  <c r="P1248" i="38"/>
  <c r="Z1248" i="38" s="1"/>
  <c r="P998" i="38"/>
  <c r="Z998" i="38" s="1"/>
  <c r="P795" i="38"/>
  <c r="Z795" i="38" s="1"/>
  <c r="P1867" i="38"/>
  <c r="Z1867" i="38" s="1"/>
  <c r="P1523" i="38"/>
  <c r="Z1523" i="38" s="1"/>
  <c r="P902" i="38"/>
  <c r="Z902" i="38" s="1"/>
  <c r="P1097" i="38"/>
  <c r="Z1097" i="38" s="1"/>
  <c r="P814" i="38"/>
  <c r="Z814" i="38" s="1"/>
  <c r="P1228" i="38"/>
  <c r="Z1228" i="38" s="1"/>
  <c r="P1105" i="38"/>
  <c r="Z1105" i="38" s="1"/>
  <c r="P986" i="38"/>
  <c r="Z986" i="38" s="1"/>
  <c r="P815" i="38"/>
  <c r="Z815" i="38" s="1"/>
  <c r="P983" i="38"/>
  <c r="Z983" i="38" s="1"/>
  <c r="P973" i="38"/>
  <c r="Z973" i="38" s="1"/>
  <c r="P611" i="38"/>
  <c r="Z611" i="38" s="1"/>
  <c r="P802" i="38"/>
  <c r="Z802" i="38" s="1"/>
  <c r="P1220" i="38"/>
  <c r="Z1220" i="38" s="1"/>
  <c r="P1061" i="38"/>
  <c r="Z1061" i="38" s="1"/>
  <c r="P558" i="38"/>
  <c r="Z558" i="38" s="1"/>
  <c r="P1577" i="38"/>
  <c r="Z1577" i="38" s="1"/>
  <c r="P1656" i="38"/>
  <c r="Z1656" i="38" s="1"/>
  <c r="P996" i="38"/>
  <c r="Z996" i="38" s="1"/>
  <c r="P975" i="38"/>
  <c r="Z975" i="38" s="1"/>
  <c r="P631" i="38"/>
  <c r="Z631" i="38" s="1"/>
  <c r="P640" i="38"/>
  <c r="Z640" i="38" s="1"/>
  <c r="P808" i="38"/>
  <c r="Z808" i="38" s="1"/>
  <c r="P1095" i="38"/>
  <c r="Z1095" i="38" s="1"/>
  <c r="P751" i="38"/>
  <c r="Z751" i="38" s="1"/>
  <c r="P980" i="38"/>
  <c r="Z980" i="38" s="1"/>
  <c r="P922" i="38"/>
  <c r="Z922" i="38" s="1"/>
  <c r="P804" i="38"/>
  <c r="Z804" i="38" s="1"/>
  <c r="P1171" i="38"/>
  <c r="Z1171" i="38" s="1"/>
  <c r="P1457" i="38"/>
  <c r="Z1457" i="38" s="1"/>
  <c r="P1362" i="38"/>
  <c r="Z1362" i="38" s="1"/>
  <c r="P1754" i="38"/>
  <c r="Z1754" i="38" s="1"/>
  <c r="P1403" i="38"/>
  <c r="Z1403" i="38" s="1"/>
  <c r="P681" i="38"/>
  <c r="Z681" i="38" s="1"/>
  <c r="P1525" i="38"/>
  <c r="Z1525" i="38" s="1"/>
  <c r="P1860" i="38"/>
  <c r="Z1860" i="38" s="1"/>
  <c r="P1290" i="38"/>
  <c r="Z1290" i="38" s="1"/>
  <c r="P587" i="38"/>
  <c r="Z587" i="38" s="1"/>
  <c r="P1053" i="38"/>
  <c r="Z1053" i="38" s="1"/>
  <c r="P1062" i="38"/>
  <c r="Z1062" i="38" s="1"/>
  <c r="P1076" i="38"/>
  <c r="Z1076" i="38" s="1"/>
  <c r="P1016" i="38"/>
  <c r="Z1016" i="38" s="1"/>
  <c r="P1615" i="38"/>
  <c r="Z1615" i="38" s="1"/>
  <c r="P1517" i="38"/>
  <c r="Z1517" i="38" s="1"/>
  <c r="P578" i="38"/>
  <c r="Z578" i="38" s="1"/>
  <c r="P1685" i="38"/>
  <c r="Z1685" i="38" s="1"/>
  <c r="P1614" i="38"/>
  <c r="Z1614" i="38" s="1"/>
  <c r="P1241" i="38"/>
  <c r="Z1241" i="38" s="1"/>
  <c r="P914" i="38"/>
  <c r="Z914" i="38" s="1"/>
  <c r="P654" i="38"/>
  <c r="Z654" i="38" s="1"/>
  <c r="P1743" i="38"/>
  <c r="Z1743" i="38" s="1"/>
  <c r="P841" i="38"/>
  <c r="Z841" i="38" s="1"/>
  <c r="P750" i="38"/>
  <c r="Z750" i="38" s="1"/>
  <c r="P1564" i="38"/>
  <c r="Z1564" i="38" s="1"/>
  <c r="P1109" i="38"/>
  <c r="Z1109" i="38" s="1"/>
  <c r="P779" i="38"/>
  <c r="Z779" i="38" s="1"/>
  <c r="P1381" i="38"/>
  <c r="Z1381" i="38" s="1"/>
  <c r="P562" i="38"/>
  <c r="Z562" i="38" s="1"/>
  <c r="P1494" i="38"/>
  <c r="Z1494" i="38" s="1"/>
  <c r="P1716" i="38"/>
  <c r="Z1716" i="38" s="1"/>
  <c r="P1142" i="38"/>
  <c r="Z1142" i="38" s="1"/>
  <c r="P610" i="38"/>
  <c r="Z610" i="38" s="1"/>
  <c r="P1056" i="38"/>
  <c r="Z1056" i="38" s="1"/>
  <c r="P1741" i="38"/>
  <c r="Z1741" i="38" s="1"/>
  <c r="P1268" i="38"/>
  <c r="Z1268" i="38" s="1"/>
  <c r="P1003" i="38"/>
  <c r="Z1003" i="38" s="1"/>
  <c r="P844" i="38"/>
  <c r="Z844" i="38" s="1"/>
  <c r="P1863" i="38"/>
  <c r="Z1863" i="38" s="1"/>
  <c r="P1128" i="38"/>
  <c r="Z1128" i="38" s="1"/>
  <c r="P1198" i="38"/>
  <c r="Z1198" i="38" s="1"/>
  <c r="P1864" i="38"/>
  <c r="Z1864" i="38" s="1"/>
  <c r="P1010" i="38"/>
  <c r="Z1010" i="38" s="1"/>
  <c r="P560" i="38"/>
  <c r="Z560" i="38" s="1"/>
  <c r="P918" i="38"/>
  <c r="Z918" i="38" s="1"/>
  <c r="P899" i="38"/>
  <c r="Z899" i="38" s="1"/>
  <c r="P1071" i="38"/>
  <c r="Z1071" i="38" s="1"/>
  <c r="P1770" i="38"/>
  <c r="Z1770" i="38" s="1"/>
  <c r="P1098" i="38"/>
  <c r="Z1098" i="38" s="1"/>
  <c r="P1461" i="38"/>
  <c r="Z1461" i="38" s="1"/>
  <c r="P1722" i="38"/>
  <c r="Z1722" i="38" s="1"/>
  <c r="P1300" i="38"/>
  <c r="Z1300" i="38" s="1"/>
  <c r="P1277" i="38"/>
  <c r="Z1277" i="38" s="1"/>
  <c r="P810" i="38"/>
  <c r="Z810" i="38" s="1"/>
  <c r="P1844" i="38"/>
  <c r="Z1844" i="38" s="1"/>
  <c r="P1325" i="38"/>
  <c r="Z1325" i="38" s="1"/>
  <c r="P1624" i="38"/>
  <c r="Z1624" i="38" s="1"/>
  <c r="P1104" i="38"/>
  <c r="Z1104" i="38" s="1"/>
  <c r="P651" i="38"/>
  <c r="Z651" i="38" s="1"/>
  <c r="P1354" i="38"/>
  <c r="Z1354" i="38" s="1"/>
  <c r="P1735" i="38"/>
  <c r="Z1735" i="38" s="1"/>
  <c r="P1187" i="38"/>
  <c r="Z1187" i="38" s="1"/>
  <c r="P1684" i="38"/>
  <c r="Z1684" i="38" s="1"/>
  <c r="P837" i="38"/>
  <c r="Z837" i="38" s="1"/>
  <c r="P1641" i="38"/>
  <c r="Z1641" i="38" s="1"/>
  <c r="P655" i="38"/>
  <c r="Z655" i="38" s="1"/>
  <c r="P1740" i="38"/>
  <c r="Z1740" i="38" s="1"/>
  <c r="P1179" i="38"/>
  <c r="Z1179" i="38" s="1"/>
  <c r="P1550" i="38"/>
  <c r="Z1550" i="38" s="1"/>
  <c r="P1446" i="38"/>
  <c r="Z1446" i="38" s="1"/>
  <c r="P721" i="38"/>
  <c r="Z721" i="38" s="1"/>
  <c r="P1189" i="38"/>
  <c r="Z1189" i="38" s="1"/>
  <c r="P1202" i="38"/>
  <c r="Z1202" i="38" s="1"/>
  <c r="P668" i="38"/>
  <c r="Z668" i="38" s="1"/>
  <c r="P719" i="38"/>
  <c r="Z719" i="38" s="1"/>
  <c r="P1495" i="38"/>
  <c r="Z1495" i="38" s="1"/>
  <c r="P1388" i="38"/>
  <c r="Z1388" i="38" s="1"/>
  <c r="P1034" i="38"/>
  <c r="Z1034" i="38" s="1"/>
  <c r="P1443" i="38"/>
  <c r="Z1443" i="38" s="1"/>
  <c r="P1424" i="38"/>
  <c r="Z1424" i="38" s="1"/>
  <c r="P1399" i="38"/>
  <c r="Z1399" i="38" s="1"/>
  <c r="P1164" i="38"/>
  <c r="Z1164" i="38" s="1"/>
  <c r="P1176" i="38"/>
  <c r="Z1176" i="38" s="1"/>
  <c r="P1007" i="38"/>
  <c r="Z1007" i="38" s="1"/>
  <c r="P563" i="38"/>
  <c r="Z563" i="38" s="1"/>
  <c r="P887" i="38"/>
  <c r="Z887" i="38" s="1"/>
  <c r="P1562" i="38"/>
  <c r="Z1562" i="38" s="1"/>
  <c r="P886" i="38"/>
  <c r="Z886" i="38" s="1"/>
  <c r="P1319" i="38"/>
  <c r="Z1319" i="38" s="1"/>
  <c r="P1486" i="38"/>
  <c r="Z1486" i="38" s="1"/>
  <c r="P1292" i="38"/>
  <c r="Z1292" i="38" s="1"/>
  <c r="P635" i="38"/>
  <c r="Z635" i="38" s="1"/>
  <c r="P1068" i="38"/>
  <c r="Z1068" i="38" s="1"/>
  <c r="P1200" i="38"/>
  <c r="Z1200" i="38" s="1"/>
  <c r="P1296" i="38"/>
  <c r="Z1296" i="38" s="1"/>
  <c r="P1223" i="38"/>
  <c r="Z1223" i="38" s="1"/>
  <c r="P703" i="38"/>
  <c r="Z703" i="38" s="1"/>
  <c r="P1037" i="38"/>
  <c r="Z1037" i="38" s="1"/>
  <c r="P1205" i="38"/>
  <c r="Z1205" i="38" s="1"/>
  <c r="P1653" i="38"/>
  <c r="Z1653" i="38" s="1"/>
  <c r="P622" i="38"/>
  <c r="Z622" i="38" s="1"/>
  <c r="P591" i="38"/>
  <c r="Z591" i="38" s="1"/>
  <c r="P1339" i="38"/>
  <c r="Z1339" i="38" s="1"/>
  <c r="P1544" i="38"/>
  <c r="Z1544" i="38" s="1"/>
  <c r="P1879" i="38"/>
  <c r="Z1879" i="38" s="1"/>
  <c r="P1535" i="38"/>
  <c r="Z1535" i="38" s="1"/>
  <c r="P863" i="38"/>
  <c r="Z863" i="38" s="1"/>
  <c r="P1197" i="38"/>
  <c r="Z1197" i="38" s="1"/>
  <c r="P853" i="38"/>
  <c r="Z853" i="38" s="1"/>
  <c r="P1598" i="38"/>
  <c r="Z1598" i="38" s="1"/>
  <c r="P747" i="38"/>
  <c r="Z747" i="38" s="1"/>
  <c r="P1536" i="38"/>
  <c r="Z1536" i="38" s="1"/>
  <c r="P1871" i="38"/>
  <c r="Z1871" i="38" s="1"/>
  <c r="P1253" i="38"/>
  <c r="Z1253" i="38" s="1"/>
  <c r="P1668" i="38"/>
  <c r="Z1668" i="38" s="1"/>
  <c r="P1771" i="38"/>
  <c r="Z1771" i="38" s="1"/>
  <c r="P812" i="38"/>
  <c r="Z812" i="38" s="1"/>
  <c r="P1810" i="38"/>
  <c r="Z1810" i="38" s="1"/>
  <c r="P1145" i="38"/>
  <c r="Z1145" i="38" s="1"/>
  <c r="P1634" i="38"/>
  <c r="Z1634" i="38" s="1"/>
  <c r="P1038" i="38"/>
  <c r="Z1038" i="38" s="1"/>
  <c r="P756" i="38"/>
  <c r="Z756" i="38" s="1"/>
  <c r="P1581" i="38"/>
  <c r="Z1581" i="38" s="1"/>
  <c r="P697" i="38"/>
  <c r="Z697" i="38" s="1"/>
  <c r="P1720" i="38"/>
  <c r="Z1720" i="38" s="1"/>
  <c r="P1877" i="38"/>
  <c r="Z1877" i="38" s="1"/>
  <c r="P1648" i="38"/>
  <c r="Z1648" i="38" s="1"/>
  <c r="P1129" i="38"/>
  <c r="Z1129" i="38" s="1"/>
  <c r="P813" i="38"/>
  <c r="Z813" i="38" s="1"/>
  <c r="P1649" i="38"/>
  <c r="Z1649" i="38" s="1"/>
  <c r="P1768" i="38"/>
  <c r="Z1768" i="38" s="1"/>
  <c r="P1334" i="38"/>
  <c r="Z1334" i="38" s="1"/>
  <c r="P1087" i="38"/>
  <c r="Z1087" i="38" s="1"/>
  <c r="P1096" i="38"/>
  <c r="Z1096" i="38" s="1"/>
  <c r="P920" i="38"/>
  <c r="Z920" i="38" s="1"/>
  <c r="P576" i="38"/>
  <c r="Z576" i="38" s="1"/>
  <c r="P793" i="38"/>
  <c r="Z793" i="38" s="1"/>
  <c r="P970" i="38"/>
  <c r="Z970" i="38" s="1"/>
  <c r="P1137" i="38"/>
  <c r="Z1137" i="38" s="1"/>
  <c r="P1854" i="38"/>
  <c r="Z1854" i="38" s="1"/>
  <c r="P765" i="38"/>
  <c r="Z765" i="38" s="1"/>
  <c r="P1183" i="38"/>
  <c r="Z1183" i="38" s="1"/>
  <c r="P1389" i="38"/>
  <c r="Z1389" i="38" s="1"/>
  <c r="P1008" i="38"/>
  <c r="Z1008" i="38" s="1"/>
  <c r="P1632" i="38"/>
  <c r="Z1632" i="38" s="1"/>
  <c r="P1398" i="38"/>
  <c r="Z1398" i="38" s="1"/>
  <c r="P1409" i="38"/>
  <c r="Z1409" i="38" s="1"/>
  <c r="P1035" i="38"/>
  <c r="Z1035" i="38" s="1"/>
  <c r="P885" i="38"/>
  <c r="Z885" i="38" s="1"/>
  <c r="P1201" i="38"/>
  <c r="Z1201" i="38" s="1"/>
  <c r="P1508" i="38"/>
  <c r="Z1508" i="38" s="1"/>
  <c r="P1114" i="38"/>
  <c r="Z1114" i="38" s="1"/>
  <c r="P1400" i="38"/>
  <c r="Z1400" i="38" s="1"/>
  <c r="P1795" i="38"/>
  <c r="Z1795" i="38" s="1"/>
  <c r="P1732" i="38"/>
  <c r="Z1732" i="38" s="1"/>
  <c r="P597" i="38"/>
  <c r="Z597" i="38" s="1"/>
  <c r="P1851" i="38"/>
  <c r="Z1851" i="38" s="1"/>
  <c r="P1357" i="38"/>
  <c r="Z1357" i="38" s="1"/>
  <c r="P883" i="38"/>
  <c r="Z883" i="38" s="1"/>
  <c r="P1762" i="38"/>
  <c r="Z1762" i="38" s="1"/>
  <c r="P1502" i="38"/>
  <c r="Z1502" i="38" s="1"/>
  <c r="P650" i="38"/>
  <c r="Z650" i="38" s="1"/>
  <c r="P1021" i="38"/>
  <c r="Z1021" i="38" s="1"/>
  <c r="P1828" i="38"/>
  <c r="Z1828" i="38" s="1"/>
  <c r="P536" i="38"/>
  <c r="Z536" i="38" s="1"/>
  <c r="P1221" i="38"/>
  <c r="Z1221" i="38" s="1"/>
  <c r="P596" i="38"/>
  <c r="Z596" i="38" s="1"/>
  <c r="P1402" i="38"/>
  <c r="Z1402" i="38" s="1"/>
  <c r="P672" i="38"/>
  <c r="Z672" i="38" s="1"/>
  <c r="P990" i="38"/>
  <c r="Z990" i="38" s="1"/>
  <c r="P1528" i="38"/>
  <c r="Z1528" i="38" s="1"/>
  <c r="P1184" i="38"/>
  <c r="Z1184" i="38" s="1"/>
  <c r="P1269" i="38"/>
  <c r="Z1269" i="38" s="1"/>
  <c r="P1670" i="38"/>
  <c r="Z1670" i="38" s="1"/>
  <c r="P1657" i="38"/>
  <c r="Z1657" i="38" s="1"/>
  <c r="P1335" i="38"/>
  <c r="Z1335" i="38" s="1"/>
  <c r="P667" i="38"/>
  <c r="Z667" i="38" s="1"/>
  <c r="P1066" i="38"/>
  <c r="Z1066" i="38" s="1"/>
  <c r="P604" i="38"/>
  <c r="Z604" i="38" s="1"/>
  <c r="P946" i="38"/>
  <c r="Z946" i="38" s="1"/>
  <c r="P1694" i="38"/>
  <c r="Z1694" i="38" s="1"/>
  <c r="P1227" i="38"/>
  <c r="Z1227" i="38" s="1"/>
  <c r="P1139" i="38"/>
  <c r="Z1139" i="38" s="1"/>
  <c r="P678" i="38"/>
  <c r="Z678" i="38" s="1"/>
  <c r="P1830" i="38"/>
  <c r="Z1830" i="38" s="1"/>
  <c r="P553" i="38"/>
  <c r="Z553" i="38" s="1"/>
  <c r="P1310" i="38"/>
  <c r="Z1310" i="38" s="1"/>
  <c r="P1441" i="38"/>
  <c r="Z1441" i="38" s="1"/>
  <c r="P1846" i="38"/>
  <c r="Z1846" i="38" s="1"/>
  <c r="P1368" i="38"/>
  <c r="Z1368" i="38" s="1"/>
  <c r="P1659" i="38"/>
  <c r="Z1659" i="38" s="1"/>
  <c r="P1015" i="38"/>
  <c r="Z1015" i="38" s="1"/>
  <c r="P707" i="38"/>
  <c r="Z707" i="38" s="1"/>
  <c r="P867" i="38"/>
  <c r="Z867" i="38" s="1"/>
  <c r="P1366" i="38"/>
  <c r="Z1366" i="38" s="1"/>
  <c r="P1194" i="38"/>
  <c r="Z1194" i="38" s="1"/>
  <c r="P767" i="38"/>
  <c r="Z767" i="38" s="1"/>
  <c r="P1242" i="38"/>
  <c r="Z1242" i="38" s="1"/>
  <c r="P659" i="38"/>
  <c r="Z659" i="38" s="1"/>
  <c r="P1652" i="38"/>
  <c r="Z1652" i="38" s="1"/>
  <c r="P1450" i="38"/>
  <c r="Z1450" i="38" s="1"/>
  <c r="P543" i="38"/>
  <c r="Z543" i="38" s="1"/>
  <c r="P1572" i="38"/>
  <c r="Z1572" i="38" s="1"/>
  <c r="P1165" i="38"/>
  <c r="Z1165" i="38" s="1"/>
  <c r="P1556" i="38"/>
  <c r="Z1556" i="38" s="1"/>
  <c r="P898" i="38"/>
  <c r="Z898" i="38" s="1"/>
  <c r="P821" i="38"/>
  <c r="Z821" i="38" s="1"/>
  <c r="P623" i="38"/>
  <c r="Z623" i="38" s="1"/>
  <c r="P1462" i="38"/>
  <c r="Z1462" i="38" s="1"/>
  <c r="P1117" i="38"/>
  <c r="Z1117" i="38" s="1"/>
  <c r="P798" i="38"/>
  <c r="Z798" i="38" s="1"/>
  <c r="P1817" i="38"/>
  <c r="Z1817" i="38" s="1"/>
  <c r="P1841" i="38"/>
  <c r="Z1841" i="38" s="1"/>
  <c r="P1776" i="38"/>
  <c r="Z1776" i="38" s="1"/>
  <c r="P1767" i="38"/>
  <c r="Z1767" i="38" s="1"/>
  <c r="P1329" i="38"/>
  <c r="Z1329" i="38" s="1"/>
  <c r="P1085" i="38"/>
  <c r="Z1085" i="38" s="1"/>
  <c r="P741" i="38"/>
  <c r="Z741" i="38" s="1"/>
  <c r="P1541" i="38"/>
  <c r="Z1541" i="38" s="1"/>
  <c r="P1156" i="38"/>
  <c r="Z1156" i="38" s="1"/>
  <c r="P1468" i="38"/>
  <c r="Z1468" i="38" s="1"/>
  <c r="P1419" i="38"/>
  <c r="Z1419" i="38" s="1"/>
  <c r="P1759" i="38"/>
  <c r="Z1759" i="38" s="1"/>
  <c r="P1408" i="38"/>
  <c r="Z1408" i="38" s="1"/>
  <c r="P1522" i="38"/>
  <c r="Z1522" i="38" s="1"/>
  <c r="P1426" i="38"/>
  <c r="Z1426" i="38" s="1"/>
  <c r="P1469" i="38"/>
  <c r="Z1469" i="38" s="1"/>
  <c r="P1804" i="38"/>
  <c r="Z1804" i="38" s="1"/>
  <c r="P894" i="38"/>
  <c r="Z894" i="38" s="1"/>
  <c r="P1073" i="38"/>
  <c r="Z1073" i="38" s="1"/>
  <c r="P742" i="38"/>
  <c r="Z742" i="38" s="1"/>
  <c r="P1514" i="38"/>
  <c r="Z1514" i="38" s="1"/>
  <c r="P1418" i="38"/>
  <c r="Z1418" i="38" s="1"/>
  <c r="P1204" i="38"/>
  <c r="Z1204" i="38" s="1"/>
  <c r="P662" i="38"/>
  <c r="Z662" i="38" s="1"/>
  <c r="P1663" i="38"/>
  <c r="Z1663" i="38" s="1"/>
  <c r="P1152" i="38"/>
  <c r="Z1152" i="38" s="1"/>
  <c r="P710" i="38"/>
  <c r="Z710" i="38" s="1"/>
  <c r="P976" i="38"/>
  <c r="Z976" i="38" s="1"/>
  <c r="P1343" i="38"/>
  <c r="Z1343" i="38" s="1"/>
  <c r="P882" i="38"/>
  <c r="Z882" i="38" s="1"/>
  <c r="P1059" i="38"/>
  <c r="Z1059" i="38" s="1"/>
  <c r="P758" i="38"/>
  <c r="Z758" i="38" s="1"/>
  <c r="P1295" i="38"/>
  <c r="Z1295" i="38" s="1"/>
  <c r="P641" i="38"/>
  <c r="Z641" i="38" s="1"/>
  <c r="P1074" i="38"/>
  <c r="Z1074" i="38" s="1"/>
  <c r="P1092" i="38"/>
  <c r="Z1092" i="38" s="1"/>
  <c r="P987" i="38"/>
  <c r="Z987" i="38" s="1"/>
  <c r="P786" i="38"/>
  <c r="Z786" i="38" s="1"/>
  <c r="P1413" i="38"/>
  <c r="Z1413" i="38" s="1"/>
  <c r="P1746" i="38"/>
  <c r="Z1746" i="38" s="1"/>
  <c r="P1713" i="38"/>
  <c r="Z1713" i="38" s="1"/>
  <c r="P1302" i="38"/>
  <c r="Z1302" i="38" s="1"/>
  <c r="P1693" i="38"/>
  <c r="Z1693" i="38" s="1"/>
  <c r="P1654" i="38"/>
  <c r="Z1654" i="38" s="1"/>
  <c r="P1822" i="38"/>
  <c r="Z1822" i="38" s="1"/>
  <c r="P1813" i="38"/>
  <c r="Z1813" i="38" s="1"/>
  <c r="P1561" i="38"/>
  <c r="Z1561" i="38" s="1"/>
  <c r="P1585" i="38"/>
  <c r="Z1585" i="38" s="1"/>
  <c r="P1520" i="38"/>
  <c r="Z1520" i="38" s="1"/>
  <c r="P1125" i="38"/>
  <c r="Z1125" i="38" s="1"/>
  <c r="P755" i="38"/>
  <c r="Z755" i="38" s="1"/>
  <c r="P1350" i="38"/>
  <c r="Z1350" i="38" s="1"/>
  <c r="P1842" i="38"/>
  <c r="Z1842" i="38" s="1"/>
  <c r="P858" i="38"/>
  <c r="Z858" i="38" s="1"/>
  <c r="P1629" i="38"/>
  <c r="Z1629" i="38" s="1"/>
  <c r="P1808" i="38"/>
  <c r="Z1808" i="38" s="1"/>
  <c r="P1122" i="38"/>
  <c r="Z1122" i="38" s="1"/>
  <c r="P718" i="38"/>
  <c r="Z718" i="38" s="1"/>
  <c r="P1547" i="38"/>
  <c r="Z1547" i="38" s="1"/>
  <c r="P1270" i="38"/>
  <c r="Z1270" i="38" s="1"/>
  <c r="P1382" i="38"/>
  <c r="Z1382" i="38" s="1"/>
  <c r="P1251" i="38"/>
  <c r="Z1251" i="38" s="1"/>
  <c r="P1094" i="38"/>
  <c r="Z1094" i="38" s="1"/>
  <c r="P1265" i="38"/>
  <c r="Z1265" i="38" s="1"/>
  <c r="P1498" i="38"/>
  <c r="Z1498" i="38" s="1"/>
  <c r="P1728" i="38"/>
  <c r="Z1728" i="38" s="1"/>
  <c r="P1212" i="38"/>
  <c r="Z1212" i="38" s="1"/>
  <c r="P1041" i="38"/>
  <c r="Z1041" i="38" s="1"/>
  <c r="P773" i="38"/>
  <c r="Z773" i="38" s="1"/>
  <c r="P1616" i="38"/>
  <c r="Z1616" i="38" s="1"/>
  <c r="P788" i="38"/>
  <c r="Z788" i="38" s="1"/>
  <c r="P1431" i="38"/>
  <c r="Z1431" i="38" s="1"/>
  <c r="P1492" i="38"/>
  <c r="Z1492" i="38" s="1"/>
  <c r="P1303" i="38"/>
  <c r="Z1303" i="38" s="1"/>
  <c r="P1672" i="38"/>
  <c r="Z1672" i="38" s="1"/>
  <c r="P1224" i="38"/>
  <c r="Z1224" i="38" s="1"/>
  <c r="P1436" i="38"/>
  <c r="Z1436" i="38" s="1"/>
  <c r="P923" i="38"/>
  <c r="Z923" i="38" s="1"/>
  <c r="P847" i="38"/>
  <c r="Z847" i="38" s="1"/>
  <c r="P1605" i="38"/>
  <c r="Z1605" i="38" s="1"/>
  <c r="P1238" i="38"/>
  <c r="Z1238" i="38" s="1"/>
  <c r="P1379" i="38"/>
  <c r="Z1379" i="38" s="1"/>
  <c r="P1862" i="38"/>
  <c r="Z1862" i="38" s="1"/>
  <c r="P992" i="38"/>
  <c r="Z992" i="38" s="1"/>
  <c r="P1505" i="38"/>
  <c r="Z1505" i="38" s="1"/>
  <c r="P937" i="38"/>
  <c r="Z937" i="38" s="1"/>
  <c r="P941" i="38"/>
  <c r="Z941" i="38" s="1"/>
  <c r="P1718" i="38"/>
  <c r="Z1718" i="38" s="1"/>
  <c r="P774" i="38"/>
  <c r="Z774" i="38" s="1"/>
  <c r="P1622" i="38"/>
  <c r="Z1622" i="38" s="1"/>
  <c r="P549" i="38"/>
  <c r="Z549" i="38" s="1"/>
  <c r="P723" i="38"/>
  <c r="Z723" i="38" s="1"/>
  <c r="P1180" i="38"/>
  <c r="Z1180" i="38" s="1"/>
  <c r="P1803" i="38"/>
  <c r="Z1803" i="38" s="1"/>
  <c r="P1458" i="38"/>
  <c r="Z1458" i="38" s="1"/>
  <c r="P1219" i="38"/>
  <c r="Z1219" i="38" s="1"/>
  <c r="P704" i="38"/>
  <c r="Z704" i="38" s="1"/>
  <c r="P830" i="38"/>
  <c r="Z830" i="38" s="1"/>
  <c r="P1730" i="38"/>
  <c r="Z1730" i="38" s="1"/>
  <c r="P1387" i="38"/>
  <c r="Z1387" i="38" s="1"/>
  <c r="P1791" i="38"/>
  <c r="Z1791" i="38" s="1"/>
  <c r="P599" i="38"/>
  <c r="Z599" i="38" s="1"/>
  <c r="P1449" i="38"/>
  <c r="Z1449" i="38" s="1"/>
  <c r="P904" i="38"/>
  <c r="Z904" i="38" s="1"/>
  <c r="P1044" i="38"/>
  <c r="Z1044" i="38" s="1"/>
  <c r="P1483" i="38"/>
  <c r="Z1483" i="38" s="1"/>
  <c r="P934" i="38"/>
  <c r="Z934" i="38" s="1"/>
  <c r="P768" i="38"/>
  <c r="Z768" i="38" s="1"/>
  <c r="P1850" i="38"/>
  <c r="Z1850" i="38" s="1"/>
  <c r="P675" i="38"/>
  <c r="Z675" i="38" s="1"/>
  <c r="P694" i="38"/>
  <c r="Z694" i="38" s="1"/>
  <c r="P943" i="38"/>
  <c r="Z943" i="38" s="1"/>
  <c r="P1691" i="38"/>
  <c r="Z1691" i="38" s="1"/>
  <c r="P956" i="38"/>
  <c r="Z956" i="38" s="1"/>
  <c r="P1134" i="38"/>
  <c r="Z1134" i="38" s="1"/>
  <c r="P1827" i="38"/>
  <c r="Z1827" i="38" s="1"/>
  <c r="P1882" i="38"/>
  <c r="Z1882" i="38" s="1"/>
  <c r="P1573" i="38"/>
  <c r="Z1573" i="38" s="1"/>
  <c r="P1778" i="38"/>
  <c r="Z1778" i="38" s="1"/>
  <c r="P1608" i="38"/>
  <c r="Z1608" i="38" s="1"/>
  <c r="P1781" i="38"/>
  <c r="Z1781" i="38" s="1"/>
  <c r="P782" i="38"/>
  <c r="Z782" i="38" s="1"/>
  <c r="P1063" i="38"/>
  <c r="Z1063" i="38" s="1"/>
  <c r="P1621" i="38"/>
  <c r="Z1621" i="38" s="1"/>
  <c r="P615" i="38"/>
  <c r="Z615" i="38" s="1"/>
  <c r="P1705" i="38"/>
  <c r="Z1705" i="38" s="1"/>
  <c r="P1675" i="38"/>
  <c r="Z1675" i="38" s="1"/>
  <c r="P634" i="38"/>
  <c r="Z634" i="38" s="1"/>
  <c r="P1787" i="38"/>
  <c r="Z1787" i="38" s="1"/>
  <c r="P1440" i="38"/>
  <c r="Z1440" i="38" s="1"/>
  <c r="P547" i="38"/>
  <c r="Z547" i="38" s="1"/>
  <c r="P731" i="38"/>
  <c r="Z731" i="38" s="1"/>
  <c r="P1116" i="38"/>
  <c r="Z1116" i="38" s="1"/>
  <c r="P1314" i="38"/>
  <c r="Z1314" i="38" s="1"/>
  <c r="P835" i="38"/>
  <c r="Z835" i="38" s="1"/>
  <c r="P1597" i="38"/>
  <c r="Z1597" i="38" s="1"/>
  <c r="P1692" i="38"/>
  <c r="Z1692" i="38" s="1"/>
  <c r="P1283" i="38"/>
  <c r="Z1283" i="38" s="1"/>
  <c r="P1172" i="38"/>
  <c r="Z1172" i="38" s="1"/>
  <c r="P715" i="38"/>
  <c r="Z715" i="38" s="1"/>
  <c r="P1083" i="38"/>
  <c r="Z1083" i="38" s="1"/>
  <c r="P1390" i="38"/>
  <c r="Z1390" i="38" s="1"/>
  <c r="P822" i="38"/>
  <c r="Z822" i="38" s="1"/>
  <c r="P1082" i="38"/>
  <c r="Z1082" i="38" s="1"/>
  <c r="P696" i="38"/>
  <c r="Z696" i="38" s="1"/>
  <c r="P864" i="38"/>
  <c r="Z864" i="38" s="1"/>
  <c r="P1151" i="38"/>
  <c r="Z1151" i="38" s="1"/>
  <c r="P807" i="38"/>
  <c r="Z807" i="38" s="1"/>
  <c r="P881" i="38"/>
  <c r="Z881" i="38" s="1"/>
  <c r="P1489" i="38"/>
  <c r="Z1489" i="38" s="1"/>
  <c r="P1865" i="38"/>
  <c r="Z1865" i="38" s="1"/>
  <c r="P926" i="38"/>
  <c r="Z926" i="38" s="1"/>
  <c r="P1378" i="38"/>
  <c r="Z1378" i="38" s="1"/>
  <c r="P856" i="38"/>
  <c r="Z856" i="38" s="1"/>
  <c r="P1143" i="38"/>
  <c r="Z1143" i="38" s="1"/>
  <c r="P1438" i="38"/>
  <c r="Z1438" i="38" s="1"/>
  <c r="P1568" i="38"/>
  <c r="Z1568" i="38" s="1"/>
  <c r="P772" i="38"/>
  <c r="Z772" i="38" s="1"/>
  <c r="P1545" i="38"/>
  <c r="Z1545" i="38" s="1"/>
  <c r="P1710" i="38"/>
  <c r="Z1710" i="38" s="1"/>
  <c r="P1878" i="38"/>
  <c r="Z1878" i="38" s="1"/>
  <c r="P1534" i="38"/>
  <c r="Z1534" i="38" s="1"/>
  <c r="P1869" i="38"/>
  <c r="Z1869" i="38" s="1"/>
  <c r="P1609" i="38"/>
  <c r="Z1609" i="38" s="1"/>
  <c r="P1673" i="38"/>
  <c r="Z1673" i="38" s="1"/>
  <c r="P1816" i="38"/>
  <c r="Z1816" i="38" s="1"/>
  <c r="P647" i="38"/>
  <c r="Z647" i="38" s="1"/>
  <c r="P1625" i="38"/>
  <c r="Z1625" i="38" s="1"/>
  <c r="P1601" i="38"/>
  <c r="Z1601" i="38" s="1"/>
  <c r="P1719" i="38"/>
  <c r="Z1719" i="38" s="1"/>
  <c r="P698" i="38"/>
  <c r="Z698" i="38" s="1"/>
  <c r="P624" i="38"/>
  <c r="Z624" i="38" s="1"/>
  <c r="P1170" i="38"/>
  <c r="Z1170" i="38" s="1"/>
  <c r="P620" i="38"/>
  <c r="Z620" i="38" s="1"/>
  <c r="P627" i="38"/>
  <c r="Z627" i="38" s="1"/>
  <c r="P1764" i="38"/>
  <c r="Z1764" i="38" s="1"/>
  <c r="P1100" i="38"/>
  <c r="Z1100" i="38" s="1"/>
  <c r="P1304" i="38"/>
  <c r="Z1304" i="38" s="1"/>
  <c r="P819" i="38"/>
  <c r="Z819" i="38" s="1"/>
  <c r="P1755" i="38"/>
  <c r="Z1755" i="38" s="1"/>
  <c r="P1404" i="38"/>
  <c r="Z1404" i="38" s="1"/>
  <c r="P1738" i="38"/>
  <c r="Z1738" i="38" s="1"/>
  <c r="P1320" i="38"/>
  <c r="Z1320" i="38" s="1"/>
  <c r="P854" i="38"/>
  <c r="Z854" i="38" s="1"/>
  <c r="P1267" i="38"/>
  <c r="Z1267" i="38" s="1"/>
  <c r="P684" i="38"/>
  <c r="Z684" i="38" s="1"/>
  <c r="P1324" i="38"/>
  <c r="Z1324" i="38" s="1"/>
  <c r="P1347" i="38"/>
  <c r="Z1347" i="38" s="1"/>
  <c r="P1410" i="38"/>
  <c r="Z1410" i="38" s="1"/>
  <c r="P1326" i="38"/>
  <c r="Z1326" i="38" s="1"/>
  <c r="P736" i="38"/>
  <c r="Z736" i="38" s="1"/>
  <c r="P619" i="38"/>
  <c r="Z619" i="38" s="1"/>
  <c r="P1565" i="38"/>
  <c r="Z1565" i="38" s="1"/>
  <c r="P1465" i="38"/>
  <c r="Z1465" i="38" s="1"/>
  <c r="P590" i="38"/>
  <c r="Z590" i="38" s="1"/>
  <c r="P1688" i="38"/>
  <c r="Z1688" i="38" s="1"/>
  <c r="P1113" i="38"/>
  <c r="Z1113" i="38" s="1"/>
  <c r="P1527" i="38"/>
  <c r="Z1527" i="38" s="1"/>
  <c r="P586" i="38"/>
  <c r="Z586" i="38" s="1"/>
  <c r="P1838" i="38"/>
  <c r="Z1838" i="38" s="1"/>
  <c r="P978" i="38"/>
  <c r="Z978" i="38" s="1"/>
  <c r="P1332" i="38"/>
  <c r="Z1332" i="38" s="1"/>
  <c r="P1631" i="38"/>
  <c r="Z1631" i="38" s="1"/>
  <c r="P942" i="38"/>
  <c r="Z942" i="38" s="1"/>
  <c r="P988" i="38"/>
  <c r="Z988" i="38" s="1"/>
  <c r="P1855" i="38"/>
  <c r="Z1855" i="38" s="1"/>
  <c r="P1153" i="38"/>
  <c r="Z1153" i="38" s="1"/>
  <c r="P1012" i="38"/>
  <c r="Z1012" i="38" s="1"/>
  <c r="P1371" i="38"/>
  <c r="Z1371" i="38" s="1"/>
  <c r="P1279" i="38"/>
  <c r="Z1279" i="38" s="1"/>
  <c r="P711" i="38"/>
  <c r="Z711" i="38" s="1"/>
  <c r="P762" i="38"/>
  <c r="Z762" i="38" s="1"/>
  <c r="P840" i="38"/>
  <c r="Z840" i="38" s="1"/>
  <c r="P1504" i="38"/>
  <c r="Z1504" i="38" s="1"/>
  <c r="P1661" i="38"/>
  <c r="Z1661" i="38" s="1"/>
  <c r="P1620" i="38"/>
  <c r="Z1620" i="38" s="1"/>
  <c r="P739" i="38"/>
  <c r="Z739" i="38" s="1"/>
  <c r="P1839" i="38"/>
  <c r="Z1839" i="38" s="1"/>
  <c r="P1662" i="38"/>
  <c r="Z1662" i="38" s="1"/>
  <c r="P709" i="38"/>
  <c r="Z709" i="38" s="1"/>
  <c r="P1203" i="38"/>
  <c r="Z1203" i="38" s="1"/>
  <c r="P1721" i="38"/>
  <c r="Z1721" i="38" s="1"/>
  <c r="P540" i="38"/>
  <c r="Z540" i="38" s="1"/>
  <c r="P1490" i="38"/>
  <c r="Z1490" i="38" s="1"/>
  <c r="P1235" i="38"/>
  <c r="Z1235" i="38" s="1"/>
  <c r="P950" i="38"/>
  <c r="Z950" i="38" s="1"/>
  <c r="P1695" i="38"/>
  <c r="Z1695" i="38" s="1"/>
  <c r="P552" i="38"/>
  <c r="Z552" i="38" s="1"/>
  <c r="P1155" i="38"/>
  <c r="Z1155" i="38" s="1"/>
  <c r="P760" i="38"/>
  <c r="Z760" i="38" s="1"/>
  <c r="P1229" i="38"/>
  <c r="Z1229" i="38" s="1"/>
  <c r="P1216" i="38"/>
  <c r="Z1216" i="38" s="1"/>
  <c r="P1243" i="38"/>
  <c r="Z1243" i="38" s="1"/>
  <c r="P1364" i="38"/>
  <c r="Z1364" i="38" s="1"/>
  <c r="P794" i="38"/>
  <c r="Z794" i="38" s="1"/>
  <c r="P859" i="38"/>
  <c r="Z859" i="38" s="1"/>
  <c r="P1135" i="38"/>
  <c r="Z1135" i="38" s="1"/>
  <c r="P1232" i="38"/>
  <c r="Z1232" i="38" s="1"/>
  <c r="P1554" i="38"/>
  <c r="Z1554" i="38" s="1"/>
  <c r="P542" i="38"/>
  <c r="Z542" i="38" s="1"/>
  <c r="P679" i="38"/>
  <c r="Z679" i="38" s="1"/>
  <c r="P1583" i="38"/>
  <c r="Z1583" i="38" s="1"/>
  <c r="P945" i="38"/>
  <c r="Z945" i="38" s="1"/>
  <c r="P1734" i="38"/>
  <c r="Z1734" i="38" s="1"/>
  <c r="P1442" i="38"/>
  <c r="Z1442" i="38" s="1"/>
  <c r="P1782" i="38"/>
  <c r="Z1782" i="38" s="1"/>
  <c r="P740" i="38"/>
  <c r="Z740" i="38" s="1"/>
  <c r="P1028" i="38"/>
  <c r="Z1028" i="38" s="1"/>
  <c r="P1120" i="38"/>
  <c r="Z1120" i="38" s="1"/>
  <c r="P748" i="38"/>
  <c r="Z748" i="38" s="1"/>
  <c r="P1829" i="38"/>
  <c r="Z1829" i="38" s="1"/>
  <c r="P792" i="38"/>
  <c r="Z792" i="38" s="1"/>
  <c r="P1612" i="38"/>
  <c r="Z1612" i="38" s="1"/>
  <c r="P1412" i="38"/>
  <c r="Z1412" i="38" s="1"/>
  <c r="P1000" i="38"/>
  <c r="Z1000" i="38" s="1"/>
  <c r="P1222" i="38"/>
  <c r="Z1222" i="38" s="1"/>
  <c r="P783" i="38"/>
  <c r="Z783" i="38" s="1"/>
  <c r="P1173" i="38"/>
  <c r="Z1173" i="38" s="1"/>
  <c r="P729" i="38"/>
  <c r="Z729" i="38" s="1"/>
  <c r="P929" i="38"/>
  <c r="Z929" i="38" s="1"/>
  <c r="P1190" i="38"/>
  <c r="Z1190" i="38" s="1"/>
  <c r="P584" i="38"/>
  <c r="Z584" i="38" s="1"/>
  <c r="P871" i="38"/>
  <c r="Z871" i="38" s="1"/>
  <c r="P1039" i="38"/>
  <c r="Z1039" i="38" s="1"/>
  <c r="P695" i="38"/>
  <c r="Z695" i="38" s="1"/>
  <c r="P700" i="38"/>
  <c r="Z700" i="38" s="1"/>
  <c r="P670" i="38"/>
  <c r="Z670" i="38" s="1"/>
  <c r="P1737" i="38"/>
  <c r="Z1737" i="38" s="1"/>
  <c r="P1712" i="38"/>
  <c r="Z1712" i="38" s="1"/>
  <c r="P744" i="38"/>
  <c r="Z744" i="38" s="1"/>
  <c r="P1031" i="38"/>
  <c r="Z1031" i="38" s="1"/>
  <c r="P687" i="38"/>
  <c r="Z687" i="38" s="1"/>
  <c r="P1427" i="38"/>
  <c r="Z1427" i="38" s="1"/>
  <c r="P809" i="38"/>
  <c r="Z809" i="38" s="1"/>
  <c r="P1416" i="38"/>
  <c r="Z1416" i="38" s="1"/>
  <c r="P1757" i="38"/>
  <c r="Z1757" i="38" s="1"/>
  <c r="P818" i="38"/>
  <c r="Z818" i="38" s="1"/>
  <c r="P1704" i="38"/>
  <c r="Z1704" i="38" s="1"/>
  <c r="P652" i="38"/>
  <c r="Z652" i="38" s="1"/>
  <c r="P1651" i="38"/>
  <c r="Z1651" i="38" s="1"/>
  <c r="P1819" i="38"/>
  <c r="Z1819" i="38" s="1"/>
  <c r="P1802" i="38"/>
  <c r="Z1802" i="38" s="1"/>
  <c r="P1407" i="38"/>
  <c r="Z1407" i="38" s="1"/>
  <c r="P1749" i="38"/>
  <c r="Z1749" i="38" s="1"/>
  <c r="P580" i="38"/>
  <c r="Z580" i="38" s="1"/>
  <c r="P1546" i="38"/>
  <c r="Z1546" i="38" s="1"/>
  <c r="P579" i="38"/>
  <c r="Z579" i="38" s="1"/>
  <c r="P1434" i="38"/>
  <c r="Z1434" i="38" s="1"/>
  <c r="P1186" i="38"/>
  <c r="Z1186" i="38" s="1"/>
  <c r="P1360" i="38"/>
  <c r="Z1360" i="38" s="1"/>
  <c r="P1287" i="38"/>
  <c r="Z1287" i="38" s="1"/>
  <c r="P1811" i="38"/>
  <c r="Z1811" i="38" s="1"/>
  <c r="P1467" i="38"/>
  <c r="Z1467" i="38" s="1"/>
  <c r="P1794" i="38"/>
  <c r="Z1794" i="38" s="1"/>
  <c r="P1414" i="38"/>
  <c r="Z1414" i="38" s="1"/>
  <c r="P1763" i="38"/>
  <c r="Z1763" i="38" s="1"/>
  <c r="P745" i="38"/>
  <c r="Z745" i="38" s="1"/>
  <c r="P1587" i="38"/>
  <c r="Z1587" i="38" s="1"/>
  <c r="P1157" i="38"/>
  <c r="Z1157" i="38" s="1"/>
  <c r="P1870" i="38"/>
  <c r="Z1870" i="38" s="1"/>
  <c r="P1526" i="38"/>
  <c r="Z1526" i="38" s="1"/>
  <c r="P935" i="38"/>
  <c r="Z935" i="38" s="1"/>
  <c r="P1487" i="38"/>
  <c r="Z1487" i="38" s="1"/>
  <c r="P1655" i="38"/>
  <c r="Z1655" i="38" s="1"/>
  <c r="P629" i="38"/>
  <c r="Z629" i="38" s="1"/>
  <c r="P833" i="38"/>
  <c r="Z833" i="38" s="1"/>
  <c r="P1093" i="38"/>
  <c r="Z1093" i="38" s="1"/>
  <c r="P1873" i="38"/>
  <c r="Z1873" i="38" s="1"/>
  <c r="P1340" i="38"/>
  <c r="Z1340" i="38" s="1"/>
  <c r="P1080" i="38"/>
  <c r="Z1080" i="38" s="1"/>
  <c r="P1394" i="38"/>
  <c r="Z1394" i="38" s="1"/>
  <c r="P1747" i="38"/>
  <c r="Z1747" i="38" s="1"/>
  <c r="P974" i="38"/>
  <c r="Z974" i="38" s="1"/>
  <c r="P1055" i="38"/>
  <c r="Z1055" i="38" s="1"/>
  <c r="P660" i="38"/>
  <c r="Z660" i="38" s="1"/>
  <c r="P1575" i="38"/>
  <c r="Z1575" i="38" s="1"/>
  <c r="P1181" i="38"/>
  <c r="Z1181" i="38" s="1"/>
  <c r="P1859" i="38"/>
  <c r="Z1859" i="38" s="1"/>
  <c r="P866" i="38"/>
  <c r="Z866" i="38" s="1"/>
  <c r="P1346" i="38"/>
  <c r="Z1346" i="38" s="1"/>
  <c r="P1506" i="38"/>
  <c r="Z1506" i="38" s="1"/>
  <c r="P1049" i="38"/>
  <c r="Z1049" i="38" s="1"/>
  <c r="P1018" i="38"/>
  <c r="Z1018" i="38" s="1"/>
  <c r="P1503" i="38"/>
  <c r="Z1503" i="38" s="1"/>
  <c r="P1786" i="38"/>
  <c r="Z1786" i="38" s="1"/>
  <c r="P666" i="38"/>
  <c r="Z666" i="38" s="1"/>
  <c r="P903" i="38"/>
  <c r="Z903" i="38" s="1"/>
  <c r="P834" i="38"/>
  <c r="Z834" i="38" s="1"/>
  <c r="P825" i="38"/>
  <c r="Z825" i="38" s="1"/>
  <c r="P1353" i="38"/>
  <c r="Z1353" i="38" s="1"/>
  <c r="P1327" i="38"/>
  <c r="Z1327" i="38" s="1"/>
  <c r="P1674" i="38"/>
  <c r="Z1674" i="38" s="1"/>
  <c r="P686" i="38"/>
  <c r="Z686" i="38" s="1"/>
  <c r="P972" i="38"/>
  <c r="Z972" i="38" s="1"/>
  <c r="P1140" i="38"/>
  <c r="Z1140" i="38" s="1"/>
  <c r="P959" i="38"/>
  <c r="Z959" i="38" s="1"/>
  <c r="P1725" i="38"/>
  <c r="Z1725" i="38" s="1"/>
  <c r="P1519" i="38"/>
  <c r="Z1519" i="38" s="1"/>
  <c r="P1280" i="38"/>
  <c r="Z1280" i="38" s="1"/>
  <c r="P1773" i="38"/>
  <c r="Z1773" i="38" s="1"/>
  <c r="P1421" i="38"/>
  <c r="Z1421" i="38" s="1"/>
  <c r="P1245" i="38"/>
  <c r="Z1245" i="38" s="1"/>
  <c r="P893" i="38"/>
  <c r="Z893" i="38" s="1"/>
  <c r="P605" i="38"/>
  <c r="Z605" i="38" s="1"/>
  <c r="P545" i="38"/>
  <c r="Z545" i="38" s="1"/>
  <c r="P1341" i="38"/>
  <c r="Z1341" i="38" s="1"/>
  <c r="P1333" i="38"/>
  <c r="Z1333" i="38" s="1"/>
  <c r="P967" i="38"/>
  <c r="Z967" i="38" s="1"/>
  <c r="P1769" i="38"/>
  <c r="Z1769" i="38" s="1"/>
  <c r="P1195" i="38"/>
  <c r="Z1195" i="38" s="1"/>
  <c r="P592" i="38"/>
  <c r="Z592" i="38" s="1"/>
  <c r="P1448" i="38"/>
  <c r="Z1448" i="38" s="1"/>
  <c r="P796" i="38"/>
  <c r="Z796" i="38" s="1"/>
  <c r="P1455" i="38"/>
  <c r="Z1455" i="38" s="1"/>
  <c r="P989" i="38"/>
  <c r="Z989" i="38" s="1"/>
  <c r="P1658" i="38"/>
  <c r="Z1658" i="38" s="1"/>
  <c r="P1043" i="38"/>
  <c r="Z1043" i="38" s="1"/>
  <c r="P1285" i="38"/>
  <c r="Z1285" i="38" s="1"/>
  <c r="P618" i="38"/>
  <c r="Z618" i="38" s="1"/>
  <c r="P1263" i="38"/>
  <c r="Z1263" i="38" s="1"/>
  <c r="P753" i="38"/>
  <c r="Z753" i="38" s="1"/>
  <c r="P824" i="38"/>
  <c r="Z824" i="38" s="1"/>
  <c r="P1127" i="38"/>
  <c r="Z1127" i="38" s="1"/>
  <c r="P1835" i="38"/>
  <c r="Z1835" i="38" s="1"/>
  <c r="P1792" i="38"/>
  <c r="Z1792" i="38" s="1"/>
  <c r="P850" i="38"/>
  <c r="Z850" i="38" s="1"/>
  <c r="P855" i="38"/>
  <c r="Z855" i="38" s="1"/>
  <c r="P1213" i="38"/>
  <c r="Z1213" i="38" s="1"/>
  <c r="P763" i="38"/>
  <c r="Z763" i="38" s="1"/>
  <c r="P1244" i="38"/>
  <c r="Z1244" i="38" s="1"/>
  <c r="P851" i="38"/>
  <c r="Z851" i="38" s="1"/>
  <c r="P1845" i="38"/>
  <c r="Z1845" i="38" s="1"/>
  <c r="P1130" i="38"/>
  <c r="Z1130" i="38" s="1"/>
  <c r="P1252" i="38"/>
  <c r="Z1252" i="38" s="1"/>
  <c r="P1801" i="38"/>
  <c r="Z1801" i="38" s="1"/>
  <c r="P614" i="38"/>
  <c r="Z614" i="38" s="1"/>
  <c r="P1026" i="38"/>
  <c r="Z1026" i="38" s="1"/>
  <c r="P776" i="38"/>
  <c r="Z776" i="38" s="1"/>
  <c r="P1474" i="38"/>
  <c r="Z1474" i="38" s="1"/>
  <c r="P947" i="38"/>
  <c r="Z947" i="38" s="1"/>
  <c r="P683" i="38"/>
  <c r="Z683" i="38" s="1"/>
  <c r="P1401" i="38"/>
  <c r="Z1401" i="38" s="1"/>
  <c r="P1731" i="38"/>
  <c r="Z1731" i="38" s="1"/>
  <c r="P1679" i="38"/>
  <c r="Z1679" i="38" s="1"/>
  <c r="P1552" i="38"/>
  <c r="Z1552" i="38" s="1"/>
  <c r="P1821" i="38"/>
  <c r="Z1821" i="38" s="1"/>
  <c r="P1166" i="38"/>
  <c r="Z1166" i="38" s="1"/>
  <c r="P1106" i="38"/>
  <c r="Z1106" i="38" s="1"/>
  <c r="P1633" i="38"/>
  <c r="Z1633" i="38" s="1"/>
  <c r="P1592" i="38"/>
  <c r="Z1592" i="38" s="1"/>
  <c r="P1315" i="38"/>
  <c r="Z1315" i="38" s="1"/>
  <c r="P1866" i="38"/>
  <c r="Z1866" i="38" s="1"/>
  <c r="P1313" i="38"/>
  <c r="Z1313" i="38" s="1"/>
  <c r="P1690" i="38"/>
  <c r="Z1690" i="38" s="1"/>
  <c r="P1115" i="38"/>
  <c r="Z1115" i="38" s="1"/>
  <c r="P1637" i="38"/>
  <c r="Z1637" i="38" s="1"/>
  <c r="P1054" i="38"/>
  <c r="Z1054" i="38" s="1"/>
  <c r="P1011" i="38"/>
  <c r="Z1011" i="38" s="1"/>
  <c r="P1351" i="38"/>
  <c r="Z1351" i="38" s="1"/>
  <c r="P730" i="38"/>
  <c r="Z730" i="38" s="1"/>
  <c r="P1322" i="38"/>
  <c r="Z1322" i="38" s="1"/>
  <c r="P1297" i="38"/>
  <c r="Z1297" i="38" s="1"/>
  <c r="P1682" i="38"/>
  <c r="Z1682" i="38" s="1"/>
  <c r="P701" i="38"/>
  <c r="Z701" i="38" s="1"/>
  <c r="P1236" i="38"/>
  <c r="Z1236" i="38" s="1"/>
  <c r="P546" i="38"/>
  <c r="Z546" i="38" s="1"/>
  <c r="P979" i="38"/>
  <c r="Z979" i="38" s="1"/>
  <c r="P1144" i="38"/>
  <c r="Z1144" i="38" s="1"/>
  <c r="P1240" i="38"/>
  <c r="Z1240" i="38" s="1"/>
  <c r="P716" i="38"/>
  <c r="Z716" i="38" s="1"/>
  <c r="P1150" i="38"/>
  <c r="Z1150" i="38" s="1"/>
  <c r="P570" i="38"/>
  <c r="Z570" i="38" s="1"/>
  <c r="P888" i="38"/>
  <c r="Z888" i="38" s="1"/>
  <c r="P1103" i="38"/>
  <c r="Z1103" i="38" s="1"/>
  <c r="P981" i="38"/>
  <c r="Z981" i="38" s="1"/>
  <c r="P805" i="38"/>
  <c r="Z805" i="38" s="1"/>
  <c r="P875" i="38"/>
  <c r="Z875" i="38" s="1"/>
  <c r="P966" i="38"/>
  <c r="Z966" i="38" s="1"/>
  <c r="P1136" i="38"/>
  <c r="Z1136" i="38" s="1"/>
  <c r="P1006" i="38"/>
  <c r="Z1006" i="38" s="1"/>
  <c r="P724" i="38"/>
  <c r="Z724" i="38" s="1"/>
  <c r="P1158" i="38"/>
  <c r="Z1158" i="38" s="1"/>
  <c r="P897" i="38"/>
  <c r="Z897" i="38" s="1"/>
  <c r="P1775" i="38"/>
  <c r="Z1775" i="38" s="1"/>
  <c r="P657" i="38"/>
  <c r="Z657" i="38" s="1"/>
  <c r="P1580" i="38"/>
  <c r="Z1580" i="38" s="1"/>
  <c r="P1709" i="38"/>
  <c r="Z1709" i="38" s="1"/>
  <c r="P1532" i="38"/>
  <c r="Z1532" i="38" s="1"/>
  <c r="P1700" i="38"/>
  <c r="Z1700" i="38" s="1"/>
  <c r="P1299" i="38"/>
  <c r="Z1299" i="38" s="1"/>
  <c r="P1699" i="38"/>
  <c r="Z1699" i="38" s="1"/>
  <c r="P1118" i="38"/>
  <c r="Z1118" i="38" s="1"/>
  <c r="P1638" i="38"/>
  <c r="Z1638" i="38" s="1"/>
  <c r="P1793" i="38"/>
  <c r="Z1793" i="38" s="1"/>
  <c r="P1751" i="38"/>
  <c r="Z1751" i="38" s="1"/>
  <c r="P600" i="38"/>
  <c r="Z600" i="38" s="1"/>
  <c r="P1553" i="38"/>
  <c r="Z1553" i="38" s="1"/>
  <c r="P1464" i="38"/>
  <c r="Z1464" i="38" s="1"/>
  <c r="P845" i="38"/>
  <c r="Z845" i="38" s="1"/>
  <c r="P1518" i="38"/>
  <c r="Z1518" i="38" s="1"/>
  <c r="P1397" i="38"/>
  <c r="Z1397" i="38" s="1"/>
  <c r="P1132" i="38"/>
  <c r="Z1132" i="38" s="1"/>
  <c r="P1207" i="38"/>
  <c r="Z1207" i="38" s="1"/>
  <c r="P1298" i="38"/>
  <c r="Z1298" i="38" s="1"/>
  <c r="P1374" i="38"/>
  <c r="Z1374" i="38" s="1"/>
  <c r="P846" i="38"/>
  <c r="Z846" i="38" s="1"/>
  <c r="P1848" i="38"/>
  <c r="Z1848" i="38" s="1"/>
  <c r="P1439" i="38"/>
  <c r="Z1439" i="38" s="1"/>
  <c r="P785" i="38"/>
  <c r="Z785" i="38" s="1"/>
  <c r="P1178" i="38"/>
  <c r="Z1178" i="38" s="1"/>
  <c r="P1078" i="38"/>
  <c r="Z1078" i="38" s="1"/>
  <c r="P766" i="38"/>
  <c r="Z766" i="38" s="1"/>
  <c r="P1540" i="38"/>
  <c r="Z1540" i="38" s="1"/>
  <c r="P1330" i="38"/>
  <c r="Z1330" i="38" s="1"/>
  <c r="P676" i="38"/>
  <c r="Z676" i="38" s="1"/>
  <c r="P1367" i="38"/>
  <c r="Z1367" i="38" s="1"/>
  <c r="P1002" i="38"/>
  <c r="Z1002" i="38" s="1"/>
  <c r="P663" i="38"/>
  <c r="Z663" i="38" s="1"/>
  <c r="P878" i="38"/>
  <c r="Z878" i="38" s="1"/>
  <c r="P541" i="38"/>
  <c r="Z541" i="38" s="1"/>
  <c r="P1499" i="38"/>
  <c r="Z1499" i="38" s="1"/>
  <c r="P1191" i="38"/>
  <c r="Z1191" i="38" s="1"/>
  <c r="P957" i="38"/>
  <c r="Z957" i="38" s="1"/>
  <c r="P1650" i="38"/>
  <c r="Z1650" i="38" s="1"/>
  <c r="P1618" i="38"/>
  <c r="Z1618" i="38" s="1"/>
  <c r="P653" i="38"/>
  <c r="Z653" i="38" s="1"/>
  <c r="P1676" i="38"/>
  <c r="Z1676" i="38" s="1"/>
  <c r="P1257" i="38"/>
  <c r="Z1257" i="38" s="1"/>
  <c r="P1515" i="38"/>
  <c r="Z1515" i="38" s="1"/>
  <c r="P1809" i="38"/>
  <c r="Z1809" i="38" s="1"/>
  <c r="P1017" i="38"/>
  <c r="Z1017" i="38" s="1"/>
  <c r="P1834" i="38"/>
  <c r="Z1834" i="38" s="1"/>
  <c r="P1282" i="38"/>
  <c r="Z1282" i="38" s="1"/>
  <c r="P879" i="38"/>
  <c r="Z879" i="38" s="1"/>
  <c r="P556" i="38"/>
  <c r="Z556" i="38" s="1"/>
  <c r="P1289" i="38"/>
  <c r="Z1289" i="38" s="1"/>
  <c r="P1206" i="38"/>
  <c r="Z1206" i="38" s="1"/>
  <c r="P1328" i="38"/>
  <c r="Z1328" i="38" s="1"/>
  <c r="P1047" i="38"/>
  <c r="Z1047" i="38" s="1"/>
  <c r="P1667" i="38"/>
  <c r="Z1667" i="38" s="1"/>
  <c r="P1247" i="38"/>
  <c r="Z1247" i="38" s="1"/>
  <c r="P1286" i="38"/>
  <c r="Z1286" i="38" s="1"/>
  <c r="P1375" i="38"/>
  <c r="Z1375" i="38" s="1"/>
  <c r="P1045" i="38"/>
  <c r="Z1045" i="38" s="1"/>
  <c r="P1030" i="38"/>
  <c r="Z1030" i="38" s="1"/>
  <c r="P1376" i="38"/>
  <c r="Z1376" i="38" s="1"/>
  <c r="P1567" i="38"/>
  <c r="Z1567" i="38" s="1"/>
  <c r="P964" i="38"/>
  <c r="Z964" i="38" s="1"/>
  <c r="P960" i="38"/>
  <c r="Z960" i="38" s="1"/>
  <c r="P1750" i="38"/>
  <c r="Z1750" i="38" s="1"/>
  <c r="P1630" i="38"/>
  <c r="Z1630" i="38" s="1"/>
  <c r="P1112" i="38"/>
  <c r="Z1112" i="38" s="1"/>
  <c r="P1840" i="38"/>
  <c r="Z1840" i="38" s="1"/>
  <c r="P690" i="38"/>
  <c r="Z690" i="38" s="1"/>
  <c r="P1124" i="38"/>
  <c r="Z1124" i="38" s="1"/>
  <c r="P962" i="38"/>
  <c r="Z962" i="38" s="1"/>
  <c r="P1774" i="38"/>
  <c r="Z1774" i="38" s="1"/>
  <c r="P1022" i="38"/>
  <c r="Z1022" i="38" s="1"/>
  <c r="P1529" i="38"/>
  <c r="Z1529" i="38" s="1"/>
  <c r="P1262" i="38"/>
  <c r="Z1262" i="38" s="1"/>
  <c r="P1260" i="38"/>
  <c r="Z1260" i="38" s="1"/>
  <c r="P838" i="38"/>
  <c r="Z838" i="38" s="1"/>
  <c r="P1210" i="38"/>
  <c r="Z1210" i="38" s="1"/>
  <c r="P954" i="38"/>
  <c r="Z954" i="38" s="1"/>
  <c r="P884" i="38"/>
  <c r="Z884" i="38" s="1"/>
  <c r="P1843" i="38"/>
  <c r="Z1843" i="38" s="1"/>
  <c r="P1432" i="38"/>
  <c r="Z1432" i="38" s="1"/>
  <c r="P1025" i="38"/>
  <c r="Z1025" i="38" s="1"/>
  <c r="P1806" i="38"/>
  <c r="Z1806" i="38" s="1"/>
  <c r="P1225" i="38"/>
  <c r="Z1225" i="38" s="1"/>
  <c r="P1226" i="38"/>
  <c r="Z1226" i="38" s="1"/>
  <c r="P1356" i="38"/>
  <c r="Z1356" i="38" s="1"/>
  <c r="P1586" i="38"/>
  <c r="Z1586" i="38" s="1"/>
  <c r="P1239" i="38"/>
  <c r="Z1239" i="38" s="1"/>
  <c r="P550" i="38"/>
  <c r="Z550" i="38" s="1"/>
  <c r="P985" i="38"/>
  <c r="Z985" i="38" s="1"/>
  <c r="P734" i="38"/>
  <c r="Z734" i="38" s="1"/>
  <c r="P1570" i="38"/>
  <c r="Z1570" i="38" s="1"/>
  <c r="P628" i="38"/>
  <c r="Z628" i="38" s="1"/>
  <c r="P916" i="38"/>
  <c r="Z916" i="38" s="1"/>
  <c r="P1208" i="38"/>
  <c r="Z1208" i="38" s="1"/>
  <c r="P801" i="38"/>
  <c r="Z801" i="38" s="1"/>
  <c r="P1032" i="38"/>
  <c r="Z1032" i="38" s="1"/>
  <c r="P688" i="38"/>
  <c r="Z688" i="38" s="1"/>
  <c r="P971" i="38"/>
  <c r="Z971" i="38" s="1"/>
  <c r="P1148" i="38"/>
  <c r="Z1148" i="38" s="1"/>
  <c r="P869" i="38"/>
  <c r="Z869" i="38" s="1"/>
  <c r="P538" i="38"/>
  <c r="Z538" i="38" s="1"/>
  <c r="P693" i="38"/>
  <c r="Z693" i="38" s="1"/>
  <c r="P1154" i="38"/>
  <c r="Z1154" i="38" s="1"/>
  <c r="P787" i="38"/>
  <c r="Z787" i="38" s="1"/>
  <c r="P1024" i="38"/>
  <c r="Z1024" i="38" s="1"/>
  <c r="P757" i="38"/>
  <c r="Z757" i="38" s="1"/>
  <c r="P1543" i="38"/>
  <c r="Z1543" i="38" s="1"/>
  <c r="P1711" i="38"/>
  <c r="Z1711" i="38" s="1"/>
  <c r="P1702" i="38"/>
  <c r="Z1702" i="38" s="1"/>
  <c r="P685" i="38"/>
  <c r="Z685" i="38" s="1"/>
  <c r="P1444" i="38"/>
  <c r="Z1444" i="38" s="1"/>
  <c r="P1596" i="38"/>
  <c r="Z1596" i="38" s="1"/>
  <c r="P1765" i="38"/>
  <c r="Z1765" i="38" s="1"/>
  <c r="P1588" i="38"/>
  <c r="Z1588" i="38" s="1"/>
  <c r="P1405" i="38"/>
  <c r="Z1405" i="38" s="1"/>
  <c r="P872" i="38"/>
  <c r="Z872" i="38" s="1"/>
  <c r="P1305" i="38"/>
  <c r="Z1305" i="38" s="1"/>
  <c r="P816" i="38"/>
  <c r="Z816" i="38" s="1"/>
  <c r="P1217" i="38"/>
  <c r="Z1217" i="38" s="1"/>
  <c r="P1488" i="38"/>
  <c r="Z1488" i="38" s="1"/>
  <c r="P1823" i="38"/>
  <c r="Z1823" i="38" s="1"/>
  <c r="P1479" i="38"/>
  <c r="Z1479" i="38" s="1"/>
  <c r="P993" i="38"/>
  <c r="Z993" i="38" s="1"/>
  <c r="P1141" i="38"/>
  <c r="Z1141" i="38" s="1"/>
  <c r="P797" i="38"/>
  <c r="Z797" i="38" s="1"/>
  <c r="P1642" i="38"/>
  <c r="Z1642" i="38" s="1"/>
  <c r="P759" i="38"/>
  <c r="Z759" i="38" s="1"/>
  <c r="P927" i="38"/>
  <c r="Z927" i="38" s="1"/>
  <c r="P917" i="38"/>
  <c r="Z917" i="38" s="1"/>
  <c r="P1237" i="38"/>
  <c r="Z1237" i="38" s="1"/>
  <c r="P1146" i="38"/>
  <c r="Z1146" i="38" s="1"/>
  <c r="P1086" i="38"/>
  <c r="Z1086" i="38" s="1"/>
  <c r="P1284" i="38"/>
  <c r="Z1284" i="38" s="1"/>
  <c r="P1188" i="38"/>
  <c r="Z1188" i="38" s="1"/>
  <c r="P1075" i="38"/>
  <c r="Z1075" i="38" s="1"/>
  <c r="P561" i="38"/>
  <c r="Z561" i="38" s="1"/>
  <c r="P963" i="38"/>
  <c r="Z963" i="38" s="1"/>
  <c r="P1067" i="38"/>
  <c r="Z1067" i="38" s="1"/>
  <c r="P1833" i="38"/>
  <c r="Z1833" i="38" s="1"/>
  <c r="P1456" i="38"/>
  <c r="Z1456" i="38" s="1"/>
  <c r="P564" i="38"/>
  <c r="Z564" i="38" s="1"/>
  <c r="P1687" i="38"/>
  <c r="Z1687" i="38" s="1"/>
  <c r="P1797" i="38"/>
  <c r="Z1797" i="38" s="1"/>
  <c r="P1853" i="38"/>
  <c r="Z1853" i="38" s="1"/>
  <c r="P1610" i="38"/>
  <c r="Z1610" i="38" s="1"/>
  <c r="P630" i="38"/>
  <c r="Z630" i="38" s="1"/>
  <c r="P1451" i="38"/>
  <c r="Z1451" i="38" s="1"/>
  <c r="P1271" i="38"/>
  <c r="Z1271" i="38" s="1"/>
  <c r="P781" i="38"/>
  <c r="Z781" i="38" s="1"/>
  <c r="P571" i="38"/>
  <c r="Z571" i="38" s="1"/>
  <c r="P1611" i="38"/>
  <c r="Z1611" i="38" s="1"/>
  <c r="P705" i="38"/>
  <c r="Z705" i="38" s="1"/>
  <c r="P1234" i="38"/>
  <c r="Z1234" i="38" s="1"/>
  <c r="P1377" i="38"/>
  <c r="Z1377" i="38" s="1"/>
  <c r="P1131" i="38"/>
  <c r="Z1131" i="38" s="1"/>
  <c r="P602" i="38"/>
  <c r="Z602" i="38" s="1"/>
  <c r="P1836" i="38"/>
  <c r="Z1836" i="38" s="1"/>
  <c r="P1023" i="38"/>
  <c r="Z1023" i="38" s="1"/>
  <c r="P1447" i="38"/>
  <c r="Z1447" i="38" s="1"/>
  <c r="P1331" i="38"/>
  <c r="Z1331" i="38" s="1"/>
  <c r="P1726" i="38"/>
  <c r="Z1726" i="38" s="1"/>
  <c r="P1161" i="38"/>
  <c r="Z1161" i="38" s="1"/>
  <c r="P1677" i="38"/>
  <c r="Z1677" i="38" s="1"/>
  <c r="P1110" i="38"/>
  <c r="Z1110" i="38" s="1"/>
  <c r="P1349" i="38"/>
  <c r="Z1349" i="38" s="1"/>
  <c r="P1019" i="38"/>
  <c r="Z1019" i="38" s="1"/>
  <c r="P948" i="38"/>
  <c r="Z948" i="38" s="1"/>
  <c r="P1497" i="38"/>
  <c r="Z1497" i="38" s="1"/>
  <c r="P1576" i="38"/>
  <c r="Z1576" i="38" s="1"/>
  <c r="P607" i="38"/>
  <c r="Z607" i="38" s="1"/>
  <c r="P1507" i="38"/>
  <c r="Z1507" i="38" s="1"/>
  <c r="P1276" i="38"/>
  <c r="Z1276" i="38" s="1"/>
  <c r="P555" i="38"/>
  <c r="Z555" i="38" s="1"/>
  <c r="P661" i="38"/>
  <c r="Z661" i="38" s="1"/>
  <c r="P1273" i="38"/>
  <c r="Z1273" i="38" s="1"/>
  <c r="P1681" i="38"/>
  <c r="Z1681" i="38" s="1"/>
  <c r="P1373" i="38"/>
  <c r="Z1373" i="38" s="1"/>
  <c r="P1689" i="38"/>
  <c r="Z1689" i="38" s="1"/>
  <c r="P1559" i="38"/>
  <c r="Z1559" i="38" s="1"/>
  <c r="P1715" i="38"/>
  <c r="Z1715" i="38" s="1"/>
  <c r="P953" i="38"/>
  <c r="Z953" i="38" s="1"/>
  <c r="P1512" i="38"/>
  <c r="Z1512" i="38" s="1"/>
  <c r="P1883" i="38"/>
  <c r="Z1883" i="38" s="1"/>
  <c r="P829" i="38"/>
  <c r="Z829" i="38" s="1"/>
  <c r="P1048" i="38"/>
  <c r="Z1048" i="38" s="1"/>
  <c r="P595" i="38"/>
  <c r="Z595" i="38" s="1"/>
  <c r="P1566" i="38"/>
  <c r="Z1566" i="38" s="1"/>
  <c r="P574" i="38"/>
  <c r="Z574" i="38" s="1"/>
  <c r="P842" i="38"/>
  <c r="Z842" i="38" s="1"/>
  <c r="P598" i="38"/>
  <c r="Z598" i="38" s="1"/>
  <c r="P915" i="38"/>
  <c r="Z915" i="38" s="1"/>
  <c r="P1214" i="38"/>
  <c r="Z1214" i="38" s="1"/>
  <c r="P1004" i="38"/>
  <c r="Z1004" i="38" s="1"/>
  <c r="P1126" i="38"/>
  <c r="Z1126" i="38" s="1"/>
  <c r="P1281" i="38"/>
  <c r="Z1281" i="38" s="1"/>
  <c r="P1857" i="38"/>
  <c r="Z1857" i="38" s="1"/>
  <c r="P572" i="38"/>
  <c r="Z572" i="38" s="1"/>
  <c r="P1209" i="38"/>
  <c r="Z1209" i="38" s="1"/>
  <c r="P1555" i="38"/>
  <c r="Z1555" i="38" s="1"/>
  <c r="P1594" i="38"/>
  <c r="Z1594" i="38" s="1"/>
  <c r="P706" i="38"/>
  <c r="Z706" i="38" s="1"/>
  <c r="P1072" i="38"/>
  <c r="Z1072" i="38" s="1"/>
  <c r="P1009" i="38"/>
  <c r="Z1009" i="38" s="1"/>
  <c r="P940" i="38"/>
  <c r="Z940" i="38" s="1"/>
  <c r="P608" i="38"/>
  <c r="Z608" i="38" s="1"/>
  <c r="P832" i="38"/>
  <c r="Z832" i="38" s="1"/>
  <c r="P1259" i="38"/>
  <c r="Z1259" i="38" s="1"/>
  <c r="P1121" i="38"/>
  <c r="Z1121" i="38" s="1"/>
  <c r="P939" i="38"/>
  <c r="Z939" i="38" s="1"/>
  <c r="P1256" i="38"/>
  <c r="Z1256" i="38" s="1"/>
  <c r="P664" i="38"/>
  <c r="Z664" i="38" s="1"/>
  <c r="P951" i="38"/>
  <c r="Z951" i="38" s="1"/>
  <c r="P1312" i="38"/>
  <c r="Z1312" i="38" s="1"/>
  <c r="P827" i="38"/>
  <c r="Z827" i="38" s="1"/>
  <c r="P1481" i="38"/>
  <c r="Z1481" i="38" s="1"/>
  <c r="P581" i="38"/>
  <c r="Z581" i="38" s="1"/>
  <c r="P1849" i="38"/>
  <c r="Z1849" i="38" s="1"/>
  <c r="P1880" i="38"/>
  <c r="Z1880" i="38" s="1"/>
  <c r="P912" i="38"/>
  <c r="Z912" i="38" s="1"/>
  <c r="P568" i="38"/>
  <c r="Z568" i="38" s="1"/>
  <c r="P873" i="38"/>
  <c r="Z873" i="38" s="1"/>
  <c r="P1766" i="38"/>
  <c r="Z1766" i="38" s="1"/>
  <c r="P811" i="38"/>
  <c r="Z811" i="38" s="1"/>
  <c r="P1590" i="38"/>
  <c r="Z1590" i="38" s="1"/>
  <c r="P573" i="38"/>
  <c r="Z573" i="38" s="1"/>
  <c r="P1530" i="38"/>
  <c r="Z1530" i="38" s="1"/>
  <c r="P1644" i="38"/>
  <c r="Z1644" i="38" s="1"/>
  <c r="P1643" i="38"/>
  <c r="Z1643" i="38" s="1"/>
  <c r="P1591" i="38"/>
  <c r="Z1591" i="38" s="1"/>
  <c r="P761" i="38"/>
  <c r="Z761" i="38" s="1"/>
  <c r="P1582" i="38"/>
  <c r="Z1582" i="38" s="1"/>
  <c r="P1698" i="38"/>
  <c r="Z1698" i="38" s="1"/>
  <c r="P1027" i="38"/>
  <c r="Z1027" i="38" s="1"/>
  <c r="P1258" i="38"/>
  <c r="Z1258" i="38" s="1"/>
  <c r="P746" i="38"/>
  <c r="Z746" i="38" s="1"/>
  <c r="P1175" i="38"/>
  <c r="Z1175" i="38" s="1"/>
  <c r="P1636" i="38"/>
  <c r="Z1636" i="38" s="1"/>
  <c r="P1635" i="38"/>
  <c r="Z1635" i="38" s="1"/>
  <c r="P1272" i="38"/>
  <c r="Z1272" i="38" s="1"/>
  <c r="P769" i="38"/>
  <c r="Z769" i="38" s="1"/>
  <c r="P817" i="38"/>
  <c r="Z817" i="38" s="1"/>
  <c r="P1250" i="38"/>
  <c r="Z1250" i="38" s="1"/>
  <c r="P732" i="38"/>
  <c r="Z732" i="38" s="1"/>
  <c r="P645" i="38"/>
  <c r="Z645" i="38" s="1"/>
  <c r="P1090" i="38"/>
  <c r="Z1090" i="38" s="1"/>
  <c r="P924" i="38"/>
  <c r="Z924" i="38" s="1"/>
  <c r="P1406" i="38"/>
  <c r="Z1406" i="38" s="1"/>
  <c r="P1395" i="38"/>
  <c r="Z1395" i="38" s="1"/>
  <c r="P1337" i="38"/>
  <c r="Z1337" i="38" s="1"/>
  <c r="P1533" i="38"/>
  <c r="Z1533" i="38" s="1"/>
  <c r="P1868" i="38"/>
  <c r="Z1868" i="38" s="1"/>
  <c r="P1524" i="38"/>
  <c r="Z1524" i="38" s="1"/>
  <c r="P1480" i="38"/>
  <c r="Z1480" i="38" s="1"/>
  <c r="P1815" i="38"/>
  <c r="Z1815" i="38" s="1"/>
  <c r="P1471" i="38"/>
  <c r="Z1471" i="38" s="1"/>
  <c r="P1665" i="38"/>
  <c r="Z1665" i="38" s="1"/>
  <c r="P1428" i="38"/>
  <c r="Z1428" i="38" s="1"/>
  <c r="P1600" i="38"/>
  <c r="Z1600" i="38" s="1"/>
  <c r="P820" i="38"/>
  <c r="Z820" i="38" s="1"/>
  <c r="P1708" i="38"/>
  <c r="Z1708" i="38" s="1"/>
  <c r="P919" i="38"/>
  <c r="Z919" i="38" s="1"/>
  <c r="P575" i="38"/>
  <c r="Z575" i="38" s="1"/>
  <c r="M18" i="72" l="1"/>
  <c r="M34" i="76"/>
  <c r="M34" i="72"/>
  <c r="P1160" i="38"/>
  <c r="Z1160" i="38" s="1"/>
  <c r="P1255" i="38"/>
  <c r="Z1255" i="38" s="1"/>
  <c r="P692" i="38"/>
  <c r="Z692" i="38" s="1"/>
  <c r="P1323" i="38"/>
  <c r="Z1323" i="38" s="1"/>
  <c r="P192" i="12"/>
  <c r="P932" i="38"/>
  <c r="Z932" i="38" s="1"/>
  <c r="P1874" i="38"/>
  <c r="Z1874" i="38" s="1"/>
  <c r="P1266" i="38"/>
  <c r="Z1266" i="38" s="1"/>
  <c r="P1521" i="38"/>
  <c r="Z1521" i="38" s="1"/>
  <c r="P544" i="38"/>
  <c r="Z544" i="38" s="1"/>
  <c r="P1060" i="38"/>
  <c r="Z1060" i="38" s="1"/>
  <c r="P907" i="38"/>
  <c r="Z907" i="38" s="1"/>
  <c r="M33" i="70"/>
  <c r="P197" i="12"/>
  <c r="P200" i="12" s="1"/>
  <c r="P909" i="38"/>
  <c r="Z909" i="38" s="1"/>
  <c r="P803" i="38"/>
  <c r="Z803" i="38" s="1"/>
  <c r="P737" i="38"/>
  <c r="Z737" i="38" s="1"/>
  <c r="P1628" i="38"/>
  <c r="Z1628" i="38" s="1"/>
  <c r="P890" i="38"/>
  <c r="Z890" i="38" s="1"/>
  <c r="P1807" i="38"/>
  <c r="Z1807" i="38" s="1"/>
  <c r="S192" i="12"/>
  <c r="P1780" i="38"/>
  <c r="Z1780" i="38" s="1"/>
  <c r="P952" i="38"/>
  <c r="Z952" i="38" s="1"/>
  <c r="P789" i="38"/>
  <c r="Z789" i="38" s="1"/>
  <c r="P1861" i="38"/>
  <c r="Z1861" i="38" s="1"/>
  <c r="P1001" i="38"/>
  <c r="Z1001" i="38" s="1"/>
  <c r="P905" i="38"/>
  <c r="Z905" i="38" s="1"/>
  <c r="P583" i="38"/>
  <c r="Z583" i="38" s="1"/>
  <c r="P551" i="38"/>
  <c r="Z551" i="38" s="1"/>
  <c r="P565" i="38"/>
  <c r="Z565" i="38" s="1"/>
  <c r="P1509" i="38"/>
  <c r="Z1509" i="38" s="1"/>
  <c r="P1826" i="38"/>
  <c r="Z1826" i="38" s="1"/>
  <c r="P1089" i="38"/>
  <c r="Z1089" i="38" s="1"/>
  <c r="P1275" i="38"/>
  <c r="Z1275" i="38" s="1"/>
  <c r="P1796" i="38"/>
  <c r="Z1796" i="38" s="1"/>
  <c r="P1192" i="38"/>
  <c r="Z1192" i="38" s="1"/>
  <c r="P722" i="38"/>
  <c r="Z722" i="38" s="1"/>
  <c r="R197" i="12"/>
  <c r="R200" i="12" s="1"/>
  <c r="P1475" i="38"/>
  <c r="Z1475" i="38" s="1"/>
  <c r="P1372" i="38"/>
  <c r="Z1372" i="38" s="1"/>
  <c r="P1752" i="38"/>
  <c r="Z1752" i="38" s="1"/>
  <c r="P606" i="38"/>
  <c r="Z606" i="38" s="1"/>
  <c r="P784" i="38"/>
  <c r="Z784" i="38" s="1"/>
  <c r="P1824" i="38"/>
  <c r="Z1824" i="38" s="1"/>
  <c r="P1070" i="38"/>
  <c r="Z1070" i="38" s="1"/>
  <c r="P1680" i="38"/>
  <c r="Z1680" i="38" s="1"/>
  <c r="R204" i="12"/>
  <c r="P1472" i="38"/>
  <c r="Z1472" i="38" s="1"/>
  <c r="P617" i="38"/>
  <c r="Z617" i="38" s="1"/>
  <c r="P1574" i="38"/>
  <c r="Z1574" i="38" s="1"/>
  <c r="P1760" i="38"/>
  <c r="Z1760" i="38" s="1"/>
  <c r="P1626" i="38"/>
  <c r="Z1626" i="38" s="1"/>
  <c r="P1174" i="38"/>
  <c r="Z1174" i="38" s="1"/>
  <c r="P1014" i="38"/>
  <c r="Z1014" i="38" s="1"/>
  <c r="P1539" i="38"/>
  <c r="Z1539" i="38" s="1"/>
  <c r="P1417" i="38"/>
  <c r="Z1417" i="38" s="1"/>
  <c r="P823" i="38"/>
  <c r="Z823" i="38" s="1"/>
  <c r="P1779" i="38"/>
  <c r="Z1779" i="38" s="1"/>
  <c r="P1678" i="38"/>
  <c r="Z1678" i="38" s="1"/>
  <c r="P1772" i="38"/>
  <c r="Z1772" i="38" s="1"/>
  <c r="P1584" i="38"/>
  <c r="Z1584" i="38" s="1"/>
  <c r="P638" i="38"/>
  <c r="Z638" i="38" s="1"/>
  <c r="P1818" i="38"/>
  <c r="Z1818" i="38" s="1"/>
  <c r="P1777" i="38"/>
  <c r="Z1777" i="38" s="1"/>
  <c r="P865" i="38"/>
  <c r="Z865" i="38" s="1"/>
  <c r="P743" i="38"/>
  <c r="Z743" i="38" s="1"/>
  <c r="P1701" i="38"/>
  <c r="Z1701" i="38" s="1"/>
  <c r="R191" i="12"/>
  <c r="P1415" i="38"/>
  <c r="Z1415" i="38" s="1"/>
  <c r="P995" i="38"/>
  <c r="Z995" i="38" s="1"/>
  <c r="P1422" i="38"/>
  <c r="Z1422" i="38" s="1"/>
  <c r="P1607" i="38"/>
  <c r="Z1607" i="38" s="1"/>
  <c r="P644" i="38"/>
  <c r="Z644" i="38" s="1"/>
  <c r="P1423" i="38"/>
  <c r="Z1423" i="38" s="1"/>
  <c r="P1516" i="38"/>
  <c r="Z1516" i="38" s="1"/>
  <c r="P1147" i="38"/>
  <c r="Z1147" i="38" s="1"/>
  <c r="P862" i="38"/>
  <c r="Z862" i="38" s="1"/>
  <c r="P1820" i="38"/>
  <c r="Z1820" i="38" s="1"/>
  <c r="P1177" i="38"/>
  <c r="Z1177" i="38" s="1"/>
  <c r="P554" i="38"/>
  <c r="Z554" i="38" s="1"/>
  <c r="P625" i="38"/>
  <c r="Z625" i="38" s="1"/>
  <c r="P603" i="38"/>
  <c r="Z603" i="38" s="1"/>
  <c r="P594" i="38"/>
  <c r="Z594" i="38" s="1"/>
  <c r="P649" i="38"/>
  <c r="Z649" i="38" s="1"/>
  <c r="P1033" i="38"/>
  <c r="Z1033" i="38" s="1"/>
  <c r="P1079" i="38"/>
  <c r="Z1079" i="38" s="1"/>
  <c r="P1058" i="38"/>
  <c r="Z1058" i="38" s="1"/>
  <c r="P1723" i="38"/>
  <c r="Z1723" i="38" s="1"/>
  <c r="V121" i="38"/>
  <c r="M52" i="72"/>
  <c r="M24" i="72"/>
  <c r="J33" i="42"/>
  <c r="J35" i="42" s="1"/>
  <c r="M172" i="12"/>
  <c r="M170" i="12"/>
  <c r="X34" i="45" s="1"/>
  <c r="M174" i="72"/>
  <c r="P1425" i="38"/>
  <c r="Z1425" i="38" s="1"/>
  <c r="P1199" i="38"/>
  <c r="Z1199" i="38" s="1"/>
  <c r="P702" i="38"/>
  <c r="Z702" i="38" s="1"/>
  <c r="P1558" i="38"/>
  <c r="Z1558" i="38" s="1"/>
  <c r="P928" i="38"/>
  <c r="Z928" i="38" s="1"/>
  <c r="Q204" i="12"/>
  <c r="P1159" i="38"/>
  <c r="Z1159" i="38" s="1"/>
  <c r="P1463" i="38"/>
  <c r="Z1463" i="38" s="1"/>
  <c r="P1101" i="38"/>
  <c r="Z1101" i="38" s="1"/>
  <c r="P1107" i="38"/>
  <c r="Z1107" i="38" s="1"/>
  <c r="P1473" i="38"/>
  <c r="Z1473" i="38" s="1"/>
  <c r="P534" i="38"/>
  <c r="Z534" i="38" s="1"/>
  <c r="P633" i="38"/>
  <c r="Z633" i="38" s="1"/>
  <c r="P775" i="38"/>
  <c r="Z775" i="38" s="1"/>
  <c r="P537" i="38"/>
  <c r="Z537" i="38" s="1"/>
  <c r="P1647" i="38"/>
  <c r="Z1647" i="38" s="1"/>
  <c r="P900" i="38"/>
  <c r="Z900" i="38" s="1"/>
  <c r="P876" i="38"/>
  <c r="Z876" i="38" s="1"/>
  <c r="P637" i="38"/>
  <c r="Z637" i="38" s="1"/>
  <c r="P1363" i="38"/>
  <c r="Z1363" i="38" s="1"/>
  <c r="P1435" i="38"/>
  <c r="Z1435" i="38" s="1"/>
  <c r="P1748" i="38"/>
  <c r="Z1748" i="38" s="1"/>
  <c r="P1466" i="38"/>
  <c r="Z1466" i="38" s="1"/>
  <c r="O194" i="12"/>
  <c r="P532" i="38"/>
  <c r="Z532" i="38" s="1"/>
  <c r="Q532" i="38"/>
  <c r="P1459" i="38"/>
  <c r="Z1459" i="38" s="1"/>
  <c r="S193" i="12"/>
  <c r="P1756" i="38"/>
  <c r="Z1756" i="38" s="1"/>
  <c r="P1029" i="38"/>
  <c r="Z1029" i="38" s="1"/>
  <c r="Q197" i="12"/>
  <c r="Q200" i="12" s="1"/>
  <c r="P1162" i="38"/>
  <c r="Z1162" i="38" s="1"/>
  <c r="P848" i="38"/>
  <c r="Z848" i="38" s="1"/>
  <c r="P1482" i="38"/>
  <c r="Z1482" i="38" s="1"/>
  <c r="S191" i="12"/>
  <c r="P1696" i="38"/>
  <c r="Z1696" i="38" s="1"/>
  <c r="P925" i="38"/>
  <c r="Z925" i="38" s="1"/>
  <c r="P1385" i="38"/>
  <c r="Z1385" i="38" s="1"/>
  <c r="P1050" i="38"/>
  <c r="Z1050" i="38" s="1"/>
  <c r="P1706" i="38"/>
  <c r="Z1706" i="38" s="1"/>
  <c r="P892" i="38"/>
  <c r="Z892" i="38" s="1"/>
  <c r="P1501" i="38"/>
  <c r="Z1501" i="38" s="1"/>
  <c r="P1478" i="38"/>
  <c r="Z1478" i="38" s="1"/>
  <c r="P852" i="38"/>
  <c r="Z852" i="38" s="1"/>
  <c r="P585" i="38"/>
  <c r="Z585" i="38" s="1"/>
  <c r="P936" i="38"/>
  <c r="Z936" i="38" s="1"/>
  <c r="M89" i="72"/>
  <c r="M83" i="70"/>
  <c r="V229" i="38"/>
  <c r="AC231" i="38"/>
  <c r="V163" i="38"/>
  <c r="M92" i="72"/>
  <c r="P1051" i="38"/>
  <c r="Z1051" i="38" s="1"/>
  <c r="P1077" i="38"/>
  <c r="Z1077" i="38" s="1"/>
  <c r="P1348" i="38"/>
  <c r="Z1348" i="38" s="1"/>
  <c r="P1745" i="38"/>
  <c r="Z1745" i="38" s="1"/>
  <c r="P984" i="38"/>
  <c r="Z984" i="38" s="1"/>
  <c r="P738" i="38"/>
  <c r="Z738" i="38" s="1"/>
  <c r="P860" i="38"/>
  <c r="Z860" i="38" s="1"/>
  <c r="Q194" i="12"/>
  <c r="P1052" i="38"/>
  <c r="Z1052" i="38" s="1"/>
  <c r="Q191" i="12"/>
  <c r="P1102" i="38"/>
  <c r="Z1102" i="38" s="1"/>
  <c r="P1542" i="38"/>
  <c r="Z1542" i="38" s="1"/>
  <c r="R194" i="12"/>
  <c r="P1365" i="38"/>
  <c r="Z1365" i="38" s="1"/>
  <c r="P1604" i="38"/>
  <c r="Z1604" i="38" s="1"/>
  <c r="P713" i="38"/>
  <c r="Z713" i="38" s="1"/>
  <c r="P1420" i="38"/>
  <c r="Z1420" i="38" s="1"/>
  <c r="P868" i="38"/>
  <c r="Z868" i="38" s="1"/>
  <c r="P889" i="38"/>
  <c r="Z889" i="38" s="1"/>
  <c r="P1393" i="38"/>
  <c r="Z1393" i="38" s="1"/>
  <c r="P1278" i="38"/>
  <c r="Z1278" i="38" s="1"/>
  <c r="P1491" i="38"/>
  <c r="Z1491" i="38" s="1"/>
  <c r="P911" i="38"/>
  <c r="Z911" i="38" s="1"/>
  <c r="P1872" i="38"/>
  <c r="Z1872" i="38" s="1"/>
  <c r="P908" i="38"/>
  <c r="Z908" i="38" s="1"/>
  <c r="P1511" i="38"/>
  <c r="Z1511" i="38" s="1"/>
  <c r="P682" i="38"/>
  <c r="Z682" i="38" s="1"/>
  <c r="P754" i="38"/>
  <c r="Z754" i="38" s="1"/>
  <c r="P1460" i="38"/>
  <c r="Z1460" i="38" s="1"/>
  <c r="P1485" i="38"/>
  <c r="Z1485" i="38" s="1"/>
  <c r="P1084" i="38"/>
  <c r="Z1084" i="38" s="1"/>
  <c r="P870" i="38"/>
  <c r="Z870" i="38" s="1"/>
  <c r="P1790" i="38"/>
  <c r="Z1790" i="38" s="1"/>
  <c r="P839" i="38"/>
  <c r="Z839" i="38" s="1"/>
  <c r="O197" i="12"/>
  <c r="O200" i="12" s="1"/>
  <c r="P642" i="38"/>
  <c r="Z642" i="38" s="1"/>
  <c r="P1571" i="38"/>
  <c r="Z1571" i="38" s="1"/>
  <c r="P1569" i="38"/>
  <c r="Z1569" i="38" s="1"/>
  <c r="P1602" i="38"/>
  <c r="Z1602" i="38" s="1"/>
  <c r="P1046" i="38"/>
  <c r="Z1046" i="38" s="1"/>
  <c r="S194" i="12"/>
  <c r="P1646" i="38"/>
  <c r="Z1646" i="38" s="1"/>
  <c r="P1211" i="38"/>
  <c r="Z1211" i="38" s="1"/>
  <c r="P535" i="38"/>
  <c r="Z535" i="38" s="1"/>
  <c r="P1306" i="38"/>
  <c r="Z1306" i="38" s="1"/>
  <c r="S204" i="12"/>
  <c r="P1753" i="38"/>
  <c r="Z1753" i="38" s="1"/>
  <c r="S44" i="76" s="1"/>
  <c r="P1380" i="38"/>
  <c r="Z1380" i="38" s="1"/>
  <c r="P1430" i="38"/>
  <c r="Z1430" i="38" s="1"/>
  <c r="P1036" i="38"/>
  <c r="Z1036" i="38" s="1"/>
  <c r="P1318" i="38"/>
  <c r="Z1318" i="38" s="1"/>
  <c r="P726" i="38"/>
  <c r="Z726" i="38" s="1"/>
  <c r="P1249" i="38"/>
  <c r="Z1249" i="38" s="1"/>
  <c r="P559" i="38"/>
  <c r="Z559" i="38" s="1"/>
  <c r="P1429" i="38"/>
  <c r="Z1429" i="38" s="1"/>
  <c r="P913" i="38"/>
  <c r="Z913" i="38" s="1"/>
  <c r="P982" i="38"/>
  <c r="Z982" i="38" s="1"/>
  <c r="R192" i="12"/>
  <c r="P1500" i="38"/>
  <c r="Z1500" i="38" s="1"/>
  <c r="P1411" i="38"/>
  <c r="Z1411" i="38" s="1"/>
  <c r="P1686" i="38"/>
  <c r="Z1686" i="38" s="1"/>
  <c r="P658" i="38"/>
  <c r="Z658" i="38" s="1"/>
  <c r="V131" i="38"/>
  <c r="M109" i="72"/>
  <c r="M26" i="76"/>
  <c r="P1317" i="38"/>
  <c r="Z1317" i="38" s="1"/>
  <c r="P1785" i="38"/>
  <c r="Z1785" i="38" s="1"/>
  <c r="P949" i="38"/>
  <c r="Z949" i="38" s="1"/>
  <c r="P780" i="38"/>
  <c r="Z780" i="38" s="1"/>
  <c r="O193" i="12"/>
  <c r="P643" i="38"/>
  <c r="Z643" i="38" s="1"/>
  <c r="P714" i="38"/>
  <c r="Z714" i="38" s="1"/>
  <c r="P1703" i="38"/>
  <c r="Z1703" i="38" s="1"/>
  <c r="P901" i="38"/>
  <c r="Z901" i="38" s="1"/>
  <c r="P1881" i="38"/>
  <c r="Z1881" i="38" s="1"/>
  <c r="P1579" i="38"/>
  <c r="Z1579" i="38" s="1"/>
  <c r="P1149" i="38"/>
  <c r="Z1149" i="38" s="1"/>
  <c r="P1789" i="38"/>
  <c r="Z1789" i="38" s="1"/>
  <c r="P1193" i="38"/>
  <c r="Z1193" i="38" s="1"/>
  <c r="P194" i="12"/>
  <c r="P799" i="38"/>
  <c r="Z799" i="38" s="1"/>
  <c r="P1246" i="38"/>
  <c r="Z1246" i="38" s="1"/>
  <c r="P1167" i="38"/>
  <c r="Z1167" i="38" s="1"/>
  <c r="P1369" i="38"/>
  <c r="Z1369" i="38" s="1"/>
  <c r="P1293" i="38"/>
  <c r="Z1293" i="38" s="1"/>
  <c r="P1617" i="38"/>
  <c r="Z1617" i="38" s="1"/>
  <c r="P1613" i="38"/>
  <c r="Z1613" i="38" s="1"/>
  <c r="O191" i="12"/>
  <c r="P582" i="38"/>
  <c r="Z582" i="38" s="1"/>
  <c r="P728" i="38"/>
  <c r="Z728" i="38" s="1"/>
  <c r="P1336" i="38"/>
  <c r="Z1336" i="38" s="1"/>
  <c r="P1538" i="38"/>
  <c r="Z1538" i="38" s="1"/>
  <c r="P1812" i="38"/>
  <c r="Z1812" i="38" s="1"/>
  <c r="P727" i="38"/>
  <c r="Z727" i="38" s="1"/>
  <c r="P1069" i="38"/>
  <c r="Z1069" i="38" s="1"/>
  <c r="P1233" i="38"/>
  <c r="Z1233" i="38" s="1"/>
  <c r="P1639" i="38"/>
  <c r="Z1639" i="38" s="1"/>
  <c r="P557" i="38"/>
  <c r="Z557" i="38" s="1"/>
  <c r="P861" i="38"/>
  <c r="Z861" i="38" s="1"/>
  <c r="P1311" i="38"/>
  <c r="Z1311" i="38" s="1"/>
  <c r="P717" i="38"/>
  <c r="Z717" i="38" s="1"/>
  <c r="P191" i="12"/>
  <c r="P849" i="38"/>
  <c r="Z849" i="38" s="1"/>
  <c r="P1510" i="38"/>
  <c r="Z1510" i="38" s="1"/>
  <c r="M93" i="72"/>
  <c r="V155" i="38"/>
  <c r="V137" i="38"/>
  <c r="M35" i="72"/>
  <c r="V161" i="38"/>
  <c r="M91" i="72"/>
  <c r="V59" i="38"/>
  <c r="M46" i="72"/>
  <c r="M90" i="72"/>
  <c r="V139" i="38"/>
  <c r="M47" i="72"/>
  <c r="M21" i="72"/>
  <c r="P1433" i="38"/>
  <c r="Z1433" i="38" s="1"/>
  <c r="P1264" i="38"/>
  <c r="Z1264" i="38" s="1"/>
  <c r="P1168" i="38"/>
  <c r="Z1168" i="38" s="1"/>
  <c r="P1119" i="38"/>
  <c r="Z1119" i="38" s="1"/>
  <c r="P1549" i="38"/>
  <c r="Z1549" i="38" s="1"/>
  <c r="P874" i="38"/>
  <c r="Z874" i="38" s="1"/>
  <c r="P616" i="38"/>
  <c r="Z616" i="38" s="1"/>
  <c r="P1831" i="38"/>
  <c r="Z1831" i="38" s="1"/>
  <c r="P999" i="38"/>
  <c r="Z999" i="38" s="1"/>
  <c r="P752" i="38"/>
  <c r="Z752" i="38" s="1"/>
  <c r="P1057" i="38"/>
  <c r="Z1057" i="38" s="1"/>
  <c r="P843" i="38"/>
  <c r="Z843" i="38" s="1"/>
  <c r="P680" i="38"/>
  <c r="Z680" i="38" s="1"/>
  <c r="P1578" i="38"/>
  <c r="Z1578" i="38" s="1"/>
  <c r="P944" i="38"/>
  <c r="Z944" i="38" s="1"/>
  <c r="P1338" i="38"/>
  <c r="Z1338" i="38" s="1"/>
  <c r="V125" i="38"/>
  <c r="M105" i="72"/>
  <c r="M20" i="72"/>
  <c r="M106" i="72"/>
  <c r="M107" i="72"/>
  <c r="V133" i="38"/>
  <c r="M22" i="72"/>
  <c r="M30" i="76"/>
  <c r="V201" i="38"/>
  <c r="M38" i="72"/>
  <c r="N26" i="76"/>
  <c r="P994" i="38"/>
  <c r="Z994" i="38" s="1"/>
  <c r="P1727" i="38"/>
  <c r="Z1727" i="38" s="1"/>
  <c r="P1645" i="38"/>
  <c r="Z1645" i="38" s="1"/>
  <c r="P1733" i="38"/>
  <c r="Z1733" i="38" s="1"/>
  <c r="P930" i="38"/>
  <c r="Z930" i="38" s="1"/>
  <c r="P1291" i="38"/>
  <c r="Z1291" i="38" s="1"/>
  <c r="P632" i="38"/>
  <c r="Z632" i="38" s="1"/>
  <c r="P1064" i="38"/>
  <c r="Z1064" i="38" s="1"/>
  <c r="P1013" i="38"/>
  <c r="Z1013" i="38" s="1"/>
  <c r="P800" i="38"/>
  <c r="Z800" i="38" s="1"/>
  <c r="P1005" i="38"/>
  <c r="Z1005" i="38" s="1"/>
  <c r="P656" i="38"/>
  <c r="Z656" i="38" s="1"/>
  <c r="P609" i="38"/>
  <c r="Z609" i="38" s="1"/>
  <c r="P621" i="38"/>
  <c r="Z621" i="38" s="1"/>
  <c r="P613" i="38"/>
  <c r="Z613" i="38" s="1"/>
  <c r="P931" i="38"/>
  <c r="Z931" i="38" s="1"/>
  <c r="P1309" i="38"/>
  <c r="Z1309" i="38" s="1"/>
  <c r="P1321" i="38"/>
  <c r="Z1321" i="38" s="1"/>
  <c r="P1563" i="38"/>
  <c r="Z1563" i="38" s="1"/>
  <c r="P735" i="38"/>
  <c r="Z735" i="38" s="1"/>
  <c r="P671" i="38"/>
  <c r="Z671" i="38" s="1"/>
  <c r="P1666" i="38"/>
  <c r="Z1666" i="38" s="1"/>
  <c r="P1352" i="38"/>
  <c r="Z1352" i="38" s="1"/>
  <c r="P1396" i="38"/>
  <c r="Z1396" i="38" s="1"/>
  <c r="Q193" i="12"/>
  <c r="P1163" i="38"/>
  <c r="Z1163" i="38" s="1"/>
  <c r="P1761" i="38"/>
  <c r="Z1761" i="38" s="1"/>
  <c r="P1724" i="38"/>
  <c r="Z1724" i="38" s="1"/>
  <c r="P1593" i="38"/>
  <c r="Z1593" i="38" s="1"/>
  <c r="P778" i="38"/>
  <c r="Z778" i="38" s="1"/>
  <c r="P691" i="38"/>
  <c r="Z691" i="38" s="1"/>
  <c r="P712" i="38"/>
  <c r="Z712" i="38" s="1"/>
  <c r="P1537" i="38"/>
  <c r="Z1537" i="38" s="1"/>
  <c r="P1169" i="38"/>
  <c r="Z1169" i="38" s="1"/>
  <c r="S197" i="12"/>
  <c r="S200" i="12" s="1"/>
  <c r="P1758" i="38"/>
  <c r="Z1758" i="38" s="1"/>
  <c r="P955" i="38"/>
  <c r="Z955" i="38" s="1"/>
  <c r="P204" i="12"/>
  <c r="P906" i="38"/>
  <c r="Z906" i="38" s="1"/>
  <c r="P1231" i="38"/>
  <c r="Z1231" i="38" s="1"/>
  <c r="P1088" i="38"/>
  <c r="Z1088" i="38" s="1"/>
  <c r="P720" i="38"/>
  <c r="Z720" i="38" s="1"/>
  <c r="P674" i="38"/>
  <c r="Z674" i="38" s="1"/>
  <c r="P965" i="38"/>
  <c r="Z965" i="38" s="1"/>
  <c r="P1215" i="38"/>
  <c r="Z1215" i="38" s="1"/>
  <c r="P1739" i="38"/>
  <c r="Z1739" i="38" s="1"/>
  <c r="P1595" i="38"/>
  <c r="Z1595" i="38" s="1"/>
  <c r="P1230" i="38"/>
  <c r="Z1230" i="38" s="1"/>
  <c r="P1599" i="38"/>
  <c r="Z1599" i="38" s="1"/>
  <c r="P1800" i="38"/>
  <c r="Z1800" i="38" s="1"/>
  <c r="P836" i="38"/>
  <c r="Z836" i="38" s="1"/>
  <c r="P725" i="38"/>
  <c r="Z725" i="38" s="1"/>
  <c r="P1717" i="38"/>
  <c r="Z1717" i="38" s="1"/>
  <c r="P1660" i="38"/>
  <c r="Z1660" i="38" s="1"/>
  <c r="P791" i="38"/>
  <c r="Z791" i="38" s="1"/>
  <c r="P1697" i="38"/>
  <c r="Z1697" i="38" s="1"/>
  <c r="P1513" i="38"/>
  <c r="Z1513" i="38" s="1"/>
  <c r="P806" i="38"/>
  <c r="Z806" i="38" s="1"/>
  <c r="P1798" i="38"/>
  <c r="Z1798" i="38" s="1"/>
  <c r="P1108" i="38"/>
  <c r="Z1108" i="38" s="1"/>
  <c r="P1856" i="38"/>
  <c r="Z1856" i="38" s="1"/>
  <c r="P673" i="38"/>
  <c r="Z673" i="38" s="1"/>
  <c r="P790" i="38"/>
  <c r="Z790" i="38" s="1"/>
  <c r="P1040" i="38"/>
  <c r="Z1040" i="38" s="1"/>
  <c r="P991" i="38"/>
  <c r="Z991" i="38" s="1"/>
  <c r="P1603" i="38"/>
  <c r="Z1603" i="38" s="1"/>
  <c r="P997" i="38"/>
  <c r="Z997" i="38" s="1"/>
  <c r="P1551" i="38"/>
  <c r="Z1551" i="38" s="1"/>
  <c r="P777" i="38"/>
  <c r="Z777" i="38" s="1"/>
  <c r="M89" i="70"/>
  <c r="M31" i="76"/>
  <c r="P1496" i="38"/>
  <c r="Z1496" i="38" s="1"/>
  <c r="P1182" i="38"/>
  <c r="Z1182" i="38" s="1"/>
  <c r="P1837" i="38"/>
  <c r="Z1837" i="38" s="1"/>
  <c r="P770" i="38"/>
  <c r="Z770" i="38" s="1"/>
  <c r="P749" i="38"/>
  <c r="Z749" i="38" s="1"/>
  <c r="P933" i="38"/>
  <c r="Z933" i="38" s="1"/>
  <c r="P1477" i="38"/>
  <c r="Z1477" i="38" s="1"/>
  <c r="Q192" i="12"/>
  <c r="P1185" i="38"/>
  <c r="Z1185" i="38" s="1"/>
  <c r="P938" i="38"/>
  <c r="Z938" i="38" s="1"/>
  <c r="P891" i="38"/>
  <c r="Z891" i="38" s="1"/>
  <c r="P1133" i="38"/>
  <c r="Z1133" i="38" s="1"/>
  <c r="P968" i="38"/>
  <c r="Z968" i="38" s="1"/>
  <c r="P1361" i="38"/>
  <c r="Z1361" i="38" s="1"/>
  <c r="P764" i="38"/>
  <c r="Z764" i="38" s="1"/>
  <c r="P771" i="38"/>
  <c r="Z771" i="38" s="1"/>
  <c r="P1452" i="38"/>
  <c r="Z1452" i="38" s="1"/>
  <c r="P612" i="38"/>
  <c r="Z612" i="38" s="1"/>
  <c r="V119" i="38"/>
  <c r="M48" i="72"/>
  <c r="M108" i="72"/>
  <c r="M23" i="72"/>
  <c r="V171" i="38"/>
  <c r="M94" i="72"/>
  <c r="M25" i="72"/>
  <c r="M103" i="72"/>
  <c r="V123" i="38"/>
  <c r="M226" i="76"/>
  <c r="P1370" i="38"/>
  <c r="Z1370" i="38" s="1"/>
  <c r="R193" i="12"/>
  <c r="P1476" i="38"/>
  <c r="Z1476" i="38" s="1"/>
  <c r="P1484" i="38"/>
  <c r="Z1484" i="38" s="1"/>
  <c r="P1847" i="38"/>
  <c r="Z1847" i="38" s="1"/>
  <c r="P193" i="12"/>
  <c r="P910" i="38"/>
  <c r="Z910" i="38" s="1"/>
  <c r="P1345" i="38"/>
  <c r="Z1345" i="38" s="1"/>
  <c r="P548" i="38"/>
  <c r="Z548" i="38" s="1"/>
  <c r="P589" i="38"/>
  <c r="Z589" i="38" s="1"/>
  <c r="P626" i="38"/>
  <c r="Z626" i="38" s="1"/>
  <c r="P1294" i="38"/>
  <c r="Z1294" i="38" s="1"/>
  <c r="P1640" i="38"/>
  <c r="Z1640" i="38" s="1"/>
  <c r="P1606" i="38"/>
  <c r="Z1606" i="38" s="1"/>
  <c r="P1261" i="38"/>
  <c r="Z1261" i="38" s="1"/>
  <c r="P1301" i="38"/>
  <c r="Z1301" i="38" s="1"/>
  <c r="P1589" i="38"/>
  <c r="Z1589" i="38" s="1"/>
  <c r="O192" i="12"/>
  <c r="P665" i="38"/>
  <c r="Z665" i="38" s="1"/>
  <c r="P1832" i="38"/>
  <c r="Z1832" i="38" s="1"/>
  <c r="O204" i="12"/>
  <c r="P639" i="38"/>
  <c r="Z639" i="38" s="1"/>
  <c r="P566" i="38"/>
  <c r="Z566" i="38" s="1"/>
  <c r="P1875" i="38"/>
  <c r="Z1875" i="38" s="1"/>
  <c r="P1454" i="38"/>
  <c r="Z1454" i="38" s="1"/>
  <c r="P1020" i="38"/>
  <c r="Z1020" i="38" s="1"/>
  <c r="P1729" i="38"/>
  <c r="Z1729" i="38" s="1"/>
  <c r="P1736" i="38"/>
  <c r="Z1736" i="38" s="1"/>
  <c r="P1099" i="38"/>
  <c r="Z1099" i="38" s="1"/>
  <c r="M134" i="12"/>
  <c r="X33" i="45" s="1"/>
  <c r="M136" i="12"/>
  <c r="M33" i="72"/>
  <c r="M59" i="72"/>
  <c r="M26" i="72"/>
  <c r="V116" i="38"/>
  <c r="M58" i="12"/>
  <c r="Q737" i="38"/>
  <c r="Q1029" i="38"/>
  <c r="Q1482" i="38"/>
  <c r="Q925" i="38"/>
  <c r="Q1050" i="38"/>
  <c r="Q892" i="38"/>
  <c r="Q1466" i="38"/>
  <c r="Q1807" i="38"/>
  <c r="Q1861" i="38"/>
  <c r="Q551" i="38"/>
  <c r="Q1089" i="38"/>
  <c r="Q1275" i="38"/>
  <c r="Q1796" i="38"/>
  <c r="Q722" i="38"/>
  <c r="Q1752" i="38"/>
  <c r="Q606" i="38"/>
  <c r="Q784" i="38"/>
  <c r="Q1070" i="38"/>
  <c r="Q1680" i="38"/>
  <c r="Q617" i="38"/>
  <c r="Q1626" i="38"/>
  <c r="Q1014" i="38"/>
  <c r="Q1539" i="38"/>
  <c r="Q823" i="38"/>
  <c r="Q1678" i="38"/>
  <c r="Q1772" i="38"/>
  <c r="Q1818" i="38"/>
  <c r="Q1777" i="38"/>
  <c r="Q1701" i="38"/>
  <c r="Q1422" i="38"/>
  <c r="Q1607" i="38"/>
  <c r="Q1516" i="38"/>
  <c r="Q1147" i="38"/>
  <c r="Q1177" i="38"/>
  <c r="Q554" i="38"/>
  <c r="Q594" i="38"/>
  <c r="Q649" i="38"/>
  <c r="Q1058" i="38"/>
  <c r="Q1723" i="38"/>
  <c r="Q714" i="38"/>
  <c r="Q1149" i="38"/>
  <c r="Q1246" i="38"/>
  <c r="Q1069" i="38"/>
  <c r="Q557" i="38"/>
  <c r="Q1317" i="38"/>
  <c r="Q949" i="38"/>
  <c r="Q1703" i="38"/>
  <c r="Q1613" i="38"/>
  <c r="Q1639" i="38"/>
  <c r="Q1365" i="38"/>
  <c r="Q870" i="38"/>
  <c r="Q713" i="38"/>
  <c r="Q642" i="38"/>
  <c r="Q1571" i="38"/>
  <c r="Q1278" i="38"/>
  <c r="Q1491" i="38"/>
  <c r="Q1046" i="38"/>
  <c r="Q1579" i="38"/>
  <c r="Q613" i="38"/>
  <c r="Q1563" i="38"/>
  <c r="Q735" i="38"/>
  <c r="Q1352" i="38"/>
  <c r="Q1761" i="38"/>
  <c r="Q712" i="38"/>
  <c r="Q720" i="38"/>
  <c r="Q1599" i="38"/>
  <c r="Q1800" i="38"/>
  <c r="Q1717" i="38"/>
  <c r="Q806" i="38"/>
  <c r="Q1856" i="38"/>
  <c r="Q673" i="38"/>
  <c r="Q1040" i="38"/>
  <c r="Q991" i="38"/>
  <c r="Q1603" i="38"/>
  <c r="Q1496" i="38"/>
  <c r="Q1160" i="38"/>
  <c r="Q1264" i="38"/>
  <c r="Q1119" i="38"/>
  <c r="Q1348" i="38"/>
  <c r="Q1733" i="38"/>
  <c r="Q1549" i="38"/>
  <c r="Q933" i="38"/>
  <c r="Q930" i="38"/>
  <c r="Q738" i="38"/>
  <c r="Q874" i="38"/>
  <c r="Q1831" i="38"/>
  <c r="Q1477" i="38"/>
  <c r="Q999" i="38"/>
  <c r="Q656" i="38"/>
  <c r="Q1338" i="38"/>
  <c r="Q1647" i="38"/>
  <c r="Q900" i="38"/>
  <c r="Q637" i="38"/>
  <c r="Q589" i="38"/>
  <c r="Q626" i="38"/>
  <c r="Q1294" i="38"/>
  <c r="Q1606" i="38"/>
  <c r="Q566" i="38"/>
  <c r="Q1020" i="38"/>
  <c r="Q1099" i="38"/>
  <c r="Q1345" i="38"/>
  <c r="Q1628" i="38"/>
  <c r="Q548" i="38"/>
  <c r="Q1435" i="38"/>
  <c r="Q1640" i="38"/>
  <c r="Q1729" i="38"/>
  <c r="Q1736" i="38"/>
  <c r="Q1521" i="38"/>
  <c r="Q928" i="38"/>
  <c r="Q1159" i="38"/>
  <c r="Q1101" i="38"/>
  <c r="Q968" i="38"/>
  <c r="Q1361" i="38"/>
  <c r="Q771" i="38"/>
  <c r="Q1452" i="38"/>
  <c r="Q1473" i="38"/>
  <c r="Q633" i="38"/>
  <c r="Q1706" i="38"/>
  <c r="Q852" i="38"/>
  <c r="Q585" i="38"/>
  <c r="Q936" i="38"/>
  <c r="M34" i="70" l="1"/>
  <c r="M35" i="70" s="1"/>
  <c r="M36" i="76"/>
  <c r="O44" i="76"/>
  <c r="P44" i="76"/>
  <c r="Q202" i="12"/>
  <c r="Q205" i="12" s="1"/>
  <c r="O40" i="76"/>
  <c r="P41" i="76"/>
  <c r="O23" i="12"/>
  <c r="M40" i="72"/>
  <c r="M134" i="72" s="1"/>
  <c r="Q1274" i="38"/>
  <c r="Q1176" i="38"/>
  <c r="Q1413" i="38"/>
  <c r="Q1140" i="38"/>
  <c r="Q1175" i="38"/>
  <c r="Q622" i="38"/>
  <c r="Q1746" i="38"/>
  <c r="Q1655" i="38"/>
  <c r="Q1313" i="38"/>
  <c r="Q787" i="38"/>
  <c r="Q810" i="38"/>
  <c r="Q1166" i="38"/>
  <c r="Q785" i="38"/>
  <c r="Q895" i="38"/>
  <c r="Q618" i="38"/>
  <c r="O66" i="12"/>
  <c r="O152" i="12"/>
  <c r="L29" i="45" s="1"/>
  <c r="Q921" i="38"/>
  <c r="Q1105" i="38"/>
  <c r="Q1194" i="38"/>
  <c r="Q1587" i="38"/>
  <c r="Q824" i="38"/>
  <c r="Q960" i="38"/>
  <c r="Q581" i="38"/>
  <c r="Q1387" i="38"/>
  <c r="Q1839" i="38"/>
  <c r="Q1340" i="38"/>
  <c r="Q1341" i="38"/>
  <c r="Q1821" i="38"/>
  <c r="Q1709" i="38"/>
  <c r="Q1191" i="38"/>
  <c r="Q688" i="38"/>
  <c r="Q1259" i="38"/>
  <c r="Q698" i="38"/>
  <c r="Q1364" i="38"/>
  <c r="Q850" i="38"/>
  <c r="Q653" i="38"/>
  <c r="S66" i="12"/>
  <c r="S152" i="12"/>
  <c r="P29" i="45" s="1"/>
  <c r="Q1512" i="38"/>
  <c r="Q538" i="38"/>
  <c r="Q1875" i="38"/>
  <c r="Q1660" i="38"/>
  <c r="Q1336" i="38"/>
  <c r="Q1617" i="38"/>
  <c r="Q780" i="38"/>
  <c r="S42" i="76"/>
  <c r="Q1460" i="38"/>
  <c r="Q1542" i="38"/>
  <c r="R202" i="12"/>
  <c r="R205" i="12" s="1"/>
  <c r="M107" i="70"/>
  <c r="M120" i="70" s="1"/>
  <c r="M50" i="70"/>
  <c r="M51" i="70" s="1"/>
  <c r="Q969" i="38"/>
  <c r="Q1446" i="38"/>
  <c r="Q857" i="38"/>
  <c r="Q689" i="38"/>
  <c r="Q1129" i="38"/>
  <c r="Q882" i="38"/>
  <c r="Q1224" i="38"/>
  <c r="Q1465" i="38"/>
  <c r="Q869" i="38"/>
  <c r="Q561" i="38"/>
  <c r="Q814" i="38"/>
  <c r="Q1615" i="38"/>
  <c r="Q1096" i="38"/>
  <c r="Q1469" i="38"/>
  <c r="Q1621" i="38"/>
  <c r="Q840" i="38"/>
  <c r="Q1763" i="38"/>
  <c r="Q1679" i="38"/>
  <c r="Q676" i="38"/>
  <c r="Q571" i="38"/>
  <c r="Q608" i="38"/>
  <c r="Q1471" i="38"/>
  <c r="Q1268" i="38"/>
  <c r="Q1035" i="38"/>
  <c r="Q1134" i="38"/>
  <c r="Q1712" i="38"/>
  <c r="P70" i="12"/>
  <c r="P73" i="12" s="1"/>
  <c r="Q665" i="38"/>
  <c r="O116" i="12"/>
  <c r="L15" i="45" s="1"/>
  <c r="O65" i="12"/>
  <c r="Q623" i="38"/>
  <c r="Q1186" i="38"/>
  <c r="Q1284" i="38"/>
  <c r="Q567" i="38"/>
  <c r="Q1142" i="38"/>
  <c r="Q1164" i="38"/>
  <c r="Q1221" i="38"/>
  <c r="Q1505" i="38"/>
  <c r="Q1764" i="38"/>
  <c r="Q1734" i="38"/>
  <c r="Q1848" i="38"/>
  <c r="Q1765" i="38"/>
  <c r="Q746" i="38"/>
  <c r="Q1577" i="38"/>
  <c r="Q1205" i="38"/>
  <c r="Q1828" i="38"/>
  <c r="Q1804" i="38"/>
  <c r="Q1044" i="38"/>
  <c r="Q552" i="38"/>
  <c r="Q825" i="38"/>
  <c r="Q1285" i="38"/>
  <c r="Q1834" i="38"/>
  <c r="Q1188" i="38"/>
  <c r="Q832" i="38"/>
  <c r="Q1032" i="38"/>
  <c r="Q1428" i="38"/>
  <c r="Q631" i="38"/>
  <c r="Q1495" i="38"/>
  <c r="Q1114" i="38"/>
  <c r="Q821" i="38"/>
  <c r="Q1730" i="38"/>
  <c r="Q647" i="38"/>
  <c r="Q1135" i="38"/>
  <c r="Q1026" i="38"/>
  <c r="Q897" i="38"/>
  <c r="Q1356" i="38"/>
  <c r="Q842" i="38"/>
  <c r="Q1480" i="38"/>
  <c r="Q1202" i="38"/>
  <c r="Q1302" i="38"/>
  <c r="Q1229" i="38"/>
  <c r="Q1702" i="38"/>
  <c r="Q1582" i="38"/>
  <c r="Q1254" i="38"/>
  <c r="Q1098" i="38"/>
  <c r="Q1343" i="38"/>
  <c r="Q545" i="38"/>
  <c r="Q1214" i="38"/>
  <c r="Q802" i="38"/>
  <c r="Q1388" i="38"/>
  <c r="Q1184" i="38"/>
  <c r="Q710" i="38"/>
  <c r="Q822" i="38"/>
  <c r="Q1412" i="38"/>
  <c r="Q776" i="38"/>
  <c r="Q1330" i="38"/>
  <c r="Q1272" i="38"/>
  <c r="Q950" i="38"/>
  <c r="Q1439" i="38"/>
  <c r="Q1726" i="38"/>
  <c r="Q1741" i="38"/>
  <c r="Q1659" i="38"/>
  <c r="Q1151" i="38"/>
  <c r="Q1374" i="38"/>
  <c r="Q1128" i="38"/>
  <c r="Q1566" i="38"/>
  <c r="Q1066" i="38"/>
  <c r="Q1371" i="38"/>
  <c r="Q873" i="38"/>
  <c r="P77" i="12"/>
  <c r="Q1064" i="38"/>
  <c r="Q1825" i="38"/>
  <c r="Q1218" i="38"/>
  <c r="Q558" i="38"/>
  <c r="Q1863" i="38"/>
  <c r="Q887" i="38"/>
  <c r="Q1389" i="38"/>
  <c r="Q767" i="38"/>
  <c r="Q1693" i="38"/>
  <c r="Q549" i="38"/>
  <c r="Q1710" i="38"/>
  <c r="Q700" i="38"/>
  <c r="Q1280" i="38"/>
  <c r="Q1809" i="38"/>
  <c r="Q1833" i="38"/>
  <c r="Q1793" i="38"/>
  <c r="Q1138" i="38"/>
  <c r="Q1624" i="38"/>
  <c r="Q1544" i="38"/>
  <c r="Q1795" i="38"/>
  <c r="Q1830" i="38"/>
  <c r="Q1813" i="38"/>
  <c r="Q1718" i="38"/>
  <c r="Q1082" i="38"/>
  <c r="Q1738" i="38"/>
  <c r="Q1203" i="38"/>
  <c r="Q687" i="38"/>
  <c r="Q629" i="38"/>
  <c r="Q1637" i="38"/>
  <c r="Q1580" i="38"/>
  <c r="Q1630" i="38"/>
  <c r="Q1596" i="38"/>
  <c r="Q1349" i="38"/>
  <c r="Q598" i="38"/>
  <c r="Q1591" i="38"/>
  <c r="Q996" i="38"/>
  <c r="Q1354" i="38"/>
  <c r="Q1038" i="38"/>
  <c r="Q1436" i="38"/>
  <c r="Q547" i="38"/>
  <c r="Q1018" i="38"/>
  <c r="Q1682" i="38"/>
  <c r="Q1711" i="38"/>
  <c r="Q1694" i="38"/>
  <c r="Q1514" i="38"/>
  <c r="Q1113" i="38"/>
  <c r="Q1002" i="38"/>
  <c r="Q1358" i="38"/>
  <c r="Q1288" i="38"/>
  <c r="Q902" i="38"/>
  <c r="Q1860" i="38"/>
  <c r="Q1462" i="38"/>
  <c r="Q758" i="38"/>
  <c r="Q599" i="38"/>
  <c r="Q1865" i="38"/>
  <c r="Q1226" i="38"/>
  <c r="Q645" i="38"/>
  <c r="Q1853" i="38"/>
  <c r="Q829" i="38"/>
  <c r="Q1766" i="38"/>
  <c r="Q1631" i="38"/>
  <c r="Q799" i="38"/>
  <c r="P67" i="12"/>
  <c r="Q1331" i="38"/>
  <c r="Q1453" i="38"/>
  <c r="Q844" i="38"/>
  <c r="Q1648" i="38"/>
  <c r="Q1073" i="38"/>
  <c r="Q847" i="38"/>
  <c r="Q1850" i="38"/>
  <c r="Q864" i="38"/>
  <c r="Q1100" i="38"/>
  <c r="Q540" i="38"/>
  <c r="Q670" i="38"/>
  <c r="Q1611" i="38"/>
  <c r="Q1121" i="38"/>
  <c r="Q1669" i="38"/>
  <c r="Q750" i="38"/>
  <c r="Q1535" i="38"/>
  <c r="Q1310" i="38"/>
  <c r="Q1379" i="38"/>
  <c r="Q1222" i="38"/>
  <c r="Q1213" i="38"/>
  <c r="Q1131" i="38"/>
  <c r="Q733" i="38"/>
  <c r="Q611" i="38"/>
  <c r="Q1223" i="38"/>
  <c r="Q782" i="38"/>
  <c r="Q833" i="38"/>
  <c r="Q1106" i="38"/>
  <c r="Q628" i="38"/>
  <c r="Q1744" i="38"/>
  <c r="Q1707" i="38"/>
  <c r="Q922" i="38"/>
  <c r="Q899" i="38"/>
  <c r="Q703" i="38"/>
  <c r="Q576" i="38"/>
  <c r="Q946" i="38"/>
  <c r="Q1541" i="38"/>
  <c r="Q1350" i="38"/>
  <c r="Q675" i="38"/>
  <c r="Q1438" i="38"/>
  <c r="Q709" i="38"/>
  <c r="Q1031" i="38"/>
  <c r="Q1394" i="38"/>
  <c r="Q1769" i="38"/>
  <c r="Q1866" i="38"/>
  <c r="Q1699" i="38"/>
  <c r="Q1247" i="38"/>
  <c r="Q1543" i="38"/>
  <c r="Q1110" i="38"/>
  <c r="Q939" i="38"/>
  <c r="Q1815" i="38"/>
  <c r="Q627" i="38"/>
  <c r="Q1583" i="38"/>
  <c r="Q1633" i="38"/>
  <c r="Q879" i="38"/>
  <c r="Q1305" i="38"/>
  <c r="Q1857" i="38"/>
  <c r="Q1405" i="38"/>
  <c r="Q1847" i="38"/>
  <c r="Q1133" i="38"/>
  <c r="Q1837" i="38"/>
  <c r="Q1739" i="38"/>
  <c r="Q955" i="38"/>
  <c r="Q1396" i="38"/>
  <c r="Q931" i="38"/>
  <c r="Q1433" i="38"/>
  <c r="Q1510" i="38"/>
  <c r="Q861" i="38"/>
  <c r="Q1411" i="38"/>
  <c r="Q1429" i="38"/>
  <c r="Q1318" i="38"/>
  <c r="Q1393" i="38"/>
  <c r="Q1077" i="38"/>
  <c r="Q1558" i="38"/>
  <c r="Q1760" i="38"/>
  <c r="Q1564" i="38"/>
  <c r="Q990" i="38"/>
  <c r="Q1696" i="38"/>
  <c r="S64" i="12"/>
  <c r="Q1004" i="38"/>
  <c r="Q828" i="38"/>
  <c r="Q1562" i="38"/>
  <c r="Q1269" i="38"/>
  <c r="Q1041" i="38"/>
  <c r="Q1673" i="38"/>
  <c r="Q792" i="38"/>
  <c r="Q686" i="38"/>
  <c r="Q875" i="38"/>
  <c r="Q1225" i="38"/>
  <c r="Q1715" i="38"/>
  <c r="Q986" i="38"/>
  <c r="Q1037" i="38"/>
  <c r="Q1074" i="38"/>
  <c r="Q1410" i="38"/>
  <c r="Q1567" i="38"/>
  <c r="Q826" i="38"/>
  <c r="Q992" i="38"/>
  <c r="Q1006" i="38"/>
  <c r="Q593" i="38"/>
  <c r="Q804" i="38"/>
  <c r="Q756" i="38"/>
  <c r="Q1418" i="38"/>
  <c r="Q1390" i="38"/>
  <c r="Q1662" i="38"/>
  <c r="Q1360" i="38"/>
  <c r="Q570" i="38"/>
  <c r="Q964" i="38"/>
  <c r="Q1852" i="38"/>
  <c r="Q1770" i="38"/>
  <c r="Q1265" i="38"/>
  <c r="Q772" i="38"/>
  <c r="Q1467" i="38"/>
  <c r="Q66" i="12"/>
  <c r="Q152" i="12"/>
  <c r="N29" i="45" s="1"/>
  <c r="Q801" i="38"/>
  <c r="Q1576" i="38"/>
  <c r="Q1498" i="38"/>
  <c r="Q657" i="38"/>
  <c r="Q1091" i="38"/>
  <c r="Q779" i="38"/>
  <c r="Q1145" i="38"/>
  <c r="Q1382" i="38"/>
  <c r="Q1692" i="38"/>
  <c r="Q711" i="38"/>
  <c r="Q1873" i="38"/>
  <c r="Q1667" i="38"/>
  <c r="Q1067" i="38"/>
  <c r="Q849" i="38"/>
  <c r="P64" i="12"/>
  <c r="Q596" i="38"/>
  <c r="Q1335" i="38"/>
  <c r="Q1028" i="38"/>
  <c r="Q1499" i="38"/>
  <c r="Q1788" i="38"/>
  <c r="Q697" i="38"/>
  <c r="Q941" i="38"/>
  <c r="Q1838" i="38"/>
  <c r="Q1487" i="38"/>
  <c r="Q1775" i="38"/>
  <c r="Q884" i="38"/>
  <c r="Q1780" i="38"/>
  <c r="S65" i="12"/>
  <c r="S116" i="12"/>
  <c r="P15" i="45" s="1"/>
  <c r="Q1675" i="38"/>
  <c r="Q1346" i="38"/>
  <c r="Q1154" i="38"/>
  <c r="Q878" i="38"/>
  <c r="Q983" i="38"/>
  <c r="Q1137" i="38"/>
  <c r="Q1862" i="38"/>
  <c r="Q1120" i="38"/>
  <c r="Q1075" i="38"/>
  <c r="Q1342" i="38"/>
  <c r="Q831" i="38"/>
  <c r="Q1714" i="38"/>
  <c r="Q1784" i="38"/>
  <c r="Q751" i="38"/>
  <c r="Q1461" i="38"/>
  <c r="Q1200" i="38"/>
  <c r="Q1409" i="38"/>
  <c r="Q1652" i="38"/>
  <c r="Q1803" i="38"/>
  <c r="Q1625" i="38"/>
  <c r="Q1704" i="38"/>
  <c r="Q1448" i="38"/>
  <c r="Q1206" i="38"/>
  <c r="Q781" i="38"/>
  <c r="Q1017" i="38"/>
  <c r="Q601" i="38"/>
  <c r="Q1445" i="38"/>
  <c r="Q1457" i="38"/>
  <c r="Q721" i="38"/>
  <c r="Q1871" i="38"/>
  <c r="Q1851" i="38"/>
  <c r="Q798" i="38"/>
  <c r="Q1520" i="38"/>
  <c r="Q1458" i="38"/>
  <c r="Q807" i="38"/>
  <c r="Q684" i="38"/>
  <c r="Q1490" i="38"/>
  <c r="Q1757" i="38"/>
  <c r="Q1093" i="38"/>
  <c r="Q855" i="38"/>
  <c r="Q730" i="38"/>
  <c r="Q1532" i="38"/>
  <c r="Q1840" i="38"/>
  <c r="Q1479" i="38"/>
  <c r="Q1497" i="38"/>
  <c r="Q1126" i="38"/>
  <c r="Q1636" i="38"/>
  <c r="Q533" i="38"/>
  <c r="Q1614" i="38"/>
  <c r="Q1187" i="38"/>
  <c r="Q1366" i="38"/>
  <c r="Q723" i="38"/>
  <c r="Q835" i="38"/>
  <c r="Q1554" i="38"/>
  <c r="Q834" i="38"/>
  <c r="Q600" i="38"/>
  <c r="Q1234" i="38"/>
  <c r="Q1307" i="38"/>
  <c r="Q640" i="38"/>
  <c r="Q1441" i="38"/>
  <c r="Q1663" i="38"/>
  <c r="Q859" i="38"/>
  <c r="Q893" i="38"/>
  <c r="Q1676" i="38"/>
  <c r="Q1799" i="38"/>
  <c r="Q880" i="38"/>
  <c r="Q1228" i="38"/>
  <c r="Q1062" i="38"/>
  <c r="Q1104" i="38"/>
  <c r="Q1879" i="38"/>
  <c r="Q765" i="38"/>
  <c r="Q1817" i="38"/>
  <c r="Q1561" i="38"/>
  <c r="Q768" i="38"/>
  <c r="Q856" i="38"/>
  <c r="Q1332" i="38"/>
  <c r="Q932" i="38"/>
  <c r="P116" i="12"/>
  <c r="M15" i="45" s="1"/>
  <c r="P65" i="12"/>
  <c r="Q1427" i="38"/>
  <c r="Q1503" i="38"/>
  <c r="Q1690" i="38"/>
  <c r="Q1700" i="38"/>
  <c r="Q1650" i="38"/>
  <c r="Q550" i="38"/>
  <c r="Q1271" i="38"/>
  <c r="Q1481" i="38"/>
  <c r="Q924" i="38"/>
  <c r="Q1560" i="38"/>
  <c r="Q1531" i="38"/>
  <c r="Q562" i="38"/>
  <c r="Q1443" i="38"/>
  <c r="Q793" i="38"/>
  <c r="Q604" i="38"/>
  <c r="Q543" i="38"/>
  <c r="Q1713" i="38"/>
  <c r="Q1672" i="38"/>
  <c r="Q615" i="38"/>
  <c r="Q1324" i="38"/>
  <c r="Q1173" i="38"/>
  <c r="Q1080" i="38"/>
  <c r="Q605" i="38"/>
  <c r="Q614" i="38"/>
  <c r="Q1553" i="38"/>
  <c r="Q690" i="38"/>
  <c r="Q1217" i="38"/>
  <c r="Q1377" i="38"/>
  <c r="Q574" i="38"/>
  <c r="Q1258" i="38"/>
  <c r="Q582" i="38"/>
  <c r="O64" i="12"/>
  <c r="Q1245" i="38"/>
  <c r="Q1298" i="38"/>
  <c r="Q1273" i="38"/>
  <c r="Q1683" i="38"/>
  <c r="Q1500" i="38"/>
  <c r="R116" i="12"/>
  <c r="O15" i="45" s="1"/>
  <c r="R65" i="12"/>
  <c r="Q681" i="38"/>
  <c r="Q1300" i="38"/>
  <c r="Q1486" i="38"/>
  <c r="Q920" i="38"/>
  <c r="Q1139" i="38"/>
  <c r="Q1092" i="38"/>
  <c r="Q937" i="38"/>
  <c r="Q1827" i="38"/>
  <c r="Q881" i="38"/>
  <c r="Q1755" i="38"/>
  <c r="Q1235" i="38"/>
  <c r="Q1819" i="38"/>
  <c r="Q1725" i="38"/>
  <c r="Q1322" i="38"/>
  <c r="Q1178" i="38"/>
  <c r="Q1529" i="38"/>
  <c r="Q1488" i="38"/>
  <c r="Q1836" i="38"/>
  <c r="Q951" i="38"/>
  <c r="Q1493" i="38"/>
  <c r="Q1864" i="38"/>
  <c r="Q1668" i="38"/>
  <c r="Q867" i="38"/>
  <c r="Q1691" i="38"/>
  <c r="Q809" i="38"/>
  <c r="Q1130" i="38"/>
  <c r="Q1677" i="38"/>
  <c r="Q677" i="38"/>
  <c r="Q1656" i="38"/>
  <c r="Q1649" i="38"/>
  <c r="Q1841" i="38"/>
  <c r="Q1719" i="38"/>
  <c r="Q1011" i="38"/>
  <c r="Q757" i="38"/>
  <c r="Q1635" i="38"/>
  <c r="Q1384" i="38"/>
  <c r="Q1814" i="38"/>
  <c r="Q1171" i="38"/>
  <c r="Q1277" i="38"/>
  <c r="Q1653" i="38"/>
  <c r="Q1508" i="38"/>
  <c r="Q678" i="38"/>
  <c r="Q1472" i="38"/>
  <c r="R77" i="12"/>
  <c r="Q1609" i="38"/>
  <c r="Q760" i="38"/>
  <c r="Q1416" i="38"/>
  <c r="Q974" i="38"/>
  <c r="Q1263" i="38"/>
  <c r="Q546" i="38"/>
  <c r="Q1045" i="38"/>
  <c r="Q1444" i="38"/>
  <c r="Q1507" i="38"/>
  <c r="Q1590" i="38"/>
  <c r="Q1600" i="38"/>
  <c r="Q1688" i="38"/>
  <c r="Q1829" i="38"/>
  <c r="Q1115" i="38"/>
  <c r="Q1112" i="38"/>
  <c r="Q797" i="38"/>
  <c r="Q1312" i="38"/>
  <c r="Q917" i="38"/>
  <c r="Q1484" i="38"/>
  <c r="Q1215" i="38"/>
  <c r="Q1088" i="38"/>
  <c r="Q1724" i="38"/>
  <c r="Q1005" i="38"/>
  <c r="Q632" i="38"/>
  <c r="Q680" i="38"/>
  <c r="P39" i="76"/>
  <c r="Q727" i="38"/>
  <c r="Q728" i="38"/>
  <c r="P42" i="76"/>
  <c r="R40" i="76"/>
  <c r="Q754" i="38"/>
  <c r="Q1872" i="38"/>
  <c r="Q39" i="76"/>
  <c r="S39" i="76"/>
  <c r="O42" i="76"/>
  <c r="Q1363" i="38"/>
  <c r="Q1463" i="38"/>
  <c r="Q907" i="38"/>
  <c r="Q1266" i="38"/>
  <c r="Q692" i="38"/>
  <c r="Q1025" i="38"/>
  <c r="Q1182" i="38"/>
  <c r="Q843" i="38"/>
  <c r="P202" i="12"/>
  <c r="P205" i="12" s="1"/>
  <c r="Q1293" i="38"/>
  <c r="Q1785" i="38"/>
  <c r="Q559" i="38"/>
  <c r="Q1036" i="38"/>
  <c r="Q1306" i="38"/>
  <c r="Q911" i="38"/>
  <c r="Q889" i="38"/>
  <c r="Q1604" i="38"/>
  <c r="Q984" i="38"/>
  <c r="Q1051" i="38"/>
  <c r="M84" i="70"/>
  <c r="AC229" i="38"/>
  <c r="S202" i="12"/>
  <c r="S205" i="12" s="1"/>
  <c r="Q534" i="38"/>
  <c r="Q702" i="38"/>
  <c r="Q743" i="38"/>
  <c r="Q1779" i="38"/>
  <c r="Q1574" i="38"/>
  <c r="Q1192" i="38"/>
  <c r="Q1826" i="38"/>
  <c r="Q789" i="38"/>
  <c r="Q803" i="38"/>
  <c r="Q1255" i="38"/>
  <c r="Q1386" i="38"/>
  <c r="Q587" i="38"/>
  <c r="Q837" i="38"/>
  <c r="Q1339" i="38"/>
  <c r="Q1400" i="38"/>
  <c r="Q1117" i="38"/>
  <c r="Q1629" i="38"/>
  <c r="Q1449" i="38"/>
  <c r="Q620" i="38"/>
  <c r="Q1749" i="38"/>
  <c r="Q1658" i="38"/>
  <c r="Q948" i="38"/>
  <c r="Q1806" i="38"/>
  <c r="Q1081" i="38"/>
  <c r="Q1316" i="38"/>
  <c r="Q1403" i="38"/>
  <c r="Q1034" i="38"/>
  <c r="Q812" i="38"/>
  <c r="Q1021" i="38"/>
  <c r="Q1776" i="38"/>
  <c r="Q1842" i="38"/>
  <c r="Q1791" i="38"/>
  <c r="Q1489" i="38"/>
  <c r="Q736" i="38"/>
  <c r="Q1695" i="38"/>
  <c r="Q652" i="38"/>
  <c r="Q1747" i="38"/>
  <c r="Q1244" i="38"/>
  <c r="Q979" i="38"/>
  <c r="Q845" i="38"/>
  <c r="Q1774" i="38"/>
  <c r="Q1642" i="38"/>
  <c r="Q1276" i="38"/>
  <c r="Q572" i="38"/>
  <c r="Q769" i="38"/>
  <c r="Q877" i="38"/>
  <c r="Q1743" i="38"/>
  <c r="Q1179" i="38"/>
  <c r="Q813" i="38"/>
  <c r="Q1450" i="38"/>
  <c r="Q830" i="38"/>
  <c r="Q1083" i="38"/>
  <c r="Q1782" i="38"/>
  <c r="Q1519" i="38"/>
  <c r="Q846" i="38"/>
  <c r="Q1880" i="38"/>
  <c r="Q1123" i="38"/>
  <c r="Q1109" i="38"/>
  <c r="Q1015" i="38"/>
  <c r="Q1059" i="38"/>
  <c r="Q945" i="38"/>
  <c r="Q796" i="38"/>
  <c r="Q1286" i="38"/>
  <c r="Q648" i="38"/>
  <c r="Q1742" i="38"/>
  <c r="Q973" i="38"/>
  <c r="Q1517" i="38"/>
  <c r="Q1641" i="38"/>
  <c r="Q853" i="38"/>
  <c r="Q885" i="38"/>
  <c r="Q858" i="38"/>
  <c r="Q1573" i="38"/>
  <c r="Q1534" i="38"/>
  <c r="Q1855" i="38"/>
  <c r="Q794" i="38"/>
  <c r="Q818" i="38"/>
  <c r="Q666" i="38"/>
  <c r="Q1054" i="38"/>
  <c r="Q1118" i="38"/>
  <c r="Q1257" i="38"/>
  <c r="Q1570" i="38"/>
  <c r="Q573" i="38"/>
  <c r="Q1337" i="38"/>
  <c r="Q1805" i="38"/>
  <c r="Q1056" i="38"/>
  <c r="Q563" i="38"/>
  <c r="Q1632" i="38"/>
  <c r="Q1227" i="38"/>
  <c r="Q898" i="38"/>
  <c r="Q1654" i="38"/>
  <c r="Q1238" i="38"/>
  <c r="Q634" i="38"/>
  <c r="Q619" i="38"/>
  <c r="Q1190" i="38"/>
  <c r="Q660" i="38"/>
  <c r="Q967" i="38"/>
  <c r="Q947" i="38"/>
  <c r="Q1207" i="38"/>
  <c r="Q1022" i="38"/>
  <c r="Q993" i="38"/>
  <c r="Q1447" i="38"/>
  <c r="Q915" i="38"/>
  <c r="Q1665" i="38"/>
  <c r="Q1612" i="38"/>
  <c r="Q1315" i="38"/>
  <c r="Q1618" i="38"/>
  <c r="Q1048" i="38"/>
  <c r="Q1783" i="38"/>
  <c r="Q1355" i="38"/>
  <c r="Q1290" i="38"/>
  <c r="Q1844" i="38"/>
  <c r="Q591" i="38"/>
  <c r="Q970" i="38"/>
  <c r="Q1368" i="38"/>
  <c r="Q1822" i="38"/>
  <c r="Q1622" i="38"/>
  <c r="Q1778" i="38"/>
  <c r="Q926" i="38"/>
  <c r="Q854" i="38"/>
  <c r="Q1155" i="38"/>
  <c r="Q1407" i="38"/>
  <c r="Q592" i="38"/>
  <c r="Q1240" i="38"/>
  <c r="Q1367" i="38"/>
  <c r="O70" i="12"/>
  <c r="O73" i="12" s="1"/>
  <c r="Q1141" i="38"/>
  <c r="Q1019" i="38"/>
  <c r="Q1102" i="38"/>
  <c r="Q64" i="12"/>
  <c r="Q1548" i="38"/>
  <c r="Q918" i="38"/>
  <c r="Q1087" i="38"/>
  <c r="Q1767" i="38"/>
  <c r="Q1063" i="38"/>
  <c r="Q1794" i="38"/>
  <c r="Q1552" i="38"/>
  <c r="Q977" i="38"/>
  <c r="Q1095" i="38"/>
  <c r="Q650" i="38"/>
  <c r="Q741" i="38"/>
  <c r="Q1347" i="38"/>
  <c r="Q866" i="38"/>
  <c r="Q1406" i="38"/>
  <c r="Q699" i="38"/>
  <c r="Q1248" i="38"/>
  <c r="Q1754" i="38"/>
  <c r="Q1325" i="38"/>
  <c r="Q863" i="38"/>
  <c r="Q1762" i="38"/>
  <c r="Q1212" i="38"/>
  <c r="Q1304" i="38"/>
  <c r="Q1475" i="38"/>
  <c r="R70" i="12"/>
  <c r="R73" i="12" s="1"/>
  <c r="Q1181" i="38"/>
  <c r="Q763" i="38"/>
  <c r="Q716" i="38"/>
  <c r="Q1376" i="38"/>
  <c r="Q595" i="38"/>
  <c r="Q1530" i="38"/>
  <c r="Q575" i="38"/>
  <c r="Q942" i="38"/>
  <c r="Q871" i="38"/>
  <c r="Q1351" i="38"/>
  <c r="Q962" i="38"/>
  <c r="Q564" i="38"/>
  <c r="Q568" i="38"/>
  <c r="Q1687" i="38"/>
  <c r="Q1589" i="38"/>
  <c r="Q777" i="38"/>
  <c r="Q1513" i="38"/>
  <c r="Q1645" i="38"/>
  <c r="Q1383" i="38"/>
  <c r="Q1671" i="38"/>
  <c r="Q1016" i="38"/>
  <c r="Q1740" i="38"/>
  <c r="Q1536" i="38"/>
  <c r="Q597" i="38"/>
  <c r="Q1468" i="38"/>
  <c r="Q718" i="38"/>
  <c r="Q1483" i="38"/>
  <c r="Q1404" i="38"/>
  <c r="Q1287" i="38"/>
  <c r="Q1127" i="38"/>
  <c r="Q1586" i="38"/>
  <c r="Q661" i="38"/>
  <c r="Q685" i="38"/>
  <c r="Q1557" i="38"/>
  <c r="Q1525" i="38"/>
  <c r="Q1399" i="38"/>
  <c r="Q1720" i="38"/>
  <c r="Q1156" i="38"/>
  <c r="Q1547" i="38"/>
  <c r="Q694" i="38"/>
  <c r="Q1378" i="38"/>
  <c r="Q978" i="38"/>
  <c r="Q1802" i="38"/>
  <c r="Q1055" i="38"/>
  <c r="Q1474" i="38"/>
  <c r="Q1150" i="38"/>
  <c r="Q1132" i="38"/>
  <c r="Q1052" i="38"/>
  <c r="Q67" i="12"/>
  <c r="Q1456" i="38"/>
  <c r="Q706" i="38"/>
  <c r="Q732" i="38"/>
  <c r="Q1359" i="38"/>
  <c r="Q1381" i="38"/>
  <c r="Q1319" i="38"/>
  <c r="Q1329" i="38"/>
  <c r="Q904" i="38"/>
  <c r="Q1568" i="38"/>
  <c r="Q783" i="38"/>
  <c r="Q1773" i="38"/>
  <c r="Q957" i="38"/>
  <c r="R152" i="12"/>
  <c r="O29" i="45" s="1"/>
  <c r="R66" i="12"/>
  <c r="Q1437" i="38"/>
  <c r="Q1010" i="38"/>
  <c r="Q1242" i="38"/>
  <c r="Q748" i="38"/>
  <c r="Q753" i="38"/>
  <c r="Q734" i="38"/>
  <c r="Q958" i="38"/>
  <c r="Q1619" i="38"/>
  <c r="Q1061" i="38"/>
  <c r="Q1241" i="38"/>
  <c r="Q1189" i="38"/>
  <c r="Q1253" i="38"/>
  <c r="Q1759" i="38"/>
  <c r="Q1781" i="38"/>
  <c r="Q1816" i="38"/>
  <c r="Q1279" i="38"/>
  <c r="Q1651" i="38"/>
  <c r="Q972" i="38"/>
  <c r="Q701" i="38"/>
  <c r="Q1751" i="38"/>
  <c r="Q1047" i="38"/>
  <c r="Q693" i="38"/>
  <c r="Q602" i="38"/>
  <c r="Q1644" i="38"/>
  <c r="Q1524" i="38"/>
  <c r="Q569" i="38"/>
  <c r="Q998" i="38"/>
  <c r="Q1003" i="38"/>
  <c r="Q635" i="38"/>
  <c r="Q553" i="38"/>
  <c r="Q1125" i="38"/>
  <c r="Q1219" i="38"/>
  <c r="Q731" i="38"/>
  <c r="Q1527" i="38"/>
  <c r="Q695" i="38"/>
  <c r="Q1859" i="38"/>
  <c r="Q1195" i="38"/>
  <c r="Q1731" i="38"/>
  <c r="Q1260" i="38"/>
  <c r="Q759" i="38"/>
  <c r="Q1161" i="38"/>
  <c r="Q1209" i="38"/>
  <c r="Q1708" i="38"/>
  <c r="Q584" i="38"/>
  <c r="Q1236" i="38"/>
  <c r="Q1124" i="38"/>
  <c r="Q1281" i="38"/>
  <c r="Q1392" i="38"/>
  <c r="Q1876" i="38"/>
  <c r="Q1076" i="38"/>
  <c r="Q651" i="38"/>
  <c r="Q1598" i="38"/>
  <c r="Q1183" i="38"/>
  <c r="Q659" i="38"/>
  <c r="Q755" i="38"/>
  <c r="Q1180" i="38"/>
  <c r="Q1705" i="38"/>
  <c r="Q1143" i="38"/>
  <c r="Q590" i="38"/>
  <c r="Q1243" i="38"/>
  <c r="Q1792" i="38"/>
  <c r="Q966" i="38"/>
  <c r="Q1515" i="38"/>
  <c r="Q1432" i="38"/>
  <c r="Q927" i="38"/>
  <c r="Q1689" i="38"/>
  <c r="Q636" i="38"/>
  <c r="Q1735" i="38"/>
  <c r="Q1398" i="38"/>
  <c r="Q1152" i="38"/>
  <c r="Q1116" i="38"/>
  <c r="Q935" i="38"/>
  <c r="Q663" i="38"/>
  <c r="Q1555" i="38"/>
  <c r="Q1664" i="38"/>
  <c r="Q914" i="38"/>
  <c r="Q1408" i="38"/>
  <c r="Q1565" i="38"/>
  <c r="Q1638" i="38"/>
  <c r="Q1610" i="38"/>
  <c r="Q919" i="38"/>
  <c r="R64" i="12"/>
  <c r="Q1616" i="38"/>
  <c r="Q1440" i="38"/>
  <c r="Q1267" i="38"/>
  <c r="Q1232" i="38"/>
  <c r="Q1434" i="38"/>
  <c r="Q1049" i="38"/>
  <c r="Q851" i="38"/>
  <c r="Q1103" i="38"/>
  <c r="Q1464" i="38"/>
  <c r="Q1750" i="38"/>
  <c r="Q1146" i="38"/>
  <c r="Q1643" i="38"/>
  <c r="Q1165" i="38"/>
  <c r="Q1012" i="38"/>
  <c r="Q1737" i="38"/>
  <c r="Q1136" i="38"/>
  <c r="Q1210" i="38"/>
  <c r="Q630" i="38"/>
  <c r="Q1250" i="38"/>
  <c r="Q1256" i="38"/>
  <c r="Q1301" i="38"/>
  <c r="Q1476" i="38"/>
  <c r="Q764" i="38"/>
  <c r="Q891" i="38"/>
  <c r="Q1551" i="38"/>
  <c r="Q725" i="38"/>
  <c r="Q1230" i="38"/>
  <c r="Q691" i="38"/>
  <c r="Q1666" i="38"/>
  <c r="Q1321" i="38"/>
  <c r="Q1291" i="38"/>
  <c r="Q1727" i="38"/>
  <c r="M139" i="72"/>
  <c r="O39" i="76"/>
  <c r="Q1369" i="38"/>
  <c r="Q1193" i="38"/>
  <c r="Q1881" i="38"/>
  <c r="O41" i="76"/>
  <c r="Q658" i="38"/>
  <c r="Q982" i="38"/>
  <c r="Q1249" i="38"/>
  <c r="Q1430" i="38"/>
  <c r="Q1602" i="38"/>
  <c r="Q1084" i="38"/>
  <c r="Q682" i="38"/>
  <c r="Q42" i="76"/>
  <c r="Q1745" i="38"/>
  <c r="M90" i="70"/>
  <c r="M101" i="70" s="1"/>
  <c r="M103" i="70" s="1"/>
  <c r="N100" i="70" s="1"/>
  <c r="Q1478" i="38"/>
  <c r="Q1756" i="38"/>
  <c r="Q537" i="38"/>
  <c r="Q1820" i="38"/>
  <c r="Q638" i="38"/>
  <c r="Q583" i="38"/>
  <c r="O67" i="12"/>
  <c r="Q1060" i="38"/>
  <c r="Q1874" i="38"/>
  <c r="Q1685" i="38"/>
  <c r="Q1771" i="38"/>
  <c r="Q536" i="38"/>
  <c r="Q662" i="38"/>
  <c r="Q1251" i="38"/>
  <c r="Q1882" i="38"/>
  <c r="Q1414" i="38"/>
  <c r="Q683" i="38"/>
  <c r="Q916" i="38"/>
  <c r="Q1559" i="38"/>
  <c r="Q1086" i="38"/>
  <c r="Q1308" i="38"/>
  <c r="Q1470" i="38"/>
  <c r="Q1053" i="38"/>
  <c r="Q1007" i="38"/>
  <c r="Q1334" i="38"/>
  <c r="Q1528" i="38"/>
  <c r="Q1419" i="38"/>
  <c r="Q1094" i="38"/>
  <c r="Q1608" i="38"/>
  <c r="Q1878" i="38"/>
  <c r="Q988" i="38"/>
  <c r="Q1216" i="38"/>
  <c r="Q1811" i="38"/>
  <c r="Q1674" i="38"/>
  <c r="Q1401" i="38"/>
  <c r="Q77" i="12"/>
  <c r="Q766" i="38"/>
  <c r="Q1843" i="38"/>
  <c r="Q1451" i="38"/>
  <c r="Q1681" i="38"/>
  <c r="Q1009" i="38"/>
  <c r="Q1868" i="38"/>
  <c r="Q1523" i="38"/>
  <c r="Q1716" i="38"/>
  <c r="Q1292" i="38"/>
  <c r="Q1854" i="38"/>
  <c r="Q976" i="38"/>
  <c r="Q934" i="38"/>
  <c r="Q819" i="38"/>
  <c r="Q1039" i="38"/>
  <c r="Q1333" i="38"/>
  <c r="Q556" i="38"/>
  <c r="Q1395" i="38"/>
  <c r="Q708" i="38"/>
  <c r="Q1722" i="38"/>
  <c r="Q1556" i="38"/>
  <c r="Q788" i="38"/>
  <c r="Q929" i="38"/>
  <c r="Q1845" i="38"/>
  <c r="Q816" i="38"/>
  <c r="Q1391" i="38"/>
  <c r="Q808" i="38"/>
  <c r="Q841" i="38"/>
  <c r="Q719" i="38"/>
  <c r="Q1810" i="38"/>
  <c r="Q1357" i="38"/>
  <c r="Q1522" i="38"/>
  <c r="Q923" i="38"/>
  <c r="Q1172" i="38"/>
  <c r="Q1601" i="38"/>
  <c r="Q739" i="38"/>
  <c r="Q542" i="38"/>
  <c r="Q1546" i="38"/>
  <c r="Q1421" i="38"/>
  <c r="Q1144" i="38"/>
  <c r="Q1518" i="38"/>
  <c r="Q1030" i="38"/>
  <c r="Q1024" i="38"/>
  <c r="Q555" i="38"/>
  <c r="Q761" i="38"/>
  <c r="Q811" i="38"/>
  <c r="Q1111" i="38"/>
  <c r="Q1198" i="38"/>
  <c r="Q1502" i="38"/>
  <c r="Q1846" i="38"/>
  <c r="Q1085" i="38"/>
  <c r="Q1270" i="38"/>
  <c r="Q1597" i="38"/>
  <c r="Q1504" i="38"/>
  <c r="Q1758" i="38"/>
  <c r="S70" i="12"/>
  <c r="S73" i="12" s="1"/>
  <c r="Q1506" i="38"/>
  <c r="Q1455" i="38"/>
  <c r="Q541" i="38"/>
  <c r="Q1237" i="38"/>
  <c r="Q1072" i="38"/>
  <c r="Q744" i="38"/>
  <c r="Q888" i="38"/>
  <c r="Q838" i="38"/>
  <c r="Q817" i="38"/>
  <c r="Q1065" i="38"/>
  <c r="Q1097" i="38"/>
  <c r="Q578" i="38"/>
  <c r="Q1550" i="38"/>
  <c r="Q1201" i="38"/>
  <c r="Q1572" i="38"/>
  <c r="Q1122" i="38"/>
  <c r="Q704" i="38"/>
  <c r="Q1787" i="38"/>
  <c r="Q1869" i="38"/>
  <c r="Q1153" i="38"/>
  <c r="Q1646" i="38"/>
  <c r="S67" i="12"/>
  <c r="Q724" i="38"/>
  <c r="Q953" i="38"/>
  <c r="Q1090" i="38"/>
  <c r="Q1858" i="38"/>
  <c r="Q655" i="38"/>
  <c r="Q883" i="38"/>
  <c r="Q1295" i="38"/>
  <c r="Q1545" i="38"/>
  <c r="Q1786" i="38"/>
  <c r="Q985" i="38"/>
  <c r="Q912" i="38"/>
  <c r="Q1344" i="38"/>
  <c r="Q1494" i="38"/>
  <c r="Q1670" i="38"/>
  <c r="Q1204" i="38"/>
  <c r="Q586" i="38"/>
  <c r="Q1353" i="38"/>
  <c r="Q1540" i="38"/>
  <c r="Q607" i="38"/>
  <c r="Q1623" i="38"/>
  <c r="Q654" i="38"/>
  <c r="Q1634" i="38"/>
  <c r="Q742" i="38"/>
  <c r="Q1492" i="38"/>
  <c r="Q1314" i="38"/>
  <c r="Q1326" i="38"/>
  <c r="Q1442" i="38"/>
  <c r="Q1157" i="38"/>
  <c r="Q903" i="38"/>
  <c r="Q1252" i="38"/>
  <c r="Q1158" i="38"/>
  <c r="Q1078" i="38"/>
  <c r="Q1262" i="38"/>
  <c r="Q1594" i="38"/>
  <c r="Q1698" i="38"/>
  <c r="Q956" i="38"/>
  <c r="Q1397" i="38"/>
  <c r="Q1162" i="38"/>
  <c r="Q70" i="12"/>
  <c r="Q73" i="12" s="1"/>
  <c r="Q705" i="38"/>
  <c r="Q1533" i="38"/>
  <c r="Q1027" i="38"/>
  <c r="R41" i="76"/>
  <c r="M112" i="72"/>
  <c r="M198" i="72" s="1"/>
  <c r="Q749" i="38"/>
  <c r="Q1108" i="38"/>
  <c r="Q1697" i="38"/>
  <c r="Q965" i="38"/>
  <c r="Q1231" i="38"/>
  <c r="Q778" i="38"/>
  <c r="Q41" i="76"/>
  <c r="Q621" i="38"/>
  <c r="Q800" i="38"/>
  <c r="Q944" i="38"/>
  <c r="Q616" i="38"/>
  <c r="Q1168" i="38"/>
  <c r="Q717" i="38"/>
  <c r="Q1812" i="38"/>
  <c r="O202" i="12"/>
  <c r="O205" i="12" s="1"/>
  <c r="Q643" i="38"/>
  <c r="Q535" i="38"/>
  <c r="Q1485" i="38"/>
  <c r="R42" i="76"/>
  <c r="M96" i="72"/>
  <c r="M182" i="72" s="1"/>
  <c r="S41" i="76"/>
  <c r="Q44" i="76"/>
  <c r="Q1079" i="38"/>
  <c r="Q603" i="38"/>
  <c r="Q1423" i="38"/>
  <c r="Q995" i="38"/>
  <c r="Q1584" i="38"/>
  <c r="Q1824" i="38"/>
  <c r="Q1372" i="38"/>
  <c r="Q1509" i="38"/>
  <c r="Q905" i="38"/>
  <c r="Q890" i="38"/>
  <c r="Q909" i="38"/>
  <c r="P40" i="76"/>
  <c r="Q612" i="38"/>
  <c r="Q938" i="38"/>
  <c r="Q997" i="38"/>
  <c r="Q674" i="38"/>
  <c r="Q1169" i="38"/>
  <c r="Q1163" i="38"/>
  <c r="Q671" i="38"/>
  <c r="Q994" i="38"/>
  <c r="Q1057" i="38"/>
  <c r="Q1311" i="38"/>
  <c r="Q1233" i="38"/>
  <c r="Q1167" i="38"/>
  <c r="Q901" i="38"/>
  <c r="Q1380" i="38"/>
  <c r="Q1211" i="38"/>
  <c r="Q839" i="38"/>
  <c r="Q1511" i="38"/>
  <c r="Q868" i="38"/>
  <c r="Q860" i="38"/>
  <c r="AB231" i="38"/>
  <c r="Q1501" i="38"/>
  <c r="Q1748" i="38"/>
  <c r="Q876" i="38"/>
  <c r="Q775" i="38"/>
  <c r="Q1199" i="38"/>
  <c r="M55" i="72"/>
  <c r="M57" i="72" s="1"/>
  <c r="M60" i="72" s="1"/>
  <c r="M147" i="72" s="1"/>
  <c r="Q1033" i="38"/>
  <c r="Q862" i="38"/>
  <c r="R39" i="76"/>
  <c r="Q865" i="38"/>
  <c r="Q1174" i="38"/>
  <c r="Q952" i="38"/>
  <c r="Q544" i="38"/>
  <c r="Q1196" i="38"/>
  <c r="Q539" i="38"/>
  <c r="Q1297" i="38"/>
  <c r="Q1043" i="38"/>
  <c r="Q1042" i="38"/>
  <c r="Q1867" i="38"/>
  <c r="Q1768" i="38"/>
  <c r="Q667" i="38"/>
  <c r="Q641" i="38"/>
  <c r="Q1605" i="38"/>
  <c r="Q1283" i="38"/>
  <c r="Q762" i="38"/>
  <c r="Q1327" i="38"/>
  <c r="Q805" i="38"/>
  <c r="Q1823" i="38"/>
  <c r="Q1849" i="38"/>
  <c r="Q1023" i="38"/>
  <c r="Q896" i="38"/>
  <c r="Q1220" i="38"/>
  <c r="Q1296" i="38"/>
  <c r="Q1008" i="38"/>
  <c r="Q1657" i="38"/>
  <c r="Q987" i="38"/>
  <c r="Q1303" i="38"/>
  <c r="Q1620" i="38"/>
  <c r="Q1000" i="38"/>
  <c r="Q1870" i="38"/>
  <c r="Q959" i="38"/>
  <c r="Q1592" i="38"/>
  <c r="Q1328" i="38"/>
  <c r="Q1208" i="38"/>
  <c r="Q1185" i="38"/>
  <c r="Q65" i="12"/>
  <c r="Q116" i="12"/>
  <c r="N15" i="45" s="1"/>
  <c r="Q1883" i="38"/>
  <c r="Q827" i="38"/>
  <c r="Q820" i="38"/>
  <c r="Q639" i="38"/>
  <c r="O77" i="12"/>
  <c r="Q1071" i="38"/>
  <c r="Q1197" i="38"/>
  <c r="Q1402" i="38"/>
  <c r="Q1808" i="38"/>
  <c r="Q580" i="38"/>
  <c r="Q1801" i="38"/>
  <c r="Q1239" i="38"/>
  <c r="Q1627" i="38"/>
  <c r="Q668" i="38"/>
  <c r="Q910" i="38"/>
  <c r="P152" i="12"/>
  <c r="M29" i="45" s="1"/>
  <c r="P66" i="12"/>
  <c r="Q1797" i="38"/>
  <c r="Q1362" i="38"/>
  <c r="Q560" i="38"/>
  <c r="Q886" i="38"/>
  <c r="Q1877" i="38"/>
  <c r="Q774" i="38"/>
  <c r="Q696" i="38"/>
  <c r="Q1320" i="38"/>
  <c r="Q1721" i="38"/>
  <c r="Q1526" i="38"/>
  <c r="Q954" i="38"/>
  <c r="Q872" i="38"/>
  <c r="Q577" i="38"/>
  <c r="Q588" i="38"/>
  <c r="Q975" i="38"/>
  <c r="Q747" i="38"/>
  <c r="Q672" i="38"/>
  <c r="Q707" i="38"/>
  <c r="Q894" i="38"/>
  <c r="Q1728" i="38"/>
  <c r="Q943" i="38"/>
  <c r="Q624" i="38"/>
  <c r="Q740" i="38"/>
  <c r="Q745" i="38"/>
  <c r="Q1835" i="38"/>
  <c r="Q981" i="38"/>
  <c r="Q1289" i="38"/>
  <c r="Q971" i="38"/>
  <c r="Q963" i="38"/>
  <c r="Q1373" i="38"/>
  <c r="Q664" i="38"/>
  <c r="Q1431" i="38"/>
  <c r="Q579" i="38"/>
  <c r="Q1588" i="38"/>
  <c r="Q646" i="38"/>
  <c r="Q961" i="38"/>
  <c r="Q980" i="38"/>
  <c r="Q610" i="38"/>
  <c r="Q1424" i="38"/>
  <c r="Q1581" i="38"/>
  <c r="Q1732" i="38"/>
  <c r="Q1426" i="38"/>
  <c r="Q773" i="38"/>
  <c r="Q1753" i="38"/>
  <c r="S77" i="12"/>
  <c r="Q715" i="38"/>
  <c r="Q1170" i="38"/>
  <c r="Q1661" i="38"/>
  <c r="Q679" i="38"/>
  <c r="Q1575" i="38"/>
  <c r="Q1299" i="38"/>
  <c r="Q1375" i="38"/>
  <c r="Q1148" i="38"/>
  <c r="R67" i="12"/>
  <c r="Q669" i="38"/>
  <c r="Q815" i="38"/>
  <c r="Q1068" i="38"/>
  <c r="Q1585" i="38"/>
  <c r="Q795" i="38"/>
  <c r="Q1684" i="38"/>
  <c r="Q786" i="38"/>
  <c r="Q729" i="38"/>
  <c r="Q989" i="38"/>
  <c r="Q1282" i="38"/>
  <c r="Q940" i="38"/>
  <c r="Q1454" i="38"/>
  <c r="Q1832" i="38"/>
  <c r="Q1261" i="38"/>
  <c r="Q1370" i="38"/>
  <c r="Q40" i="76"/>
  <c r="Q770" i="38"/>
  <c r="M27" i="72"/>
  <c r="M122" i="72" s="1"/>
  <c r="Q790" i="38"/>
  <c r="Q1798" i="38"/>
  <c r="Q791" i="38"/>
  <c r="Q836" i="38"/>
  <c r="Q1595" i="38"/>
  <c r="Q906" i="38"/>
  <c r="Q1537" i="38"/>
  <c r="Q1593" i="38"/>
  <c r="Q1309" i="38"/>
  <c r="Q609" i="38"/>
  <c r="Q1013" i="38"/>
  <c r="Q1578" i="38"/>
  <c r="Q752" i="38"/>
  <c r="Q1538" i="38"/>
  <c r="Q1789" i="38"/>
  <c r="Q1686" i="38"/>
  <c r="Q913" i="38"/>
  <c r="Q726" i="38"/>
  <c r="Q1569" i="38"/>
  <c r="Q1790" i="38"/>
  <c r="Q908" i="38"/>
  <c r="Q1420" i="38"/>
  <c r="Q1385" i="38"/>
  <c r="Q848" i="38"/>
  <c r="Q1459" i="38"/>
  <c r="Q1107" i="38"/>
  <c r="Q1425" i="38"/>
  <c r="Q625" i="38"/>
  <c r="Q644" i="38"/>
  <c r="Q1415" i="38"/>
  <c r="Q1417" i="38"/>
  <c r="R44" i="76"/>
  <c r="Q565" i="38"/>
  <c r="Q1001" i="38"/>
  <c r="S40" i="76"/>
  <c r="Q1323" i="38"/>
  <c r="M108" i="70" l="1"/>
  <c r="M121" i="70" s="1"/>
  <c r="M136" i="72"/>
  <c r="M186" i="72"/>
  <c r="P46" i="76"/>
  <c r="O46" i="76"/>
  <c r="Q46" i="76"/>
  <c r="M127" i="72"/>
  <c r="R30" i="12"/>
  <c r="R46" i="76"/>
  <c r="M146" i="72"/>
  <c r="O19" i="12"/>
  <c r="L7" i="42" s="1"/>
  <c r="M184" i="72"/>
  <c r="R18" i="12"/>
  <c r="Q145" i="12"/>
  <c r="N23" i="45" s="1"/>
  <c r="O108" i="12"/>
  <c r="Q149" i="12"/>
  <c r="N27" i="45" s="1"/>
  <c r="P142" i="12"/>
  <c r="M185" i="72"/>
  <c r="M98" i="72"/>
  <c r="M180" i="72"/>
  <c r="M179" i="72"/>
  <c r="M187" i="72"/>
  <c r="M181" i="72"/>
  <c r="M183" i="72"/>
  <c r="R19" i="12"/>
  <c r="R150" i="76" s="1"/>
  <c r="R147" i="12"/>
  <c r="O25" i="45" s="1"/>
  <c r="P18" i="12"/>
  <c r="P95" i="76" s="1"/>
  <c r="S46" i="76"/>
  <c r="C46" i="76" s="1"/>
  <c r="D102" i="28" s="1"/>
  <c r="P107" i="12"/>
  <c r="M7" i="45" s="1"/>
  <c r="O143" i="12"/>
  <c r="L21" i="45" s="1"/>
  <c r="R144" i="12"/>
  <c r="O22" i="45" s="1"/>
  <c r="Q109" i="12"/>
  <c r="N9" i="45" s="1"/>
  <c r="P30" i="12"/>
  <c r="P243" i="76" s="1"/>
  <c r="P23" i="12"/>
  <c r="R75" i="12"/>
  <c r="R78" i="12" s="1"/>
  <c r="R80" i="12" s="1"/>
  <c r="S23" i="12"/>
  <c r="Q111" i="12"/>
  <c r="N11" i="45" s="1"/>
  <c r="R112" i="12"/>
  <c r="O12" i="45" s="1"/>
  <c r="P106" i="12"/>
  <c r="O16" i="42"/>
  <c r="P110" i="12"/>
  <c r="M10" i="45" s="1"/>
  <c r="S112" i="12"/>
  <c r="P12" i="45" s="1"/>
  <c r="O149" i="12"/>
  <c r="L27" i="45" s="1"/>
  <c r="Q30" i="12"/>
  <c r="Q243" i="76" s="1"/>
  <c r="R149" i="12"/>
  <c r="O27" i="45" s="1"/>
  <c r="M148" i="72"/>
  <c r="M154" i="72"/>
  <c r="M62" i="72"/>
  <c r="M153" i="72"/>
  <c r="M149" i="72"/>
  <c r="M152" i="72"/>
  <c r="M156" i="72"/>
  <c r="P244" i="76"/>
  <c r="P111" i="12"/>
  <c r="M11" i="45" s="1"/>
  <c r="O146" i="12"/>
  <c r="L24" i="45" s="1"/>
  <c r="P143" i="12"/>
  <c r="M21" i="45" s="1"/>
  <c r="P145" i="12"/>
  <c r="M23" i="45" s="1"/>
  <c r="R108" i="12"/>
  <c r="P148" i="12"/>
  <c r="M26" i="45" s="1"/>
  <c r="P113" i="12"/>
  <c r="M13" i="45" s="1"/>
  <c r="S75" i="12"/>
  <c r="S78" i="12" s="1"/>
  <c r="S80" i="12" s="1"/>
  <c r="M196" i="72"/>
  <c r="R89" i="76"/>
  <c r="R110" i="12"/>
  <c r="O10" i="45" s="1"/>
  <c r="R111" i="12"/>
  <c r="O11" i="45" s="1"/>
  <c r="S144" i="12"/>
  <c r="P22" i="45" s="1"/>
  <c r="P149" i="12"/>
  <c r="M27" i="45" s="1"/>
  <c r="Q110" i="12"/>
  <c r="N10" i="45" s="1"/>
  <c r="Q148" i="12"/>
  <c r="N26" i="45" s="1"/>
  <c r="S18" i="12"/>
  <c r="S95" i="76" s="1"/>
  <c r="S109" i="12"/>
  <c r="P9" i="45" s="1"/>
  <c r="R109" i="12"/>
  <c r="O9" i="45" s="1"/>
  <c r="R95" i="76"/>
  <c r="R243" i="76"/>
  <c r="O140" i="76"/>
  <c r="R142" i="12"/>
  <c r="Q15" i="45"/>
  <c r="M53" i="70"/>
  <c r="M58" i="70" s="1"/>
  <c r="M15" i="76"/>
  <c r="M111" i="70"/>
  <c r="Q29" i="45"/>
  <c r="M54" i="70"/>
  <c r="M70" i="70" s="1"/>
  <c r="S143" i="12"/>
  <c r="P21" i="45" s="1"/>
  <c r="Q106" i="12"/>
  <c r="O30" i="12"/>
  <c r="O244" i="76" s="1"/>
  <c r="Q108" i="12"/>
  <c r="N8" i="45" s="1"/>
  <c r="R141" i="76"/>
  <c r="R143" i="12"/>
  <c r="O21" i="45" s="1"/>
  <c r="S146" i="12"/>
  <c r="P24" i="45" s="1"/>
  <c r="O109" i="12"/>
  <c r="L9" i="45" s="1"/>
  <c r="O18" i="12"/>
  <c r="O90" i="76" s="1"/>
  <c r="O111" i="12"/>
  <c r="L11" i="45" s="1"/>
  <c r="O148" i="12"/>
  <c r="L26" i="45" s="1"/>
  <c r="O142" i="76"/>
  <c r="Q75" i="12"/>
  <c r="Q78" i="12" s="1"/>
  <c r="Q80" i="12" s="1"/>
  <c r="P112" i="12"/>
  <c r="M12" i="45" s="1"/>
  <c r="P20" i="12"/>
  <c r="P206" i="76" s="1"/>
  <c r="P19" i="12"/>
  <c r="P141" i="76" s="1"/>
  <c r="M123" i="72"/>
  <c r="M199" i="72"/>
  <c r="O75" i="12"/>
  <c r="O78" i="12" s="1"/>
  <c r="O80" i="12" s="1"/>
  <c r="R113" i="12"/>
  <c r="O13" i="45" s="1"/>
  <c r="P75" i="12"/>
  <c r="P78" i="12" s="1"/>
  <c r="P80" i="12" s="1"/>
  <c r="O110" i="12"/>
  <c r="L10" i="45" s="1"/>
  <c r="Q146" i="12"/>
  <c r="N24" i="45" s="1"/>
  <c r="L10" i="42"/>
  <c r="O26" i="12"/>
  <c r="R17" i="12"/>
  <c r="R71" i="76" s="1"/>
  <c r="M126" i="72"/>
  <c r="M29" i="72"/>
  <c r="M121" i="72"/>
  <c r="M120" i="72"/>
  <c r="S30" i="12"/>
  <c r="S243" i="76" s="1"/>
  <c r="P147" i="12"/>
  <c r="M25" i="45" s="1"/>
  <c r="O147" i="12"/>
  <c r="L25" i="45" s="1"/>
  <c r="R143" i="76"/>
  <c r="R145" i="12"/>
  <c r="O23" i="45" s="1"/>
  <c r="R132" i="76"/>
  <c r="S108" i="12"/>
  <c r="S19" i="12"/>
  <c r="S139" i="76" s="1"/>
  <c r="S147" i="12"/>
  <c r="P25" i="45" s="1"/>
  <c r="P140" i="76"/>
  <c r="Q20" i="12"/>
  <c r="Q206" i="76" s="1"/>
  <c r="Q17" i="12"/>
  <c r="Q71" i="76" s="1"/>
  <c r="R138" i="76"/>
  <c r="Q113" i="12"/>
  <c r="N13" i="45" s="1"/>
  <c r="P109" i="12"/>
  <c r="M9" i="45" s="1"/>
  <c r="O145" i="12"/>
  <c r="L23" i="45" s="1"/>
  <c r="O132" i="76"/>
  <c r="R140" i="76"/>
  <c r="O20" i="12"/>
  <c r="O206" i="76" s="1"/>
  <c r="O142" i="12"/>
  <c r="S111" i="12"/>
  <c r="P11" i="45" s="1"/>
  <c r="M124" i="72"/>
  <c r="R20" i="12"/>
  <c r="N267" i="37"/>
  <c r="N238" i="37"/>
  <c r="N309" i="37"/>
  <c r="N316" i="37" s="1"/>
  <c r="N318" i="37" s="1"/>
  <c r="Q144" i="12"/>
  <c r="N22" i="45" s="1"/>
  <c r="Q23" i="12"/>
  <c r="Q112" i="12"/>
  <c r="N12" i="45" s="1"/>
  <c r="R23" i="12"/>
  <c r="M128" i="72"/>
  <c r="Q142" i="12"/>
  <c r="P144" i="12"/>
  <c r="M22" i="45" s="1"/>
  <c r="P150" i="76"/>
  <c r="Q143" i="12"/>
  <c r="N21" i="45" s="1"/>
  <c r="Q107" i="12"/>
  <c r="N7" i="45" s="1"/>
  <c r="P108" i="12"/>
  <c r="M8" i="45" s="1"/>
  <c r="R136" i="76"/>
  <c r="S149" i="12"/>
  <c r="P27" i="45" s="1"/>
  <c r="S145" i="12"/>
  <c r="P23" i="45" s="1"/>
  <c r="AB229" i="38"/>
  <c r="M197" i="72"/>
  <c r="R148" i="12"/>
  <c r="O26" i="45" s="1"/>
  <c r="R142" i="76"/>
  <c r="O112" i="12"/>
  <c r="L12" i="45" s="1"/>
  <c r="G29" i="18"/>
  <c r="R146" i="12"/>
  <c r="O24" i="45" s="1"/>
  <c r="R139" i="76"/>
  <c r="O113" i="12"/>
  <c r="L13" i="45" s="1"/>
  <c r="G27" i="18"/>
  <c r="P146" i="12"/>
  <c r="M24" i="45" s="1"/>
  <c r="P139" i="76"/>
  <c r="O144" i="12"/>
  <c r="L22" i="45" s="1"/>
  <c r="S148" i="12"/>
  <c r="P26" i="45" s="1"/>
  <c r="Q147" i="12"/>
  <c r="N25" i="45" s="1"/>
  <c r="Q19" i="12"/>
  <c r="Q140" i="76" s="1"/>
  <c r="S113" i="12"/>
  <c r="P13" i="45" s="1"/>
  <c r="M194" i="72"/>
  <c r="M202" i="72"/>
  <c r="M114" i="72"/>
  <c r="M201" i="72"/>
  <c r="M195" i="72"/>
  <c r="S20" i="12"/>
  <c r="S206" i="76" s="1"/>
  <c r="S110" i="12"/>
  <c r="P10" i="45" s="1"/>
  <c r="Q18" i="12"/>
  <c r="Q95" i="76" s="1"/>
  <c r="M85" i="70"/>
  <c r="M109" i="70" s="1"/>
  <c r="M122" i="70" s="1"/>
  <c r="M91" i="70"/>
  <c r="M200" i="72"/>
  <c r="R244" i="76"/>
  <c r="R149" i="76"/>
  <c r="S142" i="12"/>
  <c r="M125" i="72"/>
  <c r="M42" i="72"/>
  <c r="M140" i="72"/>
  <c r="M138" i="72"/>
  <c r="M137" i="72"/>
  <c r="M135" i="72"/>
  <c r="O17" i="12"/>
  <c r="O71" i="76" s="1"/>
  <c r="P17" i="12"/>
  <c r="P71" i="76" s="1"/>
  <c r="S17" i="12"/>
  <c r="R134" i="76" l="1"/>
  <c r="R151" i="76"/>
  <c r="R135" i="76"/>
  <c r="R146" i="76"/>
  <c r="S151" i="76"/>
  <c r="G32" i="18"/>
  <c r="S142" i="76"/>
  <c r="S133" i="76"/>
  <c r="G15" i="18"/>
  <c r="Q244" i="76"/>
  <c r="S138" i="76"/>
  <c r="G23" i="18"/>
  <c r="S134" i="76"/>
  <c r="S132" i="76"/>
  <c r="R144" i="76"/>
  <c r="D80" i="12"/>
  <c r="D52" i="28" s="1"/>
  <c r="O141" i="76"/>
  <c r="O134" i="76"/>
  <c r="P147" i="76"/>
  <c r="O145" i="76"/>
  <c r="M142" i="72"/>
  <c r="G12" i="18"/>
  <c r="O146" i="76"/>
  <c r="O135" i="76"/>
  <c r="Q13" i="45"/>
  <c r="P149" i="76"/>
  <c r="S140" i="76"/>
  <c r="O136" i="76"/>
  <c r="O150" i="76"/>
  <c r="O144" i="76"/>
  <c r="O149" i="76"/>
  <c r="O133" i="76"/>
  <c r="O138" i="76"/>
  <c r="M158" i="72"/>
  <c r="O137" i="76"/>
  <c r="Q22" i="45"/>
  <c r="S143" i="76"/>
  <c r="O147" i="76"/>
  <c r="O139" i="76"/>
  <c r="O148" i="76"/>
  <c r="G7" i="18"/>
  <c r="O243" i="76"/>
  <c r="O246" i="76" s="1"/>
  <c r="O143" i="76"/>
  <c r="O151" i="76"/>
  <c r="O208" i="76"/>
  <c r="P208" i="76"/>
  <c r="P73" i="76"/>
  <c r="O73" i="76"/>
  <c r="R73" i="76"/>
  <c r="Q137" i="76"/>
  <c r="S208" i="76"/>
  <c r="S147" i="76"/>
  <c r="G21" i="18"/>
  <c r="M130" i="72"/>
  <c r="L13" i="42"/>
  <c r="M72" i="70"/>
  <c r="N69" i="70" s="1"/>
  <c r="G14" i="18"/>
  <c r="Q149" i="76"/>
  <c r="R115" i="12"/>
  <c r="O8" i="45"/>
  <c r="O14" i="45" s="1"/>
  <c r="O16" i="45" s="1"/>
  <c r="G13" i="18"/>
  <c r="P246" i="76"/>
  <c r="M16" i="42"/>
  <c r="Q25" i="45"/>
  <c r="S28" i="12"/>
  <c r="S31" i="12" s="1"/>
  <c r="S22" i="76" s="1"/>
  <c r="P5" i="42"/>
  <c r="P20" i="45"/>
  <c r="P28" i="45" s="1"/>
  <c r="P30" i="45" s="1"/>
  <c r="S151" i="12"/>
  <c r="P8" i="42"/>
  <c r="Q93" i="76"/>
  <c r="Q151" i="12"/>
  <c r="N20" i="45"/>
  <c r="N28" i="45" s="1"/>
  <c r="N30" i="45" s="1"/>
  <c r="S115" i="12"/>
  <c r="P8" i="45"/>
  <c r="P14" i="45" s="1"/>
  <c r="P16" i="45" s="1"/>
  <c r="M7" i="42"/>
  <c r="P148" i="76"/>
  <c r="O95" i="76"/>
  <c r="Q146" i="76"/>
  <c r="N6" i="45"/>
  <c r="N14" i="45" s="1"/>
  <c r="N16" i="45" s="1"/>
  <c r="Q115" i="12"/>
  <c r="M53" i="12"/>
  <c r="M123" i="70"/>
  <c r="P135" i="76"/>
  <c r="Q24" i="45"/>
  <c r="N16" i="42"/>
  <c r="S137" i="76"/>
  <c r="P144" i="76"/>
  <c r="Q141" i="76"/>
  <c r="Q138" i="76"/>
  <c r="S136" i="76"/>
  <c r="Q208" i="76"/>
  <c r="O5" i="42"/>
  <c r="R28" i="12"/>
  <c r="R31" i="12" s="1"/>
  <c r="R19" i="76" s="1"/>
  <c r="Q11" i="45"/>
  <c r="G25" i="18"/>
  <c r="S141" i="76"/>
  <c r="M16" i="76"/>
  <c r="M54" i="76"/>
  <c r="M50" i="76"/>
  <c r="M53" i="76"/>
  <c r="M51" i="76"/>
  <c r="M49" i="76"/>
  <c r="M52" i="76"/>
  <c r="G28" i="18"/>
  <c r="P142" i="76"/>
  <c r="P137" i="76"/>
  <c r="Q144" i="76"/>
  <c r="P91" i="76"/>
  <c r="P92" i="76"/>
  <c r="P89" i="76"/>
  <c r="P96" i="76"/>
  <c r="P90" i="76"/>
  <c r="M6" i="42"/>
  <c r="P94" i="76"/>
  <c r="P97" i="76"/>
  <c r="G20" i="18"/>
  <c r="O7" i="42"/>
  <c r="R148" i="76"/>
  <c r="R21" i="76"/>
  <c r="R145" i="76"/>
  <c r="Q90" i="76"/>
  <c r="P28" i="12"/>
  <c r="P31" i="12" s="1"/>
  <c r="P24" i="76" s="1"/>
  <c r="M5" i="42"/>
  <c r="M204" i="72"/>
  <c r="Q147" i="76"/>
  <c r="O10" i="42"/>
  <c r="O13" i="42" s="1"/>
  <c r="R26" i="12"/>
  <c r="N8" i="42"/>
  <c r="P7" i="42"/>
  <c r="S148" i="76"/>
  <c r="Q10" i="45"/>
  <c r="S145" i="76"/>
  <c r="Q145" i="76"/>
  <c r="Q246" i="76"/>
  <c r="O94" i="76"/>
  <c r="O91" i="76"/>
  <c r="L6" i="42"/>
  <c r="O88" i="76"/>
  <c r="O96" i="76"/>
  <c r="O93" i="76"/>
  <c r="O89" i="76"/>
  <c r="O97" i="76"/>
  <c r="O92" i="76"/>
  <c r="M63" i="70"/>
  <c r="M60" i="70"/>
  <c r="M65" i="70" s="1"/>
  <c r="S71" i="76"/>
  <c r="P136" i="76"/>
  <c r="P151" i="76"/>
  <c r="P132" i="76"/>
  <c r="G11" i="18"/>
  <c r="Q21" i="45"/>
  <c r="G35" i="18"/>
  <c r="G9" i="18"/>
  <c r="P146" i="76"/>
  <c r="O115" i="12"/>
  <c r="L8" i="45"/>
  <c r="G10" i="18"/>
  <c r="Q135" i="76"/>
  <c r="Q148" i="76"/>
  <c r="N7" i="42"/>
  <c r="Q89" i="76"/>
  <c r="Q12" i="45"/>
  <c r="N324" i="37"/>
  <c r="N332" i="37" s="1"/>
  <c r="N334" i="37" s="1"/>
  <c r="N237" i="37"/>
  <c r="N245" i="37" s="1"/>
  <c r="N247" i="37" s="1"/>
  <c r="N268" i="37"/>
  <c r="N277" i="37" s="1"/>
  <c r="N280" i="37" s="1"/>
  <c r="N282" i="37" s="1"/>
  <c r="N95" i="70"/>
  <c r="N254" i="37"/>
  <c r="N260" i="37" s="1"/>
  <c r="N262" i="37" s="1"/>
  <c r="Q88" i="76"/>
  <c r="Q150" i="76"/>
  <c r="G8" i="18"/>
  <c r="Q136" i="76"/>
  <c r="S244" i="76"/>
  <c r="Q139" i="76"/>
  <c r="M8" i="42"/>
  <c r="Q9" i="45"/>
  <c r="L16" i="42"/>
  <c r="R246" i="76"/>
  <c r="S149" i="76"/>
  <c r="Q142" i="76"/>
  <c r="S150" i="76"/>
  <c r="G22" i="18"/>
  <c r="M189" i="72"/>
  <c r="Q151" i="76"/>
  <c r="O8" i="42"/>
  <c r="R22" i="76"/>
  <c r="L20" i="45"/>
  <c r="O151" i="12"/>
  <c r="S144" i="76"/>
  <c r="Q26" i="45"/>
  <c r="S135" i="76"/>
  <c r="Q27" i="45"/>
  <c r="P88" i="76"/>
  <c r="P145" i="76"/>
  <c r="R137" i="76"/>
  <c r="R133" i="76"/>
  <c r="P133" i="76"/>
  <c r="R92" i="76"/>
  <c r="R93" i="76"/>
  <c r="R91" i="76"/>
  <c r="R88" i="76"/>
  <c r="R96" i="76"/>
  <c r="R94" i="76"/>
  <c r="R97" i="76"/>
  <c r="R90" i="76"/>
  <c r="O6" i="42"/>
  <c r="O28" i="12"/>
  <c r="O31" i="12" s="1"/>
  <c r="L5" i="42"/>
  <c r="Q97" i="76"/>
  <c r="Q92" i="76"/>
  <c r="N6" i="42"/>
  <c r="Q91" i="76"/>
  <c r="Q96" i="76"/>
  <c r="Q94" i="76"/>
  <c r="N10" i="42"/>
  <c r="N13" i="42" s="1"/>
  <c r="Q26" i="12"/>
  <c r="Q73" i="76"/>
  <c r="R206" i="76"/>
  <c r="G16" i="18"/>
  <c r="R151" i="12"/>
  <c r="O20" i="45"/>
  <c r="O28" i="45" s="1"/>
  <c r="O30" i="45" s="1"/>
  <c r="G24" i="18"/>
  <c r="P115" i="12"/>
  <c r="M6" i="45"/>
  <c r="S26" i="12"/>
  <c r="P10" i="42"/>
  <c r="P13" i="42" s="1"/>
  <c r="M10" i="42"/>
  <c r="M13" i="42" s="1"/>
  <c r="P26" i="12"/>
  <c r="P134" i="76"/>
  <c r="Q132" i="76"/>
  <c r="P16" i="42"/>
  <c r="Q133" i="76"/>
  <c r="G18" i="18"/>
  <c r="Q134" i="76"/>
  <c r="S146" i="76"/>
  <c r="L8" i="42"/>
  <c r="Q8" i="42" s="1"/>
  <c r="Q23" i="45"/>
  <c r="N5" i="42"/>
  <c r="Q28" i="12"/>
  <c r="Q31" i="12" s="1"/>
  <c r="O224" i="76"/>
  <c r="O223" i="76"/>
  <c r="G33" i="18"/>
  <c r="Q143" i="76"/>
  <c r="G17" i="18"/>
  <c r="S91" i="76"/>
  <c r="S93" i="76"/>
  <c r="S88" i="76"/>
  <c r="S90" i="76"/>
  <c r="S97" i="76"/>
  <c r="S96" i="76"/>
  <c r="P6" i="42"/>
  <c r="S92" i="76"/>
  <c r="S94" i="76"/>
  <c r="S89" i="76"/>
  <c r="P143" i="76"/>
  <c r="G19" i="18"/>
  <c r="P138" i="76"/>
  <c r="Q7" i="45"/>
  <c r="P93" i="76"/>
  <c r="R147" i="76"/>
  <c r="M20" i="45"/>
  <c r="M28" i="45" s="1"/>
  <c r="M30" i="45" s="1"/>
  <c r="P151" i="12"/>
  <c r="Q7" i="42" l="1"/>
  <c r="O153" i="76"/>
  <c r="S20" i="76"/>
  <c r="S21" i="76"/>
  <c r="S24" i="76"/>
  <c r="P22" i="76"/>
  <c r="S153" i="76"/>
  <c r="Q16" i="42"/>
  <c r="O23" i="76"/>
  <c r="R208" i="76"/>
  <c r="G31" i="18"/>
  <c r="Q6" i="42"/>
  <c r="P20" i="76"/>
  <c r="M327" i="76"/>
  <c r="M211" i="76"/>
  <c r="J37" i="42"/>
  <c r="J40" i="42" s="1"/>
  <c r="M56" i="12"/>
  <c r="P15" i="42"/>
  <c r="P17" i="42" s="1"/>
  <c r="P69" i="42" s="1"/>
  <c r="G26" i="18"/>
  <c r="R153" i="12"/>
  <c r="O34" i="45" s="1"/>
  <c r="R155" i="12"/>
  <c r="S73" i="76"/>
  <c r="O20" i="76"/>
  <c r="M56" i="76"/>
  <c r="M324" i="76"/>
  <c r="M76" i="76"/>
  <c r="S117" i="12"/>
  <c r="P33" i="45" s="1"/>
  <c r="S119" i="12"/>
  <c r="S19" i="76"/>
  <c r="S33" i="12"/>
  <c r="P57" i="18"/>
  <c r="M71" i="70"/>
  <c r="S223" i="76"/>
  <c r="S23" i="76"/>
  <c r="S224" i="76"/>
  <c r="O153" i="12"/>
  <c r="O155" i="12"/>
  <c r="M173" i="76"/>
  <c r="M300" i="76" s="1"/>
  <c r="M326" i="76"/>
  <c r="M174" i="76"/>
  <c r="M301" i="76" s="1"/>
  <c r="M162" i="76"/>
  <c r="M289" i="76" s="1"/>
  <c r="M157" i="76"/>
  <c r="M284" i="76" s="1"/>
  <c r="M171" i="76"/>
  <c r="M298" i="76" s="1"/>
  <c r="M161" i="76"/>
  <c r="M288" i="76" s="1"/>
  <c r="M164" i="76"/>
  <c r="M291" i="76" s="1"/>
  <c r="M170" i="76"/>
  <c r="M297" i="76" s="1"/>
  <c r="M169" i="76"/>
  <c r="M296" i="76" s="1"/>
  <c r="M156" i="76"/>
  <c r="M172" i="76"/>
  <c r="M299" i="76" s="1"/>
  <c r="M159" i="76"/>
  <c r="M286" i="76" s="1"/>
  <c r="M167" i="76"/>
  <c r="M294" i="76" s="1"/>
  <c r="M158" i="76"/>
  <c r="M285" i="76" s="1"/>
  <c r="M160" i="76"/>
  <c r="M287" i="76" s="1"/>
  <c r="M175" i="76"/>
  <c r="M302" i="76" s="1"/>
  <c r="M163" i="76"/>
  <c r="M290" i="76" s="1"/>
  <c r="M168" i="76"/>
  <c r="M295" i="76" s="1"/>
  <c r="M165" i="76"/>
  <c r="M292" i="76" s="1"/>
  <c r="M166" i="76"/>
  <c r="M293" i="76" s="1"/>
  <c r="Q19" i="76"/>
  <c r="N57" i="18"/>
  <c r="Q33" i="12"/>
  <c r="O22" i="76"/>
  <c r="M14" i="45"/>
  <c r="M16" i="45" s="1"/>
  <c r="Q6" i="45"/>
  <c r="S99" i="76"/>
  <c r="N15" i="42"/>
  <c r="N17" i="42" s="1"/>
  <c r="N69" i="42" s="1"/>
  <c r="P23" i="76"/>
  <c r="P224" i="76"/>
  <c r="P223" i="76"/>
  <c r="P117" i="12"/>
  <c r="P119" i="12"/>
  <c r="Q20" i="45"/>
  <c r="Q28" i="45" s="1"/>
  <c r="Q30" i="45" s="1"/>
  <c r="L28" i="45"/>
  <c r="L30" i="45" s="1"/>
  <c r="L34" i="45" s="1"/>
  <c r="Q8" i="45"/>
  <c r="L14" i="45"/>
  <c r="L16" i="45" s="1"/>
  <c r="R23" i="76"/>
  <c r="R224" i="76"/>
  <c r="R223" i="76"/>
  <c r="P19" i="76"/>
  <c r="M230" i="76"/>
  <c r="M311" i="76" s="1"/>
  <c r="M229" i="76"/>
  <c r="Q24" i="76"/>
  <c r="Q119" i="12"/>
  <c r="Q117" i="12"/>
  <c r="N33" i="45" s="1"/>
  <c r="Q155" i="12"/>
  <c r="Q153" i="12"/>
  <c r="N34" i="45" s="1"/>
  <c r="Q10" i="42"/>
  <c r="Q13" i="42" s="1"/>
  <c r="G6" i="18"/>
  <c r="Q224" i="76"/>
  <c r="Q23" i="76"/>
  <c r="Q223" i="76"/>
  <c r="Q99" i="76"/>
  <c r="O119" i="12"/>
  <c r="O117" i="12"/>
  <c r="Q22" i="76"/>
  <c r="M15" i="42"/>
  <c r="M17" i="42" s="1"/>
  <c r="M69" i="42" s="1"/>
  <c r="M110" i="76"/>
  <c r="M278" i="76" s="1"/>
  <c r="M111" i="76"/>
  <c r="M279" i="76" s="1"/>
  <c r="M109" i="76"/>
  <c r="M277" i="76" s="1"/>
  <c r="M325" i="76"/>
  <c r="M107" i="76"/>
  <c r="M275" i="76" s="1"/>
  <c r="M108" i="76"/>
  <c r="M276" i="76" s="1"/>
  <c r="M106" i="76"/>
  <c r="M274" i="76" s="1"/>
  <c r="M102" i="76"/>
  <c r="M105" i="76"/>
  <c r="M273" i="76" s="1"/>
  <c r="M104" i="76"/>
  <c r="M272" i="76" s="1"/>
  <c r="M103" i="76"/>
  <c r="M271" i="76" s="1"/>
  <c r="O226" i="76"/>
  <c r="R99" i="76"/>
  <c r="N62" i="70"/>
  <c r="M118" i="70"/>
  <c r="M18" i="70" s="1"/>
  <c r="P21" i="76"/>
  <c r="M57" i="18"/>
  <c r="P33" i="12"/>
  <c r="M250" i="76"/>
  <c r="M316" i="76" s="1"/>
  <c r="M249" i="76"/>
  <c r="R20" i="76"/>
  <c r="R33" i="12"/>
  <c r="O57" i="18"/>
  <c r="R24" i="76"/>
  <c r="R119" i="12"/>
  <c r="R117" i="12"/>
  <c r="O33" i="45" s="1"/>
  <c r="G30" i="18"/>
  <c r="P153" i="12"/>
  <c r="M34" i="45" s="1"/>
  <c r="P155" i="12"/>
  <c r="O19" i="76"/>
  <c r="P99" i="76"/>
  <c r="Q153" i="76"/>
  <c r="Q20" i="76"/>
  <c r="Q5" i="42"/>
  <c r="Q15" i="42" s="1"/>
  <c r="Q17" i="42" s="1"/>
  <c r="L15" i="42"/>
  <c r="L17" i="42" s="1"/>
  <c r="L69" i="42" s="1"/>
  <c r="N102" i="70"/>
  <c r="N25" i="70"/>
  <c r="N17" i="37" s="1"/>
  <c r="Q21" i="76"/>
  <c r="P153" i="76"/>
  <c r="M64" i="70"/>
  <c r="M116" i="70"/>
  <c r="M16" i="70" s="1"/>
  <c r="O15" i="42"/>
  <c r="O17" i="42" s="1"/>
  <c r="O69" i="42" s="1"/>
  <c r="M59" i="76"/>
  <c r="M62" i="76"/>
  <c r="M216" i="76" s="1"/>
  <c r="M218" i="76" s="1"/>
  <c r="M64" i="76"/>
  <c r="M60" i="76"/>
  <c r="M63" i="76"/>
  <c r="M61" i="76"/>
  <c r="S153" i="12"/>
  <c r="P34" i="45" s="1"/>
  <c r="S155" i="12"/>
  <c r="O33" i="12"/>
  <c r="L57" i="18"/>
  <c r="O21" i="76"/>
  <c r="O24" i="76"/>
  <c r="R153" i="76"/>
  <c r="G34" i="18"/>
  <c r="O99" i="76"/>
  <c r="C73" i="76"/>
  <c r="D105" i="28" s="1"/>
  <c r="S246" i="76"/>
  <c r="C246" i="76" s="1"/>
  <c r="D120" i="28" s="1"/>
  <c r="C208" i="76"/>
  <c r="D114" i="28" s="1"/>
  <c r="J70" i="42" l="1"/>
  <c r="C153" i="76"/>
  <c r="D111" i="28" s="1"/>
  <c r="D33" i="12"/>
  <c r="D50" i="28" s="1"/>
  <c r="C99" i="76"/>
  <c r="D108" i="28" s="1"/>
  <c r="S26" i="76"/>
  <c r="P26" i="76"/>
  <c r="M66" i="76"/>
  <c r="M81" i="76"/>
  <c r="M83" i="76" s="1"/>
  <c r="M252" i="76"/>
  <c r="M333" i="76"/>
  <c r="M315" i="76"/>
  <c r="R226" i="76"/>
  <c r="S226" i="76"/>
  <c r="O26" i="76"/>
  <c r="G58" i="18"/>
  <c r="D119" i="12"/>
  <c r="D54" i="28" s="1"/>
  <c r="Q226" i="76"/>
  <c r="Q14" i="45"/>
  <c r="Q16" i="45" s="1"/>
  <c r="M177" i="76"/>
  <c r="M283" i="76"/>
  <c r="M113" i="76"/>
  <c r="M270" i="76"/>
  <c r="M76" i="70"/>
  <c r="M24" i="70" s="1"/>
  <c r="M16" i="37" s="1"/>
  <c r="M113" i="70"/>
  <c r="M117" i="70"/>
  <c r="M17" i="70" s="1"/>
  <c r="M197" i="76"/>
  <c r="M198" i="76"/>
  <c r="M186" i="76"/>
  <c r="M181" i="76"/>
  <c r="M195" i="76"/>
  <c r="M185" i="76"/>
  <c r="M189" i="76"/>
  <c r="M190" i="76"/>
  <c r="M188" i="76"/>
  <c r="M194" i="76"/>
  <c r="M193" i="76"/>
  <c r="M180" i="76"/>
  <c r="M192" i="76"/>
  <c r="M196" i="76"/>
  <c r="M183" i="76"/>
  <c r="M184" i="76"/>
  <c r="M191" i="76"/>
  <c r="M182" i="76"/>
  <c r="M199" i="76"/>
  <c r="M187" i="76"/>
  <c r="M20" i="70"/>
  <c r="M33" i="45"/>
  <c r="Q26" i="76"/>
  <c r="M236" i="76"/>
  <c r="M235" i="76"/>
  <c r="N115" i="70"/>
  <c r="N15" i="70" s="1"/>
  <c r="M232" i="76"/>
  <c r="M331" i="76"/>
  <c r="M332" i="76" s="1"/>
  <c r="M310" i="76"/>
  <c r="P226" i="76"/>
  <c r="M78" i="76"/>
  <c r="M266" i="76"/>
  <c r="L33" i="45"/>
  <c r="D155" i="12"/>
  <c r="D56" i="28" s="1"/>
  <c r="M213" i="76"/>
  <c r="M306" i="76"/>
  <c r="M123" i="76"/>
  <c r="M125" i="76"/>
  <c r="M116" i="76"/>
  <c r="M122" i="76"/>
  <c r="M118" i="76"/>
  <c r="M121" i="76"/>
  <c r="M124" i="76"/>
  <c r="M117" i="76"/>
  <c r="M120" i="76"/>
  <c r="M119" i="76"/>
  <c r="M256" i="76"/>
  <c r="M255" i="76"/>
  <c r="R26" i="76"/>
  <c r="C226" i="76" l="1"/>
  <c r="D117" i="28" s="1"/>
  <c r="M258" i="76"/>
  <c r="M238" i="76"/>
  <c r="M136" i="37"/>
  <c r="M26" i="37" s="1"/>
  <c r="M134" i="37"/>
  <c r="M164" i="37"/>
  <c r="M175" i="37"/>
  <c r="M163" i="37"/>
  <c r="M139" i="37"/>
  <c r="M29" i="37" s="1"/>
  <c r="M168" i="37"/>
  <c r="M169" i="37"/>
  <c r="M63" i="37" s="1"/>
  <c r="J52" i="42" s="1"/>
  <c r="M170" i="37"/>
  <c r="M64" i="37" s="1"/>
  <c r="J53" i="42" s="1"/>
  <c r="M141" i="37"/>
  <c r="M31" i="37" s="1"/>
  <c r="M140" i="37"/>
  <c r="M30" i="37" s="1"/>
  <c r="M165" i="37"/>
  <c r="M162" i="37"/>
  <c r="M138" i="37"/>
  <c r="M28" i="37" s="1"/>
  <c r="M142" i="37"/>
  <c r="M32" i="37" s="1"/>
  <c r="M137" i="37"/>
  <c r="M27" i="37" s="1"/>
  <c r="M135" i="37"/>
  <c r="M25" i="37" s="1"/>
  <c r="M201" i="76"/>
  <c r="M77" i="70"/>
  <c r="M26" i="70" s="1"/>
  <c r="M19" i="37" s="1"/>
  <c r="M151" i="37" s="1"/>
  <c r="M43" i="37" s="1"/>
  <c r="M26" i="31" s="1"/>
  <c r="C26" i="76"/>
  <c r="D100" i="28" s="1"/>
  <c r="M127" i="76"/>
  <c r="M149" i="37" l="1"/>
  <c r="M41" i="37" s="1"/>
  <c r="M155" i="37"/>
  <c r="M47" i="37" s="1"/>
  <c r="M30" i="31" s="1"/>
  <c r="M62" i="37"/>
  <c r="M171" i="37"/>
  <c r="M150" i="37"/>
  <c r="M42" i="37" s="1"/>
  <c r="M25" i="31" s="1"/>
  <c r="M190" i="37"/>
  <c r="M84" i="37" s="1"/>
  <c r="M185" i="37"/>
  <c r="M79" i="37" s="1"/>
  <c r="M184" i="37"/>
  <c r="M339" i="76" s="1"/>
  <c r="M348" i="76" s="1"/>
  <c r="M188" i="37"/>
  <c r="M189" i="37"/>
  <c r="M83" i="37" s="1"/>
  <c r="M182" i="37"/>
  <c r="M76" i="37" s="1"/>
  <c r="M195" i="37"/>
  <c r="M89" i="37" s="1"/>
  <c r="M183" i="37"/>
  <c r="M338" i="76" s="1"/>
  <c r="M347" i="76" s="1"/>
  <c r="M153" i="37"/>
  <c r="M45" i="37" s="1"/>
  <c r="M28" i="31" s="1"/>
  <c r="M16" i="31"/>
  <c r="E15" i="23"/>
  <c r="E16" i="23"/>
  <c r="M17" i="31"/>
  <c r="M154" i="37"/>
  <c r="M46" i="37" s="1"/>
  <c r="M29" i="31" s="1"/>
  <c r="M56" i="37"/>
  <c r="J46" i="42" s="1"/>
  <c r="M204" i="37"/>
  <c r="M100" i="37" s="1"/>
  <c r="AG7" i="45" s="1"/>
  <c r="M57" i="37"/>
  <c r="J47" i="42" s="1"/>
  <c r="M206" i="37"/>
  <c r="M102" i="37" s="1"/>
  <c r="AG9" i="45" s="1"/>
  <c r="M209" i="37"/>
  <c r="M105" i="37" s="1"/>
  <c r="AG12" i="45" s="1"/>
  <c r="M208" i="37"/>
  <c r="M104" i="37" s="1"/>
  <c r="AG11" i="45" s="1"/>
  <c r="M207" i="37"/>
  <c r="M103" i="37" s="1"/>
  <c r="AG10" i="45" s="1"/>
  <c r="M205" i="37"/>
  <c r="M101" i="37" s="1"/>
  <c r="AG8" i="45" s="1"/>
  <c r="M211" i="37"/>
  <c r="M107" i="37" s="1"/>
  <c r="M210" i="37"/>
  <c r="M106" i="37" s="1"/>
  <c r="AG13" i="45" s="1"/>
  <c r="M203" i="37"/>
  <c r="M152" i="37"/>
  <c r="M44" i="37" s="1"/>
  <c r="M27" i="31" s="1"/>
  <c r="M59" i="37"/>
  <c r="J49" i="42" s="1"/>
  <c r="M69" i="37"/>
  <c r="J57" i="42" s="1"/>
  <c r="E17" i="23"/>
  <c r="M18" i="31"/>
  <c r="M226" i="37"/>
  <c r="M124" i="37" s="1"/>
  <c r="AG27" i="45" s="1"/>
  <c r="M227" i="37"/>
  <c r="M125" i="37" s="1"/>
  <c r="M219" i="37"/>
  <c r="M220" i="37"/>
  <c r="M118" i="37" s="1"/>
  <c r="AG21" i="45" s="1"/>
  <c r="M222" i="37"/>
  <c r="M120" i="37" s="1"/>
  <c r="AG23" i="45" s="1"/>
  <c r="M221" i="37"/>
  <c r="M119" i="37" s="1"/>
  <c r="AG22" i="45" s="1"/>
  <c r="M224" i="37"/>
  <c r="M122" i="37" s="1"/>
  <c r="AG25" i="45" s="1"/>
  <c r="M225" i="37"/>
  <c r="M123" i="37" s="1"/>
  <c r="AG26" i="45" s="1"/>
  <c r="M58" i="37"/>
  <c r="J48" i="42" s="1"/>
  <c r="M223" i="37"/>
  <c r="M121" i="37" s="1"/>
  <c r="AG24" i="45" s="1"/>
  <c r="M19" i="31"/>
  <c r="E18" i="23"/>
  <c r="M143" i="37"/>
  <c r="M145" i="37" s="1"/>
  <c r="M24" i="37"/>
  <c r="E12" i="23"/>
  <c r="M13" i="31"/>
  <c r="E13" i="23"/>
  <c r="M14" i="31"/>
  <c r="M15" i="31"/>
  <c r="E14" i="23"/>
  <c r="E19" i="23"/>
  <c r="M20" i="31"/>
  <c r="M342" i="76" l="1"/>
  <c r="M351" i="76" s="1"/>
  <c r="M228" i="37"/>
  <c r="M230" i="37" s="1"/>
  <c r="M117" i="37"/>
  <c r="M173" i="37"/>
  <c r="M176" i="37" s="1"/>
  <c r="M178" i="37" s="1"/>
  <c r="M191" i="37"/>
  <c r="M193" i="37" s="1"/>
  <c r="M196" i="37" s="1"/>
  <c r="M198" i="37" s="1"/>
  <c r="M82" i="37"/>
  <c r="J51" i="42"/>
  <c r="J54" i="42" s="1"/>
  <c r="M65" i="37"/>
  <c r="M67" i="37" s="1"/>
  <c r="M99" i="37"/>
  <c r="M212" i="37"/>
  <c r="M214" i="37" s="1"/>
  <c r="AG29" i="45"/>
  <c r="M78" i="37"/>
  <c r="M156" i="37"/>
  <c r="M158" i="37" s="1"/>
  <c r="M24" i="31"/>
  <c r="M48" i="37"/>
  <c r="M50" i="37" s="1"/>
  <c r="M337" i="76"/>
  <c r="M346" i="76" s="1"/>
  <c r="E11" i="23"/>
  <c r="E20" i="23" s="1"/>
  <c r="M12" i="31"/>
  <c r="M33" i="37"/>
  <c r="M35" i="37" s="1"/>
  <c r="M340" i="76"/>
  <c r="M349" i="76" s="1"/>
  <c r="AG15" i="45"/>
  <c r="M77" i="37"/>
  <c r="E23" i="23" l="1"/>
  <c r="M341" i="76"/>
  <c r="M350" i="76" s="1"/>
  <c r="M21" i="31"/>
  <c r="M70" i="37"/>
  <c r="M72" i="37" s="1"/>
  <c r="J56" i="42"/>
  <c r="J58" i="42" s="1"/>
  <c r="M126" i="37"/>
  <c r="M128" i="37" s="1"/>
  <c r="AG20" i="45"/>
  <c r="AG28" i="45" s="1"/>
  <c r="AG30" i="45" s="1"/>
  <c r="AG6" i="45"/>
  <c r="AG14" i="45" s="1"/>
  <c r="AG16" i="45" s="1"/>
  <c r="M108" i="37"/>
  <c r="M110" i="37" s="1"/>
  <c r="M31" i="31"/>
  <c r="M85" i="37"/>
  <c r="M87" i="37" s="1"/>
  <c r="M90" i="37" s="1"/>
  <c r="M92" i="37" s="1"/>
  <c r="N34" i="10"/>
  <c r="N139" i="33"/>
  <c r="O136" i="33"/>
  <c r="K25" i="24" s="1"/>
  <c r="O139" i="33"/>
  <c r="K28" i="24" s="1"/>
  <c r="P136" i="33"/>
  <c r="L25" i="24" s="1"/>
  <c r="P139" i="33"/>
  <c r="L28" i="24" s="1"/>
  <c r="Q136" i="33"/>
  <c r="M25" i="24" s="1"/>
  <c r="N136" i="33"/>
  <c r="Q139" i="33"/>
  <c r="M28" i="24" s="1"/>
  <c r="R136" i="33"/>
  <c r="N25" i="24" s="1"/>
  <c r="R139" i="33"/>
  <c r="N28" i="24" s="1"/>
  <c r="S136" i="33"/>
  <c r="O25" i="24" s="1"/>
  <c r="S139" i="33"/>
  <c r="O28" i="24" s="1"/>
  <c r="M136" i="33"/>
  <c r="I25" i="24" s="1"/>
  <c r="M139" i="33"/>
  <c r="I28" i="24" s="1"/>
  <c r="T40" i="10"/>
  <c r="S16" i="33" s="1"/>
  <c r="P42" i="10"/>
  <c r="O18" i="33" s="1"/>
  <c r="O31" i="33" s="1"/>
  <c r="R43" i="10"/>
  <c r="Q19" i="33" s="1"/>
  <c r="Q30" i="33" s="1"/>
  <c r="T44" i="10"/>
  <c r="S20" i="33" s="1"/>
  <c r="S32" i="33" s="1"/>
  <c r="N41" i="10"/>
  <c r="M17" i="33" s="1"/>
  <c r="M33" i="33" s="1"/>
  <c r="N40" i="10"/>
  <c r="M16" i="33" s="1"/>
  <c r="O41" i="10"/>
  <c r="N17" i="33" s="1"/>
  <c r="N33" i="33" s="1"/>
  <c r="Q42" i="10"/>
  <c r="P18" i="33" s="1"/>
  <c r="P31" i="33" s="1"/>
  <c r="S43" i="10"/>
  <c r="R19" i="33" s="1"/>
  <c r="R30" i="33" s="1"/>
  <c r="O45" i="10"/>
  <c r="N21" i="33" s="1"/>
  <c r="N29" i="33" s="1"/>
  <c r="N42" i="10"/>
  <c r="M18" i="33" s="1"/>
  <c r="M31" i="33" s="1"/>
  <c r="S44" i="10"/>
  <c r="R20" i="33" s="1"/>
  <c r="R32" i="33" s="1"/>
  <c r="P41" i="10"/>
  <c r="O17" i="33" s="1"/>
  <c r="O33" i="33" s="1"/>
  <c r="R42" i="10"/>
  <c r="Q18" i="33" s="1"/>
  <c r="Q31" i="33" s="1"/>
  <c r="T43" i="10"/>
  <c r="S19" i="33" s="1"/>
  <c r="S30" i="33" s="1"/>
  <c r="P45" i="10"/>
  <c r="O21" i="33" s="1"/>
  <c r="O29" i="33" s="1"/>
  <c r="N43" i="10"/>
  <c r="M19" i="33" s="1"/>
  <c r="M30" i="33" s="1"/>
  <c r="O40" i="10"/>
  <c r="N16" i="33" s="1"/>
  <c r="Q41" i="10"/>
  <c r="P17" i="33" s="1"/>
  <c r="P33" i="33" s="1"/>
  <c r="S42" i="10"/>
  <c r="R18" i="33" s="1"/>
  <c r="R31" i="33" s="1"/>
  <c r="O44" i="10"/>
  <c r="N20" i="33" s="1"/>
  <c r="N32" i="33" s="1"/>
  <c r="Q45" i="10"/>
  <c r="P21" i="33" s="1"/>
  <c r="P29" i="33" s="1"/>
  <c r="N44" i="10"/>
  <c r="M20" i="33" s="1"/>
  <c r="M32" i="33" s="1"/>
  <c r="O42" i="10"/>
  <c r="N18" i="33" s="1"/>
  <c r="N31" i="33" s="1"/>
  <c r="P40" i="10"/>
  <c r="O16" i="33" s="1"/>
  <c r="R41" i="10"/>
  <c r="Q17" i="33" s="1"/>
  <c r="Q33" i="33" s="1"/>
  <c r="T42" i="10"/>
  <c r="S18" i="33" s="1"/>
  <c r="S31" i="33" s="1"/>
  <c r="P44" i="10"/>
  <c r="O20" i="33" s="1"/>
  <c r="O32" i="33" s="1"/>
  <c r="R45" i="10"/>
  <c r="Q21" i="33" s="1"/>
  <c r="Q29" i="33" s="1"/>
  <c r="N45" i="10"/>
  <c r="M21" i="33" s="1"/>
  <c r="M29" i="33" s="1"/>
  <c r="Q40" i="10"/>
  <c r="P16" i="33" s="1"/>
  <c r="S41" i="10"/>
  <c r="R17" i="33" s="1"/>
  <c r="R33" i="33" s="1"/>
  <c r="O43" i="10"/>
  <c r="N19" i="33" s="1"/>
  <c r="N30" i="33" s="1"/>
  <c r="Q44" i="10"/>
  <c r="P20" i="33" s="1"/>
  <c r="P32" i="33" s="1"/>
  <c r="S45" i="10"/>
  <c r="R21" i="33" s="1"/>
  <c r="R29" i="33" s="1"/>
  <c r="Q43" i="10"/>
  <c r="P19" i="33" s="1"/>
  <c r="P30" i="33" s="1"/>
  <c r="R40" i="10"/>
  <c r="Q16" i="33" s="1"/>
  <c r="T41" i="10"/>
  <c r="S17" i="33" s="1"/>
  <c r="S33" i="33" s="1"/>
  <c r="P43" i="10"/>
  <c r="O19" i="33" s="1"/>
  <c r="O30" i="33" s="1"/>
  <c r="R44" i="10"/>
  <c r="Q20" i="33" s="1"/>
  <c r="Q32" i="33" s="1"/>
  <c r="T45" i="10"/>
  <c r="S21" i="33" s="1"/>
  <c r="S29" i="33" s="1"/>
  <c r="S40" i="10"/>
  <c r="R16" i="33" s="1"/>
  <c r="N39" i="10" l="1"/>
  <c r="M15" i="33" s="1"/>
  <c r="M86" i="33" s="1"/>
  <c r="P34" i="10"/>
  <c r="P39" i="10" s="1"/>
  <c r="O15" i="33" s="1"/>
  <c r="S34" i="10"/>
  <c r="S37" i="10" s="1"/>
  <c r="R13" i="33" s="1"/>
  <c r="S36" i="33"/>
  <c r="S116" i="33" s="1"/>
  <c r="O14" i="24" s="1"/>
  <c r="Q34" i="10"/>
  <c r="Q37" i="10" s="1"/>
  <c r="P13" i="33" s="1"/>
  <c r="N37" i="10"/>
  <c r="M13" i="33" s="1"/>
  <c r="T34" i="10"/>
  <c r="T39" i="10" s="1"/>
  <c r="S15" i="33" s="1"/>
  <c r="S86" i="33" s="1"/>
  <c r="AG34" i="45"/>
  <c r="AG33" i="45"/>
  <c r="M36" i="33"/>
  <c r="M116" i="33" s="1"/>
  <c r="I14" i="24" s="1"/>
  <c r="P99" i="33"/>
  <c r="P106" i="33" s="1"/>
  <c r="P121" i="33" s="1"/>
  <c r="L19" i="24" s="1"/>
  <c r="P73" i="33"/>
  <c r="M99" i="33"/>
  <c r="M106" i="33" s="1"/>
  <c r="M121" i="33" s="1"/>
  <c r="I19" i="24" s="1"/>
  <c r="M73" i="33"/>
  <c r="O99" i="33"/>
  <c r="O106" i="33" s="1"/>
  <c r="O121" i="33" s="1"/>
  <c r="K19" i="24" s="1"/>
  <c r="O73" i="33"/>
  <c r="N36" i="33"/>
  <c r="N38" i="10"/>
  <c r="M14" i="33" s="1"/>
  <c r="N99" i="33"/>
  <c r="N106" i="33" s="1"/>
  <c r="N73" i="33"/>
  <c r="R34" i="10"/>
  <c r="R37" i="10" s="1"/>
  <c r="Q13" i="33" s="1"/>
  <c r="R36" i="33"/>
  <c r="R116" i="33" s="1"/>
  <c r="N14" i="24" s="1"/>
  <c r="Q36" i="33"/>
  <c r="Q116" i="33" s="1"/>
  <c r="M14" i="24" s="1"/>
  <c r="N147" i="33"/>
  <c r="J28" i="24"/>
  <c r="M43" i="33"/>
  <c r="M57" i="33"/>
  <c r="M64" i="33" s="1"/>
  <c r="M118" i="33" s="1"/>
  <c r="I16" i="24" s="1"/>
  <c r="S73" i="33"/>
  <c r="S99" i="33"/>
  <c r="S106" i="33" s="1"/>
  <c r="S121" i="33" s="1"/>
  <c r="O19" i="24" s="1"/>
  <c r="P36" i="33"/>
  <c r="P116" i="33" s="1"/>
  <c r="L14" i="24" s="1"/>
  <c r="O36" i="33"/>
  <c r="O116" i="33" s="1"/>
  <c r="K14" i="24" s="1"/>
  <c r="O34" i="10"/>
  <c r="O39" i="10" s="1"/>
  <c r="N15" i="33" s="1"/>
  <c r="J71" i="42"/>
  <c r="J63" i="42"/>
  <c r="J65" i="42" s="1"/>
  <c r="J25" i="24"/>
  <c r="N144" i="33"/>
  <c r="M71" i="33"/>
  <c r="Q99" i="33"/>
  <c r="Q106" i="33" s="1"/>
  <c r="Q121" i="33" s="1"/>
  <c r="M19" i="24" s="1"/>
  <c r="Q73" i="33"/>
  <c r="R99" i="33"/>
  <c r="R106" i="33" s="1"/>
  <c r="R121" i="33" s="1"/>
  <c r="N19" i="24" s="1"/>
  <c r="R73" i="33"/>
  <c r="S38" i="10" l="1"/>
  <c r="R14" i="33" s="1"/>
  <c r="R85" i="33" s="1"/>
  <c r="T38" i="10"/>
  <c r="S14" i="33" s="1"/>
  <c r="S72" i="33" s="1"/>
  <c r="Q39" i="10"/>
  <c r="P15" i="33" s="1"/>
  <c r="P71" i="33" s="1"/>
  <c r="S39" i="10"/>
  <c r="R15" i="33" s="1"/>
  <c r="R71" i="33" s="1"/>
  <c r="Q38" i="10"/>
  <c r="P14" i="33" s="1"/>
  <c r="P85" i="33" s="1"/>
  <c r="S71" i="33"/>
  <c r="P37" i="10"/>
  <c r="O13" i="33" s="1"/>
  <c r="O57" i="33" s="1"/>
  <c r="O64" i="33" s="1"/>
  <c r="O118" i="33" s="1"/>
  <c r="K16" i="24" s="1"/>
  <c r="P38" i="10"/>
  <c r="O14" i="33" s="1"/>
  <c r="R57" i="33"/>
  <c r="R64" i="33" s="1"/>
  <c r="R118" i="33" s="1"/>
  <c r="N16" i="24" s="1"/>
  <c r="R43" i="33"/>
  <c r="R86" i="33"/>
  <c r="R39" i="10"/>
  <c r="Q15" i="33" s="1"/>
  <c r="Q71" i="33" s="1"/>
  <c r="T37" i="10"/>
  <c r="S13" i="33" s="1"/>
  <c r="N121" i="33"/>
  <c r="J19" i="24" s="1"/>
  <c r="N107" i="33"/>
  <c r="N86" i="33"/>
  <c r="N71" i="33"/>
  <c r="M44" i="33"/>
  <c r="M50" i="33" s="1"/>
  <c r="M117" i="33" s="1"/>
  <c r="I15" i="24" s="1"/>
  <c r="M72" i="33"/>
  <c r="M78" i="33" s="1"/>
  <c r="M119" i="33" s="1"/>
  <c r="I17" i="24" s="1"/>
  <c r="M85" i="33"/>
  <c r="M92" i="33" s="1"/>
  <c r="M120" i="33" s="1"/>
  <c r="I18" i="24" s="1"/>
  <c r="O37" i="10"/>
  <c r="N13" i="33" s="1"/>
  <c r="O147" i="33"/>
  <c r="P43" i="33"/>
  <c r="P57" i="33"/>
  <c r="P64" i="33" s="1"/>
  <c r="P118" i="33" s="1"/>
  <c r="L16" i="24" s="1"/>
  <c r="N116" i="33"/>
  <c r="J14" i="24" s="1"/>
  <c r="N37" i="33"/>
  <c r="O38" i="10"/>
  <c r="N14" i="33" s="1"/>
  <c r="R38" i="10"/>
  <c r="Q14" i="33" s="1"/>
  <c r="O71" i="33"/>
  <c r="O86" i="33"/>
  <c r="O144" i="33"/>
  <c r="Q43" i="33"/>
  <c r="Q57" i="33"/>
  <c r="Q64" i="33" s="1"/>
  <c r="Q118" i="33" s="1"/>
  <c r="M16" i="24" s="1"/>
  <c r="R72" i="33" l="1"/>
  <c r="R78" i="33" s="1"/>
  <c r="R119" i="33" s="1"/>
  <c r="N17" i="24" s="1"/>
  <c r="R92" i="33"/>
  <c r="R120" i="33" s="1"/>
  <c r="N18" i="24" s="1"/>
  <c r="P72" i="33"/>
  <c r="P78" i="33" s="1"/>
  <c r="P119" i="33" s="1"/>
  <c r="L17" i="24" s="1"/>
  <c r="S85" i="33"/>
  <c r="S92" i="33" s="1"/>
  <c r="S120" i="33" s="1"/>
  <c r="O18" i="24" s="1"/>
  <c r="S44" i="33"/>
  <c r="P44" i="33"/>
  <c r="P50" i="33" s="1"/>
  <c r="P117" i="33" s="1"/>
  <c r="L15" i="24" s="1"/>
  <c r="R44" i="33"/>
  <c r="R50" i="33" s="1"/>
  <c r="R117" i="33" s="1"/>
  <c r="N15" i="24" s="1"/>
  <c r="P86" i="33"/>
  <c r="P92" i="33" s="1"/>
  <c r="P120" i="33" s="1"/>
  <c r="L18" i="24" s="1"/>
  <c r="O43" i="33"/>
  <c r="Q86" i="33"/>
  <c r="S78" i="33"/>
  <c r="S119" i="33" s="1"/>
  <c r="O17" i="24" s="1"/>
  <c r="O85" i="33"/>
  <c r="O92" i="33" s="1"/>
  <c r="O120" i="33" s="1"/>
  <c r="K18" i="24" s="1"/>
  <c r="O44" i="33"/>
  <c r="O72" i="33"/>
  <c r="O78" i="33" s="1"/>
  <c r="O119" i="33" s="1"/>
  <c r="K17" i="24" s="1"/>
  <c r="S43" i="33"/>
  <c r="S57" i="33"/>
  <c r="S64" i="33" s="1"/>
  <c r="S118" i="33" s="1"/>
  <c r="O16" i="24" s="1"/>
  <c r="N57" i="33"/>
  <c r="N64" i="33" s="1"/>
  <c r="N43" i="33"/>
  <c r="O107" i="33"/>
  <c r="N129" i="33"/>
  <c r="P144" i="33"/>
  <c r="Q44" i="33"/>
  <c r="Q50" i="33" s="1"/>
  <c r="Q117" i="33" s="1"/>
  <c r="M15" i="24" s="1"/>
  <c r="Q85" i="33"/>
  <c r="Q72" i="33"/>
  <c r="Q78" i="33" s="1"/>
  <c r="Q119" i="33" s="1"/>
  <c r="M17" i="24" s="1"/>
  <c r="N85" i="33"/>
  <c r="N92" i="33" s="1"/>
  <c r="N44" i="33"/>
  <c r="N72" i="33"/>
  <c r="N78" i="33" s="1"/>
  <c r="O37" i="33"/>
  <c r="N124" i="33"/>
  <c r="P147" i="33"/>
  <c r="Q92" i="33" l="1"/>
  <c r="Q120" i="33" s="1"/>
  <c r="M18" i="24" s="1"/>
  <c r="S50" i="33"/>
  <c r="S117" i="33" s="1"/>
  <c r="O15" i="24" s="1"/>
  <c r="O50" i="33"/>
  <c r="O117" i="33" s="1"/>
  <c r="K15" i="24" s="1"/>
  <c r="N50" i="33"/>
  <c r="N117" i="33" s="1"/>
  <c r="J15" i="24" s="1"/>
  <c r="N119" i="33"/>
  <c r="J17" i="24" s="1"/>
  <c r="N79" i="33"/>
  <c r="R427" i="38"/>
  <c r="R464" i="38"/>
  <c r="R297" i="38"/>
  <c r="R467" i="38"/>
  <c r="R483" i="38"/>
  <c r="R378" i="38"/>
  <c r="R251" i="38"/>
  <c r="R522" i="38"/>
  <c r="R463" i="38"/>
  <c r="R299" i="38"/>
  <c r="R362" i="38"/>
  <c r="R293" i="38"/>
  <c r="R386" i="38"/>
  <c r="R285" i="38"/>
  <c r="R376" i="38"/>
  <c r="R287" i="38"/>
  <c r="R317" i="38"/>
  <c r="R526" i="38"/>
  <c r="R253" i="38"/>
  <c r="R344" i="38"/>
  <c r="R465" i="38"/>
  <c r="R237" i="38"/>
  <c r="R255" i="38"/>
  <c r="R315" i="38"/>
  <c r="R489" i="38"/>
  <c r="R461" i="38"/>
  <c r="R263" i="38"/>
  <c r="R291" i="38"/>
  <c r="R398" i="38"/>
  <c r="R325" i="38"/>
  <c r="R497" i="38"/>
  <c r="R319" i="38"/>
  <c r="R485" i="38"/>
  <c r="R350" i="38"/>
  <c r="R235" i="38"/>
  <c r="R265" i="38"/>
  <c r="R412" i="38"/>
  <c r="R507" i="38"/>
  <c r="R243" i="38"/>
  <c r="R341" i="38"/>
  <c r="R384" i="38"/>
  <c r="R396" i="38"/>
  <c r="R388" i="38"/>
  <c r="R360" i="38"/>
  <c r="R420" i="38"/>
  <c r="R449" i="38"/>
  <c r="R305" i="38"/>
  <c r="R439" i="38"/>
  <c r="R342" i="38"/>
  <c r="R429" i="38"/>
  <c r="R261" i="38"/>
  <c r="R343" i="38"/>
  <c r="R239" i="38"/>
  <c r="R257" i="38"/>
  <c r="R524" i="38"/>
  <c r="R374" i="38"/>
  <c r="R520" i="38"/>
  <c r="R364" i="38"/>
  <c r="R307" i="38"/>
  <c r="R303" i="38"/>
  <c r="R493" i="38"/>
  <c r="R424" i="38"/>
  <c r="R356" i="38"/>
  <c r="R245" i="38"/>
  <c r="R289" i="38"/>
  <c r="R301" i="38"/>
  <c r="R426" i="38"/>
  <c r="R368" i="38"/>
  <c r="R422" i="38"/>
  <c r="R382" i="38"/>
  <c r="R414" i="38"/>
  <c r="R249" i="38"/>
  <c r="R247" i="38"/>
  <c r="R432" i="38"/>
  <c r="R241" i="38"/>
  <c r="R428" i="38"/>
  <c r="R469" i="38"/>
  <c r="R370" i="38"/>
  <c r="R457" i="38"/>
  <c r="R345" i="38"/>
  <c r="R447" i="38"/>
  <c r="R366" i="38"/>
  <c r="R295" i="38"/>
  <c r="R380" i="38"/>
  <c r="R372" i="38"/>
  <c r="N120" i="33"/>
  <c r="J18" i="24" s="1"/>
  <c r="N93" i="33"/>
  <c r="P107" i="33"/>
  <c r="O129" i="33"/>
  <c r="Q144" i="33"/>
  <c r="Q147" i="33"/>
  <c r="R500" i="38"/>
  <c r="R478" i="38"/>
  <c r="R486" i="38"/>
  <c r="R417" i="38"/>
  <c r="R353" i="38"/>
  <c r="R488" i="38"/>
  <c r="R437" i="38"/>
  <c r="R405" i="38"/>
  <c r="R460" i="38"/>
  <c r="R456" i="38"/>
  <c r="R252" i="38"/>
  <c r="R260" i="38"/>
  <c r="R506" i="38"/>
  <c r="R338" i="38"/>
  <c r="R349" i="38"/>
  <c r="R288" i="38"/>
  <c r="R415" i="38"/>
  <c r="R435" i="38"/>
  <c r="R332" i="38"/>
  <c r="R322" i="38"/>
  <c r="R381" i="38"/>
  <c r="R413" i="38"/>
  <c r="R347" i="38"/>
  <c r="R294" i="38"/>
  <c r="R454" i="38"/>
  <c r="R474" i="38"/>
  <c r="R431" i="38"/>
  <c r="R397" i="38"/>
  <c r="R264" i="38"/>
  <c r="R442" i="38"/>
  <c r="R423" i="38"/>
  <c r="R529" i="38"/>
  <c r="R266" i="38"/>
  <c r="R527" i="38"/>
  <c r="R401" i="38"/>
  <c r="R306" i="38"/>
  <c r="R517" i="38"/>
  <c r="R268" i="38"/>
  <c r="R523" i="38"/>
  <c r="R519" i="38"/>
  <c r="R391" i="38"/>
  <c r="R531" i="38"/>
  <c r="R407" i="38"/>
  <c r="R304" i="38"/>
  <c r="R326" i="38"/>
  <c r="R377" i="38"/>
  <c r="R492" i="38"/>
  <c r="R250" i="38"/>
  <c r="R468" i="38"/>
  <c r="R375" i="38"/>
  <c r="R278" i="38"/>
  <c r="R476" i="38"/>
  <c r="R484" i="38"/>
  <c r="R498" i="38"/>
  <c r="R316" i="38"/>
  <c r="R480" i="38"/>
  <c r="R314" i="38"/>
  <c r="R421" i="38"/>
  <c r="R448" i="38"/>
  <c r="R258" i="38"/>
  <c r="R389" i="38"/>
  <c r="R373" i="38"/>
  <c r="R367" i="38"/>
  <c r="R496" i="38"/>
  <c r="R513" i="38"/>
  <c r="R379" i="38"/>
  <c r="R270" i="38"/>
  <c r="R298" i="38"/>
  <c r="R433" i="38"/>
  <c r="R296" i="38"/>
  <c r="R395" i="38"/>
  <c r="R292" i="38"/>
  <c r="R284" i="38"/>
  <c r="R318" i="38"/>
  <c r="R240" i="38"/>
  <c r="R363" i="38"/>
  <c r="R254" i="38"/>
  <c r="R328" i="38"/>
  <c r="R440" i="38"/>
  <c r="R472" i="38"/>
  <c r="R248" i="38"/>
  <c r="R494" i="38"/>
  <c r="R340" i="38"/>
  <c r="R244" i="38"/>
  <c r="R444" i="38"/>
  <c r="R330" i="38"/>
  <c r="R419" i="38"/>
  <c r="R365" i="38"/>
  <c r="R324" i="38"/>
  <c r="R482" i="38"/>
  <c r="R256" i="38"/>
  <c r="R462" i="38"/>
  <c r="R525" i="38"/>
  <c r="R361" i="38"/>
  <c r="R336" i="38"/>
  <c r="R357" i="38"/>
  <c r="R280" i="38"/>
  <c r="R262" i="38"/>
  <c r="R310" i="38"/>
  <c r="R466" i="38"/>
  <c r="R300" i="38"/>
  <c r="R458" i="38"/>
  <c r="R409" i="38"/>
  <c r="R359" i="38"/>
  <c r="R509" i="38"/>
  <c r="R502" i="38"/>
  <c r="R282" i="38"/>
  <c r="R399" i="38"/>
  <c r="R511" i="38"/>
  <c r="R242" i="38"/>
  <c r="R521" i="38"/>
  <c r="R238" i="38"/>
  <c r="R385" i="38"/>
  <c r="R274" i="38"/>
  <c r="R446" i="38"/>
  <c r="R371" i="38"/>
  <c r="R351" i="38"/>
  <c r="R355" i="38"/>
  <c r="R490" i="38"/>
  <c r="R312" i="38"/>
  <c r="R403" i="38"/>
  <c r="R383" i="38"/>
  <c r="R276" i="38"/>
  <c r="R334" i="38"/>
  <c r="R425" i="38"/>
  <c r="R369" i="38"/>
  <c r="R246" i="38"/>
  <c r="R290" i="38"/>
  <c r="R308" i="38"/>
  <c r="R236" i="38"/>
  <c r="R504" i="38"/>
  <c r="R393" i="38"/>
  <c r="R515" i="38"/>
  <c r="R438" i="38"/>
  <c r="R286" i="38"/>
  <c r="R387" i="38"/>
  <c r="R272" i="38"/>
  <c r="R450" i="38"/>
  <c r="R302" i="38"/>
  <c r="R470" i="38"/>
  <c r="R320" i="38"/>
  <c r="R411" i="38"/>
  <c r="R452" i="38"/>
  <c r="N51" i="33"/>
  <c r="N65" i="33"/>
  <c r="N118" i="33"/>
  <c r="J16" i="24" s="1"/>
  <c r="O124" i="33"/>
  <c r="P37" i="33"/>
  <c r="S450" i="38" l="1"/>
  <c r="T450" i="38"/>
  <c r="X450" i="38"/>
  <c r="S272" i="38"/>
  <c r="T272" i="38"/>
  <c r="X272" i="38"/>
  <c r="S403" i="38"/>
  <c r="T403" i="38"/>
  <c r="X403" i="38"/>
  <c r="S280" i="38"/>
  <c r="T280" i="38"/>
  <c r="X280" i="38"/>
  <c r="S513" i="38"/>
  <c r="T513" i="38"/>
  <c r="X513" i="38"/>
  <c r="S468" i="38"/>
  <c r="T468" i="38"/>
  <c r="X468" i="38"/>
  <c r="S454" i="38"/>
  <c r="T454" i="38"/>
  <c r="X454" i="38"/>
  <c r="S460" i="38"/>
  <c r="T460" i="38"/>
  <c r="X460" i="38"/>
  <c r="S290" i="38"/>
  <c r="T290" i="38"/>
  <c r="X290" i="38"/>
  <c r="S238" i="38"/>
  <c r="T238" i="38"/>
  <c r="X238" i="38"/>
  <c r="S357" i="38"/>
  <c r="T357" i="38"/>
  <c r="X357" i="38"/>
  <c r="S472" i="38"/>
  <c r="T472" i="38"/>
  <c r="X472" i="38"/>
  <c r="S292" i="38"/>
  <c r="T292" i="38"/>
  <c r="X292" i="38"/>
  <c r="S480" i="38"/>
  <c r="T480" i="38"/>
  <c r="X480" i="38"/>
  <c r="S519" i="38"/>
  <c r="T519" i="38"/>
  <c r="X519" i="38"/>
  <c r="S294" i="38"/>
  <c r="T294" i="38"/>
  <c r="X294" i="38"/>
  <c r="S288" i="38"/>
  <c r="T288" i="38"/>
  <c r="X288" i="38"/>
  <c r="R147" i="33"/>
  <c r="S452" i="38"/>
  <c r="T452" i="38"/>
  <c r="X452" i="38"/>
  <c r="S286" i="38"/>
  <c r="T286" i="38"/>
  <c r="X286" i="38"/>
  <c r="S246" i="38"/>
  <c r="T246" i="38"/>
  <c r="X246" i="38"/>
  <c r="S490" i="38"/>
  <c r="T490" i="38"/>
  <c r="X490" i="38"/>
  <c r="S521" i="38"/>
  <c r="T521" i="38"/>
  <c r="X521" i="38"/>
  <c r="S409" i="38"/>
  <c r="T409" i="38"/>
  <c r="X409" i="38"/>
  <c r="S336" i="38"/>
  <c r="T336" i="38"/>
  <c r="X336" i="38"/>
  <c r="S419" i="38"/>
  <c r="T419" i="38"/>
  <c r="X419" i="38"/>
  <c r="S440" i="38"/>
  <c r="T440" i="38"/>
  <c r="X440" i="38"/>
  <c r="S395" i="38"/>
  <c r="T395" i="38"/>
  <c r="X395" i="38"/>
  <c r="S367" i="38"/>
  <c r="T367" i="38"/>
  <c r="X367" i="38"/>
  <c r="S316" i="38"/>
  <c r="T316" i="38"/>
  <c r="X316" i="38"/>
  <c r="S492" i="38"/>
  <c r="T492" i="38"/>
  <c r="X492" i="38"/>
  <c r="S523" i="38"/>
  <c r="T523" i="38"/>
  <c r="X523" i="38"/>
  <c r="S423" i="38"/>
  <c r="T423" i="38"/>
  <c r="X423" i="38"/>
  <c r="S347" i="38"/>
  <c r="T347" i="38"/>
  <c r="X347" i="38"/>
  <c r="S349" i="38"/>
  <c r="T349" i="38"/>
  <c r="X349" i="38"/>
  <c r="S437" i="38"/>
  <c r="T437" i="38"/>
  <c r="X437" i="38"/>
  <c r="Q107" i="33"/>
  <c r="P129" i="33"/>
  <c r="S457" i="38"/>
  <c r="T457" i="38"/>
  <c r="X457" i="38"/>
  <c r="S414" i="38"/>
  <c r="T414" i="38"/>
  <c r="X414" i="38"/>
  <c r="S356" i="38"/>
  <c r="T356" i="38"/>
  <c r="X356" i="38"/>
  <c r="S524" i="38"/>
  <c r="T524" i="38"/>
  <c r="X524" i="38"/>
  <c r="S305" i="38"/>
  <c r="T305" i="38"/>
  <c r="X305" i="38"/>
  <c r="S243" i="38"/>
  <c r="T243" i="38"/>
  <c r="X243" i="38"/>
  <c r="S497" i="38"/>
  <c r="T497" i="38"/>
  <c r="X497" i="38"/>
  <c r="S255" i="38"/>
  <c r="T255" i="38"/>
  <c r="X255" i="38"/>
  <c r="S376" i="38"/>
  <c r="T376" i="38"/>
  <c r="X376" i="38"/>
  <c r="S251" i="38"/>
  <c r="T251" i="38"/>
  <c r="X251" i="38"/>
  <c r="S369" i="38"/>
  <c r="T369" i="38"/>
  <c r="X369" i="38"/>
  <c r="S355" i="38"/>
  <c r="T355" i="38"/>
  <c r="X355" i="38"/>
  <c r="S242" i="38"/>
  <c r="T242" i="38"/>
  <c r="X242" i="38"/>
  <c r="S458" i="38"/>
  <c r="T458" i="38"/>
  <c r="X458" i="38"/>
  <c r="S361" i="38"/>
  <c r="T361" i="38"/>
  <c r="X361" i="38"/>
  <c r="S330" i="38"/>
  <c r="T330" i="38"/>
  <c r="X330" i="38"/>
  <c r="S328" i="38"/>
  <c r="T328" i="38"/>
  <c r="X328" i="38"/>
  <c r="S296" i="38"/>
  <c r="T296" i="38"/>
  <c r="X296" i="38"/>
  <c r="S373" i="38"/>
  <c r="T373" i="38"/>
  <c r="X373" i="38"/>
  <c r="S498" i="38"/>
  <c r="T498" i="38"/>
  <c r="X498" i="38"/>
  <c r="S377" i="38"/>
  <c r="T377" i="38"/>
  <c r="X377" i="38"/>
  <c r="S268" i="38"/>
  <c r="T268" i="38"/>
  <c r="X268" i="38"/>
  <c r="S442" i="38"/>
  <c r="T442" i="38"/>
  <c r="X442" i="38"/>
  <c r="S413" i="38"/>
  <c r="T413" i="38"/>
  <c r="X413" i="38"/>
  <c r="S338" i="38"/>
  <c r="T338" i="38"/>
  <c r="X338" i="38"/>
  <c r="S488" i="38"/>
  <c r="T488" i="38"/>
  <c r="X488" i="38"/>
  <c r="N128" i="33"/>
  <c r="O93" i="33"/>
  <c r="S370" i="38"/>
  <c r="T370" i="38"/>
  <c r="X370" i="38"/>
  <c r="S382" i="38"/>
  <c r="T382" i="38"/>
  <c r="X382" i="38"/>
  <c r="S424" i="38"/>
  <c r="T424" i="38"/>
  <c r="X424" i="38"/>
  <c r="S257" i="38"/>
  <c r="T257" i="38"/>
  <c r="X257" i="38"/>
  <c r="S449" i="38"/>
  <c r="T449" i="38"/>
  <c r="X449" i="38"/>
  <c r="S507" i="38"/>
  <c r="T507" i="38"/>
  <c r="X507" i="38"/>
  <c r="S325" i="38"/>
  <c r="T325" i="38"/>
  <c r="X325" i="38"/>
  <c r="S237" i="38"/>
  <c r="T237" i="38"/>
  <c r="X237" i="38"/>
  <c r="S285" i="38"/>
  <c r="T285" i="38"/>
  <c r="X285" i="38"/>
  <c r="S378" i="38"/>
  <c r="T378" i="38"/>
  <c r="X378" i="38"/>
  <c r="S511" i="38"/>
  <c r="T511" i="38"/>
  <c r="X511" i="38"/>
  <c r="S254" i="38"/>
  <c r="T254" i="38"/>
  <c r="X254" i="38"/>
  <c r="S517" i="38"/>
  <c r="T517" i="38"/>
  <c r="X517" i="38"/>
  <c r="S353" i="38"/>
  <c r="T353" i="38"/>
  <c r="X353" i="38"/>
  <c r="R144" i="33"/>
  <c r="S372" i="38"/>
  <c r="T372" i="38"/>
  <c r="X372" i="38"/>
  <c r="S469" i="38"/>
  <c r="T469" i="38"/>
  <c r="X469" i="38"/>
  <c r="S422" i="38"/>
  <c r="T422" i="38"/>
  <c r="X422" i="38"/>
  <c r="S493" i="38"/>
  <c r="T493" i="38"/>
  <c r="X493" i="38"/>
  <c r="S239" i="38"/>
  <c r="T239" i="38"/>
  <c r="X239" i="38"/>
  <c r="S420" i="38"/>
  <c r="T420" i="38"/>
  <c r="X420" i="38"/>
  <c r="S412" i="38"/>
  <c r="T412" i="38"/>
  <c r="X412" i="38"/>
  <c r="S398" i="38"/>
  <c r="T398" i="38"/>
  <c r="X398" i="38"/>
  <c r="S465" i="38"/>
  <c r="T465" i="38"/>
  <c r="X465" i="38"/>
  <c r="S386" i="38"/>
  <c r="T386" i="38"/>
  <c r="X386" i="38"/>
  <c r="W386" i="38" s="1"/>
  <c r="S483" i="38"/>
  <c r="T483" i="38"/>
  <c r="X483" i="38"/>
  <c r="N127" i="33"/>
  <c r="O79" i="33"/>
  <c r="Q37" i="33"/>
  <c r="P124" i="33"/>
  <c r="S438" i="38"/>
  <c r="T438" i="38"/>
  <c r="X438" i="38"/>
  <c r="S515" i="38"/>
  <c r="T515" i="38"/>
  <c r="X515" i="38"/>
  <c r="S351" i="38"/>
  <c r="T351" i="38"/>
  <c r="X351" i="38"/>
  <c r="W351" i="38" s="1"/>
  <c r="S525" i="38"/>
  <c r="T525" i="38"/>
  <c r="X525" i="38"/>
  <c r="S433" i="38"/>
  <c r="T433" i="38"/>
  <c r="X433" i="38"/>
  <c r="S389" i="38"/>
  <c r="T389" i="38"/>
  <c r="X389" i="38"/>
  <c r="S326" i="38"/>
  <c r="T326" i="38"/>
  <c r="X326" i="38"/>
  <c r="S381" i="38"/>
  <c r="T381" i="38"/>
  <c r="X381" i="38"/>
  <c r="S334" i="38"/>
  <c r="T334" i="38"/>
  <c r="X334" i="38"/>
  <c r="S399" i="38"/>
  <c r="T399" i="38"/>
  <c r="X399" i="38"/>
  <c r="S462" i="38"/>
  <c r="T462" i="38"/>
  <c r="X462" i="38"/>
  <c r="S363" i="38"/>
  <c r="T363" i="38"/>
  <c r="X363" i="38"/>
  <c r="S258" i="38"/>
  <c r="T258" i="38"/>
  <c r="X258" i="38"/>
  <c r="S304" i="38"/>
  <c r="T304" i="38"/>
  <c r="X304" i="38"/>
  <c r="S397" i="38"/>
  <c r="T397" i="38"/>
  <c r="X397" i="38"/>
  <c r="S260" i="38"/>
  <c r="T260" i="38"/>
  <c r="X260" i="38"/>
  <c r="S380" i="38"/>
  <c r="T380" i="38"/>
  <c r="X380" i="38"/>
  <c r="S428" i="38"/>
  <c r="N34" i="31" s="1"/>
  <c r="T428" i="38"/>
  <c r="X428" i="38"/>
  <c r="S368" i="38"/>
  <c r="T368" i="38"/>
  <c r="X368" i="38"/>
  <c r="S303" i="38"/>
  <c r="T303" i="38"/>
  <c r="X303" i="38"/>
  <c r="S343" i="38"/>
  <c r="T343" i="38"/>
  <c r="X343" i="38"/>
  <c r="S360" i="38"/>
  <c r="T360" i="38"/>
  <c r="X360" i="38"/>
  <c r="S265" i="38"/>
  <c r="T265" i="38"/>
  <c r="X265" i="38"/>
  <c r="S291" i="38"/>
  <c r="T291" i="38"/>
  <c r="X291" i="38"/>
  <c r="S344" i="38"/>
  <c r="T344" i="38"/>
  <c r="X344" i="38"/>
  <c r="S293" i="38"/>
  <c r="T293" i="38"/>
  <c r="X293" i="38"/>
  <c r="S467" i="38"/>
  <c r="T467" i="38"/>
  <c r="X467" i="38"/>
  <c r="S411" i="38"/>
  <c r="T411" i="38"/>
  <c r="X411" i="38"/>
  <c r="R735" i="38"/>
  <c r="R788" i="38"/>
  <c r="R688" i="38"/>
  <c r="R553" i="38"/>
  <c r="R700" i="38"/>
  <c r="R541" i="38"/>
  <c r="R591" i="38"/>
  <c r="R535" i="38"/>
  <c r="R696" i="38"/>
  <c r="R619" i="38"/>
  <c r="R633" i="38"/>
  <c r="R648" i="38"/>
  <c r="R692" i="38"/>
  <c r="R680" i="38"/>
  <c r="R743" i="38"/>
  <c r="R755" i="38"/>
  <c r="R549" i="38"/>
  <c r="R637" i="38"/>
  <c r="R794" i="38"/>
  <c r="R567" i="38"/>
  <c r="R579" i="38"/>
  <c r="R676" i="38"/>
  <c r="R720" i="38"/>
  <c r="R613" i="38"/>
  <c r="R563" i="38"/>
  <c r="R595" i="38"/>
  <c r="R646" i="38"/>
  <c r="R635" i="38"/>
  <c r="R565" i="38"/>
  <c r="R747" i="38"/>
  <c r="R537" i="38"/>
  <c r="R686" i="38"/>
  <c r="R790" i="38"/>
  <c r="R792" i="38"/>
  <c r="R599" i="38"/>
  <c r="R605" i="38"/>
  <c r="R625" i="38"/>
  <c r="R603" i="38"/>
  <c r="R644" i="38"/>
  <c r="R601" i="38"/>
  <c r="R623" i="38"/>
  <c r="R559" i="38"/>
  <c r="R678" i="38"/>
  <c r="R581" i="38"/>
  <c r="R781" i="38"/>
  <c r="R597" i="38"/>
  <c r="R726" i="38"/>
  <c r="R571" i="38"/>
  <c r="R749" i="38"/>
  <c r="R593" i="38"/>
  <c r="R615" i="38"/>
  <c r="R785" i="38"/>
  <c r="R771" i="38"/>
  <c r="R716" i="38"/>
  <c r="R607" i="38"/>
  <c r="R551" i="38"/>
  <c r="R589" i="38"/>
  <c r="R753" i="38"/>
  <c r="R577" i="38"/>
  <c r="R569" i="38"/>
  <c r="R555" i="38"/>
  <c r="R609" i="38"/>
  <c r="R573" i="38"/>
  <c r="R672" i="38"/>
  <c r="R660" i="38"/>
  <c r="R629" i="38"/>
  <c r="R798" i="38"/>
  <c r="R733" i="38"/>
  <c r="R658" i="38"/>
  <c r="R741" i="38"/>
  <c r="R704" i="38"/>
  <c r="R543" i="38"/>
  <c r="R779" i="38"/>
  <c r="R583" i="38"/>
  <c r="R670" i="38"/>
  <c r="R587" i="38"/>
  <c r="R718" i="38"/>
  <c r="R611" i="38"/>
  <c r="R547" i="38"/>
  <c r="R561" i="38"/>
  <c r="R767" i="38"/>
  <c r="R650" i="38"/>
  <c r="R765" i="38"/>
  <c r="R690" i="38"/>
  <c r="R698" i="38"/>
  <c r="R739" i="38"/>
  <c r="R652" i="38"/>
  <c r="R664" i="38"/>
  <c r="R773" i="38"/>
  <c r="R621" i="38"/>
  <c r="R666" i="38"/>
  <c r="R737" i="38"/>
  <c r="R761" i="38"/>
  <c r="R684" i="38"/>
  <c r="R724" i="38"/>
  <c r="R708" i="38"/>
  <c r="R757" i="38"/>
  <c r="R714" i="38"/>
  <c r="R777" i="38"/>
  <c r="R702" i="38"/>
  <c r="R539" i="38"/>
  <c r="R759" i="38"/>
  <c r="R706" i="38"/>
  <c r="R545" i="38"/>
  <c r="R617" i="38"/>
  <c r="R654" i="38"/>
  <c r="R662" i="38"/>
  <c r="R751" i="38"/>
  <c r="R763" i="38"/>
  <c r="R557" i="38"/>
  <c r="R631" i="38"/>
  <c r="R533" i="38"/>
  <c r="R710" i="38"/>
  <c r="R722" i="38"/>
  <c r="R796" i="38"/>
  <c r="R783" i="38"/>
  <c r="R745" i="38"/>
  <c r="R668" i="38"/>
  <c r="R674" i="38"/>
  <c r="R682" i="38"/>
  <c r="R775" i="38"/>
  <c r="R627" i="38"/>
  <c r="R656" i="38"/>
  <c r="R585" i="38"/>
  <c r="R712" i="38"/>
  <c r="R769" i="38"/>
  <c r="R575" i="38"/>
  <c r="R694" i="38"/>
  <c r="S320" i="38"/>
  <c r="T320" i="38"/>
  <c r="X320" i="38"/>
  <c r="S425" i="38"/>
  <c r="T425" i="38"/>
  <c r="X425" i="38"/>
  <c r="S300" i="38"/>
  <c r="T300" i="38"/>
  <c r="X300" i="38"/>
  <c r="S444" i="38"/>
  <c r="T444" i="38"/>
  <c r="X444" i="38"/>
  <c r="S484" i="38"/>
  <c r="T484" i="38"/>
  <c r="X484" i="38"/>
  <c r="S264" i="38"/>
  <c r="T264" i="38"/>
  <c r="X264" i="38"/>
  <c r="S506" i="38"/>
  <c r="T506" i="38"/>
  <c r="X506" i="38"/>
  <c r="S470" i="38"/>
  <c r="T470" i="38"/>
  <c r="X470" i="38"/>
  <c r="S393" i="38"/>
  <c r="T393" i="38"/>
  <c r="X393" i="38"/>
  <c r="S371" i="38"/>
  <c r="T371" i="38"/>
  <c r="X371" i="38"/>
  <c r="S466" i="38"/>
  <c r="T466" i="38"/>
  <c r="X466" i="38"/>
  <c r="S244" i="38"/>
  <c r="T244" i="38"/>
  <c r="X244" i="38"/>
  <c r="S298" i="38"/>
  <c r="T298" i="38"/>
  <c r="X298" i="38"/>
  <c r="S476" i="38"/>
  <c r="T476" i="38"/>
  <c r="X476" i="38"/>
  <c r="S306" i="38"/>
  <c r="T306" i="38"/>
  <c r="X306" i="38"/>
  <c r="S322" i="38"/>
  <c r="T322" i="38"/>
  <c r="X322" i="38"/>
  <c r="S417" i="38"/>
  <c r="T417" i="38"/>
  <c r="X417" i="38"/>
  <c r="O65" i="33"/>
  <c r="N126" i="33"/>
  <c r="N125" i="33"/>
  <c r="O51" i="33"/>
  <c r="S302" i="38"/>
  <c r="T302" i="38"/>
  <c r="X302" i="38"/>
  <c r="S504" i="38"/>
  <c r="T504" i="38"/>
  <c r="X504" i="38"/>
  <c r="S276" i="38"/>
  <c r="T276" i="38"/>
  <c r="X276" i="38"/>
  <c r="S446" i="38"/>
  <c r="T446" i="38"/>
  <c r="X446" i="38"/>
  <c r="S282" i="38"/>
  <c r="T282" i="38"/>
  <c r="X282" i="38"/>
  <c r="S310" i="38"/>
  <c r="T310" i="38"/>
  <c r="X310" i="38"/>
  <c r="S256" i="38"/>
  <c r="T256" i="38"/>
  <c r="X256" i="38"/>
  <c r="S340" i="38"/>
  <c r="T340" i="38"/>
  <c r="X340" i="38"/>
  <c r="S240" i="38"/>
  <c r="T240" i="38"/>
  <c r="X240" i="38"/>
  <c r="S270" i="38"/>
  <c r="T270" i="38"/>
  <c r="X270" i="38"/>
  <c r="S448" i="38"/>
  <c r="T448" i="38"/>
  <c r="X448" i="38"/>
  <c r="S278" i="38"/>
  <c r="T278" i="38"/>
  <c r="X278" i="38"/>
  <c r="S407" i="38"/>
  <c r="T407" i="38"/>
  <c r="X407" i="38"/>
  <c r="S401" i="38"/>
  <c r="T401" i="38"/>
  <c r="X401" i="38"/>
  <c r="S431" i="38"/>
  <c r="T431" i="38"/>
  <c r="X431" i="38"/>
  <c r="S332" i="38"/>
  <c r="T332" i="38"/>
  <c r="X332" i="38"/>
  <c r="S252" i="38"/>
  <c r="T252" i="38"/>
  <c r="X252" i="38"/>
  <c r="S486" i="38"/>
  <c r="T486" i="38"/>
  <c r="X486" i="38"/>
  <c r="S295" i="38"/>
  <c r="T295" i="38"/>
  <c r="X295" i="38"/>
  <c r="S241" i="38"/>
  <c r="T241" i="38"/>
  <c r="X241" i="38"/>
  <c r="S426" i="38"/>
  <c r="T426" i="38"/>
  <c r="X426" i="38"/>
  <c r="S307" i="38"/>
  <c r="T307" i="38"/>
  <c r="X307" i="38"/>
  <c r="S261" i="38"/>
  <c r="T261" i="38"/>
  <c r="X261" i="38"/>
  <c r="S388" i="38"/>
  <c r="T388" i="38"/>
  <c r="X388" i="38"/>
  <c r="S235" i="38"/>
  <c r="T235" i="38"/>
  <c r="X235" i="38"/>
  <c r="S263" i="38"/>
  <c r="T263" i="38"/>
  <c r="X263" i="38"/>
  <c r="S253" i="38"/>
  <c r="T253" i="38"/>
  <c r="X253" i="38"/>
  <c r="S362" i="38"/>
  <c r="T362" i="38"/>
  <c r="X362" i="38"/>
  <c r="S297" i="38"/>
  <c r="T297" i="38"/>
  <c r="X297" i="38"/>
  <c r="S236" i="38"/>
  <c r="T236" i="38"/>
  <c r="X236" i="38"/>
  <c r="S383" i="38"/>
  <c r="T383" i="38"/>
  <c r="X383" i="38"/>
  <c r="S274" i="38"/>
  <c r="T274" i="38"/>
  <c r="X274" i="38"/>
  <c r="S502" i="38"/>
  <c r="T502" i="38"/>
  <c r="X502" i="38"/>
  <c r="S262" i="38"/>
  <c r="T262" i="38"/>
  <c r="X262" i="38"/>
  <c r="S482" i="38"/>
  <c r="T482" i="38"/>
  <c r="X482" i="38"/>
  <c r="S494" i="38"/>
  <c r="T494" i="38"/>
  <c r="X494" i="38"/>
  <c r="S318" i="38"/>
  <c r="T318" i="38"/>
  <c r="X318" i="38"/>
  <c r="S379" i="38"/>
  <c r="T379" i="38"/>
  <c r="X379" i="38"/>
  <c r="S421" i="38"/>
  <c r="T421" i="38"/>
  <c r="X421" i="38"/>
  <c r="S375" i="38"/>
  <c r="T375" i="38"/>
  <c r="X375" i="38"/>
  <c r="S531" i="38"/>
  <c r="T531" i="38"/>
  <c r="X531" i="38"/>
  <c r="S527" i="38"/>
  <c r="T527" i="38"/>
  <c r="X527" i="38"/>
  <c r="S474" i="38"/>
  <c r="T474" i="38"/>
  <c r="X474" i="38"/>
  <c r="S435" i="38"/>
  <c r="T435" i="38"/>
  <c r="X435" i="38"/>
  <c r="S456" i="38"/>
  <c r="N434" i="37" s="1"/>
  <c r="T456" i="38"/>
  <c r="X456" i="38"/>
  <c r="S478" i="38"/>
  <c r="T478" i="38"/>
  <c r="X478" i="38"/>
  <c r="S366" i="38"/>
  <c r="T366" i="38"/>
  <c r="X366" i="38"/>
  <c r="S432" i="38"/>
  <c r="T432" i="38"/>
  <c r="X432" i="38"/>
  <c r="S301" i="38"/>
  <c r="T301" i="38"/>
  <c r="X301" i="38"/>
  <c r="S364" i="38"/>
  <c r="T364" i="38"/>
  <c r="X364" i="38"/>
  <c r="S429" i="38"/>
  <c r="N35" i="31" s="1"/>
  <c r="T429" i="38"/>
  <c r="X429" i="38"/>
  <c r="S396" i="38"/>
  <c r="T396" i="38"/>
  <c r="X396" i="38"/>
  <c r="S350" i="38"/>
  <c r="T350" i="38"/>
  <c r="X350" i="38"/>
  <c r="S461" i="38"/>
  <c r="T461" i="38"/>
  <c r="X461" i="38"/>
  <c r="S526" i="38"/>
  <c r="T526" i="38"/>
  <c r="X526" i="38"/>
  <c r="S299" i="38"/>
  <c r="T299" i="38"/>
  <c r="X299" i="38"/>
  <c r="S464" i="38"/>
  <c r="T464" i="38"/>
  <c r="X464" i="38"/>
  <c r="S509" i="38"/>
  <c r="T509" i="38"/>
  <c r="X509" i="38"/>
  <c r="S248" i="38"/>
  <c r="T248" i="38"/>
  <c r="X248" i="38"/>
  <c r="S391" i="38"/>
  <c r="T391" i="38"/>
  <c r="X391" i="38"/>
  <c r="S500" i="38"/>
  <c r="T500" i="38"/>
  <c r="X500" i="38"/>
  <c r="S447" i="38"/>
  <c r="T447" i="38"/>
  <c r="X447" i="38"/>
  <c r="S247" i="38"/>
  <c r="T247" i="38"/>
  <c r="X247" i="38"/>
  <c r="S289" i="38"/>
  <c r="T289" i="38"/>
  <c r="X289" i="38"/>
  <c r="S520" i="38"/>
  <c r="T520" i="38"/>
  <c r="X520" i="38"/>
  <c r="S342" i="38"/>
  <c r="T342" i="38"/>
  <c r="X342" i="38"/>
  <c r="S384" i="38"/>
  <c r="T384" i="38"/>
  <c r="X384" i="38"/>
  <c r="S485" i="38"/>
  <c r="T485" i="38"/>
  <c r="X485" i="38"/>
  <c r="S489" i="38"/>
  <c r="T489" i="38"/>
  <c r="X489" i="38"/>
  <c r="S317" i="38"/>
  <c r="T317" i="38"/>
  <c r="X317" i="38"/>
  <c r="S463" i="38"/>
  <c r="X463" i="38"/>
  <c r="T463" i="38"/>
  <c r="S427" i="38"/>
  <c r="T427" i="38"/>
  <c r="X427" i="38"/>
  <c r="S308" i="38"/>
  <c r="T308" i="38"/>
  <c r="X308" i="38"/>
  <c r="S385" i="38"/>
  <c r="T385" i="38"/>
  <c r="X385" i="38"/>
  <c r="S324" i="38"/>
  <c r="T324" i="38"/>
  <c r="X324" i="38"/>
  <c r="S284" i="38"/>
  <c r="T284" i="38"/>
  <c r="X284" i="38"/>
  <c r="S314" i="38"/>
  <c r="T314" i="38"/>
  <c r="X314" i="38"/>
  <c r="S266" i="38"/>
  <c r="T266" i="38"/>
  <c r="X266" i="38"/>
  <c r="S415" i="38"/>
  <c r="T415" i="38"/>
  <c r="X415" i="38"/>
  <c r="S387" i="38"/>
  <c r="T387" i="38"/>
  <c r="X387" i="38"/>
  <c r="S312" i="38"/>
  <c r="T312" i="38"/>
  <c r="X312" i="38"/>
  <c r="S359" i="38"/>
  <c r="T359" i="38"/>
  <c r="X359" i="38"/>
  <c r="S365" i="38"/>
  <c r="T365" i="38"/>
  <c r="X365" i="38"/>
  <c r="S496" i="38"/>
  <c r="T496" i="38"/>
  <c r="X496" i="38"/>
  <c r="S250" i="38"/>
  <c r="T250" i="38"/>
  <c r="X250" i="38"/>
  <c r="S529" i="38"/>
  <c r="T529" i="38"/>
  <c r="X529" i="38"/>
  <c r="S405" i="38"/>
  <c r="T405" i="38"/>
  <c r="X405" i="38"/>
  <c r="R667" i="38"/>
  <c r="R685" i="38"/>
  <c r="R542" i="38"/>
  <c r="R546" i="38"/>
  <c r="R638" i="38"/>
  <c r="R731" i="38"/>
  <c r="R622" i="38"/>
  <c r="R725" i="38"/>
  <c r="R734" i="38"/>
  <c r="R639" i="38"/>
  <c r="R640" i="38"/>
  <c r="R602" i="38"/>
  <c r="R560" i="38"/>
  <c r="R554" i="38"/>
  <c r="R596" i="38"/>
  <c r="R754" i="38"/>
  <c r="R665" i="38"/>
  <c r="R616" i="38"/>
  <c r="R536" i="38"/>
  <c r="R663" i="38"/>
  <c r="R659" i="38"/>
  <c r="R774" i="38"/>
  <c r="R657" i="38"/>
  <c r="R780" i="38"/>
  <c r="R677" i="38"/>
  <c r="R673" i="38"/>
  <c r="R538" i="38"/>
  <c r="R641" i="38"/>
  <c r="R728" i="38"/>
  <c r="R647" i="38"/>
  <c r="R584" i="38"/>
  <c r="R758" i="38"/>
  <c r="R600" i="38"/>
  <c r="R713" i="38"/>
  <c r="R681" i="38"/>
  <c r="R721" i="38"/>
  <c r="R671" i="38"/>
  <c r="R736" i="38"/>
  <c r="R604" i="38"/>
  <c r="R762" i="38"/>
  <c r="R795" i="38"/>
  <c r="R558" i="38"/>
  <c r="R614" i="38"/>
  <c r="R711" i="38"/>
  <c r="R729" i="38"/>
  <c r="R730" i="38"/>
  <c r="R540" i="38"/>
  <c r="R598" i="38"/>
  <c r="R727" i="38"/>
  <c r="R552" i="38"/>
  <c r="R612" i="38"/>
  <c r="R594" i="38"/>
  <c r="R532" i="38"/>
  <c r="R642" i="38"/>
  <c r="R562" i="38"/>
  <c r="R669" i="38"/>
  <c r="R793" i="38"/>
  <c r="R592" i="38"/>
  <c r="R750" i="38"/>
  <c r="R548" i="38"/>
  <c r="R590" i="38"/>
  <c r="R723" i="38"/>
  <c r="R582" i="38"/>
  <c r="R687" i="38"/>
  <c r="R764" i="38"/>
  <c r="R544" i="38"/>
  <c r="R588" i="38"/>
  <c r="R697" i="38"/>
  <c r="R679" i="38"/>
  <c r="R675" i="38"/>
  <c r="R550" i="38"/>
  <c r="R653" i="38"/>
  <c r="R695" i="38"/>
  <c r="R534" i="38"/>
  <c r="R683" i="38"/>
  <c r="R791" i="38"/>
  <c r="R661" i="38"/>
  <c r="R732" i="38"/>
  <c r="R797" i="38"/>
  <c r="R586" i="38"/>
  <c r="R786" i="38"/>
  <c r="S345" i="38"/>
  <c r="N376" i="37" s="1"/>
  <c r="N379" i="37" s="1"/>
  <c r="X345" i="38"/>
  <c r="T345" i="38"/>
  <c r="S249" i="38"/>
  <c r="T249" i="38"/>
  <c r="X249" i="38"/>
  <c r="S245" i="38"/>
  <c r="T245" i="38"/>
  <c r="X245" i="38"/>
  <c r="W245" i="38" s="1"/>
  <c r="S374" i="38"/>
  <c r="T374" i="38"/>
  <c r="X374" i="38"/>
  <c r="S439" i="38"/>
  <c r="T439" i="38"/>
  <c r="X439" i="38"/>
  <c r="S341" i="38"/>
  <c r="T341" i="38"/>
  <c r="X341" i="38"/>
  <c r="S319" i="38"/>
  <c r="T319" i="38"/>
  <c r="X319" i="38"/>
  <c r="S315" i="38"/>
  <c r="T315" i="38"/>
  <c r="X315" i="38"/>
  <c r="S287" i="38"/>
  <c r="T287" i="38"/>
  <c r="X287" i="38"/>
  <c r="S522" i="38"/>
  <c r="T522" i="38"/>
  <c r="X522" i="38"/>
  <c r="W315" i="38" l="1"/>
  <c r="W359" i="38"/>
  <c r="N418" i="37"/>
  <c r="W526" i="38"/>
  <c r="W322" i="38"/>
  <c r="AA322" i="38" s="1"/>
  <c r="W470" i="38"/>
  <c r="W411" i="38"/>
  <c r="W303" i="38"/>
  <c r="W385" i="38"/>
  <c r="W384" i="38"/>
  <c r="AA384" i="38" s="1"/>
  <c r="W391" i="38"/>
  <c r="W248" i="38"/>
  <c r="U248" i="38" s="1"/>
  <c r="V248" i="38" s="1"/>
  <c r="W435" i="38"/>
  <c r="U435" i="38" s="1"/>
  <c r="V435" i="38" s="1"/>
  <c r="W494" i="38"/>
  <c r="W319" i="38"/>
  <c r="U319" i="38" s="1"/>
  <c r="V319" i="38" s="1"/>
  <c r="W312" i="38"/>
  <c r="U312" i="38" s="1"/>
  <c r="V312" i="38" s="1"/>
  <c r="W308" i="38"/>
  <c r="U308" i="38" s="1"/>
  <c r="V308" i="38" s="1"/>
  <c r="W287" i="38"/>
  <c r="U287" i="38" s="1"/>
  <c r="V287" i="38" s="1"/>
  <c r="W365" i="38"/>
  <c r="W324" i="38"/>
  <c r="U324" i="38" s="1"/>
  <c r="V324" i="38" s="1"/>
  <c r="W375" i="38"/>
  <c r="AA375" i="38" s="1"/>
  <c r="W274" i="38"/>
  <c r="W393" i="38"/>
  <c r="AA393" i="38" s="1"/>
  <c r="W343" i="38"/>
  <c r="W437" i="38"/>
  <c r="W417" i="38"/>
  <c r="U417" i="38" s="1"/>
  <c r="V417" i="38" s="1"/>
  <c r="W395" i="38"/>
  <c r="U395" i="38" s="1"/>
  <c r="V395" i="38" s="1"/>
  <c r="W258" i="38"/>
  <c r="U258" i="38" s="1"/>
  <c r="V258" i="38" s="1"/>
  <c r="W363" i="38"/>
  <c r="U363" i="38" s="1"/>
  <c r="V363" i="38" s="1"/>
  <c r="W326" i="38"/>
  <c r="W498" i="38"/>
  <c r="W355" i="38"/>
  <c r="U355" i="38" s="1"/>
  <c r="V355" i="38" s="1"/>
  <c r="W524" i="38"/>
  <c r="AA524" i="38" s="1"/>
  <c r="W480" i="38"/>
  <c r="U480" i="38" s="1"/>
  <c r="V480" i="38" s="1"/>
  <c r="W450" i="38"/>
  <c r="W449" i="38"/>
  <c r="W423" i="38"/>
  <c r="U423" i="38" s="1"/>
  <c r="V423" i="38" s="1"/>
  <c r="W336" i="38"/>
  <c r="W460" i="38"/>
  <c r="AA460" i="38" s="1"/>
  <c r="W320" i="38"/>
  <c r="AA320" i="38" s="1"/>
  <c r="W500" i="38"/>
  <c r="U500" i="38" s="1"/>
  <c r="V500" i="38" s="1"/>
  <c r="W461" i="38"/>
  <c r="AA461" i="38" s="1"/>
  <c r="W478" i="38"/>
  <c r="W379" i="38"/>
  <c r="W236" i="38"/>
  <c r="AA236" i="38" s="1"/>
  <c r="W261" i="38"/>
  <c r="U261" i="38" s="1"/>
  <c r="V261" i="38" s="1"/>
  <c r="W486" i="38"/>
  <c r="AA486" i="38" s="1"/>
  <c r="W270" i="38"/>
  <c r="U270" i="38" s="1"/>
  <c r="V270" i="38" s="1"/>
  <c r="W504" i="38"/>
  <c r="W237" i="38"/>
  <c r="U237" i="38" s="1"/>
  <c r="W286" i="38"/>
  <c r="W469" i="38"/>
  <c r="W257" i="38"/>
  <c r="U257" i="38" s="1"/>
  <c r="V257" i="38" s="1"/>
  <c r="W523" i="38"/>
  <c r="W409" i="38"/>
  <c r="AA409" i="38" s="1"/>
  <c r="W397" i="38"/>
  <c r="W515" i="38"/>
  <c r="U515" i="38" s="1"/>
  <c r="V515" i="38" s="1"/>
  <c r="W465" i="38"/>
  <c r="W372" i="38"/>
  <c r="W520" i="38"/>
  <c r="U520" i="38" s="1"/>
  <c r="V520" i="38" s="1"/>
  <c r="W509" i="38"/>
  <c r="U509" i="38" s="1"/>
  <c r="V509" i="38" s="1"/>
  <c r="W429" i="38"/>
  <c r="AA429" i="38" s="1"/>
  <c r="W474" i="38"/>
  <c r="U474" i="38" s="1"/>
  <c r="V474" i="38" s="1"/>
  <c r="W482" i="38"/>
  <c r="U482" i="38" s="1"/>
  <c r="V482" i="38" s="1"/>
  <c r="W241" i="38"/>
  <c r="W239" i="38"/>
  <c r="U239" i="38" s="1"/>
  <c r="W517" i="38"/>
  <c r="U517" i="38" s="1"/>
  <c r="V517" i="38" s="1"/>
  <c r="W338" i="38"/>
  <c r="W328" i="38"/>
  <c r="AA328" i="38" s="1"/>
  <c r="W376" i="38"/>
  <c r="W457" i="38"/>
  <c r="W357" i="38"/>
  <c r="U357" i="38" s="1"/>
  <c r="V357" i="38" s="1"/>
  <c r="W250" i="38"/>
  <c r="W314" i="38"/>
  <c r="U314" i="38" s="1"/>
  <c r="V314" i="38" s="1"/>
  <c r="W427" i="38"/>
  <c r="U427" i="38" s="1"/>
  <c r="V427" i="38" s="1"/>
  <c r="W289" i="38"/>
  <c r="W401" i="38"/>
  <c r="AA401" i="38" s="1"/>
  <c r="W310" i="38"/>
  <c r="W433" i="38"/>
  <c r="W493" i="38"/>
  <c r="U493" i="38" s="1"/>
  <c r="V493" i="38" s="1"/>
  <c r="W254" i="38"/>
  <c r="AA254" i="38" s="1"/>
  <c r="W413" i="38"/>
  <c r="W330" i="38"/>
  <c r="W255" i="38"/>
  <c r="U255" i="38" s="1"/>
  <c r="V255" i="38" s="1"/>
  <c r="W238" i="38"/>
  <c r="AA238" i="38" s="1"/>
  <c r="W513" i="38"/>
  <c r="W377" i="38"/>
  <c r="AA377" i="38" s="1"/>
  <c r="W242" i="38"/>
  <c r="AA242" i="38" s="1"/>
  <c r="W305" i="38"/>
  <c r="AA305" i="38" s="1"/>
  <c r="W519" i="38"/>
  <c r="W522" i="38"/>
  <c r="W249" i="38"/>
  <c r="U249" i="38" s="1"/>
  <c r="V249" i="38" s="1"/>
  <c r="W496" i="38"/>
  <c r="U496" i="38" s="1"/>
  <c r="V496" i="38" s="1"/>
  <c r="W284" i="38"/>
  <c r="U284" i="38" s="1"/>
  <c r="V284" i="38" s="1"/>
  <c r="W247" i="38"/>
  <c r="AA247" i="38" s="1"/>
  <c r="W263" i="38"/>
  <c r="W407" i="38"/>
  <c r="AA407" i="38" s="1"/>
  <c r="W282" i="38"/>
  <c r="AA282" i="38" s="1"/>
  <c r="W298" i="38"/>
  <c r="W484" i="38"/>
  <c r="AA484" i="38" s="1"/>
  <c r="W344" i="38"/>
  <c r="AA344" i="38" s="1"/>
  <c r="W380" i="38"/>
  <c r="U380" i="38" s="1"/>
  <c r="V380" i="38" s="1"/>
  <c r="W334" i="38"/>
  <c r="W370" i="38"/>
  <c r="AA370" i="38" s="1"/>
  <c r="W367" i="38"/>
  <c r="AA367" i="38" s="1"/>
  <c r="W246" i="38"/>
  <c r="U246" i="38" s="1"/>
  <c r="V246" i="38" s="1"/>
  <c r="W280" i="38"/>
  <c r="U245" i="38"/>
  <c r="V245" i="38" s="1"/>
  <c r="AA245" i="38"/>
  <c r="S558" i="38"/>
  <c r="T558" i="38"/>
  <c r="X558" i="38"/>
  <c r="N166" i="12"/>
  <c r="Y27" i="45" s="1"/>
  <c r="W456" i="38"/>
  <c r="W318" i="38"/>
  <c r="W235" i="38"/>
  <c r="W431" i="38"/>
  <c r="W256" i="38"/>
  <c r="R530" i="38"/>
  <c r="R327" i="38"/>
  <c r="R275" i="38"/>
  <c r="R271" i="38"/>
  <c r="R499" i="38"/>
  <c r="R400" i="38"/>
  <c r="R495" i="38"/>
  <c r="R508" i="38"/>
  <c r="R471" i="38"/>
  <c r="R331" i="38"/>
  <c r="R329" i="38"/>
  <c r="R273" i="38"/>
  <c r="R430" i="38"/>
  <c r="R402" i="38"/>
  <c r="R358" i="38"/>
  <c r="R451" i="38"/>
  <c r="R505" i="38"/>
  <c r="W371" i="38"/>
  <c r="W425" i="38"/>
  <c r="S769" i="38"/>
  <c r="T769" i="38"/>
  <c r="X769" i="38"/>
  <c r="S668" i="38"/>
  <c r="T668" i="38"/>
  <c r="X668" i="38"/>
  <c r="S557" i="38"/>
  <c r="X557" i="38"/>
  <c r="T557" i="38"/>
  <c r="S759" i="38"/>
  <c r="T759" i="38"/>
  <c r="X759" i="38"/>
  <c r="S684" i="38"/>
  <c r="T684" i="38"/>
  <c r="X684" i="38"/>
  <c r="S739" i="38"/>
  <c r="T739" i="38"/>
  <c r="X739" i="38"/>
  <c r="S611" i="38"/>
  <c r="T611" i="38"/>
  <c r="X611" i="38"/>
  <c r="S741" i="38"/>
  <c r="T741" i="38"/>
  <c r="X741" i="38"/>
  <c r="S609" i="38"/>
  <c r="T609" i="38"/>
  <c r="X609" i="38"/>
  <c r="S716" i="38"/>
  <c r="T716" i="38"/>
  <c r="X716" i="38"/>
  <c r="S597" i="38"/>
  <c r="T597" i="38"/>
  <c r="X597" i="38"/>
  <c r="S603" i="38"/>
  <c r="T603" i="38"/>
  <c r="X603" i="38"/>
  <c r="S747" i="38"/>
  <c r="T747" i="38"/>
  <c r="X747" i="38"/>
  <c r="S676" i="38"/>
  <c r="T676" i="38"/>
  <c r="X676" i="38"/>
  <c r="S680" i="38"/>
  <c r="T680" i="38"/>
  <c r="X680" i="38"/>
  <c r="S541" i="38"/>
  <c r="T541" i="38"/>
  <c r="X541" i="38"/>
  <c r="W360" i="38"/>
  <c r="W304" i="38"/>
  <c r="W525" i="38"/>
  <c r="W483" i="38"/>
  <c r="W422" i="38"/>
  <c r="W353" i="38"/>
  <c r="W378" i="38"/>
  <c r="W382" i="38"/>
  <c r="P93" i="33"/>
  <c r="O128" i="33"/>
  <c r="W268" i="38"/>
  <c r="W458" i="38"/>
  <c r="W243" i="38"/>
  <c r="W347" i="38"/>
  <c r="W419" i="38"/>
  <c r="W472" i="38"/>
  <c r="W272" i="38"/>
  <c r="S732" i="38"/>
  <c r="O35" i="31" s="1"/>
  <c r="T732" i="38"/>
  <c r="X732" i="38"/>
  <c r="S675" i="38"/>
  <c r="T675" i="38"/>
  <c r="X675" i="38"/>
  <c r="S723" i="38"/>
  <c r="T723" i="38"/>
  <c r="X723" i="38"/>
  <c r="S642" i="38"/>
  <c r="O376" i="37" s="1"/>
  <c r="O379" i="37" s="1"/>
  <c r="X642" i="38"/>
  <c r="T642" i="38"/>
  <c r="S730" i="38"/>
  <c r="T730" i="38"/>
  <c r="X730" i="38"/>
  <c r="S736" i="38"/>
  <c r="T736" i="38"/>
  <c r="X736" i="38"/>
  <c r="S647" i="38"/>
  <c r="T647" i="38"/>
  <c r="X647" i="38"/>
  <c r="S774" i="38"/>
  <c r="T774" i="38"/>
  <c r="X774" i="38"/>
  <c r="S554" i="38"/>
  <c r="T554" i="38"/>
  <c r="X554" i="38"/>
  <c r="S731" i="38"/>
  <c r="O34" i="31" s="1"/>
  <c r="T731" i="38"/>
  <c r="X731" i="38"/>
  <c r="N79" i="72"/>
  <c r="N97" i="12"/>
  <c r="AA474" i="38"/>
  <c r="AA261" i="38"/>
  <c r="N90" i="12"/>
  <c r="N93" i="12" s="1"/>
  <c r="N72" i="72"/>
  <c r="S791" i="38"/>
  <c r="T791" i="38"/>
  <c r="X791" i="38"/>
  <c r="S697" i="38"/>
  <c r="T697" i="38"/>
  <c r="X697" i="38"/>
  <c r="S548" i="38"/>
  <c r="X548" i="38"/>
  <c r="T548" i="38"/>
  <c r="S594" i="38"/>
  <c r="X594" i="38"/>
  <c r="T594" i="38"/>
  <c r="S711" i="38"/>
  <c r="T711" i="38"/>
  <c r="X711" i="38"/>
  <c r="S721" i="38"/>
  <c r="T721" i="38"/>
  <c r="X721" i="38"/>
  <c r="S641" i="38"/>
  <c r="T641" i="38"/>
  <c r="X641" i="38"/>
  <c r="S663" i="38"/>
  <c r="T663" i="38"/>
  <c r="X663" i="38"/>
  <c r="S602" i="38"/>
  <c r="T602" i="38"/>
  <c r="X602" i="38"/>
  <c r="S546" i="38"/>
  <c r="T546" i="38"/>
  <c r="X546" i="38"/>
  <c r="AA365" i="38"/>
  <c r="U365" i="38"/>
  <c r="V365" i="38" s="1"/>
  <c r="W350" i="38"/>
  <c r="W341" i="38"/>
  <c r="N328" i="76"/>
  <c r="N43" i="12"/>
  <c r="W345" i="38"/>
  <c r="S683" i="38"/>
  <c r="T683" i="38"/>
  <c r="X683" i="38"/>
  <c r="S588" i="38"/>
  <c r="T588" i="38"/>
  <c r="X588" i="38"/>
  <c r="S750" i="38"/>
  <c r="T750" i="38"/>
  <c r="X750" i="38"/>
  <c r="S612" i="38"/>
  <c r="T612" i="38"/>
  <c r="X612" i="38"/>
  <c r="S614" i="38"/>
  <c r="T614" i="38"/>
  <c r="X614" i="38"/>
  <c r="S681" i="38"/>
  <c r="T681" i="38"/>
  <c r="X681" i="38"/>
  <c r="S538" i="38"/>
  <c r="T538" i="38"/>
  <c r="X538" i="38"/>
  <c r="S536" i="38"/>
  <c r="T536" i="38"/>
  <c r="X536" i="38"/>
  <c r="S640" i="38"/>
  <c r="T640" i="38"/>
  <c r="X640" i="38"/>
  <c r="S542" i="38"/>
  <c r="T542" i="38"/>
  <c r="X542" i="38"/>
  <c r="W387" i="38"/>
  <c r="W317" i="38"/>
  <c r="W447" i="38"/>
  <c r="W364" i="38"/>
  <c r="W527" i="38"/>
  <c r="W262" i="38"/>
  <c r="W307" i="38"/>
  <c r="W278" i="38"/>
  <c r="W446" i="38"/>
  <c r="R404" i="38"/>
  <c r="R283" i="38"/>
  <c r="R333" i="38"/>
  <c r="R281" i="38"/>
  <c r="R337" i="38"/>
  <c r="R339" i="38"/>
  <c r="R406" i="38"/>
  <c r="R510" i="38"/>
  <c r="R335" i="38"/>
  <c r="R279" i="38"/>
  <c r="R512" i="38"/>
  <c r="R408" i="38"/>
  <c r="R277" i="38"/>
  <c r="R348" i="38"/>
  <c r="R410" i="38"/>
  <c r="R416" i="38"/>
  <c r="W306" i="38"/>
  <c r="W506" i="38"/>
  <c r="S712" i="38"/>
  <c r="T712" i="38"/>
  <c r="X712" i="38"/>
  <c r="S745" i="38"/>
  <c r="T745" i="38"/>
  <c r="X745" i="38"/>
  <c r="S763" i="38"/>
  <c r="T763" i="38"/>
  <c r="X763" i="38"/>
  <c r="S539" i="38"/>
  <c r="T539" i="38"/>
  <c r="X539" i="38"/>
  <c r="S761" i="38"/>
  <c r="T761" i="38"/>
  <c r="X761" i="38"/>
  <c r="S698" i="38"/>
  <c r="T698" i="38"/>
  <c r="X698" i="38"/>
  <c r="S718" i="38"/>
  <c r="T718" i="38"/>
  <c r="X718" i="38"/>
  <c r="S658" i="38"/>
  <c r="T658" i="38"/>
  <c r="X658" i="38"/>
  <c r="S555" i="38"/>
  <c r="T555" i="38"/>
  <c r="X555" i="38"/>
  <c r="S771" i="38"/>
  <c r="X771" i="38"/>
  <c r="T771" i="38"/>
  <c r="S781" i="38"/>
  <c r="T781" i="38"/>
  <c r="X781" i="38"/>
  <c r="S625" i="38"/>
  <c r="T625" i="38"/>
  <c r="X625" i="38"/>
  <c r="S565" i="38"/>
  <c r="T565" i="38"/>
  <c r="X565" i="38"/>
  <c r="S579" i="38"/>
  <c r="T579" i="38"/>
  <c r="X579" i="38"/>
  <c r="S692" i="38"/>
  <c r="T692" i="38"/>
  <c r="X692" i="38"/>
  <c r="S700" i="38"/>
  <c r="T700" i="38"/>
  <c r="X700" i="38"/>
  <c r="W467" i="38"/>
  <c r="W368" i="38"/>
  <c r="W462" i="38"/>
  <c r="W438" i="38"/>
  <c r="W398" i="38"/>
  <c r="N130" i="12"/>
  <c r="Y13" i="45" s="1"/>
  <c r="W511" i="38"/>
  <c r="W325" i="38"/>
  <c r="R528" i="38"/>
  <c r="R443" i="38"/>
  <c r="R445" i="38"/>
  <c r="R313" i="38"/>
  <c r="R309" i="38"/>
  <c r="R459" i="38"/>
  <c r="R477" i="38"/>
  <c r="R418" i="38"/>
  <c r="R479" i="38"/>
  <c r="R518" i="38"/>
  <c r="R436" i="38"/>
  <c r="R311" i="38"/>
  <c r="R259" i="38"/>
  <c r="R514" i="38"/>
  <c r="R501" i="38"/>
  <c r="R481" i="38"/>
  <c r="R453" i="38"/>
  <c r="R487" i="38"/>
  <c r="W373" i="38"/>
  <c r="W369" i="38"/>
  <c r="W356" i="38"/>
  <c r="W492" i="38"/>
  <c r="W521" i="38"/>
  <c r="W288" i="38"/>
  <c r="W290" i="38"/>
  <c r="W454" i="38"/>
  <c r="W421" i="38"/>
  <c r="W383" i="38"/>
  <c r="W253" i="38"/>
  <c r="W295" i="38"/>
  <c r="W252" i="38"/>
  <c r="W240" i="38"/>
  <c r="W302" i="38"/>
  <c r="P65" i="33"/>
  <c r="O126" i="33"/>
  <c r="W244" i="38"/>
  <c r="W444" i="38"/>
  <c r="S585" i="38"/>
  <c r="X585" i="38"/>
  <c r="T585" i="38"/>
  <c r="S783" i="38"/>
  <c r="T783" i="38"/>
  <c r="X783" i="38"/>
  <c r="S751" i="38"/>
  <c r="T751" i="38"/>
  <c r="X751" i="38"/>
  <c r="S702" i="38"/>
  <c r="T702" i="38"/>
  <c r="X702" i="38"/>
  <c r="S737" i="38"/>
  <c r="X737" i="38"/>
  <c r="T737" i="38"/>
  <c r="S690" i="38"/>
  <c r="T690" i="38"/>
  <c r="X690" i="38"/>
  <c r="S587" i="38"/>
  <c r="T587" i="38"/>
  <c r="X587" i="38"/>
  <c r="S733" i="38"/>
  <c r="T733" i="38"/>
  <c r="X733" i="38"/>
  <c r="S569" i="38"/>
  <c r="T569" i="38"/>
  <c r="X569" i="38"/>
  <c r="S785" i="38"/>
  <c r="T785" i="38"/>
  <c r="X785" i="38"/>
  <c r="S581" i="38"/>
  <c r="T581" i="38"/>
  <c r="X581" i="38"/>
  <c r="S605" i="38"/>
  <c r="T605" i="38"/>
  <c r="X605" i="38"/>
  <c r="S635" i="38"/>
  <c r="T635" i="38"/>
  <c r="X635" i="38"/>
  <c r="S567" i="38"/>
  <c r="T567" i="38"/>
  <c r="X567" i="38"/>
  <c r="S648" i="38"/>
  <c r="T648" i="38"/>
  <c r="X648" i="38"/>
  <c r="S553" i="38"/>
  <c r="T553" i="38"/>
  <c r="X553" i="38"/>
  <c r="W291" i="38"/>
  <c r="W260" i="38"/>
  <c r="W389" i="38"/>
  <c r="AA413" i="38"/>
  <c r="U413" i="38"/>
  <c r="V413" i="38" s="1"/>
  <c r="AA330" i="38"/>
  <c r="U330" i="38"/>
  <c r="V330" i="38" s="1"/>
  <c r="AA255" i="38"/>
  <c r="R914" i="38"/>
  <c r="R1051" i="38"/>
  <c r="R807" i="38"/>
  <c r="R805" i="38"/>
  <c r="R920" i="38"/>
  <c r="R940" i="38"/>
  <c r="R946" i="38"/>
  <c r="R906" i="38"/>
  <c r="R909" i="38"/>
  <c r="R801" i="38"/>
  <c r="R815" i="38"/>
  <c r="R938" i="38"/>
  <c r="R950" i="38"/>
  <c r="R1037" i="38"/>
  <c r="R990" i="38"/>
  <c r="R813" i="38"/>
  <c r="R867" i="38"/>
  <c r="R992" i="38"/>
  <c r="R869" i="38"/>
  <c r="R1009" i="38"/>
  <c r="R926" i="38"/>
  <c r="R825" i="38"/>
  <c r="R932" i="38"/>
  <c r="R853" i="38"/>
  <c r="R988" i="38"/>
  <c r="R803" i="38"/>
  <c r="R1045" i="38"/>
  <c r="R1031" i="38"/>
  <c r="R861" i="38"/>
  <c r="R809" i="38"/>
  <c r="R905" i="38"/>
  <c r="R857" i="38"/>
  <c r="R962" i="38"/>
  <c r="R997" i="38"/>
  <c r="R952" i="38"/>
  <c r="R855" i="38"/>
  <c r="R908" i="38"/>
  <c r="R829" i="38"/>
  <c r="R928" i="38"/>
  <c r="R996" i="38"/>
  <c r="R1003" i="38"/>
  <c r="R849" i="38"/>
  <c r="R817" i="38"/>
  <c r="R819" i="38"/>
  <c r="R934" i="38"/>
  <c r="R871" i="38"/>
  <c r="R930" i="38"/>
  <c r="R924" i="38"/>
  <c r="R942" i="38"/>
  <c r="R879" i="38"/>
  <c r="R948" i="38"/>
  <c r="R827" i="38"/>
  <c r="R811" i="38"/>
  <c r="R1039" i="38"/>
  <c r="R889" i="38"/>
  <c r="R881" i="38"/>
  <c r="R799" i="38"/>
  <c r="R954" i="38"/>
  <c r="R1047" i="38"/>
  <c r="R865" i="38"/>
  <c r="R1025" i="38"/>
  <c r="R995" i="38"/>
  <c r="R851" i="38"/>
  <c r="R980" i="38"/>
  <c r="R859" i="38"/>
  <c r="R994" i="38"/>
  <c r="R944" i="38"/>
  <c r="R936" i="38"/>
  <c r="R964" i="38"/>
  <c r="R907" i="38"/>
  <c r="R883" i="38"/>
  <c r="R978" i="38"/>
  <c r="R821" i="38"/>
  <c r="R863" i="38"/>
  <c r="U437" i="38"/>
  <c r="V437" i="38" s="1"/>
  <c r="AA437" i="38"/>
  <c r="AA395" i="38"/>
  <c r="U286" i="38"/>
  <c r="V286" i="38" s="1"/>
  <c r="AA286" i="38"/>
  <c r="U280" i="38"/>
  <c r="V280" i="38" s="1"/>
  <c r="AA280" i="38"/>
  <c r="AA469" i="38"/>
  <c r="U469" i="38"/>
  <c r="V469" i="38" s="1"/>
  <c r="W285" i="38"/>
  <c r="U377" i="38"/>
  <c r="V377" i="38" s="1"/>
  <c r="Q129" i="33"/>
  <c r="R107" i="33"/>
  <c r="U336" i="38"/>
  <c r="V336" i="38" s="1"/>
  <c r="AA336" i="38"/>
  <c r="S147" i="33"/>
  <c r="AA450" i="38"/>
  <c r="U450" i="38"/>
  <c r="V450" i="38" s="1"/>
  <c r="S592" i="38"/>
  <c r="T592" i="38"/>
  <c r="X592" i="38"/>
  <c r="N347" i="37"/>
  <c r="S786" i="38"/>
  <c r="T786" i="38"/>
  <c r="X786" i="38"/>
  <c r="S695" i="38"/>
  <c r="T695" i="38"/>
  <c r="X695" i="38"/>
  <c r="S764" i="38"/>
  <c r="T764" i="38"/>
  <c r="X764" i="38"/>
  <c r="S793" i="38"/>
  <c r="T793" i="38"/>
  <c r="X793" i="38"/>
  <c r="S727" i="38"/>
  <c r="T727" i="38"/>
  <c r="X727" i="38"/>
  <c r="S795" i="38"/>
  <c r="T795" i="38"/>
  <c r="X795" i="38"/>
  <c r="S600" i="38"/>
  <c r="T600" i="38"/>
  <c r="X600" i="38"/>
  <c r="S677" i="38"/>
  <c r="T677" i="38"/>
  <c r="X677" i="38"/>
  <c r="S665" i="38"/>
  <c r="T665" i="38"/>
  <c r="X665" i="38"/>
  <c r="S734" i="38"/>
  <c r="T734" i="38"/>
  <c r="X734" i="38"/>
  <c r="S667" i="38"/>
  <c r="T667" i="38"/>
  <c r="X667" i="38"/>
  <c r="AA359" i="38"/>
  <c r="U359" i="38"/>
  <c r="V359" i="38" s="1"/>
  <c r="U385" i="38"/>
  <c r="V385" i="38" s="1"/>
  <c r="AA385" i="38"/>
  <c r="AA427" i="38"/>
  <c r="U289" i="38"/>
  <c r="V289" i="38" s="1"/>
  <c r="AA289" i="38"/>
  <c r="W396" i="38"/>
  <c r="U494" i="38"/>
  <c r="V494" i="38" s="1"/>
  <c r="AA494" i="38"/>
  <c r="W388" i="38"/>
  <c r="U310" i="38"/>
  <c r="V310" i="38" s="1"/>
  <c r="AA310" i="38"/>
  <c r="U393" i="38"/>
  <c r="V393" i="38" s="1"/>
  <c r="S656" i="38"/>
  <c r="T656" i="38"/>
  <c r="X656" i="38"/>
  <c r="S796" i="38"/>
  <c r="T796" i="38"/>
  <c r="X796" i="38"/>
  <c r="S662" i="38"/>
  <c r="T662" i="38"/>
  <c r="X662" i="38"/>
  <c r="S777" i="38"/>
  <c r="T777" i="38"/>
  <c r="X777" i="38"/>
  <c r="S666" i="38"/>
  <c r="T666" i="38"/>
  <c r="X666" i="38"/>
  <c r="S765" i="38"/>
  <c r="T765" i="38"/>
  <c r="X765" i="38"/>
  <c r="S670" i="38"/>
  <c r="T670" i="38"/>
  <c r="X670" i="38"/>
  <c r="S798" i="38"/>
  <c r="T798" i="38"/>
  <c r="X798" i="38"/>
  <c r="S577" i="38"/>
  <c r="T577" i="38"/>
  <c r="X577" i="38"/>
  <c r="S615" i="38"/>
  <c r="T615" i="38"/>
  <c r="X615" i="38"/>
  <c r="S678" i="38"/>
  <c r="T678" i="38"/>
  <c r="X678" i="38"/>
  <c r="S599" i="38"/>
  <c r="T599" i="38"/>
  <c r="X599" i="38"/>
  <c r="S646" i="38"/>
  <c r="T646" i="38"/>
  <c r="X646" i="38"/>
  <c r="S794" i="38"/>
  <c r="T794" i="38"/>
  <c r="X794" i="38"/>
  <c r="S633" i="38"/>
  <c r="X633" i="38"/>
  <c r="T633" i="38"/>
  <c r="S688" i="38"/>
  <c r="T688" i="38"/>
  <c r="X688" i="38"/>
  <c r="AA343" i="38"/>
  <c r="U343" i="38"/>
  <c r="AA258" i="38"/>
  <c r="U351" i="38"/>
  <c r="V351" i="38" s="1"/>
  <c r="AA351" i="38"/>
  <c r="AA386" i="38"/>
  <c r="U386" i="38"/>
  <c r="V386" i="38" s="1"/>
  <c r="W439" i="38"/>
  <c r="S586" i="38"/>
  <c r="T586" i="38"/>
  <c r="X586" i="38"/>
  <c r="S653" i="38"/>
  <c r="T653" i="38"/>
  <c r="X653" i="38"/>
  <c r="S687" i="38"/>
  <c r="T687" i="38"/>
  <c r="X687" i="38"/>
  <c r="S669" i="38"/>
  <c r="T669" i="38"/>
  <c r="X669" i="38"/>
  <c r="S598" i="38"/>
  <c r="T598" i="38"/>
  <c r="X598" i="38"/>
  <c r="S762" i="38"/>
  <c r="T762" i="38"/>
  <c r="X762" i="38"/>
  <c r="S758" i="38"/>
  <c r="T758" i="38"/>
  <c r="X758" i="38"/>
  <c r="S780" i="38"/>
  <c r="T780" i="38"/>
  <c r="X780" i="38"/>
  <c r="S754" i="38"/>
  <c r="T754" i="38"/>
  <c r="X754" i="38"/>
  <c r="S725" i="38"/>
  <c r="T725" i="38"/>
  <c r="X725" i="38"/>
  <c r="W405" i="38"/>
  <c r="W415" i="38"/>
  <c r="W489" i="38"/>
  <c r="W464" i="38"/>
  <c r="W301" i="38"/>
  <c r="W531" i="38"/>
  <c r="W502" i="38"/>
  <c r="W297" i="38"/>
  <c r="W426" i="38"/>
  <c r="W448" i="38"/>
  <c r="W276" i="38"/>
  <c r="W476" i="38"/>
  <c r="W264" i="38"/>
  <c r="S627" i="38"/>
  <c r="T627" i="38"/>
  <c r="X627" i="38"/>
  <c r="S722" i="38"/>
  <c r="T722" i="38"/>
  <c r="X722" i="38"/>
  <c r="S654" i="38"/>
  <c r="T654" i="38"/>
  <c r="X654" i="38"/>
  <c r="S714" i="38"/>
  <c r="X714" i="38"/>
  <c r="T714" i="38"/>
  <c r="S621" i="38"/>
  <c r="T621" i="38"/>
  <c r="X621" i="38"/>
  <c r="S650" i="38"/>
  <c r="T650" i="38"/>
  <c r="X650" i="38"/>
  <c r="S583" i="38"/>
  <c r="T583" i="38"/>
  <c r="X583" i="38"/>
  <c r="S629" i="38"/>
  <c r="T629" i="38"/>
  <c r="X629" i="38"/>
  <c r="S753" i="38"/>
  <c r="T753" i="38"/>
  <c r="X753" i="38"/>
  <c r="S593" i="38"/>
  <c r="T593" i="38"/>
  <c r="X593" i="38"/>
  <c r="S559" i="38"/>
  <c r="T559" i="38"/>
  <c r="X559" i="38"/>
  <c r="S792" i="38"/>
  <c r="T792" i="38"/>
  <c r="X792" i="38"/>
  <c r="S595" i="38"/>
  <c r="T595" i="38"/>
  <c r="X595" i="38"/>
  <c r="S637" i="38"/>
  <c r="X637" i="38"/>
  <c r="T637" i="38"/>
  <c r="S619" i="38"/>
  <c r="T619" i="38"/>
  <c r="X619" i="38"/>
  <c r="S788" i="38"/>
  <c r="T788" i="38"/>
  <c r="X788" i="38"/>
  <c r="W293" i="38"/>
  <c r="W428" i="38"/>
  <c r="W399" i="38"/>
  <c r="W381" i="38"/>
  <c r="R802" i="38"/>
  <c r="R989" i="38"/>
  <c r="R818" i="38"/>
  <c r="R1030" i="38"/>
  <c r="R1034" i="38"/>
  <c r="R810" i="38"/>
  <c r="R804" i="38"/>
  <c r="R902" i="38"/>
  <c r="R826" i="38"/>
  <c r="R998" i="38"/>
  <c r="R971" i="38"/>
  <c r="R1026" i="38"/>
  <c r="R874" i="38"/>
  <c r="R884" i="38"/>
  <c r="R862" i="38"/>
  <c r="R961" i="38"/>
  <c r="R872" i="38"/>
  <c r="R929" i="38"/>
  <c r="R967" i="38"/>
  <c r="R822" i="38"/>
  <c r="R808" i="38"/>
  <c r="R911" i="38"/>
  <c r="R888" i="38"/>
  <c r="R953" i="38"/>
  <c r="R969" i="38"/>
  <c r="R1011" i="38"/>
  <c r="R834" i="38"/>
  <c r="R1021" i="38"/>
  <c r="R1040" i="38"/>
  <c r="R963" i="38"/>
  <c r="R842" i="38"/>
  <c r="R836" i="38"/>
  <c r="R824" i="38"/>
  <c r="R977" i="38"/>
  <c r="R1004" i="38"/>
  <c r="R933" i="38"/>
  <c r="R1042" i="38"/>
  <c r="R1046" i="38"/>
  <c r="R858" i="38"/>
  <c r="R1017" i="38"/>
  <c r="R878" i="38"/>
  <c r="R838" i="38"/>
  <c r="R951" i="38"/>
  <c r="R941" i="38"/>
  <c r="R1023" i="38"/>
  <c r="R1013" i="38"/>
  <c r="R991" i="38"/>
  <c r="R882" i="38"/>
  <c r="R900" i="38"/>
  <c r="R947" i="38"/>
  <c r="R876" i="38"/>
  <c r="R931" i="38"/>
  <c r="R939" i="38"/>
  <c r="R957" i="38"/>
  <c r="R987" i="38"/>
  <c r="R983" i="38"/>
  <c r="R860" i="38"/>
  <c r="R806" i="38"/>
  <c r="R949" i="38"/>
  <c r="R981" i="38"/>
  <c r="R973" i="38"/>
  <c r="R828" i="38"/>
  <c r="R913" i="38"/>
  <c r="R898" i="38"/>
  <c r="R921" i="38"/>
  <c r="R820" i="38"/>
  <c r="R1024" i="38"/>
  <c r="R1048" i="38"/>
  <c r="R864" i="38"/>
  <c r="R870" i="38"/>
  <c r="R979" i="38"/>
  <c r="R1032" i="38"/>
  <c r="R854" i="38"/>
  <c r="R848" i="38"/>
  <c r="R1015" i="38"/>
  <c r="R919" i="38"/>
  <c r="R896" i="38"/>
  <c r="R868" i="38"/>
  <c r="R890" i="38"/>
  <c r="R856" i="38"/>
  <c r="R943" i="38"/>
  <c r="R955" i="38"/>
  <c r="R1044" i="38"/>
  <c r="R866" i="38"/>
  <c r="R1019" i="38"/>
  <c r="R1036" i="38"/>
  <c r="R1002" i="38"/>
  <c r="R850" i="38"/>
  <c r="R935" i="38"/>
  <c r="R1008" i="38"/>
  <c r="R1050" i="38"/>
  <c r="R915" i="38"/>
  <c r="R927" i="38"/>
  <c r="R993" i="38"/>
  <c r="R846" i="38"/>
  <c r="R1000" i="38"/>
  <c r="R852" i="38"/>
  <c r="R812" i="38"/>
  <c r="R880" i="38"/>
  <c r="R925" i="38"/>
  <c r="R959" i="38"/>
  <c r="R917" i="38"/>
  <c r="R945" i="38"/>
  <c r="R814" i="38"/>
  <c r="R1028" i="38"/>
  <c r="R1006" i="38"/>
  <c r="R904" i="38"/>
  <c r="R894" i="38"/>
  <c r="R937" i="38"/>
  <c r="R1038" i="38"/>
  <c r="R892" i="38"/>
  <c r="R816" i="38"/>
  <c r="R886" i="38"/>
  <c r="R844" i="38"/>
  <c r="R985" i="38"/>
  <c r="R965" i="38"/>
  <c r="R832" i="38"/>
  <c r="R975" i="38"/>
  <c r="R840" i="38"/>
  <c r="R800" i="38"/>
  <c r="R923" i="38"/>
  <c r="R830" i="38"/>
  <c r="W412" i="38"/>
  <c r="W507" i="38"/>
  <c r="W488" i="38"/>
  <c r="W296" i="38"/>
  <c r="W251" i="38"/>
  <c r="W414" i="38"/>
  <c r="W316" i="38"/>
  <c r="W490" i="38"/>
  <c r="W294" i="38"/>
  <c r="W468" i="38"/>
  <c r="S534" i="38"/>
  <c r="T534" i="38"/>
  <c r="X534" i="38"/>
  <c r="S544" i="38"/>
  <c r="T544" i="38"/>
  <c r="X544" i="38"/>
  <c r="S552" i="38"/>
  <c r="T552" i="38"/>
  <c r="X552" i="38"/>
  <c r="S713" i="38"/>
  <c r="T713" i="38"/>
  <c r="X713" i="38"/>
  <c r="S673" i="38"/>
  <c r="X673" i="38"/>
  <c r="T673" i="38"/>
  <c r="S616" i="38"/>
  <c r="T616" i="38"/>
  <c r="X616" i="38"/>
  <c r="S639" i="38"/>
  <c r="T639" i="38"/>
  <c r="X639" i="38"/>
  <c r="S685" i="38"/>
  <c r="T685" i="38"/>
  <c r="X685" i="38"/>
  <c r="U250" i="38"/>
  <c r="V250" i="38" s="1"/>
  <c r="AA250" i="38"/>
  <c r="AA500" i="38"/>
  <c r="AA526" i="38"/>
  <c r="U526" i="38"/>
  <c r="V526" i="38" s="1"/>
  <c r="W366" i="38"/>
  <c r="AA315" i="38"/>
  <c r="U315" i="38"/>
  <c r="V315" i="38" s="1"/>
  <c r="U522" i="38"/>
  <c r="V522" i="38" s="1"/>
  <c r="AA522" i="38"/>
  <c r="AA249" i="38"/>
  <c r="S797" i="38"/>
  <c r="T797" i="38"/>
  <c r="X797" i="38"/>
  <c r="S550" i="38"/>
  <c r="T550" i="38"/>
  <c r="X550" i="38"/>
  <c r="S582" i="38"/>
  <c r="T582" i="38"/>
  <c r="X582" i="38"/>
  <c r="S562" i="38"/>
  <c r="T562" i="38"/>
  <c r="X562" i="38"/>
  <c r="S540" i="38"/>
  <c r="T540" i="38"/>
  <c r="X540" i="38"/>
  <c r="S604" i="38"/>
  <c r="T604" i="38"/>
  <c r="X604" i="38"/>
  <c r="S584" i="38"/>
  <c r="T584" i="38"/>
  <c r="X584" i="38"/>
  <c r="S657" i="38"/>
  <c r="T657" i="38"/>
  <c r="X657" i="38"/>
  <c r="S596" i="38"/>
  <c r="T596" i="38"/>
  <c r="X596" i="38"/>
  <c r="S622" i="38"/>
  <c r="T622" i="38"/>
  <c r="X622" i="38"/>
  <c r="AA284" i="38"/>
  <c r="W342" i="38"/>
  <c r="N50" i="12"/>
  <c r="K34" i="42" s="1"/>
  <c r="AA391" i="38"/>
  <c r="U391" i="38"/>
  <c r="V391" i="38" s="1"/>
  <c r="O299" i="37"/>
  <c r="U461" i="38"/>
  <c r="V461" i="38" s="1"/>
  <c r="U478" i="38"/>
  <c r="V478" i="38" s="1"/>
  <c r="AA478" i="38"/>
  <c r="U379" i="38"/>
  <c r="V379" i="38" s="1"/>
  <c r="AA379" i="38"/>
  <c r="U263" i="38"/>
  <c r="V263" i="38" s="1"/>
  <c r="AA263" i="38"/>
  <c r="W332" i="38"/>
  <c r="W340" i="38"/>
  <c r="W466" i="38"/>
  <c r="W300" i="38"/>
  <c r="S775" i="38"/>
  <c r="T775" i="38"/>
  <c r="X775" i="38"/>
  <c r="S710" i="38"/>
  <c r="T710" i="38"/>
  <c r="X710" i="38"/>
  <c r="S617" i="38"/>
  <c r="X617" i="38"/>
  <c r="T617" i="38"/>
  <c r="S757" i="38"/>
  <c r="T757" i="38"/>
  <c r="X757" i="38"/>
  <c r="S773" i="38"/>
  <c r="T773" i="38"/>
  <c r="X773" i="38"/>
  <c r="S767" i="38"/>
  <c r="T767" i="38"/>
  <c r="X767" i="38"/>
  <c r="S779" i="38"/>
  <c r="T779" i="38"/>
  <c r="X779" i="38"/>
  <c r="S660" i="38"/>
  <c r="T660" i="38"/>
  <c r="X660" i="38"/>
  <c r="S589" i="38"/>
  <c r="T589" i="38"/>
  <c r="X589" i="38"/>
  <c r="S749" i="38"/>
  <c r="T749" i="38"/>
  <c r="X749" i="38"/>
  <c r="S623" i="38"/>
  <c r="T623" i="38"/>
  <c r="X623" i="38"/>
  <c r="S790" i="38"/>
  <c r="T790" i="38"/>
  <c r="X790" i="38"/>
  <c r="S563" i="38"/>
  <c r="T563" i="38"/>
  <c r="X563" i="38"/>
  <c r="S549" i="38"/>
  <c r="T549" i="38"/>
  <c r="X549" i="38"/>
  <c r="S696" i="38"/>
  <c r="T696" i="38"/>
  <c r="X696" i="38"/>
  <c r="S735" i="38"/>
  <c r="T735" i="38"/>
  <c r="X735" i="38"/>
  <c r="W265" i="38"/>
  <c r="AA397" i="38"/>
  <c r="U397" i="38"/>
  <c r="V397" i="38" s="1"/>
  <c r="AA433" i="38"/>
  <c r="U433" i="38"/>
  <c r="V433" i="38" s="1"/>
  <c r="R37" i="33"/>
  <c r="Q124" i="33"/>
  <c r="AA493" i="38"/>
  <c r="S144" i="33"/>
  <c r="W424" i="38"/>
  <c r="W442" i="38"/>
  <c r="W361" i="38"/>
  <c r="W497" i="38"/>
  <c r="W349" i="38"/>
  <c r="W440" i="38"/>
  <c r="W452" i="38"/>
  <c r="W292" i="38"/>
  <c r="W403" i="38"/>
  <c r="N36" i="31"/>
  <c r="AA515" i="38"/>
  <c r="P79" i="33"/>
  <c r="O127" i="33"/>
  <c r="AA465" i="38"/>
  <c r="U465" i="38"/>
  <c r="V465" i="38" s="1"/>
  <c r="AA372" i="38"/>
  <c r="U372" i="38"/>
  <c r="V372" i="38" s="1"/>
  <c r="U254" i="38"/>
  <c r="V254" i="38" s="1"/>
  <c r="AA498" i="38"/>
  <c r="U498" i="38"/>
  <c r="V498" i="38" s="1"/>
  <c r="U524" i="38"/>
  <c r="V524" i="38" s="1"/>
  <c r="AA523" i="38"/>
  <c r="U523" i="38"/>
  <c r="V523" i="38" s="1"/>
  <c r="U460" i="38"/>
  <c r="V460" i="38" s="1"/>
  <c r="AA470" i="38"/>
  <c r="U470" i="38"/>
  <c r="V470" i="38" s="1"/>
  <c r="S694" i="38"/>
  <c r="T694" i="38"/>
  <c r="X694" i="38"/>
  <c r="S682" i="38"/>
  <c r="T682" i="38"/>
  <c r="X682" i="38"/>
  <c r="S533" i="38"/>
  <c r="T533" i="38"/>
  <c r="X533" i="38"/>
  <c r="S545" i="38"/>
  <c r="T545" i="38"/>
  <c r="X545" i="38"/>
  <c r="S708" i="38"/>
  <c r="T708" i="38"/>
  <c r="X708" i="38"/>
  <c r="S664" i="38"/>
  <c r="T664" i="38"/>
  <c r="X664" i="38"/>
  <c r="S561" i="38"/>
  <c r="T561" i="38"/>
  <c r="X561" i="38"/>
  <c r="S543" i="38"/>
  <c r="T543" i="38"/>
  <c r="X543" i="38"/>
  <c r="S672" i="38"/>
  <c r="T672" i="38"/>
  <c r="X672" i="38"/>
  <c r="S551" i="38"/>
  <c r="X551" i="38"/>
  <c r="T551" i="38"/>
  <c r="S571" i="38"/>
  <c r="T571" i="38"/>
  <c r="X571" i="38"/>
  <c r="S601" i="38"/>
  <c r="T601" i="38"/>
  <c r="X601" i="38"/>
  <c r="S686" i="38"/>
  <c r="T686" i="38"/>
  <c r="X686" i="38"/>
  <c r="S613" i="38"/>
  <c r="X613" i="38"/>
  <c r="T613" i="38"/>
  <c r="S755" i="38"/>
  <c r="T755" i="38"/>
  <c r="X755" i="38"/>
  <c r="S535" i="38"/>
  <c r="T535" i="38"/>
  <c r="X535" i="38"/>
  <c r="AA411" i="38"/>
  <c r="U411" i="38"/>
  <c r="V411" i="38" s="1"/>
  <c r="AA303" i="38"/>
  <c r="U303" i="38"/>
  <c r="V303" i="38" s="1"/>
  <c r="W374" i="38"/>
  <c r="S661" i="38"/>
  <c r="T661" i="38"/>
  <c r="X661" i="38"/>
  <c r="S679" i="38"/>
  <c r="T679" i="38"/>
  <c r="X679" i="38"/>
  <c r="S590" i="38"/>
  <c r="T590" i="38"/>
  <c r="X590" i="38"/>
  <c r="S532" i="38"/>
  <c r="T532" i="38"/>
  <c r="X532" i="38"/>
  <c r="S729" i="38"/>
  <c r="T729" i="38"/>
  <c r="X729" i="38"/>
  <c r="S671" i="38"/>
  <c r="T671" i="38"/>
  <c r="X671" i="38"/>
  <c r="S728" i="38"/>
  <c r="T728" i="38"/>
  <c r="X728" i="38"/>
  <c r="S659" i="38"/>
  <c r="T659" i="38"/>
  <c r="X659" i="38"/>
  <c r="S560" i="38"/>
  <c r="T560" i="38"/>
  <c r="X560" i="38"/>
  <c r="S638" i="38"/>
  <c r="T638" i="38"/>
  <c r="X638" i="38"/>
  <c r="W529" i="38"/>
  <c r="W266" i="38"/>
  <c r="W463" i="38"/>
  <c r="W485" i="38"/>
  <c r="N383" i="37"/>
  <c r="N348" i="37"/>
  <c r="W299" i="38"/>
  <c r="W432" i="38"/>
  <c r="AA274" i="38"/>
  <c r="U274" i="38"/>
  <c r="V274" i="38" s="1"/>
  <c r="W362" i="38"/>
  <c r="AA241" i="38"/>
  <c r="U241" i="38"/>
  <c r="V241" i="38" s="1"/>
  <c r="U486" i="38"/>
  <c r="V486" i="38" s="1"/>
  <c r="AA270" i="38"/>
  <c r="AA504" i="38"/>
  <c r="U504" i="38"/>
  <c r="V504" i="38" s="1"/>
  <c r="P51" i="33"/>
  <c r="O125" i="33"/>
  <c r="U298" i="38"/>
  <c r="V298" i="38" s="1"/>
  <c r="AA298" i="38"/>
  <c r="U484" i="38"/>
  <c r="V484" i="38" s="1"/>
  <c r="S575" i="38"/>
  <c r="T575" i="38"/>
  <c r="X575" i="38"/>
  <c r="S674" i="38"/>
  <c r="T674" i="38"/>
  <c r="X674" i="38"/>
  <c r="S631" i="38"/>
  <c r="T631" i="38"/>
  <c r="X631" i="38"/>
  <c r="S706" i="38"/>
  <c r="T706" i="38"/>
  <c r="X706" i="38"/>
  <c r="S724" i="38"/>
  <c r="T724" i="38"/>
  <c r="X724" i="38"/>
  <c r="S652" i="38"/>
  <c r="T652" i="38"/>
  <c r="X652" i="38"/>
  <c r="S547" i="38"/>
  <c r="T547" i="38"/>
  <c r="X547" i="38"/>
  <c r="S704" i="38"/>
  <c r="T704" i="38"/>
  <c r="X704" i="38"/>
  <c r="S573" i="38"/>
  <c r="T573" i="38"/>
  <c r="X573" i="38"/>
  <c r="S607" i="38"/>
  <c r="T607" i="38"/>
  <c r="X607" i="38"/>
  <c r="S726" i="38"/>
  <c r="T726" i="38"/>
  <c r="X726" i="38"/>
  <c r="S644" i="38"/>
  <c r="T644" i="38"/>
  <c r="X644" i="38"/>
  <c r="S537" i="38"/>
  <c r="T537" i="38"/>
  <c r="X537" i="38"/>
  <c r="S720" i="38"/>
  <c r="X720" i="38"/>
  <c r="T720" i="38"/>
  <c r="S743" i="38"/>
  <c r="T743" i="38"/>
  <c r="X743" i="38"/>
  <c r="S591" i="38"/>
  <c r="T591" i="38"/>
  <c r="X591" i="38"/>
  <c r="AA380" i="38"/>
  <c r="AA334" i="38"/>
  <c r="U334" i="38"/>
  <c r="V334" i="38" s="1"/>
  <c r="U326" i="38"/>
  <c r="V326" i="38" s="1"/>
  <c r="AA326" i="38"/>
  <c r="R321" i="38"/>
  <c r="R516" i="38"/>
  <c r="R390" i="38"/>
  <c r="R267" i="38"/>
  <c r="R473" i="38"/>
  <c r="R392" i="38"/>
  <c r="R346" i="38"/>
  <c r="R503" i="38"/>
  <c r="R269" i="38"/>
  <c r="R491" i="38"/>
  <c r="R475" i="38"/>
  <c r="R352" i="38"/>
  <c r="R323" i="38"/>
  <c r="R441" i="38"/>
  <c r="R434" i="38"/>
  <c r="R354" i="38"/>
  <c r="R394" i="38"/>
  <c r="R455" i="38"/>
  <c r="W420" i="38"/>
  <c r="U449" i="38"/>
  <c r="V449" i="38" s="1"/>
  <c r="AA449" i="38"/>
  <c r="AA338" i="38"/>
  <c r="U338" i="38"/>
  <c r="V338" i="38" s="1"/>
  <c r="U376" i="38"/>
  <c r="V376" i="38" s="1"/>
  <c r="AA376" i="38"/>
  <c r="U457" i="38"/>
  <c r="V457" i="38" s="1"/>
  <c r="AA457" i="38"/>
  <c r="U367" i="38"/>
  <c r="V367" i="38" s="1"/>
  <c r="U519" i="38"/>
  <c r="V519" i="38" s="1"/>
  <c r="AA519" i="38"/>
  <c r="U513" i="38"/>
  <c r="V513" i="38" s="1"/>
  <c r="AA513" i="38"/>
  <c r="AA248" i="38" l="1"/>
  <c r="AA324" i="38"/>
  <c r="AA257" i="38"/>
  <c r="AA496" i="38"/>
  <c r="AA435" i="38"/>
  <c r="AA423" i="38"/>
  <c r="U236" i="38"/>
  <c r="V236" i="38" s="1"/>
  <c r="U344" i="38"/>
  <c r="N37" i="72" s="1"/>
  <c r="U328" i="38"/>
  <c r="V328" i="38" s="1"/>
  <c r="U375" i="38"/>
  <c r="V375" i="38" s="1"/>
  <c r="AA363" i="38"/>
  <c r="U401" i="38"/>
  <c r="V401" i="38" s="1"/>
  <c r="U238" i="38"/>
  <c r="V238" i="38" s="1"/>
  <c r="AA509" i="38"/>
  <c r="AC509" i="38" s="1"/>
  <c r="AB509" i="38" s="1"/>
  <c r="U322" i="38"/>
  <c r="V322" i="38" s="1"/>
  <c r="W557" i="38"/>
  <c r="U384" i="38"/>
  <c r="V384" i="38" s="1"/>
  <c r="AA246" i="38"/>
  <c r="AA237" i="38"/>
  <c r="AA239" i="38"/>
  <c r="AA355" i="38"/>
  <c r="AA357" i="38"/>
  <c r="U370" i="38"/>
  <c r="V370" i="38" s="1"/>
  <c r="U320" i="38"/>
  <c r="V320" i="38" s="1"/>
  <c r="U242" i="38"/>
  <c r="V242" i="38" s="1"/>
  <c r="AA312" i="38"/>
  <c r="AA319" i="38"/>
  <c r="AA308" i="38"/>
  <c r="W613" i="38"/>
  <c r="AA517" i="38"/>
  <c r="AC517" i="38" s="1"/>
  <c r="AB517" i="38" s="1"/>
  <c r="AA287" i="38"/>
  <c r="AA520" i="38"/>
  <c r="AC520" i="38" s="1"/>
  <c r="AB520" i="38" s="1"/>
  <c r="U247" i="38"/>
  <c r="V247" i="38" s="1"/>
  <c r="W723" i="38"/>
  <c r="W685" i="38"/>
  <c r="AA685" i="38" s="1"/>
  <c r="AA314" i="38"/>
  <c r="AA417" i="38"/>
  <c r="U409" i="38"/>
  <c r="V409" i="38" s="1"/>
  <c r="U305" i="38"/>
  <c r="V305" i="38" s="1"/>
  <c r="AA480" i="38"/>
  <c r="AC480" i="38" s="1"/>
  <c r="AB480" i="38" s="1"/>
  <c r="W780" i="38"/>
  <c r="AA780" i="38" s="1"/>
  <c r="W577" i="38"/>
  <c r="AA577" i="38" s="1"/>
  <c r="W656" i="38"/>
  <c r="AA656" i="38" s="1"/>
  <c r="W677" i="38"/>
  <c r="AA677" i="38" s="1"/>
  <c r="U429" i="38"/>
  <c r="V429" i="38" s="1"/>
  <c r="W726" i="38"/>
  <c r="W631" i="38"/>
  <c r="AA631" i="38" s="1"/>
  <c r="W548" i="38"/>
  <c r="U548" i="38" s="1"/>
  <c r="V548" i="38" s="1"/>
  <c r="U282" i="38"/>
  <c r="V282" i="38" s="1"/>
  <c r="U407" i="38"/>
  <c r="V407" i="38" s="1"/>
  <c r="W579" i="38"/>
  <c r="AA579" i="38" s="1"/>
  <c r="W698" i="38"/>
  <c r="U698" i="38" s="1"/>
  <c r="V698" i="38" s="1"/>
  <c r="W736" i="38"/>
  <c r="W589" i="38"/>
  <c r="U589" i="38" s="1"/>
  <c r="V589" i="38" s="1"/>
  <c r="W775" i="38"/>
  <c r="AA775" i="38" s="1"/>
  <c r="W550" i="38"/>
  <c r="AA550" i="38" s="1"/>
  <c r="W552" i="38"/>
  <c r="W792" i="38"/>
  <c r="W542" i="38"/>
  <c r="AA542" i="38" s="1"/>
  <c r="W588" i="38"/>
  <c r="AA588" i="38" s="1"/>
  <c r="W598" i="38"/>
  <c r="U598" i="38" s="1"/>
  <c r="V598" i="38" s="1"/>
  <c r="W581" i="38"/>
  <c r="U581" i="38" s="1"/>
  <c r="V581" i="38" s="1"/>
  <c r="W751" i="38"/>
  <c r="U751" i="38" s="1"/>
  <c r="V751" i="38" s="1"/>
  <c r="W538" i="38"/>
  <c r="U538" i="38" s="1"/>
  <c r="V538" i="38" s="1"/>
  <c r="W595" i="38"/>
  <c r="AA595" i="38" s="1"/>
  <c r="W621" i="38"/>
  <c r="AA621" i="38" s="1"/>
  <c r="W754" i="38"/>
  <c r="AA754" i="38" s="1"/>
  <c r="W586" i="38"/>
  <c r="U586" i="38" s="1"/>
  <c r="V586" i="38" s="1"/>
  <c r="W786" i="38"/>
  <c r="W692" i="38"/>
  <c r="AA692" i="38" s="1"/>
  <c r="W718" i="38"/>
  <c r="U718" i="38" s="1"/>
  <c r="V718" i="38" s="1"/>
  <c r="W747" i="38"/>
  <c r="W684" i="38"/>
  <c r="W560" i="38"/>
  <c r="AA560" i="38" s="1"/>
  <c r="W535" i="38"/>
  <c r="U535" i="38" s="1"/>
  <c r="V535" i="38" s="1"/>
  <c r="W543" i="38"/>
  <c r="U543" i="38" s="1"/>
  <c r="V543" i="38" s="1"/>
  <c r="AC470" i="38"/>
  <c r="AB470" i="38" s="1"/>
  <c r="AC523" i="38"/>
  <c r="AB523" i="38" s="1"/>
  <c r="W749" i="38"/>
  <c r="U749" i="38" s="1"/>
  <c r="V749" i="38" s="1"/>
  <c r="W710" i="38"/>
  <c r="AC513" i="38"/>
  <c r="AB513" i="38" s="1"/>
  <c r="W720" i="38"/>
  <c r="U720" i="38" s="1"/>
  <c r="V720" i="38" s="1"/>
  <c r="W638" i="38"/>
  <c r="U638" i="38" s="1"/>
  <c r="W679" i="38"/>
  <c r="AA679" i="38" s="1"/>
  <c r="W672" i="38"/>
  <c r="U672" i="38" s="1"/>
  <c r="V672" i="38" s="1"/>
  <c r="W694" i="38"/>
  <c r="AA694" i="38" s="1"/>
  <c r="W614" i="38"/>
  <c r="U614" i="38" s="1"/>
  <c r="V614" i="38" s="1"/>
  <c r="W716" i="38"/>
  <c r="W668" i="38"/>
  <c r="U668" i="38" s="1"/>
  <c r="V668" i="38" s="1"/>
  <c r="W743" i="38"/>
  <c r="AA743" i="38" s="1"/>
  <c r="W547" i="38"/>
  <c r="U547" i="38" s="1"/>
  <c r="V547" i="38" s="1"/>
  <c r="AC486" i="38"/>
  <c r="AB486" i="38" s="1"/>
  <c r="W562" i="38"/>
  <c r="AA562" i="38" s="1"/>
  <c r="W734" i="38"/>
  <c r="W700" i="38"/>
  <c r="AA700" i="38" s="1"/>
  <c r="W658" i="38"/>
  <c r="W706" i="38"/>
  <c r="AA706" i="38" s="1"/>
  <c r="AC465" i="38"/>
  <c r="AB465" i="38" s="1"/>
  <c r="W544" i="38"/>
  <c r="U544" i="38" s="1"/>
  <c r="V544" i="38" s="1"/>
  <c r="W758" i="38"/>
  <c r="AA758" i="38" s="1"/>
  <c r="W688" i="38"/>
  <c r="W798" i="38"/>
  <c r="W565" i="38"/>
  <c r="AA565" i="38" s="1"/>
  <c r="W761" i="38"/>
  <c r="U761" i="38" s="1"/>
  <c r="V761" i="38" s="1"/>
  <c r="W590" i="38"/>
  <c r="W682" i="38"/>
  <c r="U682" i="38" s="1"/>
  <c r="V682" i="38" s="1"/>
  <c r="AC524" i="38"/>
  <c r="AB524" i="38" s="1"/>
  <c r="W622" i="38"/>
  <c r="AA622" i="38" s="1"/>
  <c r="W585" i="38"/>
  <c r="W650" i="38"/>
  <c r="W644" i="38"/>
  <c r="U644" i="38" s="1"/>
  <c r="V644" i="38" s="1"/>
  <c r="W635" i="38"/>
  <c r="AA635" i="38" s="1"/>
  <c r="AC494" i="38"/>
  <c r="AB494" i="38" s="1"/>
  <c r="O434" i="37"/>
  <c r="W558" i="38"/>
  <c r="W673" i="38"/>
  <c r="AA673" i="38" s="1"/>
  <c r="W755" i="38"/>
  <c r="U755" i="38" s="1"/>
  <c r="V755" i="38" s="1"/>
  <c r="W561" i="38"/>
  <c r="U561" i="38" s="1"/>
  <c r="V561" i="38" s="1"/>
  <c r="W790" i="38"/>
  <c r="AA790" i="38" s="1"/>
  <c r="W757" i="38"/>
  <c r="W785" i="38"/>
  <c r="U785" i="38" s="1"/>
  <c r="V785" i="38" s="1"/>
  <c r="W783" i="38"/>
  <c r="U783" i="38" s="1"/>
  <c r="V783" i="38" s="1"/>
  <c r="W745" i="38"/>
  <c r="U745" i="38" s="1"/>
  <c r="V745" i="38" s="1"/>
  <c r="W640" i="38"/>
  <c r="W683" i="38"/>
  <c r="AA683" i="38" s="1"/>
  <c r="O383" i="37"/>
  <c r="W670" i="38"/>
  <c r="AA670" i="38" s="1"/>
  <c r="W795" i="38"/>
  <c r="W605" i="38"/>
  <c r="AA605" i="38" s="1"/>
  <c r="W702" i="38"/>
  <c r="W625" i="38"/>
  <c r="U625" i="38" s="1"/>
  <c r="V625" i="38" s="1"/>
  <c r="W539" i="38"/>
  <c r="W750" i="38"/>
  <c r="AA750" i="38" s="1"/>
  <c r="AA482" i="38"/>
  <c r="AC482" i="38" s="1"/>
  <c r="AB482" i="38" s="1"/>
  <c r="W731" i="38"/>
  <c r="AA731" i="38" s="1"/>
  <c r="W675" i="38"/>
  <c r="U675" i="38" s="1"/>
  <c r="V675" i="38" s="1"/>
  <c r="AC519" i="38"/>
  <c r="AB519" i="38" s="1"/>
  <c r="AC493" i="38"/>
  <c r="AB493" i="38" s="1"/>
  <c r="W623" i="38"/>
  <c r="U623" i="38" s="1"/>
  <c r="V623" i="38" s="1"/>
  <c r="W540" i="38"/>
  <c r="W619" i="38"/>
  <c r="AA619" i="38" s="1"/>
  <c r="W583" i="38"/>
  <c r="U583" i="38" s="1"/>
  <c r="V583" i="38" s="1"/>
  <c r="W536" i="38"/>
  <c r="AA536" i="38" s="1"/>
  <c r="W546" i="38"/>
  <c r="U546" i="38" s="1"/>
  <c r="V546" i="38" s="1"/>
  <c r="W607" i="38"/>
  <c r="AA607" i="38" s="1"/>
  <c r="W674" i="38"/>
  <c r="W676" i="38"/>
  <c r="W739" i="38"/>
  <c r="S475" i="38"/>
  <c r="T475" i="38"/>
  <c r="X475" i="38"/>
  <c r="S390" i="38"/>
  <c r="T390" i="38"/>
  <c r="X390" i="38"/>
  <c r="O347" i="37"/>
  <c r="O166" i="12"/>
  <c r="Z27" i="45" s="1"/>
  <c r="W659" i="38"/>
  <c r="U374" i="38"/>
  <c r="V374" i="38" s="1"/>
  <c r="AA374" i="38"/>
  <c r="W551" i="38"/>
  <c r="AA361" i="38"/>
  <c r="U361" i="38"/>
  <c r="V361" i="38" s="1"/>
  <c r="U775" i="38"/>
  <c r="AA366" i="38"/>
  <c r="U366" i="38"/>
  <c r="AA488" i="38"/>
  <c r="U488" i="38"/>
  <c r="V488" i="38" s="1"/>
  <c r="AA412" i="38"/>
  <c r="U412" i="38"/>
  <c r="S985" i="38"/>
  <c r="T985" i="38"/>
  <c r="X985" i="38"/>
  <c r="S904" i="38"/>
  <c r="T904" i="38"/>
  <c r="X904" i="38"/>
  <c r="S880" i="38"/>
  <c r="T880" i="38"/>
  <c r="X880" i="38"/>
  <c r="S1050" i="38"/>
  <c r="X1050" i="38"/>
  <c r="T1050" i="38"/>
  <c r="S1044" i="38"/>
  <c r="T1044" i="38"/>
  <c r="X1044" i="38"/>
  <c r="S1015" i="38"/>
  <c r="T1015" i="38"/>
  <c r="X1015" i="38"/>
  <c r="S1024" i="38"/>
  <c r="T1024" i="38"/>
  <c r="X1024" i="38"/>
  <c r="S949" i="38"/>
  <c r="T949" i="38"/>
  <c r="X949" i="38"/>
  <c r="S876" i="38"/>
  <c r="T876" i="38"/>
  <c r="X876" i="38"/>
  <c r="S951" i="38"/>
  <c r="T951" i="38"/>
  <c r="X951" i="38"/>
  <c r="S1004" i="38"/>
  <c r="T1004" i="38"/>
  <c r="X1004" i="38"/>
  <c r="S834" i="38"/>
  <c r="T834" i="38"/>
  <c r="X834" i="38"/>
  <c r="S967" i="38"/>
  <c r="T967" i="38"/>
  <c r="X967" i="38"/>
  <c r="S971" i="38"/>
  <c r="T971" i="38"/>
  <c r="X971" i="38"/>
  <c r="S818" i="38"/>
  <c r="T818" i="38"/>
  <c r="X818" i="38"/>
  <c r="AA476" i="38"/>
  <c r="U476" i="38"/>
  <c r="V476" i="38" s="1"/>
  <c r="AA531" i="38"/>
  <c r="U531" i="38"/>
  <c r="V531" i="38" s="1"/>
  <c r="U415" i="38"/>
  <c r="V415" i="38" s="1"/>
  <c r="AA415" i="38"/>
  <c r="AA439" i="38"/>
  <c r="U439" i="38"/>
  <c r="V439" i="38" s="1"/>
  <c r="U388" i="38"/>
  <c r="AA388" i="38"/>
  <c r="R1199" i="38"/>
  <c r="R1078" i="38"/>
  <c r="R1054" i="38"/>
  <c r="R1160" i="38"/>
  <c r="R1197" i="38"/>
  <c r="R1158" i="38"/>
  <c r="R1350" i="38"/>
  <c r="R1298" i="38"/>
  <c r="R1136" i="38"/>
  <c r="R1181" i="38"/>
  <c r="R1249" i="38"/>
  <c r="R1309" i="38"/>
  <c r="R1300" i="38"/>
  <c r="R1356" i="38"/>
  <c r="R1112" i="38"/>
  <c r="R1195" i="38"/>
  <c r="R1179" i="38"/>
  <c r="R1201" i="38"/>
  <c r="R1064" i="38"/>
  <c r="R1245" i="38"/>
  <c r="R1122" i="38"/>
  <c r="R1161" i="38"/>
  <c r="R1177" i="38"/>
  <c r="R1215" i="38"/>
  <c r="R1243" i="38"/>
  <c r="R1159" i="38"/>
  <c r="R1074" i="38"/>
  <c r="R1267" i="38"/>
  <c r="R1292" i="38"/>
  <c r="R1290" i="38"/>
  <c r="R1304" i="38"/>
  <c r="R1189" i="38"/>
  <c r="R1110" i="38"/>
  <c r="R1241" i="38"/>
  <c r="R1271" i="38"/>
  <c r="R1185" i="38"/>
  <c r="R1082" i="38"/>
  <c r="R1142" i="38"/>
  <c r="R1070" i="38"/>
  <c r="R1114" i="38"/>
  <c r="R1066" i="38"/>
  <c r="R1118" i="38"/>
  <c r="R1108" i="38"/>
  <c r="R1191" i="38"/>
  <c r="R1106" i="38"/>
  <c r="R1134" i="38"/>
  <c r="R1207" i="38"/>
  <c r="R1102" i="38"/>
  <c r="R1311" i="38"/>
  <c r="R1305" i="38"/>
  <c r="R1193" i="38"/>
  <c r="R1247" i="38"/>
  <c r="R1340" i="38"/>
  <c r="R1265" i="38"/>
  <c r="R1058" i="38"/>
  <c r="R1183" i="38"/>
  <c r="R1322" i="38"/>
  <c r="R1284" i="38"/>
  <c r="R1167" i="38"/>
  <c r="R1233" i="38"/>
  <c r="R1052" i="38"/>
  <c r="R1203" i="38"/>
  <c r="R1124" i="38"/>
  <c r="R1231" i="38"/>
  <c r="R1330" i="38"/>
  <c r="R1116" i="38"/>
  <c r="R1313" i="38"/>
  <c r="R1120" i="38"/>
  <c r="R1269" i="38"/>
  <c r="R1187" i="38"/>
  <c r="R1062" i="38"/>
  <c r="R1132" i="38"/>
  <c r="R1250" i="38"/>
  <c r="R1072" i="38"/>
  <c r="R1173" i="38"/>
  <c r="R1338" i="38"/>
  <c r="R1316" i="38"/>
  <c r="R1060" i="38"/>
  <c r="R1104" i="38"/>
  <c r="R1248" i="38"/>
  <c r="R1278" i="38"/>
  <c r="R1080" i="38"/>
  <c r="R1068" i="38"/>
  <c r="R1056" i="38"/>
  <c r="R1205" i="38"/>
  <c r="R1162" i="38"/>
  <c r="R1332" i="38"/>
  <c r="R1217" i="38"/>
  <c r="AA285" i="38"/>
  <c r="U285" i="38"/>
  <c r="S863" i="38"/>
  <c r="T863" i="38"/>
  <c r="X863" i="38"/>
  <c r="S994" i="38"/>
  <c r="T994" i="38"/>
  <c r="X994" i="38"/>
  <c r="S954" i="38"/>
  <c r="T954" i="38"/>
  <c r="X954" i="38"/>
  <c r="S879" i="38"/>
  <c r="T879" i="38"/>
  <c r="X879" i="38"/>
  <c r="S849" i="38"/>
  <c r="T849" i="38"/>
  <c r="X849" i="38"/>
  <c r="S997" i="38"/>
  <c r="P35" i="31" s="1"/>
  <c r="T997" i="38"/>
  <c r="X997" i="38"/>
  <c r="S803" i="38"/>
  <c r="T803" i="38"/>
  <c r="X803" i="38"/>
  <c r="S992" i="38"/>
  <c r="T992" i="38"/>
  <c r="X992" i="38"/>
  <c r="S801" i="38"/>
  <c r="T801" i="38"/>
  <c r="X801" i="38"/>
  <c r="S1051" i="38"/>
  <c r="T1051" i="38"/>
  <c r="X1051" i="38"/>
  <c r="U291" i="38"/>
  <c r="V291" i="38" s="1"/>
  <c r="AA291" i="38"/>
  <c r="AA751" i="38"/>
  <c r="U295" i="38"/>
  <c r="V295" i="38" s="1"/>
  <c r="AA295" i="38"/>
  <c r="U290" i="38"/>
  <c r="V290" i="38" s="1"/>
  <c r="AA290" i="38"/>
  <c r="U369" i="38"/>
  <c r="V369" i="38" s="1"/>
  <c r="AA369" i="38"/>
  <c r="S311" i="38"/>
  <c r="T311" i="38"/>
  <c r="X311" i="38"/>
  <c r="S313" i="38"/>
  <c r="T313" i="38"/>
  <c r="X313" i="38"/>
  <c r="U306" i="38"/>
  <c r="V306" i="38" s="1"/>
  <c r="AA306" i="38"/>
  <c r="S335" i="38"/>
  <c r="T335" i="38"/>
  <c r="X335" i="38"/>
  <c r="S404" i="38"/>
  <c r="T404" i="38"/>
  <c r="X404" i="38"/>
  <c r="U317" i="38"/>
  <c r="V317" i="38" s="1"/>
  <c r="AA317" i="38"/>
  <c r="AA723" i="38"/>
  <c r="U723" i="38"/>
  <c r="V723" i="38" s="1"/>
  <c r="U382" i="38"/>
  <c r="AA382" i="38"/>
  <c r="U360" i="38"/>
  <c r="V360" i="38" s="1"/>
  <c r="AA360" i="38"/>
  <c r="W597" i="38"/>
  <c r="S402" i="38"/>
  <c r="T402" i="38"/>
  <c r="X402" i="38"/>
  <c r="S400" i="38"/>
  <c r="T400" i="38"/>
  <c r="X400" i="38"/>
  <c r="S455" i="38"/>
  <c r="T455" i="38"/>
  <c r="X455" i="38"/>
  <c r="S491" i="38"/>
  <c r="T491" i="38"/>
  <c r="X491" i="38"/>
  <c r="S516" i="38"/>
  <c r="T516" i="38"/>
  <c r="X516" i="38"/>
  <c r="W573" i="38"/>
  <c r="W575" i="38"/>
  <c r="U529" i="38"/>
  <c r="V529" i="38" s="1"/>
  <c r="AA529" i="38"/>
  <c r="W729" i="38"/>
  <c r="W601" i="38"/>
  <c r="W545" i="38"/>
  <c r="V237" i="38"/>
  <c r="AA292" i="38"/>
  <c r="U292" i="38"/>
  <c r="V292" i="38" s="1"/>
  <c r="U442" i="38"/>
  <c r="V442" i="38" s="1"/>
  <c r="AA442" i="38"/>
  <c r="W549" i="38"/>
  <c r="W767" i="38"/>
  <c r="AC478" i="38"/>
  <c r="AB478" i="38" s="1"/>
  <c r="W584" i="38"/>
  <c r="AC522" i="38"/>
  <c r="AB522" i="38" s="1"/>
  <c r="AC526" i="38"/>
  <c r="AB526" i="38" s="1"/>
  <c r="O50" i="12"/>
  <c r="L34" i="42" s="1"/>
  <c r="W639" i="38"/>
  <c r="AA294" i="38"/>
  <c r="U294" i="38"/>
  <c r="V294" i="38" s="1"/>
  <c r="U507" i="38"/>
  <c r="V507" i="38" s="1"/>
  <c r="AA507" i="38"/>
  <c r="S830" i="38"/>
  <c r="T830" i="38"/>
  <c r="X830" i="38"/>
  <c r="S844" i="38"/>
  <c r="T844" i="38"/>
  <c r="X844" i="38"/>
  <c r="S1006" i="38"/>
  <c r="T1006" i="38"/>
  <c r="X1006" i="38"/>
  <c r="S812" i="38"/>
  <c r="T812" i="38"/>
  <c r="X812" i="38"/>
  <c r="S1008" i="38"/>
  <c r="T1008" i="38"/>
  <c r="X1008" i="38"/>
  <c r="S955" i="38"/>
  <c r="T955" i="38"/>
  <c r="X955" i="38"/>
  <c r="S848" i="38"/>
  <c r="T848" i="38"/>
  <c r="X848" i="38"/>
  <c r="S820" i="38"/>
  <c r="T820" i="38"/>
  <c r="X820" i="38"/>
  <c r="S806" i="38"/>
  <c r="T806" i="38"/>
  <c r="X806" i="38"/>
  <c r="S947" i="38"/>
  <c r="T947" i="38"/>
  <c r="X947" i="38"/>
  <c r="S838" i="38"/>
  <c r="T838" i="38"/>
  <c r="X838" i="38"/>
  <c r="S977" i="38"/>
  <c r="T977" i="38"/>
  <c r="X977" i="38"/>
  <c r="S1011" i="38"/>
  <c r="T1011" i="38"/>
  <c r="X1011" i="38"/>
  <c r="S929" i="38"/>
  <c r="T929" i="38"/>
  <c r="X929" i="38"/>
  <c r="S998" i="38"/>
  <c r="T998" i="38"/>
  <c r="X998" i="38"/>
  <c r="S989" i="38"/>
  <c r="T989" i="38"/>
  <c r="X989" i="38"/>
  <c r="W593" i="38"/>
  <c r="W722" i="38"/>
  <c r="AA276" i="38"/>
  <c r="U276" i="38"/>
  <c r="V276" i="38" s="1"/>
  <c r="AA405" i="38"/>
  <c r="U405" i="38"/>
  <c r="V405" i="38" s="1"/>
  <c r="W633" i="38"/>
  <c r="W599" i="38"/>
  <c r="W777" i="38"/>
  <c r="W727" i="38"/>
  <c r="W592" i="38"/>
  <c r="S821" i="38"/>
  <c r="T821" i="38"/>
  <c r="X821" i="38"/>
  <c r="S859" i="38"/>
  <c r="T859" i="38"/>
  <c r="X859" i="38"/>
  <c r="S799" i="38"/>
  <c r="T799" i="38"/>
  <c r="X799" i="38"/>
  <c r="S942" i="38"/>
  <c r="T942" i="38"/>
  <c r="X942" i="38"/>
  <c r="S1003" i="38"/>
  <c r="T1003" i="38"/>
  <c r="X1003" i="38"/>
  <c r="S962" i="38"/>
  <c r="T962" i="38"/>
  <c r="X962" i="38"/>
  <c r="S988" i="38"/>
  <c r="T988" i="38"/>
  <c r="X988" i="38"/>
  <c r="S867" i="38"/>
  <c r="T867" i="38"/>
  <c r="X867" i="38"/>
  <c r="S909" i="38"/>
  <c r="P376" i="37" s="1"/>
  <c r="P379" i="37" s="1"/>
  <c r="T909" i="38"/>
  <c r="X909" i="38"/>
  <c r="S914" i="38"/>
  <c r="T914" i="38"/>
  <c r="X914" i="38"/>
  <c r="W553" i="38"/>
  <c r="W733" i="38"/>
  <c r="AA444" i="38"/>
  <c r="U444" i="38"/>
  <c r="V444" i="38" s="1"/>
  <c r="AA288" i="38"/>
  <c r="U288" i="38"/>
  <c r="V288" i="38" s="1"/>
  <c r="U373" i="38"/>
  <c r="V373" i="38" s="1"/>
  <c r="AA373" i="38"/>
  <c r="S436" i="38"/>
  <c r="T436" i="38"/>
  <c r="X436" i="38"/>
  <c r="S445" i="38"/>
  <c r="T445" i="38"/>
  <c r="X445" i="38"/>
  <c r="U398" i="38"/>
  <c r="AA398" i="38"/>
  <c r="S416" i="38"/>
  <c r="N430" i="37" s="1"/>
  <c r="T416" i="38"/>
  <c r="X416" i="38"/>
  <c r="S510" i="38"/>
  <c r="T510" i="38"/>
  <c r="X510" i="38"/>
  <c r="U446" i="38"/>
  <c r="V446" i="38" s="1"/>
  <c r="AA446" i="38"/>
  <c r="AA387" i="38"/>
  <c r="U387" i="38"/>
  <c r="V387" i="38" s="1"/>
  <c r="W663" i="38"/>
  <c r="N75" i="72"/>
  <c r="AC474" i="38"/>
  <c r="AB474" i="38" s="1"/>
  <c r="W774" i="38"/>
  <c r="AA378" i="38"/>
  <c r="U378" i="38"/>
  <c r="V378" i="38" s="1"/>
  <c r="W541" i="38"/>
  <c r="W741" i="38"/>
  <c r="AA557" i="38"/>
  <c r="U557" i="38"/>
  <c r="V557" i="38" s="1"/>
  <c r="U425" i="38"/>
  <c r="V425" i="38" s="1"/>
  <c r="AA425" i="38"/>
  <c r="S430" i="38"/>
  <c r="N428" i="37" s="1"/>
  <c r="T430" i="38"/>
  <c r="X430" i="38"/>
  <c r="S499" i="38"/>
  <c r="T499" i="38"/>
  <c r="X499" i="38"/>
  <c r="S394" i="38"/>
  <c r="N417" i="37" s="1"/>
  <c r="T394" i="38"/>
  <c r="X394" i="38"/>
  <c r="S269" i="38"/>
  <c r="T269" i="38"/>
  <c r="X269" i="38"/>
  <c r="S321" i="38"/>
  <c r="T321" i="38"/>
  <c r="X321" i="38"/>
  <c r="W652" i="38"/>
  <c r="U694" i="38"/>
  <c r="V694" i="38" s="1"/>
  <c r="AA424" i="38"/>
  <c r="U424" i="38"/>
  <c r="V424" i="38" s="1"/>
  <c r="U265" i="38"/>
  <c r="AA265" i="38"/>
  <c r="O79" i="72"/>
  <c r="O97" i="12"/>
  <c r="W713" i="38"/>
  <c r="U490" i="38"/>
  <c r="V490" i="38" s="1"/>
  <c r="AA490" i="38"/>
  <c r="S923" i="38"/>
  <c r="T923" i="38"/>
  <c r="X923" i="38"/>
  <c r="S886" i="38"/>
  <c r="T886" i="38"/>
  <c r="X886" i="38"/>
  <c r="S1028" i="38"/>
  <c r="T1028" i="38"/>
  <c r="X1028" i="38"/>
  <c r="S852" i="38"/>
  <c r="X852" i="38"/>
  <c r="T852" i="38"/>
  <c r="S935" i="38"/>
  <c r="T935" i="38"/>
  <c r="X935" i="38"/>
  <c r="S943" i="38"/>
  <c r="T943" i="38"/>
  <c r="X943" i="38"/>
  <c r="S854" i="38"/>
  <c r="T854" i="38"/>
  <c r="X854" i="38"/>
  <c r="S921" i="38"/>
  <c r="T921" i="38"/>
  <c r="X921" i="38"/>
  <c r="S860" i="38"/>
  <c r="T860" i="38"/>
  <c r="X860" i="38"/>
  <c r="S900" i="38"/>
  <c r="T900" i="38"/>
  <c r="X900" i="38"/>
  <c r="S878" i="38"/>
  <c r="T878" i="38"/>
  <c r="X878" i="38"/>
  <c r="S824" i="38"/>
  <c r="T824" i="38"/>
  <c r="X824" i="38"/>
  <c r="S969" i="38"/>
  <c r="T969" i="38"/>
  <c r="X969" i="38"/>
  <c r="S872" i="38"/>
  <c r="T872" i="38"/>
  <c r="X872" i="38"/>
  <c r="S826" i="38"/>
  <c r="T826" i="38"/>
  <c r="X826" i="38"/>
  <c r="S802" i="38"/>
  <c r="T802" i="38"/>
  <c r="X802" i="38"/>
  <c r="U448" i="38"/>
  <c r="V448" i="38" s="1"/>
  <c r="AA448" i="38"/>
  <c r="W725" i="38"/>
  <c r="W653" i="38"/>
  <c r="U577" i="38"/>
  <c r="V577" i="38" s="1"/>
  <c r="U734" i="38"/>
  <c r="V734" i="38" s="1"/>
  <c r="AA734" i="38"/>
  <c r="W695" i="38"/>
  <c r="S978" i="38"/>
  <c r="T978" i="38"/>
  <c r="X978" i="38"/>
  <c r="S980" i="38"/>
  <c r="T980" i="38"/>
  <c r="X980" i="38"/>
  <c r="S881" i="38"/>
  <c r="T881" i="38"/>
  <c r="X881" i="38"/>
  <c r="S924" i="38"/>
  <c r="T924" i="38"/>
  <c r="X924" i="38"/>
  <c r="S996" i="38"/>
  <c r="P34" i="31" s="1"/>
  <c r="T996" i="38"/>
  <c r="X996" i="38"/>
  <c r="S857" i="38"/>
  <c r="T857" i="38"/>
  <c r="X857" i="38"/>
  <c r="S853" i="38"/>
  <c r="T853" i="38"/>
  <c r="X853" i="38"/>
  <c r="S813" i="38"/>
  <c r="T813" i="38"/>
  <c r="X813" i="38"/>
  <c r="S906" i="38"/>
  <c r="T906" i="38"/>
  <c r="X906" i="38"/>
  <c r="U635" i="38"/>
  <c r="V635" i="38" s="1"/>
  <c r="AA244" i="38"/>
  <c r="U244" i="38"/>
  <c r="V244" i="38" s="1"/>
  <c r="S487" i="38"/>
  <c r="T487" i="38"/>
  <c r="X487" i="38"/>
  <c r="S518" i="38"/>
  <c r="T518" i="38"/>
  <c r="X518" i="38"/>
  <c r="S443" i="38"/>
  <c r="T443" i="38"/>
  <c r="X443" i="38"/>
  <c r="U692" i="38"/>
  <c r="V692" i="38" s="1"/>
  <c r="W771" i="38"/>
  <c r="S410" i="38"/>
  <c r="T410" i="38"/>
  <c r="X410" i="38"/>
  <c r="S406" i="38"/>
  <c r="T406" i="38"/>
  <c r="X406" i="38"/>
  <c r="U278" i="38"/>
  <c r="V278" i="38" s="1"/>
  <c r="AA278" i="38"/>
  <c r="U345" i="38"/>
  <c r="AA345" i="38"/>
  <c r="W711" i="38"/>
  <c r="W730" i="38"/>
  <c r="U243" i="38"/>
  <c r="V243" i="38" s="1"/>
  <c r="AA243" i="38"/>
  <c r="U353" i="38"/>
  <c r="V353" i="38" s="1"/>
  <c r="AA353" i="38"/>
  <c r="U747" i="38"/>
  <c r="V747" i="38" s="1"/>
  <c r="AA747" i="38"/>
  <c r="U684" i="38"/>
  <c r="V684" i="38" s="1"/>
  <c r="AA684" i="38"/>
  <c r="S273" i="38"/>
  <c r="T273" i="38"/>
  <c r="X273" i="38"/>
  <c r="S271" i="38"/>
  <c r="T271" i="38"/>
  <c r="X271" i="38"/>
  <c r="S354" i="38"/>
  <c r="T354" i="38"/>
  <c r="X354" i="38"/>
  <c r="S503" i="38"/>
  <c r="T503" i="38"/>
  <c r="X503" i="38"/>
  <c r="AA726" i="38"/>
  <c r="U726" i="38"/>
  <c r="V726" i="38" s="1"/>
  <c r="U631" i="38"/>
  <c r="V631" i="38" s="1"/>
  <c r="R766" i="38"/>
  <c r="R760" i="38"/>
  <c r="R738" i="38"/>
  <c r="R570" i="38"/>
  <c r="R699" i="38"/>
  <c r="R655" i="38"/>
  <c r="R772" i="38"/>
  <c r="R701" i="38"/>
  <c r="R624" i="38"/>
  <c r="R568" i="38"/>
  <c r="R572" i="38"/>
  <c r="R628" i="38"/>
  <c r="R626" i="38"/>
  <c r="W728" i="38"/>
  <c r="W664" i="38"/>
  <c r="W735" i="38"/>
  <c r="W660" i="38"/>
  <c r="W617" i="38"/>
  <c r="U300" i="38"/>
  <c r="V300" i="38" s="1"/>
  <c r="AA300" i="38"/>
  <c r="AA342" i="38"/>
  <c r="U342" i="38"/>
  <c r="W596" i="38"/>
  <c r="W797" i="38"/>
  <c r="AC500" i="38"/>
  <c r="AB500" i="38" s="1"/>
  <c r="W534" i="38"/>
  <c r="AA316" i="38"/>
  <c r="U316" i="38"/>
  <c r="V316" i="38" s="1"/>
  <c r="S800" i="38"/>
  <c r="T800" i="38"/>
  <c r="X800" i="38"/>
  <c r="S816" i="38"/>
  <c r="T816" i="38"/>
  <c r="X816" i="38"/>
  <c r="S814" i="38"/>
  <c r="T814" i="38"/>
  <c r="X814" i="38"/>
  <c r="S1000" i="38"/>
  <c r="T1000" i="38"/>
  <c r="X1000" i="38"/>
  <c r="S850" i="38"/>
  <c r="T850" i="38"/>
  <c r="X850" i="38"/>
  <c r="S856" i="38"/>
  <c r="T856" i="38"/>
  <c r="X856" i="38"/>
  <c r="S1032" i="38"/>
  <c r="T1032" i="38"/>
  <c r="X1032" i="38"/>
  <c r="S898" i="38"/>
  <c r="T898" i="38"/>
  <c r="X898" i="38"/>
  <c r="S983" i="38"/>
  <c r="T983" i="38"/>
  <c r="X983" i="38"/>
  <c r="S882" i="38"/>
  <c r="T882" i="38"/>
  <c r="X882" i="38"/>
  <c r="S1017" i="38"/>
  <c r="T1017" i="38"/>
  <c r="X1017" i="38"/>
  <c r="S836" i="38"/>
  <c r="T836" i="38"/>
  <c r="X836" i="38"/>
  <c r="S953" i="38"/>
  <c r="T953" i="38"/>
  <c r="X953" i="38"/>
  <c r="S961" i="38"/>
  <c r="T961" i="38"/>
  <c r="X961" i="38"/>
  <c r="S902" i="38"/>
  <c r="T902" i="38"/>
  <c r="X902" i="38"/>
  <c r="U381" i="38"/>
  <c r="V381" i="38" s="1"/>
  <c r="AA381" i="38"/>
  <c r="U792" i="38"/>
  <c r="V792" i="38" s="1"/>
  <c r="AA792" i="38"/>
  <c r="AA301" i="38"/>
  <c r="U301" i="38"/>
  <c r="V301" i="38" s="1"/>
  <c r="V343" i="38"/>
  <c r="N36" i="72"/>
  <c r="W794" i="38"/>
  <c r="W765" i="38"/>
  <c r="W600" i="38"/>
  <c r="S883" i="38"/>
  <c r="T883" i="38"/>
  <c r="X883" i="38"/>
  <c r="S851" i="38"/>
  <c r="T851" i="38"/>
  <c r="X851" i="38"/>
  <c r="S889" i="38"/>
  <c r="T889" i="38"/>
  <c r="X889" i="38"/>
  <c r="S930" i="38"/>
  <c r="T930" i="38"/>
  <c r="X930" i="38"/>
  <c r="S928" i="38"/>
  <c r="X928" i="38"/>
  <c r="T928" i="38"/>
  <c r="S905" i="38"/>
  <c r="T905" i="38"/>
  <c r="X905" i="38"/>
  <c r="S932" i="38"/>
  <c r="T932" i="38"/>
  <c r="X932" i="38"/>
  <c r="S990" i="38"/>
  <c r="T990" i="38"/>
  <c r="X990" i="38"/>
  <c r="S946" i="38"/>
  <c r="T946" i="38"/>
  <c r="X946" i="38"/>
  <c r="AA785" i="38"/>
  <c r="W737" i="38"/>
  <c r="AA783" i="38"/>
  <c r="R634" i="38"/>
  <c r="R705" i="38"/>
  <c r="R630" i="38"/>
  <c r="R576" i="38"/>
  <c r="R632" i="38"/>
  <c r="R578" i="38"/>
  <c r="R574" i="38"/>
  <c r="R707" i="38"/>
  <c r="R580" i="38"/>
  <c r="R715" i="38"/>
  <c r="R717" i="38"/>
  <c r="R703" i="38"/>
  <c r="R645" i="38"/>
  <c r="R636" i="38"/>
  <c r="R709" i="38"/>
  <c r="AA521" i="38"/>
  <c r="U521" i="38"/>
  <c r="V521" i="38" s="1"/>
  <c r="S453" i="38"/>
  <c r="T453" i="38"/>
  <c r="X453" i="38"/>
  <c r="S479" i="38"/>
  <c r="T479" i="38"/>
  <c r="X479" i="38"/>
  <c r="S528" i="38"/>
  <c r="T528" i="38"/>
  <c r="X528" i="38"/>
  <c r="AA438" i="38"/>
  <c r="U438" i="38"/>
  <c r="V438" i="38" s="1"/>
  <c r="AA625" i="38"/>
  <c r="U539" i="38"/>
  <c r="V539" i="38" s="1"/>
  <c r="AA539" i="38"/>
  <c r="S348" i="38"/>
  <c r="N427" i="37" s="1"/>
  <c r="T348" i="38"/>
  <c r="X348" i="38"/>
  <c r="S339" i="38"/>
  <c r="T339" i="38"/>
  <c r="X339" i="38"/>
  <c r="AA307" i="38"/>
  <c r="U307" i="38"/>
  <c r="V307" i="38" s="1"/>
  <c r="AA262" i="38"/>
  <c r="U262" i="38"/>
  <c r="V262" i="38" s="1"/>
  <c r="K28" i="42"/>
  <c r="K31" i="42" s="1"/>
  <c r="N46" i="12"/>
  <c r="AA546" i="38"/>
  <c r="W697" i="38"/>
  <c r="O130" i="12"/>
  <c r="Z13" i="45" s="1"/>
  <c r="AA675" i="38"/>
  <c r="U458" i="38"/>
  <c r="V458" i="38" s="1"/>
  <c r="AA458" i="38"/>
  <c r="AA422" i="38"/>
  <c r="U422" i="38"/>
  <c r="V422" i="38" s="1"/>
  <c r="AA716" i="38"/>
  <c r="U716" i="38"/>
  <c r="V716" i="38" s="1"/>
  <c r="S329" i="38"/>
  <c r="T329" i="38"/>
  <c r="X329" i="38"/>
  <c r="S275" i="38"/>
  <c r="T275" i="38"/>
  <c r="X275" i="38"/>
  <c r="S434" i="38"/>
  <c r="T434" i="38"/>
  <c r="X434" i="38"/>
  <c r="S346" i="38"/>
  <c r="T346" i="38"/>
  <c r="X346" i="38"/>
  <c r="W591" i="38"/>
  <c r="W704" i="38"/>
  <c r="AC484" i="38"/>
  <c r="AB484" i="38" s="1"/>
  <c r="P125" i="33"/>
  <c r="Q51" i="33"/>
  <c r="AA432" i="38"/>
  <c r="U432" i="38"/>
  <c r="V432" i="38" s="1"/>
  <c r="U485" i="38"/>
  <c r="V485" i="38" s="1"/>
  <c r="AA485" i="38"/>
  <c r="W532" i="38"/>
  <c r="AA613" i="38"/>
  <c r="U613" i="38"/>
  <c r="V613" i="38" s="1"/>
  <c r="W571" i="38"/>
  <c r="W533" i="38"/>
  <c r="R770" i="38"/>
  <c r="R618" i="38"/>
  <c r="R691" i="38"/>
  <c r="R740" i="38"/>
  <c r="R756" i="38"/>
  <c r="R643" i="38"/>
  <c r="R651" i="38"/>
  <c r="R566" i="38"/>
  <c r="R787" i="38"/>
  <c r="R620" i="38"/>
  <c r="R742" i="38"/>
  <c r="R693" i="38"/>
  <c r="R564" i="38"/>
  <c r="R649" i="38"/>
  <c r="R689" i="38"/>
  <c r="AA403" i="38"/>
  <c r="U403" i="38"/>
  <c r="V403" i="38" s="1"/>
  <c r="AA452" i="38"/>
  <c r="U452" i="38"/>
  <c r="V452" i="38" s="1"/>
  <c r="R1115" i="38"/>
  <c r="R1172" i="38"/>
  <c r="R1075" i="38"/>
  <c r="R1194" i="38"/>
  <c r="R1155" i="38"/>
  <c r="R1218" i="38"/>
  <c r="R1208" i="38"/>
  <c r="R1222" i="38"/>
  <c r="R1359" i="38"/>
  <c r="R1345" i="38"/>
  <c r="R1085" i="38"/>
  <c r="R1303" i="38"/>
  <c r="R1059" i="38"/>
  <c r="R1117" i="38"/>
  <c r="R1277" i="38"/>
  <c r="R1143" i="38"/>
  <c r="R1293" i="38"/>
  <c r="R1281" i="38"/>
  <c r="R1319" i="38"/>
  <c r="R1349" i="38"/>
  <c r="R1312" i="38"/>
  <c r="R1355" i="38"/>
  <c r="R1287" i="38"/>
  <c r="R1256" i="38"/>
  <c r="R1200" i="38"/>
  <c r="R1105" i="38"/>
  <c r="R1306" i="38"/>
  <c r="R1210" i="38"/>
  <c r="R1063" i="38"/>
  <c r="R1053" i="38"/>
  <c r="R1168" i="38"/>
  <c r="R1119" i="38"/>
  <c r="R1087" i="38"/>
  <c r="R1145" i="38"/>
  <c r="R1121" i="38"/>
  <c r="R1061" i="38"/>
  <c r="R1317" i="38"/>
  <c r="R1111" i="38"/>
  <c r="R1226" i="38"/>
  <c r="R1347" i="38"/>
  <c r="R1268" i="38"/>
  <c r="R1164" i="38"/>
  <c r="R1216" i="38"/>
  <c r="R1149" i="38"/>
  <c r="R1093" i="38"/>
  <c r="R1192" i="38"/>
  <c r="R1323" i="38"/>
  <c r="R1133" i="38"/>
  <c r="R1341" i="38"/>
  <c r="R1244" i="38"/>
  <c r="R1230" i="38"/>
  <c r="R1252" i="38"/>
  <c r="R1127" i="38"/>
  <c r="R1184" i="38"/>
  <c r="R1188" i="38"/>
  <c r="R1166" i="38"/>
  <c r="R1242" i="38"/>
  <c r="R1295" i="38"/>
  <c r="R1314" i="38"/>
  <c r="R1283" i="38"/>
  <c r="R1055" i="38"/>
  <c r="R1333" i="38"/>
  <c r="R1361" i="38"/>
  <c r="R1339" i="38"/>
  <c r="R1343" i="38"/>
  <c r="R1274" i="38"/>
  <c r="R1182" i="38"/>
  <c r="R1067" i="38"/>
  <c r="R1109" i="38"/>
  <c r="R1147" i="38"/>
  <c r="R1079" i="38"/>
  <c r="R1141" i="38"/>
  <c r="R1228" i="38"/>
  <c r="R1071" i="38"/>
  <c r="R1260" i="38"/>
  <c r="R1131" i="38"/>
  <c r="R1254" i="38"/>
  <c r="R1091" i="38"/>
  <c r="R1276" i="38"/>
  <c r="R1097" i="38"/>
  <c r="R1186" i="38"/>
  <c r="R1103" i="38"/>
  <c r="R1214" i="38"/>
  <c r="R1202" i="38"/>
  <c r="R1151" i="38"/>
  <c r="R1089" i="38"/>
  <c r="R1135" i="38"/>
  <c r="R1107" i="38"/>
  <c r="R1220" i="38"/>
  <c r="R1178" i="38"/>
  <c r="R1057" i="38"/>
  <c r="R1270" i="38"/>
  <c r="R1285" i="38"/>
  <c r="R1291" i="38"/>
  <c r="R1240" i="38"/>
  <c r="R1363" i="38"/>
  <c r="R1099" i="38"/>
  <c r="R1299" i="38"/>
  <c r="R1206" i="38"/>
  <c r="R1153" i="38"/>
  <c r="R1315" i="38"/>
  <c r="R1113" i="38"/>
  <c r="R1335" i="38"/>
  <c r="R1125" i="38"/>
  <c r="R1301" i="38"/>
  <c r="R1258" i="38"/>
  <c r="R1238" i="38"/>
  <c r="R1266" i="38"/>
  <c r="R1198" i="38"/>
  <c r="R1232" i="38"/>
  <c r="R1212" i="38"/>
  <c r="R1246" i="38"/>
  <c r="R1101" i="38"/>
  <c r="R1272" i="38"/>
  <c r="R1204" i="38"/>
  <c r="R1196" i="38"/>
  <c r="R1289" i="38"/>
  <c r="R1095" i="38"/>
  <c r="R1310" i="38"/>
  <c r="R1081" i="38"/>
  <c r="R1073" i="38"/>
  <c r="R1353" i="38"/>
  <c r="R1129" i="38"/>
  <c r="R1234" i="38"/>
  <c r="R1327" i="38"/>
  <c r="R1190" i="38"/>
  <c r="R1262" i="38"/>
  <c r="R1325" i="38"/>
  <c r="R1264" i="38"/>
  <c r="R1331" i="38"/>
  <c r="R1308" i="38"/>
  <c r="R1321" i="38"/>
  <c r="R1329" i="38"/>
  <c r="R1069" i="38"/>
  <c r="R1337" i="38"/>
  <c r="R1279" i="38"/>
  <c r="R1123" i="38"/>
  <c r="R1224" i="38"/>
  <c r="R1357" i="38"/>
  <c r="R1180" i="38"/>
  <c r="R1065" i="38"/>
  <c r="R1137" i="38"/>
  <c r="R1174" i="38"/>
  <c r="R1170" i="38"/>
  <c r="R1157" i="38"/>
  <c r="R1139" i="38"/>
  <c r="R1176" i="38"/>
  <c r="R1351" i="38"/>
  <c r="R1297" i="38"/>
  <c r="R1077" i="38"/>
  <c r="R1236" i="38"/>
  <c r="R1083" i="38"/>
  <c r="W563" i="38"/>
  <c r="W773" i="38"/>
  <c r="U466" i="38"/>
  <c r="V466" i="38" s="1"/>
  <c r="AA466" i="38"/>
  <c r="W604" i="38"/>
  <c r="W616" i="38"/>
  <c r="S840" i="38"/>
  <c r="T840" i="38"/>
  <c r="X840" i="38"/>
  <c r="S892" i="38"/>
  <c r="X892" i="38"/>
  <c r="T892" i="38"/>
  <c r="S945" i="38"/>
  <c r="T945" i="38"/>
  <c r="X945" i="38"/>
  <c r="S846" i="38"/>
  <c r="T846" i="38"/>
  <c r="X846" i="38"/>
  <c r="S1002" i="38"/>
  <c r="T1002" i="38"/>
  <c r="X1002" i="38"/>
  <c r="S890" i="38"/>
  <c r="T890" i="38"/>
  <c r="X890" i="38"/>
  <c r="S979" i="38"/>
  <c r="T979" i="38"/>
  <c r="X979" i="38"/>
  <c r="S913" i="38"/>
  <c r="T913" i="38"/>
  <c r="X913" i="38"/>
  <c r="S987" i="38"/>
  <c r="T987" i="38"/>
  <c r="X987" i="38"/>
  <c r="S991" i="38"/>
  <c r="T991" i="38"/>
  <c r="X991" i="38"/>
  <c r="S858" i="38"/>
  <c r="T858" i="38"/>
  <c r="X858" i="38"/>
  <c r="S842" i="38"/>
  <c r="T842" i="38"/>
  <c r="X842" i="38"/>
  <c r="S888" i="38"/>
  <c r="T888" i="38"/>
  <c r="X888" i="38"/>
  <c r="S862" i="38"/>
  <c r="T862" i="38"/>
  <c r="X862" i="38"/>
  <c r="S804" i="38"/>
  <c r="T804" i="38"/>
  <c r="X804" i="38"/>
  <c r="U399" i="38"/>
  <c r="V399" i="38" s="1"/>
  <c r="AA399" i="38"/>
  <c r="W753" i="38"/>
  <c r="W714" i="38"/>
  <c r="W627" i="38"/>
  <c r="U426" i="38"/>
  <c r="AA426" i="38"/>
  <c r="W669" i="38"/>
  <c r="W678" i="38"/>
  <c r="W662" i="38"/>
  <c r="U396" i="38"/>
  <c r="AA396" i="38"/>
  <c r="W793" i="38"/>
  <c r="O413" i="37"/>
  <c r="AC469" i="38"/>
  <c r="AB469" i="38" s="1"/>
  <c r="S907" i="38"/>
  <c r="T907" i="38"/>
  <c r="X907" i="38"/>
  <c r="S995" i="38"/>
  <c r="T995" i="38"/>
  <c r="X995" i="38"/>
  <c r="S1039" i="38"/>
  <c r="T1039" i="38"/>
  <c r="X1039" i="38"/>
  <c r="S871" i="38"/>
  <c r="T871" i="38"/>
  <c r="X871" i="38"/>
  <c r="S829" i="38"/>
  <c r="T829" i="38"/>
  <c r="X829" i="38"/>
  <c r="S809" i="38"/>
  <c r="T809" i="38"/>
  <c r="X809" i="38"/>
  <c r="S825" i="38"/>
  <c r="T825" i="38"/>
  <c r="X825" i="38"/>
  <c r="S1037" i="38"/>
  <c r="T1037" i="38"/>
  <c r="X1037" i="38"/>
  <c r="S940" i="38"/>
  <c r="T940" i="38"/>
  <c r="X940" i="38"/>
  <c r="W648" i="38"/>
  <c r="W587" i="38"/>
  <c r="P126" i="33"/>
  <c r="Q65" i="33"/>
  <c r="U253" i="38"/>
  <c r="V253" i="38" s="1"/>
  <c r="AA253" i="38"/>
  <c r="U492" i="38"/>
  <c r="V492" i="38" s="1"/>
  <c r="AA492" i="38"/>
  <c r="S481" i="38"/>
  <c r="T481" i="38"/>
  <c r="X481" i="38"/>
  <c r="S418" i="38"/>
  <c r="T418" i="38"/>
  <c r="X418" i="38"/>
  <c r="U325" i="38"/>
  <c r="V325" i="38" s="1"/>
  <c r="AA325" i="38"/>
  <c r="U462" i="38"/>
  <c r="V462" i="38" s="1"/>
  <c r="AA462" i="38"/>
  <c r="W555" i="38"/>
  <c r="W712" i="38"/>
  <c r="S277" i="38"/>
  <c r="T277" i="38"/>
  <c r="X277" i="38"/>
  <c r="S337" i="38"/>
  <c r="T337" i="38"/>
  <c r="X337" i="38"/>
  <c r="U527" i="38"/>
  <c r="V527" i="38" s="1"/>
  <c r="AA527" i="38"/>
  <c r="W612" i="38"/>
  <c r="W641" i="38"/>
  <c r="W647" i="38"/>
  <c r="AA272" i="38"/>
  <c r="U272" i="38"/>
  <c r="V272" i="38" s="1"/>
  <c r="AA268" i="38"/>
  <c r="U268" i="38"/>
  <c r="V268" i="38" s="1"/>
  <c r="AA483" i="38"/>
  <c r="U483" i="38"/>
  <c r="V483" i="38" s="1"/>
  <c r="W680" i="38"/>
  <c r="W611" i="38"/>
  <c r="AA371" i="38"/>
  <c r="U371" i="38"/>
  <c r="V371" i="38" s="1"/>
  <c r="S331" i="38"/>
  <c r="T331" i="38"/>
  <c r="X331" i="38"/>
  <c r="S327" i="38"/>
  <c r="T327" i="38"/>
  <c r="X327" i="38"/>
  <c r="U235" i="38"/>
  <c r="AA235" i="38"/>
  <c r="S441" i="38"/>
  <c r="T441" i="38"/>
  <c r="X441" i="38"/>
  <c r="S392" i="38"/>
  <c r="T392" i="38"/>
  <c r="X392" i="38"/>
  <c r="W537" i="38"/>
  <c r="W724" i="38"/>
  <c r="AC504" i="38"/>
  <c r="AB504" i="38" s="1"/>
  <c r="AA362" i="38"/>
  <c r="U362" i="38"/>
  <c r="V362" i="38" s="1"/>
  <c r="AA299" i="38"/>
  <c r="U299" i="38"/>
  <c r="V299" i="38" s="1"/>
  <c r="AA463" i="38"/>
  <c r="U463" i="38"/>
  <c r="V463" i="38" s="1"/>
  <c r="W661" i="38"/>
  <c r="AA543" i="38"/>
  <c r="Q79" i="33"/>
  <c r="P127" i="33"/>
  <c r="U440" i="38"/>
  <c r="V440" i="38" s="1"/>
  <c r="AA440" i="38"/>
  <c r="S37" i="33"/>
  <c r="S124" i="33" s="1"/>
  <c r="R124" i="33"/>
  <c r="U710" i="38"/>
  <c r="V710" i="38" s="1"/>
  <c r="AA710" i="38"/>
  <c r="AA340" i="38"/>
  <c r="U340" i="38"/>
  <c r="V340" i="38" s="1"/>
  <c r="W582" i="38"/>
  <c r="U552" i="38"/>
  <c r="V552" i="38" s="1"/>
  <c r="AA552" i="38"/>
  <c r="U414" i="38"/>
  <c r="V414" i="38" s="1"/>
  <c r="AA414" i="38"/>
  <c r="S975" i="38"/>
  <c r="T975" i="38"/>
  <c r="X975" i="38"/>
  <c r="S1038" i="38"/>
  <c r="T1038" i="38"/>
  <c r="X1038" i="38"/>
  <c r="S917" i="38"/>
  <c r="T917" i="38"/>
  <c r="X917" i="38"/>
  <c r="S993" i="38"/>
  <c r="T993" i="38"/>
  <c r="X993" i="38"/>
  <c r="S1036" i="38"/>
  <c r="T1036" i="38"/>
  <c r="X1036" i="38"/>
  <c r="S868" i="38"/>
  <c r="T868" i="38"/>
  <c r="X868" i="38"/>
  <c r="S870" i="38"/>
  <c r="X870" i="38"/>
  <c r="T870" i="38"/>
  <c r="S828" i="38"/>
  <c r="T828" i="38"/>
  <c r="X828" i="38"/>
  <c r="S957" i="38"/>
  <c r="T957" i="38"/>
  <c r="X957" i="38"/>
  <c r="S1013" i="38"/>
  <c r="T1013" i="38"/>
  <c r="X1013" i="38"/>
  <c r="S1046" i="38"/>
  <c r="X1046" i="38"/>
  <c r="T1046" i="38"/>
  <c r="S963" i="38"/>
  <c r="T963" i="38"/>
  <c r="X963" i="38"/>
  <c r="S911" i="38"/>
  <c r="T911" i="38"/>
  <c r="X911" i="38"/>
  <c r="S884" i="38"/>
  <c r="T884" i="38"/>
  <c r="X884" i="38"/>
  <c r="S810" i="38"/>
  <c r="T810" i="38"/>
  <c r="X810" i="38"/>
  <c r="AA428" i="38"/>
  <c r="U428" i="38"/>
  <c r="V428" i="38" s="1"/>
  <c r="AA650" i="38"/>
  <c r="U650" i="38"/>
  <c r="V650" i="38" s="1"/>
  <c r="U688" i="38"/>
  <c r="V688" i="38" s="1"/>
  <c r="AA688" i="38"/>
  <c r="U798" i="38"/>
  <c r="V798" i="38" s="1"/>
  <c r="AA798" i="38"/>
  <c r="W665" i="38"/>
  <c r="AA786" i="38"/>
  <c r="U786" i="38"/>
  <c r="V786" i="38" s="1"/>
  <c r="S964" i="38"/>
  <c r="T964" i="38"/>
  <c r="X964" i="38"/>
  <c r="S1025" i="38"/>
  <c r="T1025" i="38"/>
  <c r="X1025" i="38"/>
  <c r="S811" i="38"/>
  <c r="T811" i="38"/>
  <c r="X811" i="38"/>
  <c r="S934" i="38"/>
  <c r="T934" i="38"/>
  <c r="X934" i="38"/>
  <c r="S908" i="38"/>
  <c r="T908" i="38"/>
  <c r="X908" i="38"/>
  <c r="S861" i="38"/>
  <c r="T861" i="38"/>
  <c r="X861" i="38"/>
  <c r="S926" i="38"/>
  <c r="T926" i="38"/>
  <c r="X926" i="38"/>
  <c r="S950" i="38"/>
  <c r="T950" i="38"/>
  <c r="X950" i="38"/>
  <c r="S920" i="38"/>
  <c r="T920" i="38"/>
  <c r="X920" i="38"/>
  <c r="V239" i="38"/>
  <c r="AA702" i="38"/>
  <c r="U702" i="38"/>
  <c r="V702" i="38" s="1"/>
  <c r="AA302" i="38"/>
  <c r="U302" i="38"/>
  <c r="V302" i="38" s="1"/>
  <c r="AA383" i="38"/>
  <c r="U383" i="38"/>
  <c r="V383" i="38" s="1"/>
  <c r="S501" i="38"/>
  <c r="T501" i="38"/>
  <c r="X501" i="38"/>
  <c r="S477" i="38"/>
  <c r="T477" i="38"/>
  <c r="X477" i="38"/>
  <c r="AA368" i="38"/>
  <c r="U368" i="38"/>
  <c r="V368" i="38" s="1"/>
  <c r="S408" i="38"/>
  <c r="T408" i="38"/>
  <c r="X408" i="38"/>
  <c r="S281" i="38"/>
  <c r="T281" i="38"/>
  <c r="X281" i="38"/>
  <c r="AA640" i="38"/>
  <c r="U640" i="38"/>
  <c r="U341" i="38"/>
  <c r="AA341" i="38"/>
  <c r="O418" i="37"/>
  <c r="O36" i="31"/>
  <c r="O90" i="12"/>
  <c r="O93" i="12" s="1"/>
  <c r="O72" i="72"/>
  <c r="AA472" i="38"/>
  <c r="U472" i="38"/>
  <c r="V472" i="38" s="1"/>
  <c r="R556" i="38"/>
  <c r="R748" i="38"/>
  <c r="R606" i="38"/>
  <c r="R782" i="38"/>
  <c r="R789" i="38"/>
  <c r="R778" i="38"/>
  <c r="R610" i="38"/>
  <c r="R776" i="38"/>
  <c r="R768" i="38"/>
  <c r="R744" i="38"/>
  <c r="R719" i="38"/>
  <c r="R752" i="38"/>
  <c r="R608" i="38"/>
  <c r="R784" i="38"/>
  <c r="R746" i="38"/>
  <c r="U525" i="38"/>
  <c r="V525" i="38" s="1"/>
  <c r="AA525" i="38"/>
  <c r="W603" i="38"/>
  <c r="W759" i="38"/>
  <c r="S505" i="38"/>
  <c r="T505" i="38"/>
  <c r="X505" i="38"/>
  <c r="S471" i="38"/>
  <c r="T471" i="38"/>
  <c r="X471" i="38"/>
  <c r="S530" i="38"/>
  <c r="T530" i="38"/>
  <c r="X530" i="38"/>
  <c r="U318" i="38"/>
  <c r="V318" i="38" s="1"/>
  <c r="AA318" i="38"/>
  <c r="S323" i="38"/>
  <c r="T323" i="38"/>
  <c r="X323" i="38"/>
  <c r="S473" i="38"/>
  <c r="T473" i="38"/>
  <c r="X473" i="38"/>
  <c r="AA674" i="38"/>
  <c r="U674" i="38"/>
  <c r="V674" i="38" s="1"/>
  <c r="U266" i="38"/>
  <c r="V266" i="38" s="1"/>
  <c r="AA266" i="38"/>
  <c r="W671" i="38"/>
  <c r="W686" i="38"/>
  <c r="W708" i="38"/>
  <c r="AC498" i="38"/>
  <c r="AB498" i="38" s="1"/>
  <c r="AC515" i="38"/>
  <c r="AB515" i="38" s="1"/>
  <c r="AA349" i="38"/>
  <c r="U349" i="38"/>
  <c r="V349" i="38" s="1"/>
  <c r="W696" i="38"/>
  <c r="W779" i="38"/>
  <c r="AA332" i="38"/>
  <c r="U332" i="38"/>
  <c r="V332" i="38" s="1"/>
  <c r="W657" i="38"/>
  <c r="U468" i="38"/>
  <c r="V468" i="38" s="1"/>
  <c r="AA468" i="38"/>
  <c r="U251" i="38"/>
  <c r="V251" i="38" s="1"/>
  <c r="AA251" i="38"/>
  <c r="S832" i="38"/>
  <c r="T832" i="38"/>
  <c r="X832" i="38"/>
  <c r="S937" i="38"/>
  <c r="T937" i="38"/>
  <c r="X937" i="38"/>
  <c r="S959" i="38"/>
  <c r="T959" i="38"/>
  <c r="X959" i="38"/>
  <c r="S927" i="38"/>
  <c r="T927" i="38"/>
  <c r="X927" i="38"/>
  <c r="S1019" i="38"/>
  <c r="T1019" i="38"/>
  <c r="X1019" i="38"/>
  <c r="S896" i="38"/>
  <c r="T896" i="38"/>
  <c r="X896" i="38"/>
  <c r="S864" i="38"/>
  <c r="T864" i="38"/>
  <c r="X864" i="38"/>
  <c r="S973" i="38"/>
  <c r="T973" i="38"/>
  <c r="X973" i="38"/>
  <c r="S939" i="38"/>
  <c r="T939" i="38"/>
  <c r="X939" i="38"/>
  <c r="S1023" i="38"/>
  <c r="T1023" i="38"/>
  <c r="X1023" i="38"/>
  <c r="S1042" i="38"/>
  <c r="T1042" i="38"/>
  <c r="X1042" i="38"/>
  <c r="S1040" i="38"/>
  <c r="X1040" i="38"/>
  <c r="T1040" i="38"/>
  <c r="S808" i="38"/>
  <c r="T808" i="38"/>
  <c r="X808" i="38"/>
  <c r="S874" i="38"/>
  <c r="X874" i="38"/>
  <c r="T874" i="38"/>
  <c r="S1034" i="38"/>
  <c r="T1034" i="38"/>
  <c r="X1034" i="38"/>
  <c r="U293" i="38"/>
  <c r="V293" i="38" s="1"/>
  <c r="AA293" i="38"/>
  <c r="W637" i="38"/>
  <c r="W559" i="38"/>
  <c r="W654" i="38"/>
  <c r="U297" i="38"/>
  <c r="V297" i="38" s="1"/>
  <c r="AA297" i="38"/>
  <c r="AA464" i="38"/>
  <c r="U464" i="38"/>
  <c r="W762" i="38"/>
  <c r="W646" i="38"/>
  <c r="W666" i="38"/>
  <c r="U795" i="38"/>
  <c r="V795" i="38" s="1"/>
  <c r="AA795" i="38"/>
  <c r="S936" i="38"/>
  <c r="X936" i="38"/>
  <c r="T936" i="38"/>
  <c r="S865" i="38"/>
  <c r="T865" i="38"/>
  <c r="X865" i="38"/>
  <c r="S827" i="38"/>
  <c r="T827" i="38"/>
  <c r="X827" i="38"/>
  <c r="S819" i="38"/>
  <c r="T819" i="38"/>
  <c r="X819" i="38"/>
  <c r="S855" i="38"/>
  <c r="T855" i="38"/>
  <c r="X855" i="38"/>
  <c r="S1031" i="38"/>
  <c r="T1031" i="38"/>
  <c r="X1031" i="38"/>
  <c r="S1009" i="38"/>
  <c r="T1009" i="38"/>
  <c r="X1009" i="38"/>
  <c r="S938" i="38"/>
  <c r="T938" i="38"/>
  <c r="X938" i="38"/>
  <c r="S805" i="38"/>
  <c r="T805" i="38"/>
  <c r="X805" i="38"/>
  <c r="U389" i="38"/>
  <c r="V389" i="38" s="1"/>
  <c r="AA389" i="38"/>
  <c r="W569" i="38"/>
  <c r="U240" i="38"/>
  <c r="V240" i="38" s="1"/>
  <c r="AA240" i="38"/>
  <c r="U421" i="38"/>
  <c r="V421" i="38" s="1"/>
  <c r="AA421" i="38"/>
  <c r="S514" i="38"/>
  <c r="T514" i="38"/>
  <c r="X514" i="38"/>
  <c r="S459" i="38"/>
  <c r="T459" i="38"/>
  <c r="X459" i="38"/>
  <c r="AA467" i="38"/>
  <c r="U467" i="38"/>
  <c r="V467" i="38" s="1"/>
  <c r="W781" i="38"/>
  <c r="W763" i="38"/>
  <c r="S512" i="38"/>
  <c r="T512" i="38"/>
  <c r="X512" i="38"/>
  <c r="S333" i="38"/>
  <c r="T333" i="38"/>
  <c r="X333" i="38"/>
  <c r="AA364" i="38"/>
  <c r="U364" i="38"/>
  <c r="W681" i="38"/>
  <c r="W602" i="38"/>
  <c r="W594" i="38"/>
  <c r="W791" i="38"/>
  <c r="O348" i="37"/>
  <c r="W554" i="38"/>
  <c r="W642" i="38"/>
  <c r="O43" i="12"/>
  <c r="O328" i="76"/>
  <c r="W732" i="38"/>
  <c r="AA419" i="38"/>
  <c r="U419" i="38"/>
  <c r="V419" i="38" s="1"/>
  <c r="Q93" i="33"/>
  <c r="P128" i="33"/>
  <c r="AA304" i="38"/>
  <c r="U304" i="38"/>
  <c r="V304" i="38" s="1"/>
  <c r="W609" i="38"/>
  <c r="W769" i="38"/>
  <c r="S451" i="38"/>
  <c r="T451" i="38"/>
  <c r="X451" i="38"/>
  <c r="S508" i="38"/>
  <c r="T508" i="38"/>
  <c r="X508" i="38"/>
  <c r="AA256" i="38"/>
  <c r="U256" i="38"/>
  <c r="V256" i="38" s="1"/>
  <c r="AA456" i="38"/>
  <c r="U456" i="38"/>
  <c r="U420" i="38"/>
  <c r="V420" i="38" s="1"/>
  <c r="AA420" i="38"/>
  <c r="S352" i="38"/>
  <c r="T352" i="38"/>
  <c r="X352" i="38"/>
  <c r="S267" i="38"/>
  <c r="T267" i="38"/>
  <c r="X267" i="38"/>
  <c r="AA590" i="38"/>
  <c r="U590" i="38"/>
  <c r="V590" i="38" s="1"/>
  <c r="AA497" i="38"/>
  <c r="U497" i="38"/>
  <c r="V497" i="38" s="1"/>
  <c r="U757" i="38"/>
  <c r="V757" i="38" s="1"/>
  <c r="AA757" i="38"/>
  <c r="AC496" i="38"/>
  <c r="AB496" i="38" s="1"/>
  <c r="U540" i="38"/>
  <c r="V540" i="38" s="1"/>
  <c r="AA540" i="38"/>
  <c r="AA296" i="38"/>
  <c r="U296" i="38"/>
  <c r="V296" i="38" s="1"/>
  <c r="S965" i="38"/>
  <c r="T965" i="38"/>
  <c r="X965" i="38"/>
  <c r="S894" i="38"/>
  <c r="T894" i="38"/>
  <c r="X894" i="38"/>
  <c r="S925" i="38"/>
  <c r="X925" i="38"/>
  <c r="T925" i="38"/>
  <c r="S915" i="38"/>
  <c r="T915" i="38"/>
  <c r="X915" i="38"/>
  <c r="S866" i="38"/>
  <c r="T866" i="38"/>
  <c r="X866" i="38"/>
  <c r="S919" i="38"/>
  <c r="T919" i="38"/>
  <c r="X919" i="38"/>
  <c r="S1048" i="38"/>
  <c r="T1048" i="38"/>
  <c r="X1048" i="38"/>
  <c r="S981" i="38"/>
  <c r="T981" i="38"/>
  <c r="X981" i="38"/>
  <c r="S931" i="38"/>
  <c r="T931" i="38"/>
  <c r="X931" i="38"/>
  <c r="S941" i="38"/>
  <c r="T941" i="38"/>
  <c r="X941" i="38"/>
  <c r="S933" i="38"/>
  <c r="X933" i="38"/>
  <c r="T933" i="38"/>
  <c r="S1021" i="38"/>
  <c r="T1021" i="38"/>
  <c r="X1021" i="38"/>
  <c r="S822" i="38"/>
  <c r="T822" i="38"/>
  <c r="X822" i="38"/>
  <c r="S1026" i="38"/>
  <c r="T1026" i="38"/>
  <c r="X1026" i="38"/>
  <c r="S1030" i="38"/>
  <c r="T1030" i="38"/>
  <c r="X1030" i="38"/>
  <c r="W788" i="38"/>
  <c r="W629" i="38"/>
  <c r="U264" i="38"/>
  <c r="V264" i="38" s="1"/>
  <c r="AA264" i="38"/>
  <c r="U502" i="38"/>
  <c r="V502" i="38" s="1"/>
  <c r="AA502" i="38"/>
  <c r="U489" i="38"/>
  <c r="V489" i="38" s="1"/>
  <c r="AA489" i="38"/>
  <c r="W687" i="38"/>
  <c r="W615" i="38"/>
  <c r="W796" i="38"/>
  <c r="W667" i="38"/>
  <c r="W764" i="38"/>
  <c r="R129" i="33"/>
  <c r="S107" i="33"/>
  <c r="S129" i="33" s="1"/>
  <c r="S944" i="38"/>
  <c r="T944" i="38"/>
  <c r="X944" i="38"/>
  <c r="S1047" i="38"/>
  <c r="T1047" i="38"/>
  <c r="X1047" i="38"/>
  <c r="S948" i="38"/>
  <c r="T948" i="38"/>
  <c r="X948" i="38"/>
  <c r="S817" i="38"/>
  <c r="T817" i="38"/>
  <c r="X817" i="38"/>
  <c r="S952" i="38"/>
  <c r="T952" i="38"/>
  <c r="X952" i="38"/>
  <c r="S1045" i="38"/>
  <c r="T1045" i="38"/>
  <c r="X1045" i="38"/>
  <c r="S869" i="38"/>
  <c r="T869" i="38"/>
  <c r="X869" i="38"/>
  <c r="S815" i="38"/>
  <c r="T815" i="38"/>
  <c r="X815" i="38"/>
  <c r="S807" i="38"/>
  <c r="T807" i="38"/>
  <c r="X807" i="38"/>
  <c r="U260" i="38"/>
  <c r="V260" i="38" s="1"/>
  <c r="AA260" i="38"/>
  <c r="W567" i="38"/>
  <c r="W690" i="38"/>
  <c r="AA585" i="38"/>
  <c r="U585" i="38"/>
  <c r="V585" i="38" s="1"/>
  <c r="AA252" i="38"/>
  <c r="U252" i="38"/>
  <c r="V252" i="38" s="1"/>
  <c r="U454" i="38"/>
  <c r="V454" i="38" s="1"/>
  <c r="AA454" i="38"/>
  <c r="U356" i="38"/>
  <c r="AA356" i="38"/>
  <c r="S259" i="38"/>
  <c r="T259" i="38"/>
  <c r="X259" i="38"/>
  <c r="S309" i="38"/>
  <c r="T309" i="38"/>
  <c r="X309" i="38"/>
  <c r="U511" i="38"/>
  <c r="V511" i="38" s="1"/>
  <c r="AA511" i="38"/>
  <c r="U700" i="38"/>
  <c r="V700" i="38" s="1"/>
  <c r="AA658" i="38"/>
  <c r="U658" i="38"/>
  <c r="V658" i="38" s="1"/>
  <c r="U506" i="38"/>
  <c r="V506" i="38" s="1"/>
  <c r="AA506" i="38"/>
  <c r="S279" i="38"/>
  <c r="T279" i="38"/>
  <c r="X279" i="38"/>
  <c r="S283" i="38"/>
  <c r="T283" i="38"/>
  <c r="X283" i="38"/>
  <c r="U447" i="38"/>
  <c r="V447" i="38" s="1"/>
  <c r="AA447" i="38"/>
  <c r="U350" i="38"/>
  <c r="AA350" i="38"/>
  <c r="W721" i="38"/>
  <c r="U736" i="38"/>
  <c r="V736" i="38" s="1"/>
  <c r="AA736" i="38"/>
  <c r="AA347" i="38"/>
  <c r="U347" i="38"/>
  <c r="V347" i="38" s="1"/>
  <c r="U676" i="38"/>
  <c r="V676" i="38" s="1"/>
  <c r="AA676" i="38"/>
  <c r="AA739" i="38"/>
  <c r="U739" i="38"/>
  <c r="V739" i="38" s="1"/>
  <c r="S358" i="38"/>
  <c r="T358" i="38"/>
  <c r="X358" i="38"/>
  <c r="S495" i="38"/>
  <c r="T495" i="38"/>
  <c r="X495" i="38"/>
  <c r="U431" i="38"/>
  <c r="V431" i="38" s="1"/>
  <c r="AA431" i="38"/>
  <c r="U558" i="38"/>
  <c r="V558" i="38" s="1"/>
  <c r="AA558" i="38"/>
  <c r="AA672" i="38" l="1"/>
  <c r="AA623" i="38"/>
  <c r="AA561" i="38"/>
  <c r="AA583" i="38"/>
  <c r="AA538" i="38"/>
  <c r="AA749" i="38"/>
  <c r="V344" i="38"/>
  <c r="U683" i="38"/>
  <c r="V683" i="38" s="1"/>
  <c r="U565" i="38"/>
  <c r="V565" i="38" s="1"/>
  <c r="AA718" i="38"/>
  <c r="AA638" i="38"/>
  <c r="U605" i="38"/>
  <c r="V605" i="38" s="1"/>
  <c r="AA535" i="38"/>
  <c r="AA547" i="38"/>
  <c r="AA544" i="38"/>
  <c r="U706" i="38"/>
  <c r="V706" i="38" s="1"/>
  <c r="N431" i="37"/>
  <c r="U562" i="38"/>
  <c r="U677" i="38"/>
  <c r="V677" i="38" s="1"/>
  <c r="U679" i="38"/>
  <c r="V679" i="38" s="1"/>
  <c r="AA598" i="38"/>
  <c r="U790" i="38"/>
  <c r="V790" i="38" s="1"/>
  <c r="AC790" i="38" s="1"/>
  <c r="AB790" i="38" s="1"/>
  <c r="U743" i="38"/>
  <c r="V743" i="38" s="1"/>
  <c r="AA614" i="38"/>
  <c r="U656" i="38"/>
  <c r="V656" i="38" s="1"/>
  <c r="U754" i="38"/>
  <c r="V754" i="38" s="1"/>
  <c r="U560" i="38"/>
  <c r="V560" i="38" s="1"/>
  <c r="U542" i="38"/>
  <c r="V542" i="38" s="1"/>
  <c r="U685" i="38"/>
  <c r="V685" i="38" s="1"/>
  <c r="U579" i="38"/>
  <c r="V579" i="38" s="1"/>
  <c r="AA682" i="38"/>
  <c r="U780" i="38"/>
  <c r="V780" i="38" s="1"/>
  <c r="AC780" i="38" s="1"/>
  <c r="AB780" i="38" s="1"/>
  <c r="U621" i="38"/>
  <c r="V621" i="38" s="1"/>
  <c r="U595" i="38"/>
  <c r="V595" i="38" s="1"/>
  <c r="U622" i="38"/>
  <c r="V622" i="38" s="1"/>
  <c r="U731" i="38"/>
  <c r="V731" i="38" s="1"/>
  <c r="AA755" i="38"/>
  <c r="AA581" i="38"/>
  <c r="U670" i="38"/>
  <c r="V670" i="38" s="1"/>
  <c r="AA589" i="38"/>
  <c r="W1026" i="38"/>
  <c r="W321" i="38"/>
  <c r="W518" i="38"/>
  <c r="AA518" i="38" s="1"/>
  <c r="W1023" i="38"/>
  <c r="AA1023" i="38" s="1"/>
  <c r="W937" i="38"/>
  <c r="U937" i="38" s="1"/>
  <c r="V937" i="38" s="1"/>
  <c r="W331" i="38"/>
  <c r="U331" i="38" s="1"/>
  <c r="V331" i="38" s="1"/>
  <c r="W277" i="38"/>
  <c r="W809" i="38"/>
  <c r="W991" i="38"/>
  <c r="W283" i="38"/>
  <c r="AA283" i="38" s="1"/>
  <c r="W807" i="38"/>
  <c r="AA807" i="38" s="1"/>
  <c r="U758" i="38"/>
  <c r="V758" i="38" s="1"/>
  <c r="W1013" i="38"/>
  <c r="W1038" i="38"/>
  <c r="W804" i="38"/>
  <c r="W329" i="38"/>
  <c r="U536" i="38"/>
  <c r="W477" i="38"/>
  <c r="W861" i="38"/>
  <c r="U861" i="38" s="1"/>
  <c r="V861" i="38" s="1"/>
  <c r="U588" i="38"/>
  <c r="V588" i="38" s="1"/>
  <c r="U619" i="38"/>
  <c r="V619" i="38" s="1"/>
  <c r="AA698" i="38"/>
  <c r="AA586" i="38"/>
  <c r="U673" i="38"/>
  <c r="V673" i="38" s="1"/>
  <c r="AA668" i="38"/>
  <c r="U750" i="38"/>
  <c r="V750" i="38" s="1"/>
  <c r="AA720" i="38"/>
  <c r="AA745" i="38"/>
  <c r="AA644" i="38"/>
  <c r="W1047" i="38"/>
  <c r="U1047" i="38" s="1"/>
  <c r="V1047" i="38" s="1"/>
  <c r="W1021" i="38"/>
  <c r="U1021" i="38" s="1"/>
  <c r="V1021" i="38" s="1"/>
  <c r="W915" i="38"/>
  <c r="W451" i="38"/>
  <c r="AA451" i="38" s="1"/>
  <c r="W865" i="38"/>
  <c r="U607" i="38"/>
  <c r="V607" i="38" s="1"/>
  <c r="AC472" i="38"/>
  <c r="AB472" i="38" s="1"/>
  <c r="W408" i="38"/>
  <c r="W934" i="38"/>
  <c r="AA761" i="38"/>
  <c r="W869" i="38"/>
  <c r="AA869" i="38" s="1"/>
  <c r="W931" i="38"/>
  <c r="U931" i="38" s="1"/>
  <c r="V931" i="38" s="1"/>
  <c r="W965" i="38"/>
  <c r="W267" i="38"/>
  <c r="U267" i="38" s="1"/>
  <c r="W973" i="38"/>
  <c r="W911" i="38"/>
  <c r="W1036" i="38"/>
  <c r="AC483" i="38"/>
  <c r="AB483" i="38" s="1"/>
  <c r="W940" i="38"/>
  <c r="W907" i="38"/>
  <c r="W888" i="38"/>
  <c r="W1002" i="38"/>
  <c r="AA1002" i="38" s="1"/>
  <c r="W900" i="38"/>
  <c r="W886" i="38"/>
  <c r="AC785" i="38"/>
  <c r="AB785" i="38" s="1"/>
  <c r="AA548" i="38"/>
  <c r="W860" i="38"/>
  <c r="W923" i="38"/>
  <c r="AC490" i="38"/>
  <c r="AB490" i="38" s="1"/>
  <c r="AC489" i="38"/>
  <c r="AB489" i="38" s="1"/>
  <c r="W919" i="38"/>
  <c r="AA919" i="38" s="1"/>
  <c r="W333" i="38"/>
  <c r="AC467" i="38"/>
  <c r="AB467" i="38" s="1"/>
  <c r="W819" i="38"/>
  <c r="W808" i="38"/>
  <c r="AA808" i="38" s="1"/>
  <c r="W1019" i="38"/>
  <c r="AA1019" i="38" s="1"/>
  <c r="W505" i="38"/>
  <c r="U505" i="38" s="1"/>
  <c r="V505" i="38" s="1"/>
  <c r="W944" i="38"/>
  <c r="AA944" i="38" s="1"/>
  <c r="AC521" i="38"/>
  <c r="AB521" i="38" s="1"/>
  <c r="AC525" i="38"/>
  <c r="AB525" i="38" s="1"/>
  <c r="W495" i="38"/>
  <c r="U495" i="38" s="1"/>
  <c r="V495" i="38" s="1"/>
  <c r="W822" i="38"/>
  <c r="U822" i="38" s="1"/>
  <c r="V822" i="38" s="1"/>
  <c r="W866" i="38"/>
  <c r="U866" i="38" s="1"/>
  <c r="V866" i="38" s="1"/>
  <c r="W512" i="38"/>
  <c r="U512" i="38" s="1"/>
  <c r="V512" i="38" s="1"/>
  <c r="W827" i="38"/>
  <c r="U827" i="38" s="1"/>
  <c r="V827" i="38" s="1"/>
  <c r="W927" i="38"/>
  <c r="W323" i="38"/>
  <c r="W281" i="38"/>
  <c r="W501" i="38"/>
  <c r="W957" i="38"/>
  <c r="U957" i="38" s="1"/>
  <c r="V957" i="38" s="1"/>
  <c r="W975" i="38"/>
  <c r="U975" i="38" s="1"/>
  <c r="V975" i="38" s="1"/>
  <c r="W392" i="38"/>
  <c r="AA392" i="38" s="1"/>
  <c r="W829" i="38"/>
  <c r="W479" i="38"/>
  <c r="AA479" i="38" s="1"/>
  <c r="W889" i="38"/>
  <c r="W836" i="38"/>
  <c r="W1000" i="38"/>
  <c r="W997" i="38"/>
  <c r="W459" i="38"/>
  <c r="U459" i="38" s="1"/>
  <c r="V459" i="38" s="1"/>
  <c r="W938" i="38"/>
  <c r="AA938" i="38" s="1"/>
  <c r="W946" i="38"/>
  <c r="W816" i="38"/>
  <c r="AA816" i="38" s="1"/>
  <c r="W801" i="38"/>
  <c r="W863" i="38"/>
  <c r="U550" i="38"/>
  <c r="V550" i="38" s="1"/>
  <c r="W987" i="38"/>
  <c r="W840" i="38"/>
  <c r="W852" i="38"/>
  <c r="U852" i="38" s="1"/>
  <c r="V852" i="38" s="1"/>
  <c r="W491" i="38"/>
  <c r="W977" i="38"/>
  <c r="U977" i="38" s="1"/>
  <c r="V977" i="38" s="1"/>
  <c r="W812" i="38"/>
  <c r="W942" i="38"/>
  <c r="W1025" i="38"/>
  <c r="W995" i="38"/>
  <c r="W862" i="38"/>
  <c r="AA862" i="38" s="1"/>
  <c r="W890" i="38"/>
  <c r="AA890" i="38" s="1"/>
  <c r="W339" i="38"/>
  <c r="W455" i="38"/>
  <c r="W313" i="38"/>
  <c r="W989" i="38"/>
  <c r="W820" i="38"/>
  <c r="W826" i="38"/>
  <c r="W1003" i="38"/>
  <c r="W1004" i="38"/>
  <c r="W475" i="38"/>
  <c r="W854" i="38"/>
  <c r="W880" i="38"/>
  <c r="W979" i="38"/>
  <c r="W883" i="38"/>
  <c r="U883" i="38" s="1"/>
  <c r="V883" i="38" s="1"/>
  <c r="W882" i="38"/>
  <c r="W1045" i="38"/>
  <c r="W933" i="38"/>
  <c r="AA933" i="38" s="1"/>
  <c r="W981" i="38"/>
  <c r="U981" i="38" s="1"/>
  <c r="V981" i="38" s="1"/>
  <c r="W925" i="38"/>
  <c r="U925" i="38" s="1"/>
  <c r="V925" i="38" s="1"/>
  <c r="W1031" i="38"/>
  <c r="W936" i="38"/>
  <c r="U936" i="38" s="1"/>
  <c r="V936" i="38" s="1"/>
  <c r="W530" i="38"/>
  <c r="U530" i="38" s="1"/>
  <c r="V530" i="38" s="1"/>
  <c r="W950" i="38"/>
  <c r="AC786" i="38"/>
  <c r="AB786" i="38" s="1"/>
  <c r="W963" i="38"/>
  <c r="AA963" i="38" s="1"/>
  <c r="W870" i="38"/>
  <c r="AA870" i="38" s="1"/>
  <c r="W993" i="38"/>
  <c r="W1037" i="38"/>
  <c r="AC466" i="38"/>
  <c r="AB466" i="38" s="1"/>
  <c r="W905" i="38"/>
  <c r="W273" i="38"/>
  <c r="W487" i="38"/>
  <c r="W859" i="38"/>
  <c r="W879" i="38"/>
  <c r="U879" i="38" s="1"/>
  <c r="V879" i="38" s="1"/>
  <c r="W949" i="38"/>
  <c r="N415" i="37"/>
  <c r="W941" i="38"/>
  <c r="W894" i="38"/>
  <c r="AA894" i="38" s="1"/>
  <c r="W402" i="38"/>
  <c r="AC511" i="38"/>
  <c r="AB511" i="38" s="1"/>
  <c r="W952" i="38"/>
  <c r="U952" i="38" s="1"/>
  <c r="V952" i="38" s="1"/>
  <c r="W896" i="38"/>
  <c r="W917" i="38"/>
  <c r="W327" i="38"/>
  <c r="AA327" i="38" s="1"/>
  <c r="W337" i="38"/>
  <c r="AA337" i="38" s="1"/>
  <c r="W825" i="38"/>
  <c r="AA825" i="38" s="1"/>
  <c r="W961" i="38"/>
  <c r="W856" i="38"/>
  <c r="W813" i="38"/>
  <c r="W821" i="38"/>
  <c r="U821" i="38" s="1"/>
  <c r="V821" i="38" s="1"/>
  <c r="AC531" i="38"/>
  <c r="AB531" i="38" s="1"/>
  <c r="W818" i="38"/>
  <c r="U818" i="38" s="1"/>
  <c r="V818" i="38" s="1"/>
  <c r="W1024" i="38"/>
  <c r="W913" i="38"/>
  <c r="W275" i="38"/>
  <c r="W453" i="38"/>
  <c r="W851" i="38"/>
  <c r="AA851" i="38" s="1"/>
  <c r="W1017" i="38"/>
  <c r="AA1017" i="38" s="1"/>
  <c r="W814" i="38"/>
  <c r="U814" i="38" s="1"/>
  <c r="V814" i="38" s="1"/>
  <c r="W996" i="38"/>
  <c r="AA996" i="38" s="1"/>
  <c r="W1050" i="38"/>
  <c r="AA1050" i="38" s="1"/>
  <c r="W867" i="38"/>
  <c r="W1011" i="38"/>
  <c r="W1008" i="38"/>
  <c r="U1008" i="38" s="1"/>
  <c r="V1008" i="38" s="1"/>
  <c r="S744" i="38"/>
  <c r="T744" i="38"/>
  <c r="X744" i="38"/>
  <c r="V350" i="38"/>
  <c r="W259" i="38"/>
  <c r="N40" i="12"/>
  <c r="K26" i="42" s="1"/>
  <c r="N54" i="12"/>
  <c r="N69" i="72"/>
  <c r="N87" i="12"/>
  <c r="W948" i="38"/>
  <c r="AC502" i="38"/>
  <c r="AB502" i="38" s="1"/>
  <c r="U690" i="38"/>
  <c r="V690" i="38" s="1"/>
  <c r="AA690" i="38"/>
  <c r="R1472" i="38"/>
  <c r="R1546" i="38"/>
  <c r="R1560" i="38"/>
  <c r="R1510" i="38"/>
  <c r="R1617" i="38"/>
  <c r="R1449" i="38"/>
  <c r="R1565" i="38"/>
  <c r="R1601" i="38"/>
  <c r="R1391" i="38"/>
  <c r="R1379" i="38"/>
  <c r="R1570" i="38"/>
  <c r="R1447" i="38"/>
  <c r="R1425" i="38"/>
  <c r="R1455" i="38"/>
  <c r="R1496" i="38"/>
  <c r="R1512" i="38"/>
  <c r="R1593" i="38"/>
  <c r="R1435" i="38"/>
  <c r="R1506" i="38"/>
  <c r="R1629" i="38"/>
  <c r="R1518" i="38"/>
  <c r="R1381" i="38"/>
  <c r="R1599" i="38"/>
  <c r="R1365" i="38"/>
  <c r="R1423" i="38"/>
  <c r="R1371" i="38"/>
  <c r="R1583" i="38"/>
  <c r="R1514" i="38"/>
  <c r="R1577" i="38"/>
  <c r="R1395" i="38"/>
  <c r="R1369" i="38"/>
  <c r="R1429" i="38"/>
  <c r="R1427" i="38"/>
  <c r="R1494" i="38"/>
  <c r="R1572" i="38"/>
  <c r="R1520" i="38"/>
  <c r="R1562" i="38"/>
  <c r="R1385" i="38"/>
  <c r="R1558" i="38"/>
  <c r="R1500" i="38"/>
  <c r="R1548" i="38"/>
  <c r="R1478" i="38"/>
  <c r="R1433" i="38"/>
  <c r="R1387" i="38"/>
  <c r="R1574" i="38"/>
  <c r="R1530" i="38"/>
  <c r="R1556" i="38"/>
  <c r="R1516" i="38"/>
  <c r="R1504" i="38"/>
  <c r="R1563" i="38"/>
  <c r="R1445" i="38"/>
  <c r="R1643" i="38"/>
  <c r="R1502" i="38"/>
  <c r="R1431" i="38"/>
  <c r="R1591" i="38"/>
  <c r="R1415" i="38"/>
  <c r="R1393" i="38"/>
  <c r="R1419" i="38"/>
  <c r="R1375" i="38"/>
  <c r="R1373" i="38"/>
  <c r="R1421" i="38"/>
  <c r="R1475" i="38"/>
  <c r="R1417" i="38"/>
  <c r="R1383" i="38"/>
  <c r="R1471" i="38"/>
  <c r="R1508" i="38"/>
  <c r="R1474" i="38"/>
  <c r="R1482" i="38"/>
  <c r="R1532" i="38"/>
  <c r="R1498" i="38"/>
  <c r="R1473" i="38"/>
  <c r="R1564" i="38"/>
  <c r="R1637" i="38"/>
  <c r="R1488" i="38"/>
  <c r="R1492" i="38"/>
  <c r="R1611" i="38"/>
  <c r="R1437" i="38"/>
  <c r="R1377" i="38"/>
  <c r="R1367" i="38"/>
  <c r="R1566" i="38"/>
  <c r="R1522" i="38"/>
  <c r="U615" i="38"/>
  <c r="V615" i="38" s="1"/>
  <c r="AA615" i="38"/>
  <c r="U933" i="38"/>
  <c r="V933" i="38" s="1"/>
  <c r="AA925" i="38"/>
  <c r="Q128" i="33"/>
  <c r="R93" i="33"/>
  <c r="U629" i="38"/>
  <c r="V629" i="38" s="1"/>
  <c r="AA629" i="38"/>
  <c r="N110" i="72"/>
  <c r="V456" i="38"/>
  <c r="U554" i="38"/>
  <c r="V554" i="38" s="1"/>
  <c r="AA554" i="38"/>
  <c r="AA594" i="38"/>
  <c r="U594" i="38"/>
  <c r="V594" i="38" s="1"/>
  <c r="U762" i="38"/>
  <c r="V762" i="38" s="1"/>
  <c r="AA762" i="38"/>
  <c r="U808" i="38"/>
  <c r="V808" i="38" s="1"/>
  <c r="W309" i="38"/>
  <c r="N37" i="12"/>
  <c r="U687" i="38"/>
  <c r="AA687" i="38"/>
  <c r="U788" i="38"/>
  <c r="V788" i="38" s="1"/>
  <c r="AA788" i="38"/>
  <c r="U941" i="38"/>
  <c r="V941" i="38" s="1"/>
  <c r="AA941" i="38"/>
  <c r="U602" i="38"/>
  <c r="V602" i="38" s="1"/>
  <c r="AA602" i="38"/>
  <c r="V464" i="38"/>
  <c r="AA708" i="38"/>
  <c r="U708" i="38"/>
  <c r="V708" i="38" s="1"/>
  <c r="S752" i="38"/>
  <c r="T752" i="38"/>
  <c r="X752" i="38"/>
  <c r="S782" i="38"/>
  <c r="T782" i="38"/>
  <c r="X782" i="38"/>
  <c r="O36" i="72"/>
  <c r="V640" i="38"/>
  <c r="AA665" i="38"/>
  <c r="U665" i="38"/>
  <c r="AA957" i="38"/>
  <c r="N429" i="37"/>
  <c r="AA587" i="38"/>
  <c r="U587" i="38"/>
  <c r="V587" i="38" s="1"/>
  <c r="U627" i="38"/>
  <c r="V627" i="38" s="1"/>
  <c r="AA627" i="38"/>
  <c r="U773" i="38"/>
  <c r="V773" i="38" s="1"/>
  <c r="AA773" i="38"/>
  <c r="S1139" i="38"/>
  <c r="T1139" i="38"/>
  <c r="X1139" i="38"/>
  <c r="S1224" i="38"/>
  <c r="T1224" i="38"/>
  <c r="X1224" i="38"/>
  <c r="S1331" i="38"/>
  <c r="T1331" i="38"/>
  <c r="X1331" i="38"/>
  <c r="S1353" i="38"/>
  <c r="T1353" i="38"/>
  <c r="X1353" i="38"/>
  <c r="S1272" i="38"/>
  <c r="T1272" i="38"/>
  <c r="X1272" i="38"/>
  <c r="S1258" i="38"/>
  <c r="T1258" i="38"/>
  <c r="X1258" i="38"/>
  <c r="S1299" i="38"/>
  <c r="T1299" i="38"/>
  <c r="X1299" i="38"/>
  <c r="S1178" i="38"/>
  <c r="T1178" i="38"/>
  <c r="X1178" i="38"/>
  <c r="S1103" i="38"/>
  <c r="T1103" i="38"/>
  <c r="X1103" i="38"/>
  <c r="S1071" i="38"/>
  <c r="T1071" i="38"/>
  <c r="X1071" i="38"/>
  <c r="S1274" i="38"/>
  <c r="T1274" i="38"/>
  <c r="X1274" i="38"/>
  <c r="S1295" i="38"/>
  <c r="T1295" i="38"/>
  <c r="X1295" i="38"/>
  <c r="S1244" i="38"/>
  <c r="T1244" i="38"/>
  <c r="X1244" i="38"/>
  <c r="S1164" i="38"/>
  <c r="T1164" i="38"/>
  <c r="X1164" i="38"/>
  <c r="S1145" i="38"/>
  <c r="T1145" i="38"/>
  <c r="X1145" i="38"/>
  <c r="S1105" i="38"/>
  <c r="T1105" i="38"/>
  <c r="X1105" i="38"/>
  <c r="S1281" i="38"/>
  <c r="T1281" i="38"/>
  <c r="X1281" i="38"/>
  <c r="S1345" i="38"/>
  <c r="T1345" i="38"/>
  <c r="X1345" i="38"/>
  <c r="S1172" i="38"/>
  <c r="T1172" i="38"/>
  <c r="X1172" i="38"/>
  <c r="S689" i="38"/>
  <c r="T689" i="38"/>
  <c r="X689" i="38"/>
  <c r="S651" i="38"/>
  <c r="T651" i="38"/>
  <c r="X651" i="38"/>
  <c r="AA571" i="38"/>
  <c r="U571" i="38"/>
  <c r="V571" i="38" s="1"/>
  <c r="U591" i="38"/>
  <c r="V591" i="38" s="1"/>
  <c r="AA591" i="38"/>
  <c r="W348" i="38"/>
  <c r="N159" i="12"/>
  <c r="S717" i="38"/>
  <c r="T717" i="38"/>
  <c r="X717" i="38"/>
  <c r="S630" i="38"/>
  <c r="T630" i="38"/>
  <c r="X630" i="38"/>
  <c r="W928" i="38"/>
  <c r="U765" i="38"/>
  <c r="V765" i="38" s="1"/>
  <c r="AA765" i="38"/>
  <c r="N34" i="76"/>
  <c r="AA728" i="38"/>
  <c r="U728" i="38"/>
  <c r="V728" i="38" s="1"/>
  <c r="S655" i="38"/>
  <c r="T655" i="38"/>
  <c r="X655" i="38"/>
  <c r="AA695" i="38"/>
  <c r="U695" i="38"/>
  <c r="W872" i="38"/>
  <c r="W943" i="38"/>
  <c r="W499" i="38"/>
  <c r="P328" i="76"/>
  <c r="P43" i="12"/>
  <c r="W909" i="38"/>
  <c r="AA777" i="38"/>
  <c r="U777" i="38"/>
  <c r="V777" i="38" s="1"/>
  <c r="U812" i="38"/>
  <c r="V812" i="38" s="1"/>
  <c r="AA812" i="38"/>
  <c r="U573" i="38"/>
  <c r="V573" i="38" s="1"/>
  <c r="AA573" i="38"/>
  <c r="AA597" i="38"/>
  <c r="U597" i="38"/>
  <c r="V597" i="38" s="1"/>
  <c r="W849" i="38"/>
  <c r="S1068" i="38"/>
  <c r="T1068" i="38"/>
  <c r="X1068" i="38"/>
  <c r="S1173" i="38"/>
  <c r="T1173" i="38"/>
  <c r="X1173" i="38"/>
  <c r="S1313" i="38"/>
  <c r="T1313" i="38"/>
  <c r="X1313" i="38"/>
  <c r="S1167" i="38"/>
  <c r="T1167" i="38"/>
  <c r="X1167" i="38"/>
  <c r="S1193" i="38"/>
  <c r="T1193" i="38"/>
  <c r="X1193" i="38"/>
  <c r="S1108" i="38"/>
  <c r="T1108" i="38"/>
  <c r="X1108" i="38"/>
  <c r="S1271" i="38"/>
  <c r="T1271" i="38"/>
  <c r="X1271" i="38"/>
  <c r="S1074" i="38"/>
  <c r="T1074" i="38"/>
  <c r="X1074" i="38"/>
  <c r="S1064" i="38"/>
  <c r="T1064" i="38"/>
  <c r="X1064" i="38"/>
  <c r="S1249" i="38"/>
  <c r="Q34" i="31" s="1"/>
  <c r="T1249" i="38"/>
  <c r="X1249" i="38"/>
  <c r="S1054" i="38"/>
  <c r="T1054" i="38"/>
  <c r="X1054" i="38"/>
  <c r="W834" i="38"/>
  <c r="V356" i="38"/>
  <c r="AA567" i="38"/>
  <c r="U567" i="38"/>
  <c r="V567" i="38" s="1"/>
  <c r="AA1047" i="38"/>
  <c r="AA477" i="38"/>
  <c r="U477" i="38"/>
  <c r="V477" i="38" s="1"/>
  <c r="W920" i="38"/>
  <c r="U870" i="38"/>
  <c r="V870" i="38" s="1"/>
  <c r="AA993" i="38"/>
  <c r="U993" i="38"/>
  <c r="V993" i="38" s="1"/>
  <c r="U721" i="38"/>
  <c r="V721" i="38" s="1"/>
  <c r="AA721" i="38"/>
  <c r="AC506" i="38"/>
  <c r="AB506" i="38" s="1"/>
  <c r="N66" i="72"/>
  <c r="N84" i="12"/>
  <c r="W817" i="38"/>
  <c r="AA764" i="38"/>
  <c r="U764" i="38"/>
  <c r="V764" i="38" s="1"/>
  <c r="W1030" i="38"/>
  <c r="W1048" i="38"/>
  <c r="AC497" i="38"/>
  <c r="AB497" i="38" s="1"/>
  <c r="N345" i="37"/>
  <c r="AA769" i="38"/>
  <c r="U769" i="38"/>
  <c r="V769" i="38" s="1"/>
  <c r="AA732" i="38"/>
  <c r="U732" i="38"/>
  <c r="V732" i="38" s="1"/>
  <c r="AA681" i="38"/>
  <c r="U681" i="38"/>
  <c r="W855" i="38"/>
  <c r="AC795" i="38"/>
  <c r="AB795" i="38" s="1"/>
  <c r="W1034" i="38"/>
  <c r="W864" i="38"/>
  <c r="AC468" i="38"/>
  <c r="AB468" i="38" s="1"/>
  <c r="AA686" i="38"/>
  <c r="U686" i="38"/>
  <c r="V686" i="38" s="1"/>
  <c r="U759" i="38"/>
  <c r="V759" i="38" s="1"/>
  <c r="AA759" i="38"/>
  <c r="S719" i="38"/>
  <c r="T719" i="38"/>
  <c r="X719" i="38"/>
  <c r="S606" i="38"/>
  <c r="X606" i="38"/>
  <c r="T606" i="38"/>
  <c r="W811" i="38"/>
  <c r="P418" i="37"/>
  <c r="W884" i="38"/>
  <c r="W868" i="38"/>
  <c r="U724" i="38"/>
  <c r="V724" i="38" s="1"/>
  <c r="AA724" i="38"/>
  <c r="U641" i="38"/>
  <c r="AA641" i="38"/>
  <c r="U648" i="38"/>
  <c r="V648" i="38" s="1"/>
  <c r="AA648" i="38"/>
  <c r="W871" i="38"/>
  <c r="V396" i="38"/>
  <c r="U714" i="38"/>
  <c r="V714" i="38" s="1"/>
  <c r="AA714" i="38"/>
  <c r="W858" i="38"/>
  <c r="W945" i="38"/>
  <c r="AA563" i="38"/>
  <c r="U563" i="38"/>
  <c r="V563" i="38" s="1"/>
  <c r="S1157" i="38"/>
  <c r="T1157" i="38"/>
  <c r="X1157" i="38"/>
  <c r="S1123" i="38"/>
  <c r="T1123" i="38"/>
  <c r="X1123" i="38"/>
  <c r="S1264" i="38"/>
  <c r="T1264" i="38"/>
  <c r="X1264" i="38"/>
  <c r="S1073" i="38"/>
  <c r="T1073" i="38"/>
  <c r="X1073" i="38"/>
  <c r="S1101" i="38"/>
  <c r="T1101" i="38"/>
  <c r="X1101" i="38"/>
  <c r="S1301" i="38"/>
  <c r="T1301" i="38"/>
  <c r="X1301" i="38"/>
  <c r="S1099" i="38"/>
  <c r="T1099" i="38"/>
  <c r="X1099" i="38"/>
  <c r="S1220" i="38"/>
  <c r="T1220" i="38"/>
  <c r="X1220" i="38"/>
  <c r="S1186" i="38"/>
  <c r="T1186" i="38"/>
  <c r="X1186" i="38"/>
  <c r="S1228" i="38"/>
  <c r="T1228" i="38"/>
  <c r="X1228" i="38"/>
  <c r="S1343" i="38"/>
  <c r="T1343" i="38"/>
  <c r="X1343" i="38"/>
  <c r="S1242" i="38"/>
  <c r="T1242" i="38"/>
  <c r="X1242" i="38"/>
  <c r="S1341" i="38"/>
  <c r="T1341" i="38"/>
  <c r="X1341" i="38"/>
  <c r="S1268" i="38"/>
  <c r="T1268" i="38"/>
  <c r="X1268" i="38"/>
  <c r="S1087" i="38"/>
  <c r="T1087" i="38"/>
  <c r="X1087" i="38"/>
  <c r="S1200" i="38"/>
  <c r="T1200" i="38"/>
  <c r="X1200" i="38"/>
  <c r="S1293" i="38"/>
  <c r="T1293" i="38"/>
  <c r="X1293" i="38"/>
  <c r="S1359" i="38"/>
  <c r="T1359" i="38"/>
  <c r="X1359" i="38"/>
  <c r="S1115" i="38"/>
  <c r="T1115" i="38"/>
  <c r="X1115" i="38"/>
  <c r="S649" i="38"/>
  <c r="T649" i="38"/>
  <c r="X649" i="38"/>
  <c r="S643" i="38"/>
  <c r="T643" i="38"/>
  <c r="X643" i="38"/>
  <c r="AC485" i="38"/>
  <c r="AB485" i="38" s="1"/>
  <c r="W346" i="38"/>
  <c r="N164" i="12"/>
  <c r="Y25" i="45" s="1"/>
  <c r="N39" i="12"/>
  <c r="K25" i="42" s="1"/>
  <c r="W528" i="38"/>
  <c r="N433" i="37"/>
  <c r="S715" i="38"/>
  <c r="T715" i="38"/>
  <c r="X715" i="38"/>
  <c r="S705" i="38"/>
  <c r="T705" i="38"/>
  <c r="X705" i="38"/>
  <c r="W932" i="38"/>
  <c r="U794" i="38"/>
  <c r="V794" i="38" s="1"/>
  <c r="AA794" i="38"/>
  <c r="AC792" i="38"/>
  <c r="AB792" i="38" s="1"/>
  <c r="W898" i="38"/>
  <c r="S626" i="38"/>
  <c r="X626" i="38"/>
  <c r="T626" i="38"/>
  <c r="S699" i="38"/>
  <c r="T699" i="38"/>
  <c r="X699" i="38"/>
  <c r="N344" i="37"/>
  <c r="W980" i="38"/>
  <c r="U653" i="38"/>
  <c r="AA653" i="38"/>
  <c r="W878" i="38"/>
  <c r="W1028" i="38"/>
  <c r="V562" i="38"/>
  <c r="V265" i="38"/>
  <c r="W436" i="38"/>
  <c r="P72" i="72"/>
  <c r="P90" i="12"/>
  <c r="P93" i="12" s="1"/>
  <c r="W962" i="38"/>
  <c r="U599" i="38"/>
  <c r="V599" i="38" s="1"/>
  <c r="AA599" i="38"/>
  <c r="W806" i="38"/>
  <c r="W830" i="38"/>
  <c r="AA639" i="38"/>
  <c r="U639" i="38"/>
  <c r="W516" i="38"/>
  <c r="W1051" i="38"/>
  <c r="W994" i="38"/>
  <c r="S1080" i="38"/>
  <c r="T1080" i="38"/>
  <c r="X1080" i="38"/>
  <c r="S1072" i="38"/>
  <c r="T1072" i="38"/>
  <c r="X1072" i="38"/>
  <c r="S1116" i="38"/>
  <c r="T1116" i="38"/>
  <c r="X1116" i="38"/>
  <c r="S1284" i="38"/>
  <c r="T1284" i="38"/>
  <c r="X1284" i="38"/>
  <c r="S1305" i="38"/>
  <c r="T1305" i="38"/>
  <c r="X1305" i="38"/>
  <c r="S1118" i="38"/>
  <c r="T1118" i="38"/>
  <c r="X1118" i="38"/>
  <c r="S1241" i="38"/>
  <c r="T1241" i="38"/>
  <c r="X1241" i="38"/>
  <c r="S1159" i="38"/>
  <c r="T1159" i="38"/>
  <c r="X1159" i="38"/>
  <c r="S1201" i="38"/>
  <c r="T1201" i="38"/>
  <c r="X1201" i="38"/>
  <c r="S1181" i="38"/>
  <c r="T1181" i="38"/>
  <c r="X1181" i="38"/>
  <c r="S1078" i="38"/>
  <c r="T1078" i="38"/>
  <c r="X1078" i="38"/>
  <c r="AC476" i="38"/>
  <c r="AB476" i="38" s="1"/>
  <c r="W876" i="38"/>
  <c r="U1050" i="38"/>
  <c r="V1050" i="38" s="1"/>
  <c r="W985" i="38"/>
  <c r="U659" i="38"/>
  <c r="AA659" i="38"/>
  <c r="W390" i="38"/>
  <c r="N128" i="12"/>
  <c r="Y11" i="45" s="1"/>
  <c r="N38" i="12"/>
  <c r="K24" i="42" s="1"/>
  <c r="AA1021" i="38"/>
  <c r="AA915" i="38"/>
  <c r="U915" i="38"/>
  <c r="V915" i="38" s="1"/>
  <c r="W352" i="38"/>
  <c r="U609" i="38"/>
  <c r="V609" i="38" s="1"/>
  <c r="AA609" i="38"/>
  <c r="AA281" i="38"/>
  <c r="U281" i="38"/>
  <c r="V281" i="38" s="1"/>
  <c r="U501" i="38"/>
  <c r="V501" i="38" s="1"/>
  <c r="AA501" i="38"/>
  <c r="U950" i="38"/>
  <c r="V950" i="38" s="1"/>
  <c r="AA950" i="38"/>
  <c r="AA917" i="38"/>
  <c r="U917" i="38"/>
  <c r="V917" i="38" s="1"/>
  <c r="R1370" i="38"/>
  <c r="R1402" i="38"/>
  <c r="R1636" i="38"/>
  <c r="R1567" i="38"/>
  <c r="R1464" i="38"/>
  <c r="R1390" i="38"/>
  <c r="R1590" i="38"/>
  <c r="R1551" i="38"/>
  <c r="R1450" i="38"/>
  <c r="R1576" i="38"/>
  <c r="R1418" i="38"/>
  <c r="R1448" i="38"/>
  <c r="R1382" i="38"/>
  <c r="R1404" i="38"/>
  <c r="R1446" i="38"/>
  <c r="R1539" i="38"/>
  <c r="R1489" i="38"/>
  <c r="R1456" i="38"/>
  <c r="R1416" i="38"/>
  <c r="R1485" i="38"/>
  <c r="R1406" i="38"/>
  <c r="R1608" i="38"/>
  <c r="R1462" i="38"/>
  <c r="R1553" i="38"/>
  <c r="R1384" i="38"/>
  <c r="R1513" i="38"/>
  <c r="R1400" i="38"/>
  <c r="R1394" i="38"/>
  <c r="R1575" i="38"/>
  <c r="R1386" i="38"/>
  <c r="R1442" i="38"/>
  <c r="R1600" i="38"/>
  <c r="R1410" i="38"/>
  <c r="R1487" i="38"/>
  <c r="R1525" i="38"/>
  <c r="R1598" i="38"/>
  <c r="R1537" i="38"/>
  <c r="R1628" i="38"/>
  <c r="R1477" i="38"/>
  <c r="R1396" i="38"/>
  <c r="R1368" i="38"/>
  <c r="R1596" i="38"/>
  <c r="R1614" i="38"/>
  <c r="R1535" i="38"/>
  <c r="R1521" i="38"/>
  <c r="R1499" i="38"/>
  <c r="R1392" i="38"/>
  <c r="R1580" i="38"/>
  <c r="R1372" i="38"/>
  <c r="R1612" i="38"/>
  <c r="R1604" i="38"/>
  <c r="R1398" i="38"/>
  <c r="R1545" i="38"/>
  <c r="R1466" i="38"/>
  <c r="R1444" i="38"/>
  <c r="R1632" i="38"/>
  <c r="R1531" i="38"/>
  <c r="R1436" i="38"/>
  <c r="R1479" i="38"/>
  <c r="R1438" i="38"/>
  <c r="R1519" i="38"/>
  <c r="R1424" i="38"/>
  <c r="R1458" i="38"/>
  <c r="R1507" i="38"/>
  <c r="R1549" i="38"/>
  <c r="R1388" i="38"/>
  <c r="R1432" i="38"/>
  <c r="R1541" i="38"/>
  <c r="R1527" i="38"/>
  <c r="R1561" i="38"/>
  <c r="R1374" i="38"/>
  <c r="R1616" i="38"/>
  <c r="R1434" i="38"/>
  <c r="R1491" i="38"/>
  <c r="R1412" i="38"/>
  <c r="R1454" i="38"/>
  <c r="R1426" i="38"/>
  <c r="R1452" i="38"/>
  <c r="R1430" i="38"/>
  <c r="R1505" i="38"/>
  <c r="R1470" i="38"/>
  <c r="R1644" i="38"/>
  <c r="R1594" i="38"/>
  <c r="R1376" i="38"/>
  <c r="R1533" i="38"/>
  <c r="R1460" i="38"/>
  <c r="R1634" i="38"/>
  <c r="R1380" i="38"/>
  <c r="R1440" i="38"/>
  <c r="R1592" i="38"/>
  <c r="R1503" i="38"/>
  <c r="R1586" i="38"/>
  <c r="R1620" i="38"/>
  <c r="R1622" i="38"/>
  <c r="R1420" i="38"/>
  <c r="R1497" i="38"/>
  <c r="R1559" i="38"/>
  <c r="R1571" i="38"/>
  <c r="R1468" i="38"/>
  <c r="R1378" i="38"/>
  <c r="R1638" i="38"/>
  <c r="R1493" i="38"/>
  <c r="R1543" i="38"/>
  <c r="R1578" i="38"/>
  <c r="R1630" i="38"/>
  <c r="R1547" i="38"/>
  <c r="R1618" i="38"/>
  <c r="R1529" i="38"/>
  <c r="R1483" i="38"/>
  <c r="R1627" i="38"/>
  <c r="R1501" i="38"/>
  <c r="R1511" i="38"/>
  <c r="R1495" i="38"/>
  <c r="R1624" i="38"/>
  <c r="R1569" i="38"/>
  <c r="R1606" i="38"/>
  <c r="R1640" i="38"/>
  <c r="R1584" i="38"/>
  <c r="R1509" i="38"/>
  <c r="R1414" i="38"/>
  <c r="R1642" i="38"/>
  <c r="R1588" i="38"/>
  <c r="R1515" i="38"/>
  <c r="R1557" i="38"/>
  <c r="R1555" i="38"/>
  <c r="R1366" i="38"/>
  <c r="R1573" i="38"/>
  <c r="R1517" i="38"/>
  <c r="R1610" i="38"/>
  <c r="R1523" i="38"/>
  <c r="R1422" i="38"/>
  <c r="R1408" i="38"/>
  <c r="R1602" i="38"/>
  <c r="R1428" i="38"/>
  <c r="R1582" i="38"/>
  <c r="R1481" i="38"/>
  <c r="AA537" i="38"/>
  <c r="U537" i="38"/>
  <c r="V537" i="38" s="1"/>
  <c r="U940" i="38"/>
  <c r="V940" i="38" s="1"/>
  <c r="AA940" i="38"/>
  <c r="AA907" i="38"/>
  <c r="U907" i="38"/>
  <c r="AA662" i="38"/>
  <c r="U662" i="38"/>
  <c r="V662" i="38" s="1"/>
  <c r="U753" i="38"/>
  <c r="V753" i="38" s="1"/>
  <c r="AA753" i="38"/>
  <c r="AA913" i="38"/>
  <c r="U913" i="38"/>
  <c r="V913" i="38" s="1"/>
  <c r="S1083" i="38"/>
  <c r="T1083" i="38"/>
  <c r="X1083" i="38"/>
  <c r="S1170" i="38"/>
  <c r="T1170" i="38"/>
  <c r="X1170" i="38"/>
  <c r="S1279" i="38"/>
  <c r="T1279" i="38"/>
  <c r="X1279" i="38"/>
  <c r="S1325" i="38"/>
  <c r="T1325" i="38"/>
  <c r="X1325" i="38"/>
  <c r="S1081" i="38"/>
  <c r="T1081" i="38"/>
  <c r="X1081" i="38"/>
  <c r="S1246" i="38"/>
  <c r="X1246" i="38"/>
  <c r="T1246" i="38"/>
  <c r="S1125" i="38"/>
  <c r="T1125" i="38"/>
  <c r="X1125" i="38"/>
  <c r="S1363" i="38"/>
  <c r="T1363" i="38"/>
  <c r="X1363" i="38"/>
  <c r="S1107" i="38"/>
  <c r="T1107" i="38"/>
  <c r="X1107" i="38"/>
  <c r="S1097" i="38"/>
  <c r="T1097" i="38"/>
  <c r="X1097" i="38"/>
  <c r="S1141" i="38"/>
  <c r="T1141" i="38"/>
  <c r="X1141" i="38"/>
  <c r="S1339" i="38"/>
  <c r="T1339" i="38"/>
  <c r="X1339" i="38"/>
  <c r="S1166" i="38"/>
  <c r="T1166" i="38"/>
  <c r="X1166" i="38"/>
  <c r="S1133" i="38"/>
  <c r="T1133" i="38"/>
  <c r="X1133" i="38"/>
  <c r="S1347" i="38"/>
  <c r="T1347" i="38"/>
  <c r="X1347" i="38"/>
  <c r="S1119" i="38"/>
  <c r="T1119" i="38"/>
  <c r="X1119" i="38"/>
  <c r="S1256" i="38"/>
  <c r="T1256" i="38"/>
  <c r="X1256" i="38"/>
  <c r="S1143" i="38"/>
  <c r="T1143" i="38"/>
  <c r="X1143" i="38"/>
  <c r="S1222" i="38"/>
  <c r="T1222" i="38"/>
  <c r="X1222" i="38"/>
  <c r="S564" i="38"/>
  <c r="T564" i="38"/>
  <c r="X564" i="38"/>
  <c r="S756" i="38"/>
  <c r="T756" i="38"/>
  <c r="X756" i="38"/>
  <c r="N68" i="72"/>
  <c r="N86" i="12"/>
  <c r="N169" i="12"/>
  <c r="Y29" i="45" s="1"/>
  <c r="U329" i="38"/>
  <c r="V329" i="38" s="1"/>
  <c r="AA329" i="38"/>
  <c r="U697" i="38"/>
  <c r="AA697" i="38"/>
  <c r="S580" i="38"/>
  <c r="T580" i="38"/>
  <c r="X580" i="38"/>
  <c r="S634" i="38"/>
  <c r="T634" i="38"/>
  <c r="X634" i="38"/>
  <c r="W930" i="38"/>
  <c r="W953" i="38"/>
  <c r="W850" i="38"/>
  <c r="S628" i="38"/>
  <c r="T628" i="38"/>
  <c r="X628" i="38"/>
  <c r="S570" i="38"/>
  <c r="T570" i="38"/>
  <c r="X570" i="38"/>
  <c r="AA730" i="38"/>
  <c r="U730" i="38"/>
  <c r="V730" i="38" s="1"/>
  <c r="V345" i="38"/>
  <c r="N52" i="72"/>
  <c r="W406" i="38"/>
  <c r="U771" i="38"/>
  <c r="V771" i="38" s="1"/>
  <c r="AA771" i="38"/>
  <c r="W853" i="38"/>
  <c r="P36" i="31"/>
  <c r="U725" i="38"/>
  <c r="V725" i="38" s="1"/>
  <c r="AA725" i="38"/>
  <c r="W802" i="38"/>
  <c r="W921" i="38"/>
  <c r="V638" i="38"/>
  <c r="W269" i="38"/>
  <c r="U741" i="38"/>
  <c r="V741" i="38" s="1"/>
  <c r="AA741" i="38"/>
  <c r="W799" i="38"/>
  <c r="AA633" i="38"/>
  <c r="U633" i="38"/>
  <c r="V633" i="38" s="1"/>
  <c r="AA722" i="38"/>
  <c r="U722" i="38"/>
  <c r="V722" i="38" s="1"/>
  <c r="W929" i="38"/>
  <c r="W955" i="38"/>
  <c r="U767" i="38"/>
  <c r="V767" i="38" s="1"/>
  <c r="AA767" i="38"/>
  <c r="AA545" i="38"/>
  <c r="U545" i="38"/>
  <c r="V545" i="38" s="1"/>
  <c r="W400" i="38"/>
  <c r="N127" i="12"/>
  <c r="Y10" i="45" s="1"/>
  <c r="W311" i="38"/>
  <c r="W803" i="38"/>
  <c r="S1278" i="38"/>
  <c r="X1278" i="38"/>
  <c r="T1278" i="38"/>
  <c r="S1250" i="38"/>
  <c r="Q35" i="31" s="1"/>
  <c r="T1250" i="38"/>
  <c r="X1250" i="38"/>
  <c r="S1330" i="38"/>
  <c r="T1330" i="38"/>
  <c r="X1330" i="38"/>
  <c r="S1322" i="38"/>
  <c r="T1322" i="38"/>
  <c r="X1322" i="38"/>
  <c r="S1311" i="38"/>
  <c r="T1311" i="38"/>
  <c r="X1311" i="38"/>
  <c r="S1066" i="38"/>
  <c r="T1066" i="38"/>
  <c r="X1066" i="38"/>
  <c r="S1110" i="38"/>
  <c r="T1110" i="38"/>
  <c r="X1110" i="38"/>
  <c r="S1243" i="38"/>
  <c r="T1243" i="38"/>
  <c r="X1243" i="38"/>
  <c r="S1179" i="38"/>
  <c r="T1179" i="38"/>
  <c r="X1179" i="38"/>
  <c r="S1136" i="38"/>
  <c r="T1136" i="38"/>
  <c r="X1136" i="38"/>
  <c r="S1199" i="38"/>
  <c r="T1199" i="38"/>
  <c r="X1199" i="38"/>
  <c r="W971" i="38"/>
  <c r="W1015" i="38"/>
  <c r="N133" i="12"/>
  <c r="Y15" i="45" s="1"/>
  <c r="N85" i="12"/>
  <c r="N67" i="72"/>
  <c r="N342" i="37"/>
  <c r="N370" i="37"/>
  <c r="U779" i="38"/>
  <c r="V779" i="38" s="1"/>
  <c r="AA779" i="38"/>
  <c r="U603" i="38"/>
  <c r="V603" i="38" s="1"/>
  <c r="AA603" i="38"/>
  <c r="U781" i="38"/>
  <c r="V781" i="38" s="1"/>
  <c r="AA781" i="38"/>
  <c r="W514" i="38"/>
  <c r="W1009" i="38"/>
  <c r="W1040" i="38"/>
  <c r="W939" i="38"/>
  <c r="W832" i="38"/>
  <c r="U696" i="38"/>
  <c r="V696" i="38" s="1"/>
  <c r="AA696" i="38"/>
  <c r="W473" i="38"/>
  <c r="W471" i="38"/>
  <c r="S768" i="38"/>
  <c r="T768" i="38"/>
  <c r="X768" i="38"/>
  <c r="S556" i="38"/>
  <c r="T556" i="38"/>
  <c r="X556" i="38"/>
  <c r="W908" i="38"/>
  <c r="AC798" i="38"/>
  <c r="AB798" i="38" s="1"/>
  <c r="W1046" i="38"/>
  <c r="W828" i="38"/>
  <c r="AA582" i="38"/>
  <c r="U582" i="38"/>
  <c r="R1817" i="38"/>
  <c r="R1711" i="38"/>
  <c r="R1731" i="38"/>
  <c r="R1657" i="38"/>
  <c r="R1671" i="38"/>
  <c r="R1647" i="38"/>
  <c r="R1837" i="38"/>
  <c r="R1765" i="38"/>
  <c r="R1735" i="38"/>
  <c r="R1665" i="38"/>
  <c r="R1763" i="38"/>
  <c r="R1848" i="38"/>
  <c r="R1781" i="38"/>
  <c r="R1775" i="38"/>
  <c r="R1745" i="38"/>
  <c r="R1809" i="38"/>
  <c r="R1679" i="38"/>
  <c r="R1683" i="38"/>
  <c r="R1741" i="38"/>
  <c r="R1882" i="38"/>
  <c r="R1801" i="38"/>
  <c r="R1791" i="38"/>
  <c r="R1677" i="38"/>
  <c r="R1685" i="38"/>
  <c r="R1793" i="38"/>
  <c r="R1709" i="38"/>
  <c r="R1669" i="38"/>
  <c r="R1789" i="38"/>
  <c r="R1675" i="38"/>
  <c r="R1651" i="38"/>
  <c r="R1717" i="38"/>
  <c r="R1831" i="38"/>
  <c r="R1827" i="38"/>
  <c r="R1803" i="38"/>
  <c r="R1727" i="38"/>
  <c r="R1761" i="38"/>
  <c r="R1703" i="38"/>
  <c r="R1773" i="38"/>
  <c r="R1747" i="38"/>
  <c r="R1681" i="38"/>
  <c r="R1687" i="38"/>
  <c r="R1854" i="38"/>
  <c r="R1715" i="38"/>
  <c r="R1829" i="38"/>
  <c r="R1847" i="38"/>
  <c r="R1799" i="38"/>
  <c r="R1691" i="38"/>
  <c r="R1769" i="38"/>
  <c r="R1878" i="38"/>
  <c r="R1767" i="38"/>
  <c r="R1864" i="38"/>
  <c r="R1707" i="38"/>
  <c r="R1725" i="38"/>
  <c r="R1693" i="38"/>
  <c r="R1751" i="38"/>
  <c r="R1737" i="38"/>
  <c r="R1659" i="38"/>
  <c r="R1856" i="38"/>
  <c r="R1821" i="38"/>
  <c r="R1833" i="38"/>
  <c r="R1858" i="38"/>
  <c r="R1667" i="38"/>
  <c r="R1835" i="38"/>
  <c r="R1813" i="38"/>
  <c r="R1663" i="38"/>
  <c r="R1733" i="38"/>
  <c r="R1719" i="38"/>
  <c r="R1880" i="38"/>
  <c r="R1743" i="38"/>
  <c r="R1874" i="38"/>
  <c r="R1759" i="38"/>
  <c r="R1783" i="38"/>
  <c r="R1695" i="38"/>
  <c r="R1795" i="38"/>
  <c r="R1779" i="38"/>
  <c r="R1785" i="38"/>
  <c r="R1870" i="38"/>
  <c r="R1777" i="38"/>
  <c r="R1697" i="38"/>
  <c r="R1655" i="38"/>
  <c r="R1757" i="38"/>
  <c r="R1850" i="38"/>
  <c r="R1701" i="38"/>
  <c r="R1866" i="38"/>
  <c r="R1673" i="38"/>
  <c r="R1729" i="38"/>
  <c r="R1876" i="38"/>
  <c r="R1787" i="38"/>
  <c r="R1723" i="38"/>
  <c r="R1807" i="38"/>
  <c r="R1839" i="38"/>
  <c r="R1713" i="38"/>
  <c r="R1823" i="38"/>
  <c r="R1860" i="38"/>
  <c r="R1661" i="38"/>
  <c r="R1841" i="38"/>
  <c r="R1739" i="38"/>
  <c r="R1819" i="38"/>
  <c r="R1699" i="38"/>
  <c r="R1872" i="38"/>
  <c r="R1852" i="38"/>
  <c r="R1649" i="38"/>
  <c r="R1805" i="38"/>
  <c r="R1689" i="38"/>
  <c r="R1825" i="38"/>
  <c r="R1771" i="38"/>
  <c r="R1749" i="38"/>
  <c r="R1815" i="38"/>
  <c r="R1868" i="38"/>
  <c r="R1705" i="38"/>
  <c r="R1797" i="38"/>
  <c r="R1721" i="38"/>
  <c r="R1862" i="38"/>
  <c r="R1811" i="38"/>
  <c r="R1653" i="38"/>
  <c r="AA661" i="38"/>
  <c r="U661" i="38"/>
  <c r="V661" i="38" s="1"/>
  <c r="AA277" i="38"/>
  <c r="U277" i="38"/>
  <c r="V277" i="38" s="1"/>
  <c r="AC492" i="38"/>
  <c r="AB492" i="38" s="1"/>
  <c r="U809" i="38"/>
  <c r="V809" i="38" s="1"/>
  <c r="AA809" i="38"/>
  <c r="U678" i="38"/>
  <c r="V678" i="38" s="1"/>
  <c r="AA678" i="38"/>
  <c r="AA888" i="38"/>
  <c r="U888" i="38"/>
  <c r="V888" i="38" s="1"/>
  <c r="S1236" i="38"/>
  <c r="T1236" i="38"/>
  <c r="X1236" i="38"/>
  <c r="S1174" i="38"/>
  <c r="T1174" i="38"/>
  <c r="X1174" i="38"/>
  <c r="S1337" i="38"/>
  <c r="T1337" i="38"/>
  <c r="X1337" i="38"/>
  <c r="S1262" i="38"/>
  <c r="T1262" i="38"/>
  <c r="X1262" i="38"/>
  <c r="S1310" i="38"/>
  <c r="T1310" i="38"/>
  <c r="X1310" i="38"/>
  <c r="S1212" i="38"/>
  <c r="T1212" i="38"/>
  <c r="X1212" i="38"/>
  <c r="S1335" i="38"/>
  <c r="T1335" i="38"/>
  <c r="X1335" i="38"/>
  <c r="S1240" i="38"/>
  <c r="T1240" i="38"/>
  <c r="X1240" i="38"/>
  <c r="S1135" i="38"/>
  <c r="T1135" i="38"/>
  <c r="X1135" i="38"/>
  <c r="S1276" i="38"/>
  <c r="T1276" i="38"/>
  <c r="X1276" i="38"/>
  <c r="S1079" i="38"/>
  <c r="T1079" i="38"/>
  <c r="X1079" i="38"/>
  <c r="S1361" i="38"/>
  <c r="X1361" i="38"/>
  <c r="T1361" i="38"/>
  <c r="S1188" i="38"/>
  <c r="T1188" i="38"/>
  <c r="X1188" i="38"/>
  <c r="S1323" i="38"/>
  <c r="T1323" i="38"/>
  <c r="X1323" i="38"/>
  <c r="S1226" i="38"/>
  <c r="T1226" i="38"/>
  <c r="X1226" i="38"/>
  <c r="S1168" i="38"/>
  <c r="T1168" i="38"/>
  <c r="X1168" i="38"/>
  <c r="S1287" i="38"/>
  <c r="T1287" i="38"/>
  <c r="X1287" i="38"/>
  <c r="S1277" i="38"/>
  <c r="T1277" i="38"/>
  <c r="X1277" i="38"/>
  <c r="S1208" i="38"/>
  <c r="T1208" i="38"/>
  <c r="X1208" i="38"/>
  <c r="S693" i="38"/>
  <c r="O417" i="37" s="1"/>
  <c r="T693" i="38"/>
  <c r="X693" i="38"/>
  <c r="S740" i="38"/>
  <c r="T740" i="38"/>
  <c r="X740" i="38"/>
  <c r="N432" i="37"/>
  <c r="N372" i="37"/>
  <c r="S707" i="38"/>
  <c r="T707" i="38"/>
  <c r="X707" i="38"/>
  <c r="U946" i="38"/>
  <c r="V946" i="38" s="1"/>
  <c r="AA946" i="38"/>
  <c r="AA883" i="38"/>
  <c r="AA882" i="38"/>
  <c r="U882" i="38"/>
  <c r="V882" i="38" s="1"/>
  <c r="U534" i="38"/>
  <c r="AA534" i="38"/>
  <c r="U617" i="38"/>
  <c r="V617" i="38" s="1"/>
  <c r="AA617" i="38"/>
  <c r="S572" i="38"/>
  <c r="T572" i="38"/>
  <c r="X572" i="38"/>
  <c r="S738" i="38"/>
  <c r="X738" i="38"/>
  <c r="T738" i="38"/>
  <c r="U487" i="38"/>
  <c r="V487" i="38" s="1"/>
  <c r="AA487" i="38"/>
  <c r="W924" i="38"/>
  <c r="W969" i="38"/>
  <c r="W935" i="38"/>
  <c r="W430" i="38"/>
  <c r="N160" i="12"/>
  <c r="Y21" i="45" s="1"/>
  <c r="U541" i="38"/>
  <c r="V541" i="38" s="1"/>
  <c r="AA541" i="38"/>
  <c r="N413" i="37"/>
  <c r="U733" i="38"/>
  <c r="V733" i="38" s="1"/>
  <c r="AA733" i="38"/>
  <c r="U867" i="38"/>
  <c r="V867" i="38" s="1"/>
  <c r="AA867" i="38"/>
  <c r="P413" i="37"/>
  <c r="U593" i="38"/>
  <c r="V593" i="38" s="1"/>
  <c r="AA593" i="38"/>
  <c r="W838" i="38"/>
  <c r="W1006" i="38"/>
  <c r="U549" i="38"/>
  <c r="V549" i="38" s="1"/>
  <c r="AA549" i="38"/>
  <c r="AA601" i="38"/>
  <c r="U601" i="38"/>
  <c r="V601" i="38" s="1"/>
  <c r="W404" i="38"/>
  <c r="N126" i="12"/>
  <c r="Y9" i="45" s="1"/>
  <c r="AA879" i="38"/>
  <c r="S1217" i="38"/>
  <c r="T1217" i="38"/>
  <c r="X1217" i="38"/>
  <c r="S1248" i="38"/>
  <c r="T1248" i="38"/>
  <c r="X1248" i="38"/>
  <c r="S1132" i="38"/>
  <c r="T1132" i="38"/>
  <c r="X1132" i="38"/>
  <c r="S1231" i="38"/>
  <c r="T1231" i="38"/>
  <c r="X1231" i="38"/>
  <c r="S1183" i="38"/>
  <c r="T1183" i="38"/>
  <c r="X1183" i="38"/>
  <c r="S1102" i="38"/>
  <c r="T1102" i="38"/>
  <c r="X1102" i="38"/>
  <c r="S1114" i="38"/>
  <c r="T1114" i="38"/>
  <c r="X1114" i="38"/>
  <c r="S1189" i="38"/>
  <c r="T1189" i="38"/>
  <c r="X1189" i="38"/>
  <c r="S1215" i="38"/>
  <c r="T1215" i="38"/>
  <c r="X1215" i="38"/>
  <c r="S1195" i="38"/>
  <c r="T1195" i="38"/>
  <c r="X1195" i="38"/>
  <c r="S1298" i="38"/>
  <c r="T1298" i="38"/>
  <c r="X1298" i="38"/>
  <c r="U1004" i="38"/>
  <c r="V1004" i="38" s="1"/>
  <c r="AA1004" i="38"/>
  <c r="U880" i="38"/>
  <c r="V880" i="38" s="1"/>
  <c r="AA880" i="38"/>
  <c r="N416" i="37"/>
  <c r="N371" i="37"/>
  <c r="L28" i="42"/>
  <c r="O46" i="12"/>
  <c r="U333" i="38"/>
  <c r="V333" i="38" s="1"/>
  <c r="AA333" i="38"/>
  <c r="AA819" i="38"/>
  <c r="U819" i="38"/>
  <c r="V819" i="38" s="1"/>
  <c r="U671" i="38"/>
  <c r="V671" i="38" s="1"/>
  <c r="AA671" i="38"/>
  <c r="O288" i="37"/>
  <c r="O297" i="37" s="1"/>
  <c r="O300" i="37" s="1"/>
  <c r="O302" i="37" s="1"/>
  <c r="O96" i="70"/>
  <c r="O27" i="70" s="1"/>
  <c r="O20" i="37" s="1"/>
  <c r="S776" i="38"/>
  <c r="T776" i="38"/>
  <c r="X776" i="38"/>
  <c r="N343" i="37"/>
  <c r="U1025" i="38"/>
  <c r="V1025" i="38" s="1"/>
  <c r="AA1025" i="38"/>
  <c r="U911" i="38"/>
  <c r="V911" i="38" s="1"/>
  <c r="AA911" i="38"/>
  <c r="U1036" i="38"/>
  <c r="V1036" i="38" s="1"/>
  <c r="AA1036" i="38"/>
  <c r="V235" i="38"/>
  <c r="W418" i="38"/>
  <c r="N165" i="12"/>
  <c r="Y26" i="45" s="1"/>
  <c r="W1039" i="38"/>
  <c r="U669" i="38"/>
  <c r="V669" i="38" s="1"/>
  <c r="AA669" i="38"/>
  <c r="U991" i="38"/>
  <c r="V991" i="38" s="1"/>
  <c r="AA991" i="38"/>
  <c r="AA616" i="38"/>
  <c r="U616" i="38"/>
  <c r="V616" i="38" s="1"/>
  <c r="S1077" i="38"/>
  <c r="T1077" i="38"/>
  <c r="X1077" i="38"/>
  <c r="S1137" i="38"/>
  <c r="T1137" i="38"/>
  <c r="X1137" i="38"/>
  <c r="S1069" i="38"/>
  <c r="X1069" i="38"/>
  <c r="T1069" i="38"/>
  <c r="S1190" i="38"/>
  <c r="T1190" i="38"/>
  <c r="X1190" i="38"/>
  <c r="S1095" i="38"/>
  <c r="T1095" i="38"/>
  <c r="X1095" i="38"/>
  <c r="S1232" i="38"/>
  <c r="T1232" i="38"/>
  <c r="X1232" i="38"/>
  <c r="S1113" i="38"/>
  <c r="T1113" i="38"/>
  <c r="X1113" i="38"/>
  <c r="S1291" i="38"/>
  <c r="T1291" i="38"/>
  <c r="X1291" i="38"/>
  <c r="S1089" i="38"/>
  <c r="X1089" i="38"/>
  <c r="T1089" i="38"/>
  <c r="S1091" i="38"/>
  <c r="T1091" i="38"/>
  <c r="X1091" i="38"/>
  <c r="S1147" i="38"/>
  <c r="T1147" i="38"/>
  <c r="X1147" i="38"/>
  <c r="S1333" i="38"/>
  <c r="T1333" i="38"/>
  <c r="X1333" i="38"/>
  <c r="S1184" i="38"/>
  <c r="T1184" i="38"/>
  <c r="X1184" i="38"/>
  <c r="S1192" i="38"/>
  <c r="T1192" i="38"/>
  <c r="X1192" i="38"/>
  <c r="S1111" i="38"/>
  <c r="T1111" i="38"/>
  <c r="X1111" i="38"/>
  <c r="S1053" i="38"/>
  <c r="T1053" i="38"/>
  <c r="X1053" i="38"/>
  <c r="S1355" i="38"/>
  <c r="T1355" i="38"/>
  <c r="X1355" i="38"/>
  <c r="S1117" i="38"/>
  <c r="T1117" i="38"/>
  <c r="X1117" i="38"/>
  <c r="S1218" i="38"/>
  <c r="T1218" i="38"/>
  <c r="X1218" i="38"/>
  <c r="S742" i="38"/>
  <c r="T742" i="38"/>
  <c r="X742" i="38"/>
  <c r="S691" i="38"/>
  <c r="T691" i="38"/>
  <c r="X691" i="38"/>
  <c r="R51" i="33"/>
  <c r="Q125" i="33"/>
  <c r="W434" i="38"/>
  <c r="N125" i="12"/>
  <c r="Y8" i="45" s="1"/>
  <c r="U479" i="38"/>
  <c r="V479" i="38" s="1"/>
  <c r="S709" i="38"/>
  <c r="T709" i="38"/>
  <c r="X709" i="38"/>
  <c r="S574" i="38"/>
  <c r="T574" i="38"/>
  <c r="X574" i="38"/>
  <c r="AC783" i="38"/>
  <c r="AB783" i="38" s="1"/>
  <c r="U905" i="38"/>
  <c r="AA905" i="38"/>
  <c r="P428" i="37"/>
  <c r="W902" i="38"/>
  <c r="W1032" i="38"/>
  <c r="AA660" i="38"/>
  <c r="U660" i="38"/>
  <c r="V660" i="38" s="1"/>
  <c r="S568" i="38"/>
  <c r="T568" i="38"/>
  <c r="X568" i="38"/>
  <c r="S760" i="38"/>
  <c r="T760" i="38"/>
  <c r="X760" i="38"/>
  <c r="W503" i="38"/>
  <c r="W271" i="38"/>
  <c r="P50" i="12"/>
  <c r="M34" i="42" s="1"/>
  <c r="W906" i="38"/>
  <c r="W978" i="38"/>
  <c r="AA900" i="38"/>
  <c r="U900" i="38"/>
  <c r="V900" i="38" s="1"/>
  <c r="U886" i="38"/>
  <c r="V886" i="38" s="1"/>
  <c r="AA886" i="38"/>
  <c r="U652" i="38"/>
  <c r="V652" i="38" s="1"/>
  <c r="AA652" i="38"/>
  <c r="W510" i="38"/>
  <c r="N123" i="12"/>
  <c r="AA553" i="38"/>
  <c r="U553" i="38"/>
  <c r="V553" i="38" s="1"/>
  <c r="AA1003" i="38"/>
  <c r="U1003" i="38"/>
  <c r="V1003" i="38" s="1"/>
  <c r="U592" i="38"/>
  <c r="V592" i="38" s="1"/>
  <c r="AA592" i="38"/>
  <c r="AA989" i="38"/>
  <c r="U989" i="38"/>
  <c r="V989" i="38" s="1"/>
  <c r="AA820" i="38"/>
  <c r="U820" i="38"/>
  <c r="V820" i="38" s="1"/>
  <c r="U729" i="38"/>
  <c r="V729" i="38" s="1"/>
  <c r="AA729" i="38"/>
  <c r="U491" i="38"/>
  <c r="V491" i="38" s="1"/>
  <c r="AA491" i="38"/>
  <c r="V382" i="38"/>
  <c r="AA801" i="38"/>
  <c r="U801" i="38"/>
  <c r="AA863" i="38"/>
  <c r="U863" i="38"/>
  <c r="V863" i="38" s="1"/>
  <c r="S1332" i="38"/>
  <c r="T1332" i="38"/>
  <c r="X1332" i="38"/>
  <c r="S1104" i="38"/>
  <c r="T1104" i="38"/>
  <c r="X1104" i="38"/>
  <c r="S1062" i="38"/>
  <c r="T1062" i="38"/>
  <c r="X1062" i="38"/>
  <c r="S1124" i="38"/>
  <c r="T1124" i="38"/>
  <c r="X1124" i="38"/>
  <c r="S1058" i="38"/>
  <c r="X1058" i="38"/>
  <c r="T1058" i="38"/>
  <c r="S1207" i="38"/>
  <c r="T1207" i="38"/>
  <c r="X1207" i="38"/>
  <c r="S1070" i="38"/>
  <c r="X1070" i="38"/>
  <c r="T1070" i="38"/>
  <c r="S1304" i="38"/>
  <c r="T1304" i="38"/>
  <c r="X1304" i="38"/>
  <c r="S1177" i="38"/>
  <c r="X1177" i="38"/>
  <c r="T1177" i="38"/>
  <c r="S1112" i="38"/>
  <c r="T1112" i="38"/>
  <c r="X1112" i="38"/>
  <c r="S1350" i="38"/>
  <c r="T1350" i="38"/>
  <c r="X1350" i="38"/>
  <c r="AA949" i="38"/>
  <c r="U949" i="38"/>
  <c r="V949" i="38" s="1"/>
  <c r="V412" i="38"/>
  <c r="V775" i="38"/>
  <c r="AA551" i="38"/>
  <c r="U551" i="38"/>
  <c r="V551" i="38" s="1"/>
  <c r="AA475" i="38"/>
  <c r="U475" i="38"/>
  <c r="V475" i="38" s="1"/>
  <c r="U965" i="38"/>
  <c r="V965" i="38" s="1"/>
  <c r="AA965" i="38"/>
  <c r="N124" i="12"/>
  <c r="Y7" i="45" s="1"/>
  <c r="W508" i="38"/>
  <c r="AA667" i="38"/>
  <c r="U667" i="38"/>
  <c r="V667" i="38" s="1"/>
  <c r="U1026" i="38"/>
  <c r="V1026" i="38" s="1"/>
  <c r="AA1026" i="38"/>
  <c r="U919" i="38"/>
  <c r="V919" i="38" s="1"/>
  <c r="U654" i="38"/>
  <c r="V654" i="38" s="1"/>
  <c r="AA654" i="38"/>
  <c r="AA896" i="38"/>
  <c r="U896" i="38"/>
  <c r="V896" i="38" s="1"/>
  <c r="W358" i="38"/>
  <c r="N163" i="12"/>
  <c r="Y24" i="45" s="1"/>
  <c r="W279" i="38"/>
  <c r="N346" i="37"/>
  <c r="N373" i="37"/>
  <c r="N18" i="37"/>
  <c r="W815" i="38"/>
  <c r="R1708" i="38"/>
  <c r="R1674" i="38"/>
  <c r="R1712" i="38"/>
  <c r="R1792" i="38"/>
  <c r="R1796" i="38"/>
  <c r="R1668" i="38"/>
  <c r="R1790" i="38"/>
  <c r="R1863" i="38"/>
  <c r="R1867" i="38"/>
  <c r="R1798" i="38"/>
  <c r="R1664" i="38"/>
  <c r="R1652" i="38"/>
  <c r="R1726" i="38"/>
  <c r="R1714" i="38"/>
  <c r="R1782" i="38"/>
  <c r="R1658" i="38"/>
  <c r="R1836" i="38"/>
  <c r="R1842" i="38"/>
  <c r="R1710" i="38"/>
  <c r="R1802" i="38"/>
  <c r="R1845" i="38"/>
  <c r="R1676" i="38"/>
  <c r="R1826" i="38"/>
  <c r="R1857" i="38"/>
  <c r="R1810" i="38"/>
  <c r="R1877" i="38"/>
  <c r="R1728" i="38"/>
  <c r="R1843" i="38"/>
  <c r="R1716" i="38"/>
  <c r="R1780" i="38"/>
  <c r="R1718" i="38"/>
  <c r="R1656" i="38"/>
  <c r="R1778" i="38"/>
  <c r="R1844" i="38"/>
  <c r="R1774" i="38"/>
  <c r="R1838" i="38"/>
  <c r="R1752" i="38"/>
  <c r="R1788" i="38"/>
  <c r="R1702" i="38"/>
  <c r="R1786" i="38"/>
  <c r="R1849" i="38"/>
  <c r="R1754" i="38"/>
  <c r="R1800" i="38"/>
  <c r="R1772" i="38"/>
  <c r="R1646" i="38"/>
  <c r="R1794" i="38"/>
  <c r="R1660" i="38"/>
  <c r="R1730" i="38"/>
  <c r="R1666" i="38"/>
  <c r="R1698" i="38"/>
  <c r="R1812" i="38"/>
  <c r="R1648" i="38"/>
  <c r="R1758" i="38"/>
  <c r="R1662" i="38"/>
  <c r="R1650" i="38"/>
  <c r="R1704" i="38"/>
  <c r="R1696" i="38"/>
  <c r="R1672" i="38"/>
  <c r="R1706" i="38"/>
  <c r="R1755" i="38"/>
  <c r="R1873" i="38"/>
  <c r="R1828" i="38"/>
  <c r="R1840" i="38"/>
  <c r="R1875" i="38"/>
  <c r="R1768" i="38"/>
  <c r="R1883" i="38"/>
  <c r="R1784" i="38"/>
  <c r="R1762" i="38"/>
  <c r="R1654" i="38"/>
  <c r="R1736" i="38"/>
  <c r="R1776" i="38"/>
  <c r="R1753" i="38"/>
  <c r="R1700" i="38"/>
  <c r="U796" i="38"/>
  <c r="V796" i="38" s="1"/>
  <c r="AA796" i="38"/>
  <c r="R1043" i="38"/>
  <c r="R1033" i="38"/>
  <c r="R1018" i="38"/>
  <c r="R873" i="38"/>
  <c r="R1005" i="38"/>
  <c r="R999" i="38"/>
  <c r="R875" i="38"/>
  <c r="R1029" i="38"/>
  <c r="R1007" i="38"/>
  <c r="R877" i="38"/>
  <c r="R823" i="38"/>
  <c r="R986" i="38"/>
  <c r="R1020" i="38"/>
  <c r="R1001" i="38"/>
  <c r="AA642" i="38"/>
  <c r="U642" i="38"/>
  <c r="W805" i="38"/>
  <c r="AA666" i="38"/>
  <c r="U666" i="38"/>
  <c r="V666" i="38" s="1"/>
  <c r="AA559" i="38"/>
  <c r="U559" i="38"/>
  <c r="V559" i="38" s="1"/>
  <c r="W874" i="38"/>
  <c r="W1042" i="38"/>
  <c r="W959" i="38"/>
  <c r="S746" i="38"/>
  <c r="T746" i="38"/>
  <c r="X746" i="38"/>
  <c r="S610" i="38"/>
  <c r="T610" i="38"/>
  <c r="X610" i="38"/>
  <c r="V341" i="38"/>
  <c r="N25" i="72"/>
  <c r="U408" i="38"/>
  <c r="V408" i="38" s="1"/>
  <c r="AA408" i="38"/>
  <c r="P166" i="12"/>
  <c r="AA27" i="45" s="1"/>
  <c r="W926" i="38"/>
  <c r="U1013" i="38"/>
  <c r="V1013" i="38" s="1"/>
  <c r="AA1013" i="38"/>
  <c r="U1038" i="38"/>
  <c r="V1038" i="38" s="1"/>
  <c r="AA1038" i="38"/>
  <c r="U611" i="38"/>
  <c r="V611" i="38" s="1"/>
  <c r="AA611" i="38"/>
  <c r="AA612" i="38"/>
  <c r="U612" i="38"/>
  <c r="V612" i="38" s="1"/>
  <c r="N340" i="37"/>
  <c r="AA1037" i="38"/>
  <c r="U1037" i="38"/>
  <c r="V1037" i="38" s="1"/>
  <c r="U804" i="38"/>
  <c r="V804" i="38" s="1"/>
  <c r="AA804" i="38"/>
  <c r="AA979" i="38"/>
  <c r="U979" i="38"/>
  <c r="V979" i="38" s="1"/>
  <c r="W892" i="38"/>
  <c r="U604" i="38"/>
  <c r="V604" i="38" s="1"/>
  <c r="AA604" i="38"/>
  <c r="S1297" i="38"/>
  <c r="T1297" i="38"/>
  <c r="X1297" i="38"/>
  <c r="S1065" i="38"/>
  <c r="T1065" i="38"/>
  <c r="X1065" i="38"/>
  <c r="S1329" i="38"/>
  <c r="T1329" i="38"/>
  <c r="X1329" i="38"/>
  <c r="S1327" i="38"/>
  <c r="T1327" i="38"/>
  <c r="X1327" i="38"/>
  <c r="S1289" i="38"/>
  <c r="T1289" i="38"/>
  <c r="X1289" i="38"/>
  <c r="S1198" i="38"/>
  <c r="T1198" i="38"/>
  <c r="X1198" i="38"/>
  <c r="S1315" i="38"/>
  <c r="T1315" i="38"/>
  <c r="X1315" i="38"/>
  <c r="S1285" i="38"/>
  <c r="T1285" i="38"/>
  <c r="X1285" i="38"/>
  <c r="S1151" i="38"/>
  <c r="T1151" i="38"/>
  <c r="X1151" i="38"/>
  <c r="S1254" i="38"/>
  <c r="T1254" i="38"/>
  <c r="X1254" i="38"/>
  <c r="S1109" i="38"/>
  <c r="T1109" i="38"/>
  <c r="X1109" i="38"/>
  <c r="S1055" i="38"/>
  <c r="T1055" i="38"/>
  <c r="X1055" i="38"/>
  <c r="S1127" i="38"/>
  <c r="T1127" i="38"/>
  <c r="X1127" i="38"/>
  <c r="S1093" i="38"/>
  <c r="T1093" i="38"/>
  <c r="X1093" i="38"/>
  <c r="S1317" i="38"/>
  <c r="X1317" i="38"/>
  <c r="T1317" i="38"/>
  <c r="S1063" i="38"/>
  <c r="T1063" i="38"/>
  <c r="X1063" i="38"/>
  <c r="S1312" i="38"/>
  <c r="T1312" i="38"/>
  <c r="X1312" i="38"/>
  <c r="S1059" i="38"/>
  <c r="T1059" i="38"/>
  <c r="X1059" i="38"/>
  <c r="S1155" i="38"/>
  <c r="T1155" i="38"/>
  <c r="X1155" i="38"/>
  <c r="S620" i="38"/>
  <c r="T620" i="38"/>
  <c r="X620" i="38"/>
  <c r="S618" i="38"/>
  <c r="T618" i="38"/>
  <c r="X618" i="38"/>
  <c r="R891" i="38"/>
  <c r="R1022" i="38"/>
  <c r="R835" i="38"/>
  <c r="R895" i="38"/>
  <c r="R968" i="38"/>
  <c r="R893" i="38"/>
  <c r="R1049" i="38"/>
  <c r="R1012" i="38"/>
  <c r="R922" i="38"/>
  <c r="R966" i="38"/>
  <c r="R839" i="38"/>
  <c r="R837" i="38"/>
  <c r="R1010" i="38"/>
  <c r="AA339" i="38"/>
  <c r="U339" i="38"/>
  <c r="V339" i="38" s="1"/>
  <c r="S636" i="38"/>
  <c r="T636" i="38"/>
  <c r="X636" i="38"/>
  <c r="S578" i="38"/>
  <c r="T578" i="38"/>
  <c r="X578" i="38"/>
  <c r="U737" i="38"/>
  <c r="V737" i="38" s="1"/>
  <c r="AA737" i="38"/>
  <c r="U889" i="38"/>
  <c r="V889" i="38" s="1"/>
  <c r="AA889" i="38"/>
  <c r="U836" i="38"/>
  <c r="V836" i="38" s="1"/>
  <c r="AA836" i="38"/>
  <c r="U1000" i="38"/>
  <c r="V1000" i="38" s="1"/>
  <c r="AA1000" i="38"/>
  <c r="AA797" i="38"/>
  <c r="U797" i="38"/>
  <c r="V797" i="38" s="1"/>
  <c r="AA735" i="38"/>
  <c r="U735" i="38"/>
  <c r="V735" i="38" s="1"/>
  <c r="S624" i="38"/>
  <c r="T624" i="38"/>
  <c r="X624" i="38"/>
  <c r="S766" i="38"/>
  <c r="T766" i="38"/>
  <c r="X766" i="38"/>
  <c r="W410" i="38"/>
  <c r="W443" i="38"/>
  <c r="P97" i="12"/>
  <c r="P79" i="72"/>
  <c r="W857" i="38"/>
  <c r="U826" i="38"/>
  <c r="V826" i="38" s="1"/>
  <c r="AA826" i="38"/>
  <c r="AA854" i="38"/>
  <c r="U854" i="38"/>
  <c r="V854" i="38" s="1"/>
  <c r="AA713" i="38"/>
  <c r="U713" i="38"/>
  <c r="V713" i="38" s="1"/>
  <c r="W394" i="38"/>
  <c r="N129" i="12"/>
  <c r="Y12" i="45" s="1"/>
  <c r="AA663" i="38"/>
  <c r="U663" i="38"/>
  <c r="V398" i="38"/>
  <c r="N94" i="72"/>
  <c r="W914" i="38"/>
  <c r="AA859" i="38"/>
  <c r="U859" i="38"/>
  <c r="V859" i="38" s="1"/>
  <c r="U1011" i="38"/>
  <c r="V1011" i="38" s="1"/>
  <c r="AA1011" i="38"/>
  <c r="AC507" i="38"/>
  <c r="AB507" i="38" s="1"/>
  <c r="O243" i="37" s="1"/>
  <c r="U402" i="38"/>
  <c r="V402" i="38" s="1"/>
  <c r="AA402" i="38"/>
  <c r="N414" i="37"/>
  <c r="U997" i="38"/>
  <c r="V997" i="38" s="1"/>
  <c r="AA997" i="38"/>
  <c r="S1162" i="38"/>
  <c r="Q376" i="37" s="1"/>
  <c r="Q379" i="37" s="1"/>
  <c r="T1162" i="38"/>
  <c r="X1162" i="38"/>
  <c r="S1060" i="38"/>
  <c r="T1060" i="38"/>
  <c r="X1060" i="38"/>
  <c r="S1187" i="38"/>
  <c r="T1187" i="38"/>
  <c r="X1187" i="38"/>
  <c r="S1203" i="38"/>
  <c r="T1203" i="38"/>
  <c r="X1203" i="38"/>
  <c r="S1265" i="38"/>
  <c r="T1265" i="38"/>
  <c r="X1265" i="38"/>
  <c r="S1134" i="38"/>
  <c r="T1134" i="38"/>
  <c r="X1134" i="38"/>
  <c r="S1142" i="38"/>
  <c r="T1142" i="38"/>
  <c r="X1142" i="38"/>
  <c r="S1290" i="38"/>
  <c r="T1290" i="38"/>
  <c r="X1290" i="38"/>
  <c r="S1161" i="38"/>
  <c r="T1161" i="38"/>
  <c r="X1161" i="38"/>
  <c r="S1356" i="38"/>
  <c r="T1356" i="38"/>
  <c r="X1356" i="38"/>
  <c r="S1158" i="38"/>
  <c r="T1158" i="38"/>
  <c r="X1158" i="38"/>
  <c r="W967" i="38"/>
  <c r="W1044" i="38"/>
  <c r="U791" i="38"/>
  <c r="V791" i="38" s="1"/>
  <c r="AA791" i="38"/>
  <c r="U1031" i="38"/>
  <c r="V1031" i="38" s="1"/>
  <c r="AA1031" i="38"/>
  <c r="AA936" i="38"/>
  <c r="AA646" i="38"/>
  <c r="U646" i="38"/>
  <c r="V646" i="38" s="1"/>
  <c r="AA637" i="38"/>
  <c r="U637" i="38"/>
  <c r="V637" i="38" s="1"/>
  <c r="U973" i="38"/>
  <c r="V973" i="38" s="1"/>
  <c r="AA973" i="38"/>
  <c r="AA657" i="38"/>
  <c r="U657" i="38"/>
  <c r="V657" i="38" s="1"/>
  <c r="U323" i="38"/>
  <c r="V323" i="38" s="1"/>
  <c r="AA323" i="38"/>
  <c r="S784" i="38"/>
  <c r="X784" i="38"/>
  <c r="T784" i="38"/>
  <c r="S778" i="38"/>
  <c r="T778" i="38"/>
  <c r="X778" i="38"/>
  <c r="O75" i="72"/>
  <c r="U934" i="38"/>
  <c r="V934" i="38" s="1"/>
  <c r="AA934" i="38"/>
  <c r="W810" i="38"/>
  <c r="R918" i="38"/>
  <c r="R1041" i="38"/>
  <c r="R1027" i="38"/>
  <c r="R885" i="38"/>
  <c r="R956" i="38"/>
  <c r="R960" i="38"/>
  <c r="R833" i="38"/>
  <c r="R887" i="38"/>
  <c r="R831" i="38"/>
  <c r="R958" i="38"/>
  <c r="R916" i="38"/>
  <c r="R910" i="38"/>
  <c r="R1035" i="38"/>
  <c r="W441" i="38"/>
  <c r="N161" i="12"/>
  <c r="Y22" i="45" s="1"/>
  <c r="U680" i="38"/>
  <c r="V680" i="38" s="1"/>
  <c r="AA680" i="38"/>
  <c r="U647" i="38"/>
  <c r="AA647" i="38"/>
  <c r="U712" i="38"/>
  <c r="V712" i="38" s="1"/>
  <c r="AA712" i="38"/>
  <c r="Q126" i="33"/>
  <c r="R65" i="33"/>
  <c r="U829" i="38"/>
  <c r="AA829" i="38"/>
  <c r="W842" i="38"/>
  <c r="W846" i="38"/>
  <c r="S1351" i="38"/>
  <c r="T1351" i="38"/>
  <c r="X1351" i="38"/>
  <c r="S1180" i="38"/>
  <c r="T1180" i="38"/>
  <c r="X1180" i="38"/>
  <c r="S1321" i="38"/>
  <c r="T1321" i="38"/>
  <c r="X1321" i="38"/>
  <c r="S1234" i="38"/>
  <c r="T1234" i="38"/>
  <c r="X1234" i="38"/>
  <c r="S1196" i="38"/>
  <c r="T1196" i="38"/>
  <c r="X1196" i="38"/>
  <c r="S1266" i="38"/>
  <c r="T1266" i="38"/>
  <c r="X1266" i="38"/>
  <c r="S1153" i="38"/>
  <c r="T1153" i="38"/>
  <c r="X1153" i="38"/>
  <c r="S1270" i="38"/>
  <c r="T1270" i="38"/>
  <c r="X1270" i="38"/>
  <c r="S1202" i="38"/>
  <c r="T1202" i="38"/>
  <c r="X1202" i="38"/>
  <c r="S1131" i="38"/>
  <c r="T1131" i="38"/>
  <c r="X1131" i="38"/>
  <c r="S1067" i="38"/>
  <c r="T1067" i="38"/>
  <c r="X1067" i="38"/>
  <c r="S1283" i="38"/>
  <c r="T1283" i="38"/>
  <c r="X1283" i="38"/>
  <c r="S1252" i="38"/>
  <c r="T1252" i="38"/>
  <c r="X1252" i="38"/>
  <c r="S1149" i="38"/>
  <c r="X1149" i="38"/>
  <c r="T1149" i="38"/>
  <c r="S1061" i="38"/>
  <c r="T1061" i="38"/>
  <c r="X1061" i="38"/>
  <c r="S1210" i="38"/>
  <c r="T1210" i="38"/>
  <c r="X1210" i="38"/>
  <c r="S1349" i="38"/>
  <c r="T1349" i="38"/>
  <c r="X1349" i="38"/>
  <c r="S1303" i="38"/>
  <c r="T1303" i="38"/>
  <c r="X1303" i="38"/>
  <c r="S1194" i="38"/>
  <c r="T1194" i="38"/>
  <c r="X1194" i="38"/>
  <c r="S787" i="38"/>
  <c r="T787" i="38"/>
  <c r="X787" i="38"/>
  <c r="S770" i="38"/>
  <c r="O432" i="37" s="1"/>
  <c r="T770" i="38"/>
  <c r="X770" i="38"/>
  <c r="S645" i="38"/>
  <c r="O427" i="37" s="1"/>
  <c r="T645" i="38"/>
  <c r="X645" i="38"/>
  <c r="S632" i="38"/>
  <c r="T632" i="38"/>
  <c r="X632" i="38"/>
  <c r="W990" i="38"/>
  <c r="P347" i="37"/>
  <c r="AA600" i="38"/>
  <c r="U600" i="38"/>
  <c r="V600" i="38" s="1"/>
  <c r="W983" i="38"/>
  <c r="W800" i="38"/>
  <c r="AA596" i="38"/>
  <c r="U596" i="38"/>
  <c r="V596" i="38" s="1"/>
  <c r="S701" i="38"/>
  <c r="T701" i="38"/>
  <c r="X701" i="38"/>
  <c r="N341" i="37"/>
  <c r="P383" i="37"/>
  <c r="P348" i="37"/>
  <c r="W881" i="38"/>
  <c r="W824" i="38"/>
  <c r="U774" i="38"/>
  <c r="V774" i="38" s="1"/>
  <c r="AA774" i="38"/>
  <c r="W445" i="38"/>
  <c r="W988" i="38"/>
  <c r="U727" i="38"/>
  <c r="AA727" i="38"/>
  <c r="W947" i="38"/>
  <c r="W844" i="38"/>
  <c r="U584" i="38"/>
  <c r="V584" i="38" s="1"/>
  <c r="AA584" i="38"/>
  <c r="AC529" i="38"/>
  <c r="AB529" i="38" s="1"/>
  <c r="W335" i="38"/>
  <c r="W954" i="38"/>
  <c r="S1205" i="38"/>
  <c r="T1205" i="38"/>
  <c r="X1205" i="38"/>
  <c r="S1316" i="38"/>
  <c r="T1316" i="38"/>
  <c r="X1316" i="38"/>
  <c r="S1269" i="38"/>
  <c r="T1269" i="38"/>
  <c r="X1269" i="38"/>
  <c r="S1052" i="38"/>
  <c r="T1052" i="38"/>
  <c r="X1052" i="38"/>
  <c r="S1340" i="38"/>
  <c r="T1340" i="38"/>
  <c r="X1340" i="38"/>
  <c r="S1106" i="38"/>
  <c r="T1106" i="38"/>
  <c r="X1106" i="38"/>
  <c r="S1082" i="38"/>
  <c r="T1082" i="38"/>
  <c r="X1082" i="38"/>
  <c r="S1292" i="38"/>
  <c r="T1292" i="38"/>
  <c r="X1292" i="38"/>
  <c r="S1122" i="38"/>
  <c r="T1122" i="38"/>
  <c r="X1122" i="38"/>
  <c r="S1300" i="38"/>
  <c r="T1300" i="38"/>
  <c r="X1300" i="38"/>
  <c r="S1197" i="38"/>
  <c r="T1197" i="38"/>
  <c r="X1197" i="38"/>
  <c r="V388" i="38"/>
  <c r="W951" i="38"/>
  <c r="W904" i="38"/>
  <c r="AC488" i="38"/>
  <c r="AB488" i="38" s="1"/>
  <c r="V366" i="38"/>
  <c r="V364" i="38"/>
  <c r="AA763" i="38"/>
  <c r="U763" i="38"/>
  <c r="V763" i="38" s="1"/>
  <c r="U569" i="38"/>
  <c r="V569" i="38" s="1"/>
  <c r="AA569" i="38"/>
  <c r="U865" i="38"/>
  <c r="V865" i="38" s="1"/>
  <c r="AA865" i="38"/>
  <c r="AA927" i="38"/>
  <c r="U927" i="38"/>
  <c r="V927" i="38" s="1"/>
  <c r="S748" i="38"/>
  <c r="T748" i="38"/>
  <c r="X748" i="38"/>
  <c r="AA1045" i="38"/>
  <c r="U1045" i="38"/>
  <c r="V1045" i="38" s="1"/>
  <c r="S608" i="38"/>
  <c r="T608" i="38"/>
  <c r="X608" i="38"/>
  <c r="S789" i="38"/>
  <c r="T789" i="38"/>
  <c r="X789" i="38"/>
  <c r="P434" i="37"/>
  <c r="W964" i="38"/>
  <c r="P130" i="12"/>
  <c r="AA13" i="45" s="1"/>
  <c r="R79" i="33"/>
  <c r="Q127" i="33"/>
  <c r="AC527" i="38"/>
  <c r="AB527" i="38" s="1"/>
  <c r="AA555" i="38"/>
  <c r="U555" i="38"/>
  <c r="V555" i="38" s="1"/>
  <c r="W481" i="38"/>
  <c r="R897" i="38"/>
  <c r="R976" i="38"/>
  <c r="R912" i="38"/>
  <c r="R843" i="38"/>
  <c r="R970" i="38"/>
  <c r="R841" i="38"/>
  <c r="R1016" i="38"/>
  <c r="R974" i="38"/>
  <c r="R982" i="38"/>
  <c r="R903" i="38"/>
  <c r="R972" i="38"/>
  <c r="R899" i="38"/>
  <c r="R1014" i="38"/>
  <c r="R845" i="38"/>
  <c r="R847" i="38"/>
  <c r="R901" i="38"/>
  <c r="R984" i="38"/>
  <c r="AA995" i="38"/>
  <c r="U995" i="38"/>
  <c r="V995" i="38" s="1"/>
  <c r="U793" i="38"/>
  <c r="V793" i="38" s="1"/>
  <c r="AA793" i="38"/>
  <c r="N38" i="72"/>
  <c r="V426" i="38"/>
  <c r="AA987" i="38"/>
  <c r="U987" i="38"/>
  <c r="V987" i="38" s="1"/>
  <c r="AA840" i="38"/>
  <c r="U840" i="38"/>
  <c r="V840" i="38" s="1"/>
  <c r="S1176" i="38"/>
  <c r="T1176" i="38"/>
  <c r="X1176" i="38"/>
  <c r="S1357" i="38"/>
  <c r="T1357" i="38"/>
  <c r="X1357" i="38"/>
  <c r="S1308" i="38"/>
  <c r="T1308" i="38"/>
  <c r="X1308" i="38"/>
  <c r="S1129" i="38"/>
  <c r="T1129" i="38"/>
  <c r="X1129" i="38"/>
  <c r="S1204" i="38"/>
  <c r="T1204" i="38"/>
  <c r="X1204" i="38"/>
  <c r="S1238" i="38"/>
  <c r="T1238" i="38"/>
  <c r="X1238" i="38"/>
  <c r="S1206" i="38"/>
  <c r="T1206" i="38"/>
  <c r="X1206" i="38"/>
  <c r="S1057" i="38"/>
  <c r="T1057" i="38"/>
  <c r="X1057" i="38"/>
  <c r="S1214" i="38"/>
  <c r="T1214" i="38"/>
  <c r="X1214" i="38"/>
  <c r="S1260" i="38"/>
  <c r="T1260" i="38"/>
  <c r="X1260" i="38"/>
  <c r="S1182" i="38"/>
  <c r="T1182" i="38"/>
  <c r="X1182" i="38"/>
  <c r="S1314" i="38"/>
  <c r="T1314" i="38"/>
  <c r="X1314" i="38"/>
  <c r="S1230" i="38"/>
  <c r="T1230" i="38"/>
  <c r="X1230" i="38"/>
  <c r="S1216" i="38"/>
  <c r="T1216" i="38"/>
  <c r="X1216" i="38"/>
  <c r="S1121" i="38"/>
  <c r="T1121" i="38"/>
  <c r="X1121" i="38"/>
  <c r="S1306" i="38"/>
  <c r="T1306" i="38"/>
  <c r="X1306" i="38"/>
  <c r="S1319" i="38"/>
  <c r="T1319" i="38"/>
  <c r="X1319" i="38"/>
  <c r="S1085" i="38"/>
  <c r="T1085" i="38"/>
  <c r="X1085" i="38"/>
  <c r="S1075" i="38"/>
  <c r="T1075" i="38"/>
  <c r="X1075" i="38"/>
  <c r="S566" i="38"/>
  <c r="X566" i="38"/>
  <c r="T566" i="38"/>
  <c r="U533" i="38"/>
  <c r="V533" i="38" s="1"/>
  <c r="AA533" i="38"/>
  <c r="U532" i="38"/>
  <c r="AA532" i="38"/>
  <c r="U704" i="38"/>
  <c r="V704" i="38" s="1"/>
  <c r="AA704" i="38"/>
  <c r="AA275" i="38"/>
  <c r="U275" i="38"/>
  <c r="V275" i="38" s="1"/>
  <c r="AA453" i="38"/>
  <c r="U453" i="38"/>
  <c r="V453" i="38" s="1"/>
  <c r="S703" i="38"/>
  <c r="T703" i="38"/>
  <c r="X703" i="38"/>
  <c r="S576" i="38"/>
  <c r="T576" i="38"/>
  <c r="X576" i="38"/>
  <c r="AA961" i="38"/>
  <c r="U961" i="38"/>
  <c r="V961" i="38" s="1"/>
  <c r="U856" i="38"/>
  <c r="V856" i="38" s="1"/>
  <c r="AA856" i="38"/>
  <c r="N33" i="72"/>
  <c r="N26" i="72"/>
  <c r="V342" i="38"/>
  <c r="N59" i="72"/>
  <c r="U664" i="38"/>
  <c r="V664" i="38" s="1"/>
  <c r="AA664" i="38"/>
  <c r="S772" i="38"/>
  <c r="T772" i="38"/>
  <c r="X772" i="38"/>
  <c r="W354" i="38"/>
  <c r="AA273" i="38"/>
  <c r="U273" i="38"/>
  <c r="V273" i="38" s="1"/>
  <c r="AA711" i="38"/>
  <c r="U711" i="38"/>
  <c r="AA813" i="38"/>
  <c r="U813" i="38"/>
  <c r="V813" i="38" s="1"/>
  <c r="AA860" i="38"/>
  <c r="U860" i="38"/>
  <c r="V860" i="38" s="1"/>
  <c r="AA852" i="38"/>
  <c r="AA923" i="38"/>
  <c r="U923" i="38"/>
  <c r="V923" i="38" s="1"/>
  <c r="AA321" i="38"/>
  <c r="U321" i="38"/>
  <c r="V321" i="38" s="1"/>
  <c r="N162" i="12"/>
  <c r="Y23" i="45" s="1"/>
  <c r="W416" i="38"/>
  <c r="AA942" i="38"/>
  <c r="U942" i="38"/>
  <c r="V942" i="38" s="1"/>
  <c r="W998" i="38"/>
  <c r="W848" i="38"/>
  <c r="AA575" i="38"/>
  <c r="U575" i="38"/>
  <c r="V575" i="38" s="1"/>
  <c r="U455" i="38"/>
  <c r="V455" i="38" s="1"/>
  <c r="AA455" i="38"/>
  <c r="V536" i="38"/>
  <c r="AA313" i="38"/>
  <c r="U313" i="38"/>
  <c r="V313" i="38" s="1"/>
  <c r="W992" i="38"/>
  <c r="V285" i="38"/>
  <c r="S1056" i="38"/>
  <c r="T1056" i="38"/>
  <c r="X1056" i="38"/>
  <c r="S1338" i="38"/>
  <c r="X1338" i="38"/>
  <c r="T1338" i="38"/>
  <c r="S1120" i="38"/>
  <c r="T1120" i="38"/>
  <c r="X1120" i="38"/>
  <c r="S1233" i="38"/>
  <c r="T1233" i="38"/>
  <c r="X1233" i="38"/>
  <c r="S1247" i="38"/>
  <c r="T1247" i="38"/>
  <c r="X1247" i="38"/>
  <c r="S1191" i="38"/>
  <c r="T1191" i="38"/>
  <c r="X1191" i="38"/>
  <c r="S1185" i="38"/>
  <c r="T1185" i="38"/>
  <c r="X1185" i="38"/>
  <c r="S1267" i="38"/>
  <c r="T1267" i="38"/>
  <c r="X1267" i="38"/>
  <c r="S1245" i="38"/>
  <c r="T1245" i="38"/>
  <c r="X1245" i="38"/>
  <c r="S1309" i="38"/>
  <c r="T1309" i="38"/>
  <c r="X1309" i="38"/>
  <c r="S1160" i="38"/>
  <c r="X1160" i="38"/>
  <c r="T1160" i="38"/>
  <c r="U1024" i="38"/>
  <c r="V1024" i="38" s="1"/>
  <c r="AA1024" i="38"/>
  <c r="R54" i="31"/>
  <c r="P54" i="31"/>
  <c r="AA459" i="38" l="1"/>
  <c r="AA975" i="38"/>
  <c r="U869" i="38"/>
  <c r="V869" i="38" s="1"/>
  <c r="AA822" i="38"/>
  <c r="AA530" i="38"/>
  <c r="AA331" i="38"/>
  <c r="AA814" i="38"/>
  <c r="U1023" i="38"/>
  <c r="V1023" i="38" s="1"/>
  <c r="AC1023" i="38" s="1"/>
  <c r="AB1023" i="38" s="1"/>
  <c r="U1017" i="38"/>
  <c r="V1017" i="38" s="1"/>
  <c r="U862" i="38"/>
  <c r="V862" i="38" s="1"/>
  <c r="U1019" i="38"/>
  <c r="V1019" i="38" s="1"/>
  <c r="O430" i="37"/>
  <c r="U996" i="38"/>
  <c r="V996" i="38" s="1"/>
  <c r="U451" i="38"/>
  <c r="V451" i="38" s="1"/>
  <c r="AA866" i="38"/>
  <c r="AC794" i="38"/>
  <c r="AB794" i="38" s="1"/>
  <c r="U816" i="38"/>
  <c r="V816" i="38" s="1"/>
  <c r="U963" i="38"/>
  <c r="V963" i="38" s="1"/>
  <c r="AA821" i="38"/>
  <c r="U851" i="38"/>
  <c r="V851" i="38" s="1"/>
  <c r="AA861" i="38"/>
  <c r="AA267" i="38"/>
  <c r="AA977" i="38"/>
  <c r="U518" i="38"/>
  <c r="V518" i="38" s="1"/>
  <c r="AC518" i="38" s="1"/>
  <c r="AB518" i="38" s="1"/>
  <c r="AA827" i="38"/>
  <c r="AA512" i="38"/>
  <c r="AA495" i="38"/>
  <c r="AC495" i="38" s="1"/>
  <c r="AB495" i="38" s="1"/>
  <c r="AA931" i="38"/>
  <c r="U283" i="38"/>
  <c r="V283" i="38" s="1"/>
  <c r="U825" i="38"/>
  <c r="V825" i="38" s="1"/>
  <c r="AA937" i="38"/>
  <c r="U894" i="38"/>
  <c r="V894" i="38" s="1"/>
  <c r="U944" i="38"/>
  <c r="V944" i="38" s="1"/>
  <c r="W1349" i="38"/>
  <c r="W1202" i="38"/>
  <c r="W1351" i="38"/>
  <c r="U807" i="38"/>
  <c r="V807" i="38" s="1"/>
  <c r="O428" i="37"/>
  <c r="N436" i="37"/>
  <c r="N438" i="37" s="1"/>
  <c r="U327" i="38"/>
  <c r="V327" i="38" s="1"/>
  <c r="U1002" i="38"/>
  <c r="V1002" i="38" s="1"/>
  <c r="O433" i="37"/>
  <c r="AA818" i="38"/>
  <c r="O414" i="37"/>
  <c r="AA505" i="38"/>
  <c r="O429" i="37"/>
  <c r="AA1008" i="38"/>
  <c r="U938" i="38"/>
  <c r="V938" i="38" s="1"/>
  <c r="U392" i="38"/>
  <c r="V392" i="38" s="1"/>
  <c r="W1305" i="38"/>
  <c r="U890" i="38"/>
  <c r="V890" i="38" s="1"/>
  <c r="W1145" i="38"/>
  <c r="W1299" i="38"/>
  <c r="W1112" i="38"/>
  <c r="AA1112" i="38" s="1"/>
  <c r="W1104" i="38"/>
  <c r="U1104" i="38" s="1"/>
  <c r="V1104" i="38" s="1"/>
  <c r="W1226" i="38"/>
  <c r="AA1226" i="38" s="1"/>
  <c r="W1335" i="38"/>
  <c r="W1080" i="38"/>
  <c r="W1278" i="38"/>
  <c r="W1242" i="38"/>
  <c r="W1073" i="38"/>
  <c r="W1249" i="38"/>
  <c r="U1249" i="38" s="1"/>
  <c r="V1249" i="38" s="1"/>
  <c r="AC777" i="38"/>
  <c r="AB777" i="38" s="1"/>
  <c r="W1268" i="38"/>
  <c r="AA1268" i="38" s="1"/>
  <c r="W1301" i="38"/>
  <c r="W1322" i="38"/>
  <c r="AA1322" i="38" s="1"/>
  <c r="AA952" i="38"/>
  <c r="W1093" i="38"/>
  <c r="W1198" i="38"/>
  <c r="AA981" i="38"/>
  <c r="W1134" i="38"/>
  <c r="W1281" i="38"/>
  <c r="U1281" i="38" s="1"/>
  <c r="V1281" i="38" s="1"/>
  <c r="W1292" i="38"/>
  <c r="W1283" i="38"/>
  <c r="W1234" i="38"/>
  <c r="W1142" i="38"/>
  <c r="AC475" i="38"/>
  <c r="AB475" i="38" s="1"/>
  <c r="W1058" i="38"/>
  <c r="U1058" i="38" s="1"/>
  <c r="V1058" i="38" s="1"/>
  <c r="AC1036" i="38"/>
  <c r="AB1036" i="38" s="1"/>
  <c r="W1121" i="38"/>
  <c r="U1121" i="38" s="1"/>
  <c r="V1121" i="38" s="1"/>
  <c r="W1206" i="38"/>
  <c r="U1206" i="38" s="1"/>
  <c r="V1206" i="38" s="1"/>
  <c r="AC1045" i="38"/>
  <c r="AB1045" i="38" s="1"/>
  <c r="W1210" i="38"/>
  <c r="AA1210" i="38" s="1"/>
  <c r="W1270" i="38"/>
  <c r="U1270" i="38" s="1"/>
  <c r="V1270" i="38" s="1"/>
  <c r="W778" i="38"/>
  <c r="U337" i="38"/>
  <c r="V337" i="38" s="1"/>
  <c r="W782" i="38"/>
  <c r="U782" i="38" s="1"/>
  <c r="V782" i="38" s="1"/>
  <c r="W1306" i="38"/>
  <c r="U1306" i="38" s="1"/>
  <c r="V1306" i="38" s="1"/>
  <c r="W1057" i="38"/>
  <c r="AA1057" i="38" s="1"/>
  <c r="W1340" i="38"/>
  <c r="W1300" i="38"/>
  <c r="W1316" i="38"/>
  <c r="N420" i="37"/>
  <c r="N422" i="37" s="1"/>
  <c r="Q434" i="37"/>
  <c r="W1356" i="38"/>
  <c r="U1356" i="38" s="1"/>
  <c r="V1356" i="38" s="1"/>
  <c r="W1060" i="38"/>
  <c r="W1297" i="38"/>
  <c r="W1053" i="38"/>
  <c r="W1291" i="38"/>
  <c r="W1069" i="38"/>
  <c r="AC1025" i="38"/>
  <c r="AB1025" i="38" s="1"/>
  <c r="AC779" i="38"/>
  <c r="AB779" i="38" s="1"/>
  <c r="W1256" i="38"/>
  <c r="AA1256" i="38" s="1"/>
  <c r="W1107" i="38"/>
  <c r="U1107" i="38" s="1"/>
  <c r="V1107" i="38" s="1"/>
  <c r="W1083" i="38"/>
  <c r="AA1083" i="38" s="1"/>
  <c r="W1343" i="38"/>
  <c r="W1264" i="38"/>
  <c r="AC477" i="38"/>
  <c r="AB477" i="38" s="1"/>
  <c r="W1064" i="38"/>
  <c r="W1068" i="38"/>
  <c r="W1266" i="38"/>
  <c r="W1203" i="38"/>
  <c r="W1304" i="38"/>
  <c r="W1091" i="38"/>
  <c r="U1091" i="38" s="1"/>
  <c r="V1091" i="38" s="1"/>
  <c r="W1246" i="38"/>
  <c r="W1105" i="38"/>
  <c r="W1178" i="38"/>
  <c r="AA1178" i="38" s="1"/>
  <c r="W1363" i="38"/>
  <c r="U1363" i="38" s="1"/>
  <c r="V1363" i="38" s="1"/>
  <c r="W1309" i="38"/>
  <c r="U1309" i="38" s="1"/>
  <c r="V1309" i="38" s="1"/>
  <c r="W789" i="38"/>
  <c r="W748" i="38"/>
  <c r="W1106" i="38"/>
  <c r="U1106" i="38" s="1"/>
  <c r="V1106" i="38" s="1"/>
  <c r="W1303" i="38"/>
  <c r="W1131" i="38"/>
  <c r="W1180" i="38"/>
  <c r="AA1180" i="38" s="1"/>
  <c r="W1290" i="38"/>
  <c r="AA1290" i="38" s="1"/>
  <c r="W610" i="38"/>
  <c r="AA610" i="38" s="1"/>
  <c r="W1070" i="38"/>
  <c r="W1189" i="38"/>
  <c r="AA1189" i="38" s="1"/>
  <c r="W1287" i="38"/>
  <c r="W1361" i="38"/>
  <c r="U1361" i="38" s="1"/>
  <c r="V1361" i="38" s="1"/>
  <c r="W1236" i="38"/>
  <c r="U1236" i="38" s="1"/>
  <c r="V1236" i="38" s="1"/>
  <c r="W1271" i="38"/>
  <c r="U1271" i="38" s="1"/>
  <c r="V1271" i="38" s="1"/>
  <c r="W1135" i="38"/>
  <c r="U1135" i="38" s="1"/>
  <c r="V1135" i="38" s="1"/>
  <c r="W1103" i="38"/>
  <c r="AA1103" i="38" s="1"/>
  <c r="W1139" i="38"/>
  <c r="AA1139" i="38" s="1"/>
  <c r="W624" i="38"/>
  <c r="W1312" i="38"/>
  <c r="W1151" i="38"/>
  <c r="W1115" i="38"/>
  <c r="W1120" i="38"/>
  <c r="U1120" i="38" s="1"/>
  <c r="V1120" i="38" s="1"/>
  <c r="W1117" i="38"/>
  <c r="AA1117" i="38" s="1"/>
  <c r="W1137" i="38"/>
  <c r="U1137" i="38" s="1"/>
  <c r="V1137" i="38" s="1"/>
  <c r="W1119" i="38"/>
  <c r="W576" i="38"/>
  <c r="U576" i="38" s="1"/>
  <c r="V576" i="38" s="1"/>
  <c r="W1314" i="38"/>
  <c r="AA1314" i="38" s="1"/>
  <c r="W1129" i="38"/>
  <c r="U1129" i="38" s="1"/>
  <c r="V1129" i="38" s="1"/>
  <c r="W766" i="38"/>
  <c r="U766" i="38" s="1"/>
  <c r="V766" i="38" s="1"/>
  <c r="AC797" i="38"/>
  <c r="AB797" i="38" s="1"/>
  <c r="Q314" i="37" s="1"/>
  <c r="W1059" i="38"/>
  <c r="U1059" i="38" s="1"/>
  <c r="V1059" i="38" s="1"/>
  <c r="W1254" i="38"/>
  <c r="U1254" i="38" s="1"/>
  <c r="V1254" i="38" s="1"/>
  <c r="W1065" i="38"/>
  <c r="U1065" i="38" s="1"/>
  <c r="V1065" i="38" s="1"/>
  <c r="W1355" i="38"/>
  <c r="W1077" i="38"/>
  <c r="AA1077" i="38" s="1"/>
  <c r="W1311" i="38"/>
  <c r="AA1311" i="38" s="1"/>
  <c r="AC1050" i="38"/>
  <c r="AB1050" i="38" s="1"/>
  <c r="W626" i="38"/>
  <c r="U626" i="38" s="1"/>
  <c r="V626" i="38" s="1"/>
  <c r="W1244" i="38"/>
  <c r="W1272" i="38"/>
  <c r="W772" i="38"/>
  <c r="AA772" i="38" s="1"/>
  <c r="W1319" i="38"/>
  <c r="W1214" i="38"/>
  <c r="W1176" i="38"/>
  <c r="O346" i="37"/>
  <c r="O330" i="37"/>
  <c r="W1056" i="38"/>
  <c r="W1216" i="38"/>
  <c r="W1238" i="38"/>
  <c r="W1197" i="38"/>
  <c r="W1269" i="38"/>
  <c r="W632" i="38"/>
  <c r="U632" i="38" s="1"/>
  <c r="V632" i="38" s="1"/>
  <c r="W1061" i="38"/>
  <c r="AA1061" i="38" s="1"/>
  <c r="W1153" i="38"/>
  <c r="AA1153" i="38" s="1"/>
  <c r="Q347" i="37"/>
  <c r="O372" i="37"/>
  <c r="W578" i="38"/>
  <c r="W620" i="38"/>
  <c r="W1317" i="38"/>
  <c r="W1055" i="38"/>
  <c r="W1327" i="38"/>
  <c r="AA1327" i="38" s="1"/>
  <c r="W1332" i="38"/>
  <c r="W572" i="38"/>
  <c r="AA572" i="38" s="1"/>
  <c r="W1347" i="38"/>
  <c r="W1125" i="38"/>
  <c r="AC501" i="38"/>
  <c r="AB501" i="38" s="1"/>
  <c r="AC1026" i="38"/>
  <c r="AB1026" i="38" s="1"/>
  <c r="W1114" i="38"/>
  <c r="AA1114" i="38" s="1"/>
  <c r="W1168" i="38"/>
  <c r="U1168" i="38" s="1"/>
  <c r="V1168" i="38" s="1"/>
  <c r="W1240" i="38"/>
  <c r="U1240" i="38" s="1"/>
  <c r="V1240" i="38" s="1"/>
  <c r="N381" i="37"/>
  <c r="N384" i="37" s="1"/>
  <c r="N386" i="37" s="1"/>
  <c r="O344" i="37"/>
  <c r="AC1017" i="38"/>
  <c r="AB1017" i="38" s="1"/>
  <c r="AC487" i="38"/>
  <c r="AB487" i="38" s="1"/>
  <c r="W1066" i="38"/>
  <c r="O431" i="37"/>
  <c r="N349" i="37"/>
  <c r="N351" i="37" s="1"/>
  <c r="W1085" i="38"/>
  <c r="U1085" i="38" s="1"/>
  <c r="V1085" i="38" s="1"/>
  <c r="W1260" i="38"/>
  <c r="U1260" i="38" s="1"/>
  <c r="V1260" i="38" s="1"/>
  <c r="W1357" i="38"/>
  <c r="U1357" i="38" s="1"/>
  <c r="V1357" i="38" s="1"/>
  <c r="O342" i="37"/>
  <c r="W701" i="38"/>
  <c r="W1161" i="38"/>
  <c r="W1063" i="38"/>
  <c r="W1285" i="38"/>
  <c r="AA1285" i="38" s="1"/>
  <c r="W1199" i="38"/>
  <c r="W1330" i="38"/>
  <c r="W1341" i="38"/>
  <c r="U1341" i="38" s="1"/>
  <c r="V1341" i="38" s="1"/>
  <c r="W1101" i="38"/>
  <c r="U1101" i="38" s="1"/>
  <c r="V1101" i="38" s="1"/>
  <c r="AC1047" i="38"/>
  <c r="AB1047" i="38" s="1"/>
  <c r="W1054" i="38"/>
  <c r="AA1054" i="38" s="1"/>
  <c r="W1313" i="38"/>
  <c r="U1313" i="38" s="1"/>
  <c r="V1313" i="38" s="1"/>
  <c r="W752" i="38"/>
  <c r="AA752" i="38" s="1"/>
  <c r="W1247" i="38"/>
  <c r="S903" i="38"/>
  <c r="T903" i="38"/>
  <c r="X903" i="38"/>
  <c r="S976" i="38"/>
  <c r="T976" i="38"/>
  <c r="X976" i="38"/>
  <c r="AA576" i="38"/>
  <c r="S984" i="38"/>
  <c r="T984" i="38"/>
  <c r="X984" i="38"/>
  <c r="S897" i="38"/>
  <c r="T897" i="38"/>
  <c r="X897" i="38"/>
  <c r="O345" i="37"/>
  <c r="U988" i="38"/>
  <c r="V988" i="38" s="1"/>
  <c r="AA988" i="38"/>
  <c r="U846" i="38"/>
  <c r="V846" i="38" s="1"/>
  <c r="AA846" i="38"/>
  <c r="S910" i="38"/>
  <c r="T910" i="38"/>
  <c r="X910" i="38"/>
  <c r="S885" i="38"/>
  <c r="T885" i="38"/>
  <c r="X885" i="38"/>
  <c r="S1049" i="38"/>
  <c r="T1049" i="38"/>
  <c r="X1049" i="38"/>
  <c r="AA892" i="38"/>
  <c r="U892" i="38"/>
  <c r="V892" i="38" s="1"/>
  <c r="O341" i="37"/>
  <c r="U874" i="38"/>
  <c r="V874" i="38" s="1"/>
  <c r="AA874" i="38"/>
  <c r="V642" i="38"/>
  <c r="O52" i="72"/>
  <c r="S1029" i="38"/>
  <c r="X1029" i="38"/>
  <c r="T1029" i="38"/>
  <c r="S1776" i="38"/>
  <c r="T1776" i="38"/>
  <c r="X1776" i="38"/>
  <c r="S1840" i="38"/>
  <c r="T1840" i="38"/>
  <c r="X1840" i="38"/>
  <c r="S1650" i="38"/>
  <c r="T1650" i="38"/>
  <c r="X1650" i="38"/>
  <c r="S1660" i="38"/>
  <c r="T1660" i="38"/>
  <c r="X1660" i="38"/>
  <c r="S1702" i="38"/>
  <c r="T1702" i="38"/>
  <c r="X1702" i="38"/>
  <c r="S1718" i="38"/>
  <c r="T1718" i="38"/>
  <c r="X1718" i="38"/>
  <c r="S1826" i="38"/>
  <c r="T1826" i="38"/>
  <c r="X1826" i="38"/>
  <c r="S1782" i="38"/>
  <c r="T1782" i="38"/>
  <c r="X1782" i="38"/>
  <c r="S1790" i="38"/>
  <c r="T1790" i="38"/>
  <c r="X1790" i="38"/>
  <c r="AC775" i="38"/>
  <c r="U510" i="38"/>
  <c r="V510" i="38" s="1"/>
  <c r="AA510" i="38"/>
  <c r="AA978" i="38"/>
  <c r="U978" i="38"/>
  <c r="V905" i="38"/>
  <c r="L31" i="42"/>
  <c r="AA1006" i="38"/>
  <c r="U1006" i="38"/>
  <c r="V1006" i="38" s="1"/>
  <c r="U1287" i="38"/>
  <c r="V1287" i="38" s="1"/>
  <c r="AA1287" i="38"/>
  <c r="AA1361" i="38"/>
  <c r="S1705" i="38"/>
  <c r="T1705" i="38"/>
  <c r="X1705" i="38"/>
  <c r="S1649" i="38"/>
  <c r="T1649" i="38"/>
  <c r="X1649" i="38"/>
  <c r="S1860" i="38"/>
  <c r="T1860" i="38"/>
  <c r="X1860" i="38"/>
  <c r="S1729" i="38"/>
  <c r="X1729" i="38"/>
  <c r="T1729" i="38"/>
  <c r="S1777" i="38"/>
  <c r="X1777" i="38"/>
  <c r="T1777" i="38"/>
  <c r="S1874" i="38"/>
  <c r="T1874" i="38"/>
  <c r="X1874" i="38"/>
  <c r="S1667" i="38"/>
  <c r="T1667" i="38"/>
  <c r="X1667" i="38"/>
  <c r="S1693" i="38"/>
  <c r="T1693" i="38"/>
  <c r="X1693" i="38"/>
  <c r="S1799" i="38"/>
  <c r="T1799" i="38"/>
  <c r="X1799" i="38"/>
  <c r="S1773" i="38"/>
  <c r="T1773" i="38"/>
  <c r="X1773" i="38"/>
  <c r="S1651" i="38"/>
  <c r="T1651" i="38"/>
  <c r="X1651" i="38"/>
  <c r="S1791" i="38"/>
  <c r="T1791" i="38"/>
  <c r="X1791" i="38"/>
  <c r="S1775" i="38"/>
  <c r="T1775" i="38"/>
  <c r="X1775" i="38"/>
  <c r="S1647" i="38"/>
  <c r="X1647" i="38"/>
  <c r="T1647" i="38"/>
  <c r="U828" i="38"/>
  <c r="V828" i="38" s="1"/>
  <c r="AA828" i="38"/>
  <c r="U1040" i="38"/>
  <c r="V1040" i="38" s="1"/>
  <c r="AA1040" i="38"/>
  <c r="U269" i="38"/>
  <c r="V269" i="38" s="1"/>
  <c r="AA269" i="38"/>
  <c r="AA953" i="38"/>
  <c r="U953" i="38"/>
  <c r="V953" i="38" s="1"/>
  <c r="AA1107" i="38"/>
  <c r="U1083" i="38"/>
  <c r="V1083" i="38" s="1"/>
  <c r="S1610" i="38"/>
  <c r="T1610" i="38"/>
  <c r="X1610" i="38"/>
  <c r="S1642" i="38"/>
  <c r="T1642" i="38"/>
  <c r="X1642" i="38"/>
  <c r="S1495" i="38"/>
  <c r="T1495" i="38"/>
  <c r="X1495" i="38"/>
  <c r="S1630" i="38"/>
  <c r="T1630" i="38"/>
  <c r="X1630" i="38"/>
  <c r="S1559" i="38"/>
  <c r="T1559" i="38"/>
  <c r="X1559" i="38"/>
  <c r="S1440" i="38"/>
  <c r="T1440" i="38"/>
  <c r="X1440" i="38"/>
  <c r="S1470" i="38"/>
  <c r="T1470" i="38"/>
  <c r="X1470" i="38"/>
  <c r="S1434" i="38"/>
  <c r="T1434" i="38"/>
  <c r="X1434" i="38"/>
  <c r="S1549" i="38"/>
  <c r="X1549" i="38"/>
  <c r="T1549" i="38"/>
  <c r="S1531" i="38"/>
  <c r="T1531" i="38"/>
  <c r="X1531" i="38"/>
  <c r="S1372" i="38"/>
  <c r="T1372" i="38"/>
  <c r="X1372" i="38"/>
  <c r="S1368" i="38"/>
  <c r="T1368" i="38"/>
  <c r="X1368" i="38"/>
  <c r="S1410" i="38"/>
  <c r="T1410" i="38"/>
  <c r="X1410" i="38"/>
  <c r="S1384" i="38"/>
  <c r="T1384" i="38"/>
  <c r="X1384" i="38"/>
  <c r="S1489" i="38"/>
  <c r="T1489" i="38"/>
  <c r="X1489" i="38"/>
  <c r="S1450" i="38"/>
  <c r="T1450" i="38"/>
  <c r="X1450" i="38"/>
  <c r="S1370" i="38"/>
  <c r="T1370" i="38"/>
  <c r="X1370" i="38"/>
  <c r="U876" i="38"/>
  <c r="V876" i="38" s="1"/>
  <c r="AA876" i="38"/>
  <c r="W1201" i="38"/>
  <c r="AA1080" i="38"/>
  <c r="U1080" i="38"/>
  <c r="V1080" i="38" s="1"/>
  <c r="U1051" i="38"/>
  <c r="V1051" i="38" s="1"/>
  <c r="AA1051" i="38"/>
  <c r="O164" i="12"/>
  <c r="Z25" i="45" s="1"/>
  <c r="W643" i="38"/>
  <c r="O39" i="12"/>
  <c r="L25" i="42" s="1"/>
  <c r="V681" i="38"/>
  <c r="U1048" i="38"/>
  <c r="V1048" i="38" s="1"/>
  <c r="AA1048" i="38"/>
  <c r="O133" i="12"/>
  <c r="Z15" i="45" s="1"/>
  <c r="O67" i="72"/>
  <c r="O85" i="12"/>
  <c r="U1103" i="38"/>
  <c r="V1103" i="38" s="1"/>
  <c r="U1139" i="38"/>
  <c r="V1139" i="38" s="1"/>
  <c r="S1377" i="38"/>
  <c r="T1377" i="38"/>
  <c r="X1377" i="38"/>
  <c r="S1498" i="38"/>
  <c r="T1498" i="38"/>
  <c r="X1498" i="38"/>
  <c r="S1475" i="38"/>
  <c r="T1475" i="38"/>
  <c r="X1475" i="38"/>
  <c r="S1431" i="38"/>
  <c r="T1431" i="38"/>
  <c r="X1431" i="38"/>
  <c r="S1530" i="38"/>
  <c r="T1530" i="38"/>
  <c r="X1530" i="38"/>
  <c r="S1385" i="38"/>
  <c r="T1385" i="38"/>
  <c r="X1385" i="38"/>
  <c r="S1395" i="38"/>
  <c r="T1395" i="38"/>
  <c r="X1395" i="38"/>
  <c r="S1381" i="38"/>
  <c r="T1381" i="38"/>
  <c r="X1381" i="38"/>
  <c r="S1455" i="38"/>
  <c r="T1455" i="38"/>
  <c r="X1455" i="38"/>
  <c r="S1449" i="38"/>
  <c r="T1449" i="38"/>
  <c r="X1449" i="38"/>
  <c r="W744" i="38"/>
  <c r="S972" i="38"/>
  <c r="T972" i="38"/>
  <c r="X972" i="38"/>
  <c r="S912" i="38"/>
  <c r="P427" i="37" s="1"/>
  <c r="T912" i="38"/>
  <c r="X912" i="38"/>
  <c r="S79" i="33"/>
  <c r="S127" i="33" s="1"/>
  <c r="R127" i="33"/>
  <c r="U800" i="38"/>
  <c r="V800" i="38" s="1"/>
  <c r="AA800" i="38"/>
  <c r="V829" i="38"/>
  <c r="S918" i="38"/>
  <c r="T918" i="38"/>
  <c r="X918" i="38"/>
  <c r="U1057" i="38"/>
  <c r="V1057" i="38" s="1"/>
  <c r="S1014" i="38"/>
  <c r="T1014" i="38"/>
  <c r="X1014" i="38"/>
  <c r="S970" i="38"/>
  <c r="T970" i="38"/>
  <c r="X970" i="38"/>
  <c r="U951" i="38"/>
  <c r="V951" i="38" s="1"/>
  <c r="AA951" i="38"/>
  <c r="W1052" i="38"/>
  <c r="W1160" i="38"/>
  <c r="W1267" i="38"/>
  <c r="V532" i="38"/>
  <c r="W1230" i="38"/>
  <c r="W1204" i="38"/>
  <c r="O253" i="37"/>
  <c r="AC793" i="38"/>
  <c r="AB793" i="38" s="1"/>
  <c r="S899" i="38"/>
  <c r="T899" i="38"/>
  <c r="X899" i="38"/>
  <c r="S843" i="38"/>
  <c r="T843" i="38"/>
  <c r="X843" i="38"/>
  <c r="R1140" i="38"/>
  <c r="R1209" i="38"/>
  <c r="R1084" i="38"/>
  <c r="R1334" i="38"/>
  <c r="R1163" i="38"/>
  <c r="R1294" i="38"/>
  <c r="R1169" i="38"/>
  <c r="R1261" i="38"/>
  <c r="R1086" i="38"/>
  <c r="R1352" i="38"/>
  <c r="R1346" i="38"/>
  <c r="R1318" i="38"/>
  <c r="R1171" i="38"/>
  <c r="R1360" i="38"/>
  <c r="R1288" i="38"/>
  <c r="R1213" i="38"/>
  <c r="R1138" i="38"/>
  <c r="R1364" i="38"/>
  <c r="R1328" i="38"/>
  <c r="R1280" i="38"/>
  <c r="R1211" i="38"/>
  <c r="W608" i="38"/>
  <c r="W1122" i="38"/>
  <c r="W1205" i="38"/>
  <c r="AA881" i="38"/>
  <c r="U881" i="38"/>
  <c r="V881" i="38" s="1"/>
  <c r="W770" i="38"/>
  <c r="W1252" i="38"/>
  <c r="W1196" i="38"/>
  <c r="U842" i="38"/>
  <c r="V842" i="38" s="1"/>
  <c r="AA842" i="38"/>
  <c r="V647" i="38"/>
  <c r="S916" i="38"/>
  <c r="T916" i="38"/>
  <c r="X916" i="38"/>
  <c r="S1027" i="38"/>
  <c r="T1027" i="38"/>
  <c r="X1027" i="38"/>
  <c r="AC505" i="38"/>
  <c r="AB505" i="38" s="1"/>
  <c r="AC791" i="38"/>
  <c r="AB791" i="38" s="1"/>
  <c r="W1265" i="38"/>
  <c r="AC1011" i="38"/>
  <c r="AB1011" i="38" s="1"/>
  <c r="V663" i="38"/>
  <c r="S893" i="38"/>
  <c r="T893" i="38"/>
  <c r="X893" i="38"/>
  <c r="W1315" i="38"/>
  <c r="AC1013" i="38"/>
  <c r="AB1013" i="38" s="1"/>
  <c r="S875" i="38"/>
  <c r="T875" i="38"/>
  <c r="X875" i="38"/>
  <c r="S1736" i="38"/>
  <c r="X1736" i="38"/>
  <c r="T1736" i="38"/>
  <c r="S1828" i="38"/>
  <c r="T1828" i="38"/>
  <c r="X1828" i="38"/>
  <c r="S1662" i="38"/>
  <c r="T1662" i="38"/>
  <c r="X1662" i="38"/>
  <c r="S1794" i="38"/>
  <c r="T1794" i="38"/>
  <c r="X1794" i="38"/>
  <c r="S1788" i="38"/>
  <c r="T1788" i="38"/>
  <c r="X1788" i="38"/>
  <c r="S1780" i="38"/>
  <c r="T1780" i="38"/>
  <c r="X1780" i="38"/>
  <c r="S1676" i="38"/>
  <c r="T1676" i="38"/>
  <c r="X1676" i="38"/>
  <c r="S1714" i="38"/>
  <c r="T1714" i="38"/>
  <c r="X1714" i="38"/>
  <c r="S1668" i="38"/>
  <c r="T1668" i="38"/>
  <c r="X1668" i="38"/>
  <c r="V801" i="38"/>
  <c r="AC479" i="38"/>
  <c r="AB479" i="38" s="1"/>
  <c r="W1111" i="38"/>
  <c r="W1113" i="38"/>
  <c r="W1183" i="38"/>
  <c r="U838" i="38"/>
  <c r="V838" i="38" s="1"/>
  <c r="AA838" i="38"/>
  <c r="AA430" i="38"/>
  <c r="U430" i="38"/>
  <c r="W1323" i="38"/>
  <c r="W1212" i="38"/>
  <c r="S1868" i="38"/>
  <c r="T1868" i="38"/>
  <c r="X1868" i="38"/>
  <c r="S1852" i="38"/>
  <c r="T1852" i="38"/>
  <c r="X1852" i="38"/>
  <c r="S1823" i="38"/>
  <c r="T1823" i="38"/>
  <c r="X1823" i="38"/>
  <c r="S1673" i="38"/>
  <c r="T1673" i="38"/>
  <c r="X1673" i="38"/>
  <c r="S1870" i="38"/>
  <c r="T1870" i="38"/>
  <c r="X1870" i="38"/>
  <c r="S1743" i="38"/>
  <c r="T1743" i="38"/>
  <c r="X1743" i="38"/>
  <c r="S1858" i="38"/>
  <c r="T1858" i="38"/>
  <c r="X1858" i="38"/>
  <c r="S1725" i="38"/>
  <c r="T1725" i="38"/>
  <c r="X1725" i="38"/>
  <c r="S1847" i="38"/>
  <c r="T1847" i="38"/>
  <c r="X1847" i="38"/>
  <c r="S1703" i="38"/>
  <c r="X1703" i="38"/>
  <c r="T1703" i="38"/>
  <c r="S1675" i="38"/>
  <c r="T1675" i="38"/>
  <c r="X1675" i="38"/>
  <c r="S1801" i="38"/>
  <c r="T1801" i="38"/>
  <c r="X1801" i="38"/>
  <c r="S1781" i="38"/>
  <c r="T1781" i="38"/>
  <c r="X1781" i="38"/>
  <c r="S1671" i="38"/>
  <c r="T1671" i="38"/>
  <c r="X1671" i="38"/>
  <c r="U1046" i="38"/>
  <c r="V1046" i="38" s="1"/>
  <c r="AA1046" i="38"/>
  <c r="W1136" i="38"/>
  <c r="W1250" i="38"/>
  <c r="O25" i="72"/>
  <c r="AA853" i="38"/>
  <c r="U853" i="38"/>
  <c r="V853" i="38" s="1"/>
  <c r="W570" i="38"/>
  <c r="W1133" i="38"/>
  <c r="V907" i="38"/>
  <c r="P36" i="72"/>
  <c r="S1481" i="38"/>
  <c r="T1481" i="38"/>
  <c r="X1481" i="38"/>
  <c r="S1517" i="38"/>
  <c r="T1517" i="38"/>
  <c r="X1517" i="38"/>
  <c r="S1414" i="38"/>
  <c r="T1414" i="38"/>
  <c r="X1414" i="38"/>
  <c r="S1511" i="38"/>
  <c r="T1511" i="38"/>
  <c r="X1511" i="38"/>
  <c r="S1578" i="38"/>
  <c r="T1578" i="38"/>
  <c r="X1578" i="38"/>
  <c r="S1497" i="38"/>
  <c r="T1497" i="38"/>
  <c r="X1497" i="38"/>
  <c r="S1380" i="38"/>
  <c r="T1380" i="38"/>
  <c r="X1380" i="38"/>
  <c r="S1505" i="38"/>
  <c r="T1505" i="38"/>
  <c r="X1505" i="38"/>
  <c r="S1616" i="38"/>
  <c r="T1616" i="38"/>
  <c r="X1616" i="38"/>
  <c r="S1507" i="38"/>
  <c r="T1507" i="38"/>
  <c r="X1507" i="38"/>
  <c r="S1632" i="38"/>
  <c r="T1632" i="38"/>
  <c r="X1632" i="38"/>
  <c r="S1580" i="38"/>
  <c r="T1580" i="38"/>
  <c r="X1580" i="38"/>
  <c r="S1396" i="38"/>
  <c r="T1396" i="38"/>
  <c r="X1396" i="38"/>
  <c r="S1600" i="38"/>
  <c r="T1600" i="38"/>
  <c r="X1600" i="38"/>
  <c r="S1553" i="38"/>
  <c r="T1553" i="38"/>
  <c r="X1553" i="38"/>
  <c r="S1539" i="38"/>
  <c r="X1539" i="38"/>
  <c r="T1539" i="38"/>
  <c r="S1551" i="38"/>
  <c r="T1551" i="38"/>
  <c r="X1551" i="38"/>
  <c r="AA390" i="38"/>
  <c r="U390" i="38"/>
  <c r="W1118" i="38"/>
  <c r="AA516" i="38"/>
  <c r="U516" i="38"/>
  <c r="V516" i="38" s="1"/>
  <c r="W699" i="38"/>
  <c r="O127" i="12"/>
  <c r="Z10" i="45" s="1"/>
  <c r="W705" i="38"/>
  <c r="U528" i="38"/>
  <c r="V528" i="38" s="1"/>
  <c r="AA528" i="38"/>
  <c r="O169" i="12"/>
  <c r="Z29" i="45" s="1"/>
  <c r="O86" i="12"/>
  <c r="O68" i="72"/>
  <c r="W1359" i="38"/>
  <c r="W1228" i="38"/>
  <c r="W1123" i="38"/>
  <c r="AA945" i="38"/>
  <c r="U945" i="38"/>
  <c r="V945" i="38" s="1"/>
  <c r="O84" i="12"/>
  <c r="O66" i="72"/>
  <c r="U1030" i="38"/>
  <c r="V1030" i="38" s="1"/>
  <c r="AA1030" i="38"/>
  <c r="U920" i="38"/>
  <c r="AA920" i="38"/>
  <c r="W1074" i="38"/>
  <c r="AA909" i="38"/>
  <c r="U909" i="38"/>
  <c r="O416" i="37"/>
  <c r="O371" i="37"/>
  <c r="W1164" i="38"/>
  <c r="W1258" i="38"/>
  <c r="AC1019" i="38"/>
  <c r="AB1019" i="38" s="1"/>
  <c r="AC512" i="38"/>
  <c r="AB512" i="38" s="1"/>
  <c r="V267" i="38"/>
  <c r="R128" i="33"/>
  <c r="S93" i="33"/>
  <c r="S128" i="33" s="1"/>
  <c r="S1437" i="38"/>
  <c r="T1437" i="38"/>
  <c r="X1437" i="38"/>
  <c r="S1532" i="38"/>
  <c r="T1532" i="38"/>
  <c r="X1532" i="38"/>
  <c r="S1421" i="38"/>
  <c r="T1421" i="38"/>
  <c r="X1421" i="38"/>
  <c r="S1502" i="38"/>
  <c r="T1502" i="38"/>
  <c r="X1502" i="38"/>
  <c r="S1574" i="38"/>
  <c r="T1574" i="38"/>
  <c r="X1574" i="38"/>
  <c r="S1562" i="38"/>
  <c r="T1562" i="38"/>
  <c r="X1562" i="38"/>
  <c r="S1577" i="38"/>
  <c r="T1577" i="38"/>
  <c r="X1577" i="38"/>
  <c r="S1518" i="38"/>
  <c r="T1518" i="38"/>
  <c r="X1518" i="38"/>
  <c r="S1425" i="38"/>
  <c r="T1425" i="38"/>
  <c r="X1425" i="38"/>
  <c r="S1617" i="38"/>
  <c r="T1617" i="38"/>
  <c r="X1617" i="38"/>
  <c r="O18" i="37"/>
  <c r="S1001" i="38"/>
  <c r="T1001" i="38"/>
  <c r="X1001" i="38"/>
  <c r="S999" i="38"/>
  <c r="X999" i="38"/>
  <c r="T999" i="38"/>
  <c r="S1654" i="38"/>
  <c r="T1654" i="38"/>
  <c r="X1654" i="38"/>
  <c r="S1873" i="38"/>
  <c r="T1873" i="38"/>
  <c r="X1873" i="38"/>
  <c r="S1758" i="38"/>
  <c r="T1758" i="38"/>
  <c r="X1758" i="38"/>
  <c r="S1646" i="38"/>
  <c r="T1646" i="38"/>
  <c r="X1646" i="38"/>
  <c r="S1752" i="38"/>
  <c r="X1752" i="38"/>
  <c r="T1752" i="38"/>
  <c r="S1716" i="38"/>
  <c r="T1716" i="38"/>
  <c r="X1716" i="38"/>
  <c r="S1845" i="38"/>
  <c r="S35" i="31" s="1"/>
  <c r="T1845" i="38"/>
  <c r="X1845" i="38"/>
  <c r="S1726" i="38"/>
  <c r="T1726" i="38"/>
  <c r="X1726" i="38"/>
  <c r="S1796" i="38"/>
  <c r="X1796" i="38"/>
  <c r="T1796" i="38"/>
  <c r="U1070" i="38"/>
  <c r="V1070" i="38" s="1"/>
  <c r="AA1070" i="38"/>
  <c r="W1124" i="38"/>
  <c r="AA271" i="38"/>
  <c r="U271" i="38"/>
  <c r="W574" i="38"/>
  <c r="W742" i="38"/>
  <c r="W1333" i="38"/>
  <c r="W1190" i="38"/>
  <c r="W1195" i="38"/>
  <c r="W1248" i="38"/>
  <c r="W1208" i="38"/>
  <c r="W1079" i="38"/>
  <c r="W1337" i="38"/>
  <c r="S1815" i="38"/>
  <c r="T1815" i="38"/>
  <c r="X1815" i="38"/>
  <c r="S1872" i="38"/>
  <c r="T1872" i="38"/>
  <c r="X1872" i="38"/>
  <c r="S1713" i="38"/>
  <c r="T1713" i="38"/>
  <c r="X1713" i="38"/>
  <c r="S1866" i="38"/>
  <c r="T1866" i="38"/>
  <c r="X1866" i="38"/>
  <c r="S1785" i="38"/>
  <c r="T1785" i="38"/>
  <c r="X1785" i="38"/>
  <c r="S1880" i="38"/>
  <c r="T1880" i="38"/>
  <c r="X1880" i="38"/>
  <c r="S1833" i="38"/>
  <c r="T1833" i="38"/>
  <c r="X1833" i="38"/>
  <c r="S1707" i="38"/>
  <c r="T1707" i="38"/>
  <c r="X1707" i="38"/>
  <c r="S1829" i="38"/>
  <c r="T1829" i="38"/>
  <c r="X1829" i="38"/>
  <c r="S1761" i="38"/>
  <c r="T1761" i="38"/>
  <c r="X1761" i="38"/>
  <c r="S1789" i="38"/>
  <c r="T1789" i="38"/>
  <c r="X1789" i="38"/>
  <c r="S1882" i="38"/>
  <c r="T1882" i="38"/>
  <c r="X1882" i="38"/>
  <c r="S1848" i="38"/>
  <c r="T1848" i="38"/>
  <c r="X1848" i="38"/>
  <c r="S1657" i="38"/>
  <c r="T1657" i="38"/>
  <c r="X1657" i="38"/>
  <c r="U471" i="38"/>
  <c r="AA471" i="38"/>
  <c r="W1110" i="38"/>
  <c r="W580" i="38"/>
  <c r="W1222" i="38"/>
  <c r="W1141" i="38"/>
  <c r="AA1246" i="38"/>
  <c r="U1246" i="38"/>
  <c r="V1246" i="38" s="1"/>
  <c r="W1279" i="38"/>
  <c r="S1582" i="38"/>
  <c r="T1582" i="38"/>
  <c r="X1582" i="38"/>
  <c r="S1573" i="38"/>
  <c r="T1573" i="38"/>
  <c r="X1573" i="38"/>
  <c r="S1509" i="38"/>
  <c r="T1509" i="38"/>
  <c r="X1509" i="38"/>
  <c r="S1501" i="38"/>
  <c r="T1501" i="38"/>
  <c r="X1501" i="38"/>
  <c r="S1543" i="38"/>
  <c r="T1543" i="38"/>
  <c r="X1543" i="38"/>
  <c r="S1420" i="38"/>
  <c r="T1420" i="38"/>
  <c r="X1420" i="38"/>
  <c r="S1634" i="38"/>
  <c r="T1634" i="38"/>
  <c r="X1634" i="38"/>
  <c r="S1430" i="38"/>
  <c r="T1430" i="38"/>
  <c r="X1430" i="38"/>
  <c r="S1374" i="38"/>
  <c r="T1374" i="38"/>
  <c r="X1374" i="38"/>
  <c r="S1458" i="38"/>
  <c r="T1458" i="38"/>
  <c r="X1458" i="38"/>
  <c r="S1444" i="38"/>
  <c r="T1444" i="38"/>
  <c r="X1444" i="38"/>
  <c r="S1392" i="38"/>
  <c r="T1392" i="38"/>
  <c r="X1392" i="38"/>
  <c r="S1477" i="38"/>
  <c r="X1477" i="38"/>
  <c r="T1477" i="38"/>
  <c r="S1442" i="38"/>
  <c r="T1442" i="38"/>
  <c r="X1442" i="38"/>
  <c r="S1462" i="38"/>
  <c r="T1462" i="38"/>
  <c r="X1462" i="38"/>
  <c r="S1446" i="38"/>
  <c r="T1446" i="38"/>
  <c r="X1446" i="38"/>
  <c r="S1590" i="38"/>
  <c r="T1590" i="38"/>
  <c r="X1590" i="38"/>
  <c r="W1078" i="38"/>
  <c r="W1116" i="38"/>
  <c r="AA962" i="38"/>
  <c r="U962" i="38"/>
  <c r="U1028" i="38"/>
  <c r="V1028" i="38" s="1"/>
  <c r="AA1028" i="38"/>
  <c r="W1087" i="38"/>
  <c r="W1099" i="38"/>
  <c r="AA858" i="38"/>
  <c r="U858" i="38"/>
  <c r="V858" i="38" s="1"/>
  <c r="W606" i="38"/>
  <c r="O37" i="12"/>
  <c r="W1193" i="38"/>
  <c r="P46" i="12"/>
  <c r="M28" i="42"/>
  <c r="M31" i="42" s="1"/>
  <c r="W717" i="38"/>
  <c r="W1172" i="38"/>
  <c r="W1274" i="38"/>
  <c r="W1331" i="38"/>
  <c r="V665" i="38"/>
  <c r="R1296" i="38"/>
  <c r="R1128" i="38"/>
  <c r="R1076" i="38"/>
  <c r="R1263" i="38"/>
  <c r="R1259" i="38"/>
  <c r="R1326" i="38"/>
  <c r="R1286" i="38"/>
  <c r="R1336" i="38"/>
  <c r="R1126" i="38"/>
  <c r="R1307" i="38"/>
  <c r="R1344" i="38"/>
  <c r="R1239" i="38"/>
  <c r="R1354" i="38"/>
  <c r="R1130" i="38"/>
  <c r="R1273" i="38"/>
  <c r="R1282" i="38"/>
  <c r="R1362" i="38"/>
  <c r="R1320" i="38"/>
  <c r="S1611" i="38"/>
  <c r="T1611" i="38"/>
  <c r="X1611" i="38"/>
  <c r="S1482" i="38"/>
  <c r="X1482" i="38"/>
  <c r="T1482" i="38"/>
  <c r="S1373" i="38"/>
  <c r="T1373" i="38"/>
  <c r="X1373" i="38"/>
  <c r="S1643" i="38"/>
  <c r="T1643" i="38"/>
  <c r="X1643" i="38"/>
  <c r="S1387" i="38"/>
  <c r="T1387" i="38"/>
  <c r="X1387" i="38"/>
  <c r="S1520" i="38"/>
  <c r="T1520" i="38"/>
  <c r="X1520" i="38"/>
  <c r="S1514" i="38"/>
  <c r="T1514" i="38"/>
  <c r="X1514" i="38"/>
  <c r="S1629" i="38"/>
  <c r="T1629" i="38"/>
  <c r="X1629" i="38"/>
  <c r="S1447" i="38"/>
  <c r="T1447" i="38"/>
  <c r="X1447" i="38"/>
  <c r="S1510" i="38"/>
  <c r="T1510" i="38"/>
  <c r="X1510" i="38"/>
  <c r="K38" i="42"/>
  <c r="U578" i="38"/>
  <c r="AA578" i="38"/>
  <c r="S968" i="38"/>
  <c r="X968" i="38"/>
  <c r="T968" i="38"/>
  <c r="AA620" i="38"/>
  <c r="U620" i="38"/>
  <c r="V620" i="38" s="1"/>
  <c r="AA1317" i="38"/>
  <c r="U1317" i="38"/>
  <c r="V1317" i="38" s="1"/>
  <c r="U1055" i="38"/>
  <c r="V1055" i="38" s="1"/>
  <c r="AA1055" i="38"/>
  <c r="U992" i="38"/>
  <c r="V992" i="38" s="1"/>
  <c r="AA992" i="38"/>
  <c r="U1197" i="38"/>
  <c r="V1197" i="38" s="1"/>
  <c r="AA1197" i="38"/>
  <c r="AA1269" i="38"/>
  <c r="U1269" i="38"/>
  <c r="V1269" i="38" s="1"/>
  <c r="U1332" i="38"/>
  <c r="V1332" i="38" s="1"/>
  <c r="AA1332" i="38"/>
  <c r="AA906" i="38"/>
  <c r="U906" i="38"/>
  <c r="U503" i="38"/>
  <c r="V503" i="38" s="1"/>
  <c r="AA503" i="38"/>
  <c r="AA434" i="38"/>
  <c r="U434" i="38"/>
  <c r="AA1355" i="38"/>
  <c r="U1355" i="38"/>
  <c r="V1355" i="38" s="1"/>
  <c r="U1077" i="38"/>
  <c r="V1077" i="38" s="1"/>
  <c r="U404" i="38"/>
  <c r="AA404" i="38"/>
  <c r="S1653" i="38"/>
  <c r="T1653" i="38"/>
  <c r="X1653" i="38"/>
  <c r="S1749" i="38"/>
  <c r="T1749" i="38"/>
  <c r="X1749" i="38"/>
  <c r="S1699" i="38"/>
  <c r="T1699" i="38"/>
  <c r="X1699" i="38"/>
  <c r="S1839" i="38"/>
  <c r="T1839" i="38"/>
  <c r="X1839" i="38"/>
  <c r="S1701" i="38"/>
  <c r="X1701" i="38"/>
  <c r="T1701" i="38"/>
  <c r="S1779" i="38"/>
  <c r="T1779" i="38"/>
  <c r="X1779" i="38"/>
  <c r="S1719" i="38"/>
  <c r="T1719" i="38"/>
  <c r="X1719" i="38"/>
  <c r="S1821" i="38"/>
  <c r="T1821" i="38"/>
  <c r="X1821" i="38"/>
  <c r="S1864" i="38"/>
  <c r="T1864" i="38"/>
  <c r="X1864" i="38"/>
  <c r="S1715" i="38"/>
  <c r="T1715" i="38"/>
  <c r="X1715" i="38"/>
  <c r="S1727" i="38"/>
  <c r="T1727" i="38"/>
  <c r="X1727" i="38"/>
  <c r="S1669" i="38"/>
  <c r="T1669" i="38"/>
  <c r="X1669" i="38"/>
  <c r="S1741" i="38"/>
  <c r="T1741" i="38"/>
  <c r="X1741" i="38"/>
  <c r="S1763" i="38"/>
  <c r="T1763" i="38"/>
  <c r="X1763" i="38"/>
  <c r="S1731" i="38"/>
  <c r="T1731" i="38"/>
  <c r="X1731" i="38"/>
  <c r="AA908" i="38"/>
  <c r="U908" i="38"/>
  <c r="AA473" i="38"/>
  <c r="U473" i="38"/>
  <c r="V473" i="38" s="1"/>
  <c r="AA1009" i="38"/>
  <c r="U1009" i="38"/>
  <c r="V1009" i="38" s="1"/>
  <c r="U1322" i="38"/>
  <c r="V1322" i="38" s="1"/>
  <c r="AA803" i="38"/>
  <c r="U803" i="38"/>
  <c r="U955" i="38"/>
  <c r="V955" i="38" s="1"/>
  <c r="AA955" i="38"/>
  <c r="AA921" i="38"/>
  <c r="U921" i="38"/>
  <c r="V921" i="38" s="1"/>
  <c r="AA930" i="38"/>
  <c r="U930" i="38"/>
  <c r="AA1119" i="38"/>
  <c r="U1119" i="38"/>
  <c r="V1119" i="38" s="1"/>
  <c r="S1428" i="38"/>
  <c r="T1428" i="38"/>
  <c r="X1428" i="38"/>
  <c r="S1366" i="38"/>
  <c r="T1366" i="38"/>
  <c r="X1366" i="38"/>
  <c r="S1584" i="38"/>
  <c r="T1584" i="38"/>
  <c r="X1584" i="38"/>
  <c r="S1627" i="38"/>
  <c r="T1627" i="38"/>
  <c r="X1627" i="38"/>
  <c r="S1493" i="38"/>
  <c r="T1493" i="38"/>
  <c r="X1493" i="38"/>
  <c r="S1622" i="38"/>
  <c r="T1622" i="38"/>
  <c r="X1622" i="38"/>
  <c r="S1460" i="38"/>
  <c r="T1460" i="38"/>
  <c r="X1460" i="38"/>
  <c r="S1452" i="38"/>
  <c r="X1452" i="38"/>
  <c r="T1452" i="38"/>
  <c r="S1561" i="38"/>
  <c r="T1561" i="38"/>
  <c r="X1561" i="38"/>
  <c r="S1424" i="38"/>
  <c r="T1424" i="38"/>
  <c r="X1424" i="38"/>
  <c r="S1466" i="38"/>
  <c r="T1466" i="38"/>
  <c r="X1466" i="38"/>
  <c r="S1499" i="38"/>
  <c r="T1499" i="38"/>
  <c r="X1499" i="38"/>
  <c r="S1628" i="38"/>
  <c r="X1628" i="38"/>
  <c r="T1628" i="38"/>
  <c r="S1386" i="38"/>
  <c r="T1386" i="38"/>
  <c r="X1386" i="38"/>
  <c r="S1608" i="38"/>
  <c r="T1608" i="38"/>
  <c r="X1608" i="38"/>
  <c r="S1404" i="38"/>
  <c r="T1404" i="38"/>
  <c r="X1404" i="38"/>
  <c r="S1390" i="38"/>
  <c r="T1390" i="38"/>
  <c r="X1390" i="38"/>
  <c r="O110" i="72"/>
  <c r="V659" i="38"/>
  <c r="W1159" i="38"/>
  <c r="Q50" i="12"/>
  <c r="N34" i="42" s="1"/>
  <c r="O59" i="72"/>
  <c r="V639" i="38"/>
  <c r="O33" i="72"/>
  <c r="O26" i="72"/>
  <c r="U878" i="38"/>
  <c r="V878" i="38" s="1"/>
  <c r="AA878" i="38"/>
  <c r="O415" i="37"/>
  <c r="W649" i="38"/>
  <c r="AA1242" i="38"/>
  <c r="U1242" i="38"/>
  <c r="V1242" i="38" s="1"/>
  <c r="U1073" i="38"/>
  <c r="V1073" i="38" s="1"/>
  <c r="AA1073" i="38"/>
  <c r="AA868" i="38"/>
  <c r="U868" i="38"/>
  <c r="V868" i="38" s="1"/>
  <c r="O370" i="37"/>
  <c r="W1173" i="38"/>
  <c r="U1105" i="38"/>
  <c r="V1105" i="38" s="1"/>
  <c r="AA1105" i="38"/>
  <c r="AC788" i="38"/>
  <c r="AB788" i="38" s="1"/>
  <c r="K23" i="42"/>
  <c r="K33" i="42" s="1"/>
  <c r="K35" i="42" s="1"/>
  <c r="N48" i="12"/>
  <c r="N51" i="12" s="1"/>
  <c r="S1492" i="38"/>
  <c r="T1492" i="38"/>
  <c r="X1492" i="38"/>
  <c r="S1474" i="38"/>
  <c r="T1474" i="38"/>
  <c r="X1474" i="38"/>
  <c r="S1375" i="38"/>
  <c r="T1375" i="38"/>
  <c r="X1375" i="38"/>
  <c r="S1445" i="38"/>
  <c r="T1445" i="38"/>
  <c r="X1445" i="38"/>
  <c r="S1433" i="38"/>
  <c r="T1433" i="38"/>
  <c r="X1433" i="38"/>
  <c r="S1572" i="38"/>
  <c r="T1572" i="38"/>
  <c r="X1572" i="38"/>
  <c r="S1583" i="38"/>
  <c r="T1583" i="38"/>
  <c r="X1583" i="38"/>
  <c r="S1506" i="38"/>
  <c r="T1506" i="38"/>
  <c r="X1506" i="38"/>
  <c r="S1570" i="38"/>
  <c r="T1570" i="38"/>
  <c r="X1570" i="38"/>
  <c r="S1560" i="38"/>
  <c r="T1560" i="38"/>
  <c r="X1560" i="38"/>
  <c r="O255" i="37"/>
  <c r="U1153" i="38"/>
  <c r="V1153" i="38" s="1"/>
  <c r="S831" i="38"/>
  <c r="T831" i="38"/>
  <c r="X831" i="38"/>
  <c r="AA1142" i="38"/>
  <c r="U1142" i="38"/>
  <c r="V1142" i="38" s="1"/>
  <c r="S1755" i="38"/>
  <c r="T1755" i="38"/>
  <c r="X1755" i="38"/>
  <c r="S1648" i="38"/>
  <c r="T1648" i="38"/>
  <c r="X1648" i="38"/>
  <c r="S1772" i="38"/>
  <c r="X1772" i="38"/>
  <c r="T1772" i="38"/>
  <c r="S1838" i="38"/>
  <c r="T1838" i="38"/>
  <c r="X1838" i="38"/>
  <c r="S1843" i="38"/>
  <c r="T1843" i="38"/>
  <c r="X1843" i="38"/>
  <c r="S1802" i="38"/>
  <c r="T1802" i="38"/>
  <c r="X1802" i="38"/>
  <c r="S1652" i="38"/>
  <c r="T1652" i="38"/>
  <c r="X1652" i="38"/>
  <c r="U279" i="38"/>
  <c r="AA279" i="38"/>
  <c r="W1185" i="38"/>
  <c r="W1338" i="38"/>
  <c r="U848" i="38"/>
  <c r="V848" i="38" s="1"/>
  <c r="AA848" i="38"/>
  <c r="AA416" i="38"/>
  <c r="U416" i="38"/>
  <c r="S982" i="38"/>
  <c r="T982" i="38"/>
  <c r="X982" i="38"/>
  <c r="AA964" i="38"/>
  <c r="U964" i="38"/>
  <c r="W787" i="38"/>
  <c r="O125" i="12"/>
  <c r="AA1283" i="38"/>
  <c r="U1283" i="38"/>
  <c r="V1283" i="38" s="1"/>
  <c r="AA1234" i="38"/>
  <c r="U1234" i="38"/>
  <c r="V1234" i="38" s="1"/>
  <c r="R126" i="33"/>
  <c r="S65" i="33"/>
  <c r="S126" i="33" s="1"/>
  <c r="S887" i="38"/>
  <c r="T887" i="38"/>
  <c r="X887" i="38"/>
  <c r="AA1203" i="38"/>
  <c r="U1203" i="38"/>
  <c r="V1203" i="38" s="1"/>
  <c r="AA394" i="38"/>
  <c r="U394" i="38"/>
  <c r="O343" i="37"/>
  <c r="S839" i="38"/>
  <c r="T839" i="38"/>
  <c r="X839" i="38"/>
  <c r="S835" i="38"/>
  <c r="T835" i="38"/>
  <c r="X835" i="38"/>
  <c r="U1093" i="38"/>
  <c r="V1093" i="38" s="1"/>
  <c r="AA1093" i="38"/>
  <c r="U1198" i="38"/>
  <c r="V1198" i="38" s="1"/>
  <c r="AA1198" i="38"/>
  <c r="S986" i="38"/>
  <c r="P433" i="37" s="1"/>
  <c r="T986" i="38"/>
  <c r="X986" i="38"/>
  <c r="S873" i="38"/>
  <c r="T873" i="38"/>
  <c r="X873" i="38"/>
  <c r="S1784" i="38"/>
  <c r="T1784" i="38"/>
  <c r="X1784" i="38"/>
  <c r="S1706" i="38"/>
  <c r="X1706" i="38"/>
  <c r="T1706" i="38"/>
  <c r="S1812" i="38"/>
  <c r="T1812" i="38"/>
  <c r="X1812" i="38"/>
  <c r="S1800" i="38"/>
  <c r="X1800" i="38"/>
  <c r="T1800" i="38"/>
  <c r="S1774" i="38"/>
  <c r="T1774" i="38"/>
  <c r="X1774" i="38"/>
  <c r="S1728" i="38"/>
  <c r="T1728" i="38"/>
  <c r="X1728" i="38"/>
  <c r="S1710" i="38"/>
  <c r="T1710" i="38"/>
  <c r="X1710" i="38"/>
  <c r="S1664" i="38"/>
  <c r="T1664" i="38"/>
  <c r="X1664" i="38"/>
  <c r="S1712" i="38"/>
  <c r="T1712" i="38"/>
  <c r="X1712" i="38"/>
  <c r="W1177" i="38"/>
  <c r="W1207" i="38"/>
  <c r="W760" i="38"/>
  <c r="U1032" i="38"/>
  <c r="V1032" i="38" s="1"/>
  <c r="AA1032" i="38"/>
  <c r="O340" i="37"/>
  <c r="W1192" i="38"/>
  <c r="W1089" i="38"/>
  <c r="W1232" i="38"/>
  <c r="U1039" i="38"/>
  <c r="V1039" i="38" s="1"/>
  <c r="AA1039" i="38"/>
  <c r="W776" i="38"/>
  <c r="W1231" i="38"/>
  <c r="W740" i="38"/>
  <c r="O161" i="12"/>
  <c r="Z22" i="45" s="1"/>
  <c r="W1188" i="38"/>
  <c r="W1310" i="38"/>
  <c r="S1811" i="38"/>
  <c r="T1811" i="38"/>
  <c r="X1811" i="38"/>
  <c r="S1771" i="38"/>
  <c r="T1771" i="38"/>
  <c r="X1771" i="38"/>
  <c r="S1819" i="38"/>
  <c r="T1819" i="38"/>
  <c r="X1819" i="38"/>
  <c r="S1807" i="38"/>
  <c r="X1807" i="38"/>
  <c r="T1807" i="38"/>
  <c r="S1850" i="38"/>
  <c r="T1850" i="38"/>
  <c r="X1850" i="38"/>
  <c r="S1795" i="38"/>
  <c r="T1795" i="38"/>
  <c r="X1795" i="38"/>
  <c r="S1733" i="38"/>
  <c r="X1733" i="38"/>
  <c r="T1733" i="38"/>
  <c r="S1856" i="38"/>
  <c r="X1856" i="38"/>
  <c r="T1856" i="38"/>
  <c r="S1767" i="38"/>
  <c r="T1767" i="38"/>
  <c r="X1767" i="38"/>
  <c r="S1854" i="38"/>
  <c r="T1854" i="38"/>
  <c r="X1854" i="38"/>
  <c r="S1803" i="38"/>
  <c r="T1803" i="38"/>
  <c r="X1803" i="38"/>
  <c r="S1709" i="38"/>
  <c r="T1709" i="38"/>
  <c r="X1709" i="38"/>
  <c r="S1683" i="38"/>
  <c r="T1683" i="38"/>
  <c r="X1683" i="38"/>
  <c r="S1665" i="38"/>
  <c r="T1665" i="38"/>
  <c r="X1665" i="38"/>
  <c r="S1711" i="38"/>
  <c r="T1711" i="38"/>
  <c r="X1711" i="38"/>
  <c r="W556" i="38"/>
  <c r="O40" i="12"/>
  <c r="L26" i="42" s="1"/>
  <c r="U514" i="38"/>
  <c r="V514" i="38" s="1"/>
  <c r="AA514" i="38"/>
  <c r="AA1015" i="38"/>
  <c r="U1015" i="38"/>
  <c r="V1015" i="38" s="1"/>
  <c r="W1179" i="38"/>
  <c r="Q166" i="12"/>
  <c r="AB27" i="45" s="1"/>
  <c r="U311" i="38"/>
  <c r="V311" i="38" s="1"/>
  <c r="AA311" i="38"/>
  <c r="U929" i="38"/>
  <c r="V929" i="38" s="1"/>
  <c r="AA929" i="38"/>
  <c r="AA802" i="38"/>
  <c r="U802" i="38"/>
  <c r="V802" i="38" s="1"/>
  <c r="AA406" i="38"/>
  <c r="U406" i="38"/>
  <c r="V406" i="38" s="1"/>
  <c r="W628" i="38"/>
  <c r="W756" i="38"/>
  <c r="W1166" i="38"/>
  <c r="W1081" i="38"/>
  <c r="S1602" i="38"/>
  <c r="T1602" i="38"/>
  <c r="X1602" i="38"/>
  <c r="S1555" i="38"/>
  <c r="T1555" i="38"/>
  <c r="X1555" i="38"/>
  <c r="S1640" i="38"/>
  <c r="X1640" i="38"/>
  <c r="T1640" i="38"/>
  <c r="S1483" i="38"/>
  <c r="T1483" i="38"/>
  <c r="X1483" i="38"/>
  <c r="S1638" i="38"/>
  <c r="T1638" i="38"/>
  <c r="X1638" i="38"/>
  <c r="S1620" i="38"/>
  <c r="T1620" i="38"/>
  <c r="X1620" i="38"/>
  <c r="S1533" i="38"/>
  <c r="T1533" i="38"/>
  <c r="X1533" i="38"/>
  <c r="S1426" i="38"/>
  <c r="T1426" i="38"/>
  <c r="X1426" i="38"/>
  <c r="S1527" i="38"/>
  <c r="T1527" i="38"/>
  <c r="X1527" i="38"/>
  <c r="S1519" i="38"/>
  <c r="T1519" i="38"/>
  <c r="X1519" i="38"/>
  <c r="S1545" i="38"/>
  <c r="T1545" i="38"/>
  <c r="X1545" i="38"/>
  <c r="S1521" i="38"/>
  <c r="T1521" i="38"/>
  <c r="X1521" i="38"/>
  <c r="S1537" i="38"/>
  <c r="T1537" i="38"/>
  <c r="X1537" i="38"/>
  <c r="S1575" i="38"/>
  <c r="T1575" i="38"/>
  <c r="X1575" i="38"/>
  <c r="S1406" i="38"/>
  <c r="T1406" i="38"/>
  <c r="X1406" i="38"/>
  <c r="S1382" i="38"/>
  <c r="T1382" i="38"/>
  <c r="X1382" i="38"/>
  <c r="S1464" i="38"/>
  <c r="T1464" i="38"/>
  <c r="X1464" i="38"/>
  <c r="AA352" i="38"/>
  <c r="U352" i="38"/>
  <c r="V352" i="38" s="1"/>
  <c r="AC1021" i="38"/>
  <c r="AB1021" i="38" s="1"/>
  <c r="U985" i="38"/>
  <c r="V985" i="38" s="1"/>
  <c r="AA985" i="38"/>
  <c r="Q79" i="72"/>
  <c r="Q97" i="12"/>
  <c r="U1305" i="38"/>
  <c r="AA1305" i="38"/>
  <c r="O34" i="76"/>
  <c r="P75" i="72"/>
  <c r="W715" i="38"/>
  <c r="O162" i="12"/>
  <c r="Z23" i="45" s="1"/>
  <c r="W1293" i="38"/>
  <c r="W1186" i="38"/>
  <c r="W1157" i="38"/>
  <c r="AA884" i="38"/>
  <c r="U884" i="38"/>
  <c r="V884" i="38" s="1"/>
  <c r="W719" i="38"/>
  <c r="O165" i="12"/>
  <c r="Z26" i="45" s="1"/>
  <c r="AA864" i="38"/>
  <c r="U864" i="38"/>
  <c r="V864" i="38" s="1"/>
  <c r="U817" i="38"/>
  <c r="V817" i="38" s="1"/>
  <c r="AA817" i="38"/>
  <c r="AA1271" i="38"/>
  <c r="U499" i="38"/>
  <c r="V499" i="38" s="1"/>
  <c r="AA499" i="38"/>
  <c r="W651" i="38"/>
  <c r="U1244" i="38"/>
  <c r="V1244" i="38" s="1"/>
  <c r="AA1244" i="38"/>
  <c r="AA1272" i="38"/>
  <c r="U1272" i="38"/>
  <c r="V1272" i="38" s="1"/>
  <c r="AA309" i="38"/>
  <c r="U309" i="38"/>
  <c r="S1488" i="38"/>
  <c r="T1488" i="38"/>
  <c r="X1488" i="38"/>
  <c r="S1508" i="38"/>
  <c r="T1508" i="38"/>
  <c r="X1508" i="38"/>
  <c r="S1419" i="38"/>
  <c r="T1419" i="38"/>
  <c r="X1419" i="38"/>
  <c r="S1563" i="38"/>
  <c r="X1563" i="38"/>
  <c r="T1563" i="38"/>
  <c r="S1478" i="38"/>
  <c r="T1478" i="38"/>
  <c r="X1478" i="38"/>
  <c r="S1494" i="38"/>
  <c r="T1494" i="38"/>
  <c r="X1494" i="38"/>
  <c r="S1371" i="38"/>
  <c r="T1371" i="38"/>
  <c r="X1371" i="38"/>
  <c r="S1435" i="38"/>
  <c r="X1435" i="38"/>
  <c r="T1435" i="38"/>
  <c r="S1379" i="38"/>
  <c r="T1379" i="38"/>
  <c r="X1379" i="38"/>
  <c r="S1546" i="38"/>
  <c r="T1546" i="38"/>
  <c r="X1546" i="38"/>
  <c r="AA990" i="38"/>
  <c r="U990" i="38"/>
  <c r="V990" i="38" s="1"/>
  <c r="AA1303" i="38"/>
  <c r="U1303" i="38"/>
  <c r="V1303" i="38" s="1"/>
  <c r="AA1131" i="38"/>
  <c r="U1131" i="38"/>
  <c r="V1131" i="38" s="1"/>
  <c r="U1180" i="38"/>
  <c r="V1180" i="38" s="1"/>
  <c r="S1041" i="38"/>
  <c r="T1041" i="38"/>
  <c r="X1041" i="38"/>
  <c r="AA1060" i="38"/>
  <c r="U1060" i="38"/>
  <c r="V1060" i="38" s="1"/>
  <c r="S1010" i="38"/>
  <c r="T1010" i="38"/>
  <c r="X1010" i="38"/>
  <c r="AC1024" i="38"/>
  <c r="W1233" i="38"/>
  <c r="W566" i="38"/>
  <c r="U1319" i="38"/>
  <c r="V1319" i="38" s="1"/>
  <c r="AA1319" i="38"/>
  <c r="AA1214" i="38"/>
  <c r="U1214" i="38"/>
  <c r="V1214" i="38" s="1"/>
  <c r="U1176" i="38"/>
  <c r="V1176" i="38" s="1"/>
  <c r="AA1176" i="38"/>
  <c r="S901" i="38"/>
  <c r="T901" i="38"/>
  <c r="X901" i="38"/>
  <c r="S974" i="38"/>
  <c r="T974" i="38"/>
  <c r="X974" i="38"/>
  <c r="U481" i="38"/>
  <c r="V481" i="38" s="1"/>
  <c r="AA481" i="38"/>
  <c r="W636" i="38"/>
  <c r="S966" i="38"/>
  <c r="T966" i="38"/>
  <c r="X966" i="38"/>
  <c r="S1022" i="38"/>
  <c r="T1022" i="38"/>
  <c r="X1022" i="38"/>
  <c r="W1155" i="38"/>
  <c r="W1109" i="38"/>
  <c r="W1329" i="38"/>
  <c r="AC1037" i="38"/>
  <c r="AB1037" i="38" s="1"/>
  <c r="W746" i="38"/>
  <c r="U805" i="38"/>
  <c r="V805" i="38" s="1"/>
  <c r="AA805" i="38"/>
  <c r="S823" i="38"/>
  <c r="X823" i="38"/>
  <c r="T823" i="38"/>
  <c r="S1018" i="38"/>
  <c r="T1018" i="38"/>
  <c r="X1018" i="38"/>
  <c r="AC796" i="38"/>
  <c r="AB796" i="38" s="1"/>
  <c r="S1883" i="38"/>
  <c r="T1883" i="38"/>
  <c r="M85" i="12" s="1"/>
  <c r="X1883" i="38"/>
  <c r="S1672" i="38"/>
  <c r="T1672" i="38"/>
  <c r="X1672" i="38"/>
  <c r="S1698" i="38"/>
  <c r="T1698" i="38"/>
  <c r="X1698" i="38"/>
  <c r="S1754" i="38"/>
  <c r="T1754" i="38"/>
  <c r="X1754" i="38"/>
  <c r="S1844" i="38"/>
  <c r="S34" i="31" s="1"/>
  <c r="T1844" i="38"/>
  <c r="X1844" i="38"/>
  <c r="S1877" i="38"/>
  <c r="T1877" i="38"/>
  <c r="X1877" i="38"/>
  <c r="S1842" i="38"/>
  <c r="T1842" i="38"/>
  <c r="X1842" i="38"/>
  <c r="S1798" i="38"/>
  <c r="T1798" i="38"/>
  <c r="X1798" i="38"/>
  <c r="S1674" i="38"/>
  <c r="T1674" i="38"/>
  <c r="X1674" i="38"/>
  <c r="AA358" i="38"/>
  <c r="U358" i="38"/>
  <c r="W1350" i="38"/>
  <c r="W1062" i="38"/>
  <c r="U902" i="38"/>
  <c r="V902" i="38" s="1"/>
  <c r="AA902" i="38"/>
  <c r="W709" i="38"/>
  <c r="R1092" i="38"/>
  <c r="R1146" i="38"/>
  <c r="R1348" i="38"/>
  <c r="R1251" i="38"/>
  <c r="R1175" i="38"/>
  <c r="R1275" i="38"/>
  <c r="R1221" i="38"/>
  <c r="R1342" i="38"/>
  <c r="R1302" i="38"/>
  <c r="R1253" i="38"/>
  <c r="R1219" i="38"/>
  <c r="R1144" i="38"/>
  <c r="R1148" i="38"/>
  <c r="R1324" i="38"/>
  <c r="R1088" i="38"/>
  <c r="R1358" i="38"/>
  <c r="R1090" i="38"/>
  <c r="W1218" i="38"/>
  <c r="W1147" i="38"/>
  <c r="P288" i="37"/>
  <c r="P297" i="37" s="1"/>
  <c r="P300" i="37" s="1"/>
  <c r="P302" i="37" s="1"/>
  <c r="P96" i="70"/>
  <c r="P27" i="70" s="1"/>
  <c r="P20" i="37" s="1"/>
  <c r="W1215" i="38"/>
  <c r="Q130" i="12"/>
  <c r="AB13" i="45" s="1"/>
  <c r="W1217" i="38"/>
  <c r="U935" i="38"/>
  <c r="V935" i="38" s="1"/>
  <c r="AA935" i="38"/>
  <c r="V534" i="38"/>
  <c r="W1277" i="38"/>
  <c r="W1276" i="38"/>
  <c r="W1174" i="38"/>
  <c r="S1862" i="38"/>
  <c r="T1862" i="38"/>
  <c r="X1862" i="38"/>
  <c r="S1825" i="38"/>
  <c r="T1825" i="38"/>
  <c r="X1825" i="38"/>
  <c r="S1739" i="38"/>
  <c r="T1739" i="38"/>
  <c r="X1739" i="38"/>
  <c r="S1723" i="38"/>
  <c r="X1723" i="38"/>
  <c r="T1723" i="38"/>
  <c r="S1757" i="38"/>
  <c r="T1757" i="38"/>
  <c r="X1757" i="38"/>
  <c r="S1695" i="38"/>
  <c r="T1695" i="38"/>
  <c r="X1695" i="38"/>
  <c r="S1663" i="38"/>
  <c r="T1663" i="38"/>
  <c r="X1663" i="38"/>
  <c r="S1659" i="38"/>
  <c r="T1659" i="38"/>
  <c r="X1659" i="38"/>
  <c r="S1878" i="38"/>
  <c r="T1878" i="38"/>
  <c r="X1878" i="38"/>
  <c r="S1687" i="38"/>
  <c r="T1687" i="38"/>
  <c r="X1687" i="38"/>
  <c r="S1827" i="38"/>
  <c r="T1827" i="38"/>
  <c r="X1827" i="38"/>
  <c r="S1793" i="38"/>
  <c r="T1793" i="38"/>
  <c r="X1793" i="38"/>
  <c r="S1679" i="38"/>
  <c r="T1679" i="38"/>
  <c r="X1679" i="38"/>
  <c r="S1735" i="38"/>
  <c r="T1735" i="38"/>
  <c r="X1735" i="38"/>
  <c r="S1817" i="38"/>
  <c r="T1817" i="38"/>
  <c r="X1817" i="38"/>
  <c r="O54" i="12"/>
  <c r="O69" i="72"/>
  <c r="O87" i="12"/>
  <c r="AA971" i="38"/>
  <c r="U971" i="38"/>
  <c r="V971" i="38" s="1"/>
  <c r="U1066" i="38"/>
  <c r="V1066" i="38" s="1"/>
  <c r="AA1066" i="38"/>
  <c r="U1278" i="38"/>
  <c r="V1278" i="38" s="1"/>
  <c r="AA1278" i="38"/>
  <c r="AA799" i="38"/>
  <c r="U799" i="38"/>
  <c r="N55" i="72"/>
  <c r="W1143" i="38"/>
  <c r="W1097" i="38"/>
  <c r="W1170" i="38"/>
  <c r="S1408" i="38"/>
  <c r="T1408" i="38"/>
  <c r="X1408" i="38"/>
  <c r="S1557" i="38"/>
  <c r="T1557" i="38"/>
  <c r="X1557" i="38"/>
  <c r="S1606" i="38"/>
  <c r="T1606" i="38"/>
  <c r="X1606" i="38"/>
  <c r="S1529" i="38"/>
  <c r="T1529" i="38"/>
  <c r="X1529" i="38"/>
  <c r="S1378" i="38"/>
  <c r="T1378" i="38"/>
  <c r="X1378" i="38"/>
  <c r="S1586" i="38"/>
  <c r="T1586" i="38"/>
  <c r="X1586" i="38"/>
  <c r="S1376" i="38"/>
  <c r="T1376" i="38"/>
  <c r="X1376" i="38"/>
  <c r="S1454" i="38"/>
  <c r="T1454" i="38"/>
  <c r="X1454" i="38"/>
  <c r="S1541" i="38"/>
  <c r="T1541" i="38"/>
  <c r="X1541" i="38"/>
  <c r="S1438" i="38"/>
  <c r="T1438" i="38"/>
  <c r="X1438" i="38"/>
  <c r="S1398" i="38"/>
  <c r="T1398" i="38"/>
  <c r="X1398" i="38"/>
  <c r="S1535" i="38"/>
  <c r="T1535" i="38"/>
  <c r="X1535" i="38"/>
  <c r="S1598" i="38"/>
  <c r="T1598" i="38"/>
  <c r="X1598" i="38"/>
  <c r="S1394" i="38"/>
  <c r="T1394" i="38"/>
  <c r="X1394" i="38"/>
  <c r="S1485" i="38"/>
  <c r="T1485" i="38"/>
  <c r="X1485" i="38"/>
  <c r="S1448" i="38"/>
  <c r="T1448" i="38"/>
  <c r="X1448" i="38"/>
  <c r="S1567" i="38"/>
  <c r="T1567" i="38"/>
  <c r="X1567" i="38"/>
  <c r="W1181" i="38"/>
  <c r="Q383" i="37"/>
  <c r="Q348" i="37"/>
  <c r="W1072" i="38"/>
  <c r="AA994" i="38"/>
  <c r="U994" i="38"/>
  <c r="U830" i="38"/>
  <c r="V830" i="38" s="1"/>
  <c r="AA830" i="38"/>
  <c r="U436" i="38"/>
  <c r="V436" i="38" s="1"/>
  <c r="AA436" i="38"/>
  <c r="V653" i="38"/>
  <c r="U1301" i="38"/>
  <c r="V1301" i="38" s="1"/>
  <c r="AA1301" i="38"/>
  <c r="O37" i="72"/>
  <c r="V641" i="38"/>
  <c r="AA1034" i="38"/>
  <c r="U1034" i="38"/>
  <c r="V1034" i="38" s="1"/>
  <c r="N95" i="12"/>
  <c r="N98" i="12" s="1"/>
  <c r="N100" i="12" s="1"/>
  <c r="Q36" i="31"/>
  <c r="W1167" i="38"/>
  <c r="U943" i="38"/>
  <c r="V943" i="38" s="1"/>
  <c r="AA943" i="38"/>
  <c r="W1345" i="38"/>
  <c r="W1071" i="38"/>
  <c r="W1224" i="38"/>
  <c r="V687" i="38"/>
  <c r="S1522" i="38"/>
  <c r="T1522" i="38"/>
  <c r="X1522" i="38"/>
  <c r="S1637" i="38"/>
  <c r="T1637" i="38"/>
  <c r="X1637" i="38"/>
  <c r="S1471" i="38"/>
  <c r="T1471" i="38"/>
  <c r="X1471" i="38"/>
  <c r="S1393" i="38"/>
  <c r="T1393" i="38"/>
  <c r="X1393" i="38"/>
  <c r="S1504" i="38"/>
  <c r="T1504" i="38"/>
  <c r="X1504" i="38"/>
  <c r="S1548" i="38"/>
  <c r="T1548" i="38"/>
  <c r="X1548" i="38"/>
  <c r="S1427" i="38"/>
  <c r="T1427" i="38"/>
  <c r="X1427" i="38"/>
  <c r="S1423" i="38"/>
  <c r="T1423" i="38"/>
  <c r="X1423" i="38"/>
  <c r="S1593" i="38"/>
  <c r="T1593" i="38"/>
  <c r="X1593" i="38"/>
  <c r="S1391" i="38"/>
  <c r="T1391" i="38"/>
  <c r="X1391" i="38"/>
  <c r="S1472" i="38"/>
  <c r="T1472" i="38"/>
  <c r="X1472" i="38"/>
  <c r="U259" i="38"/>
  <c r="AA259" i="38"/>
  <c r="U445" i="38"/>
  <c r="V445" i="38" s="1"/>
  <c r="AA445" i="38"/>
  <c r="S958" i="38"/>
  <c r="T958" i="38"/>
  <c r="X958" i="38"/>
  <c r="U778" i="38"/>
  <c r="V778" i="38" s="1"/>
  <c r="AA778" i="38"/>
  <c r="U857" i="38"/>
  <c r="V857" i="38" s="1"/>
  <c r="AA857" i="38"/>
  <c r="U624" i="38"/>
  <c r="V624" i="38" s="1"/>
  <c r="AA624" i="38"/>
  <c r="S837" i="38"/>
  <c r="T837" i="38"/>
  <c r="X837" i="38"/>
  <c r="S895" i="38"/>
  <c r="T895" i="38"/>
  <c r="X895" i="38"/>
  <c r="AA1312" i="38"/>
  <c r="U1312" i="38"/>
  <c r="V1312" i="38" s="1"/>
  <c r="U1151" i="38"/>
  <c r="V1151" i="38" s="1"/>
  <c r="AA1151" i="38"/>
  <c r="AA1297" i="38"/>
  <c r="U1297" i="38"/>
  <c r="V1297" i="38" s="1"/>
  <c r="U926" i="38"/>
  <c r="AA926" i="38"/>
  <c r="S1005" i="38"/>
  <c r="T1005" i="38"/>
  <c r="X1005" i="38"/>
  <c r="AA844" i="38"/>
  <c r="U844" i="38"/>
  <c r="V844" i="38" s="1"/>
  <c r="AA1340" i="38"/>
  <c r="U1340" i="38"/>
  <c r="V1340" i="38" s="1"/>
  <c r="U954" i="38"/>
  <c r="AA954" i="38"/>
  <c r="U947" i="38"/>
  <c r="V947" i="38" s="1"/>
  <c r="AA947" i="38"/>
  <c r="U701" i="38"/>
  <c r="V701" i="38" s="1"/>
  <c r="AA701" i="38"/>
  <c r="U1349" i="38"/>
  <c r="V1349" i="38" s="1"/>
  <c r="AA1349" i="38"/>
  <c r="AA1202" i="38"/>
  <c r="U1202" i="38"/>
  <c r="V1202" i="38" s="1"/>
  <c r="U1351" i="38"/>
  <c r="V1351" i="38" s="1"/>
  <c r="AA1351" i="38"/>
  <c r="R1235" i="38"/>
  <c r="R1152" i="38"/>
  <c r="R1229" i="38"/>
  <c r="R1257" i="38"/>
  <c r="R1255" i="38"/>
  <c r="R1100" i="38"/>
  <c r="R1094" i="38"/>
  <c r="R1227" i="38"/>
  <c r="R1237" i="38"/>
  <c r="R1098" i="38"/>
  <c r="R1165" i="38"/>
  <c r="R1223" i="38"/>
  <c r="R1096" i="38"/>
  <c r="R1150" i="38"/>
  <c r="R1154" i="38"/>
  <c r="R1156" i="38"/>
  <c r="R1225" i="38"/>
  <c r="U1056" i="38"/>
  <c r="AA1056" i="38"/>
  <c r="AA1304" i="38"/>
  <c r="U1304" i="38"/>
  <c r="V1304" i="38" s="1"/>
  <c r="S51" i="33"/>
  <c r="S125" i="33" s="1"/>
  <c r="R125" i="33"/>
  <c r="AA1053" i="38"/>
  <c r="U1053" i="38"/>
  <c r="V1053" i="38" s="1"/>
  <c r="U1291" i="38"/>
  <c r="V1291" i="38" s="1"/>
  <c r="AA1291" i="38"/>
  <c r="U1069" i="38"/>
  <c r="V1069" i="38" s="1"/>
  <c r="AA1069" i="38"/>
  <c r="W1102" i="38"/>
  <c r="AA969" i="38"/>
  <c r="U969" i="38"/>
  <c r="V969" i="38" s="1"/>
  <c r="W738" i="38"/>
  <c r="O160" i="12"/>
  <c r="Z21" i="45" s="1"/>
  <c r="U1226" i="38"/>
  <c r="V1226" i="38" s="1"/>
  <c r="U1335" i="38"/>
  <c r="V1335" i="38" s="1"/>
  <c r="AA1335" i="38"/>
  <c r="S1721" i="38"/>
  <c r="T1721" i="38"/>
  <c r="X1721" i="38"/>
  <c r="S1689" i="38"/>
  <c r="T1689" i="38"/>
  <c r="X1689" i="38"/>
  <c r="S1841" i="38"/>
  <c r="T1841" i="38"/>
  <c r="X1841" i="38"/>
  <c r="S1787" i="38"/>
  <c r="T1787" i="38"/>
  <c r="X1787" i="38"/>
  <c r="S1655" i="38"/>
  <c r="T1655" i="38"/>
  <c r="X1655" i="38"/>
  <c r="S1783" i="38"/>
  <c r="T1783" i="38"/>
  <c r="X1783" i="38"/>
  <c r="S1813" i="38"/>
  <c r="T1813" i="38"/>
  <c r="X1813" i="38"/>
  <c r="S1737" i="38"/>
  <c r="T1737" i="38"/>
  <c r="X1737" i="38"/>
  <c r="S1769" i="38"/>
  <c r="T1769" i="38"/>
  <c r="X1769" i="38"/>
  <c r="S1681" i="38"/>
  <c r="T1681" i="38"/>
  <c r="X1681" i="38"/>
  <c r="S1831" i="38"/>
  <c r="X1831" i="38"/>
  <c r="T1831" i="38"/>
  <c r="S1685" i="38"/>
  <c r="T1685" i="38"/>
  <c r="X1685" i="38"/>
  <c r="S1809" i="38"/>
  <c r="T1809" i="38"/>
  <c r="X1809" i="38"/>
  <c r="S1765" i="38"/>
  <c r="T1765" i="38"/>
  <c r="X1765" i="38"/>
  <c r="V582" i="38"/>
  <c r="O373" i="37"/>
  <c r="U832" i="38"/>
  <c r="V832" i="38" s="1"/>
  <c r="AA832" i="38"/>
  <c r="AC781" i="38"/>
  <c r="AB781" i="38" s="1"/>
  <c r="U1199" i="38"/>
  <c r="V1199" i="38" s="1"/>
  <c r="AA1199" i="38"/>
  <c r="U1330" i="38"/>
  <c r="V1330" i="38" s="1"/>
  <c r="AA1330" i="38"/>
  <c r="U400" i="38"/>
  <c r="AA400" i="38"/>
  <c r="O94" i="72"/>
  <c r="V697" i="38"/>
  <c r="U1347" i="38"/>
  <c r="V1347" i="38" s="1"/>
  <c r="AA1347" i="38"/>
  <c r="U1125" i="38"/>
  <c r="V1125" i="38" s="1"/>
  <c r="AA1125" i="38"/>
  <c r="S1422" i="38"/>
  <c r="X1422" i="38"/>
  <c r="T1422" i="38"/>
  <c r="S1515" i="38"/>
  <c r="T1515" i="38"/>
  <c r="X1515" i="38"/>
  <c r="S1569" i="38"/>
  <c r="T1569" i="38"/>
  <c r="X1569" i="38"/>
  <c r="S1618" i="38"/>
  <c r="T1618" i="38"/>
  <c r="X1618" i="38"/>
  <c r="S1468" i="38"/>
  <c r="T1468" i="38"/>
  <c r="X1468" i="38"/>
  <c r="S1503" i="38"/>
  <c r="T1503" i="38"/>
  <c r="X1503" i="38"/>
  <c r="S1594" i="38"/>
  <c r="T1594" i="38"/>
  <c r="X1594" i="38"/>
  <c r="S1412" i="38"/>
  <c r="T1412" i="38"/>
  <c r="X1412" i="38"/>
  <c r="S1432" i="38"/>
  <c r="T1432" i="38"/>
  <c r="X1432" i="38"/>
  <c r="S1479" i="38"/>
  <c r="T1479" i="38"/>
  <c r="X1479" i="38"/>
  <c r="S1604" i="38"/>
  <c r="T1604" i="38"/>
  <c r="X1604" i="38"/>
  <c r="S1614" i="38"/>
  <c r="T1614" i="38"/>
  <c r="X1614" i="38"/>
  <c r="S1525" i="38"/>
  <c r="T1525" i="38"/>
  <c r="X1525" i="38"/>
  <c r="S1400" i="38"/>
  <c r="T1400" i="38"/>
  <c r="X1400" i="38"/>
  <c r="S1416" i="38"/>
  <c r="T1416" i="38"/>
  <c r="X1416" i="38"/>
  <c r="S1418" i="38"/>
  <c r="T1418" i="38"/>
  <c r="X1418" i="38"/>
  <c r="S1636" i="38"/>
  <c r="T1636" i="38"/>
  <c r="X1636" i="38"/>
  <c r="W1241" i="38"/>
  <c r="AA806" i="38"/>
  <c r="U806" i="38"/>
  <c r="V806" i="38" s="1"/>
  <c r="U346" i="38"/>
  <c r="AA346" i="38"/>
  <c r="U1115" i="38"/>
  <c r="V1115" i="38" s="1"/>
  <c r="AA1115" i="38"/>
  <c r="AA1343" i="38"/>
  <c r="U1343" i="38"/>
  <c r="V1343" i="38" s="1"/>
  <c r="AA1264" i="38"/>
  <c r="U1264" i="38"/>
  <c r="V1264" i="38" s="1"/>
  <c r="AA811" i="38"/>
  <c r="U811" i="38"/>
  <c r="V811" i="38" s="1"/>
  <c r="N77" i="72"/>
  <c r="N80" i="72" s="1"/>
  <c r="N165" i="72" s="1"/>
  <c r="U1064" i="38"/>
  <c r="V1064" i="38" s="1"/>
  <c r="AA1064" i="38"/>
  <c r="AA1068" i="38"/>
  <c r="U1068" i="38"/>
  <c r="V1068" i="38" s="1"/>
  <c r="AA872" i="38"/>
  <c r="U872" i="38"/>
  <c r="V872" i="38" s="1"/>
  <c r="U928" i="38"/>
  <c r="V928" i="38" s="1"/>
  <c r="AA928" i="38"/>
  <c r="Y20" i="45"/>
  <c r="Y28" i="45" s="1"/>
  <c r="Y30" i="45" s="1"/>
  <c r="N168" i="12"/>
  <c r="AA1145" i="38"/>
  <c r="U1145" i="38"/>
  <c r="V1145" i="38" s="1"/>
  <c r="U1299" i="38"/>
  <c r="V1299" i="38" s="1"/>
  <c r="AA1299" i="38"/>
  <c r="S1566" i="38"/>
  <c r="T1566" i="38"/>
  <c r="X1566" i="38"/>
  <c r="S1564" i="38"/>
  <c r="R34" i="31" s="1"/>
  <c r="T1564" i="38"/>
  <c r="X1564" i="38"/>
  <c r="S1383" i="38"/>
  <c r="T1383" i="38"/>
  <c r="X1383" i="38"/>
  <c r="S1415" i="38"/>
  <c r="T1415" i="38"/>
  <c r="X1415" i="38"/>
  <c r="S1516" i="38"/>
  <c r="X1516" i="38"/>
  <c r="T1516" i="38"/>
  <c r="S1500" i="38"/>
  <c r="T1500" i="38"/>
  <c r="X1500" i="38"/>
  <c r="S1429" i="38"/>
  <c r="T1429" i="38"/>
  <c r="X1429" i="38"/>
  <c r="S1365" i="38"/>
  <c r="X1365" i="38"/>
  <c r="T1365" i="38"/>
  <c r="S1512" i="38"/>
  <c r="T1512" i="38"/>
  <c r="X1512" i="38"/>
  <c r="S1601" i="38"/>
  <c r="T1601" i="38"/>
  <c r="X1601" i="38"/>
  <c r="U354" i="38"/>
  <c r="V354" i="38" s="1"/>
  <c r="AA354" i="38"/>
  <c r="S1020" i="38"/>
  <c r="T1020" i="38"/>
  <c r="X1020" i="38"/>
  <c r="S1762" i="38"/>
  <c r="T1762" i="38"/>
  <c r="X1762" i="38"/>
  <c r="S1792" i="38"/>
  <c r="T1792" i="38"/>
  <c r="X1792" i="38"/>
  <c r="AA1292" i="38"/>
  <c r="U1292" i="38"/>
  <c r="V1292" i="38" s="1"/>
  <c r="V711" i="38"/>
  <c r="S833" i="38"/>
  <c r="T833" i="38"/>
  <c r="X833" i="38"/>
  <c r="AA810" i="38"/>
  <c r="U810" i="38"/>
  <c r="V810" i="38" s="1"/>
  <c r="U1044" i="38"/>
  <c r="V1044" i="38" s="1"/>
  <c r="AA1044" i="38"/>
  <c r="U1161" i="38"/>
  <c r="AA1161" i="38"/>
  <c r="W1162" i="38"/>
  <c r="Q328" i="76"/>
  <c r="Q43" i="12"/>
  <c r="W1245" i="38"/>
  <c r="U998" i="38"/>
  <c r="V998" i="38" s="1"/>
  <c r="AA998" i="38"/>
  <c r="AA1216" i="38"/>
  <c r="U1216" i="38"/>
  <c r="V1216" i="38" s="1"/>
  <c r="U1238" i="38"/>
  <c r="V1238" i="38" s="1"/>
  <c r="AA1238" i="38"/>
  <c r="S847" i="38"/>
  <c r="T847" i="38"/>
  <c r="X847" i="38"/>
  <c r="S1016" i="38"/>
  <c r="T1016" i="38"/>
  <c r="X1016" i="38"/>
  <c r="AA789" i="38"/>
  <c r="U789" i="38"/>
  <c r="V789" i="38" s="1"/>
  <c r="AA748" i="38"/>
  <c r="U748" i="38"/>
  <c r="V748" i="38" s="1"/>
  <c r="U1300" i="38"/>
  <c r="V1300" i="38" s="1"/>
  <c r="AA1300" i="38"/>
  <c r="U1316" i="38"/>
  <c r="V1316" i="38" s="1"/>
  <c r="AA1316" i="38"/>
  <c r="U335" i="38"/>
  <c r="AA335" i="38"/>
  <c r="AA983" i="38"/>
  <c r="U983" i="38"/>
  <c r="V983" i="38" s="1"/>
  <c r="W645" i="38"/>
  <c r="O159" i="12"/>
  <c r="U1266" i="38"/>
  <c r="V1266" i="38" s="1"/>
  <c r="AA1266" i="38"/>
  <c r="U441" i="38"/>
  <c r="AA441" i="38"/>
  <c r="S960" i="38"/>
  <c r="P417" i="37" s="1"/>
  <c r="T960" i="38"/>
  <c r="X960" i="38"/>
  <c r="W784" i="38"/>
  <c r="AA967" i="38"/>
  <c r="U967" i="38"/>
  <c r="V967" i="38" s="1"/>
  <c r="U1134" i="38"/>
  <c r="V1134" i="38" s="1"/>
  <c r="AA1134" i="38"/>
  <c r="Q72" i="72"/>
  <c r="Q90" i="12"/>
  <c r="Q93" i="12" s="1"/>
  <c r="U914" i="38"/>
  <c r="AA914" i="38"/>
  <c r="U443" i="38"/>
  <c r="V443" i="38" s="1"/>
  <c r="AA443" i="38"/>
  <c r="S922" i="38"/>
  <c r="P431" i="37" s="1"/>
  <c r="T922" i="38"/>
  <c r="X922" i="38"/>
  <c r="S891" i="38"/>
  <c r="T891" i="38"/>
  <c r="X891" i="38"/>
  <c r="U1063" i="38"/>
  <c r="V1063" i="38" s="1"/>
  <c r="AA1063" i="38"/>
  <c r="U1285" i="38"/>
  <c r="V1285" i="38" s="1"/>
  <c r="AA959" i="38"/>
  <c r="U959" i="38"/>
  <c r="V959" i="38" s="1"/>
  <c r="S877" i="38"/>
  <c r="T877" i="38"/>
  <c r="X877" i="38"/>
  <c r="S1033" i="38"/>
  <c r="T1033" i="38"/>
  <c r="X1033" i="38"/>
  <c r="S1700" i="38"/>
  <c r="T1700" i="38"/>
  <c r="X1700" i="38"/>
  <c r="S1768" i="38"/>
  <c r="T1768" i="38"/>
  <c r="X1768" i="38"/>
  <c r="S1696" i="38"/>
  <c r="T1696" i="38"/>
  <c r="X1696" i="38"/>
  <c r="S1666" i="38"/>
  <c r="T1666" i="38"/>
  <c r="X1666" i="38"/>
  <c r="S1849" i="38"/>
  <c r="T1849" i="38"/>
  <c r="X1849" i="38"/>
  <c r="S1778" i="38"/>
  <c r="T1778" i="38"/>
  <c r="X1778" i="38"/>
  <c r="S1810" i="38"/>
  <c r="T1810" i="38"/>
  <c r="X1810" i="38"/>
  <c r="S1836" i="38"/>
  <c r="T1836" i="38"/>
  <c r="X1836" i="38"/>
  <c r="S1867" i="38"/>
  <c r="T1867" i="38"/>
  <c r="X1867" i="38"/>
  <c r="S1708" i="38"/>
  <c r="T1708" i="38"/>
  <c r="X1708" i="38"/>
  <c r="W1191" i="38"/>
  <c r="W703" i="38"/>
  <c r="O126" i="12"/>
  <c r="Z9" i="45" s="1"/>
  <c r="W1075" i="38"/>
  <c r="W1182" i="38"/>
  <c r="W1308" i="38"/>
  <c r="S845" i="38"/>
  <c r="T845" i="38"/>
  <c r="X845" i="38"/>
  <c r="S841" i="38"/>
  <c r="P340" i="37" s="1"/>
  <c r="T841" i="38"/>
  <c r="X841" i="38"/>
  <c r="U904" i="38"/>
  <c r="V904" i="38" s="1"/>
  <c r="AA904" i="38"/>
  <c r="W1082" i="38"/>
  <c r="O38" i="72"/>
  <c r="V727" i="38"/>
  <c r="AA824" i="38"/>
  <c r="U824" i="38"/>
  <c r="V824" i="38" s="1"/>
  <c r="W1194" i="38"/>
  <c r="W1149" i="38"/>
  <c r="W1067" i="38"/>
  <c r="W1321" i="38"/>
  <c r="S1035" i="38"/>
  <c r="T1035" i="38"/>
  <c r="X1035" i="38"/>
  <c r="S956" i="38"/>
  <c r="T956" i="38"/>
  <c r="X956" i="38"/>
  <c r="AC1031" i="38"/>
  <c r="AB1031" i="38" s="1"/>
  <c r="W1158" i="38"/>
  <c r="W1187" i="38"/>
  <c r="AA410" i="38"/>
  <c r="U410" i="38"/>
  <c r="V410" i="38" s="1"/>
  <c r="S1012" i="38"/>
  <c r="T1012" i="38"/>
  <c r="X1012" i="38"/>
  <c r="W618" i="38"/>
  <c r="W1127" i="38"/>
  <c r="W1289" i="38"/>
  <c r="AC1038" i="38"/>
  <c r="AB1038" i="38" s="1"/>
  <c r="U1042" i="38"/>
  <c r="V1042" i="38" s="1"/>
  <c r="AA1042" i="38"/>
  <c r="S1007" i="38"/>
  <c r="T1007" i="38"/>
  <c r="X1007" i="38"/>
  <c r="S1043" i="38"/>
  <c r="T1043" i="38"/>
  <c r="X1043" i="38"/>
  <c r="S1753" i="38"/>
  <c r="T1753" i="38"/>
  <c r="X1753" i="38"/>
  <c r="S1875" i="38"/>
  <c r="T1875" i="38"/>
  <c r="X1875" i="38"/>
  <c r="S1704" i="38"/>
  <c r="T1704" i="38"/>
  <c r="X1704" i="38"/>
  <c r="S1730" i="38"/>
  <c r="T1730" i="38"/>
  <c r="X1730" i="38"/>
  <c r="S1786" i="38"/>
  <c r="T1786" i="38"/>
  <c r="X1786" i="38"/>
  <c r="S1656" i="38"/>
  <c r="T1656" i="38"/>
  <c r="X1656" i="38"/>
  <c r="S1857" i="38"/>
  <c r="T1857" i="38"/>
  <c r="X1857" i="38"/>
  <c r="S1658" i="38"/>
  <c r="T1658" i="38"/>
  <c r="X1658" i="38"/>
  <c r="S1863" i="38"/>
  <c r="T1863" i="38"/>
  <c r="X1863" i="38"/>
  <c r="U815" i="38"/>
  <c r="V815" i="38" s="1"/>
  <c r="AA815" i="38"/>
  <c r="U508" i="38"/>
  <c r="V508" i="38" s="1"/>
  <c r="AA508" i="38"/>
  <c r="AC491" i="38"/>
  <c r="AB491" i="38" s="1"/>
  <c r="Y6" i="45"/>
  <c r="Y14" i="45" s="1"/>
  <c r="Y16" i="45" s="1"/>
  <c r="N132" i="12"/>
  <c r="W568" i="38"/>
  <c r="W691" i="38"/>
  <c r="W1184" i="38"/>
  <c r="W1095" i="38"/>
  <c r="AA418" i="38"/>
  <c r="U418" i="38"/>
  <c r="W1298" i="38"/>
  <c r="W1132" i="38"/>
  <c r="Q418" i="37"/>
  <c r="U924" i="38"/>
  <c r="V924" i="38" s="1"/>
  <c r="AA924" i="38"/>
  <c r="W707" i="38"/>
  <c r="O129" i="12"/>
  <c r="Z12" i="45" s="1"/>
  <c r="W693" i="38"/>
  <c r="W1262" i="38"/>
  <c r="S1797" i="38"/>
  <c r="T1797" i="38"/>
  <c r="X1797" i="38"/>
  <c r="S1805" i="38"/>
  <c r="T1805" i="38"/>
  <c r="X1805" i="38"/>
  <c r="S1661" i="38"/>
  <c r="T1661" i="38"/>
  <c r="X1661" i="38"/>
  <c r="S1876" i="38"/>
  <c r="T1876" i="38"/>
  <c r="X1876" i="38"/>
  <c r="S1697" i="38"/>
  <c r="T1697" i="38"/>
  <c r="X1697" i="38"/>
  <c r="S1759" i="38"/>
  <c r="T1759" i="38"/>
  <c r="X1759" i="38"/>
  <c r="S1835" i="38"/>
  <c r="T1835" i="38"/>
  <c r="X1835" i="38"/>
  <c r="S1751" i="38"/>
  <c r="T1751" i="38"/>
  <c r="X1751" i="38"/>
  <c r="S1691" i="38"/>
  <c r="T1691" i="38"/>
  <c r="X1691" i="38"/>
  <c r="S1747" i="38"/>
  <c r="T1747" i="38"/>
  <c r="X1747" i="38"/>
  <c r="S1717" i="38"/>
  <c r="T1717" i="38"/>
  <c r="X1717" i="38"/>
  <c r="S1677" i="38"/>
  <c r="T1677" i="38"/>
  <c r="X1677" i="38"/>
  <c r="S1745" i="38"/>
  <c r="T1745" i="38"/>
  <c r="X1745" i="38"/>
  <c r="S1837" i="38"/>
  <c r="T1837" i="38"/>
  <c r="X1837" i="38"/>
  <c r="W768" i="38"/>
  <c r="AA939" i="38"/>
  <c r="U939" i="38"/>
  <c r="V939" i="38" s="1"/>
  <c r="W1243" i="38"/>
  <c r="AA850" i="38"/>
  <c r="U850" i="38"/>
  <c r="V850" i="38" s="1"/>
  <c r="W634" i="38"/>
  <c r="W564" i="38"/>
  <c r="W1339" i="38"/>
  <c r="W1325" i="38"/>
  <c r="S1523" i="38"/>
  <c r="T1523" i="38"/>
  <c r="X1523" i="38"/>
  <c r="S1588" i="38"/>
  <c r="T1588" i="38"/>
  <c r="X1588" i="38"/>
  <c r="S1624" i="38"/>
  <c r="T1624" i="38"/>
  <c r="X1624" i="38"/>
  <c r="S1547" i="38"/>
  <c r="T1547" i="38"/>
  <c r="X1547" i="38"/>
  <c r="S1571" i="38"/>
  <c r="X1571" i="38"/>
  <c r="T1571" i="38"/>
  <c r="S1592" i="38"/>
  <c r="T1592" i="38"/>
  <c r="X1592" i="38"/>
  <c r="S1644" i="38"/>
  <c r="T1644" i="38"/>
  <c r="X1644" i="38"/>
  <c r="S1491" i="38"/>
  <c r="X1491" i="38"/>
  <c r="T1491" i="38"/>
  <c r="S1388" i="38"/>
  <c r="T1388" i="38"/>
  <c r="X1388" i="38"/>
  <c r="S1436" i="38"/>
  <c r="T1436" i="38"/>
  <c r="X1436" i="38"/>
  <c r="S1612" i="38"/>
  <c r="T1612" i="38"/>
  <c r="X1612" i="38"/>
  <c r="S1596" i="38"/>
  <c r="T1596" i="38"/>
  <c r="X1596" i="38"/>
  <c r="S1487" i="38"/>
  <c r="T1487" i="38"/>
  <c r="X1487" i="38"/>
  <c r="S1513" i="38"/>
  <c r="T1513" i="38"/>
  <c r="X1513" i="38"/>
  <c r="S1456" i="38"/>
  <c r="T1456" i="38"/>
  <c r="X1456" i="38"/>
  <c r="S1576" i="38"/>
  <c r="T1576" i="38"/>
  <c r="X1576" i="38"/>
  <c r="S1402" i="38"/>
  <c r="T1402" i="38"/>
  <c r="X1402" i="38"/>
  <c r="W1284" i="38"/>
  <c r="AA980" i="38"/>
  <c r="U980" i="38"/>
  <c r="V980" i="38" s="1"/>
  <c r="AA898" i="38"/>
  <c r="U898" i="38"/>
  <c r="V898" i="38" s="1"/>
  <c r="U932" i="38"/>
  <c r="AA932" i="38"/>
  <c r="W1200" i="38"/>
  <c r="W1220" i="38"/>
  <c r="U871" i="38"/>
  <c r="V871" i="38" s="1"/>
  <c r="AA871" i="38"/>
  <c r="AA855" i="38"/>
  <c r="U855" i="38"/>
  <c r="V855" i="38" s="1"/>
  <c r="AA834" i="38"/>
  <c r="U834" i="38"/>
  <c r="V834" i="38" s="1"/>
  <c r="W1108" i="38"/>
  <c r="U849" i="38"/>
  <c r="AA849" i="38"/>
  <c r="V695" i="38"/>
  <c r="O89" i="72"/>
  <c r="O163" i="12"/>
  <c r="Z24" i="45" s="1"/>
  <c r="W655" i="38"/>
  <c r="W630" i="38"/>
  <c r="AA348" i="38"/>
  <c r="U348" i="38"/>
  <c r="W689" i="38"/>
  <c r="O128" i="12"/>
  <c r="Z11" i="45" s="1"/>
  <c r="O38" i="12"/>
  <c r="L24" i="42" s="1"/>
  <c r="W1295" i="38"/>
  <c r="W1353" i="38"/>
  <c r="AC530" i="38"/>
  <c r="AB530" i="38" s="1"/>
  <c r="AC464" i="38"/>
  <c r="S1367" i="38"/>
  <c r="T1367" i="38"/>
  <c r="X1367" i="38"/>
  <c r="S1473" i="38"/>
  <c r="T1473" i="38"/>
  <c r="X1473" i="38"/>
  <c r="S1417" i="38"/>
  <c r="T1417" i="38"/>
  <c r="X1417" i="38"/>
  <c r="S1591" i="38"/>
  <c r="T1591" i="38"/>
  <c r="X1591" i="38"/>
  <c r="S1556" i="38"/>
  <c r="T1556" i="38"/>
  <c r="X1556" i="38"/>
  <c r="S1558" i="38"/>
  <c r="T1558" i="38"/>
  <c r="X1558" i="38"/>
  <c r="S1369" i="38"/>
  <c r="T1369" i="38"/>
  <c r="X1369" i="38"/>
  <c r="S1599" i="38"/>
  <c r="X1599" i="38"/>
  <c r="T1599" i="38"/>
  <c r="S1496" i="38"/>
  <c r="X1496" i="38"/>
  <c r="T1496" i="38"/>
  <c r="S1565" i="38"/>
  <c r="R35" i="31" s="1"/>
  <c r="T1565" i="38"/>
  <c r="X1565" i="38"/>
  <c r="AA948" i="38"/>
  <c r="U948" i="38"/>
  <c r="S27" i="68"/>
  <c r="N27" i="68"/>
  <c r="S54" i="31"/>
  <c r="R27" i="68"/>
  <c r="N54" i="31"/>
  <c r="P27" i="68"/>
  <c r="O54" i="31"/>
  <c r="O27" i="68"/>
  <c r="M53" i="31"/>
  <c r="Q54" i="31"/>
  <c r="M54" i="31"/>
  <c r="M27" i="68"/>
  <c r="Q27" i="68"/>
  <c r="AA1281" i="38" l="1"/>
  <c r="AA1309" i="38"/>
  <c r="U610" i="38"/>
  <c r="V610" i="38" s="1"/>
  <c r="P430" i="37"/>
  <c r="AA782" i="38"/>
  <c r="W1477" i="38"/>
  <c r="AC1030" i="38"/>
  <c r="AB1030" i="38" s="1"/>
  <c r="AA1249" i="38"/>
  <c r="AA1260" i="38"/>
  <c r="W1394" i="38"/>
  <c r="W1586" i="38"/>
  <c r="W1687" i="38"/>
  <c r="W1825" i="38"/>
  <c r="O436" i="37"/>
  <c r="O438" i="37" s="1"/>
  <c r="AA1085" i="38"/>
  <c r="AC1028" i="38"/>
  <c r="AB1028" i="38" s="1"/>
  <c r="U1210" i="38"/>
  <c r="V1210" i="38" s="1"/>
  <c r="U1178" i="38"/>
  <c r="V1178" i="38" s="1"/>
  <c r="AA1106" i="38"/>
  <c r="U1112" i="38"/>
  <c r="V1112" i="38" s="1"/>
  <c r="AA1357" i="38"/>
  <c r="AC789" i="38"/>
  <c r="AB789" i="38" s="1"/>
  <c r="W1792" i="38"/>
  <c r="AA1091" i="38"/>
  <c r="AA766" i="38"/>
  <c r="W1402" i="38"/>
  <c r="W1388" i="38"/>
  <c r="W1523" i="38"/>
  <c r="W845" i="38"/>
  <c r="W1803" i="38"/>
  <c r="W1819" i="38"/>
  <c r="W1612" i="38"/>
  <c r="W1624" i="38"/>
  <c r="W1835" i="38"/>
  <c r="U1835" i="38" s="1"/>
  <c r="V1835" i="38" s="1"/>
  <c r="W1710" i="38"/>
  <c r="W1373" i="38"/>
  <c r="U1268" i="38"/>
  <c r="V1268" i="38" s="1"/>
  <c r="U1061" i="38"/>
  <c r="V1061" i="38" s="1"/>
  <c r="U1114" i="38"/>
  <c r="V1114" i="38" s="1"/>
  <c r="AA1356" i="38"/>
  <c r="AC1356" i="38" s="1"/>
  <c r="AB1356" i="38" s="1"/>
  <c r="AA626" i="38"/>
  <c r="W1706" i="38"/>
  <c r="U1706" i="38" s="1"/>
  <c r="V1706" i="38" s="1"/>
  <c r="AA1236" i="38"/>
  <c r="AA1104" i="38"/>
  <c r="U1290" i="38"/>
  <c r="V1290" i="38" s="1"/>
  <c r="W1041" i="38"/>
  <c r="W1419" i="38"/>
  <c r="W1464" i="38"/>
  <c r="W1527" i="38"/>
  <c r="W1602" i="38"/>
  <c r="AA632" i="38"/>
  <c r="U752" i="38"/>
  <c r="V752" i="38" s="1"/>
  <c r="W1598" i="38"/>
  <c r="W1378" i="38"/>
  <c r="W1674" i="38"/>
  <c r="W1883" i="38"/>
  <c r="U1117" i="38"/>
  <c r="V1117" i="38" s="1"/>
  <c r="AA1058" i="38"/>
  <c r="AA1121" i="38"/>
  <c r="U1327" i="38"/>
  <c r="V1327" i="38" s="1"/>
  <c r="AA1363" i="38"/>
  <c r="AA1306" i="38"/>
  <c r="W1656" i="38"/>
  <c r="AC1042" i="38"/>
  <c r="AB1042" i="38" s="1"/>
  <c r="P416" i="37"/>
  <c r="W1636" i="38"/>
  <c r="W1432" i="38"/>
  <c r="AA1168" i="38"/>
  <c r="AA1135" i="38"/>
  <c r="AA1137" i="38"/>
  <c r="U1314" i="38"/>
  <c r="V1314" i="38" s="1"/>
  <c r="AA1120" i="38"/>
  <c r="W1519" i="38"/>
  <c r="AA1519" i="38" s="1"/>
  <c r="W1555" i="38"/>
  <c r="U1555" i="38" s="1"/>
  <c r="V1555" i="38" s="1"/>
  <c r="O420" i="37"/>
  <c r="O422" i="37" s="1"/>
  <c r="AA1240" i="38"/>
  <c r="R434" i="37"/>
  <c r="W1404" i="38"/>
  <c r="W1821" i="38"/>
  <c r="P342" i="37"/>
  <c r="W1418" i="38"/>
  <c r="W1412" i="38"/>
  <c r="W1685" i="38"/>
  <c r="U1685" i="38" s="1"/>
  <c r="V1685" i="38" s="1"/>
  <c r="W1787" i="38"/>
  <c r="U1311" i="38"/>
  <c r="V1311" i="38" s="1"/>
  <c r="AC1311" i="38" s="1"/>
  <c r="AB1311" i="38" s="1"/>
  <c r="W1485" i="38"/>
  <c r="W1376" i="38"/>
  <c r="W1827" i="38"/>
  <c r="W1739" i="38"/>
  <c r="W1698" i="38"/>
  <c r="W974" i="38"/>
  <c r="W1712" i="38"/>
  <c r="W1784" i="38"/>
  <c r="W1386" i="38"/>
  <c r="W1622" i="38"/>
  <c r="W1447" i="38"/>
  <c r="W1611" i="38"/>
  <c r="W1809" i="38"/>
  <c r="W1655" i="38"/>
  <c r="W1005" i="38"/>
  <c r="W1593" i="38"/>
  <c r="U572" i="38"/>
  <c r="V572" i="38" s="1"/>
  <c r="W1650" i="38"/>
  <c r="W895" i="38"/>
  <c r="U1189" i="38"/>
  <c r="V1189" i="38" s="1"/>
  <c r="AA1065" i="38"/>
  <c r="W1841" i="38"/>
  <c r="W837" i="38"/>
  <c r="W1427" i="38"/>
  <c r="AA1341" i="38"/>
  <c r="AA1129" i="38"/>
  <c r="AC516" i="38"/>
  <c r="W1505" i="38"/>
  <c r="AA1270" i="38"/>
  <c r="AA1254" i="38"/>
  <c r="W1433" i="38"/>
  <c r="W1660" i="38"/>
  <c r="W1431" i="38"/>
  <c r="W1518" i="38"/>
  <c r="AA1313" i="38"/>
  <c r="AA1059" i="38"/>
  <c r="W1442" i="38"/>
  <c r="AA1442" i="38" s="1"/>
  <c r="W1420" i="38"/>
  <c r="W1833" i="38"/>
  <c r="W1873" i="38"/>
  <c r="W1580" i="38"/>
  <c r="W1511" i="38"/>
  <c r="W1671" i="38"/>
  <c r="W1743" i="38"/>
  <c r="U1743" i="38" s="1"/>
  <c r="V1743" i="38" s="1"/>
  <c r="W1446" i="38"/>
  <c r="W1430" i="38"/>
  <c r="W1829" i="38"/>
  <c r="W1815" i="38"/>
  <c r="W1600" i="38"/>
  <c r="W1497" i="38"/>
  <c r="U1497" i="38" s="1"/>
  <c r="V1497" i="38" s="1"/>
  <c r="W1752" i="38"/>
  <c r="AC528" i="38"/>
  <c r="W1647" i="38"/>
  <c r="U1256" i="38"/>
  <c r="V1256" i="38" s="1"/>
  <c r="U772" i="38"/>
  <c r="V772" i="38" s="1"/>
  <c r="AA1206" i="38"/>
  <c r="U1054" i="38"/>
  <c r="W839" i="38"/>
  <c r="W1843" i="38"/>
  <c r="W1867" i="38"/>
  <c r="AC1340" i="38"/>
  <c r="AB1340" i="38" s="1"/>
  <c r="W1504" i="38"/>
  <c r="AA1504" i="38" s="1"/>
  <c r="AC1034" i="38"/>
  <c r="AB1034" i="38" s="1"/>
  <c r="W1398" i="38"/>
  <c r="W1606" i="38"/>
  <c r="P415" i="37"/>
  <c r="W1379" i="38"/>
  <c r="W1755" i="38"/>
  <c r="U1755" i="38" s="1"/>
  <c r="W1424" i="38"/>
  <c r="AA1424" i="38" s="1"/>
  <c r="W1366" i="38"/>
  <c r="AA1366" i="38" s="1"/>
  <c r="W1392" i="38"/>
  <c r="W1501" i="38"/>
  <c r="W1785" i="38"/>
  <c r="W1726" i="38"/>
  <c r="W1507" i="38"/>
  <c r="W1517" i="38"/>
  <c r="W1747" i="38"/>
  <c r="AA1747" i="38" s="1"/>
  <c r="W1805" i="38"/>
  <c r="AA1805" i="38" s="1"/>
  <c r="W1384" i="38"/>
  <c r="W1440" i="38"/>
  <c r="W1677" i="38"/>
  <c r="W1876" i="38"/>
  <c r="W1708" i="38"/>
  <c r="W1383" i="38"/>
  <c r="W1858" i="38"/>
  <c r="W1381" i="38"/>
  <c r="U1381" i="38" s="1"/>
  <c r="V1381" i="38" s="1"/>
  <c r="AC514" i="38"/>
  <c r="AB514" i="38" s="1"/>
  <c r="AC1032" i="38"/>
  <c r="AB1032" i="38" s="1"/>
  <c r="S413" i="37"/>
  <c r="AC1343" i="38"/>
  <c r="AB1343" i="38" s="1"/>
  <c r="AC1313" i="38"/>
  <c r="AB1313" i="38" s="1"/>
  <c r="W1714" i="38"/>
  <c r="W1033" i="38"/>
  <c r="U1033" i="38" s="1"/>
  <c r="V1033" i="38" s="1"/>
  <c r="AC1044" i="38"/>
  <c r="AB1044" i="38" s="1"/>
  <c r="W1512" i="38"/>
  <c r="W1614" i="38"/>
  <c r="W1618" i="38"/>
  <c r="W1737" i="38"/>
  <c r="W1393" i="38"/>
  <c r="W1549" i="38"/>
  <c r="W1704" i="38"/>
  <c r="W1572" i="38"/>
  <c r="U1572" i="38" s="1"/>
  <c r="V1572" i="38" s="1"/>
  <c r="W1493" i="38"/>
  <c r="W1741" i="38"/>
  <c r="W1703" i="38"/>
  <c r="W1450" i="38"/>
  <c r="U1450" i="38" s="1"/>
  <c r="V1450" i="38" s="1"/>
  <c r="W1434" i="38"/>
  <c r="W903" i="38"/>
  <c r="W1417" i="38"/>
  <c r="W1730" i="38"/>
  <c r="AA1730" i="38" s="1"/>
  <c r="W899" i="38"/>
  <c r="W1499" i="38"/>
  <c r="W1627" i="38"/>
  <c r="AC1355" i="38"/>
  <c r="AB1355" i="38" s="1"/>
  <c r="W1514" i="38"/>
  <c r="W1735" i="38"/>
  <c r="U1735" i="38" s="1"/>
  <c r="V1735" i="38" s="1"/>
  <c r="W1695" i="38"/>
  <c r="W1877" i="38"/>
  <c r="W1575" i="38"/>
  <c r="W1620" i="38"/>
  <c r="W1711" i="38"/>
  <c r="W1474" i="38"/>
  <c r="U1474" i="38" s="1"/>
  <c r="W1864" i="38"/>
  <c r="W1653" i="38"/>
  <c r="AA1653" i="38" s="1"/>
  <c r="W1502" i="38"/>
  <c r="R418" i="37"/>
  <c r="AC1040" i="38"/>
  <c r="AB1040" i="38" s="1"/>
  <c r="AC508" i="38"/>
  <c r="P344" i="37"/>
  <c r="W1367" i="38"/>
  <c r="AA1367" i="38" s="1"/>
  <c r="W1487" i="38"/>
  <c r="W1691" i="38"/>
  <c r="W1797" i="38"/>
  <c r="W1875" i="38"/>
  <c r="U1875" i="38" s="1"/>
  <c r="V1875" i="38" s="1"/>
  <c r="P343" i="37"/>
  <c r="W877" i="38"/>
  <c r="W1016" i="38"/>
  <c r="W833" i="38"/>
  <c r="W1400" i="38"/>
  <c r="W1503" i="38"/>
  <c r="W1681" i="38"/>
  <c r="W1689" i="38"/>
  <c r="U1689" i="38" s="1"/>
  <c r="V1689" i="38" s="1"/>
  <c r="AC1312" i="38"/>
  <c r="AB1312" i="38" s="1"/>
  <c r="W958" i="38"/>
  <c r="W1535" i="38"/>
  <c r="W1529" i="38"/>
  <c r="W1659" i="38"/>
  <c r="W1508" i="38"/>
  <c r="W1382" i="38"/>
  <c r="W1426" i="38"/>
  <c r="W1640" i="38"/>
  <c r="W1767" i="38"/>
  <c r="W1807" i="38"/>
  <c r="AA1807" i="38" s="1"/>
  <c r="W1811" i="38"/>
  <c r="AA1811" i="38" s="1"/>
  <c r="W1445" i="38"/>
  <c r="AC473" i="38"/>
  <c r="AB473" i="38" s="1"/>
  <c r="O238" i="37" s="1"/>
  <c r="W1727" i="38"/>
  <c r="AA1727" i="38" s="1"/>
  <c r="W1699" i="38"/>
  <c r="AA1699" i="38" s="1"/>
  <c r="W1781" i="38"/>
  <c r="W1870" i="38"/>
  <c r="W1799" i="38"/>
  <c r="W1729" i="38"/>
  <c r="W1705" i="38"/>
  <c r="AA1705" i="38" s="1"/>
  <c r="W1702" i="38"/>
  <c r="U1702" i="38" s="1"/>
  <c r="V1702" i="38" s="1"/>
  <c r="W1029" i="38"/>
  <c r="AA1029" i="38" s="1"/>
  <c r="W897" i="38"/>
  <c r="AC1314" i="38"/>
  <c r="AB1314" i="38" s="1"/>
  <c r="W1436" i="38"/>
  <c r="W1588" i="38"/>
  <c r="W1666" i="38"/>
  <c r="W891" i="38"/>
  <c r="AA891" i="38" s="1"/>
  <c r="W1604" i="38"/>
  <c r="W1569" i="38"/>
  <c r="W1471" i="38"/>
  <c r="W1567" i="38"/>
  <c r="W1541" i="38"/>
  <c r="W1408" i="38"/>
  <c r="W1679" i="38"/>
  <c r="W1757" i="38"/>
  <c r="AA1757" i="38" s="1"/>
  <c r="W1844" i="38"/>
  <c r="U1844" i="38" s="1"/>
  <c r="V1844" i="38" s="1"/>
  <c r="W1371" i="38"/>
  <c r="W1652" i="38"/>
  <c r="AC1327" i="38"/>
  <c r="AB1327" i="38" s="1"/>
  <c r="W1458" i="38"/>
  <c r="AA1458" i="38" s="1"/>
  <c r="W1573" i="38"/>
  <c r="U1573" i="38" s="1"/>
  <c r="V1573" i="38" s="1"/>
  <c r="W1789" i="38"/>
  <c r="W1713" i="38"/>
  <c r="U1713" i="38" s="1"/>
  <c r="V1713" i="38" s="1"/>
  <c r="W1716" i="38"/>
  <c r="AA1716" i="38" s="1"/>
  <c r="W1794" i="38"/>
  <c r="U1794" i="38" s="1"/>
  <c r="V1794" i="38" s="1"/>
  <c r="W1385" i="38"/>
  <c r="W1368" i="38"/>
  <c r="W1630" i="38"/>
  <c r="AC503" i="38"/>
  <c r="AB503" i="38" s="1"/>
  <c r="AA1101" i="38"/>
  <c r="W1651" i="38"/>
  <c r="W1860" i="38"/>
  <c r="W1751" i="38"/>
  <c r="AA1751" i="38" s="1"/>
  <c r="W1863" i="38"/>
  <c r="Q287" i="37"/>
  <c r="W841" i="38"/>
  <c r="W1429" i="38"/>
  <c r="R347" i="37"/>
  <c r="N22" i="72"/>
  <c r="W1563" i="38"/>
  <c r="AA1563" i="38" s="1"/>
  <c r="W1736" i="38"/>
  <c r="W1020" i="38"/>
  <c r="W1479" i="38"/>
  <c r="AA1479" i="38" s="1"/>
  <c r="W1515" i="38"/>
  <c r="U1515" i="38" s="1"/>
  <c r="V1515" i="38" s="1"/>
  <c r="W1765" i="38"/>
  <c r="W1783" i="38"/>
  <c r="W1793" i="38"/>
  <c r="U1793" i="38" s="1"/>
  <c r="V1793" i="38" s="1"/>
  <c r="W1754" i="38"/>
  <c r="AA1754" i="38" s="1"/>
  <c r="W1521" i="38"/>
  <c r="W1483" i="38"/>
  <c r="W1683" i="38"/>
  <c r="W1850" i="38"/>
  <c r="W835" i="38"/>
  <c r="W1506" i="38"/>
  <c r="W1731" i="38"/>
  <c r="W1719" i="38"/>
  <c r="W1510" i="38"/>
  <c r="W1617" i="38"/>
  <c r="AC1046" i="38"/>
  <c r="AB1046" i="38" s="1"/>
  <c r="W1847" i="38"/>
  <c r="AA1847" i="38" s="1"/>
  <c r="W1868" i="38"/>
  <c r="U1868" i="38" s="1"/>
  <c r="V1868" i="38" s="1"/>
  <c r="AC1051" i="38"/>
  <c r="AB1051" i="38" s="1"/>
  <c r="Q330" i="37" s="1"/>
  <c r="W1775" i="38"/>
  <c r="AA1775" i="38" s="1"/>
  <c r="W1790" i="38"/>
  <c r="AA1790" i="38" s="1"/>
  <c r="W976" i="38"/>
  <c r="U568" i="38"/>
  <c r="AA568" i="38"/>
  <c r="AA618" i="38"/>
  <c r="U618" i="38"/>
  <c r="V618" i="38" s="1"/>
  <c r="AA1158" i="38"/>
  <c r="U1158" i="38"/>
  <c r="U1321" i="38"/>
  <c r="V1321" i="38" s="1"/>
  <c r="AA1321" i="38"/>
  <c r="U1082" i="38"/>
  <c r="AA1082" i="38"/>
  <c r="W1576" i="38"/>
  <c r="U1325" i="38"/>
  <c r="V1325" i="38" s="1"/>
  <c r="AA1325" i="38"/>
  <c r="AA707" i="38"/>
  <c r="U707" i="38"/>
  <c r="V707" i="38" s="1"/>
  <c r="W1591" i="38"/>
  <c r="AA1353" i="38"/>
  <c r="U1353" i="38"/>
  <c r="V1353" i="38" s="1"/>
  <c r="V849" i="38"/>
  <c r="AA1200" i="38"/>
  <c r="U1200" i="38"/>
  <c r="V1200" i="38" s="1"/>
  <c r="W1596" i="38"/>
  <c r="W1547" i="38"/>
  <c r="W1717" i="38"/>
  <c r="W1661" i="38"/>
  <c r="AA1095" i="38"/>
  <c r="U1095" i="38"/>
  <c r="V1095" i="38" s="1"/>
  <c r="AB508" i="38"/>
  <c r="W1786" i="38"/>
  <c r="W1035" i="38"/>
  <c r="W1696" i="38"/>
  <c r="W847" i="38"/>
  <c r="W1762" i="38"/>
  <c r="N108" i="72"/>
  <c r="V346" i="38"/>
  <c r="N48" i="72"/>
  <c r="W1525" i="38"/>
  <c r="W1468" i="38"/>
  <c r="AC1330" i="38"/>
  <c r="AB1330" i="38" s="1"/>
  <c r="W1813" i="38"/>
  <c r="S1225" i="38"/>
  <c r="T1225" i="38"/>
  <c r="X1225" i="38"/>
  <c r="S1237" i="38"/>
  <c r="T1237" i="38"/>
  <c r="X1237" i="38"/>
  <c r="S1235" i="38"/>
  <c r="T1235" i="38"/>
  <c r="X1235" i="38"/>
  <c r="R97" i="12"/>
  <c r="R79" i="72"/>
  <c r="W1423" i="38"/>
  <c r="W1448" i="38"/>
  <c r="W1454" i="38"/>
  <c r="AA1170" i="38"/>
  <c r="U1170" i="38"/>
  <c r="V1170" i="38" s="1"/>
  <c r="W1817" i="38"/>
  <c r="W1663" i="38"/>
  <c r="U1277" i="38"/>
  <c r="V1277" i="38" s="1"/>
  <c r="AA1277" i="38"/>
  <c r="U1215" i="38"/>
  <c r="AA1215" i="38"/>
  <c r="S1324" i="38"/>
  <c r="T1324" i="38"/>
  <c r="X1324" i="38"/>
  <c r="S1275" i="38"/>
  <c r="X1275" i="38"/>
  <c r="T1275" i="38"/>
  <c r="W1798" i="38"/>
  <c r="W1537" i="38"/>
  <c r="W1638" i="38"/>
  <c r="U1166" i="38"/>
  <c r="V1166" i="38" s="1"/>
  <c r="AA1166" i="38"/>
  <c r="W1709" i="38"/>
  <c r="W1733" i="38"/>
  <c r="AC1039" i="38"/>
  <c r="AB1039" i="38" s="1"/>
  <c r="AA760" i="38"/>
  <c r="U760" i="38"/>
  <c r="V760" i="38" s="1"/>
  <c r="W1664" i="38"/>
  <c r="W873" i="38"/>
  <c r="P37" i="12"/>
  <c r="W887" i="38"/>
  <c r="W1838" i="38"/>
  <c r="P345" i="37"/>
  <c r="W1570" i="38"/>
  <c r="W1492" i="38"/>
  <c r="W1390" i="38"/>
  <c r="W1561" i="38"/>
  <c r="W1428" i="38"/>
  <c r="P104" i="72"/>
  <c r="V930" i="38"/>
  <c r="AC1322" i="38"/>
  <c r="AB1322" i="38" s="1"/>
  <c r="W1669" i="38"/>
  <c r="W1839" i="38"/>
  <c r="AC1317" i="38"/>
  <c r="AB1317" i="38" s="1"/>
  <c r="V578" i="38"/>
  <c r="W1520" i="38"/>
  <c r="S1239" i="38"/>
  <c r="T1239" i="38"/>
  <c r="X1239" i="38"/>
  <c r="S1263" i="38"/>
  <c r="T1263" i="38"/>
  <c r="X1263" i="38"/>
  <c r="P89" i="72"/>
  <c r="V962" i="38"/>
  <c r="W1543" i="38"/>
  <c r="W1657" i="38"/>
  <c r="W1880" i="38"/>
  <c r="AA1333" i="38"/>
  <c r="U1333" i="38"/>
  <c r="V1333" i="38" s="1"/>
  <c r="W1654" i="38"/>
  <c r="W1425" i="38"/>
  <c r="W1437" i="38"/>
  <c r="U1123" i="38"/>
  <c r="V1123" i="38" s="1"/>
  <c r="AA1123" i="38"/>
  <c r="AA705" i="38"/>
  <c r="U705" i="38"/>
  <c r="V705" i="38" s="1"/>
  <c r="W1551" i="38"/>
  <c r="W1616" i="38"/>
  <c r="W1481" i="38"/>
  <c r="U570" i="38"/>
  <c r="AA570" i="38"/>
  <c r="W1801" i="38"/>
  <c r="W1673" i="38"/>
  <c r="W1676" i="38"/>
  <c r="U770" i="38"/>
  <c r="V770" i="38" s="1"/>
  <c r="AA770" i="38"/>
  <c r="AA608" i="38"/>
  <c r="U608" i="38"/>
  <c r="V608" i="38" s="1"/>
  <c r="S1360" i="38"/>
  <c r="T1360" i="38"/>
  <c r="X1360" i="38"/>
  <c r="S1294" i="38"/>
  <c r="X1294" i="38"/>
  <c r="T1294" i="38"/>
  <c r="AC1306" i="38"/>
  <c r="AB1306" i="38" s="1"/>
  <c r="W972" i="38"/>
  <c r="R328" i="76"/>
  <c r="R43" i="12"/>
  <c r="W1475" i="38"/>
  <c r="AC1048" i="38"/>
  <c r="AB1048" i="38" s="1"/>
  <c r="W1372" i="38"/>
  <c r="W1495" i="38"/>
  <c r="W1693" i="38"/>
  <c r="W1782" i="38"/>
  <c r="W885" i="38"/>
  <c r="W984" i="38"/>
  <c r="AA1295" i="38"/>
  <c r="U1295" i="38"/>
  <c r="V1295" i="38" s="1"/>
  <c r="AA630" i="38"/>
  <c r="U630" i="38"/>
  <c r="V630" i="38" s="1"/>
  <c r="U1108" i="38"/>
  <c r="V1108" i="38" s="1"/>
  <c r="AA1108" i="38"/>
  <c r="U1184" i="38"/>
  <c r="V1184" i="38" s="1"/>
  <c r="AA1184" i="38"/>
  <c r="AA1289" i="38"/>
  <c r="U1289" i="38"/>
  <c r="V1289" i="38" s="1"/>
  <c r="AA845" i="38"/>
  <c r="U845" i="38"/>
  <c r="V845" i="38" s="1"/>
  <c r="AA703" i="38"/>
  <c r="U703" i="38"/>
  <c r="W1836" i="38"/>
  <c r="Q37" i="72"/>
  <c r="V1161" i="38"/>
  <c r="W1365" i="38"/>
  <c r="U1787" i="38"/>
  <c r="V1787" i="38" s="1"/>
  <c r="AA1787" i="38"/>
  <c r="S1156" i="38"/>
  <c r="T1156" i="38"/>
  <c r="X1156" i="38"/>
  <c r="S1227" i="38"/>
  <c r="T1227" i="38"/>
  <c r="X1227" i="38"/>
  <c r="U1005" i="38"/>
  <c r="V1005" i="38" s="1"/>
  <c r="AA1005" i="38"/>
  <c r="AA837" i="38"/>
  <c r="U837" i="38"/>
  <c r="V837" i="38" s="1"/>
  <c r="R383" i="37"/>
  <c r="R348" i="37"/>
  <c r="AA1598" i="38"/>
  <c r="U1598" i="38"/>
  <c r="V1598" i="38" s="1"/>
  <c r="U1378" i="38"/>
  <c r="V1378" i="38" s="1"/>
  <c r="AA1378" i="38"/>
  <c r="AA1097" i="38"/>
  <c r="U1097" i="38"/>
  <c r="V1097" i="38" s="1"/>
  <c r="S1148" i="38"/>
  <c r="T1148" i="38"/>
  <c r="X1148" i="38"/>
  <c r="S1175" i="38"/>
  <c r="T1175" i="38"/>
  <c r="X1175" i="38"/>
  <c r="AA1062" i="38"/>
  <c r="U1062" i="38"/>
  <c r="V1062" i="38" s="1"/>
  <c r="W1018" i="38"/>
  <c r="P125" i="12"/>
  <c r="AA8" i="45" s="1"/>
  <c r="U746" i="38"/>
  <c r="V746" i="38" s="1"/>
  <c r="AA746" i="38"/>
  <c r="W966" i="38"/>
  <c r="P127" i="12"/>
  <c r="AA10" i="45" s="1"/>
  <c r="AA1379" i="38"/>
  <c r="U1379" i="38"/>
  <c r="V1379" i="38" s="1"/>
  <c r="W1488" i="38"/>
  <c r="AA1157" i="38"/>
  <c r="U1157" i="38"/>
  <c r="V1157" i="38" s="1"/>
  <c r="U756" i="38"/>
  <c r="V756" i="38" s="1"/>
  <c r="AA756" i="38"/>
  <c r="AA1767" i="38"/>
  <c r="U1767" i="38"/>
  <c r="V1767" i="38" s="1"/>
  <c r="U1811" i="38"/>
  <c r="V1811" i="38" s="1"/>
  <c r="S166" i="12"/>
  <c r="AD27" i="45" s="1"/>
  <c r="W1774" i="38"/>
  <c r="S418" i="37"/>
  <c r="P84" i="12"/>
  <c r="P66" i="72"/>
  <c r="Z8" i="45"/>
  <c r="O132" i="12"/>
  <c r="V416" i="38"/>
  <c r="N106" i="72"/>
  <c r="U1386" i="38"/>
  <c r="V1386" i="38" s="1"/>
  <c r="AA1386" i="38"/>
  <c r="AA1622" i="38"/>
  <c r="U1622" i="38"/>
  <c r="V1622" i="38" s="1"/>
  <c r="U1864" i="38"/>
  <c r="V1864" i="38" s="1"/>
  <c r="AA1864" i="38"/>
  <c r="U1373" i="38"/>
  <c r="V1373" i="38" s="1"/>
  <c r="AA1373" i="38"/>
  <c r="S1344" i="38"/>
  <c r="T1344" i="38"/>
  <c r="X1344" i="38"/>
  <c r="S1076" i="38"/>
  <c r="T1076" i="38"/>
  <c r="X1076" i="38"/>
  <c r="U1331" i="38"/>
  <c r="V1331" i="38" s="1"/>
  <c r="AA1331" i="38"/>
  <c r="AA1477" i="38"/>
  <c r="U1477" i="38"/>
  <c r="V1477" i="38" s="1"/>
  <c r="U1458" i="38"/>
  <c r="V1458" i="38" s="1"/>
  <c r="AA1573" i="38"/>
  <c r="AA1789" i="38"/>
  <c r="U1789" i="38"/>
  <c r="V1789" i="38" s="1"/>
  <c r="AA742" i="38"/>
  <c r="U742" i="38"/>
  <c r="V742" i="38" s="1"/>
  <c r="W1796" i="38"/>
  <c r="W1562" i="38"/>
  <c r="U1258" i="38"/>
  <c r="V1258" i="38" s="1"/>
  <c r="AA1258" i="38"/>
  <c r="V920" i="38"/>
  <c r="U1228" i="38"/>
  <c r="V1228" i="38" s="1"/>
  <c r="AA1228" i="38"/>
  <c r="AA1600" i="38"/>
  <c r="U1600" i="38"/>
  <c r="V1600" i="38" s="1"/>
  <c r="AA1497" i="38"/>
  <c r="U1847" i="38"/>
  <c r="V1847" i="38" s="1"/>
  <c r="AA1868" i="38"/>
  <c r="AA1794" i="38"/>
  <c r="AA1265" i="38"/>
  <c r="U1265" i="38"/>
  <c r="V1265" i="38" s="1"/>
  <c r="S1211" i="38"/>
  <c r="T1211" i="38"/>
  <c r="X1211" i="38"/>
  <c r="S1171" i="38"/>
  <c r="T1171" i="38"/>
  <c r="X1171" i="38"/>
  <c r="S1163" i="38"/>
  <c r="T1163" i="38"/>
  <c r="X1163" i="38"/>
  <c r="AA899" i="38"/>
  <c r="U899" i="38"/>
  <c r="V899" i="38" s="1"/>
  <c r="U1204" i="38"/>
  <c r="V1204" i="38" s="1"/>
  <c r="AA1204" i="38"/>
  <c r="P414" i="37"/>
  <c r="R72" i="72"/>
  <c r="R90" i="12"/>
  <c r="R93" i="12" s="1"/>
  <c r="U1434" i="38"/>
  <c r="V1434" i="38" s="1"/>
  <c r="AA1434" i="38"/>
  <c r="V978" i="38"/>
  <c r="U1029" i="38"/>
  <c r="V1029" i="38" s="1"/>
  <c r="W1049" i="38"/>
  <c r="AA1612" i="38"/>
  <c r="U1612" i="38"/>
  <c r="V1612" i="38" s="1"/>
  <c r="AA1624" i="38"/>
  <c r="U1624" i="38"/>
  <c r="V1624" i="38" s="1"/>
  <c r="U1402" i="38"/>
  <c r="V1402" i="38" s="1"/>
  <c r="AA1402" i="38"/>
  <c r="AA1388" i="38"/>
  <c r="U1388" i="38"/>
  <c r="V1388" i="38" s="1"/>
  <c r="U1523" i="38"/>
  <c r="V1523" i="38" s="1"/>
  <c r="AA1523" i="38"/>
  <c r="U1751" i="38"/>
  <c r="V1751" i="38" s="1"/>
  <c r="U1262" i="38"/>
  <c r="V1262" i="38" s="1"/>
  <c r="AA1262" i="38"/>
  <c r="W922" i="38"/>
  <c r="P163" i="12"/>
  <c r="AA24" i="45" s="1"/>
  <c r="Q75" i="72"/>
  <c r="W1496" i="38"/>
  <c r="W1558" i="38"/>
  <c r="U655" i="38"/>
  <c r="AA655" i="38"/>
  <c r="V932" i="38"/>
  <c r="W1513" i="38"/>
  <c r="W1592" i="38"/>
  <c r="U1243" i="38"/>
  <c r="V1243" i="38" s="1"/>
  <c r="AA1243" i="38"/>
  <c r="W1745" i="38"/>
  <c r="W1697" i="38"/>
  <c r="AA693" i="38"/>
  <c r="U693" i="38"/>
  <c r="U1132" i="38"/>
  <c r="V1132" i="38" s="1"/>
  <c r="AA1132" i="38"/>
  <c r="AA691" i="38"/>
  <c r="U691" i="38"/>
  <c r="V691" i="38" s="1"/>
  <c r="W1857" i="38"/>
  <c r="W1007" i="38"/>
  <c r="U1127" i="38"/>
  <c r="V1127" i="38" s="1"/>
  <c r="AA1127" i="38"/>
  <c r="AA1187" i="38"/>
  <c r="U1187" i="38"/>
  <c r="V1187" i="38" s="1"/>
  <c r="AA1191" i="38"/>
  <c r="U1191" i="38"/>
  <c r="V1191" i="38" s="1"/>
  <c r="W1849" i="38"/>
  <c r="U1245" i="38"/>
  <c r="V1245" i="38" s="1"/>
  <c r="AA1245" i="38"/>
  <c r="W1601" i="38"/>
  <c r="W1516" i="38"/>
  <c r="W1564" i="38"/>
  <c r="W1416" i="38"/>
  <c r="W1594" i="38"/>
  <c r="AC1347" i="38"/>
  <c r="AB1347" i="38" s="1"/>
  <c r="W1769" i="38"/>
  <c r="W1721" i="38"/>
  <c r="S1154" i="38"/>
  <c r="T1154" i="38"/>
  <c r="X1154" i="38"/>
  <c r="S1094" i="38"/>
  <c r="T1094" i="38"/>
  <c r="X1094" i="38"/>
  <c r="AC1351" i="38"/>
  <c r="AB1351" i="38" s="1"/>
  <c r="AC778" i="38"/>
  <c r="AB778" i="38" s="1"/>
  <c r="W1391" i="38"/>
  <c r="W1637" i="38"/>
  <c r="W1438" i="38"/>
  <c r="W1557" i="38"/>
  <c r="U1143" i="38"/>
  <c r="V1143" i="38" s="1"/>
  <c r="AA1143" i="38"/>
  <c r="W1878" i="38"/>
  <c r="W1723" i="38"/>
  <c r="W1862" i="38"/>
  <c r="S1144" i="38"/>
  <c r="T1144" i="38"/>
  <c r="X1144" i="38"/>
  <c r="S1251" i="38"/>
  <c r="Q428" i="37" s="1"/>
  <c r="T1251" i="38"/>
  <c r="X1251" i="38"/>
  <c r="U1350" i="38"/>
  <c r="V1350" i="38" s="1"/>
  <c r="AA1350" i="38"/>
  <c r="W1672" i="38"/>
  <c r="W901" i="38"/>
  <c r="AC1319" i="38"/>
  <c r="AB1319" i="38" s="1"/>
  <c r="W1494" i="38"/>
  <c r="R166" i="12"/>
  <c r="AC27" i="45" s="1"/>
  <c r="U651" i="38"/>
  <c r="V651" i="38" s="1"/>
  <c r="AA651" i="38"/>
  <c r="AA1186" i="38"/>
  <c r="U1186" i="38"/>
  <c r="V1186" i="38" s="1"/>
  <c r="W1406" i="38"/>
  <c r="W1533" i="38"/>
  <c r="U628" i="38"/>
  <c r="V628" i="38" s="1"/>
  <c r="AA628" i="38"/>
  <c r="W1665" i="38"/>
  <c r="W1795" i="38"/>
  <c r="U1232" i="38"/>
  <c r="V1232" i="38" s="1"/>
  <c r="AA1232" i="38"/>
  <c r="U1207" i="38"/>
  <c r="AA1207" i="38"/>
  <c r="P370" i="37"/>
  <c r="U787" i="38"/>
  <c r="V787" i="38" s="1"/>
  <c r="AA787" i="38"/>
  <c r="W1802" i="38"/>
  <c r="W1375" i="38"/>
  <c r="O381" i="37"/>
  <c r="O384" i="37" s="1"/>
  <c r="O386" i="37" s="1"/>
  <c r="U649" i="38"/>
  <c r="V649" i="38" s="1"/>
  <c r="AA649" i="38"/>
  <c r="W1466" i="38"/>
  <c r="W1584" i="38"/>
  <c r="W1763" i="38"/>
  <c r="W1779" i="38"/>
  <c r="P33" i="72"/>
  <c r="V906" i="38"/>
  <c r="P26" i="72"/>
  <c r="P59" i="72"/>
  <c r="W1629" i="38"/>
  <c r="S1320" i="38"/>
  <c r="T1320" i="38"/>
  <c r="X1320" i="38"/>
  <c r="S1307" i="38"/>
  <c r="T1307" i="38"/>
  <c r="X1307" i="38"/>
  <c r="S1128" i="38"/>
  <c r="T1128" i="38"/>
  <c r="X1128" i="38"/>
  <c r="U1274" i="38"/>
  <c r="V1274" i="38" s="1"/>
  <c r="AA1274" i="38"/>
  <c r="U1193" i="38"/>
  <c r="V1193" i="38" s="1"/>
  <c r="AA1193" i="38"/>
  <c r="U1116" i="38"/>
  <c r="V1116" i="38" s="1"/>
  <c r="AA1116" i="38"/>
  <c r="W1462" i="38"/>
  <c r="W1634" i="38"/>
  <c r="AA1141" i="38"/>
  <c r="U1141" i="38"/>
  <c r="V1141" i="38" s="1"/>
  <c r="W1707" i="38"/>
  <c r="U1337" i="38"/>
  <c r="V1337" i="38" s="1"/>
  <c r="AA1337" i="38"/>
  <c r="U574" i="38"/>
  <c r="AA574" i="38"/>
  <c r="S43" i="12"/>
  <c r="S328" i="76"/>
  <c r="W1758" i="38"/>
  <c r="W1421" i="38"/>
  <c r="AA1164" i="38"/>
  <c r="U1164" i="38"/>
  <c r="V1164" i="38" s="1"/>
  <c r="AA1359" i="38"/>
  <c r="U1359" i="38"/>
  <c r="V1359" i="38" s="1"/>
  <c r="AA699" i="38"/>
  <c r="U699" i="38"/>
  <c r="W1632" i="38"/>
  <c r="W1414" i="38"/>
  <c r="U1671" i="38"/>
  <c r="V1671" i="38" s="1"/>
  <c r="AA1671" i="38"/>
  <c r="AA1743" i="38"/>
  <c r="W1668" i="38"/>
  <c r="U1315" i="38"/>
  <c r="V1315" i="38" s="1"/>
  <c r="AA1315" i="38"/>
  <c r="S1280" i="38"/>
  <c r="T1280" i="38"/>
  <c r="X1280" i="38"/>
  <c r="S1318" i="38"/>
  <c r="T1318" i="38"/>
  <c r="X1318" i="38"/>
  <c r="S1334" i="38"/>
  <c r="T1334" i="38"/>
  <c r="X1334" i="38"/>
  <c r="U1230" i="38"/>
  <c r="V1230" i="38" s="1"/>
  <c r="AA1230" i="38"/>
  <c r="P123" i="12"/>
  <c r="W1014" i="38"/>
  <c r="W918" i="38"/>
  <c r="AA744" i="38"/>
  <c r="U744" i="38"/>
  <c r="V744" i="38" s="1"/>
  <c r="W1530" i="38"/>
  <c r="R376" i="37"/>
  <c r="R379" i="37" s="1"/>
  <c r="U643" i="38"/>
  <c r="AA643" i="38"/>
  <c r="W1410" i="38"/>
  <c r="W1559" i="38"/>
  <c r="W1773" i="38"/>
  <c r="W1777" i="38"/>
  <c r="W1649" i="38"/>
  <c r="W1840" i="38"/>
  <c r="U976" i="38"/>
  <c r="V976" i="38" s="1"/>
  <c r="AA976" i="38"/>
  <c r="V441" i="38"/>
  <c r="N105" i="72"/>
  <c r="U1485" i="38"/>
  <c r="V1485" i="38" s="1"/>
  <c r="AA1485" i="38"/>
  <c r="AA1376" i="38"/>
  <c r="U1376" i="38"/>
  <c r="V1376" i="38" s="1"/>
  <c r="AA1735" i="38"/>
  <c r="AA1695" i="38"/>
  <c r="U1695" i="38"/>
  <c r="V1695" i="38" s="1"/>
  <c r="AA1147" i="38"/>
  <c r="U1147" i="38"/>
  <c r="V1147" i="38" s="1"/>
  <c r="S1219" i="38"/>
  <c r="T1219" i="38"/>
  <c r="X1219" i="38"/>
  <c r="S1348" i="38"/>
  <c r="X1348" i="38"/>
  <c r="T1348" i="38"/>
  <c r="V358" i="38"/>
  <c r="N107" i="72"/>
  <c r="W1842" i="38"/>
  <c r="S36" i="31"/>
  <c r="U1329" i="38"/>
  <c r="V1329" i="38" s="1"/>
  <c r="AA1329" i="38"/>
  <c r="U566" i="38"/>
  <c r="V566" i="38" s="1"/>
  <c r="AA566" i="38"/>
  <c r="AB1024" i="38"/>
  <c r="Q253" i="37" s="1"/>
  <c r="AA1041" i="38"/>
  <c r="U1041" i="38"/>
  <c r="V1041" i="38" s="1"/>
  <c r="U1419" i="38"/>
  <c r="V1419" i="38" s="1"/>
  <c r="AA1419" i="38"/>
  <c r="AA1293" i="38"/>
  <c r="U1293" i="38"/>
  <c r="V1293" i="38" s="1"/>
  <c r="AA1521" i="38"/>
  <c r="U1521" i="38"/>
  <c r="V1521" i="38" s="1"/>
  <c r="U1483" i="38"/>
  <c r="V1483" i="38" s="1"/>
  <c r="AA1483" i="38"/>
  <c r="AA1803" i="38"/>
  <c r="U1803" i="38"/>
  <c r="V1803" i="38" s="1"/>
  <c r="AA1819" i="38"/>
  <c r="U1819" i="38"/>
  <c r="V1819" i="38" s="1"/>
  <c r="AA1089" i="38"/>
  <c r="U1089" i="38"/>
  <c r="V1089" i="38" s="1"/>
  <c r="AA1710" i="38"/>
  <c r="U1710" i="38"/>
  <c r="V1710" i="38" s="1"/>
  <c r="AA1706" i="38"/>
  <c r="W986" i="38"/>
  <c r="P165" i="12"/>
  <c r="AA26" i="45" s="1"/>
  <c r="R1824" i="38"/>
  <c r="R1820" i="38"/>
  <c r="R1692" i="38"/>
  <c r="R1832" i="38"/>
  <c r="R1750" i="38"/>
  <c r="R1690" i="38"/>
  <c r="R1746" i="38"/>
  <c r="R1688" i="38"/>
  <c r="R1830" i="38"/>
  <c r="R1748" i="38"/>
  <c r="R1744" i="38"/>
  <c r="R1818" i="38"/>
  <c r="R1694" i="38"/>
  <c r="R1822" i="38"/>
  <c r="R1760" i="38"/>
  <c r="AA1506" i="38"/>
  <c r="U1506" i="38"/>
  <c r="V1506" i="38" s="1"/>
  <c r="K58" i="18"/>
  <c r="N58" i="12"/>
  <c r="AA1404" i="38"/>
  <c r="U1404" i="38"/>
  <c r="V1404" i="38" s="1"/>
  <c r="U1699" i="38"/>
  <c r="V1699" i="38" s="1"/>
  <c r="P34" i="76"/>
  <c r="W1387" i="38"/>
  <c r="S1362" i="38"/>
  <c r="T1362" i="38"/>
  <c r="X1362" i="38"/>
  <c r="S1126" i="38"/>
  <c r="T1126" i="38"/>
  <c r="X1126" i="38"/>
  <c r="S1296" i="38"/>
  <c r="T1296" i="38"/>
  <c r="X1296" i="38"/>
  <c r="AA1172" i="38"/>
  <c r="U1172" i="38"/>
  <c r="V1172" i="38" s="1"/>
  <c r="U1078" i="38"/>
  <c r="V1078" i="38" s="1"/>
  <c r="AA1078" i="38"/>
  <c r="U1392" i="38"/>
  <c r="V1392" i="38" s="1"/>
  <c r="AA1392" i="38"/>
  <c r="U1501" i="38"/>
  <c r="V1501" i="38" s="1"/>
  <c r="AA1501" i="38"/>
  <c r="AA1222" i="38"/>
  <c r="U1222" i="38"/>
  <c r="V1222" i="38" s="1"/>
  <c r="W1848" i="38"/>
  <c r="AA1785" i="38"/>
  <c r="U1785" i="38"/>
  <c r="V1785" i="38" s="1"/>
  <c r="AA1079" i="38"/>
  <c r="U1079" i="38"/>
  <c r="V1079" i="38" s="1"/>
  <c r="N19" i="72"/>
  <c r="V271" i="38"/>
  <c r="U1726" i="38"/>
  <c r="V1726" i="38" s="1"/>
  <c r="AA1726" i="38"/>
  <c r="S72" i="72"/>
  <c r="S90" i="12"/>
  <c r="S93" i="12" s="1"/>
  <c r="U1518" i="38"/>
  <c r="V1518" i="38" s="1"/>
  <c r="AA1518" i="38"/>
  <c r="R1855" i="38"/>
  <c r="R1834" i="38"/>
  <c r="R1722" i="38"/>
  <c r="R1720" i="38"/>
  <c r="R1670" i="38"/>
  <c r="R1871" i="38"/>
  <c r="R1724" i="38"/>
  <c r="R1853" i="38"/>
  <c r="AB516" i="38"/>
  <c r="U1505" i="38"/>
  <c r="V1505" i="38" s="1"/>
  <c r="AA1505" i="38"/>
  <c r="W1675" i="38"/>
  <c r="W1823" i="38"/>
  <c r="AA1183" i="38"/>
  <c r="U1183" i="38"/>
  <c r="W1780" i="38"/>
  <c r="AA1736" i="38"/>
  <c r="U1736" i="38"/>
  <c r="V1736" i="38" s="1"/>
  <c r="W893" i="38"/>
  <c r="AA1205" i="38"/>
  <c r="U1205" i="38"/>
  <c r="V1205" i="38" s="1"/>
  <c r="S1328" i="38"/>
  <c r="T1328" i="38"/>
  <c r="X1328" i="38"/>
  <c r="S1346" i="38"/>
  <c r="T1346" i="38"/>
  <c r="X1346" i="38"/>
  <c r="S1084" i="38"/>
  <c r="T1084" i="38"/>
  <c r="X1084" i="38"/>
  <c r="R1579" i="38"/>
  <c r="R1476" i="38"/>
  <c r="R1607" i="38"/>
  <c r="R1486" i="38"/>
  <c r="R1453" i="38"/>
  <c r="R1641" i="38"/>
  <c r="R1399" i="38"/>
  <c r="R1451" i="38"/>
  <c r="R1621" i="38"/>
  <c r="R1589" i="38"/>
  <c r="R1631" i="38"/>
  <c r="R1397" i="38"/>
  <c r="R1526" i="38"/>
  <c r="R1484" i="38"/>
  <c r="R1524" i="38"/>
  <c r="R1645" i="38"/>
  <c r="R1595" i="38"/>
  <c r="R1613" i="38"/>
  <c r="R1528" i="38"/>
  <c r="R1625" i="38"/>
  <c r="AC1357" i="38"/>
  <c r="AB1357" i="38" s="1"/>
  <c r="W1449" i="38"/>
  <c r="W1498" i="38"/>
  <c r="R314" i="37"/>
  <c r="AA1201" i="38"/>
  <c r="U1201" i="38"/>
  <c r="W1531" i="38"/>
  <c r="W1642" i="38"/>
  <c r="W1667" i="38"/>
  <c r="W1826" i="38"/>
  <c r="O55" i="72"/>
  <c r="P164" i="12"/>
  <c r="AA25" i="45" s="1"/>
  <c r="W910" i="38"/>
  <c r="P39" i="12"/>
  <c r="M25" i="42" s="1"/>
  <c r="U1708" i="38"/>
  <c r="V1708" i="38" s="1"/>
  <c r="AA1708" i="38"/>
  <c r="W1768" i="38"/>
  <c r="S1150" i="38"/>
  <c r="T1150" i="38"/>
  <c r="X1150" i="38"/>
  <c r="R36" i="31"/>
  <c r="N170" i="12"/>
  <c r="Y34" i="45" s="1"/>
  <c r="N172" i="12"/>
  <c r="P372" i="37"/>
  <c r="S1096" i="38"/>
  <c r="T1096" i="38"/>
  <c r="X1096" i="38"/>
  <c r="S1255" i="38"/>
  <c r="T1255" i="38"/>
  <c r="X1255" i="38"/>
  <c r="V954" i="38"/>
  <c r="AA958" i="38"/>
  <c r="U958" i="38"/>
  <c r="V958" i="38" s="1"/>
  <c r="AA1393" i="38"/>
  <c r="U1393" i="38"/>
  <c r="V1393" i="38" s="1"/>
  <c r="U1181" i="38"/>
  <c r="V1181" i="38" s="1"/>
  <c r="AA1181" i="38"/>
  <c r="AA1535" i="38"/>
  <c r="U1535" i="38"/>
  <c r="V1535" i="38" s="1"/>
  <c r="U1529" i="38"/>
  <c r="V1529" i="38" s="1"/>
  <c r="AA1529" i="38"/>
  <c r="U1827" i="38"/>
  <c r="V1827" i="38" s="1"/>
  <c r="AA1827" i="38"/>
  <c r="AA1739" i="38"/>
  <c r="U1739" i="38"/>
  <c r="V1739" i="38" s="1"/>
  <c r="AA1218" i="38"/>
  <c r="U1218" i="38"/>
  <c r="V1218" i="38" s="1"/>
  <c r="S1253" i="38"/>
  <c r="Q412" i="37" s="1"/>
  <c r="T1253" i="38"/>
  <c r="X1253" i="38"/>
  <c r="S1146" i="38"/>
  <c r="T1146" i="38"/>
  <c r="X1146" i="38"/>
  <c r="P69" i="72"/>
  <c r="P87" i="12"/>
  <c r="P54" i="12"/>
  <c r="U1109" i="38"/>
  <c r="V1109" i="38" s="1"/>
  <c r="AA1109" i="38"/>
  <c r="U636" i="38"/>
  <c r="V636" i="38" s="1"/>
  <c r="AA636" i="38"/>
  <c r="W1010" i="38"/>
  <c r="P160" i="12"/>
  <c r="AA21" i="45" s="1"/>
  <c r="V309" i="38"/>
  <c r="N20" i="72"/>
  <c r="N46" i="72"/>
  <c r="V1305" i="38"/>
  <c r="U1464" i="38"/>
  <c r="V1464" i="38" s="1"/>
  <c r="AA1464" i="38"/>
  <c r="AA1527" i="38"/>
  <c r="U1527" i="38"/>
  <c r="V1527" i="38" s="1"/>
  <c r="AA1602" i="38"/>
  <c r="U1602" i="38"/>
  <c r="V1602" i="38" s="1"/>
  <c r="AA1310" i="38"/>
  <c r="U1310" i="38"/>
  <c r="V1310" i="38" s="1"/>
  <c r="AA1192" i="38"/>
  <c r="U1192" i="38"/>
  <c r="V1192" i="38" s="1"/>
  <c r="U1177" i="38"/>
  <c r="V1177" i="38" s="1"/>
  <c r="AA1177" i="38"/>
  <c r="U835" i="38"/>
  <c r="AA835" i="38"/>
  <c r="V394" i="38"/>
  <c r="N93" i="72"/>
  <c r="R1480" i="38"/>
  <c r="R1463" i="38"/>
  <c r="R1411" i="38"/>
  <c r="R1467" i="38"/>
  <c r="R1544" i="38"/>
  <c r="R1469" i="38"/>
  <c r="R1552" i="38"/>
  <c r="R1409" i="38"/>
  <c r="R1538" i="38"/>
  <c r="R1407" i="38"/>
  <c r="R1550" i="38"/>
  <c r="R1465" i="38"/>
  <c r="R1542" i="38"/>
  <c r="R1413" i="38"/>
  <c r="R1540" i="38"/>
  <c r="V964" i="38"/>
  <c r="P94" i="72"/>
  <c r="U1185" i="38"/>
  <c r="AA1185" i="38"/>
  <c r="W1772" i="38"/>
  <c r="U1433" i="38"/>
  <c r="V1433" i="38" s="1"/>
  <c r="AA1433" i="38"/>
  <c r="W1452" i="38"/>
  <c r="AA1493" i="38"/>
  <c r="U1493" i="38"/>
  <c r="V1493" i="38" s="1"/>
  <c r="AC1363" i="38"/>
  <c r="AB1363" i="38" s="1"/>
  <c r="AA1821" i="38"/>
  <c r="U1821" i="38"/>
  <c r="V1821" i="38" s="1"/>
  <c r="U1510" i="38"/>
  <c r="V1510" i="38" s="1"/>
  <c r="AA1510" i="38"/>
  <c r="S1282" i="38"/>
  <c r="T1282" i="38"/>
  <c r="X1282" i="38"/>
  <c r="S1336" i="38"/>
  <c r="T1336" i="38"/>
  <c r="X1336" i="38"/>
  <c r="U1099" i="38"/>
  <c r="V1099" i="38" s="1"/>
  <c r="AA1099" i="38"/>
  <c r="W1590" i="38"/>
  <c r="W1374" i="38"/>
  <c r="W1582" i="38"/>
  <c r="U580" i="38"/>
  <c r="AA580" i="38"/>
  <c r="W1761" i="38"/>
  <c r="W1872" i="38"/>
  <c r="AA1208" i="38"/>
  <c r="U1208" i="38"/>
  <c r="V1208" i="38" s="1"/>
  <c r="S376" i="37"/>
  <c r="S379" i="37" s="1"/>
  <c r="W999" i="38"/>
  <c r="P161" i="12"/>
  <c r="AA22" i="45" s="1"/>
  <c r="W1574" i="38"/>
  <c r="R1439" i="38"/>
  <c r="R1605" i="38"/>
  <c r="R1568" i="38"/>
  <c r="R1581" i="38"/>
  <c r="R1443" i="38"/>
  <c r="R1554" i="38"/>
  <c r="R1633" i="38"/>
  <c r="R1615" i="38"/>
  <c r="R1441" i="38"/>
  <c r="R1587" i="38"/>
  <c r="R1635" i="38"/>
  <c r="R1389" i="38"/>
  <c r="R1623" i="38"/>
  <c r="R1597" i="38"/>
  <c r="O77" i="72"/>
  <c r="O80" i="72" s="1"/>
  <c r="O164" i="72" s="1"/>
  <c r="W1539" i="38"/>
  <c r="W1396" i="38"/>
  <c r="W1578" i="38"/>
  <c r="W1725" i="38"/>
  <c r="AA1212" i="38"/>
  <c r="U1212" i="38"/>
  <c r="V1212" i="38" s="1"/>
  <c r="AA1113" i="38"/>
  <c r="U1113" i="38"/>
  <c r="V1113" i="38" s="1"/>
  <c r="W1662" i="38"/>
  <c r="W1027" i="38"/>
  <c r="S1364" i="38"/>
  <c r="T1364" i="38"/>
  <c r="X1364" i="38"/>
  <c r="S1352" i="38"/>
  <c r="T1352" i="38"/>
  <c r="X1352" i="38"/>
  <c r="S1209" i="38"/>
  <c r="T1209" i="38"/>
  <c r="X1209" i="38"/>
  <c r="U1267" i="38"/>
  <c r="V1267" i="38" s="1"/>
  <c r="AA1267" i="38"/>
  <c r="AA1052" i="38"/>
  <c r="U1052" i="38"/>
  <c r="R1732" i="38"/>
  <c r="R1806" i="38"/>
  <c r="R1804" i="38"/>
  <c r="R1766" i="38"/>
  <c r="R1734" i="38"/>
  <c r="R1851" i="38"/>
  <c r="R1680" i="38"/>
  <c r="R1808" i="38"/>
  <c r="R1756" i="38"/>
  <c r="R1764" i="38"/>
  <c r="R1678" i="38"/>
  <c r="R1869" i="38"/>
  <c r="R1865" i="38"/>
  <c r="R1861" i="38"/>
  <c r="W1395" i="38"/>
  <c r="AC782" i="38"/>
  <c r="AB782" i="38" s="1"/>
  <c r="W1489" i="38"/>
  <c r="W1470" i="38"/>
  <c r="W1791" i="38"/>
  <c r="AC1361" i="38"/>
  <c r="AB1361" i="38" s="1"/>
  <c r="AC510" i="38"/>
  <c r="AB510" i="38" s="1"/>
  <c r="AB775" i="38"/>
  <c r="U1660" i="38"/>
  <c r="V1660" i="38" s="1"/>
  <c r="AA1660" i="38"/>
  <c r="P68" i="72"/>
  <c r="P169" i="12"/>
  <c r="AA29" i="45" s="1"/>
  <c r="P86" i="12"/>
  <c r="AA1247" i="38"/>
  <c r="U1247" i="38"/>
  <c r="AA1427" i="38"/>
  <c r="U1427" i="38"/>
  <c r="V1427" i="38" s="1"/>
  <c r="V948" i="38"/>
  <c r="AA1841" i="38"/>
  <c r="U1841" i="38"/>
  <c r="V1841" i="38" s="1"/>
  <c r="W1599" i="38"/>
  <c r="W1556" i="38"/>
  <c r="AB464" i="38"/>
  <c r="AA1016" i="38"/>
  <c r="U1016" i="38"/>
  <c r="V1016" i="38" s="1"/>
  <c r="AA1792" i="38"/>
  <c r="U1792" i="38"/>
  <c r="V1792" i="38" s="1"/>
  <c r="AA1512" i="38"/>
  <c r="U1512" i="38"/>
  <c r="V1512" i="38" s="1"/>
  <c r="W1566" i="38"/>
  <c r="AA1400" i="38"/>
  <c r="U1400" i="38"/>
  <c r="V1400" i="38" s="1"/>
  <c r="AA1503" i="38"/>
  <c r="U1503" i="38"/>
  <c r="V1503" i="38" s="1"/>
  <c r="W1422" i="38"/>
  <c r="W1831" i="38"/>
  <c r="U1737" i="38"/>
  <c r="V1737" i="38" s="1"/>
  <c r="AA1737" i="38"/>
  <c r="P18" i="37"/>
  <c r="S1223" i="38"/>
  <c r="T1223" i="38"/>
  <c r="X1223" i="38"/>
  <c r="S1257" i="38"/>
  <c r="T1257" i="38"/>
  <c r="X1257" i="38"/>
  <c r="V926" i="38"/>
  <c r="P110" i="72"/>
  <c r="N32" i="76"/>
  <c r="N89" i="70"/>
  <c r="AA1593" i="38"/>
  <c r="U1593" i="38"/>
  <c r="V1593" i="38" s="1"/>
  <c r="W1522" i="38"/>
  <c r="AA1224" i="38"/>
  <c r="U1224" i="38"/>
  <c r="V1224" i="38" s="1"/>
  <c r="V994" i="38"/>
  <c r="P38" i="72"/>
  <c r="U1567" i="38"/>
  <c r="V1567" i="38" s="1"/>
  <c r="AA1567" i="38"/>
  <c r="AA1541" i="38"/>
  <c r="U1541" i="38"/>
  <c r="V1541" i="38" s="1"/>
  <c r="U1408" i="38"/>
  <c r="V1408" i="38" s="1"/>
  <c r="AA1408" i="38"/>
  <c r="V799" i="38"/>
  <c r="AA1659" i="38"/>
  <c r="U1659" i="38"/>
  <c r="V1659" i="38" s="1"/>
  <c r="U1174" i="38"/>
  <c r="V1174" i="38" s="1"/>
  <c r="AA1174" i="38"/>
  <c r="U1217" i="38"/>
  <c r="AA1217" i="38"/>
  <c r="S1090" i="38"/>
  <c r="T1090" i="38"/>
  <c r="X1090" i="38"/>
  <c r="S1302" i="38"/>
  <c r="T1302" i="38"/>
  <c r="X1302" i="38"/>
  <c r="S1092" i="38"/>
  <c r="T1092" i="38"/>
  <c r="X1092" i="38"/>
  <c r="AA1674" i="38"/>
  <c r="U1674" i="38"/>
  <c r="V1674" i="38" s="1"/>
  <c r="U1883" i="38"/>
  <c r="V1883" i="38" s="1"/>
  <c r="AA1883" i="38"/>
  <c r="W823" i="38"/>
  <c r="P40" i="12"/>
  <c r="M26" i="42" s="1"/>
  <c r="U1155" i="38"/>
  <c r="V1155" i="38" s="1"/>
  <c r="AA1155" i="38"/>
  <c r="Q288" i="37"/>
  <c r="Q297" i="37" s="1"/>
  <c r="Q300" i="37" s="1"/>
  <c r="Q302" i="37" s="1"/>
  <c r="Q96" i="70"/>
  <c r="Q27" i="70" s="1"/>
  <c r="Q20" i="37" s="1"/>
  <c r="W1435" i="38"/>
  <c r="W1478" i="38"/>
  <c r="N29" i="76"/>
  <c r="AC499" i="38"/>
  <c r="AB499" i="38" s="1"/>
  <c r="U1575" i="38"/>
  <c r="V1575" i="38" s="1"/>
  <c r="AA1575" i="38"/>
  <c r="AA1620" i="38"/>
  <c r="U1620" i="38"/>
  <c r="V1620" i="38" s="1"/>
  <c r="U1179" i="38"/>
  <c r="AA1179" i="38"/>
  <c r="AA1683" i="38"/>
  <c r="U1683" i="38"/>
  <c r="V1683" i="38" s="1"/>
  <c r="W1856" i="38"/>
  <c r="AA1850" i="38"/>
  <c r="U1850" i="38"/>
  <c r="V1850" i="38" s="1"/>
  <c r="U1188" i="38"/>
  <c r="V1188" i="38" s="1"/>
  <c r="AA1188" i="38"/>
  <c r="U1231" i="38"/>
  <c r="AA1231" i="38"/>
  <c r="U1712" i="38"/>
  <c r="V1712" i="38" s="1"/>
  <c r="AA1712" i="38"/>
  <c r="W1800" i="38"/>
  <c r="U1784" i="38"/>
  <c r="V1784" i="38" s="1"/>
  <c r="AA1784" i="38"/>
  <c r="AA1843" i="38"/>
  <c r="U1843" i="38"/>
  <c r="V1843" i="38" s="1"/>
  <c r="W1560" i="38"/>
  <c r="AA1159" i="38"/>
  <c r="U1159" i="38"/>
  <c r="W1628" i="38"/>
  <c r="U1366" i="38"/>
  <c r="V1366" i="38" s="1"/>
  <c r="V908" i="38"/>
  <c r="P37" i="72"/>
  <c r="U1741" i="38"/>
  <c r="V1741" i="38" s="1"/>
  <c r="AA1741" i="38"/>
  <c r="AC1332" i="38"/>
  <c r="AB1332" i="38" s="1"/>
  <c r="AC1309" i="38"/>
  <c r="AB1309" i="38" s="1"/>
  <c r="W968" i="38"/>
  <c r="U1514" i="38"/>
  <c r="V1514" i="38" s="1"/>
  <c r="AA1514" i="38"/>
  <c r="W1482" i="38"/>
  <c r="S1273" i="38"/>
  <c r="T1273" i="38"/>
  <c r="X1273" i="38"/>
  <c r="S1286" i="38"/>
  <c r="Q433" i="37" s="1"/>
  <c r="T1286" i="38"/>
  <c r="X1286" i="38"/>
  <c r="U717" i="38"/>
  <c r="V717" i="38" s="1"/>
  <c r="AA717" i="38"/>
  <c r="L23" i="42"/>
  <c r="O48" i="12"/>
  <c r="O51" i="12" s="1"/>
  <c r="U1087" i="38"/>
  <c r="V1087" i="38" s="1"/>
  <c r="AA1087" i="38"/>
  <c r="U1442" i="38"/>
  <c r="V1442" i="38" s="1"/>
  <c r="U1420" i="38"/>
  <c r="V1420" i="38" s="1"/>
  <c r="AA1420" i="38"/>
  <c r="AA1110" i="38"/>
  <c r="U1110" i="38"/>
  <c r="V1110" i="38" s="1"/>
  <c r="U1833" i="38"/>
  <c r="V1833" i="38" s="1"/>
  <c r="AA1833" i="38"/>
  <c r="U1248" i="38"/>
  <c r="V1248" i="38" s="1"/>
  <c r="AA1248" i="38"/>
  <c r="AA1124" i="38"/>
  <c r="U1124" i="38"/>
  <c r="V1124" i="38" s="1"/>
  <c r="U1752" i="38"/>
  <c r="AA1752" i="38"/>
  <c r="AA1873" i="38"/>
  <c r="U1873" i="38"/>
  <c r="V1873" i="38" s="1"/>
  <c r="U1617" i="38"/>
  <c r="V1617" i="38" s="1"/>
  <c r="AA1617" i="38"/>
  <c r="R130" i="12"/>
  <c r="AC13" i="45" s="1"/>
  <c r="W1532" i="38"/>
  <c r="N23" i="72"/>
  <c r="V909" i="38"/>
  <c r="P52" i="72"/>
  <c r="O95" i="12"/>
  <c r="O98" i="12" s="1"/>
  <c r="O100" i="12" s="1"/>
  <c r="AA1118" i="38"/>
  <c r="U1118" i="38"/>
  <c r="V1118" i="38" s="1"/>
  <c r="U1507" i="38"/>
  <c r="V1507" i="38" s="1"/>
  <c r="AA1507" i="38"/>
  <c r="AA1517" i="38"/>
  <c r="U1517" i="38"/>
  <c r="V1517" i="38" s="1"/>
  <c r="U1250" i="38"/>
  <c r="V1250" i="38" s="1"/>
  <c r="AA1250" i="38"/>
  <c r="AA1781" i="38"/>
  <c r="U1781" i="38"/>
  <c r="V1781" i="38" s="1"/>
  <c r="U1870" i="38"/>
  <c r="V1870" i="38" s="1"/>
  <c r="AA1870" i="38"/>
  <c r="AA1323" i="38"/>
  <c r="U1323" i="38"/>
  <c r="V1323" i="38" s="1"/>
  <c r="U1111" i="38"/>
  <c r="V1111" i="38" s="1"/>
  <c r="AA1111" i="38"/>
  <c r="U1714" i="38"/>
  <c r="V1714" i="38" s="1"/>
  <c r="AA1714" i="38"/>
  <c r="S1138" i="38"/>
  <c r="T1138" i="38"/>
  <c r="X1138" i="38"/>
  <c r="S1086" i="38"/>
  <c r="T1086" i="38"/>
  <c r="X1086" i="38"/>
  <c r="S1140" i="38"/>
  <c r="T1140" i="38"/>
  <c r="X1140" i="38"/>
  <c r="AA1160" i="38"/>
  <c r="U1160" i="38"/>
  <c r="W912" i="38"/>
  <c r="P159" i="12"/>
  <c r="AA1431" i="38"/>
  <c r="U1431" i="38"/>
  <c r="V1431" i="38" s="1"/>
  <c r="V1054" i="38"/>
  <c r="AA1368" i="38"/>
  <c r="U1368" i="38"/>
  <c r="V1368" i="38" s="1"/>
  <c r="U1630" i="38"/>
  <c r="V1630" i="38" s="1"/>
  <c r="AA1630" i="38"/>
  <c r="S434" i="37"/>
  <c r="S347" i="37"/>
  <c r="AA1799" i="38"/>
  <c r="U1799" i="38"/>
  <c r="V1799" i="38" s="1"/>
  <c r="U1729" i="38"/>
  <c r="V1729" i="38" s="1"/>
  <c r="AA1729" i="38"/>
  <c r="U1705" i="38"/>
  <c r="V1705" i="38" s="1"/>
  <c r="U1790" i="38"/>
  <c r="V1790" i="38" s="1"/>
  <c r="W1776" i="38"/>
  <c r="P432" i="37"/>
  <c r="U897" i="38"/>
  <c r="V897" i="38" s="1"/>
  <c r="AA897" i="38"/>
  <c r="U903" i="38"/>
  <c r="V903" i="38" s="1"/>
  <c r="AA903" i="38"/>
  <c r="Q46" i="12"/>
  <c r="N28" i="42"/>
  <c r="N31" i="42" s="1"/>
  <c r="W1415" i="38"/>
  <c r="AA1487" i="38"/>
  <c r="U1487" i="38"/>
  <c r="V1487" i="38" s="1"/>
  <c r="W1491" i="38"/>
  <c r="U1339" i="38"/>
  <c r="V1339" i="38" s="1"/>
  <c r="AA1339" i="38"/>
  <c r="AA1677" i="38"/>
  <c r="U1677" i="38"/>
  <c r="V1677" i="38" s="1"/>
  <c r="AA1876" i="38"/>
  <c r="U1876" i="38"/>
  <c r="V1876" i="38" s="1"/>
  <c r="U1298" i="38"/>
  <c r="V1298" i="38" s="1"/>
  <c r="AA1298" i="38"/>
  <c r="AA1656" i="38"/>
  <c r="U1656" i="38"/>
  <c r="V1656" i="38" s="1"/>
  <c r="S97" i="12"/>
  <c r="S79" i="72"/>
  <c r="W956" i="38"/>
  <c r="P128" i="12"/>
  <c r="AA11" i="45" s="1"/>
  <c r="P38" i="12"/>
  <c r="M24" i="42" s="1"/>
  <c r="AA1149" i="38"/>
  <c r="U1149" i="38"/>
  <c r="V1149" i="38" s="1"/>
  <c r="U1308" i="38"/>
  <c r="V1308" i="38" s="1"/>
  <c r="AA1308" i="38"/>
  <c r="AA1666" i="38"/>
  <c r="U1666" i="38"/>
  <c r="V1666" i="38" s="1"/>
  <c r="W1565" i="38"/>
  <c r="W1473" i="38"/>
  <c r="AA689" i="38"/>
  <c r="U689" i="38"/>
  <c r="AA1436" i="38"/>
  <c r="U1436" i="38"/>
  <c r="V1436" i="38" s="1"/>
  <c r="W1571" i="38"/>
  <c r="U1588" i="38"/>
  <c r="V1588" i="38" s="1"/>
  <c r="AA1588" i="38"/>
  <c r="U564" i="38"/>
  <c r="AA564" i="38"/>
  <c r="U1691" i="38"/>
  <c r="V1691" i="38" s="1"/>
  <c r="AA1691" i="38"/>
  <c r="U1797" i="38"/>
  <c r="V1797" i="38" s="1"/>
  <c r="AA1797" i="38"/>
  <c r="V418" i="38"/>
  <c r="N109" i="72"/>
  <c r="O328" i="37"/>
  <c r="O241" i="37"/>
  <c r="AA1704" i="38"/>
  <c r="U1704" i="38"/>
  <c r="V1704" i="38" s="1"/>
  <c r="S348" i="37"/>
  <c r="S383" i="37"/>
  <c r="P85" i="12"/>
  <c r="P133" i="12"/>
  <c r="AA15" i="45" s="1"/>
  <c r="P67" i="72"/>
  <c r="U1194" i="38"/>
  <c r="V1194" i="38" s="1"/>
  <c r="AA1194" i="38"/>
  <c r="AA841" i="38"/>
  <c r="U841" i="38"/>
  <c r="V841" i="38" s="1"/>
  <c r="AA1182" i="38"/>
  <c r="U1182" i="38"/>
  <c r="V1182" i="38" s="1"/>
  <c r="U1867" i="38"/>
  <c r="V1867" i="38" s="1"/>
  <c r="AA1867" i="38"/>
  <c r="W1700" i="38"/>
  <c r="U784" i="38"/>
  <c r="V784" i="38" s="1"/>
  <c r="AA784" i="38"/>
  <c r="Z20" i="45"/>
  <c r="O168" i="12"/>
  <c r="AC1316" i="38"/>
  <c r="AB1316" i="38" s="1"/>
  <c r="U1162" i="38"/>
  <c r="AA1162" i="38"/>
  <c r="U833" i="38"/>
  <c r="V833" i="38" s="1"/>
  <c r="AA833" i="38"/>
  <c r="W1500" i="38"/>
  <c r="N162" i="72"/>
  <c r="N82" i="72"/>
  <c r="N169" i="72"/>
  <c r="N170" i="72"/>
  <c r="N168" i="72"/>
  <c r="N172" i="72"/>
  <c r="AA1241" i="38"/>
  <c r="U1241" i="38"/>
  <c r="V1241" i="38" s="1"/>
  <c r="AA1604" i="38"/>
  <c r="U1604" i="38"/>
  <c r="V1604" i="38" s="1"/>
  <c r="AA1569" i="38"/>
  <c r="U1569" i="38"/>
  <c r="V1569" i="38" s="1"/>
  <c r="V400" i="38"/>
  <c r="N91" i="72"/>
  <c r="AA1809" i="38"/>
  <c r="U1809" i="38"/>
  <c r="V1809" i="38" s="1"/>
  <c r="AA1655" i="38"/>
  <c r="U1655" i="38"/>
  <c r="V1655" i="38" s="1"/>
  <c r="AC1335" i="38"/>
  <c r="AB1335" i="38" s="1"/>
  <c r="P429" i="37"/>
  <c r="R1536" i="38"/>
  <c r="R1405" i="38"/>
  <c r="R1403" i="38"/>
  <c r="R1603" i="38"/>
  <c r="R1461" i="38"/>
  <c r="R1609" i="38"/>
  <c r="R1639" i="38"/>
  <c r="R1585" i="38"/>
  <c r="R1457" i="38"/>
  <c r="R1459" i="38"/>
  <c r="R1619" i="38"/>
  <c r="R1401" i="38"/>
  <c r="R1534" i="38"/>
  <c r="R1490" i="38"/>
  <c r="R1626" i="38"/>
  <c r="V1056" i="38"/>
  <c r="S1165" i="38"/>
  <c r="Q427" i="37" s="1"/>
  <c r="T1165" i="38"/>
  <c r="X1165" i="38"/>
  <c r="S1229" i="38"/>
  <c r="T1229" i="38"/>
  <c r="X1229" i="38"/>
  <c r="AC1349" i="38"/>
  <c r="AB1349" i="38" s="1"/>
  <c r="AA895" i="38"/>
  <c r="U895" i="38"/>
  <c r="V895" i="38" s="1"/>
  <c r="V259" i="38"/>
  <c r="N24" i="72"/>
  <c r="N49" i="72"/>
  <c r="N33" i="70"/>
  <c r="N34" i="72"/>
  <c r="W1548" i="38"/>
  <c r="U1071" i="38"/>
  <c r="V1071" i="38" s="1"/>
  <c r="AA1071" i="38"/>
  <c r="U1167" i="38"/>
  <c r="AA1167" i="38"/>
  <c r="AA1394" i="38"/>
  <c r="U1394" i="38"/>
  <c r="V1394" i="38" s="1"/>
  <c r="U1586" i="38"/>
  <c r="V1586" i="38" s="1"/>
  <c r="AA1586" i="38"/>
  <c r="AA1679" i="38"/>
  <c r="U1679" i="38"/>
  <c r="V1679" i="38" s="1"/>
  <c r="U1757" i="38"/>
  <c r="V1757" i="38" s="1"/>
  <c r="U1276" i="38"/>
  <c r="V1276" i="38" s="1"/>
  <c r="AA1276" i="38"/>
  <c r="S1358" i="38"/>
  <c r="T1358" i="38"/>
  <c r="X1358" i="38"/>
  <c r="S1342" i="38"/>
  <c r="T1342" i="38"/>
  <c r="X1342" i="38"/>
  <c r="U709" i="38"/>
  <c r="V709" i="38" s="1"/>
  <c r="AA709" i="38"/>
  <c r="AA1877" i="38"/>
  <c r="U1877" i="38"/>
  <c r="V1877" i="38" s="1"/>
  <c r="M95" i="12"/>
  <c r="M98" i="12" s="1"/>
  <c r="M100" i="12" s="1"/>
  <c r="P346" i="37"/>
  <c r="P373" i="37"/>
  <c r="W1022" i="38"/>
  <c r="AC481" i="38"/>
  <c r="AB481" i="38" s="1"/>
  <c r="W1546" i="38"/>
  <c r="AA1508" i="38"/>
  <c r="U1508" i="38"/>
  <c r="V1508" i="38" s="1"/>
  <c r="U719" i="38"/>
  <c r="AA719" i="38"/>
  <c r="U715" i="38"/>
  <c r="AA715" i="38"/>
  <c r="W1545" i="38"/>
  <c r="AC1015" i="38"/>
  <c r="AB1015" i="38" s="1"/>
  <c r="AA556" i="38"/>
  <c r="U556" i="38"/>
  <c r="W1854" i="38"/>
  <c r="W1771" i="38"/>
  <c r="AA776" i="38"/>
  <c r="U776" i="38"/>
  <c r="W1728" i="38"/>
  <c r="P341" i="37"/>
  <c r="P162" i="12"/>
  <c r="AA23" i="45" s="1"/>
  <c r="W982" i="38"/>
  <c r="V279" i="38"/>
  <c r="N35" i="72"/>
  <c r="N18" i="72"/>
  <c r="W1648" i="38"/>
  <c r="W831" i="38"/>
  <c r="W1583" i="38"/>
  <c r="W1608" i="38"/>
  <c r="W1460" i="38"/>
  <c r="V803" i="38"/>
  <c r="W1715" i="38"/>
  <c r="W1701" i="38"/>
  <c r="W1749" i="38"/>
  <c r="V434" i="38"/>
  <c r="N89" i="72"/>
  <c r="P371" i="37"/>
  <c r="W1643" i="38"/>
  <c r="S1130" i="38"/>
  <c r="T1130" i="38"/>
  <c r="X1130" i="38"/>
  <c r="S1326" i="38"/>
  <c r="T1326" i="38"/>
  <c r="X1326" i="38"/>
  <c r="W1444" i="38"/>
  <c r="W1509" i="38"/>
  <c r="W1882" i="38"/>
  <c r="W1866" i="38"/>
  <c r="AA1195" i="38"/>
  <c r="U1195" i="38"/>
  <c r="V1195" i="38" s="1"/>
  <c r="W1845" i="38"/>
  <c r="W1001" i="38"/>
  <c r="W1577" i="38"/>
  <c r="V390" i="38"/>
  <c r="N92" i="72"/>
  <c r="N47" i="72"/>
  <c r="W1553" i="38"/>
  <c r="W1380" i="38"/>
  <c r="AA1136" i="38"/>
  <c r="U1136" i="38"/>
  <c r="V1136" i="38" s="1"/>
  <c r="W1852" i="38"/>
  <c r="V430" i="38"/>
  <c r="N104" i="72"/>
  <c r="W1788" i="38"/>
  <c r="W875" i="38"/>
  <c r="U1196" i="38"/>
  <c r="V1196" i="38" s="1"/>
  <c r="AA1196" i="38"/>
  <c r="S1213" i="38"/>
  <c r="Q417" i="37" s="1"/>
  <c r="T1213" i="38"/>
  <c r="X1213" i="38"/>
  <c r="S1261" i="38"/>
  <c r="T1261" i="38"/>
  <c r="X1261" i="38"/>
  <c r="W843" i="38"/>
  <c r="O325" i="37"/>
  <c r="W1455" i="38"/>
  <c r="W1377" i="38"/>
  <c r="AC1341" i="38"/>
  <c r="AB1341" i="38" s="1"/>
  <c r="W1370" i="38"/>
  <c r="W1610" i="38"/>
  <c r="W1874" i="38"/>
  <c r="W1718" i="38"/>
  <c r="U1417" i="38"/>
  <c r="V1417" i="38" s="1"/>
  <c r="AA1417" i="38"/>
  <c r="U1020" i="38"/>
  <c r="V1020" i="38" s="1"/>
  <c r="AA1020" i="38"/>
  <c r="AA1429" i="38"/>
  <c r="U1429" i="38"/>
  <c r="V1429" i="38" s="1"/>
  <c r="U1614" i="38"/>
  <c r="V1614" i="38" s="1"/>
  <c r="AA1614" i="38"/>
  <c r="AA1618" i="38"/>
  <c r="U1618" i="38"/>
  <c r="V1618" i="38" s="1"/>
  <c r="U1765" i="38"/>
  <c r="V1765" i="38" s="1"/>
  <c r="AA1765" i="38"/>
  <c r="U1783" i="38"/>
  <c r="V1783" i="38" s="1"/>
  <c r="AA1783" i="38"/>
  <c r="U738" i="38"/>
  <c r="AA738" i="38"/>
  <c r="U1102" i="38"/>
  <c r="AA1102" i="38"/>
  <c r="S1100" i="38"/>
  <c r="T1100" i="38"/>
  <c r="X1100" i="38"/>
  <c r="N136" i="12"/>
  <c r="N134" i="12"/>
  <c r="Y33" i="45" s="1"/>
  <c r="AA1863" i="38"/>
  <c r="U1863" i="38"/>
  <c r="V1863" i="38" s="1"/>
  <c r="W1753" i="38"/>
  <c r="S50" i="12"/>
  <c r="P34" i="42" s="1"/>
  <c r="P124" i="12"/>
  <c r="AA7" i="45" s="1"/>
  <c r="W1012" i="38"/>
  <c r="AA1067" i="38"/>
  <c r="U1067" i="38"/>
  <c r="V1067" i="38" s="1"/>
  <c r="W1810" i="38"/>
  <c r="S125" i="12"/>
  <c r="U877" i="38"/>
  <c r="V877" i="38" s="1"/>
  <c r="AA877" i="38"/>
  <c r="V335" i="38"/>
  <c r="N21" i="72"/>
  <c r="U1636" i="38"/>
  <c r="V1636" i="38" s="1"/>
  <c r="AA1636" i="38"/>
  <c r="AA1432" i="38"/>
  <c r="U1432" i="38"/>
  <c r="V1432" i="38" s="1"/>
  <c r="U768" i="38"/>
  <c r="V768" i="38" s="1"/>
  <c r="AA768" i="38"/>
  <c r="W1369" i="38"/>
  <c r="V348" i="38"/>
  <c r="N103" i="72"/>
  <c r="AA1220" i="38"/>
  <c r="U1220" i="38"/>
  <c r="V1220" i="38" s="1"/>
  <c r="AA1284" i="38"/>
  <c r="U1284" i="38"/>
  <c r="V1284" i="38" s="1"/>
  <c r="W1456" i="38"/>
  <c r="W1644" i="38"/>
  <c r="U634" i="38"/>
  <c r="V634" i="38" s="1"/>
  <c r="AA634" i="38"/>
  <c r="W1837" i="38"/>
  <c r="W1759" i="38"/>
  <c r="W1658" i="38"/>
  <c r="W1043" i="38"/>
  <c r="U1075" i="38"/>
  <c r="V1075" i="38" s="1"/>
  <c r="AA1075" i="38"/>
  <c r="W1778" i="38"/>
  <c r="V914" i="38"/>
  <c r="W960" i="38"/>
  <c r="P129" i="12"/>
  <c r="AA12" i="45" s="1"/>
  <c r="U645" i="38"/>
  <c r="AA645" i="38"/>
  <c r="U1383" i="38"/>
  <c r="V1383" i="38" s="1"/>
  <c r="AA1383" i="38"/>
  <c r="N31" i="76"/>
  <c r="U1418" i="38"/>
  <c r="V1418" i="38" s="1"/>
  <c r="AA1418" i="38"/>
  <c r="AA1412" i="38"/>
  <c r="U1412" i="38"/>
  <c r="V1412" i="38" s="1"/>
  <c r="AA1681" i="38"/>
  <c r="U1681" i="38"/>
  <c r="V1681" i="38" s="1"/>
  <c r="AA1689" i="38"/>
  <c r="R1740" i="38"/>
  <c r="R1770" i="38"/>
  <c r="R1859" i="38"/>
  <c r="R1879" i="38"/>
  <c r="R1738" i="38"/>
  <c r="R1881" i="38"/>
  <c r="R1846" i="38"/>
  <c r="R1742" i="38"/>
  <c r="R1686" i="38"/>
  <c r="R1682" i="38"/>
  <c r="R1684" i="38"/>
  <c r="R1814" i="38"/>
  <c r="R1816" i="38"/>
  <c r="S1098" i="38"/>
  <c r="T1098" i="38"/>
  <c r="X1098" i="38"/>
  <c r="S1152" i="38"/>
  <c r="T1152" i="38"/>
  <c r="X1152" i="38"/>
  <c r="W1472" i="38"/>
  <c r="R50" i="12"/>
  <c r="O34" i="42" s="1"/>
  <c r="AA1471" i="38"/>
  <c r="U1471" i="38"/>
  <c r="U1345" i="38"/>
  <c r="V1345" i="38" s="1"/>
  <c r="AA1345" i="38"/>
  <c r="U1072" i="38"/>
  <c r="V1072" i="38" s="1"/>
  <c r="AA1072" i="38"/>
  <c r="U1398" i="38"/>
  <c r="V1398" i="38" s="1"/>
  <c r="AA1398" i="38"/>
  <c r="AA1606" i="38"/>
  <c r="U1606" i="38"/>
  <c r="V1606" i="38" s="1"/>
  <c r="L38" i="42"/>
  <c r="U1687" i="38"/>
  <c r="V1687" i="38" s="1"/>
  <c r="AA1687" i="38"/>
  <c r="AA1825" i="38"/>
  <c r="U1825" i="38"/>
  <c r="V1825" i="38" s="1"/>
  <c r="S1088" i="38"/>
  <c r="Q341" i="37" s="1"/>
  <c r="T1088" i="38"/>
  <c r="X1088" i="38"/>
  <c r="S1221" i="38"/>
  <c r="T1221" i="38"/>
  <c r="X1221" i="38"/>
  <c r="AA1698" i="38"/>
  <c r="U1698" i="38"/>
  <c r="V1698" i="38" s="1"/>
  <c r="U974" i="38"/>
  <c r="V974" i="38" s="1"/>
  <c r="AA974" i="38"/>
  <c r="AA1233" i="38"/>
  <c r="U1233" i="38"/>
  <c r="V1233" i="38" s="1"/>
  <c r="U1371" i="38"/>
  <c r="V1371" i="38" s="1"/>
  <c r="AA1371" i="38"/>
  <c r="U1382" i="38"/>
  <c r="V1382" i="38" s="1"/>
  <c r="AA1382" i="38"/>
  <c r="U1426" i="38"/>
  <c r="V1426" i="38" s="1"/>
  <c r="AA1426" i="38"/>
  <c r="AA1640" i="38"/>
  <c r="U1640" i="38"/>
  <c r="V1640" i="38" s="1"/>
  <c r="U1081" i="38"/>
  <c r="V1081" i="38" s="1"/>
  <c r="AA1081" i="38"/>
  <c r="U1711" i="38"/>
  <c r="V1711" i="38" s="1"/>
  <c r="AA1711" i="38"/>
  <c r="U740" i="38"/>
  <c r="AA740" i="38"/>
  <c r="W1812" i="38"/>
  <c r="S130" i="12"/>
  <c r="AD13" i="45" s="1"/>
  <c r="U839" i="38"/>
  <c r="V839" i="38" s="1"/>
  <c r="AA839" i="38"/>
  <c r="AA1338" i="38"/>
  <c r="U1338" i="38"/>
  <c r="V1338" i="38" s="1"/>
  <c r="U1652" i="38"/>
  <c r="V1652" i="38" s="1"/>
  <c r="AA1652" i="38"/>
  <c r="U1445" i="38"/>
  <c r="V1445" i="38" s="1"/>
  <c r="AA1445" i="38"/>
  <c r="U1173" i="38"/>
  <c r="AA1173" i="38"/>
  <c r="AA1499" i="38"/>
  <c r="U1499" i="38"/>
  <c r="V1499" i="38" s="1"/>
  <c r="U1627" i="38"/>
  <c r="V1627" i="38" s="1"/>
  <c r="AA1627" i="38"/>
  <c r="N164" i="72"/>
  <c r="AA1731" i="38"/>
  <c r="U1731" i="38"/>
  <c r="V1731" i="38" s="1"/>
  <c r="U1719" i="38"/>
  <c r="V1719" i="38" s="1"/>
  <c r="AA1719" i="38"/>
  <c r="V404" i="38"/>
  <c r="N90" i="72"/>
  <c r="U1447" i="38"/>
  <c r="V1447" i="38" s="1"/>
  <c r="AA1447" i="38"/>
  <c r="AA1611" i="38"/>
  <c r="U1611" i="38"/>
  <c r="V1611" i="38" s="1"/>
  <c r="S1354" i="38"/>
  <c r="T1354" i="38"/>
  <c r="X1354" i="38"/>
  <c r="S1259" i="38"/>
  <c r="T1259" i="38"/>
  <c r="X1259" i="38"/>
  <c r="AA606" i="38"/>
  <c r="U606" i="38"/>
  <c r="AA1446" i="38"/>
  <c r="U1446" i="38"/>
  <c r="V1446" i="38" s="1"/>
  <c r="U1430" i="38"/>
  <c r="V1430" i="38" s="1"/>
  <c r="AA1430" i="38"/>
  <c r="U1279" i="38"/>
  <c r="V1279" i="38" s="1"/>
  <c r="AA1279" i="38"/>
  <c r="V471" i="38"/>
  <c r="N83" i="70"/>
  <c r="U1829" i="38"/>
  <c r="V1829" i="38" s="1"/>
  <c r="AA1829" i="38"/>
  <c r="U1815" i="38"/>
  <c r="V1815" i="38" s="1"/>
  <c r="AA1815" i="38"/>
  <c r="AA1190" i="38"/>
  <c r="U1190" i="38"/>
  <c r="V1190" i="38" s="1"/>
  <c r="W1646" i="38"/>
  <c r="U1502" i="38"/>
  <c r="V1502" i="38" s="1"/>
  <c r="AA1502" i="38"/>
  <c r="U1074" i="38"/>
  <c r="V1074" i="38" s="1"/>
  <c r="AA1074" i="38"/>
  <c r="AB528" i="38"/>
  <c r="N30" i="76"/>
  <c r="AA1580" i="38"/>
  <c r="U1580" i="38"/>
  <c r="V1580" i="38" s="1"/>
  <c r="U1511" i="38"/>
  <c r="V1511" i="38" s="1"/>
  <c r="AA1511" i="38"/>
  <c r="AA1133" i="38"/>
  <c r="U1133" i="38"/>
  <c r="V1133" i="38" s="1"/>
  <c r="N163" i="72"/>
  <c r="AA1703" i="38"/>
  <c r="U1703" i="38"/>
  <c r="V1703" i="38" s="1"/>
  <c r="AA1858" i="38"/>
  <c r="U1858" i="38"/>
  <c r="V1858" i="38" s="1"/>
  <c r="W1828" i="38"/>
  <c r="W916" i="38"/>
  <c r="AA1252" i="38"/>
  <c r="U1252" i="38"/>
  <c r="V1252" i="38" s="1"/>
  <c r="U1122" i="38"/>
  <c r="V1122" i="38" s="1"/>
  <c r="AA1122" i="38"/>
  <c r="S1288" i="38"/>
  <c r="T1288" i="38"/>
  <c r="X1288" i="38"/>
  <c r="S1169" i="38"/>
  <c r="T1169" i="38"/>
  <c r="X1169" i="38"/>
  <c r="W970" i="38"/>
  <c r="P126" i="12"/>
  <c r="AA9" i="45" s="1"/>
  <c r="AA1385" i="38"/>
  <c r="U1385" i="38"/>
  <c r="V1385" i="38" s="1"/>
  <c r="AA1384" i="38"/>
  <c r="U1384" i="38"/>
  <c r="V1384" i="38" s="1"/>
  <c r="AA1549" i="38"/>
  <c r="U1549" i="38"/>
  <c r="V1549" i="38" s="1"/>
  <c r="AA1440" i="38"/>
  <c r="U1440" i="38"/>
  <c r="V1440" i="38" s="1"/>
  <c r="U1647" i="38"/>
  <c r="V1647" i="38" s="1"/>
  <c r="AA1647" i="38"/>
  <c r="U1651" i="38"/>
  <c r="V1651" i="38" s="1"/>
  <c r="AA1651" i="38"/>
  <c r="AA1860" i="38"/>
  <c r="U1860" i="38"/>
  <c r="V1860" i="38" s="1"/>
  <c r="P25" i="72"/>
  <c r="U1650" i="38"/>
  <c r="AA1650" i="38"/>
  <c r="O349" i="37"/>
  <c r="O351" i="37" s="1"/>
  <c r="P53" i="31"/>
  <c r="P55" i="31" s="1"/>
  <c r="M55" i="31"/>
  <c r="Q53" i="31"/>
  <c r="Q55" i="31" s="1"/>
  <c r="N53" i="31"/>
  <c r="N55" i="31" s="1"/>
  <c r="O53" i="31"/>
  <c r="O55" i="31" s="1"/>
  <c r="R53" i="31"/>
  <c r="R55" i="31" s="1"/>
  <c r="S53" i="31"/>
  <c r="S55" i="31" s="1"/>
  <c r="AA1835" i="38" l="1"/>
  <c r="U1519" i="38"/>
  <c r="V1519" i="38" s="1"/>
  <c r="AA1685" i="38"/>
  <c r="U1747" i="38"/>
  <c r="V1747" i="38" s="1"/>
  <c r="U1807" i="38"/>
  <c r="V1807" i="38" s="1"/>
  <c r="U1367" i="38"/>
  <c r="P436" i="37"/>
  <c r="P438" i="37" s="1"/>
  <c r="AA1555" i="38"/>
  <c r="AA1755" i="38"/>
  <c r="U1653" i="38"/>
  <c r="V1653" i="38" s="1"/>
  <c r="U1563" i="38"/>
  <c r="V1563" i="38" s="1"/>
  <c r="AE13" i="45"/>
  <c r="N90" i="70"/>
  <c r="N101" i="70" s="1"/>
  <c r="N103" i="70" s="1"/>
  <c r="O100" i="70" s="1"/>
  <c r="Q416" i="37"/>
  <c r="U1727" i="38"/>
  <c r="V1727" i="38" s="1"/>
  <c r="AA1875" i="38"/>
  <c r="AC1875" i="38" s="1"/>
  <c r="AB1875" i="38" s="1"/>
  <c r="U1424" i="38"/>
  <c r="V1424" i="38" s="1"/>
  <c r="U1775" i="38"/>
  <c r="V1775" i="38" s="1"/>
  <c r="U891" i="38"/>
  <c r="V891" i="38" s="1"/>
  <c r="AA1713" i="38"/>
  <c r="AA1793" i="38"/>
  <c r="Q429" i="37"/>
  <c r="W1302" i="38"/>
  <c r="W1364" i="38"/>
  <c r="U1805" i="38"/>
  <c r="V1805" i="38" s="1"/>
  <c r="AA1381" i="38"/>
  <c r="AA1844" i="38"/>
  <c r="N36" i="76"/>
  <c r="AA1474" i="38"/>
  <c r="Q431" i="37"/>
  <c r="U1754" i="38"/>
  <c r="V1754" i="38" s="1"/>
  <c r="U1716" i="38"/>
  <c r="V1716" i="38" s="1"/>
  <c r="U1504" i="38"/>
  <c r="V1504" i="38" s="1"/>
  <c r="AA1033" i="38"/>
  <c r="AA1702" i="38"/>
  <c r="AA1450" i="38"/>
  <c r="W1221" i="38"/>
  <c r="Q413" i="37"/>
  <c r="O165" i="72"/>
  <c r="AA1515" i="38"/>
  <c r="AC1029" i="38"/>
  <c r="AB1029" i="38" s="1"/>
  <c r="P420" i="37"/>
  <c r="P422" i="37" s="1"/>
  <c r="AA1572" i="38"/>
  <c r="Q432" i="37"/>
  <c r="W1146" i="38"/>
  <c r="W1354" i="38"/>
  <c r="U1730" i="38"/>
  <c r="V1730" i="38" s="1"/>
  <c r="W1342" i="38"/>
  <c r="U1342" i="38" s="1"/>
  <c r="V1342" i="38" s="1"/>
  <c r="W1086" i="38"/>
  <c r="AC1353" i="38"/>
  <c r="AB1353" i="38" s="1"/>
  <c r="AC1876" i="38"/>
  <c r="AB1876" i="38" s="1"/>
  <c r="AC1310" i="38"/>
  <c r="AB1310" i="38" s="1"/>
  <c r="U1479" i="38"/>
  <c r="V1479" i="38" s="1"/>
  <c r="O29" i="76"/>
  <c r="Q34" i="42"/>
  <c r="AC1877" i="38"/>
  <c r="AB1877" i="38" s="1"/>
  <c r="W1352" i="38"/>
  <c r="W1211" i="38"/>
  <c r="U1211" i="38" s="1"/>
  <c r="V1211" i="38" s="1"/>
  <c r="AC1868" i="38"/>
  <c r="AB1868" i="38" s="1"/>
  <c r="W1156" i="38"/>
  <c r="W1148" i="38"/>
  <c r="AA1148" i="38" s="1"/>
  <c r="W1229" i="38"/>
  <c r="AA1229" i="38" s="1"/>
  <c r="AC1867" i="38"/>
  <c r="AB1867" i="38" s="1"/>
  <c r="O30" i="76"/>
  <c r="AC1870" i="38"/>
  <c r="AB1870" i="38" s="1"/>
  <c r="Q344" i="37"/>
  <c r="O21" i="72"/>
  <c r="W1320" i="38"/>
  <c r="W1227" i="38"/>
  <c r="W1084" i="38"/>
  <c r="AA1084" i="38" s="1"/>
  <c r="W1286" i="38"/>
  <c r="W1128" i="38"/>
  <c r="W1154" i="38"/>
  <c r="W1360" i="38"/>
  <c r="AC1325" i="38"/>
  <c r="AB1325" i="38" s="1"/>
  <c r="W1130" i="38"/>
  <c r="P349" i="37"/>
  <c r="P351" i="37" s="1"/>
  <c r="W1358" i="38"/>
  <c r="W1090" i="38"/>
  <c r="Q340" i="37"/>
  <c r="Q345" i="37"/>
  <c r="AC1345" i="38"/>
  <c r="AB1345" i="38" s="1"/>
  <c r="Q346" i="37"/>
  <c r="AC1308" i="38"/>
  <c r="AB1308" i="38" s="1"/>
  <c r="W1138" i="38"/>
  <c r="W1348" i="38"/>
  <c r="U1348" i="38" s="1"/>
  <c r="V1348" i="38" s="1"/>
  <c r="W1263" i="38"/>
  <c r="W1324" i="38"/>
  <c r="AA1324" i="38" s="1"/>
  <c r="AC1627" i="38"/>
  <c r="AB1627" i="38" s="1"/>
  <c r="W1098" i="38"/>
  <c r="AA1098" i="38" s="1"/>
  <c r="W1144" i="38"/>
  <c r="U1144" i="38" s="1"/>
  <c r="V1144" i="38" s="1"/>
  <c r="W1094" i="38"/>
  <c r="AA1094" i="38" s="1"/>
  <c r="W1344" i="38"/>
  <c r="AA1344" i="38" s="1"/>
  <c r="U1828" i="38"/>
  <c r="V1828" i="38" s="1"/>
  <c r="AA1828" i="38"/>
  <c r="W1259" i="38"/>
  <c r="Q125" i="12"/>
  <c r="AB8" i="45" s="1"/>
  <c r="S1742" i="38"/>
  <c r="T1742" i="38"/>
  <c r="X1742" i="38"/>
  <c r="AA1810" i="38"/>
  <c r="U1810" i="38"/>
  <c r="AA1753" i="38"/>
  <c r="U1753" i="38"/>
  <c r="U1788" i="38"/>
  <c r="V1788" i="38" s="1"/>
  <c r="AA1788" i="38"/>
  <c r="W1288" i="38"/>
  <c r="W1088" i="38"/>
  <c r="W1152" i="38"/>
  <c r="S1684" i="38"/>
  <c r="T1684" i="38"/>
  <c r="X1684" i="38"/>
  <c r="S1859" i="38"/>
  <c r="T1859" i="38"/>
  <c r="X1859" i="38"/>
  <c r="U1759" i="38"/>
  <c r="V1759" i="38" s="1"/>
  <c r="AA1759" i="38"/>
  <c r="AA1718" i="38"/>
  <c r="U1718" i="38"/>
  <c r="V1718" i="38" s="1"/>
  <c r="AA1001" i="38"/>
  <c r="U1001" i="38"/>
  <c r="V1001" i="38" s="1"/>
  <c r="W1326" i="38"/>
  <c r="N96" i="72"/>
  <c r="N181" i="72" s="1"/>
  <c r="AA1728" i="38"/>
  <c r="U1728" i="38"/>
  <c r="V1728" i="38" s="1"/>
  <c r="AA1545" i="38"/>
  <c r="U1545" i="38"/>
  <c r="V1545" i="38" s="1"/>
  <c r="S1459" i="38"/>
  <c r="T1459" i="38"/>
  <c r="X1459" i="38"/>
  <c r="S1405" i="38"/>
  <c r="T1405" i="38"/>
  <c r="X1405" i="38"/>
  <c r="AA956" i="38"/>
  <c r="U956" i="38"/>
  <c r="O163" i="72"/>
  <c r="AC1323" i="38"/>
  <c r="AB1323" i="38" s="1"/>
  <c r="AC1873" i="38"/>
  <c r="AB1873" i="38" s="1"/>
  <c r="R37" i="72"/>
  <c r="V1474" i="38"/>
  <c r="AA1800" i="38"/>
  <c r="U1800" i="38"/>
  <c r="V1800" i="38" s="1"/>
  <c r="AA1478" i="38"/>
  <c r="U1478" i="38"/>
  <c r="V1478" i="38" s="1"/>
  <c r="W1092" i="38"/>
  <c r="AC1016" i="38"/>
  <c r="AB1016" i="38" s="1"/>
  <c r="Q255" i="37" s="1"/>
  <c r="U1395" i="38"/>
  <c r="AA1395" i="38"/>
  <c r="S1680" i="38"/>
  <c r="X1680" i="38"/>
  <c r="T1680" i="38"/>
  <c r="V1052" i="38"/>
  <c r="S1389" i="38"/>
  <c r="T1389" i="38"/>
  <c r="X1389" i="38"/>
  <c r="S1581" i="38"/>
  <c r="T1581" i="38"/>
  <c r="X1581" i="38"/>
  <c r="U1374" i="38"/>
  <c r="V1374" i="38" s="1"/>
  <c r="AA1374" i="38"/>
  <c r="W1336" i="38"/>
  <c r="AA1772" i="38"/>
  <c r="U1772" i="38"/>
  <c r="V1772" i="38" s="1"/>
  <c r="S1413" i="38"/>
  <c r="T1413" i="38"/>
  <c r="X1413" i="38"/>
  <c r="S1469" i="38"/>
  <c r="T1469" i="38"/>
  <c r="X1469" i="38"/>
  <c r="AC1305" i="38"/>
  <c r="AA1010" i="38"/>
  <c r="U1010" i="38"/>
  <c r="W1096" i="38"/>
  <c r="W1150" i="38"/>
  <c r="S1526" i="38"/>
  <c r="T1526" i="38"/>
  <c r="X1526" i="38"/>
  <c r="S1453" i="38"/>
  <c r="T1453" i="38"/>
  <c r="X1453" i="38"/>
  <c r="W1346" i="38"/>
  <c r="AA893" i="38"/>
  <c r="U893" i="38"/>
  <c r="V893" i="38" s="1"/>
  <c r="V1183" i="38"/>
  <c r="S1722" i="38"/>
  <c r="T1722" i="38"/>
  <c r="X1722" i="38"/>
  <c r="AA1848" i="38"/>
  <c r="U1848" i="38"/>
  <c r="V1848" i="38" s="1"/>
  <c r="Q370" i="37"/>
  <c r="S1830" i="38"/>
  <c r="T1830" i="38"/>
  <c r="X1830" i="38"/>
  <c r="S1824" i="38"/>
  <c r="T1824" i="38"/>
  <c r="X1824" i="38"/>
  <c r="AA1559" i="38"/>
  <c r="U1559" i="38"/>
  <c r="V1559" i="38" s="1"/>
  <c r="W1334" i="38"/>
  <c r="V574" i="38"/>
  <c r="O18" i="72"/>
  <c r="P381" i="37"/>
  <c r="P384" i="37" s="1"/>
  <c r="P386" i="37" s="1"/>
  <c r="U901" i="38"/>
  <c r="V901" i="38" s="1"/>
  <c r="AA901" i="38"/>
  <c r="AA1438" i="38"/>
  <c r="U1438" i="38"/>
  <c r="V1438" i="38" s="1"/>
  <c r="AA1769" i="38"/>
  <c r="U1769" i="38"/>
  <c r="V1769" i="38" s="1"/>
  <c r="U1564" i="38"/>
  <c r="V1564" i="38" s="1"/>
  <c r="AA1564" i="38"/>
  <c r="AA1849" i="38"/>
  <c r="U1849" i="38"/>
  <c r="V1849" i="38" s="1"/>
  <c r="V693" i="38"/>
  <c r="O93" i="72"/>
  <c r="AA1049" i="38"/>
  <c r="U1049" i="38"/>
  <c r="V1049" i="38" s="1"/>
  <c r="Q373" i="37"/>
  <c r="P77" i="72"/>
  <c r="P80" i="72" s="1"/>
  <c r="P163" i="72" s="1"/>
  <c r="U1372" i="38"/>
  <c r="V1372" i="38" s="1"/>
  <c r="AA1372" i="38"/>
  <c r="V570" i="38"/>
  <c r="O22" i="72"/>
  <c r="AA1437" i="38"/>
  <c r="U1437" i="38"/>
  <c r="V1437" i="38" s="1"/>
  <c r="AA1657" i="38"/>
  <c r="U1657" i="38"/>
  <c r="V1657" i="38" s="1"/>
  <c r="AA1570" i="38"/>
  <c r="U1570" i="38"/>
  <c r="V1570" i="38" s="1"/>
  <c r="U873" i="38"/>
  <c r="AA873" i="38"/>
  <c r="W1275" i="38"/>
  <c r="U1813" i="38"/>
  <c r="V1813" i="38" s="1"/>
  <c r="AA1813" i="38"/>
  <c r="AA1035" i="38"/>
  <c r="U1035" i="38"/>
  <c r="V1035" i="38" s="1"/>
  <c r="U1547" i="38"/>
  <c r="V1547" i="38" s="1"/>
  <c r="AA1547" i="38"/>
  <c r="AA1591" i="38"/>
  <c r="U1591" i="38"/>
  <c r="V1591" i="38" s="1"/>
  <c r="V606" i="38"/>
  <c r="O20" i="72"/>
  <c r="O46" i="72"/>
  <c r="S1682" i="38"/>
  <c r="T1682" i="38"/>
  <c r="X1682" i="38"/>
  <c r="S1770" i="38"/>
  <c r="T1770" i="38"/>
  <c r="X1770" i="38"/>
  <c r="U1837" i="38"/>
  <c r="V1837" i="38" s="1"/>
  <c r="AA1837" i="38"/>
  <c r="V738" i="38"/>
  <c r="O104" i="72"/>
  <c r="U1874" i="38"/>
  <c r="V1874" i="38" s="1"/>
  <c r="AA1874" i="38"/>
  <c r="U843" i="38"/>
  <c r="AA843" i="38"/>
  <c r="AA1845" i="38"/>
  <c r="U1845" i="38"/>
  <c r="V1845" i="38" s="1"/>
  <c r="V776" i="38"/>
  <c r="O83" i="70"/>
  <c r="S1457" i="38"/>
  <c r="T1457" i="38"/>
  <c r="X1457" i="38"/>
  <c r="S1536" i="38"/>
  <c r="T1536" i="38"/>
  <c r="X1536" i="38"/>
  <c r="O172" i="12"/>
  <c r="O170" i="12"/>
  <c r="W1140" i="38"/>
  <c r="P55" i="72"/>
  <c r="W1273" i="38"/>
  <c r="AA968" i="38"/>
  <c r="U968" i="38"/>
  <c r="V968" i="38" s="1"/>
  <c r="AA1856" i="38"/>
  <c r="U1856" i="38"/>
  <c r="V1856" i="38" s="1"/>
  <c r="AA1522" i="38"/>
  <c r="U1522" i="38"/>
  <c r="W1257" i="38"/>
  <c r="U1566" i="38"/>
  <c r="V1566" i="38" s="1"/>
  <c r="AA1566" i="38"/>
  <c r="V1247" i="38"/>
  <c r="Q38" i="72"/>
  <c r="S1861" i="38"/>
  <c r="X1861" i="38"/>
  <c r="T1861" i="38"/>
  <c r="S1851" i="38"/>
  <c r="T1851" i="38"/>
  <c r="X1851" i="38"/>
  <c r="U1578" i="38"/>
  <c r="V1578" i="38" s="1"/>
  <c r="AA1578" i="38"/>
  <c r="S1635" i="38"/>
  <c r="T1635" i="38"/>
  <c r="X1635" i="38"/>
  <c r="S1568" i="38"/>
  <c r="R413" i="37" s="1"/>
  <c r="T1568" i="38"/>
  <c r="X1568" i="38"/>
  <c r="AA1590" i="38"/>
  <c r="U1590" i="38"/>
  <c r="V1590" i="38" s="1"/>
  <c r="S1542" i="38"/>
  <c r="T1542" i="38"/>
  <c r="X1542" i="38"/>
  <c r="S1544" i="38"/>
  <c r="T1544" i="38"/>
  <c r="X1544" i="38"/>
  <c r="V835" i="38"/>
  <c r="P19" i="72"/>
  <c r="S1625" i="38"/>
  <c r="T1625" i="38"/>
  <c r="X1625" i="38"/>
  <c r="S1397" i="38"/>
  <c r="T1397" i="38"/>
  <c r="X1397" i="38"/>
  <c r="S1486" i="38"/>
  <c r="T1486" i="38"/>
  <c r="X1486" i="38"/>
  <c r="S1834" i="38"/>
  <c r="S433" i="37" s="1"/>
  <c r="T1834" i="38"/>
  <c r="X1834" i="38"/>
  <c r="W1362" i="38"/>
  <c r="S1688" i="38"/>
  <c r="T1688" i="38"/>
  <c r="X1688" i="38"/>
  <c r="AA1410" i="38"/>
  <c r="U1410" i="38"/>
  <c r="V1410" i="38" s="1"/>
  <c r="AA1414" i="38"/>
  <c r="U1414" i="38"/>
  <c r="V1414" i="38" s="1"/>
  <c r="U1421" i="38"/>
  <c r="V1421" i="38" s="1"/>
  <c r="AA1421" i="38"/>
  <c r="W1307" i="38"/>
  <c r="AA1672" i="38"/>
  <c r="U1672" i="38"/>
  <c r="V1672" i="38" s="1"/>
  <c r="U1094" i="38"/>
  <c r="V1094" i="38" s="1"/>
  <c r="U1516" i="38"/>
  <c r="AA1516" i="38"/>
  <c r="R75" i="72"/>
  <c r="U1562" i="38"/>
  <c r="AA1562" i="38"/>
  <c r="P95" i="12"/>
  <c r="P98" i="12" s="1"/>
  <c r="P100" i="12" s="1"/>
  <c r="AA1227" i="38"/>
  <c r="U1227" i="38"/>
  <c r="V1227" i="38" s="1"/>
  <c r="AA1481" i="38"/>
  <c r="U1481" i="38"/>
  <c r="V1481" i="38" s="1"/>
  <c r="AA1425" i="38"/>
  <c r="U1425" i="38"/>
  <c r="V1425" i="38" s="1"/>
  <c r="U1543" i="38"/>
  <c r="V1543" i="38" s="1"/>
  <c r="AA1543" i="38"/>
  <c r="U1664" i="38"/>
  <c r="V1664" i="38" s="1"/>
  <c r="AA1664" i="38"/>
  <c r="AA1663" i="38"/>
  <c r="U1663" i="38"/>
  <c r="V1663" i="38" s="1"/>
  <c r="Q430" i="37"/>
  <c r="AA1786" i="38"/>
  <c r="U1786" i="38"/>
  <c r="V1786" i="38" s="1"/>
  <c r="U1596" i="38"/>
  <c r="V1596" i="38" s="1"/>
  <c r="AA1596" i="38"/>
  <c r="AA1646" i="38"/>
  <c r="U1646" i="38"/>
  <c r="AC471" i="38"/>
  <c r="N84" i="70"/>
  <c r="AC1338" i="38"/>
  <c r="AB1338" i="38" s="1"/>
  <c r="V740" i="38"/>
  <c r="O105" i="72"/>
  <c r="V1471" i="38"/>
  <c r="S1686" i="38"/>
  <c r="T1686" i="38"/>
  <c r="X1686" i="38"/>
  <c r="S1740" i="38"/>
  <c r="T1740" i="38"/>
  <c r="X1740" i="38"/>
  <c r="W1100" i="38"/>
  <c r="U1610" i="38"/>
  <c r="V1610" i="38" s="1"/>
  <c r="AA1610" i="38"/>
  <c r="W1261" i="38"/>
  <c r="U1380" i="38"/>
  <c r="V1380" i="38" s="1"/>
  <c r="AA1380" i="38"/>
  <c r="U1749" i="38"/>
  <c r="V1749" i="38" s="1"/>
  <c r="AA1749" i="38"/>
  <c r="U1608" i="38"/>
  <c r="V1608" i="38" s="1"/>
  <c r="AA1608" i="38"/>
  <c r="AA1546" i="38"/>
  <c r="U1546" i="38"/>
  <c r="U1548" i="38"/>
  <c r="V1548" i="38" s="1"/>
  <c r="AA1548" i="38"/>
  <c r="S1585" i="38"/>
  <c r="T1585" i="38"/>
  <c r="X1585" i="38"/>
  <c r="Z28" i="45"/>
  <c r="Z30" i="45" s="1"/>
  <c r="O92" i="72"/>
  <c r="V689" i="38"/>
  <c r="O47" i="72"/>
  <c r="AA1776" i="38"/>
  <c r="U1776" i="38"/>
  <c r="V1776" i="38" s="1"/>
  <c r="O58" i="12"/>
  <c r="L58" i="18"/>
  <c r="AA1560" i="38"/>
  <c r="U1560" i="38"/>
  <c r="V1560" i="38" s="1"/>
  <c r="U1435" i="38"/>
  <c r="V1435" i="38" s="1"/>
  <c r="AA1435" i="38"/>
  <c r="V1217" i="38"/>
  <c r="Q94" i="72"/>
  <c r="AA1831" i="38"/>
  <c r="U1831" i="38"/>
  <c r="V1831" i="38" s="1"/>
  <c r="S1865" i="38"/>
  <c r="T1865" i="38"/>
  <c r="X1865" i="38"/>
  <c r="S1734" i="38"/>
  <c r="T1734" i="38"/>
  <c r="X1734" i="38"/>
  <c r="U1364" i="38"/>
  <c r="V1364" i="38" s="1"/>
  <c r="AA1364" i="38"/>
  <c r="AA1396" i="38"/>
  <c r="U1396" i="38"/>
  <c r="V1396" i="38" s="1"/>
  <c r="S1587" i="38"/>
  <c r="T1587" i="38"/>
  <c r="X1587" i="38"/>
  <c r="S1605" i="38"/>
  <c r="T1605" i="38"/>
  <c r="X1605" i="38"/>
  <c r="S1465" i="38"/>
  <c r="T1465" i="38"/>
  <c r="X1465" i="38"/>
  <c r="S1467" i="38"/>
  <c r="T1467" i="38"/>
  <c r="X1467" i="38"/>
  <c r="AA1146" i="38"/>
  <c r="U1146" i="38"/>
  <c r="V1146" i="38" s="1"/>
  <c r="U910" i="38"/>
  <c r="AA910" i="38"/>
  <c r="S1528" i="38"/>
  <c r="R417" i="37" s="1"/>
  <c r="T1528" i="38"/>
  <c r="X1528" i="38"/>
  <c r="S1631" i="38"/>
  <c r="T1631" i="38"/>
  <c r="X1631" i="38"/>
  <c r="S1607" i="38"/>
  <c r="X1607" i="38"/>
  <c r="T1607" i="38"/>
  <c r="AA1823" i="38"/>
  <c r="U1823" i="38"/>
  <c r="V1823" i="38" s="1"/>
  <c r="S1855" i="38"/>
  <c r="T1855" i="38"/>
  <c r="X1855" i="38"/>
  <c r="S1760" i="38"/>
  <c r="S427" i="37" s="1"/>
  <c r="T1760" i="38"/>
  <c r="X1760" i="38"/>
  <c r="S1746" i="38"/>
  <c r="T1746" i="38"/>
  <c r="X1746" i="38"/>
  <c r="W1219" i="38"/>
  <c r="Q127" i="12"/>
  <c r="AB10" i="45" s="1"/>
  <c r="O31" i="76"/>
  <c r="AA1632" i="38"/>
  <c r="U1632" i="38"/>
  <c r="V1632" i="38" s="1"/>
  <c r="AA1758" i="38"/>
  <c r="U1758" i="38"/>
  <c r="AC1337" i="38"/>
  <c r="AB1337" i="38" s="1"/>
  <c r="R287" i="37"/>
  <c r="R96" i="70"/>
  <c r="R27" i="70" s="1"/>
  <c r="R20" i="37" s="1"/>
  <c r="V1207" i="38"/>
  <c r="AA1862" i="38"/>
  <c r="U1862" i="38"/>
  <c r="V1862" i="38" s="1"/>
  <c r="U1594" i="38"/>
  <c r="V1594" i="38" s="1"/>
  <c r="AA1594" i="38"/>
  <c r="U1007" i="38"/>
  <c r="V1007" i="38" s="1"/>
  <c r="AA1007" i="38"/>
  <c r="AA1697" i="38"/>
  <c r="U1697" i="38"/>
  <c r="V1697" i="38" s="1"/>
  <c r="U966" i="38"/>
  <c r="AA966" i="38"/>
  <c r="AA984" i="38"/>
  <c r="U984" i="38"/>
  <c r="V984" i="38" s="1"/>
  <c r="W1294" i="38"/>
  <c r="AA1616" i="38"/>
  <c r="U1616" i="38"/>
  <c r="V1616" i="38" s="1"/>
  <c r="U1654" i="38"/>
  <c r="V1654" i="38" s="1"/>
  <c r="AA1654" i="38"/>
  <c r="AA1520" i="38"/>
  <c r="U1520" i="38"/>
  <c r="V1520" i="38" s="1"/>
  <c r="AA1838" i="38"/>
  <c r="U1838" i="38"/>
  <c r="V1838" i="38" s="1"/>
  <c r="U1324" i="38"/>
  <c r="V1324" i="38" s="1"/>
  <c r="U1817" i="38"/>
  <c r="V1817" i="38" s="1"/>
  <c r="AA1817" i="38"/>
  <c r="W1237" i="38"/>
  <c r="AA1468" i="38"/>
  <c r="U1468" i="38"/>
  <c r="V1468" i="38" s="1"/>
  <c r="V1082" i="38"/>
  <c r="N40" i="72"/>
  <c r="N136" i="72" s="1"/>
  <c r="S1626" i="38"/>
  <c r="X1626" i="38"/>
  <c r="T1626" i="38"/>
  <c r="S1639" i="38"/>
  <c r="X1639" i="38"/>
  <c r="T1639" i="38"/>
  <c r="AA1500" i="38"/>
  <c r="U1500" i="38"/>
  <c r="AA20" i="45"/>
  <c r="AA28" i="45" s="1"/>
  <c r="AA30" i="45" s="1"/>
  <c r="P168" i="12"/>
  <c r="V1752" i="38"/>
  <c r="L33" i="42"/>
  <c r="L35" i="42" s="1"/>
  <c r="U823" i="38"/>
  <c r="AA823" i="38"/>
  <c r="U1302" i="38"/>
  <c r="V1302" i="38" s="1"/>
  <c r="AA1302" i="38"/>
  <c r="U1422" i="38"/>
  <c r="V1422" i="38" s="1"/>
  <c r="AA1422" i="38"/>
  <c r="S1869" i="38"/>
  <c r="T1869" i="38"/>
  <c r="X1869" i="38"/>
  <c r="S1766" i="38"/>
  <c r="T1766" i="38"/>
  <c r="X1766" i="38"/>
  <c r="U1539" i="38"/>
  <c r="V1539" i="38" s="1"/>
  <c r="AA1539" i="38"/>
  <c r="S1441" i="38"/>
  <c r="T1441" i="38"/>
  <c r="X1441" i="38"/>
  <c r="S1439" i="38"/>
  <c r="T1439" i="38"/>
  <c r="X1439" i="38"/>
  <c r="AA1872" i="38"/>
  <c r="U1872" i="38"/>
  <c r="V1872" i="38" s="1"/>
  <c r="W1282" i="38"/>
  <c r="S1550" i="38"/>
  <c r="T1550" i="38"/>
  <c r="X1550" i="38"/>
  <c r="S1411" i="38"/>
  <c r="T1411" i="38"/>
  <c r="X1411" i="38"/>
  <c r="U1826" i="38"/>
  <c r="AA1826" i="38"/>
  <c r="S1613" i="38"/>
  <c r="T1613" i="38"/>
  <c r="X1613" i="38"/>
  <c r="S1589" i="38"/>
  <c r="T1589" i="38"/>
  <c r="X1589" i="38"/>
  <c r="S1476" i="38"/>
  <c r="T1476" i="38"/>
  <c r="X1476" i="38"/>
  <c r="W1328" i="38"/>
  <c r="U1675" i="38"/>
  <c r="V1675" i="38" s="1"/>
  <c r="AA1675" i="38"/>
  <c r="S1853" i="38"/>
  <c r="T1853" i="38"/>
  <c r="X1853" i="38"/>
  <c r="W1296" i="38"/>
  <c r="S1822" i="38"/>
  <c r="T1822" i="38"/>
  <c r="X1822" i="38"/>
  <c r="S1690" i="38"/>
  <c r="T1690" i="38"/>
  <c r="X1690" i="38"/>
  <c r="AA986" i="38"/>
  <c r="U986" i="38"/>
  <c r="U1842" i="38"/>
  <c r="AA1842" i="38"/>
  <c r="U1840" i="38"/>
  <c r="V1840" i="38" s="1"/>
  <c r="AA1840" i="38"/>
  <c r="O108" i="72"/>
  <c r="V643" i="38"/>
  <c r="O48" i="72"/>
  <c r="AA918" i="38"/>
  <c r="U918" i="38"/>
  <c r="V918" i="38" s="1"/>
  <c r="W1318" i="38"/>
  <c r="AC1315" i="38"/>
  <c r="V699" i="38"/>
  <c r="O91" i="72"/>
  <c r="U1707" i="38"/>
  <c r="V1707" i="38" s="1"/>
  <c r="AA1707" i="38"/>
  <c r="AA1375" i="38"/>
  <c r="U1375" i="38"/>
  <c r="V1375" i="38" s="1"/>
  <c r="AA1533" i="38"/>
  <c r="U1533" i="38"/>
  <c r="V1533" i="38" s="1"/>
  <c r="U1494" i="38"/>
  <c r="AA1494" i="38"/>
  <c r="AC1350" i="38"/>
  <c r="AB1350" i="38" s="1"/>
  <c r="U1723" i="38"/>
  <c r="V1723" i="38" s="1"/>
  <c r="AA1723" i="38"/>
  <c r="AA1416" i="38"/>
  <c r="U1416" i="38"/>
  <c r="V1416" i="38" s="1"/>
  <c r="AA1857" i="38"/>
  <c r="U1857" i="38"/>
  <c r="V1857" i="38" s="1"/>
  <c r="AA1745" i="38"/>
  <c r="U1745" i="38"/>
  <c r="V1745" i="38" s="1"/>
  <c r="Q164" i="12"/>
  <c r="AB25" i="45" s="1"/>
  <c r="W1163" i="38"/>
  <c r="Q39" i="12"/>
  <c r="N25" i="42" s="1"/>
  <c r="V1755" i="38"/>
  <c r="S37" i="72"/>
  <c r="AA1774" i="38"/>
  <c r="U1774" i="38"/>
  <c r="Q163" i="12"/>
  <c r="AB24" i="45" s="1"/>
  <c r="W1175" i="38"/>
  <c r="AA1836" i="38"/>
  <c r="U1836" i="38"/>
  <c r="V1836" i="38" s="1"/>
  <c r="AA885" i="38"/>
  <c r="U885" i="38"/>
  <c r="V885" i="38" s="1"/>
  <c r="U1475" i="38"/>
  <c r="AA1475" i="38"/>
  <c r="AA1676" i="38"/>
  <c r="U1676" i="38"/>
  <c r="U1551" i="38"/>
  <c r="V1551" i="38" s="1"/>
  <c r="AA1551" i="38"/>
  <c r="U1428" i="38"/>
  <c r="V1428" i="38" s="1"/>
  <c r="AA1428" i="38"/>
  <c r="AA887" i="38"/>
  <c r="U887" i="38"/>
  <c r="V887" i="38" s="1"/>
  <c r="U1638" i="38"/>
  <c r="V1638" i="38" s="1"/>
  <c r="AA1638" i="38"/>
  <c r="U1525" i="38"/>
  <c r="V1525" i="38" s="1"/>
  <c r="AA1525" i="38"/>
  <c r="AA1762" i="38"/>
  <c r="U1762" i="38"/>
  <c r="AA1778" i="38"/>
  <c r="U1778" i="38"/>
  <c r="V1650" i="38"/>
  <c r="N57" i="72"/>
  <c r="N60" i="72" s="1"/>
  <c r="N146" i="72" s="1"/>
  <c r="U1866" i="38"/>
  <c r="AA1866" i="38"/>
  <c r="U1715" i="38"/>
  <c r="V1715" i="38" s="1"/>
  <c r="AA1715" i="38"/>
  <c r="U1583" i="38"/>
  <c r="V1583" i="38" s="1"/>
  <c r="AA1583" i="38"/>
  <c r="U1854" i="38"/>
  <c r="V1854" i="38" s="1"/>
  <c r="AA1854" i="38"/>
  <c r="U1358" i="38"/>
  <c r="V1358" i="38" s="1"/>
  <c r="AA1358" i="38"/>
  <c r="N50" i="70"/>
  <c r="N51" i="70" s="1"/>
  <c r="N53" i="70" s="1"/>
  <c r="N58" i="70" s="1"/>
  <c r="N107" i="70"/>
  <c r="N120" i="70" s="1"/>
  <c r="S1490" i="38"/>
  <c r="T1490" i="38"/>
  <c r="X1490" i="38"/>
  <c r="S1609" i="38"/>
  <c r="R428" i="37" s="1"/>
  <c r="T1609" i="38"/>
  <c r="X1609" i="38"/>
  <c r="AC784" i="38"/>
  <c r="AB784" i="38" s="1"/>
  <c r="V564" i="38"/>
  <c r="O23" i="72"/>
  <c r="U1473" i="38"/>
  <c r="AA1473" i="38"/>
  <c r="AC1339" i="38"/>
  <c r="AB1339" i="38" s="1"/>
  <c r="U912" i="38"/>
  <c r="AA912" i="38"/>
  <c r="AA1086" i="38"/>
  <c r="U1086" i="38"/>
  <c r="V1086" i="38" s="1"/>
  <c r="U1532" i="38"/>
  <c r="AA1532" i="38"/>
  <c r="U1628" i="38"/>
  <c r="V1628" i="38" s="1"/>
  <c r="AA1628" i="38"/>
  <c r="V1231" i="38"/>
  <c r="Q68" i="72"/>
  <c r="W1223" i="38"/>
  <c r="Q126" i="12"/>
  <c r="AB9" i="45" s="1"/>
  <c r="O258" i="37"/>
  <c r="O244" i="37"/>
  <c r="O279" i="37"/>
  <c r="AA1791" i="38"/>
  <c r="U1791" i="38"/>
  <c r="V1791" i="38" s="1"/>
  <c r="U1470" i="38"/>
  <c r="V1470" i="38" s="1"/>
  <c r="AA1470" i="38"/>
  <c r="S1678" i="38"/>
  <c r="X1678" i="38"/>
  <c r="T1678" i="38"/>
  <c r="S1804" i="38"/>
  <c r="T1804" i="38"/>
  <c r="X1804" i="38"/>
  <c r="Q128" i="12"/>
  <c r="AB11" i="45" s="1"/>
  <c r="W1209" i="38"/>
  <c r="Q38" i="12"/>
  <c r="N24" i="42" s="1"/>
  <c r="S1615" i="38"/>
  <c r="T1615" i="38"/>
  <c r="X1615" i="38"/>
  <c r="U1574" i="38"/>
  <c r="V1574" i="38" s="1"/>
  <c r="AA1574" i="38"/>
  <c r="U1761" i="38"/>
  <c r="V1761" i="38" s="1"/>
  <c r="AA1761" i="38"/>
  <c r="V1185" i="38"/>
  <c r="S1407" i="38"/>
  <c r="T1407" i="38"/>
  <c r="X1407" i="38"/>
  <c r="S1463" i="38"/>
  <c r="T1463" i="38"/>
  <c r="X1463" i="38"/>
  <c r="AA1667" i="38"/>
  <c r="U1667" i="38"/>
  <c r="V1667" i="38" s="1"/>
  <c r="S1595" i="38"/>
  <c r="T1595" i="38"/>
  <c r="X1595" i="38"/>
  <c r="S1621" i="38"/>
  <c r="T1621" i="38"/>
  <c r="X1621" i="38"/>
  <c r="S1579" i="38"/>
  <c r="X1579" i="38"/>
  <c r="T1579" i="38"/>
  <c r="S1724" i="38"/>
  <c r="T1724" i="38"/>
  <c r="X1724" i="38"/>
  <c r="U1387" i="38"/>
  <c r="V1387" i="38" s="1"/>
  <c r="AA1387" i="38"/>
  <c r="S1694" i="38"/>
  <c r="T1694" i="38"/>
  <c r="X1694" i="38"/>
  <c r="S1750" i="38"/>
  <c r="T1750" i="38"/>
  <c r="X1750" i="38"/>
  <c r="Q415" i="37"/>
  <c r="AA1014" i="38"/>
  <c r="U1014" i="38"/>
  <c r="V1014" i="38" s="1"/>
  <c r="R288" i="37"/>
  <c r="U1668" i="38"/>
  <c r="V1668" i="38" s="1"/>
  <c r="AA1668" i="38"/>
  <c r="S46" i="12"/>
  <c r="P28" i="42"/>
  <c r="P31" i="42" s="1"/>
  <c r="AA1320" i="38"/>
  <c r="U1320" i="38"/>
  <c r="V1320" i="38" s="1"/>
  <c r="U1779" i="38"/>
  <c r="V1779" i="38" s="1"/>
  <c r="AA1779" i="38"/>
  <c r="U1406" i="38"/>
  <c r="V1406" i="38" s="1"/>
  <c r="AA1406" i="38"/>
  <c r="W1251" i="38"/>
  <c r="Q160" i="12"/>
  <c r="AB21" i="45" s="1"/>
  <c r="U1878" i="38"/>
  <c r="V1878" i="38" s="1"/>
  <c r="AA1878" i="38"/>
  <c r="AA1154" i="38"/>
  <c r="U1154" i="38"/>
  <c r="V1154" i="38" s="1"/>
  <c r="AA1601" i="38"/>
  <c r="U1601" i="38"/>
  <c r="V1601" i="38" s="1"/>
  <c r="V655" i="38"/>
  <c r="O107" i="72"/>
  <c r="AA922" i="38"/>
  <c r="U922" i="38"/>
  <c r="Q169" i="12"/>
  <c r="AB29" i="45" s="1"/>
  <c r="Q86" i="12"/>
  <c r="AE27" i="45"/>
  <c r="U1488" i="38"/>
  <c r="AA1488" i="38"/>
  <c r="U1156" i="38"/>
  <c r="V1156" i="38" s="1"/>
  <c r="AA1156" i="38"/>
  <c r="AA1365" i="38"/>
  <c r="U1365" i="38"/>
  <c r="V703" i="38"/>
  <c r="O90" i="72"/>
  <c r="U1782" i="38"/>
  <c r="V1782" i="38" s="1"/>
  <c r="AA1782" i="38"/>
  <c r="R46" i="12"/>
  <c r="O28" i="42"/>
  <c r="U1360" i="38"/>
  <c r="V1360" i="38" s="1"/>
  <c r="AA1360" i="38"/>
  <c r="AA1263" i="38"/>
  <c r="U1263" i="38"/>
  <c r="V1263" i="38" s="1"/>
  <c r="AA1561" i="38"/>
  <c r="U1561" i="38"/>
  <c r="V1561" i="38" s="1"/>
  <c r="AA1537" i="38"/>
  <c r="U1537" i="38"/>
  <c r="V1537" i="38" s="1"/>
  <c r="U1423" i="38"/>
  <c r="V1423" i="38" s="1"/>
  <c r="AA1423" i="38"/>
  <c r="N148" i="72"/>
  <c r="AC1321" i="38"/>
  <c r="AB1321" i="38" s="1"/>
  <c r="O19" i="72"/>
  <c r="V568" i="38"/>
  <c r="AA1370" i="38"/>
  <c r="U1370" i="38"/>
  <c r="V1370" i="38" s="1"/>
  <c r="U1553" i="38"/>
  <c r="V1553" i="38" s="1"/>
  <c r="AA1553" i="38"/>
  <c r="U1701" i="38"/>
  <c r="V1701" i="38" s="1"/>
  <c r="AA1701" i="38"/>
  <c r="V715" i="38"/>
  <c r="O106" i="72"/>
  <c r="V1173" i="38"/>
  <c r="S1846" i="38"/>
  <c r="T1846" i="38"/>
  <c r="X1846" i="38"/>
  <c r="AA1644" i="38"/>
  <c r="U1644" i="38"/>
  <c r="V1644" i="38" s="1"/>
  <c r="AA1221" i="38"/>
  <c r="U1221" i="38"/>
  <c r="V1221" i="38" s="1"/>
  <c r="N112" i="72"/>
  <c r="N194" i="72" s="1"/>
  <c r="AC1020" i="38"/>
  <c r="W1213" i="38"/>
  <c r="Q129" i="12"/>
  <c r="AB12" i="45" s="1"/>
  <c r="AA1882" i="38"/>
  <c r="U1882" i="38"/>
  <c r="V1882" i="38" s="1"/>
  <c r="AA831" i="38"/>
  <c r="U831" i="38"/>
  <c r="AA982" i="38"/>
  <c r="U982" i="38"/>
  <c r="V556" i="38"/>
  <c r="O24" i="72"/>
  <c r="O49" i="72"/>
  <c r="O34" i="72"/>
  <c r="O33" i="70"/>
  <c r="V719" i="38"/>
  <c r="O109" i="72"/>
  <c r="Q372" i="37"/>
  <c r="S1534" i="38"/>
  <c r="T1534" i="38"/>
  <c r="X1534" i="38"/>
  <c r="S1461" i="38"/>
  <c r="T1461" i="38"/>
  <c r="X1461" i="38"/>
  <c r="N174" i="72"/>
  <c r="U1565" i="38"/>
  <c r="V1565" i="38" s="1"/>
  <c r="AA1565" i="38"/>
  <c r="U1491" i="38"/>
  <c r="V1491" i="38" s="1"/>
  <c r="AA1491" i="38"/>
  <c r="AA1482" i="38"/>
  <c r="U1482" i="38"/>
  <c r="Q26" i="72"/>
  <c r="Q33" i="72"/>
  <c r="Q59" i="72"/>
  <c r="V1159" i="38"/>
  <c r="AC1883" i="38"/>
  <c r="AB1883" i="38" s="1"/>
  <c r="Q243" i="37" s="1"/>
  <c r="AA1556" i="38"/>
  <c r="U1556" i="38"/>
  <c r="V1556" i="38" s="1"/>
  <c r="U1489" i="38"/>
  <c r="V1489" i="38" s="1"/>
  <c r="AA1489" i="38"/>
  <c r="S1764" i="38"/>
  <c r="T1764" i="38"/>
  <c r="X1764" i="38"/>
  <c r="S1806" i="38"/>
  <c r="T1806" i="38"/>
  <c r="X1806" i="38"/>
  <c r="Q67" i="72"/>
  <c r="Q85" i="12"/>
  <c r="Q133" i="12"/>
  <c r="AB15" i="45" s="1"/>
  <c r="AA1027" i="38"/>
  <c r="U1027" i="38"/>
  <c r="V1027" i="38" s="1"/>
  <c r="O162" i="72"/>
  <c r="O82" i="72"/>
  <c r="O169" i="72"/>
  <c r="O170" i="72"/>
  <c r="O172" i="72"/>
  <c r="O168" i="72"/>
  <c r="S1633" i="38"/>
  <c r="T1633" i="38"/>
  <c r="X1633" i="38"/>
  <c r="U1452" i="38"/>
  <c r="V1452" i="38" s="1"/>
  <c r="AA1452" i="38"/>
  <c r="S1538" i="38"/>
  <c r="T1538" i="38"/>
  <c r="X1538" i="38"/>
  <c r="S1480" i="38"/>
  <c r="R427" i="37" s="1"/>
  <c r="T1480" i="38"/>
  <c r="X1480" i="38"/>
  <c r="M38" i="42"/>
  <c r="Q124" i="12"/>
  <c r="AB7" i="45" s="1"/>
  <c r="AE7" i="45" s="1"/>
  <c r="W1253" i="38"/>
  <c r="W1255" i="38"/>
  <c r="Q123" i="12"/>
  <c r="U1642" i="38"/>
  <c r="V1642" i="38" s="1"/>
  <c r="AA1642" i="38"/>
  <c r="S1645" i="38"/>
  <c r="T1645" i="38"/>
  <c r="X1645" i="38"/>
  <c r="S1451" i="38"/>
  <c r="T1451" i="38"/>
  <c r="X1451" i="38"/>
  <c r="U1084" i="38"/>
  <c r="S1871" i="38"/>
  <c r="T1871" i="38"/>
  <c r="X1871" i="38"/>
  <c r="S1818" i="38"/>
  <c r="X1818" i="38"/>
  <c r="T1818" i="38"/>
  <c r="S1832" i="38"/>
  <c r="T1832" i="38"/>
  <c r="X1832" i="38"/>
  <c r="AA1649" i="38"/>
  <c r="U1649" i="38"/>
  <c r="V1649" i="38" s="1"/>
  <c r="AA6" i="45"/>
  <c r="P132" i="12"/>
  <c r="AC1359" i="38"/>
  <c r="AB1359" i="38" s="1"/>
  <c r="U1763" i="38"/>
  <c r="V1763" i="38" s="1"/>
  <c r="AA1763" i="38"/>
  <c r="AA1802" i="38"/>
  <c r="U1802" i="38"/>
  <c r="U1795" i="38"/>
  <c r="V1795" i="38" s="1"/>
  <c r="AA1795" i="38"/>
  <c r="AA1637" i="38"/>
  <c r="U1637" i="38"/>
  <c r="V1637" i="38" s="1"/>
  <c r="U1558" i="38"/>
  <c r="V1558" i="38" s="1"/>
  <c r="AA1558" i="38"/>
  <c r="AC1331" i="38"/>
  <c r="AB1331" i="38" s="1"/>
  <c r="AA1693" i="38"/>
  <c r="U1693" i="38"/>
  <c r="V1693" i="38" s="1"/>
  <c r="AA1673" i="38"/>
  <c r="U1673" i="38"/>
  <c r="V1673" i="38" s="1"/>
  <c r="AC1333" i="38"/>
  <c r="AB1333" i="38" s="1"/>
  <c r="AA1390" i="38"/>
  <c r="U1390" i="38"/>
  <c r="V1390" i="38" s="1"/>
  <c r="AA1733" i="38"/>
  <c r="U1733" i="38"/>
  <c r="V1733" i="38" s="1"/>
  <c r="U1454" i="38"/>
  <c r="V1454" i="38" s="1"/>
  <c r="AA1454" i="38"/>
  <c r="W1225" i="38"/>
  <c r="AA1696" i="38"/>
  <c r="U1696" i="38"/>
  <c r="Q25" i="72"/>
  <c r="V1158" i="38"/>
  <c r="Q343" i="37"/>
  <c r="S1881" i="38"/>
  <c r="Q371" i="37" s="1"/>
  <c r="T1881" i="38"/>
  <c r="X1881" i="38"/>
  <c r="O103" i="72"/>
  <c r="V645" i="38"/>
  <c r="U1456" i="38"/>
  <c r="V1456" i="38" s="1"/>
  <c r="AA1456" i="38"/>
  <c r="S1816" i="38"/>
  <c r="T1816" i="38"/>
  <c r="X1816" i="38"/>
  <c r="S1738" i="38"/>
  <c r="T1738" i="38"/>
  <c r="X1738" i="38"/>
  <c r="U1043" i="38"/>
  <c r="V1043" i="38" s="1"/>
  <c r="AA1043" i="38"/>
  <c r="AC1636" i="38"/>
  <c r="AB1636" i="38" s="1"/>
  <c r="AA1377" i="38"/>
  <c r="U1377" i="38"/>
  <c r="V1377" i="38" s="1"/>
  <c r="U1509" i="38"/>
  <c r="V1509" i="38" s="1"/>
  <c r="AA1509" i="38"/>
  <c r="U1643" i="38"/>
  <c r="V1643" i="38" s="1"/>
  <c r="AA1643" i="38"/>
  <c r="AA1648" i="38"/>
  <c r="U1648" i="38"/>
  <c r="O89" i="70"/>
  <c r="O32" i="76"/>
  <c r="O329" i="37"/>
  <c r="O242" i="37"/>
  <c r="V1167" i="38"/>
  <c r="W1165" i="38"/>
  <c r="Q159" i="12"/>
  <c r="S1401" i="38"/>
  <c r="R341" i="37" s="1"/>
  <c r="T1401" i="38"/>
  <c r="X1401" i="38"/>
  <c r="S1603" i="38"/>
  <c r="T1603" i="38"/>
  <c r="X1603" i="38"/>
  <c r="AA1415" i="38"/>
  <c r="U1415" i="38"/>
  <c r="AA1286" i="38"/>
  <c r="U1286" i="38"/>
  <c r="V1286" i="38" s="1"/>
  <c r="Q34" i="76"/>
  <c r="O240" i="37"/>
  <c r="O327" i="37"/>
  <c r="AA1090" i="38"/>
  <c r="U1090" i="38"/>
  <c r="V1090" i="38" s="1"/>
  <c r="Q414" i="37"/>
  <c r="S1756" i="38"/>
  <c r="T1756" i="38"/>
  <c r="X1756" i="38"/>
  <c r="S1732" i="38"/>
  <c r="T1732" i="38"/>
  <c r="X1732" i="38"/>
  <c r="AA1662" i="38"/>
  <c r="U1662" i="38"/>
  <c r="V1662" i="38" s="1"/>
  <c r="U1725" i="38"/>
  <c r="V1725" i="38" s="1"/>
  <c r="AA1725" i="38"/>
  <c r="S1597" i="38"/>
  <c r="T1597" i="38"/>
  <c r="X1597" i="38"/>
  <c r="S1554" i="38"/>
  <c r="R433" i="37" s="1"/>
  <c r="T1554" i="38"/>
  <c r="X1554" i="38"/>
  <c r="V580" i="38"/>
  <c r="O35" i="72"/>
  <c r="S1409" i="38"/>
  <c r="T1409" i="38"/>
  <c r="X1409" i="38"/>
  <c r="AA1768" i="38"/>
  <c r="U1768" i="38"/>
  <c r="AA1531" i="38"/>
  <c r="U1531" i="38"/>
  <c r="V1531" i="38" s="1"/>
  <c r="AA1498" i="38"/>
  <c r="U1498" i="38"/>
  <c r="S1524" i="38"/>
  <c r="R416" i="37" s="1"/>
  <c r="T1524" i="38"/>
  <c r="X1524" i="38"/>
  <c r="S1399" i="38"/>
  <c r="T1399" i="38"/>
  <c r="X1399" i="38"/>
  <c r="S1670" i="38"/>
  <c r="T1670" i="38"/>
  <c r="X1670" i="38"/>
  <c r="S75" i="72"/>
  <c r="W1126" i="38"/>
  <c r="Q37" i="12"/>
  <c r="S1744" i="38"/>
  <c r="T1744" i="38"/>
  <c r="X1744" i="38"/>
  <c r="S1692" i="38"/>
  <c r="T1692" i="38"/>
  <c r="X1692" i="38"/>
  <c r="U1777" i="38"/>
  <c r="V1777" i="38" s="1"/>
  <c r="AA1777" i="38"/>
  <c r="W1280" i="38"/>
  <c r="Q161" i="12"/>
  <c r="AB22" i="45" s="1"/>
  <c r="AA1634" i="38"/>
  <c r="U1634" i="38"/>
  <c r="V1634" i="38" s="1"/>
  <c r="U1128" i="38"/>
  <c r="V1128" i="38" s="1"/>
  <c r="AA1128" i="38"/>
  <c r="AA1584" i="38"/>
  <c r="U1584" i="38"/>
  <c r="V1584" i="38" s="1"/>
  <c r="U1665" i="38"/>
  <c r="V1665" i="38" s="1"/>
  <c r="AA1665" i="38"/>
  <c r="AA1391" i="38"/>
  <c r="U1391" i="38"/>
  <c r="V1391" i="38" s="1"/>
  <c r="AA1592" i="38"/>
  <c r="U1592" i="38"/>
  <c r="V1592" i="38" s="1"/>
  <c r="AC1033" i="38"/>
  <c r="AB1033" i="38" s="1"/>
  <c r="W1171" i="38"/>
  <c r="W1076" i="38"/>
  <c r="Q40" i="12"/>
  <c r="N26" i="42" s="1"/>
  <c r="O134" i="12"/>
  <c r="O136" i="12"/>
  <c r="AA1018" i="38"/>
  <c r="U1018" i="38"/>
  <c r="V1018" i="38" s="1"/>
  <c r="U1148" i="38"/>
  <c r="V1148" i="38" s="1"/>
  <c r="V1367" i="38"/>
  <c r="AA1801" i="38"/>
  <c r="U1801" i="38"/>
  <c r="V1801" i="38" s="1"/>
  <c r="AA1839" i="38"/>
  <c r="U1839" i="38"/>
  <c r="V1839" i="38" s="1"/>
  <c r="AA1492" i="38"/>
  <c r="U1492" i="38"/>
  <c r="V1492" i="38" s="1"/>
  <c r="P48" i="12"/>
  <c r="P51" i="12" s="1"/>
  <c r="M23" i="42"/>
  <c r="M33" i="42" s="1"/>
  <c r="M35" i="42" s="1"/>
  <c r="AA1709" i="38"/>
  <c r="U1709" i="38"/>
  <c r="V1709" i="38" s="1"/>
  <c r="AA1798" i="38"/>
  <c r="U1798" i="38"/>
  <c r="V1798" i="38" s="1"/>
  <c r="V1215" i="38"/>
  <c r="U1448" i="38"/>
  <c r="V1448" i="38" s="1"/>
  <c r="AA1448" i="38"/>
  <c r="U847" i="38"/>
  <c r="AA847" i="38"/>
  <c r="U1661" i="38"/>
  <c r="V1661" i="38" s="1"/>
  <c r="AA1661" i="38"/>
  <c r="AD8" i="45"/>
  <c r="AA875" i="38"/>
  <c r="U875" i="38"/>
  <c r="V875" i="38" s="1"/>
  <c r="AA1130" i="38"/>
  <c r="U1130" i="38"/>
  <c r="V1130" i="38" s="1"/>
  <c r="U1771" i="38"/>
  <c r="V1771" i="38" s="1"/>
  <c r="AA1771" i="38"/>
  <c r="W1169" i="38"/>
  <c r="AA1354" i="38"/>
  <c r="U1354" i="38"/>
  <c r="V1354" i="38" s="1"/>
  <c r="U970" i="38"/>
  <c r="AA970" i="38"/>
  <c r="AA916" i="38"/>
  <c r="U916" i="38"/>
  <c r="V916" i="38" s="1"/>
  <c r="AA1812" i="38"/>
  <c r="U1812" i="38"/>
  <c r="AC1640" i="38"/>
  <c r="AB1640" i="38" s="1"/>
  <c r="U1472" i="38"/>
  <c r="AA1472" i="38"/>
  <c r="S1814" i="38"/>
  <c r="T1814" i="38"/>
  <c r="X1814" i="38"/>
  <c r="S1879" i="38"/>
  <c r="T1879" i="38"/>
  <c r="X1879" i="38"/>
  <c r="AA960" i="38"/>
  <c r="U960" i="38"/>
  <c r="U1658" i="38"/>
  <c r="V1658" i="38" s="1"/>
  <c r="AA1658" i="38"/>
  <c r="U1369" i="38"/>
  <c r="AA1369" i="38"/>
  <c r="U1012" i="38"/>
  <c r="V1012" i="38" s="1"/>
  <c r="AA1012" i="38"/>
  <c r="V1102" i="38"/>
  <c r="AA1455" i="38"/>
  <c r="U1455" i="38"/>
  <c r="V1455" i="38" s="1"/>
  <c r="U1852" i="38"/>
  <c r="V1852" i="38" s="1"/>
  <c r="AA1852" i="38"/>
  <c r="AA1577" i="38"/>
  <c r="U1577" i="38"/>
  <c r="V1577" i="38" s="1"/>
  <c r="U1444" i="38"/>
  <c r="V1444" i="38" s="1"/>
  <c r="AA1444" i="38"/>
  <c r="U1460" i="38"/>
  <c r="V1460" i="38" s="1"/>
  <c r="AA1460" i="38"/>
  <c r="N27" i="72"/>
  <c r="N123" i="72" s="1"/>
  <c r="U1022" i="38"/>
  <c r="V1022" i="38" s="1"/>
  <c r="AA1022" i="38"/>
  <c r="N34" i="70"/>
  <c r="S1619" i="38"/>
  <c r="T1619" i="38"/>
  <c r="X1619" i="38"/>
  <c r="S1403" i="38"/>
  <c r="T1403" i="38"/>
  <c r="X1403" i="38"/>
  <c r="Q52" i="72"/>
  <c r="V1162" i="38"/>
  <c r="U1700" i="38"/>
  <c r="V1700" i="38" s="1"/>
  <c r="AA1700" i="38"/>
  <c r="AA1571" i="38"/>
  <c r="U1571" i="38"/>
  <c r="V1571" i="38" s="1"/>
  <c r="AC1630" i="38"/>
  <c r="AB1630" i="38" s="1"/>
  <c r="V1160" i="38"/>
  <c r="Q36" i="72"/>
  <c r="U1138" i="38"/>
  <c r="V1138" i="38" s="1"/>
  <c r="AA1138" i="38"/>
  <c r="V1179" i="38"/>
  <c r="Q110" i="72"/>
  <c r="U1599" i="38"/>
  <c r="V1599" i="38" s="1"/>
  <c r="AA1599" i="38"/>
  <c r="S1808" i="38"/>
  <c r="S417" i="37" s="1"/>
  <c r="T1808" i="38"/>
  <c r="X1808" i="38"/>
  <c r="U1352" i="38"/>
  <c r="V1352" i="38" s="1"/>
  <c r="AA1352" i="38"/>
  <c r="S1623" i="38"/>
  <c r="T1623" i="38"/>
  <c r="X1623" i="38"/>
  <c r="S1443" i="38"/>
  <c r="T1443" i="38"/>
  <c r="X1443" i="38"/>
  <c r="AA999" i="38"/>
  <c r="U999" i="38"/>
  <c r="U1582" i="38"/>
  <c r="V1582" i="38" s="1"/>
  <c r="AA1582" i="38"/>
  <c r="S1540" i="38"/>
  <c r="T1540" i="38"/>
  <c r="X1540" i="38"/>
  <c r="S1552" i="38"/>
  <c r="T1552" i="38"/>
  <c r="X1552" i="38"/>
  <c r="Q411" i="37"/>
  <c r="V1201" i="38"/>
  <c r="AA1449" i="38"/>
  <c r="U1449" i="38"/>
  <c r="V1449" i="38" s="1"/>
  <c r="S1484" i="38"/>
  <c r="T1484" i="38"/>
  <c r="X1484" i="38"/>
  <c r="S1641" i="38"/>
  <c r="T1641" i="38"/>
  <c r="X1641" i="38"/>
  <c r="AA1780" i="38"/>
  <c r="U1780" i="38"/>
  <c r="S1720" i="38"/>
  <c r="T1720" i="38"/>
  <c r="X1720" i="38"/>
  <c r="Q84" i="12"/>
  <c r="Q66" i="72"/>
  <c r="S1748" i="38"/>
  <c r="T1748" i="38"/>
  <c r="X1748" i="38"/>
  <c r="S1820" i="38"/>
  <c r="T1820" i="38"/>
  <c r="X1820" i="38"/>
  <c r="AC1041" i="38"/>
  <c r="AB1041" i="38" s="1"/>
  <c r="AC1329" i="38"/>
  <c r="AB1329" i="38" s="1"/>
  <c r="U1773" i="38"/>
  <c r="V1773" i="38" s="1"/>
  <c r="AA1773" i="38"/>
  <c r="U1530" i="38"/>
  <c r="AA1530" i="38"/>
  <c r="AA1462" i="38"/>
  <c r="U1462" i="38"/>
  <c r="V1462" i="38" s="1"/>
  <c r="AA1629" i="38"/>
  <c r="U1629" i="38"/>
  <c r="V1629" i="38" s="1"/>
  <c r="AA1466" i="38"/>
  <c r="U1466" i="38"/>
  <c r="V1466" i="38" s="1"/>
  <c r="AC787" i="38"/>
  <c r="U1557" i="38"/>
  <c r="V1557" i="38" s="1"/>
  <c r="AA1557" i="38"/>
  <c r="U1721" i="38"/>
  <c r="V1721" i="38" s="1"/>
  <c r="AA1721" i="38"/>
  <c r="AA1513" i="38"/>
  <c r="U1513" i="38"/>
  <c r="V1513" i="38" s="1"/>
  <c r="AA1496" i="38"/>
  <c r="U1496" i="38"/>
  <c r="V1496" i="38" s="1"/>
  <c r="U1796" i="38"/>
  <c r="AA1796" i="38"/>
  <c r="Q69" i="72"/>
  <c r="Q87" i="12"/>
  <c r="Q54" i="12"/>
  <c r="Z14" i="45"/>
  <c r="Z16" i="45" s="1"/>
  <c r="AA1495" i="38"/>
  <c r="U1495" i="38"/>
  <c r="V1495" i="38" s="1"/>
  <c r="AA972" i="38"/>
  <c r="U972" i="38"/>
  <c r="V972" i="38" s="1"/>
  <c r="U1880" i="38"/>
  <c r="V1880" i="38" s="1"/>
  <c r="AA1880" i="38"/>
  <c r="W1239" i="38"/>
  <c r="Q165" i="12"/>
  <c r="AB26" i="45" s="1"/>
  <c r="U1669" i="38"/>
  <c r="V1669" i="38" s="1"/>
  <c r="AA1669" i="38"/>
  <c r="W1235" i="38"/>
  <c r="Q162" i="12"/>
  <c r="AB23" i="45" s="1"/>
  <c r="U1717" i="38"/>
  <c r="V1717" i="38" s="1"/>
  <c r="AA1717" i="38"/>
  <c r="U1576" i="38"/>
  <c r="V1576" i="38" s="1"/>
  <c r="AA1576" i="38"/>
  <c r="Q342" i="37"/>
  <c r="Q18" i="37"/>
  <c r="N196" i="72" l="1"/>
  <c r="AA1144" i="38"/>
  <c r="N184" i="72"/>
  <c r="N182" i="72"/>
  <c r="R415" i="37"/>
  <c r="P18" i="72"/>
  <c r="N185" i="72"/>
  <c r="AA1211" i="38"/>
  <c r="Q436" i="37"/>
  <c r="Q438" i="37" s="1"/>
  <c r="AA1342" i="38"/>
  <c r="W1859" i="38"/>
  <c r="AA1348" i="38"/>
  <c r="AC1348" i="38" s="1"/>
  <c r="AB1348" i="38" s="1"/>
  <c r="P165" i="72"/>
  <c r="W1407" i="38"/>
  <c r="AA1407" i="38" s="1"/>
  <c r="N147" i="72"/>
  <c r="S36" i="72"/>
  <c r="S25" i="72"/>
  <c r="P22" i="72"/>
  <c r="W1822" i="38"/>
  <c r="W1613" i="38"/>
  <c r="P164" i="72"/>
  <c r="N199" i="72"/>
  <c r="U1229" i="38"/>
  <c r="V1229" i="38" s="1"/>
  <c r="R346" i="37"/>
  <c r="W1625" i="38"/>
  <c r="W1542" i="38"/>
  <c r="W1635" i="38"/>
  <c r="S415" i="37"/>
  <c r="W1820" i="38"/>
  <c r="U1820" i="38" s="1"/>
  <c r="V1820" i="38" s="1"/>
  <c r="Q420" i="37"/>
  <c r="Q422" i="37" s="1"/>
  <c r="W1403" i="38"/>
  <c r="U1403" i="38" s="1"/>
  <c r="W1879" i="38"/>
  <c r="O36" i="76"/>
  <c r="U1344" i="38"/>
  <c r="V1344" i="38" s="1"/>
  <c r="AC1878" i="38"/>
  <c r="AB1878" i="38" s="1"/>
  <c r="R297" i="37"/>
  <c r="R300" i="37" s="1"/>
  <c r="R302" i="37" s="1"/>
  <c r="W1871" i="38"/>
  <c r="AA1871" i="38" s="1"/>
  <c r="W1645" i="38"/>
  <c r="AA1645" i="38" s="1"/>
  <c r="W1806" i="38"/>
  <c r="U1806" i="38" s="1"/>
  <c r="V1806" i="38" s="1"/>
  <c r="W1722" i="38"/>
  <c r="U1098" i="38"/>
  <c r="V1098" i="38" s="1"/>
  <c r="AC1352" i="38"/>
  <c r="AB1352" i="38" s="1"/>
  <c r="W1619" i="38"/>
  <c r="R34" i="76"/>
  <c r="W1740" i="38"/>
  <c r="U1740" i="38" s="1"/>
  <c r="V1740" i="38" s="1"/>
  <c r="W1688" i="38"/>
  <c r="AC1882" i="38"/>
  <c r="AB1882" i="38" s="1"/>
  <c r="AC1320" i="38"/>
  <c r="AB1320" i="38" s="1"/>
  <c r="W1678" i="38"/>
  <c r="W1457" i="38"/>
  <c r="W1459" i="38"/>
  <c r="W1748" i="38"/>
  <c r="W1461" i="38"/>
  <c r="AA1461" i="38" s="1"/>
  <c r="Q349" i="37"/>
  <c r="Q351" i="37" s="1"/>
  <c r="W1443" i="38"/>
  <c r="AA1443" i="38" s="1"/>
  <c r="W1750" i="38"/>
  <c r="W1724" i="38"/>
  <c r="W1605" i="38"/>
  <c r="AC1342" i="38"/>
  <c r="AB1342" i="38" s="1"/>
  <c r="AC1874" i="38"/>
  <c r="AB1874" i="38" s="1"/>
  <c r="AC1049" i="38"/>
  <c r="AB1049" i="38" s="1"/>
  <c r="W1684" i="38"/>
  <c r="U1684" i="38" s="1"/>
  <c r="V1684" i="38" s="1"/>
  <c r="W1816" i="38"/>
  <c r="W1881" i="38"/>
  <c r="AC1637" i="38"/>
  <c r="AB1637" i="38" s="1"/>
  <c r="R342" i="37"/>
  <c r="S343" i="37"/>
  <c r="AC1628" i="38"/>
  <c r="W1467" i="38"/>
  <c r="U1467" i="38" s="1"/>
  <c r="V1467" i="38" s="1"/>
  <c r="W1734" i="38"/>
  <c r="W1732" i="38"/>
  <c r="AC1360" i="38"/>
  <c r="AB1360" i="38" s="1"/>
  <c r="W1585" i="38"/>
  <c r="R18" i="37"/>
  <c r="AC1035" i="38"/>
  <c r="AB1035" i="38" s="1"/>
  <c r="R431" i="37"/>
  <c r="W1469" i="38"/>
  <c r="U1469" i="38" s="1"/>
  <c r="V1469" i="38" s="1"/>
  <c r="W1861" i="38"/>
  <c r="P162" i="72"/>
  <c r="S370" i="37"/>
  <c r="R345" i="37"/>
  <c r="R344" i="37"/>
  <c r="R429" i="37"/>
  <c r="AC1643" i="38"/>
  <c r="AB1643" i="38" s="1"/>
  <c r="AC1638" i="38"/>
  <c r="AB1638" i="38" s="1"/>
  <c r="W1639" i="38"/>
  <c r="U1639" i="38" s="1"/>
  <c r="V1639" i="38" s="1"/>
  <c r="N135" i="72"/>
  <c r="W1453" i="38"/>
  <c r="S346" i="37"/>
  <c r="S373" i="37"/>
  <c r="S164" i="12"/>
  <c r="AD25" i="45" s="1"/>
  <c r="W1756" i="38"/>
  <c r="S39" i="12"/>
  <c r="P25" i="42" s="1"/>
  <c r="U1225" i="38"/>
  <c r="V1225" i="38" s="1"/>
  <c r="AA1225" i="38"/>
  <c r="U1871" i="38"/>
  <c r="V1871" i="38" s="1"/>
  <c r="AB6" i="45"/>
  <c r="AB14" i="45" s="1"/>
  <c r="AB16" i="45" s="1"/>
  <c r="Q132" i="12"/>
  <c r="O40" i="72"/>
  <c r="U1223" i="38"/>
  <c r="AA1223" i="38"/>
  <c r="R94" i="72"/>
  <c r="V1532" i="38"/>
  <c r="R110" i="72"/>
  <c r="V1494" i="38"/>
  <c r="W1853" i="38"/>
  <c r="V1826" i="38"/>
  <c r="R430" i="37"/>
  <c r="W1441" i="38"/>
  <c r="W1869" i="38"/>
  <c r="AA1294" i="38"/>
  <c r="U1294" i="38"/>
  <c r="V1294" i="38" s="1"/>
  <c r="P31" i="76"/>
  <c r="S340" i="37"/>
  <c r="W1397" i="38"/>
  <c r="W1544" i="38"/>
  <c r="R125" i="12"/>
  <c r="W1568" i="38"/>
  <c r="S163" i="12"/>
  <c r="AD24" i="45" s="1"/>
  <c r="W1770" i="38"/>
  <c r="P169" i="72"/>
  <c r="P82" i="72"/>
  <c r="P170" i="72"/>
  <c r="P168" i="72"/>
  <c r="P172" i="72"/>
  <c r="S430" i="37"/>
  <c r="P83" i="70"/>
  <c r="V1010" i="38"/>
  <c r="S33" i="72"/>
  <c r="V1753" i="38"/>
  <c r="S26" i="72"/>
  <c r="S59" i="72"/>
  <c r="Q95" i="12"/>
  <c r="Q98" i="12" s="1"/>
  <c r="Q100" i="12" s="1"/>
  <c r="S345" i="37"/>
  <c r="S432" i="37"/>
  <c r="W1540" i="38"/>
  <c r="AC1354" i="38"/>
  <c r="AB1354" i="38" s="1"/>
  <c r="W1744" i="38"/>
  <c r="N23" i="42"/>
  <c r="N33" i="42" s="1"/>
  <c r="N35" i="42" s="1"/>
  <c r="Q48" i="12"/>
  <c r="Q51" i="12" s="1"/>
  <c r="W1399" i="38"/>
  <c r="O136" i="72"/>
  <c r="S68" i="72"/>
  <c r="S169" i="12"/>
  <c r="AD29" i="45" s="1"/>
  <c r="S86" i="12"/>
  <c r="AB20" i="45"/>
  <c r="AB28" i="45" s="1"/>
  <c r="AB30" i="45" s="1"/>
  <c r="Q168" i="12"/>
  <c r="O112" i="72"/>
  <c r="O194" i="72" s="1"/>
  <c r="U1255" i="38"/>
  <c r="AA1255" i="38"/>
  <c r="W1534" i="38"/>
  <c r="R127" i="12"/>
  <c r="AC10" i="45" s="1"/>
  <c r="N198" i="72"/>
  <c r="N202" i="72"/>
  <c r="N114" i="72"/>
  <c r="N201" i="72"/>
  <c r="O31" i="42"/>
  <c r="Q28" i="42"/>
  <c r="Q31" i="42" s="1"/>
  <c r="V922" i="38"/>
  <c r="P107" i="72"/>
  <c r="AC1014" i="38"/>
  <c r="AB1014" i="38" s="1"/>
  <c r="W1694" i="38"/>
  <c r="W1615" i="38"/>
  <c r="W1804" i="38"/>
  <c r="S128" i="12"/>
  <c r="AD11" i="45" s="1"/>
  <c r="S38" i="12"/>
  <c r="P24" i="42" s="1"/>
  <c r="N60" i="70"/>
  <c r="N65" i="70" s="1"/>
  <c r="N63" i="70"/>
  <c r="V1676" i="38"/>
  <c r="W1690" i="38"/>
  <c r="W1589" i="38"/>
  <c r="S344" i="37"/>
  <c r="S431" i="37"/>
  <c r="AA1219" i="38"/>
  <c r="U1219" i="38"/>
  <c r="W1855" i="38"/>
  <c r="W1631" i="38"/>
  <c r="V910" i="38"/>
  <c r="P108" i="72"/>
  <c r="P48" i="72"/>
  <c r="U1261" i="38"/>
  <c r="V1261" i="38" s="1"/>
  <c r="AA1261" i="38"/>
  <c r="W1686" i="38"/>
  <c r="N91" i="70"/>
  <c r="N85" i="70"/>
  <c r="AA1362" i="38"/>
  <c r="U1362" i="38"/>
  <c r="V1362" i="38" s="1"/>
  <c r="AA1273" i="38"/>
  <c r="U1273" i="38"/>
  <c r="V1273" i="38" s="1"/>
  <c r="W1536" i="38"/>
  <c r="U1275" i="38"/>
  <c r="V1275" i="38" s="1"/>
  <c r="AA1275" i="38"/>
  <c r="Q381" i="37"/>
  <c r="Q384" i="37" s="1"/>
  <c r="Q386" i="37" s="1"/>
  <c r="V1395" i="38"/>
  <c r="AA1152" i="38"/>
  <c r="U1152" i="38"/>
  <c r="V1152" i="38" s="1"/>
  <c r="S34" i="76"/>
  <c r="V1369" i="38"/>
  <c r="W1814" i="38"/>
  <c r="S127" i="12"/>
  <c r="AD10" i="45" s="1"/>
  <c r="V970" i="38"/>
  <c r="P90" i="72"/>
  <c r="W1579" i="38"/>
  <c r="R161" i="12"/>
  <c r="AC22" i="45" s="1"/>
  <c r="R340" i="37"/>
  <c r="S67" i="72"/>
  <c r="S133" i="12"/>
  <c r="AD15" i="45" s="1"/>
  <c r="S85" i="12"/>
  <c r="AA1282" i="38"/>
  <c r="U1282" i="38"/>
  <c r="V1282" i="38" s="1"/>
  <c r="S96" i="70"/>
  <c r="S27" i="70" s="1"/>
  <c r="S20" i="37" s="1"/>
  <c r="S288" i="37"/>
  <c r="S297" i="37" s="1"/>
  <c r="S300" i="37" s="1"/>
  <c r="S302" i="37" s="1"/>
  <c r="U1237" i="38"/>
  <c r="V1237" i="38" s="1"/>
  <c r="AA1237" i="38"/>
  <c r="U1605" i="38"/>
  <c r="V1605" i="38" s="1"/>
  <c r="AA1605" i="38"/>
  <c r="U1585" i="38"/>
  <c r="V1585" i="38" s="1"/>
  <c r="AA1585" i="38"/>
  <c r="AB471" i="38"/>
  <c r="W1834" i="38"/>
  <c r="S165" i="12"/>
  <c r="AD26" i="45" s="1"/>
  <c r="W1851" i="38"/>
  <c r="S161" i="12"/>
  <c r="AD22" i="45" s="1"/>
  <c r="U1257" i="38"/>
  <c r="V1257" i="38" s="1"/>
  <c r="AA1257" i="38"/>
  <c r="O90" i="70"/>
  <c r="O101" i="70" s="1"/>
  <c r="U1150" i="38"/>
  <c r="V1150" i="38" s="1"/>
  <c r="AA1150" i="38"/>
  <c r="W1389" i="38"/>
  <c r="R40" i="12"/>
  <c r="O26" i="42" s="1"/>
  <c r="AA1459" i="38"/>
  <c r="U1459" i="38"/>
  <c r="V1459" i="38" s="1"/>
  <c r="V1810" i="38"/>
  <c r="S89" i="72"/>
  <c r="AA1259" i="38"/>
  <c r="U1259" i="38"/>
  <c r="V1796" i="38"/>
  <c r="U1619" i="38"/>
  <c r="V1619" i="38" s="1"/>
  <c r="AA1619" i="38"/>
  <c r="U1239" i="38"/>
  <c r="AA1239" i="38"/>
  <c r="AB787" i="38"/>
  <c r="V1530" i="38"/>
  <c r="S66" i="72"/>
  <c r="W1623" i="38"/>
  <c r="N35" i="70"/>
  <c r="N54" i="70"/>
  <c r="N70" i="70" s="1"/>
  <c r="N108" i="70"/>
  <c r="V960" i="38"/>
  <c r="P93" i="72"/>
  <c r="V1812" i="38"/>
  <c r="S94" i="72"/>
  <c r="V847" i="38"/>
  <c r="P21" i="72"/>
  <c r="AC1018" i="38"/>
  <c r="AB1018" i="38" s="1"/>
  <c r="U1076" i="38"/>
  <c r="AA1076" i="38"/>
  <c r="AA1280" i="38"/>
  <c r="U1280" i="38"/>
  <c r="U1126" i="38"/>
  <c r="AA1126" i="38"/>
  <c r="V1768" i="38"/>
  <c r="W1554" i="38"/>
  <c r="R165" i="12"/>
  <c r="AC26" i="45" s="1"/>
  <c r="W1603" i="38"/>
  <c r="U1165" i="38"/>
  <c r="AA1165" i="38"/>
  <c r="R432" i="37"/>
  <c r="O34" i="70"/>
  <c r="N195" i="72"/>
  <c r="S416" i="37"/>
  <c r="S371" i="37"/>
  <c r="W1609" i="38"/>
  <c r="R160" i="12"/>
  <c r="AC21" i="45" s="1"/>
  <c r="N111" i="70"/>
  <c r="N15" i="76"/>
  <c r="V1762" i="38"/>
  <c r="AA1175" i="38"/>
  <c r="U1175" i="38"/>
  <c r="W1411" i="38"/>
  <c r="AC1872" i="38"/>
  <c r="AB1872" i="38" s="1"/>
  <c r="N125" i="72"/>
  <c r="W1626" i="38"/>
  <c r="S52" i="72"/>
  <c r="V1758" i="38"/>
  <c r="W1746" i="38"/>
  <c r="S342" i="37"/>
  <c r="S429" i="37"/>
  <c r="AC1364" i="38"/>
  <c r="AB1364" i="38" s="1"/>
  <c r="V1646" i="38"/>
  <c r="AC1344" i="38"/>
  <c r="AB1344" i="38" s="1"/>
  <c r="AA1307" i="38"/>
  <c r="U1307" i="38"/>
  <c r="AA1625" i="38"/>
  <c r="U1625" i="38"/>
  <c r="V1625" i="38" s="1"/>
  <c r="AA1542" i="38"/>
  <c r="U1542" i="38"/>
  <c r="V1542" i="38" s="1"/>
  <c r="AA1635" i="38"/>
  <c r="U1635" i="38"/>
  <c r="V1635" i="38" s="1"/>
  <c r="V1522" i="38"/>
  <c r="R371" i="37"/>
  <c r="AC776" i="38"/>
  <c r="O84" i="70"/>
  <c r="O85" i="70" s="1"/>
  <c r="W1682" i="38"/>
  <c r="P29" i="76"/>
  <c r="W1824" i="38"/>
  <c r="AA1346" i="38"/>
  <c r="U1346" i="38"/>
  <c r="V1346" i="38" s="1"/>
  <c r="AA1096" i="38"/>
  <c r="U1096" i="38"/>
  <c r="AB1305" i="38"/>
  <c r="R87" i="12"/>
  <c r="R69" i="72"/>
  <c r="R54" i="12"/>
  <c r="AA1092" i="38"/>
  <c r="U1092" i="38"/>
  <c r="V1092" i="38" s="1"/>
  <c r="N183" i="72"/>
  <c r="N98" i="72"/>
  <c r="N187" i="72"/>
  <c r="N179" i="72"/>
  <c r="N180" i="72"/>
  <c r="N186" i="72"/>
  <c r="AA1859" i="38"/>
  <c r="U1859" i="38"/>
  <c r="V1859" i="38" s="1"/>
  <c r="AA1088" i="38"/>
  <c r="U1088" i="38"/>
  <c r="W1720" i="38"/>
  <c r="S37" i="12"/>
  <c r="W1484" i="38"/>
  <c r="U1235" i="38"/>
  <c r="AA1235" i="38"/>
  <c r="Q55" i="72"/>
  <c r="R33" i="72"/>
  <c r="R59" i="72"/>
  <c r="V1472" i="38"/>
  <c r="R26" i="72"/>
  <c r="AA1169" i="38"/>
  <c r="U1169" i="38"/>
  <c r="V1169" i="38" s="1"/>
  <c r="AA1171" i="38"/>
  <c r="U1171" i="38"/>
  <c r="V1171" i="38" s="1"/>
  <c r="R128" i="12"/>
  <c r="AC11" i="45" s="1"/>
  <c r="AE11" i="45" s="1"/>
  <c r="W1524" i="38"/>
  <c r="R38" i="12"/>
  <c r="O24" i="42" s="1"/>
  <c r="N126" i="72"/>
  <c r="V1648" i="38"/>
  <c r="R372" i="37"/>
  <c r="V982" i="38"/>
  <c r="P106" i="72"/>
  <c r="O197" i="72"/>
  <c r="V1488" i="38"/>
  <c r="U1251" i="38"/>
  <c r="AA1251" i="38"/>
  <c r="W1621" i="38"/>
  <c r="N122" i="72"/>
  <c r="P103" i="72"/>
  <c r="V912" i="38"/>
  <c r="V1778" i="38"/>
  <c r="R52" i="72"/>
  <c r="V1475" i="38"/>
  <c r="U1163" i="38"/>
  <c r="AA1163" i="38"/>
  <c r="AB1315" i="38"/>
  <c r="U1822" i="38"/>
  <c r="V1822" i="38" s="1"/>
  <c r="AA1822" i="38"/>
  <c r="U1613" i="38"/>
  <c r="V1613" i="38" s="1"/>
  <c r="AA1613" i="38"/>
  <c r="P172" i="12"/>
  <c r="P170" i="12"/>
  <c r="AA34" i="45" s="1"/>
  <c r="N200" i="72"/>
  <c r="S341" i="37"/>
  <c r="S428" i="37"/>
  <c r="S18" i="37"/>
  <c r="S372" i="37"/>
  <c r="R129" i="12"/>
  <c r="AC12" i="45" s="1"/>
  <c r="W1528" i="38"/>
  <c r="U1734" i="38"/>
  <c r="V1734" i="38" s="1"/>
  <c r="AA1734" i="38"/>
  <c r="R25" i="72"/>
  <c r="V1516" i="38"/>
  <c r="U1140" i="38"/>
  <c r="V1140" i="38" s="1"/>
  <c r="AA1140" i="38"/>
  <c r="AA1457" i="38"/>
  <c r="U1457" i="38"/>
  <c r="V1457" i="38" s="1"/>
  <c r="V873" i="38"/>
  <c r="P20" i="72"/>
  <c r="P46" i="72"/>
  <c r="O27" i="72"/>
  <c r="O125" i="72" s="1"/>
  <c r="AA1722" i="38"/>
  <c r="U1722" i="38"/>
  <c r="V1722" i="38" s="1"/>
  <c r="AA1453" i="38"/>
  <c r="U1453" i="38"/>
  <c r="V1453" i="38" s="1"/>
  <c r="AA1469" i="38"/>
  <c r="AA1336" i="38"/>
  <c r="U1336" i="38"/>
  <c r="V1336" i="38" s="1"/>
  <c r="R373" i="37"/>
  <c r="AA1326" i="38"/>
  <c r="U1326" i="38"/>
  <c r="V1326" i="38" s="1"/>
  <c r="U1288" i="38"/>
  <c r="V1288" i="38" s="1"/>
  <c r="AA1288" i="38"/>
  <c r="W1742" i="38"/>
  <c r="Q242" i="37"/>
  <c r="Q329" i="37"/>
  <c r="W1832" i="38"/>
  <c r="U1645" i="38"/>
  <c r="V1645" i="38" s="1"/>
  <c r="AC1880" i="38"/>
  <c r="AB1880" i="38" s="1"/>
  <c r="V1696" i="38"/>
  <c r="V1084" i="38"/>
  <c r="U1253" i="38"/>
  <c r="AA1253" i="38"/>
  <c r="W1538" i="38"/>
  <c r="R126" i="12"/>
  <c r="AC9" i="45" s="1"/>
  <c r="O200" i="72"/>
  <c r="AA1213" i="38"/>
  <c r="U1213" i="38"/>
  <c r="AC1644" i="38"/>
  <c r="AB1644" i="38" s="1"/>
  <c r="O96" i="72"/>
  <c r="O182" i="72" s="1"/>
  <c r="W1463" i="38"/>
  <c r="AA1678" i="38"/>
  <c r="U1678" i="38"/>
  <c r="AC1358" i="38"/>
  <c r="AB1358" i="38" s="1"/>
  <c r="V1866" i="38"/>
  <c r="V1774" i="38"/>
  <c r="S110" i="72"/>
  <c r="AA1318" i="38"/>
  <c r="U1318" i="38"/>
  <c r="V1318" i="38" s="1"/>
  <c r="U1328" i="38"/>
  <c r="V1328" i="38" s="1"/>
  <c r="AA1328" i="38"/>
  <c r="R343" i="37"/>
  <c r="W1439" i="38"/>
  <c r="R37" i="12"/>
  <c r="W1766" i="38"/>
  <c r="P89" i="70"/>
  <c r="P32" i="76"/>
  <c r="V1500" i="38"/>
  <c r="AC1324" i="38"/>
  <c r="AB1324" i="38" s="1"/>
  <c r="V966" i="38"/>
  <c r="P91" i="72"/>
  <c r="AC1632" i="38"/>
  <c r="AB1632" i="38" s="1"/>
  <c r="W1587" i="38"/>
  <c r="U1100" i="38"/>
  <c r="AA1100" i="38"/>
  <c r="W1486" i="38"/>
  <c r="P92" i="72"/>
  <c r="V956" i="38"/>
  <c r="P47" i="72"/>
  <c r="S84" i="12"/>
  <c r="U1881" i="38"/>
  <c r="V1881" i="38" s="1"/>
  <c r="AA1881" i="38"/>
  <c r="W1480" i="38"/>
  <c r="R159" i="12"/>
  <c r="N38" i="42"/>
  <c r="U1748" i="38"/>
  <c r="V1748" i="38" s="1"/>
  <c r="AA1748" i="38"/>
  <c r="V1780" i="38"/>
  <c r="AA1403" i="38"/>
  <c r="AC1022" i="38"/>
  <c r="AB1022" i="38" s="1"/>
  <c r="AC1012" i="38"/>
  <c r="AA1879" i="38"/>
  <c r="U1879" i="38"/>
  <c r="V1879" i="38" s="1"/>
  <c r="R67" i="72"/>
  <c r="R133" i="12"/>
  <c r="AC15" i="45" s="1"/>
  <c r="R85" i="12"/>
  <c r="AA1732" i="38"/>
  <c r="U1732" i="38"/>
  <c r="V1732" i="38" s="1"/>
  <c r="AC1629" i="38"/>
  <c r="AB1629" i="38" s="1"/>
  <c r="W1552" i="38"/>
  <c r="V999" i="38"/>
  <c r="P105" i="72"/>
  <c r="N120" i="72"/>
  <c r="M58" i="18"/>
  <c r="P58" i="12"/>
  <c r="Z33" i="45"/>
  <c r="W1692" i="38"/>
  <c r="W1670" i="38"/>
  <c r="S40" i="12"/>
  <c r="P26" i="42" s="1"/>
  <c r="Q26" i="42" s="1"/>
  <c r="W1409" i="38"/>
  <c r="W1597" i="38"/>
  <c r="V1415" i="38"/>
  <c r="W1401" i="38"/>
  <c r="AC1043" i="38"/>
  <c r="AB1043" i="38" s="1"/>
  <c r="V1802" i="38"/>
  <c r="P134" i="12"/>
  <c r="P136" i="12"/>
  <c r="W1818" i="38"/>
  <c r="S126" i="12"/>
  <c r="AC1642" i="38"/>
  <c r="AB1642" i="38" s="1"/>
  <c r="W1633" i="38"/>
  <c r="O174" i="72"/>
  <c r="V1482" i="38"/>
  <c r="P23" i="72"/>
  <c r="V831" i="38"/>
  <c r="AB1020" i="38"/>
  <c r="N197" i="72"/>
  <c r="AA1750" i="38"/>
  <c r="U1750" i="38"/>
  <c r="V1750" i="38" s="1"/>
  <c r="U1724" i="38"/>
  <c r="V1724" i="38" s="1"/>
  <c r="AA1724" i="38"/>
  <c r="AB1628" i="38"/>
  <c r="W1490" i="38"/>
  <c r="R163" i="12"/>
  <c r="AC24" i="45" s="1"/>
  <c r="S38" i="72"/>
  <c r="V1842" i="38"/>
  <c r="W1476" i="38"/>
  <c r="R164" i="12"/>
  <c r="AC25" i="45" s="1"/>
  <c r="R39" i="12"/>
  <c r="O25" i="42" s="1"/>
  <c r="W1550" i="38"/>
  <c r="R162" i="12"/>
  <c r="AC23" i="45" s="1"/>
  <c r="R84" i="12"/>
  <c r="R66" i="72"/>
  <c r="V823" i="38"/>
  <c r="P24" i="72"/>
  <c r="P33" i="70"/>
  <c r="P34" i="72"/>
  <c r="P49" i="72"/>
  <c r="S159" i="12"/>
  <c r="W1760" i="38"/>
  <c r="AA1740" i="38"/>
  <c r="R38" i="72"/>
  <c r="V1562" i="38"/>
  <c r="AA1688" i="38"/>
  <c r="U1688" i="38"/>
  <c r="V1688" i="38" s="1"/>
  <c r="U1861" i="38"/>
  <c r="V1861" i="38" s="1"/>
  <c r="AA1861" i="38"/>
  <c r="O57" i="72"/>
  <c r="O60" i="72" s="1"/>
  <c r="O148" i="72" s="1"/>
  <c r="Q241" i="37"/>
  <c r="Q328" i="37"/>
  <c r="AA1334" i="38"/>
  <c r="U1334" i="38"/>
  <c r="V1334" i="38" s="1"/>
  <c r="W1830" i="38"/>
  <c r="S162" i="12"/>
  <c r="AD23" i="45" s="1"/>
  <c r="W1680" i="38"/>
  <c r="P30" i="76"/>
  <c r="Q77" i="72"/>
  <c r="Q80" i="72" s="1"/>
  <c r="Q162" i="72" s="1"/>
  <c r="W1808" i="38"/>
  <c r="S129" i="12"/>
  <c r="AD12" i="45" s="1"/>
  <c r="AA1816" i="38"/>
  <c r="U1816" i="38"/>
  <c r="V1816" i="38" s="1"/>
  <c r="R330" i="37"/>
  <c r="R255" i="37"/>
  <c r="R243" i="37"/>
  <c r="W1641" i="38"/>
  <c r="N121" i="72"/>
  <c r="N29" i="72"/>
  <c r="N128" i="72"/>
  <c r="N127" i="72"/>
  <c r="N124" i="72"/>
  <c r="AC1634" i="38"/>
  <c r="AB1634" i="38" s="1"/>
  <c r="S87" i="12"/>
  <c r="S54" i="12"/>
  <c r="S69" i="72"/>
  <c r="V1498" i="38"/>
  <c r="W1738" i="38"/>
  <c r="AA14" i="45"/>
  <c r="AA16" i="45" s="1"/>
  <c r="AE6" i="45"/>
  <c r="S414" i="37"/>
  <c r="S420" i="37" s="1"/>
  <c r="S422" i="37" s="1"/>
  <c r="W1451" i="38"/>
  <c r="R414" i="37"/>
  <c r="R420" i="37" s="1"/>
  <c r="R422" i="37" s="1"/>
  <c r="AC1027" i="38"/>
  <c r="W1764" i="38"/>
  <c r="O107" i="70"/>
  <c r="O120" i="70" s="1"/>
  <c r="O50" i="70"/>
  <c r="O51" i="70" s="1"/>
  <c r="W1846" i="38"/>
  <c r="S160" i="12"/>
  <c r="AD21" i="45" s="1"/>
  <c r="V1365" i="38"/>
  <c r="W1595" i="38"/>
  <c r="AA1209" i="38"/>
  <c r="U1209" i="38"/>
  <c r="V1473" i="38"/>
  <c r="R36" i="72"/>
  <c r="N149" i="72"/>
  <c r="N154" i="72"/>
  <c r="N153" i="72"/>
  <c r="N62" i="72"/>
  <c r="N152" i="72"/>
  <c r="N156" i="72"/>
  <c r="V986" i="38"/>
  <c r="P109" i="72"/>
  <c r="U1296" i="38"/>
  <c r="V1296" i="38" s="1"/>
  <c r="AA1296" i="38"/>
  <c r="R169" i="12"/>
  <c r="AC29" i="45" s="1"/>
  <c r="AE29" i="45" s="1"/>
  <c r="R86" i="12"/>
  <c r="R68" i="72"/>
  <c r="R370" i="37"/>
  <c r="N42" i="72"/>
  <c r="N140" i="72"/>
  <c r="N138" i="72"/>
  <c r="N137" i="72"/>
  <c r="N139" i="72"/>
  <c r="N134" i="72"/>
  <c r="W1607" i="38"/>
  <c r="W1465" i="38"/>
  <c r="W1865" i="38"/>
  <c r="O184" i="72"/>
  <c r="V1546" i="38"/>
  <c r="Z34" i="45"/>
  <c r="V843" i="38"/>
  <c r="P35" i="72"/>
  <c r="W1526" i="38"/>
  <c r="W1413" i="38"/>
  <c r="W1581" i="38"/>
  <c r="W1405" i="38"/>
  <c r="D302" i="37" l="1"/>
  <c r="D89" i="28" s="1"/>
  <c r="O122" i="72"/>
  <c r="U1461" i="38"/>
  <c r="V1461" i="38" s="1"/>
  <c r="Q24" i="42"/>
  <c r="AA1820" i="38"/>
  <c r="R381" i="37"/>
  <c r="R384" i="37" s="1"/>
  <c r="R386" i="37" s="1"/>
  <c r="AC1362" i="38"/>
  <c r="AB1362" i="38" s="1"/>
  <c r="P174" i="72"/>
  <c r="AE12" i="45"/>
  <c r="U1443" i="38"/>
  <c r="V1443" i="38" s="1"/>
  <c r="U1407" i="38"/>
  <c r="V1407" i="38" s="1"/>
  <c r="AA1806" i="38"/>
  <c r="AA1684" i="38"/>
  <c r="AA1467" i="38"/>
  <c r="P36" i="76"/>
  <c r="R240" i="37"/>
  <c r="Q22" i="72"/>
  <c r="AE15" i="45"/>
  <c r="R324" i="37"/>
  <c r="R237" i="37"/>
  <c r="Q30" i="76"/>
  <c r="AA1639" i="38"/>
  <c r="AC1639" i="38" s="1"/>
  <c r="AB1639" i="38" s="1"/>
  <c r="S381" i="37"/>
  <c r="S384" i="37" s="1"/>
  <c r="S386" i="37" s="1"/>
  <c r="S436" i="37"/>
  <c r="S438" i="37" s="1"/>
  <c r="O185" i="72"/>
  <c r="O195" i="72"/>
  <c r="AE10" i="45"/>
  <c r="O198" i="72"/>
  <c r="O199" i="72"/>
  <c r="AC1318" i="38"/>
  <c r="AB1318" i="38" s="1"/>
  <c r="AC1326" i="38"/>
  <c r="AB1326" i="38" s="1"/>
  <c r="AC1879" i="38"/>
  <c r="AB1879" i="38" s="1"/>
  <c r="D422" i="37"/>
  <c r="D96" i="28" s="1"/>
  <c r="AE23" i="45"/>
  <c r="Q29" i="76"/>
  <c r="N204" i="72"/>
  <c r="N158" i="72"/>
  <c r="O146" i="72"/>
  <c r="AE26" i="45"/>
  <c r="AC1334" i="38"/>
  <c r="AB1334" i="38" s="1"/>
  <c r="AC1645" i="38"/>
  <c r="AB1645" i="38" s="1"/>
  <c r="N109" i="70"/>
  <c r="N122" i="70" s="1"/>
  <c r="R436" i="37"/>
  <c r="R438" i="37" s="1"/>
  <c r="AE24" i="45"/>
  <c r="AE25" i="45"/>
  <c r="R349" i="37"/>
  <c r="R351" i="37" s="1"/>
  <c r="AC1336" i="38"/>
  <c r="AB1336" i="38" s="1"/>
  <c r="O120" i="72"/>
  <c r="Q240" i="37"/>
  <c r="Q327" i="37"/>
  <c r="U1405" i="38"/>
  <c r="V1405" i="38" s="1"/>
  <c r="AA1405" i="38"/>
  <c r="AA1607" i="38"/>
  <c r="U1607" i="38"/>
  <c r="V1607" i="38" s="1"/>
  <c r="AA1641" i="38"/>
  <c r="U1641" i="38"/>
  <c r="V1641" i="38" s="1"/>
  <c r="U1808" i="38"/>
  <c r="AA1808" i="38"/>
  <c r="R77" i="72"/>
  <c r="R80" i="72" s="1"/>
  <c r="S253" i="37"/>
  <c r="AC20" i="45"/>
  <c r="AC28" i="45" s="1"/>
  <c r="AC30" i="45" s="1"/>
  <c r="R168" i="12"/>
  <c r="O147" i="72"/>
  <c r="P57" i="72"/>
  <c r="P60" i="72" s="1"/>
  <c r="P149" i="72" s="1"/>
  <c r="R327" i="37"/>
  <c r="R253" i="37"/>
  <c r="S55" i="72"/>
  <c r="V1259" i="38"/>
  <c r="Q89" i="72"/>
  <c r="AA1631" i="38"/>
  <c r="U1631" i="38"/>
  <c r="V1631" i="38" s="1"/>
  <c r="AA1534" i="38"/>
  <c r="U1534" i="38"/>
  <c r="P90" i="70"/>
  <c r="P101" i="70" s="1"/>
  <c r="U1397" i="38"/>
  <c r="AA1397" i="38"/>
  <c r="U1853" i="38"/>
  <c r="V1853" i="38" s="1"/>
  <c r="AA1853" i="38"/>
  <c r="Q134" i="12"/>
  <c r="AB33" i="45" s="1"/>
  <c r="Q136" i="12"/>
  <c r="N142" i="72"/>
  <c r="U1764" i="38"/>
  <c r="V1764" i="38" s="1"/>
  <c r="AA1764" i="38"/>
  <c r="U1738" i="38"/>
  <c r="V1738" i="38" s="1"/>
  <c r="AA1738" i="38"/>
  <c r="AA1760" i="38"/>
  <c r="U1760" i="38"/>
  <c r="R95" i="12"/>
  <c r="R98" i="12" s="1"/>
  <c r="R100" i="12" s="1"/>
  <c r="AA1476" i="38"/>
  <c r="U1476" i="38"/>
  <c r="AA33" i="45"/>
  <c r="AA1597" i="38"/>
  <c r="U1597" i="38"/>
  <c r="V1597" i="38" s="1"/>
  <c r="U1692" i="38"/>
  <c r="AA1692" i="38"/>
  <c r="U1480" i="38"/>
  <c r="AA1480" i="38"/>
  <c r="U1766" i="38"/>
  <c r="V1766" i="38" s="1"/>
  <c r="AA1766" i="38"/>
  <c r="AC1328" i="38"/>
  <c r="AB1328" i="38" s="1"/>
  <c r="V1678" i="38"/>
  <c r="AA1538" i="38"/>
  <c r="U1538" i="38"/>
  <c r="AA1528" i="38"/>
  <c r="U1528" i="38"/>
  <c r="V1096" i="38"/>
  <c r="Q35" i="72"/>
  <c r="AB776" i="38"/>
  <c r="Q89" i="70"/>
  <c r="O324" i="37"/>
  <c r="O332" i="37" s="1"/>
  <c r="O334" i="37" s="1"/>
  <c r="O237" i="37"/>
  <c r="O245" i="37" s="1"/>
  <c r="O247" i="37" s="1"/>
  <c r="O254" i="37"/>
  <c r="O260" i="37" s="1"/>
  <c r="O262" i="37" s="1"/>
  <c r="O268" i="37"/>
  <c r="O277" i="37" s="1"/>
  <c r="O280" i="37" s="1"/>
  <c r="O282" i="37" s="1"/>
  <c r="O95" i="70"/>
  <c r="AA1579" i="38"/>
  <c r="U1579" i="38"/>
  <c r="U1814" i="38"/>
  <c r="AA1814" i="38"/>
  <c r="AA1855" i="38"/>
  <c r="U1855" i="38"/>
  <c r="V1855" i="38" s="1"/>
  <c r="U1589" i="38"/>
  <c r="V1589" i="38" s="1"/>
  <c r="AA1589" i="38"/>
  <c r="AA1770" i="38"/>
  <c r="U1770" i="38"/>
  <c r="S349" i="37"/>
  <c r="S351" i="37" s="1"/>
  <c r="D351" i="37" s="1"/>
  <c r="D92" i="28" s="1"/>
  <c r="O121" i="72"/>
  <c r="Q25" i="42"/>
  <c r="U1581" i="38"/>
  <c r="V1581" i="38" s="1"/>
  <c r="AA1581" i="38"/>
  <c r="Q170" i="72"/>
  <c r="Q82" i="72"/>
  <c r="Q169" i="72"/>
  <c r="Q172" i="72"/>
  <c r="Q168" i="72"/>
  <c r="AD20" i="45"/>
  <c r="AD28" i="45" s="1"/>
  <c r="AD30" i="45" s="1"/>
  <c r="S168" i="12"/>
  <c r="U1633" i="38"/>
  <c r="V1633" i="38" s="1"/>
  <c r="AA1633" i="38"/>
  <c r="U1409" i="38"/>
  <c r="AA1409" i="38"/>
  <c r="AA1552" i="38"/>
  <c r="U1552" i="38"/>
  <c r="V1552" i="38" s="1"/>
  <c r="AB1012" i="38"/>
  <c r="Q308" i="37" s="1"/>
  <c r="V1213" i="38"/>
  <c r="Q93" i="72"/>
  <c r="AA1832" i="38"/>
  <c r="U1832" i="38"/>
  <c r="V1832" i="38" s="1"/>
  <c r="R329" i="37"/>
  <c r="R242" i="37"/>
  <c r="AA1626" i="38"/>
  <c r="U1626" i="38"/>
  <c r="AA1554" i="38"/>
  <c r="U1554" i="38"/>
  <c r="V1076" i="38"/>
  <c r="Q24" i="72"/>
  <c r="Q49" i="72"/>
  <c r="Q34" i="72"/>
  <c r="Q33" i="70"/>
  <c r="N121" i="70"/>
  <c r="Q309" i="37"/>
  <c r="Q164" i="72"/>
  <c r="O126" i="72"/>
  <c r="AA1686" i="38"/>
  <c r="U1686" i="38"/>
  <c r="V1686" i="38" s="1"/>
  <c r="Q47" i="72"/>
  <c r="V1219" i="38"/>
  <c r="Q91" i="72"/>
  <c r="U1690" i="38"/>
  <c r="AA1690" i="38"/>
  <c r="V1223" i="38"/>
  <c r="Q90" i="72"/>
  <c r="AC1871" i="38"/>
  <c r="AB1871" i="38" s="1"/>
  <c r="AA1756" i="38"/>
  <c r="U1756" i="38"/>
  <c r="AA1413" i="38"/>
  <c r="U1413" i="38"/>
  <c r="V1413" i="38" s="1"/>
  <c r="AB1027" i="38"/>
  <c r="Q325" i="37" s="1"/>
  <c r="AA1680" i="38"/>
  <c r="U1680" i="38"/>
  <c r="V1680" i="38" s="1"/>
  <c r="R163" i="72"/>
  <c r="AC1881" i="38"/>
  <c r="AB1881" i="38" s="1"/>
  <c r="U1587" i="38"/>
  <c r="V1587" i="38" s="1"/>
  <c r="AA1587" i="38"/>
  <c r="Q88" i="72"/>
  <c r="V1253" i="38"/>
  <c r="Q31" i="76"/>
  <c r="S48" i="12"/>
  <c r="S51" i="12" s="1"/>
  <c r="P23" i="42"/>
  <c r="P33" i="42" s="1"/>
  <c r="P35" i="42" s="1"/>
  <c r="AC1346" i="38"/>
  <c r="AB1346" i="38" s="1"/>
  <c r="V1307" i="38"/>
  <c r="Q83" i="70"/>
  <c r="Q90" i="70" s="1"/>
  <c r="Q101" i="70" s="1"/>
  <c r="N72" i="70"/>
  <c r="O69" i="70" s="1"/>
  <c r="U1389" i="38"/>
  <c r="AA1389" i="38"/>
  <c r="AA1536" i="38"/>
  <c r="U1536" i="38"/>
  <c r="V1536" i="38" s="1"/>
  <c r="AA1804" i="38"/>
  <c r="U1804" i="38"/>
  <c r="U1869" i="38"/>
  <c r="AA1869" i="38"/>
  <c r="O140" i="72"/>
  <c r="O42" i="72"/>
  <c r="O137" i="72"/>
  <c r="O138" i="72"/>
  <c r="O139" i="72"/>
  <c r="O134" i="72"/>
  <c r="AA1526" i="38"/>
  <c r="U1526" i="38"/>
  <c r="V1526" i="38" s="1"/>
  <c r="P40" i="72"/>
  <c r="P135" i="72" s="1"/>
  <c r="U1550" i="38"/>
  <c r="AA1550" i="38"/>
  <c r="Q165" i="72"/>
  <c r="V1403" i="38"/>
  <c r="U1486" i="38"/>
  <c r="V1486" i="38" s="1"/>
  <c r="AA1486" i="38"/>
  <c r="R48" i="12"/>
  <c r="R51" i="12" s="1"/>
  <c r="O23" i="42"/>
  <c r="U1463" i="38"/>
  <c r="V1463" i="38" s="1"/>
  <c r="AA1463" i="38"/>
  <c r="Q108" i="72"/>
  <c r="V1163" i="38"/>
  <c r="Q48" i="72"/>
  <c r="AA1621" i="38"/>
  <c r="U1621" i="38"/>
  <c r="V1621" i="38" s="1"/>
  <c r="U1720" i="38"/>
  <c r="AA1720" i="38"/>
  <c r="N189" i="72"/>
  <c r="O38" i="42"/>
  <c r="N16" i="76"/>
  <c r="N53" i="76"/>
  <c r="N54" i="76"/>
  <c r="N52" i="76"/>
  <c r="N50" i="76"/>
  <c r="N49" i="76"/>
  <c r="N51" i="76"/>
  <c r="O35" i="70"/>
  <c r="O109" i="70" s="1"/>
  <c r="O108" i="70"/>
  <c r="O54" i="70"/>
  <c r="O70" i="70" s="1"/>
  <c r="O72" i="70" s="1"/>
  <c r="P69" i="70" s="1"/>
  <c r="O91" i="70"/>
  <c r="V1239" i="38"/>
  <c r="Q109" i="72"/>
  <c r="AA1851" i="38"/>
  <c r="U1851" i="38"/>
  <c r="P27" i="72"/>
  <c r="P126" i="72" s="1"/>
  <c r="U1615" i="38"/>
  <c r="V1615" i="38" s="1"/>
  <c r="AA1615" i="38"/>
  <c r="AA1399" i="38"/>
  <c r="U1399" i="38"/>
  <c r="V1399" i="38" s="1"/>
  <c r="U1540" i="38"/>
  <c r="V1540" i="38" s="1"/>
  <c r="AA1540" i="38"/>
  <c r="AA1441" i="38"/>
  <c r="U1441" i="38"/>
  <c r="V1441" i="38" s="1"/>
  <c r="O135" i="72"/>
  <c r="R164" i="72"/>
  <c r="Q92" i="72"/>
  <c r="V1209" i="38"/>
  <c r="U1846" i="38"/>
  <c r="AA1846" i="38"/>
  <c r="U1451" i="38"/>
  <c r="V1451" i="38" s="1"/>
  <c r="AA1451" i="38"/>
  <c r="O149" i="72"/>
  <c r="O62" i="72"/>
  <c r="O153" i="72"/>
  <c r="O154" i="72"/>
  <c r="O156" i="72"/>
  <c r="O152" i="72"/>
  <c r="P107" i="70"/>
  <c r="P120" i="70" s="1"/>
  <c r="P50" i="70"/>
  <c r="P51" i="70" s="1"/>
  <c r="P53" i="70" s="1"/>
  <c r="P58" i="70" s="1"/>
  <c r="S243" i="37"/>
  <c r="S255" i="37"/>
  <c r="S330" i="37"/>
  <c r="O183" i="72"/>
  <c r="O98" i="72"/>
  <c r="O179" i="72"/>
  <c r="O180" i="72"/>
  <c r="O187" i="72"/>
  <c r="O186" i="72"/>
  <c r="O181" i="72"/>
  <c r="Q23" i="72"/>
  <c r="V1235" i="38"/>
  <c r="Q106" i="72"/>
  <c r="R165" i="72"/>
  <c r="AA1824" i="38"/>
  <c r="U1824" i="38"/>
  <c r="V1824" i="38" s="1"/>
  <c r="AC1635" i="38"/>
  <c r="AB1635" i="38" s="1"/>
  <c r="AA1411" i="38"/>
  <c r="U1411" i="38"/>
  <c r="N53" i="12"/>
  <c r="N123" i="70"/>
  <c r="AA1623" i="38"/>
  <c r="U1623" i="38"/>
  <c r="V1623" i="38" s="1"/>
  <c r="N116" i="70"/>
  <c r="N16" i="70" s="1"/>
  <c r="N64" i="70"/>
  <c r="AA1694" i="38"/>
  <c r="U1694" i="38"/>
  <c r="V1694" i="38" s="1"/>
  <c r="O196" i="72"/>
  <c r="O202" i="72"/>
  <c r="O114" i="72"/>
  <c r="O201" i="72"/>
  <c r="N58" i="18"/>
  <c r="Q58" i="12"/>
  <c r="AA1568" i="38"/>
  <c r="U1568" i="38"/>
  <c r="U1865" i="38"/>
  <c r="V1865" i="38" s="1"/>
  <c r="AA1865" i="38"/>
  <c r="P38" i="42"/>
  <c r="AA1490" i="38"/>
  <c r="U1490" i="38"/>
  <c r="AD9" i="45"/>
  <c r="S132" i="12"/>
  <c r="U1401" i="38"/>
  <c r="AA1401" i="38"/>
  <c r="N130" i="72"/>
  <c r="U1439" i="38"/>
  <c r="AA1439" i="38"/>
  <c r="R55" i="72"/>
  <c r="V1251" i="38"/>
  <c r="Q104" i="72"/>
  <c r="AA1524" i="38"/>
  <c r="U1524" i="38"/>
  <c r="V1088" i="38"/>
  <c r="Q19" i="72"/>
  <c r="U1746" i="38"/>
  <c r="V1746" i="38" s="1"/>
  <c r="AA1746" i="38"/>
  <c r="Q107" i="72"/>
  <c r="V1175" i="38"/>
  <c r="AE21" i="45"/>
  <c r="Q103" i="72"/>
  <c r="V1165" i="38"/>
  <c r="V1126" i="38"/>
  <c r="Q20" i="72"/>
  <c r="Q46" i="72"/>
  <c r="S77" i="72"/>
  <c r="S80" i="72" s="1"/>
  <c r="S165" i="72" s="1"/>
  <c r="Q18" i="72"/>
  <c r="AA1834" i="38"/>
  <c r="U1834" i="38"/>
  <c r="P96" i="72"/>
  <c r="P182" i="72" s="1"/>
  <c r="N118" i="70"/>
  <c r="N18" i="70" s="1"/>
  <c r="O62" i="70"/>
  <c r="Q236" i="37"/>
  <c r="Q307" i="37"/>
  <c r="Q172" i="12"/>
  <c r="Q170" i="12"/>
  <c r="AB34" i="45" s="1"/>
  <c r="AC8" i="45"/>
  <c r="AE8" i="45" s="1"/>
  <c r="R132" i="12"/>
  <c r="U1465" i="38"/>
  <c r="V1465" i="38" s="1"/>
  <c r="AA1465" i="38"/>
  <c r="AA1595" i="38"/>
  <c r="U1595" i="38"/>
  <c r="V1595" i="38" s="1"/>
  <c r="O53" i="70"/>
  <c r="O58" i="70" s="1"/>
  <c r="O15" i="76"/>
  <c r="O111" i="70"/>
  <c r="U1830" i="38"/>
  <c r="AA1830" i="38"/>
  <c r="P34" i="70"/>
  <c r="U1818" i="38"/>
  <c r="AA1818" i="38"/>
  <c r="U1670" i="38"/>
  <c r="AA1670" i="38"/>
  <c r="S95" i="12"/>
  <c r="S98" i="12" s="1"/>
  <c r="S100" i="12" s="1"/>
  <c r="D100" i="12" s="1"/>
  <c r="D53" i="28" s="1"/>
  <c r="V1100" i="38"/>
  <c r="Q21" i="72"/>
  <c r="AC1866" i="38"/>
  <c r="AB1866" i="38" s="1"/>
  <c r="U1742" i="38"/>
  <c r="V1742" i="38" s="1"/>
  <c r="AA1742" i="38"/>
  <c r="O124" i="72"/>
  <c r="O29" i="72"/>
  <c r="O128" i="72"/>
  <c r="O127" i="72"/>
  <c r="O123" i="72"/>
  <c r="U1484" i="38"/>
  <c r="V1484" i="38" s="1"/>
  <c r="AA1484" i="38"/>
  <c r="Q32" i="76"/>
  <c r="AA1682" i="38"/>
  <c r="U1682" i="38"/>
  <c r="U1609" i="38"/>
  <c r="AA1609" i="38"/>
  <c r="Q163" i="72"/>
  <c r="AA1603" i="38"/>
  <c r="U1603" i="38"/>
  <c r="V1603" i="38" s="1"/>
  <c r="V1280" i="38"/>
  <c r="Q105" i="72"/>
  <c r="AE22" i="45"/>
  <c r="P112" i="72"/>
  <c r="P198" i="72" s="1"/>
  <c r="Q87" i="72"/>
  <c r="V1255" i="38"/>
  <c r="AA1744" i="38"/>
  <c r="U1744" i="38"/>
  <c r="V1744" i="38" s="1"/>
  <c r="P84" i="70"/>
  <c r="AC1010" i="38"/>
  <c r="AA1544" i="38"/>
  <c r="U1544" i="38"/>
  <c r="V1544" i="38" s="1"/>
  <c r="D386" i="37" l="1"/>
  <c r="D94" i="28" s="1"/>
  <c r="R325" i="37"/>
  <c r="R268" i="37"/>
  <c r="D438" i="37"/>
  <c r="D97" i="28" s="1"/>
  <c r="S30" i="76"/>
  <c r="Q267" i="37"/>
  <c r="N20" i="70"/>
  <c r="P199" i="72"/>
  <c r="P125" i="72"/>
  <c r="O158" i="72"/>
  <c r="O130" i="72"/>
  <c r="P148" i="72"/>
  <c r="Q238" i="37"/>
  <c r="R49" i="72"/>
  <c r="R22" i="72"/>
  <c r="P123" i="72"/>
  <c r="O71" i="70"/>
  <c r="Q174" i="72"/>
  <c r="O204" i="72"/>
  <c r="Q36" i="76"/>
  <c r="AE20" i="45"/>
  <c r="AE28" i="45" s="1"/>
  <c r="AE30" i="45" s="1"/>
  <c r="P147" i="72"/>
  <c r="Q38" i="42"/>
  <c r="O189" i="72"/>
  <c r="P54" i="70"/>
  <c r="P70" i="70" s="1"/>
  <c r="P72" i="70" s="1"/>
  <c r="Q69" i="70" s="1"/>
  <c r="P15" i="76"/>
  <c r="P111" i="70"/>
  <c r="N250" i="76"/>
  <c r="N316" i="76" s="1"/>
  <c r="N249" i="76"/>
  <c r="O33" i="42"/>
  <c r="O35" i="42" s="1"/>
  <c r="Q23" i="42"/>
  <c r="Q33" i="42" s="1"/>
  <c r="Q35" i="42" s="1"/>
  <c r="R328" i="37"/>
  <c r="V1756" i="38"/>
  <c r="S108" i="72"/>
  <c r="S48" i="72"/>
  <c r="V1690" i="38"/>
  <c r="S35" i="72"/>
  <c r="R83" i="70"/>
  <c r="V1626" i="38"/>
  <c r="Q316" i="37"/>
  <c r="Q318" i="37" s="1"/>
  <c r="V1814" i="38"/>
  <c r="S91" i="72"/>
  <c r="V1528" i="38"/>
  <c r="R93" i="72"/>
  <c r="V1692" i="38"/>
  <c r="S21" i="72"/>
  <c r="V1760" i="38"/>
  <c r="S103" i="72"/>
  <c r="V1397" i="38"/>
  <c r="R23" i="72"/>
  <c r="R162" i="72"/>
  <c r="R169" i="72"/>
  <c r="R82" i="72"/>
  <c r="R170" i="72"/>
  <c r="R168" i="72"/>
  <c r="R172" i="72"/>
  <c r="S89" i="70"/>
  <c r="S32" i="76"/>
  <c r="O53" i="12"/>
  <c r="O123" i="70"/>
  <c r="P71" i="70"/>
  <c r="N230" i="76"/>
  <c r="N311" i="76" s="1"/>
  <c r="N229" i="76"/>
  <c r="R58" i="12"/>
  <c r="O58" i="18"/>
  <c r="S31" i="76"/>
  <c r="Q50" i="70"/>
  <c r="Q51" i="70" s="1"/>
  <c r="Q107" i="70"/>
  <c r="Q120" i="70" s="1"/>
  <c r="S240" i="37"/>
  <c r="S327" i="37"/>
  <c r="V1579" i="38"/>
  <c r="R105" i="72"/>
  <c r="P146" i="72"/>
  <c r="P153" i="72"/>
  <c r="P154" i="72"/>
  <c r="P62" i="72"/>
  <c r="P156" i="72"/>
  <c r="P152" i="72"/>
  <c r="K37" i="42"/>
  <c r="K40" i="42" s="1"/>
  <c r="N56" i="12"/>
  <c r="Q96" i="72"/>
  <c r="Q183" i="72" s="1"/>
  <c r="V1818" i="38"/>
  <c r="S90" i="72"/>
  <c r="P98" i="72"/>
  <c r="P180" i="72"/>
  <c r="P179" i="72"/>
  <c r="P187" i="72"/>
  <c r="P181" i="72"/>
  <c r="P186" i="72"/>
  <c r="V1411" i="38"/>
  <c r="R21" i="72"/>
  <c r="P124" i="72"/>
  <c r="P29" i="72"/>
  <c r="P127" i="72"/>
  <c r="P128" i="72"/>
  <c r="P120" i="72"/>
  <c r="P121" i="72"/>
  <c r="O121" i="70"/>
  <c r="O122" i="70"/>
  <c r="N60" i="76"/>
  <c r="N64" i="76"/>
  <c r="N63" i="76"/>
  <c r="N62" i="76"/>
  <c r="N216" i="76" s="1"/>
  <c r="N218" i="76" s="1"/>
  <c r="N61" i="76"/>
  <c r="N59" i="76"/>
  <c r="Q57" i="72"/>
  <c r="Q60" i="72" s="1"/>
  <c r="Q148" i="72" s="1"/>
  <c r="R89" i="70"/>
  <c r="R32" i="76"/>
  <c r="AC1307" i="38"/>
  <c r="Q84" i="70"/>
  <c r="Q40" i="72"/>
  <c r="Q135" i="72" s="1"/>
  <c r="S18" i="72"/>
  <c r="P200" i="72"/>
  <c r="P122" i="72"/>
  <c r="AC1631" i="38"/>
  <c r="O60" i="70"/>
  <c r="O65" i="70" s="1"/>
  <c r="P62" i="70" s="1"/>
  <c r="O63" i="70"/>
  <c r="O116" i="70" s="1"/>
  <c r="O16" i="70" s="1"/>
  <c r="AC14" i="45"/>
  <c r="AC16" i="45" s="1"/>
  <c r="P35" i="70"/>
  <c r="P108" i="70"/>
  <c r="V1401" i="38"/>
  <c r="R19" i="72"/>
  <c r="V1851" i="38"/>
  <c r="S105" i="72"/>
  <c r="O142" i="72"/>
  <c r="V1869" i="38"/>
  <c r="S83" i="70"/>
  <c r="S90" i="70" s="1"/>
  <c r="S101" i="70" s="1"/>
  <c r="V1389" i="38"/>
  <c r="R24" i="72"/>
  <c r="R34" i="72"/>
  <c r="R33" i="70"/>
  <c r="V1770" i="38"/>
  <c r="S107" i="72"/>
  <c r="O102" i="70"/>
  <c r="O103" i="70" s="1"/>
  <c r="P100" i="70" s="1"/>
  <c r="O25" i="70"/>
  <c r="O17" i="37" s="1"/>
  <c r="V1538" i="38"/>
  <c r="R90" i="72"/>
  <c r="V1808" i="38"/>
  <c r="S93" i="72"/>
  <c r="V1670" i="38"/>
  <c r="S24" i="72"/>
  <c r="S33" i="70"/>
  <c r="S34" i="72"/>
  <c r="S49" i="72"/>
  <c r="O51" i="76"/>
  <c r="O16" i="76"/>
  <c r="O53" i="76"/>
  <c r="O50" i="76"/>
  <c r="O52" i="76"/>
  <c r="O49" i="76"/>
  <c r="O54" i="76"/>
  <c r="AB1010" i="38"/>
  <c r="V1834" i="38"/>
  <c r="S109" i="72"/>
  <c r="S134" i="12"/>
  <c r="S136" i="12"/>
  <c r="V1568" i="38"/>
  <c r="R89" i="72"/>
  <c r="N170" i="76"/>
  <c r="N297" i="76" s="1"/>
  <c r="N165" i="76"/>
  <c r="N292" i="76" s="1"/>
  <c r="N171" i="76"/>
  <c r="N298" i="76" s="1"/>
  <c r="N161" i="76"/>
  <c r="N288" i="76" s="1"/>
  <c r="N173" i="76"/>
  <c r="N300" i="76" s="1"/>
  <c r="N163" i="76"/>
  <c r="N290" i="76" s="1"/>
  <c r="N164" i="76"/>
  <c r="N291" i="76" s="1"/>
  <c r="N159" i="76"/>
  <c r="N286" i="76" s="1"/>
  <c r="N157" i="76"/>
  <c r="N284" i="76" s="1"/>
  <c r="N166" i="76"/>
  <c r="N293" i="76" s="1"/>
  <c r="N156" i="76"/>
  <c r="N160" i="76"/>
  <c r="N287" i="76" s="1"/>
  <c r="N167" i="76"/>
  <c r="N294" i="76" s="1"/>
  <c r="N172" i="76"/>
  <c r="N299" i="76" s="1"/>
  <c r="N168" i="76"/>
  <c r="N295" i="76" s="1"/>
  <c r="N169" i="76"/>
  <c r="N296" i="76" s="1"/>
  <c r="N162" i="76"/>
  <c r="N289" i="76" s="1"/>
  <c r="N158" i="76"/>
  <c r="N285" i="76" s="1"/>
  <c r="N174" i="76"/>
  <c r="N301" i="76" s="1"/>
  <c r="N175" i="76"/>
  <c r="N302" i="76" s="1"/>
  <c r="N326" i="76"/>
  <c r="P184" i="72"/>
  <c r="N71" i="70"/>
  <c r="Q185" i="72"/>
  <c r="V1409" i="38"/>
  <c r="R35" i="72"/>
  <c r="R18" i="72"/>
  <c r="P95" i="70"/>
  <c r="P238" i="37"/>
  <c r="P245" i="37" s="1"/>
  <c r="P247" i="37" s="1"/>
  <c r="P254" i="37"/>
  <c r="P260" i="37" s="1"/>
  <c r="P262" i="37" s="1"/>
  <c r="P268" i="37"/>
  <c r="P277" i="37" s="1"/>
  <c r="P280" i="37" s="1"/>
  <c r="P282" i="37" s="1"/>
  <c r="P325" i="37"/>
  <c r="P332" i="37" s="1"/>
  <c r="P334" i="37" s="1"/>
  <c r="V1476" i="38"/>
  <c r="R108" i="72"/>
  <c r="R48" i="72"/>
  <c r="AC1641" i="38"/>
  <c r="AB1641" i="38" s="1"/>
  <c r="S162" i="72"/>
  <c r="S170" i="72"/>
  <c r="S169" i="72"/>
  <c r="S82" i="72"/>
  <c r="D82" i="72" s="1"/>
  <c r="D63" i="28" s="1"/>
  <c r="S172" i="72"/>
  <c r="S168" i="72"/>
  <c r="Q112" i="72"/>
  <c r="Q196" i="72" s="1"/>
  <c r="R29" i="76"/>
  <c r="AD14" i="45"/>
  <c r="AD16" i="45" s="1"/>
  <c r="AE9" i="45"/>
  <c r="AE14" i="45" s="1"/>
  <c r="AE16" i="45" s="1"/>
  <c r="S163" i="72"/>
  <c r="N56" i="76"/>
  <c r="N76" i="76"/>
  <c r="N324" i="76"/>
  <c r="V1550" i="38"/>
  <c r="R106" i="72"/>
  <c r="V1804" i="38"/>
  <c r="S92" i="72"/>
  <c r="S47" i="72"/>
  <c r="S58" i="12"/>
  <c r="D58" i="12" s="1"/>
  <c r="D51" i="28" s="1"/>
  <c r="P58" i="18"/>
  <c r="Q34" i="70"/>
  <c r="Q136" i="72"/>
  <c r="S23" i="72"/>
  <c r="R31" i="76"/>
  <c r="V1534" i="38"/>
  <c r="R91" i="72"/>
  <c r="R170" i="12"/>
  <c r="AC34" i="45" s="1"/>
  <c r="R172" i="12"/>
  <c r="P91" i="70"/>
  <c r="P85" i="70"/>
  <c r="P109" i="70" s="1"/>
  <c r="P197" i="72"/>
  <c r="P114" i="72"/>
  <c r="P202" i="72"/>
  <c r="P201" i="72"/>
  <c r="P195" i="72"/>
  <c r="V1609" i="38"/>
  <c r="R104" i="72"/>
  <c r="V1830" i="38"/>
  <c r="S106" i="72"/>
  <c r="V1682" i="38"/>
  <c r="S19" i="72"/>
  <c r="P196" i="72"/>
  <c r="R134" i="12"/>
  <c r="R136" i="12"/>
  <c r="D136" i="12" s="1"/>
  <c r="D55" i="28" s="1"/>
  <c r="O115" i="70"/>
  <c r="O15" i="70" s="1"/>
  <c r="O64" i="70"/>
  <c r="Q27" i="72"/>
  <c r="Q121" i="72" s="1"/>
  <c r="R92" i="72"/>
  <c r="V1524" i="38"/>
  <c r="R47" i="72"/>
  <c r="V1439" i="38"/>
  <c r="R20" i="72"/>
  <c r="R46" i="72"/>
  <c r="R107" i="72"/>
  <c r="V1490" i="38"/>
  <c r="P136" i="72"/>
  <c r="P183" i="72"/>
  <c r="V1846" i="38"/>
  <c r="S104" i="72"/>
  <c r="N110" i="76"/>
  <c r="N278" i="76" s="1"/>
  <c r="N106" i="76"/>
  <c r="N274" i="76" s="1"/>
  <c r="N102" i="76"/>
  <c r="N107" i="76"/>
  <c r="N275" i="76" s="1"/>
  <c r="N104" i="76"/>
  <c r="N272" i="76" s="1"/>
  <c r="N109" i="76"/>
  <c r="N277" i="76" s="1"/>
  <c r="N108" i="76"/>
  <c r="N276" i="76" s="1"/>
  <c r="N105" i="76"/>
  <c r="N273" i="76" s="1"/>
  <c r="N111" i="76"/>
  <c r="N279" i="76" s="1"/>
  <c r="N103" i="76"/>
  <c r="N271" i="76" s="1"/>
  <c r="N325" i="76"/>
  <c r="S29" i="76"/>
  <c r="S36" i="76" s="1"/>
  <c r="S164" i="72"/>
  <c r="V1554" i="38"/>
  <c r="R109" i="72"/>
  <c r="P194" i="72"/>
  <c r="AC1633" i="38"/>
  <c r="AB1633" i="38" s="1"/>
  <c r="V1480" i="38"/>
  <c r="R103" i="72"/>
  <c r="R30" i="76"/>
  <c r="P185" i="72"/>
  <c r="N117" i="70"/>
  <c r="N17" i="70" s="1"/>
  <c r="N113" i="70"/>
  <c r="N76" i="70"/>
  <c r="N24" i="70" s="1"/>
  <c r="N16" i="37" s="1"/>
  <c r="P63" i="70"/>
  <c r="P116" i="70" s="1"/>
  <c r="P16" i="70" s="1"/>
  <c r="P60" i="70"/>
  <c r="P65" i="70" s="1"/>
  <c r="N211" i="76"/>
  <c r="N327" i="76"/>
  <c r="V1720" i="38"/>
  <c r="S20" i="72"/>
  <c r="S46" i="72"/>
  <c r="P42" i="72"/>
  <c r="P140" i="72"/>
  <c r="P137" i="72"/>
  <c r="P134" i="72"/>
  <c r="P139" i="72"/>
  <c r="P138" i="72"/>
  <c r="S22" i="72"/>
  <c r="S172" i="12"/>
  <c r="S170" i="12"/>
  <c r="AD34" i="45" s="1"/>
  <c r="R241" i="37"/>
  <c r="R332" i="37" l="1"/>
  <c r="R334" i="37" s="1"/>
  <c r="Q180" i="72"/>
  <c r="AD33" i="45"/>
  <c r="Q194" i="72"/>
  <c r="Q182" i="72"/>
  <c r="P204" i="72"/>
  <c r="K70" i="42"/>
  <c r="AC33" i="45"/>
  <c r="Q126" i="72"/>
  <c r="Q120" i="72"/>
  <c r="P142" i="72"/>
  <c r="N213" i="76"/>
  <c r="N306" i="76"/>
  <c r="R96" i="72"/>
  <c r="R183" i="72" s="1"/>
  <c r="R112" i="72"/>
  <c r="R194" i="72" s="1"/>
  <c r="N78" i="76"/>
  <c r="N266" i="76"/>
  <c r="Q197" i="72"/>
  <c r="Q114" i="72"/>
  <c r="Q202" i="72"/>
  <c r="Q201" i="72"/>
  <c r="S241" i="37"/>
  <c r="S328" i="37"/>
  <c r="P25" i="70"/>
  <c r="P17" i="37" s="1"/>
  <c r="P102" i="70"/>
  <c r="P103" i="70" s="1"/>
  <c r="Q100" i="70" s="1"/>
  <c r="N77" i="70"/>
  <c r="N26" i="70" s="1"/>
  <c r="N19" i="37" s="1"/>
  <c r="N177" i="76"/>
  <c r="N283" i="76"/>
  <c r="Q324" i="37"/>
  <c r="Q332" i="37" s="1"/>
  <c r="Q334" i="37" s="1"/>
  <c r="Q268" i="37"/>
  <c r="Q277" i="37" s="1"/>
  <c r="Q280" i="37" s="1"/>
  <c r="Q282" i="37" s="1"/>
  <c r="Q237" i="37"/>
  <c r="Q245" i="37" s="1"/>
  <c r="Q247" i="37" s="1"/>
  <c r="Q95" i="70"/>
  <c r="Q254" i="37"/>
  <c r="Q260" i="37" s="1"/>
  <c r="Q262" i="37" s="1"/>
  <c r="O63" i="76"/>
  <c r="O61" i="76"/>
  <c r="O60" i="76"/>
  <c r="O59" i="76"/>
  <c r="O62" i="76"/>
  <c r="O216" i="76" s="1"/>
  <c r="O218" i="76" s="1"/>
  <c r="O64" i="76"/>
  <c r="R34" i="70"/>
  <c r="Q123" i="72"/>
  <c r="N66" i="76"/>
  <c r="N81" i="76"/>
  <c r="N83" i="76" s="1"/>
  <c r="P16" i="76"/>
  <c r="P54" i="76"/>
  <c r="P52" i="76"/>
  <c r="P53" i="76"/>
  <c r="P49" i="76"/>
  <c r="P50" i="76"/>
  <c r="P51" i="76"/>
  <c r="Q198" i="72"/>
  <c r="R184" i="72"/>
  <c r="R36" i="76"/>
  <c r="C36" i="76" s="1"/>
  <c r="D101" i="28" s="1"/>
  <c r="O160" i="76"/>
  <c r="O287" i="76" s="1"/>
  <c r="O172" i="76"/>
  <c r="O299" i="76" s="1"/>
  <c r="O163" i="76"/>
  <c r="O290" i="76" s="1"/>
  <c r="O156" i="76"/>
  <c r="O174" i="76"/>
  <c r="O301" i="76" s="1"/>
  <c r="O173" i="76"/>
  <c r="O300" i="76" s="1"/>
  <c r="O167" i="76"/>
  <c r="O294" i="76" s="1"/>
  <c r="O170" i="76"/>
  <c r="O297" i="76" s="1"/>
  <c r="O166" i="76"/>
  <c r="O293" i="76" s="1"/>
  <c r="O165" i="76"/>
  <c r="O292" i="76" s="1"/>
  <c r="O164" i="76"/>
  <c r="O291" i="76" s="1"/>
  <c r="O168" i="76"/>
  <c r="O295" i="76" s="1"/>
  <c r="O162" i="76"/>
  <c r="O289" i="76" s="1"/>
  <c r="O158" i="76"/>
  <c r="O285" i="76" s="1"/>
  <c r="O161" i="76"/>
  <c r="O288" i="76" s="1"/>
  <c r="O159" i="76"/>
  <c r="O286" i="76" s="1"/>
  <c r="O175" i="76"/>
  <c r="O302" i="76" s="1"/>
  <c r="O169" i="76"/>
  <c r="O296" i="76" s="1"/>
  <c r="O171" i="76"/>
  <c r="O298" i="76" s="1"/>
  <c r="O157" i="76"/>
  <c r="O284" i="76" s="1"/>
  <c r="O326" i="76"/>
  <c r="S34" i="70"/>
  <c r="AB1631" i="38"/>
  <c r="Q140" i="72"/>
  <c r="Q42" i="72"/>
  <c r="Q138" i="72"/>
  <c r="Q134" i="72"/>
  <c r="Q137" i="72"/>
  <c r="Q139" i="72"/>
  <c r="N190" i="76"/>
  <c r="N180" i="76"/>
  <c r="N194" i="76"/>
  <c r="N189" i="76"/>
  <c r="N195" i="76"/>
  <c r="N185" i="76"/>
  <c r="N197" i="76"/>
  <c r="N187" i="76"/>
  <c r="N188" i="76"/>
  <c r="N183" i="76"/>
  <c r="N181" i="76"/>
  <c r="N182" i="76"/>
  <c r="N198" i="76"/>
  <c r="N199" i="76"/>
  <c r="N184" i="76"/>
  <c r="N191" i="76"/>
  <c r="N192" i="76"/>
  <c r="N196" i="76"/>
  <c r="N193" i="76"/>
  <c r="N186" i="76"/>
  <c r="P130" i="72"/>
  <c r="Q122" i="72"/>
  <c r="Q111" i="70"/>
  <c r="Q15" i="76"/>
  <c r="R185" i="72"/>
  <c r="N141" i="37"/>
  <c r="N31" i="37" s="1"/>
  <c r="N142" i="37"/>
  <c r="N32" i="37" s="1"/>
  <c r="N163" i="37"/>
  <c r="N170" i="37"/>
  <c r="N64" i="37" s="1"/>
  <c r="K53" i="42" s="1"/>
  <c r="N162" i="37"/>
  <c r="N137" i="37"/>
  <c r="N27" i="37" s="1"/>
  <c r="N138" i="37"/>
  <c r="N28" i="37" s="1"/>
  <c r="N169" i="37"/>
  <c r="N63" i="37" s="1"/>
  <c r="K52" i="42" s="1"/>
  <c r="N164" i="37"/>
  <c r="N175" i="37"/>
  <c r="N168" i="37"/>
  <c r="N134" i="37"/>
  <c r="N135" i="37"/>
  <c r="N25" i="37" s="1"/>
  <c r="N139" i="37"/>
  <c r="N29" i="37" s="1"/>
  <c r="N136" i="37"/>
  <c r="N26" i="37" s="1"/>
  <c r="N165" i="37"/>
  <c r="N140" i="37"/>
  <c r="N30" i="37" s="1"/>
  <c r="N155" i="37"/>
  <c r="N47" i="37" s="1"/>
  <c r="N30" i="31" s="1"/>
  <c r="N149" i="37"/>
  <c r="N154" i="37"/>
  <c r="N46" i="37" s="1"/>
  <c r="N29" i="31" s="1"/>
  <c r="N150" i="37"/>
  <c r="N42" i="37" s="1"/>
  <c r="N25" i="31" s="1"/>
  <c r="N151" i="37"/>
  <c r="N43" i="37" s="1"/>
  <c r="N26" i="31" s="1"/>
  <c r="N152" i="37"/>
  <c r="N44" i="37" s="1"/>
  <c r="N27" i="31" s="1"/>
  <c r="S57" i="72"/>
  <c r="S60" i="72" s="1"/>
  <c r="S146" i="72" s="1"/>
  <c r="N270" i="76"/>
  <c r="N113" i="76"/>
  <c r="Q200" i="72"/>
  <c r="R199" i="72"/>
  <c r="Q149" i="72"/>
  <c r="AC1869" i="38"/>
  <c r="AB1869" i="38" s="1"/>
  <c r="S84" i="70"/>
  <c r="P121" i="70"/>
  <c r="P122" i="70"/>
  <c r="Q85" i="70"/>
  <c r="Q91" i="70"/>
  <c r="Q179" i="72"/>
  <c r="P158" i="72"/>
  <c r="AC1626" i="38"/>
  <c r="R84" i="70"/>
  <c r="Q127" i="72"/>
  <c r="Q29" i="72"/>
  <c r="Q128" i="72"/>
  <c r="Q124" i="72"/>
  <c r="R195" i="72"/>
  <c r="R27" i="72"/>
  <c r="R121" i="72" s="1"/>
  <c r="Q199" i="72"/>
  <c r="O250" i="76"/>
  <c r="O316" i="76" s="1"/>
  <c r="O249" i="76"/>
  <c r="S40" i="72"/>
  <c r="S135" i="72" s="1"/>
  <c r="AB1307" i="38"/>
  <c r="N236" i="76"/>
  <c r="N235" i="76"/>
  <c r="Q181" i="72"/>
  <c r="Q98" i="72"/>
  <c r="Q187" i="72"/>
  <c r="Q186" i="72"/>
  <c r="R196" i="72"/>
  <c r="L37" i="42"/>
  <c r="O56" i="12"/>
  <c r="S96" i="72"/>
  <c r="S184" i="72" s="1"/>
  <c r="R90" i="70"/>
  <c r="R101" i="70" s="1"/>
  <c r="Q54" i="70"/>
  <c r="Q70" i="70" s="1"/>
  <c r="Q72" i="70" s="1"/>
  <c r="R69" i="70" s="1"/>
  <c r="Q108" i="70"/>
  <c r="Q35" i="70"/>
  <c r="R197" i="72"/>
  <c r="O56" i="76"/>
  <c r="O76" i="76"/>
  <c r="O324" i="76"/>
  <c r="S50" i="70"/>
  <c r="S51" i="70" s="1"/>
  <c r="S53" i="70" s="1"/>
  <c r="S58" i="70" s="1"/>
  <c r="S107" i="70"/>
  <c r="S120" i="70" s="1"/>
  <c r="N256" i="76"/>
  <c r="N255" i="76"/>
  <c r="R174" i="72"/>
  <c r="N252" i="76"/>
  <c r="N315" i="76"/>
  <c r="N333" i="76"/>
  <c r="O117" i="70"/>
  <c r="O17" i="70" s="1"/>
  <c r="O113" i="70"/>
  <c r="O76" i="70"/>
  <c r="Q62" i="70"/>
  <c r="P115" i="70"/>
  <c r="P15" i="70" s="1"/>
  <c r="P64" i="70"/>
  <c r="D172" i="12"/>
  <c r="D57" i="28" s="1"/>
  <c r="O211" i="76"/>
  <c r="O327" i="76"/>
  <c r="R107" i="70"/>
  <c r="R120" i="70" s="1"/>
  <c r="R50" i="70"/>
  <c r="R51" i="70" s="1"/>
  <c r="N123" i="76"/>
  <c r="N122" i="76"/>
  <c r="N120" i="76"/>
  <c r="N118" i="76"/>
  <c r="N116" i="76"/>
  <c r="N121" i="76"/>
  <c r="N119" i="76"/>
  <c r="N125" i="76"/>
  <c r="N117" i="76"/>
  <c r="N124" i="76"/>
  <c r="P189" i="72"/>
  <c r="S112" i="72"/>
  <c r="S196" i="72" s="1"/>
  <c r="S174" i="72"/>
  <c r="D174" i="72" s="1"/>
  <c r="D69" i="28" s="1"/>
  <c r="R181" i="72"/>
  <c r="O104" i="76"/>
  <c r="O272" i="76" s="1"/>
  <c r="O102" i="76"/>
  <c r="O105" i="76"/>
  <c r="O273" i="76" s="1"/>
  <c r="O111" i="76"/>
  <c r="O279" i="76" s="1"/>
  <c r="O107" i="76"/>
  <c r="O275" i="76" s="1"/>
  <c r="O106" i="76"/>
  <c r="O274" i="76" s="1"/>
  <c r="O108" i="76"/>
  <c r="O276" i="76" s="1"/>
  <c r="O110" i="76"/>
  <c r="O278" i="76" s="1"/>
  <c r="O109" i="76"/>
  <c r="O277" i="76" s="1"/>
  <c r="O103" i="76"/>
  <c r="O271" i="76" s="1"/>
  <c r="O325" i="76"/>
  <c r="R40" i="72"/>
  <c r="R135" i="72" s="1"/>
  <c r="Q184" i="72"/>
  <c r="R57" i="72"/>
  <c r="R60" i="72" s="1"/>
  <c r="O229" i="76"/>
  <c r="O230" i="76"/>
  <c r="O311" i="76" s="1"/>
  <c r="Q125" i="72"/>
  <c r="O118" i="70"/>
  <c r="O18" i="70" s="1"/>
  <c r="O20" i="70" s="1"/>
  <c r="S27" i="72"/>
  <c r="S123" i="72" s="1"/>
  <c r="Q147" i="72"/>
  <c r="Q154" i="72"/>
  <c r="Q62" i="72"/>
  <c r="Q153" i="72"/>
  <c r="Q156" i="72"/>
  <c r="Q152" i="72"/>
  <c r="Q146" i="72"/>
  <c r="Q53" i="70"/>
  <c r="Q58" i="70" s="1"/>
  <c r="N331" i="76"/>
  <c r="N332" i="76" s="1"/>
  <c r="N232" i="76"/>
  <c r="N310" i="76"/>
  <c r="P123" i="70"/>
  <c r="P53" i="12"/>
  <c r="Q195" i="72"/>
  <c r="S136" i="72" l="1"/>
  <c r="S120" i="72"/>
  <c r="Q204" i="72"/>
  <c r="N258" i="76"/>
  <c r="R123" i="72"/>
  <c r="D120" i="70"/>
  <c r="D28" i="28" s="1"/>
  <c r="Q130" i="72"/>
  <c r="R126" i="72"/>
  <c r="S148" i="72"/>
  <c r="S183" i="72"/>
  <c r="Q189" i="72"/>
  <c r="R85" i="70"/>
  <c r="R91" i="70"/>
  <c r="F12" i="23"/>
  <c r="N13" i="31"/>
  <c r="N56" i="37"/>
  <c r="K46" i="42" s="1"/>
  <c r="S325" i="37"/>
  <c r="S238" i="37"/>
  <c r="R125" i="72"/>
  <c r="R198" i="72"/>
  <c r="R114" i="72"/>
  <c r="R202" i="72"/>
  <c r="R201" i="72"/>
  <c r="S195" i="72"/>
  <c r="O24" i="70"/>
  <c r="O16" i="37" s="1"/>
  <c r="O77" i="70"/>
  <c r="O26" i="70" s="1"/>
  <c r="O19" i="37" s="1"/>
  <c r="O78" i="76"/>
  <c r="O266" i="76"/>
  <c r="L40" i="42"/>
  <c r="L70" i="42" s="1"/>
  <c r="S200" i="72"/>
  <c r="AB1626" i="38"/>
  <c r="S85" i="70"/>
  <c r="S91" i="70"/>
  <c r="N143" i="37"/>
  <c r="N145" i="37" s="1"/>
  <c r="N24" i="37"/>
  <c r="Q16" i="76"/>
  <c r="Q51" i="76"/>
  <c r="Q49" i="76"/>
  <c r="Q52" i="76"/>
  <c r="Q50" i="76"/>
  <c r="Q54" i="76"/>
  <c r="Q53" i="76"/>
  <c r="S108" i="70"/>
  <c r="S35" i="70"/>
  <c r="P165" i="76"/>
  <c r="P292" i="76" s="1"/>
  <c r="P174" i="76"/>
  <c r="P301" i="76" s="1"/>
  <c r="P173" i="76"/>
  <c r="P300" i="76" s="1"/>
  <c r="P163" i="76"/>
  <c r="P290" i="76" s="1"/>
  <c r="P171" i="76"/>
  <c r="P298" i="76" s="1"/>
  <c r="P164" i="76"/>
  <c r="P291" i="76" s="1"/>
  <c r="P170" i="76"/>
  <c r="P297" i="76" s="1"/>
  <c r="P172" i="76"/>
  <c r="P299" i="76" s="1"/>
  <c r="P167" i="76"/>
  <c r="P294" i="76" s="1"/>
  <c r="P160" i="76"/>
  <c r="P287" i="76" s="1"/>
  <c r="P156" i="76"/>
  <c r="P158" i="76"/>
  <c r="P285" i="76" s="1"/>
  <c r="P166" i="76"/>
  <c r="P293" i="76" s="1"/>
  <c r="P175" i="76"/>
  <c r="P302" i="76" s="1"/>
  <c r="P168" i="76"/>
  <c r="P295" i="76" s="1"/>
  <c r="P161" i="76"/>
  <c r="P288" i="76" s="1"/>
  <c r="P162" i="76"/>
  <c r="P289" i="76" s="1"/>
  <c r="P159" i="76"/>
  <c r="P286" i="76" s="1"/>
  <c r="P157" i="76"/>
  <c r="P284" i="76" s="1"/>
  <c r="P169" i="76"/>
  <c r="P296" i="76" s="1"/>
  <c r="P326" i="76"/>
  <c r="S182" i="72"/>
  <c r="Q102" i="70"/>
  <c r="Q103" i="70" s="1"/>
  <c r="R100" i="70" s="1"/>
  <c r="Q25" i="70"/>
  <c r="Q17" i="37" s="1"/>
  <c r="N153" i="37"/>
  <c r="N45" i="37" s="1"/>
  <c r="N28" i="31" s="1"/>
  <c r="N182" i="37"/>
  <c r="N76" i="37" s="1"/>
  <c r="N190" i="37"/>
  <c r="N84" i="37" s="1"/>
  <c r="N188" i="37"/>
  <c r="N189" i="37"/>
  <c r="N83" i="37" s="1"/>
  <c r="N184" i="37"/>
  <c r="N195" i="37"/>
  <c r="N89" i="37" s="1"/>
  <c r="N185" i="37"/>
  <c r="N79" i="37" s="1"/>
  <c r="N183" i="37"/>
  <c r="N338" i="76" s="1"/>
  <c r="N347" i="76" s="1"/>
  <c r="R62" i="72"/>
  <c r="R154" i="72"/>
  <c r="R153" i="72"/>
  <c r="R156" i="72"/>
  <c r="R152" i="72"/>
  <c r="R149" i="72"/>
  <c r="Q121" i="70"/>
  <c r="M37" i="42"/>
  <c r="M40" i="42" s="1"/>
  <c r="P56" i="12"/>
  <c r="Q63" i="70"/>
  <c r="Q116" i="70" s="1"/>
  <c r="Q16" i="70" s="1"/>
  <c r="Q60" i="70"/>
  <c r="Q65" i="70" s="1"/>
  <c r="O331" i="76"/>
  <c r="O332" i="76" s="1"/>
  <c r="O232" i="76"/>
  <c r="O310" i="76"/>
  <c r="S197" i="72"/>
  <c r="R254" i="37"/>
  <c r="R260" i="37" s="1"/>
  <c r="R262" i="37" s="1"/>
  <c r="R267" i="37"/>
  <c r="R277" i="37" s="1"/>
  <c r="R280" i="37" s="1"/>
  <c r="R282" i="37" s="1"/>
  <c r="R309" i="37"/>
  <c r="R316" i="37" s="1"/>
  <c r="R318" i="37" s="1"/>
  <c r="D318" i="37" s="1"/>
  <c r="D90" i="28" s="1"/>
  <c r="R238" i="37"/>
  <c r="R245" i="37" s="1"/>
  <c r="R247" i="37" s="1"/>
  <c r="R95" i="70"/>
  <c r="N41" i="37"/>
  <c r="N171" i="37"/>
  <c r="N62" i="37"/>
  <c r="N206" i="37"/>
  <c r="N102" i="37" s="1"/>
  <c r="AH9" i="45" s="1"/>
  <c r="N210" i="37"/>
  <c r="N106" i="37" s="1"/>
  <c r="AH13" i="45" s="1"/>
  <c r="N57" i="37"/>
  <c r="K47" i="42" s="1"/>
  <c r="N203" i="37"/>
  <c r="N211" i="37"/>
  <c r="N107" i="37" s="1"/>
  <c r="N207" i="37"/>
  <c r="N103" i="37" s="1"/>
  <c r="AH10" i="45" s="1"/>
  <c r="N204" i="37"/>
  <c r="N100" i="37" s="1"/>
  <c r="AH7" i="45" s="1"/>
  <c r="N205" i="37"/>
  <c r="N101" i="37" s="1"/>
  <c r="AH8" i="45" s="1"/>
  <c r="N208" i="37"/>
  <c r="N104" i="37" s="1"/>
  <c r="AH11" i="45" s="1"/>
  <c r="N209" i="37"/>
  <c r="N105" i="37" s="1"/>
  <c r="AH12" i="45" s="1"/>
  <c r="Q53" i="12"/>
  <c r="Q123" i="70"/>
  <c r="P109" i="76"/>
  <c r="P277" i="76" s="1"/>
  <c r="P108" i="76"/>
  <c r="P276" i="76" s="1"/>
  <c r="P110" i="76"/>
  <c r="P278" i="76" s="1"/>
  <c r="P104" i="76"/>
  <c r="P272" i="76" s="1"/>
  <c r="P103" i="76"/>
  <c r="P271" i="76" s="1"/>
  <c r="P106" i="76"/>
  <c r="P274" i="76" s="1"/>
  <c r="P111" i="76"/>
  <c r="P279" i="76" s="1"/>
  <c r="P102" i="76"/>
  <c r="P107" i="76"/>
  <c r="P275" i="76" s="1"/>
  <c r="P105" i="76"/>
  <c r="P273" i="76" s="1"/>
  <c r="P325" i="76"/>
  <c r="O255" i="76"/>
  <c r="O256" i="76"/>
  <c r="R200" i="72"/>
  <c r="R53" i="70"/>
  <c r="R58" i="70" s="1"/>
  <c r="R111" i="70"/>
  <c r="R15" i="76"/>
  <c r="S149" i="72"/>
  <c r="S154" i="72"/>
  <c r="S153" i="72"/>
  <c r="S62" i="72"/>
  <c r="D62" i="72" s="1"/>
  <c r="D62" i="28" s="1"/>
  <c r="S152" i="72"/>
  <c r="S156" i="72"/>
  <c r="N69" i="37"/>
  <c r="K57" i="42" s="1"/>
  <c r="N20" i="31"/>
  <c r="F19" i="23"/>
  <c r="Q142" i="72"/>
  <c r="R148" i="72"/>
  <c r="P56" i="76"/>
  <c r="P76" i="76"/>
  <c r="P324" i="76"/>
  <c r="Q158" i="72"/>
  <c r="S122" i="72"/>
  <c r="S29" i="72"/>
  <c r="S127" i="72"/>
  <c r="S128" i="72"/>
  <c r="R136" i="72"/>
  <c r="R42" i="72"/>
  <c r="R140" i="72"/>
  <c r="R138" i="72"/>
  <c r="R134" i="72"/>
  <c r="R137" i="72"/>
  <c r="R139" i="72"/>
  <c r="S194" i="72"/>
  <c r="P76" i="70"/>
  <c r="P117" i="70"/>
  <c r="P17" i="70" s="1"/>
  <c r="P113" i="70"/>
  <c r="R146" i="72"/>
  <c r="S185" i="72"/>
  <c r="F17" i="23"/>
  <c r="N18" i="31"/>
  <c r="N58" i="37"/>
  <c r="K48" i="42" s="1"/>
  <c r="N219" i="37"/>
  <c r="N223" i="37"/>
  <c r="N121" i="37" s="1"/>
  <c r="AH24" i="45" s="1"/>
  <c r="N224" i="37"/>
  <c r="N122" i="37" s="1"/>
  <c r="AH25" i="45" s="1"/>
  <c r="N222" i="37"/>
  <c r="N120" i="37" s="1"/>
  <c r="AH23" i="45" s="1"/>
  <c r="N221" i="37"/>
  <c r="N119" i="37" s="1"/>
  <c r="AH22" i="45" s="1"/>
  <c r="N220" i="37"/>
  <c r="N118" i="37" s="1"/>
  <c r="AH21" i="45" s="1"/>
  <c r="N226" i="37"/>
  <c r="N124" i="37" s="1"/>
  <c r="AH27" i="45" s="1"/>
  <c r="N225" i="37"/>
  <c r="N123" i="37" s="1"/>
  <c r="AH26" i="45" s="1"/>
  <c r="N227" i="37"/>
  <c r="N125" i="37" s="1"/>
  <c r="F18" i="23"/>
  <c r="N19" i="31"/>
  <c r="O177" i="76"/>
  <c r="O283" i="76"/>
  <c r="P229" i="76"/>
  <c r="P230" i="76"/>
  <c r="P311" i="76" s="1"/>
  <c r="O66" i="76"/>
  <c r="O81" i="76"/>
  <c r="O83" i="76" s="1"/>
  <c r="S199" i="72"/>
  <c r="S114" i="72"/>
  <c r="S202" i="72"/>
  <c r="S201" i="72"/>
  <c r="S126" i="72"/>
  <c r="S124" i="72"/>
  <c r="S60" i="70"/>
  <c r="S65" i="70" s="1"/>
  <c r="S63" i="70"/>
  <c r="S116" i="70" s="1"/>
  <c r="S16" i="70" s="1"/>
  <c r="S140" i="72"/>
  <c r="S42" i="72"/>
  <c r="D42" i="72" s="1"/>
  <c r="D61" i="28" s="1"/>
  <c r="S137" i="72"/>
  <c r="S138" i="72"/>
  <c r="S134" i="72"/>
  <c r="S139" i="72"/>
  <c r="R120" i="72"/>
  <c r="S125" i="72"/>
  <c r="N59" i="37"/>
  <c r="K49" i="42" s="1"/>
  <c r="N340" i="76"/>
  <c r="N349" i="76" s="1"/>
  <c r="Q71" i="70"/>
  <c r="S147" i="72"/>
  <c r="P211" i="76"/>
  <c r="P327" i="76"/>
  <c r="O117" i="76"/>
  <c r="O122" i="76"/>
  <c r="O116" i="76"/>
  <c r="O121" i="76"/>
  <c r="O120" i="76"/>
  <c r="O125" i="76"/>
  <c r="O118" i="76"/>
  <c r="O123" i="76"/>
  <c r="O119" i="76"/>
  <c r="O124" i="76"/>
  <c r="R182" i="72"/>
  <c r="R98" i="72"/>
  <c r="R187" i="72"/>
  <c r="R180" i="72"/>
  <c r="R179" i="72"/>
  <c r="R186" i="72"/>
  <c r="N127" i="76"/>
  <c r="R62" i="70"/>
  <c r="Q115" i="70"/>
  <c r="Q15" i="70" s="1"/>
  <c r="R124" i="72"/>
  <c r="R29" i="72"/>
  <c r="R127" i="72"/>
  <c r="R128" i="72"/>
  <c r="S121" i="72"/>
  <c r="N14" i="31"/>
  <c r="F13" i="23"/>
  <c r="N16" i="31"/>
  <c r="F15" i="23"/>
  <c r="P249" i="76"/>
  <c r="P250" i="76"/>
  <c r="P316" i="76" s="1"/>
  <c r="R35" i="70"/>
  <c r="R54" i="70"/>
  <c r="R70" i="70" s="1"/>
  <c r="R72" i="70" s="1"/>
  <c r="S69" i="70" s="1"/>
  <c r="R108" i="70"/>
  <c r="O181" i="76"/>
  <c r="O184" i="76"/>
  <c r="O191" i="76"/>
  <c r="O196" i="76"/>
  <c r="O187" i="76"/>
  <c r="O198" i="76"/>
  <c r="O180" i="76"/>
  <c r="O197" i="76"/>
  <c r="O189" i="76"/>
  <c r="O194" i="76"/>
  <c r="O190" i="76"/>
  <c r="O192" i="76"/>
  <c r="O186" i="76"/>
  <c r="O182" i="76"/>
  <c r="O185" i="76"/>
  <c r="O188" i="76"/>
  <c r="O183" i="76"/>
  <c r="O199" i="76"/>
  <c r="O193" i="76"/>
  <c r="O195" i="76"/>
  <c r="P118" i="70"/>
  <c r="P18" i="70" s="1"/>
  <c r="P20" i="70" s="1"/>
  <c r="R147" i="72"/>
  <c r="O113" i="76"/>
  <c r="O270" i="76"/>
  <c r="O213" i="76"/>
  <c r="O306" i="76"/>
  <c r="R122" i="72"/>
  <c r="S54" i="70"/>
  <c r="S70" i="70" s="1"/>
  <c r="S72" i="70" s="1"/>
  <c r="S15" i="76"/>
  <c r="S111" i="70"/>
  <c r="Q109" i="70"/>
  <c r="Q122" i="70" s="1"/>
  <c r="S180" i="72"/>
  <c r="S179" i="72"/>
  <c r="S187" i="72"/>
  <c r="S98" i="72"/>
  <c r="S186" i="72"/>
  <c r="S181" i="72"/>
  <c r="N238" i="76"/>
  <c r="O252" i="76"/>
  <c r="O315" i="76"/>
  <c r="O333" i="76"/>
  <c r="N17" i="31"/>
  <c r="F16" i="23"/>
  <c r="F14" i="23"/>
  <c r="N15" i="31"/>
  <c r="N201" i="76"/>
  <c r="P64" i="76"/>
  <c r="P62" i="76"/>
  <c r="P216" i="76" s="1"/>
  <c r="P218" i="76" s="1"/>
  <c r="P63" i="76"/>
  <c r="P59" i="76"/>
  <c r="P60" i="76"/>
  <c r="P61" i="76"/>
  <c r="S198" i="72"/>
  <c r="O235" i="76"/>
  <c r="O236" i="76"/>
  <c r="N342" i="76" l="1"/>
  <c r="N351" i="76" s="1"/>
  <c r="S109" i="70"/>
  <c r="R204" i="72"/>
  <c r="Q64" i="70"/>
  <c r="S130" i="72"/>
  <c r="Q118" i="70"/>
  <c r="Q18" i="70" s="1"/>
  <c r="R142" i="72"/>
  <c r="R158" i="72"/>
  <c r="S158" i="72"/>
  <c r="O258" i="76"/>
  <c r="D29" i="72"/>
  <c r="D60" i="28" s="1"/>
  <c r="P255" i="76"/>
  <c r="P256" i="76"/>
  <c r="O238" i="76"/>
  <c r="D98" i="72"/>
  <c r="D64" i="28" s="1"/>
  <c r="O127" i="76"/>
  <c r="R16" i="76"/>
  <c r="R49" i="76"/>
  <c r="R52" i="76"/>
  <c r="R51" i="76"/>
  <c r="R50" i="76"/>
  <c r="R53" i="76"/>
  <c r="R54" i="76"/>
  <c r="N156" i="37"/>
  <c r="N158" i="37" s="1"/>
  <c r="M70" i="42"/>
  <c r="N82" i="37"/>
  <c r="N191" i="37"/>
  <c r="N193" i="37" s="1"/>
  <c r="N196" i="37" s="1"/>
  <c r="N198" i="37" s="1"/>
  <c r="Q56" i="76"/>
  <c r="Q76" i="76"/>
  <c r="Q324" i="76"/>
  <c r="R109" i="70"/>
  <c r="R122" i="70" s="1"/>
  <c r="S16" i="76"/>
  <c r="S51" i="76"/>
  <c r="S52" i="76"/>
  <c r="S54" i="76"/>
  <c r="S50" i="76"/>
  <c r="S53" i="76"/>
  <c r="S49" i="76"/>
  <c r="R121" i="70"/>
  <c r="P232" i="76"/>
  <c r="P331" i="76"/>
  <c r="P332" i="76" s="1"/>
  <c r="P310" i="76"/>
  <c r="N117" i="37"/>
  <c r="N228" i="37"/>
  <c r="N230" i="37" s="1"/>
  <c r="P24" i="70"/>
  <c r="P16" i="37" s="1"/>
  <c r="P77" i="70"/>
  <c r="P26" i="70" s="1"/>
  <c r="P19" i="37" s="1"/>
  <c r="R53" i="12"/>
  <c r="R123" i="70"/>
  <c r="N24" i="31"/>
  <c r="N48" i="37"/>
  <c r="N50" i="37" s="1"/>
  <c r="Q164" i="76"/>
  <c r="Q291" i="76" s="1"/>
  <c r="Q172" i="76"/>
  <c r="Q299" i="76" s="1"/>
  <c r="Q160" i="76"/>
  <c r="Q287" i="76" s="1"/>
  <c r="Q162" i="76"/>
  <c r="Q289" i="76" s="1"/>
  <c r="Q167" i="76"/>
  <c r="Q294" i="76" s="1"/>
  <c r="Q175" i="76"/>
  <c r="Q302" i="76" s="1"/>
  <c r="Q165" i="76"/>
  <c r="Q292" i="76" s="1"/>
  <c r="Q158" i="76"/>
  <c r="Q285" i="76" s="1"/>
  <c r="Q171" i="76"/>
  <c r="Q298" i="76" s="1"/>
  <c r="Q159" i="76"/>
  <c r="Q286" i="76" s="1"/>
  <c r="Q170" i="76"/>
  <c r="Q297" i="76" s="1"/>
  <c r="Q174" i="76"/>
  <c r="Q301" i="76" s="1"/>
  <c r="Q161" i="76"/>
  <c r="Q288" i="76" s="1"/>
  <c r="Q166" i="76"/>
  <c r="Q293" i="76" s="1"/>
  <c r="Q156" i="76"/>
  <c r="Q169" i="76"/>
  <c r="Q296" i="76" s="1"/>
  <c r="Q173" i="76"/>
  <c r="Q300" i="76" s="1"/>
  <c r="Q163" i="76"/>
  <c r="Q290" i="76" s="1"/>
  <c r="Q168" i="76"/>
  <c r="Q295" i="76" s="1"/>
  <c r="Q157" i="76"/>
  <c r="Q284" i="76" s="1"/>
  <c r="Q326" i="76"/>
  <c r="N337" i="76"/>
  <c r="N346" i="76" s="1"/>
  <c r="P236" i="76"/>
  <c r="P235" i="76"/>
  <c r="P238" i="76" s="1"/>
  <c r="S53" i="12"/>
  <c r="S123" i="70"/>
  <c r="S189" i="72"/>
  <c r="P252" i="76"/>
  <c r="P315" i="76"/>
  <c r="P333" i="76"/>
  <c r="R130" i="72"/>
  <c r="D130" i="72" s="1"/>
  <c r="D66" i="28" s="1"/>
  <c r="R63" i="70"/>
  <c r="R116" i="70" s="1"/>
  <c r="R16" i="70" s="1"/>
  <c r="R60" i="70"/>
  <c r="R65" i="70" s="1"/>
  <c r="N37" i="42"/>
  <c r="N40" i="42" s="1"/>
  <c r="Q56" i="12"/>
  <c r="N99" i="37"/>
  <c r="N212" i="37"/>
  <c r="N214" i="37" s="1"/>
  <c r="R25" i="70"/>
  <c r="R17" i="37" s="1"/>
  <c r="R102" i="70"/>
  <c r="R103" i="70" s="1"/>
  <c r="S100" i="70" s="1"/>
  <c r="Q61" i="76"/>
  <c r="Q59" i="76"/>
  <c r="Q62" i="76"/>
  <c r="Q216" i="76" s="1"/>
  <c r="Q218" i="76" s="1"/>
  <c r="Q60" i="76"/>
  <c r="Q64" i="76"/>
  <c r="Q63" i="76"/>
  <c r="P188" i="76"/>
  <c r="P189" i="76"/>
  <c r="P198" i="76"/>
  <c r="P197" i="76"/>
  <c r="P187" i="76"/>
  <c r="P195" i="76"/>
  <c r="P193" i="76"/>
  <c r="P194" i="76"/>
  <c r="P196" i="76"/>
  <c r="P191" i="76"/>
  <c r="P184" i="76"/>
  <c r="P180" i="76"/>
  <c r="P190" i="76"/>
  <c r="P199" i="76"/>
  <c r="P185" i="76"/>
  <c r="P182" i="76"/>
  <c r="P192" i="76"/>
  <c r="P183" i="76"/>
  <c r="P186" i="76"/>
  <c r="P181" i="76"/>
  <c r="P119" i="76"/>
  <c r="P125" i="76"/>
  <c r="P121" i="76"/>
  <c r="P122" i="76"/>
  <c r="P123" i="76"/>
  <c r="P116" i="76"/>
  <c r="P124" i="76"/>
  <c r="P118" i="76"/>
  <c r="P117" i="76"/>
  <c r="P120" i="76"/>
  <c r="R115" i="70"/>
  <c r="R15" i="70" s="1"/>
  <c r="P78" i="76"/>
  <c r="P266" i="76"/>
  <c r="N77" i="37"/>
  <c r="AH15" i="45"/>
  <c r="S121" i="70"/>
  <c r="S122" i="70"/>
  <c r="N33" i="37"/>
  <c r="N35" i="37" s="1"/>
  <c r="F11" i="23"/>
  <c r="F20" i="23" s="1"/>
  <c r="N12" i="31"/>
  <c r="R71" i="70"/>
  <c r="P66" i="76"/>
  <c r="P81" i="76"/>
  <c r="P83" i="76" s="1"/>
  <c r="Q113" i="70"/>
  <c r="Q76" i="70"/>
  <c r="Q24" i="70" s="1"/>
  <c r="Q16" i="37" s="1"/>
  <c r="Q117" i="70"/>
  <c r="Q17" i="70" s="1"/>
  <c r="R189" i="72"/>
  <c r="P213" i="76"/>
  <c r="P306" i="76"/>
  <c r="S142" i="72"/>
  <c r="D142" i="72" s="1"/>
  <c r="D67" i="28" s="1"/>
  <c r="Q229" i="76"/>
  <c r="Q230" i="76"/>
  <c r="Q311" i="76" s="1"/>
  <c r="Q20" i="70"/>
  <c r="P177" i="76"/>
  <c r="P283" i="76"/>
  <c r="Q250" i="76"/>
  <c r="Q316" i="76" s="1"/>
  <c r="Q249" i="76"/>
  <c r="K51" i="42"/>
  <c r="K54" i="42" s="1"/>
  <c r="N65" i="37"/>
  <c r="N67" i="37" s="1"/>
  <c r="N339" i="76"/>
  <c r="N348" i="76" s="1"/>
  <c r="AH29" i="45"/>
  <c r="N78" i="37"/>
  <c r="Q109" i="76"/>
  <c r="Q277" i="76" s="1"/>
  <c r="Q105" i="76"/>
  <c r="Q273" i="76" s="1"/>
  <c r="Q104" i="76"/>
  <c r="Q272" i="76" s="1"/>
  <c r="Q110" i="76"/>
  <c r="Q278" i="76" s="1"/>
  <c r="Q108" i="76"/>
  <c r="Q276" i="76" s="1"/>
  <c r="Q102" i="76"/>
  <c r="Q111" i="76"/>
  <c r="Q279" i="76" s="1"/>
  <c r="Q106" i="76"/>
  <c r="Q274" i="76" s="1"/>
  <c r="Q107" i="76"/>
  <c r="Q275" i="76" s="1"/>
  <c r="Q103" i="76"/>
  <c r="Q271" i="76" s="1"/>
  <c r="Q325" i="76"/>
  <c r="O185" i="37"/>
  <c r="O79" i="37" s="1"/>
  <c r="O182" i="37"/>
  <c r="O76" i="37" s="1"/>
  <c r="O188" i="37"/>
  <c r="O184" i="37"/>
  <c r="O183" i="37"/>
  <c r="O195" i="37"/>
  <c r="O89" i="37" s="1"/>
  <c r="O190" i="37"/>
  <c r="O84" i="37" s="1"/>
  <c r="O189" i="37"/>
  <c r="O83" i="37" s="1"/>
  <c r="D114" i="72"/>
  <c r="D65" i="28" s="1"/>
  <c r="O201" i="76"/>
  <c r="S71" i="70"/>
  <c r="P113" i="76"/>
  <c r="P270" i="76"/>
  <c r="N173" i="37"/>
  <c r="N176" i="37" s="1"/>
  <c r="N178" i="37" s="1"/>
  <c r="S204" i="72"/>
  <c r="D204" i="72" s="1"/>
  <c r="D71" i="28" s="1"/>
  <c r="Q211" i="76"/>
  <c r="Q327" i="76"/>
  <c r="S254" i="37"/>
  <c r="S260" i="37" s="1"/>
  <c r="S262" i="37" s="1"/>
  <c r="D262" i="37" s="1"/>
  <c r="D87" i="28" s="1"/>
  <c r="S237" i="37"/>
  <c r="S245" i="37" s="1"/>
  <c r="S247" i="37" s="1"/>
  <c r="D247" i="37" s="1"/>
  <c r="D86" i="28" s="1"/>
  <c r="S268" i="37"/>
  <c r="S277" i="37" s="1"/>
  <c r="S280" i="37" s="1"/>
  <c r="S282" i="37" s="1"/>
  <c r="D282" i="37" s="1"/>
  <c r="D88" i="28" s="1"/>
  <c r="S95" i="70"/>
  <c r="S324" i="37"/>
  <c r="S332" i="37" s="1"/>
  <c r="S334" i="37" s="1"/>
  <c r="D334" i="37" s="1"/>
  <c r="D91" i="28" s="1"/>
  <c r="O163" i="37"/>
  <c r="O134" i="37"/>
  <c r="O140" i="37"/>
  <c r="O30" i="37" s="1"/>
  <c r="O149" i="37"/>
  <c r="O141" i="37"/>
  <c r="O31" i="37" s="1"/>
  <c r="O154" i="37"/>
  <c r="O46" i="37" s="1"/>
  <c r="O29" i="31" s="1"/>
  <c r="O165" i="37"/>
  <c r="O135" i="37"/>
  <c r="O25" i="37" s="1"/>
  <c r="O169" i="37"/>
  <c r="O63" i="37" s="1"/>
  <c r="L52" i="42" s="1"/>
  <c r="O150" i="37"/>
  <c r="O42" i="37" s="1"/>
  <c r="O25" i="31" s="1"/>
  <c r="O170" i="37"/>
  <c r="O64" i="37" s="1"/>
  <c r="L53" i="42" s="1"/>
  <c r="O151" i="37"/>
  <c r="O43" i="37" s="1"/>
  <c r="O26" i="31" s="1"/>
  <c r="O164" i="37"/>
  <c r="O162" i="37"/>
  <c r="O139" i="37"/>
  <c r="O29" i="37" s="1"/>
  <c r="O138" i="37"/>
  <c r="O28" i="37" s="1"/>
  <c r="O152" i="37"/>
  <c r="O44" i="37" s="1"/>
  <c r="O27" i="31" s="1"/>
  <c r="O175" i="37"/>
  <c r="O153" i="37"/>
  <c r="O45" i="37" s="1"/>
  <c r="O28" i="31" s="1"/>
  <c r="O168" i="37"/>
  <c r="O155" i="37"/>
  <c r="O47" i="37" s="1"/>
  <c r="O30" i="31" s="1"/>
  <c r="O142" i="37"/>
  <c r="O32" i="37" s="1"/>
  <c r="O136" i="37"/>
  <c r="O26" i="37" s="1"/>
  <c r="O137" i="37"/>
  <c r="O27" i="37" s="1"/>
  <c r="N341" i="76" l="1"/>
  <c r="N350" i="76" s="1"/>
  <c r="F23" i="23"/>
  <c r="D123" i="70"/>
  <c r="D31" i="28" s="1"/>
  <c r="D158" i="72"/>
  <c r="D68" i="28" s="1"/>
  <c r="D122" i="70"/>
  <c r="D30" i="28" s="1"/>
  <c r="N70" i="42"/>
  <c r="R118" i="70"/>
  <c r="R18" i="70" s="1"/>
  <c r="R20" i="70" s="1"/>
  <c r="P258" i="76"/>
  <c r="O77" i="37"/>
  <c r="AI15" i="45"/>
  <c r="O342" i="76"/>
  <c r="O351" i="76" s="1"/>
  <c r="O69" i="37"/>
  <c r="L57" i="42" s="1"/>
  <c r="O143" i="37"/>
  <c r="O145" i="37" s="1"/>
  <c r="O24" i="37"/>
  <c r="Q213" i="76"/>
  <c r="Q306" i="76"/>
  <c r="O78" i="37"/>
  <c r="AI29" i="45"/>
  <c r="Q137" i="37"/>
  <c r="Q27" i="37" s="1"/>
  <c r="Q136" i="37"/>
  <c r="Q26" i="37" s="1"/>
  <c r="Q175" i="37"/>
  <c r="Q163" i="37"/>
  <c r="Q164" i="37"/>
  <c r="Q169" i="37"/>
  <c r="Q63" i="37" s="1"/>
  <c r="N52" i="42" s="1"/>
  <c r="Q165" i="37"/>
  <c r="Q134" i="37"/>
  <c r="Q141" i="37"/>
  <c r="Q31" i="37" s="1"/>
  <c r="Q139" i="37"/>
  <c r="Q29" i="37" s="1"/>
  <c r="Q135" i="37"/>
  <c r="Q25" i="37" s="1"/>
  <c r="Q140" i="37"/>
  <c r="Q30" i="37" s="1"/>
  <c r="Q142" i="37"/>
  <c r="Q32" i="37" s="1"/>
  <c r="Q168" i="37"/>
  <c r="Q162" i="37"/>
  <c r="Q138" i="37"/>
  <c r="Q28" i="37" s="1"/>
  <c r="Q170" i="37"/>
  <c r="Q64" i="37" s="1"/>
  <c r="N53" i="42" s="1"/>
  <c r="P201" i="76"/>
  <c r="Q256" i="76"/>
  <c r="Q255" i="76"/>
  <c r="P195" i="37"/>
  <c r="P89" i="37" s="1"/>
  <c r="P190" i="37"/>
  <c r="P84" i="37" s="1"/>
  <c r="P182" i="37"/>
  <c r="P76" i="37" s="1"/>
  <c r="P183" i="37"/>
  <c r="P185" i="37"/>
  <c r="P79" i="37" s="1"/>
  <c r="P188" i="37"/>
  <c r="P184" i="37"/>
  <c r="P189" i="37"/>
  <c r="P83" i="37" s="1"/>
  <c r="S211" i="76"/>
  <c r="S327" i="76"/>
  <c r="R59" i="76"/>
  <c r="R62" i="76"/>
  <c r="R216" i="76" s="1"/>
  <c r="R218" i="76" s="1"/>
  <c r="R61" i="76"/>
  <c r="R64" i="76"/>
  <c r="R60" i="76"/>
  <c r="R63" i="76"/>
  <c r="S25" i="70"/>
  <c r="S17" i="37" s="1"/>
  <c r="S102" i="70"/>
  <c r="S103" i="70" s="1"/>
  <c r="S118" i="70" s="1"/>
  <c r="S18" i="70" s="1"/>
  <c r="S20" i="70" s="1"/>
  <c r="G19" i="23"/>
  <c r="O20" i="31"/>
  <c r="O56" i="37"/>
  <c r="L46" i="42" s="1"/>
  <c r="O337" i="76"/>
  <c r="O346" i="76" s="1"/>
  <c r="O211" i="37"/>
  <c r="O107" i="37" s="1"/>
  <c r="O57" i="37"/>
  <c r="L47" i="42" s="1"/>
  <c r="O209" i="37"/>
  <c r="O105" i="37" s="1"/>
  <c r="AI12" i="45" s="1"/>
  <c r="O210" i="37"/>
  <c r="O106" i="37" s="1"/>
  <c r="AI13" i="45" s="1"/>
  <c r="O206" i="37"/>
  <c r="O102" i="37" s="1"/>
  <c r="AI9" i="45" s="1"/>
  <c r="O208" i="37"/>
  <c r="O104" i="37" s="1"/>
  <c r="AI11" i="45" s="1"/>
  <c r="O338" i="76"/>
  <c r="O347" i="76" s="1"/>
  <c r="O204" i="37"/>
  <c r="O100" i="37" s="1"/>
  <c r="AI7" i="45" s="1"/>
  <c r="O205" i="37"/>
  <c r="O101" i="37" s="1"/>
  <c r="AI8" i="45" s="1"/>
  <c r="O207" i="37"/>
  <c r="O103" i="37" s="1"/>
  <c r="AI10" i="45" s="1"/>
  <c r="O203" i="37"/>
  <c r="O82" i="37"/>
  <c r="O191" i="37"/>
  <c r="O193" i="37" s="1"/>
  <c r="O196" i="37" s="1"/>
  <c r="O198" i="37" s="1"/>
  <c r="Q113" i="76"/>
  <c r="Q270" i="76"/>
  <c r="R64" i="70"/>
  <c r="Q121" i="76"/>
  <c r="Q124" i="76"/>
  <c r="Q125" i="76"/>
  <c r="Q123" i="76"/>
  <c r="Q116" i="76"/>
  <c r="Q118" i="76"/>
  <c r="Q119" i="76"/>
  <c r="Q122" i="76"/>
  <c r="Q117" i="76"/>
  <c r="Q120" i="76"/>
  <c r="Q177" i="76"/>
  <c r="Q283" i="76"/>
  <c r="P154" i="37"/>
  <c r="P46" i="37" s="1"/>
  <c r="P29" i="31" s="1"/>
  <c r="P155" i="37"/>
  <c r="P47" i="37" s="1"/>
  <c r="P30" i="31" s="1"/>
  <c r="P141" i="37"/>
  <c r="P31" i="37" s="1"/>
  <c r="P137" i="37"/>
  <c r="P27" i="37" s="1"/>
  <c r="P135" i="37"/>
  <c r="P25" i="37" s="1"/>
  <c r="P136" i="37"/>
  <c r="P26" i="37" s="1"/>
  <c r="P153" i="37"/>
  <c r="P45" i="37" s="1"/>
  <c r="P28" i="31" s="1"/>
  <c r="P134" i="37"/>
  <c r="P162" i="37"/>
  <c r="P152" i="37"/>
  <c r="P44" i="37" s="1"/>
  <c r="P27" i="31" s="1"/>
  <c r="P168" i="37"/>
  <c r="P149" i="37"/>
  <c r="P139" i="37"/>
  <c r="P29" i="37" s="1"/>
  <c r="P150" i="37"/>
  <c r="P42" i="37" s="1"/>
  <c r="P25" i="31" s="1"/>
  <c r="P170" i="37"/>
  <c r="P64" i="37" s="1"/>
  <c r="M53" i="42" s="1"/>
  <c r="P175" i="37"/>
  <c r="P164" i="37"/>
  <c r="P140" i="37"/>
  <c r="P30" i="37" s="1"/>
  <c r="P165" i="37"/>
  <c r="P151" i="37"/>
  <c r="P43" i="37" s="1"/>
  <c r="P26" i="31" s="1"/>
  <c r="P169" i="37"/>
  <c r="P63" i="37" s="1"/>
  <c r="M52" i="42" s="1"/>
  <c r="P138" i="37"/>
  <c r="P28" i="37" s="1"/>
  <c r="P142" i="37"/>
  <c r="P32" i="37" s="1"/>
  <c r="P163" i="37"/>
  <c r="S167" i="76"/>
  <c r="S294" i="76" s="1"/>
  <c r="S166" i="76"/>
  <c r="S293" i="76" s="1"/>
  <c r="S175" i="76"/>
  <c r="S302" i="76" s="1"/>
  <c r="S162" i="76"/>
  <c r="S289" i="76" s="1"/>
  <c r="S164" i="76"/>
  <c r="S291" i="76" s="1"/>
  <c r="S157" i="76"/>
  <c r="S284" i="76" s="1"/>
  <c r="S163" i="76"/>
  <c r="S290" i="76" s="1"/>
  <c r="S158" i="76"/>
  <c r="S285" i="76" s="1"/>
  <c r="S156" i="76"/>
  <c r="S173" i="76"/>
  <c r="S300" i="76" s="1"/>
  <c r="S169" i="76"/>
  <c r="S296" i="76" s="1"/>
  <c r="S171" i="76"/>
  <c r="S298" i="76" s="1"/>
  <c r="S160" i="76"/>
  <c r="S287" i="76" s="1"/>
  <c r="S165" i="76"/>
  <c r="S292" i="76" s="1"/>
  <c r="S174" i="76"/>
  <c r="S301" i="76" s="1"/>
  <c r="S168" i="76"/>
  <c r="S295" i="76" s="1"/>
  <c r="S159" i="76"/>
  <c r="S286" i="76" s="1"/>
  <c r="S172" i="76"/>
  <c r="S299" i="76" s="1"/>
  <c r="S170" i="76"/>
  <c r="S297" i="76" s="1"/>
  <c r="S161" i="76"/>
  <c r="S288" i="76" s="1"/>
  <c r="S326" i="76"/>
  <c r="O15" i="31"/>
  <c r="G14" i="23"/>
  <c r="O16" i="31"/>
  <c r="G15" i="23"/>
  <c r="O13" i="31"/>
  <c r="G12" i="23"/>
  <c r="Q331" i="76"/>
  <c r="Q332" i="76" s="1"/>
  <c r="Q232" i="76"/>
  <c r="Q310" i="76"/>
  <c r="P127" i="76"/>
  <c r="D189" i="72"/>
  <c r="D70" i="28" s="1"/>
  <c r="S64" i="76"/>
  <c r="S60" i="76"/>
  <c r="S61" i="76"/>
  <c r="S62" i="76"/>
  <c r="S216" i="76" s="1"/>
  <c r="S218" i="76" s="1"/>
  <c r="C218" i="76" s="1"/>
  <c r="D116" i="28" s="1"/>
  <c r="S63" i="76"/>
  <c r="S59" i="76"/>
  <c r="R250" i="76"/>
  <c r="R316" i="76" s="1"/>
  <c r="R249" i="76"/>
  <c r="Q252" i="76"/>
  <c r="Q315" i="76"/>
  <c r="Q333" i="76"/>
  <c r="S62" i="70"/>
  <c r="Q66" i="76"/>
  <c r="Q81" i="76"/>
  <c r="Q83" i="76" s="1"/>
  <c r="N108" i="37"/>
  <c r="N110" i="37" s="1"/>
  <c r="AH6" i="45"/>
  <c r="AH14" i="45" s="1"/>
  <c r="AH16" i="45" s="1"/>
  <c r="D121" i="70"/>
  <c r="D29" i="28" s="1"/>
  <c r="R230" i="76"/>
  <c r="R311" i="76" s="1"/>
  <c r="R229" i="76"/>
  <c r="G13" i="23"/>
  <c r="O14" i="31"/>
  <c r="O17" i="31"/>
  <c r="G16" i="23"/>
  <c r="O59" i="37"/>
  <c r="L49" i="42" s="1"/>
  <c r="O340" i="76"/>
  <c r="O349" i="76" s="1"/>
  <c r="Q188" i="76"/>
  <c r="Q193" i="76"/>
  <c r="Q197" i="76"/>
  <c r="Q196" i="76"/>
  <c r="Q186" i="76"/>
  <c r="Q189" i="76"/>
  <c r="Q182" i="76"/>
  <c r="Q195" i="76"/>
  <c r="Q191" i="76"/>
  <c r="Q199" i="76"/>
  <c r="Q183" i="76"/>
  <c r="Q194" i="76"/>
  <c r="Q180" i="76"/>
  <c r="Q198" i="76"/>
  <c r="Q184" i="76"/>
  <c r="Q187" i="76"/>
  <c r="Q192" i="76"/>
  <c r="Q181" i="76"/>
  <c r="Q185" i="76"/>
  <c r="Q190" i="76"/>
  <c r="Q77" i="70"/>
  <c r="Q26" i="70" s="1"/>
  <c r="Q19" i="37" s="1"/>
  <c r="Q150" i="37" s="1"/>
  <c r="Q42" i="37" s="1"/>
  <c r="Q25" i="31" s="1"/>
  <c r="P37" i="42"/>
  <c r="P40" i="42" s="1"/>
  <c r="S56" i="12"/>
  <c r="N31" i="31"/>
  <c r="S56" i="76"/>
  <c r="S76" i="76"/>
  <c r="S324" i="76"/>
  <c r="N85" i="37"/>
  <c r="N87" i="37" s="1"/>
  <c r="N90" i="37" s="1"/>
  <c r="N92" i="37" s="1"/>
  <c r="R103" i="76"/>
  <c r="R271" i="76" s="1"/>
  <c r="R109" i="76"/>
  <c r="R277" i="76" s="1"/>
  <c r="R106" i="76"/>
  <c r="R274" i="76" s="1"/>
  <c r="R111" i="76"/>
  <c r="R279" i="76" s="1"/>
  <c r="R105" i="76"/>
  <c r="R273" i="76" s="1"/>
  <c r="R102" i="76"/>
  <c r="R107" i="76"/>
  <c r="R275" i="76" s="1"/>
  <c r="R108" i="76"/>
  <c r="R276" i="76" s="1"/>
  <c r="R110" i="76"/>
  <c r="R278" i="76" s="1"/>
  <c r="R104" i="76"/>
  <c r="R272" i="76" s="1"/>
  <c r="R325" i="76"/>
  <c r="O224" i="37"/>
  <c r="O122" i="37" s="1"/>
  <c r="AI25" i="45" s="1"/>
  <c r="O58" i="37"/>
  <c r="L48" i="42" s="1"/>
  <c r="O222" i="37"/>
  <c r="O120" i="37" s="1"/>
  <c r="AI23" i="45" s="1"/>
  <c r="O219" i="37"/>
  <c r="O226" i="37"/>
  <c r="O124" i="37" s="1"/>
  <c r="AI27" i="45" s="1"/>
  <c r="O225" i="37"/>
  <c r="O123" i="37" s="1"/>
  <c r="AI26" i="45" s="1"/>
  <c r="O223" i="37"/>
  <c r="O121" i="37" s="1"/>
  <c r="AI24" i="45" s="1"/>
  <c r="O221" i="37"/>
  <c r="O119" i="37" s="1"/>
  <c r="AI22" i="45" s="1"/>
  <c r="O220" i="37"/>
  <c r="O118" i="37" s="1"/>
  <c r="AI21" i="45" s="1"/>
  <c r="O339" i="76"/>
  <c r="O348" i="76" s="1"/>
  <c r="O227" i="37"/>
  <c r="O125" i="37" s="1"/>
  <c r="O19" i="31"/>
  <c r="G18" i="23"/>
  <c r="N70" i="37"/>
  <c r="N72" i="37" s="1"/>
  <c r="K56" i="42"/>
  <c r="K58" i="42" s="1"/>
  <c r="S229" i="76"/>
  <c r="S230" i="76"/>
  <c r="S311" i="76" s="1"/>
  <c r="R166" i="76"/>
  <c r="R293" i="76" s="1"/>
  <c r="R167" i="76"/>
  <c r="R294" i="76" s="1"/>
  <c r="R165" i="76"/>
  <c r="R292" i="76" s="1"/>
  <c r="R175" i="76"/>
  <c r="R302" i="76" s="1"/>
  <c r="R156" i="76"/>
  <c r="R158" i="76"/>
  <c r="R285" i="76" s="1"/>
  <c r="R164" i="76"/>
  <c r="R291" i="76" s="1"/>
  <c r="R162" i="76"/>
  <c r="R289" i="76" s="1"/>
  <c r="R168" i="76"/>
  <c r="R295" i="76" s="1"/>
  <c r="R174" i="76"/>
  <c r="R301" i="76" s="1"/>
  <c r="R159" i="76"/>
  <c r="R286" i="76" s="1"/>
  <c r="R163" i="76"/>
  <c r="R290" i="76" s="1"/>
  <c r="R173" i="76"/>
  <c r="R300" i="76" s="1"/>
  <c r="R160" i="76"/>
  <c r="R287" i="76" s="1"/>
  <c r="R170" i="76"/>
  <c r="R297" i="76" s="1"/>
  <c r="R171" i="76"/>
  <c r="R298" i="76" s="1"/>
  <c r="R157" i="76"/>
  <c r="R284" i="76" s="1"/>
  <c r="R172" i="76"/>
  <c r="R299" i="76" s="1"/>
  <c r="R161" i="76"/>
  <c r="R288" i="76" s="1"/>
  <c r="R169" i="76"/>
  <c r="R296" i="76" s="1"/>
  <c r="R326" i="76"/>
  <c r="O62" i="37"/>
  <c r="O171" i="37"/>
  <c r="O341" i="76" s="1"/>
  <c r="O350" i="76" s="1"/>
  <c r="O41" i="37"/>
  <c r="O156" i="37"/>
  <c r="O158" i="37" s="1"/>
  <c r="N21" i="31"/>
  <c r="N126" i="37"/>
  <c r="N128" i="37" s="1"/>
  <c r="AH20" i="45"/>
  <c r="AH28" i="45" s="1"/>
  <c r="AH30" i="45" s="1"/>
  <c r="S109" i="76"/>
  <c r="S277" i="76" s="1"/>
  <c r="S107" i="76"/>
  <c r="S275" i="76" s="1"/>
  <c r="S106" i="76"/>
  <c r="S274" i="76" s="1"/>
  <c r="S111" i="76"/>
  <c r="S279" i="76" s="1"/>
  <c r="S104" i="76"/>
  <c r="S272" i="76" s="1"/>
  <c r="S102" i="76"/>
  <c r="S105" i="76"/>
  <c r="S273" i="76" s="1"/>
  <c r="S108" i="76"/>
  <c r="S276" i="76" s="1"/>
  <c r="S110" i="76"/>
  <c r="S278" i="76" s="1"/>
  <c r="S103" i="76"/>
  <c r="S271" i="76" s="1"/>
  <c r="S325" i="76"/>
  <c r="Q78" i="76"/>
  <c r="Q266" i="76"/>
  <c r="R211" i="76"/>
  <c r="R327" i="76"/>
  <c r="G17" i="23"/>
  <c r="O18" i="31"/>
  <c r="Q235" i="76"/>
  <c r="Q236" i="76"/>
  <c r="O37" i="42"/>
  <c r="O40" i="42" s="1"/>
  <c r="R56" i="12"/>
  <c r="S249" i="76"/>
  <c r="S250" i="76"/>
  <c r="S316" i="76" s="1"/>
  <c r="R56" i="76"/>
  <c r="R76" i="76"/>
  <c r="R324" i="76"/>
  <c r="AH34" i="45" l="1"/>
  <c r="Q258" i="76"/>
  <c r="AH33" i="45"/>
  <c r="R177" i="76"/>
  <c r="R283" i="76"/>
  <c r="G51" i="18"/>
  <c r="P41" i="37"/>
  <c r="P156" i="37"/>
  <c r="P158" i="37" s="1"/>
  <c r="P15" i="31"/>
  <c r="H14" i="23"/>
  <c r="G48" i="18"/>
  <c r="R236" i="76"/>
  <c r="R235" i="76"/>
  <c r="I18" i="23"/>
  <c r="Q19" i="31"/>
  <c r="Q15" i="31"/>
  <c r="I14" i="23"/>
  <c r="S191" i="76"/>
  <c r="S199" i="76"/>
  <c r="S190" i="76"/>
  <c r="S180" i="76"/>
  <c r="S188" i="76"/>
  <c r="S186" i="76"/>
  <c r="S181" i="76"/>
  <c r="S187" i="76"/>
  <c r="S182" i="76"/>
  <c r="S185" i="76"/>
  <c r="S192" i="76"/>
  <c r="S193" i="76"/>
  <c r="S195" i="76"/>
  <c r="S197" i="76"/>
  <c r="S184" i="76"/>
  <c r="S198" i="76"/>
  <c r="S189" i="76"/>
  <c r="S183" i="76"/>
  <c r="S196" i="76"/>
  <c r="S194" i="76"/>
  <c r="P59" i="37"/>
  <c r="M49" i="42" s="1"/>
  <c r="P340" i="76"/>
  <c r="P349" i="76" s="1"/>
  <c r="P62" i="37"/>
  <c r="P171" i="37"/>
  <c r="P173" i="37" s="1"/>
  <c r="P176" i="37" s="1"/>
  <c r="P178" i="37" s="1"/>
  <c r="H18" i="23"/>
  <c r="P19" i="31"/>
  <c r="R116" i="76"/>
  <c r="R120" i="76"/>
  <c r="R121" i="76"/>
  <c r="R125" i="76"/>
  <c r="R117" i="76"/>
  <c r="R118" i="76"/>
  <c r="R122" i="76"/>
  <c r="R124" i="76"/>
  <c r="R119" i="76"/>
  <c r="R123" i="76"/>
  <c r="S213" i="76"/>
  <c r="S306" i="76"/>
  <c r="I15" i="23"/>
  <c r="Q16" i="31"/>
  <c r="Q143" i="37"/>
  <c r="Q145" i="37" s="1"/>
  <c r="Q24" i="37"/>
  <c r="R78" i="76"/>
  <c r="R266" i="76"/>
  <c r="O70" i="42"/>
  <c r="S64" i="70"/>
  <c r="S115" i="70"/>
  <c r="S15" i="70" s="1"/>
  <c r="S123" i="76"/>
  <c r="S117" i="76"/>
  <c r="S119" i="76"/>
  <c r="S121" i="76"/>
  <c r="S120" i="76"/>
  <c r="S124" i="76"/>
  <c r="S116" i="76"/>
  <c r="S122" i="76"/>
  <c r="S125" i="76"/>
  <c r="S118" i="76"/>
  <c r="S177" i="76"/>
  <c r="S283" i="76"/>
  <c r="P18" i="31"/>
  <c r="H17" i="23"/>
  <c r="R256" i="76"/>
  <c r="R255" i="76"/>
  <c r="Q152" i="37"/>
  <c r="Q44" i="37" s="1"/>
  <c r="Q27" i="31" s="1"/>
  <c r="Q56" i="37"/>
  <c r="N46" i="42" s="1"/>
  <c r="Q59" i="37"/>
  <c r="N49" i="42" s="1"/>
  <c r="O48" i="37"/>
  <c r="O50" i="37" s="1"/>
  <c r="O24" i="31"/>
  <c r="O117" i="37"/>
  <c r="O228" i="37"/>
  <c r="O230" i="37" s="1"/>
  <c r="R270" i="76"/>
  <c r="R113" i="76"/>
  <c r="S255" i="76"/>
  <c r="S256" i="76"/>
  <c r="P58" i="37"/>
  <c r="M48" i="42" s="1"/>
  <c r="P220" i="37"/>
  <c r="P118" i="37" s="1"/>
  <c r="AJ21" i="45" s="1"/>
  <c r="P221" i="37"/>
  <c r="P119" i="37" s="1"/>
  <c r="AJ22" i="45" s="1"/>
  <c r="P339" i="76"/>
  <c r="P348" i="76" s="1"/>
  <c r="P225" i="37"/>
  <c r="P123" i="37" s="1"/>
  <c r="AJ26" i="45" s="1"/>
  <c r="P222" i="37"/>
  <c r="P120" i="37" s="1"/>
  <c r="AJ23" i="45" s="1"/>
  <c r="P224" i="37"/>
  <c r="P122" i="37" s="1"/>
  <c r="AJ25" i="45" s="1"/>
  <c r="P219" i="37"/>
  <c r="P223" i="37"/>
  <c r="P121" i="37" s="1"/>
  <c r="AJ24" i="45" s="1"/>
  <c r="P226" i="37"/>
  <c r="P124" i="37" s="1"/>
  <c r="AJ27" i="45" s="1"/>
  <c r="P227" i="37"/>
  <c r="P125" i="37" s="1"/>
  <c r="P56" i="37"/>
  <c r="M46" i="42" s="1"/>
  <c r="P337" i="76"/>
  <c r="P346" i="76" s="1"/>
  <c r="R184" i="76"/>
  <c r="R190" i="76"/>
  <c r="R191" i="76"/>
  <c r="R189" i="76"/>
  <c r="R199" i="76"/>
  <c r="R180" i="76"/>
  <c r="R182" i="76"/>
  <c r="R188" i="76"/>
  <c r="R186" i="76"/>
  <c r="R192" i="76"/>
  <c r="R194" i="76"/>
  <c r="R198" i="76"/>
  <c r="R183" i="76"/>
  <c r="R187" i="76"/>
  <c r="R197" i="76"/>
  <c r="R185" i="76"/>
  <c r="R193" i="76"/>
  <c r="R196" i="76"/>
  <c r="R195" i="76"/>
  <c r="R181" i="76"/>
  <c r="P78" i="37"/>
  <c r="AJ29" i="45"/>
  <c r="Q153" i="37"/>
  <c r="Q45" i="37" s="1"/>
  <c r="Q28" i="31" s="1"/>
  <c r="Q62" i="37"/>
  <c r="Q171" i="37"/>
  <c r="S78" i="76"/>
  <c r="S266" i="76"/>
  <c r="R252" i="76"/>
  <c r="R315" i="76"/>
  <c r="R333" i="76"/>
  <c r="P206" i="37"/>
  <c r="P102" i="37" s="1"/>
  <c r="AJ9" i="45" s="1"/>
  <c r="P210" i="37"/>
  <c r="P106" i="37" s="1"/>
  <c r="AJ13" i="45" s="1"/>
  <c r="P207" i="37"/>
  <c r="P103" i="37" s="1"/>
  <c r="AJ10" i="45" s="1"/>
  <c r="P203" i="37"/>
  <c r="P57" i="37"/>
  <c r="M47" i="42" s="1"/>
  <c r="P209" i="37"/>
  <c r="P105" i="37" s="1"/>
  <c r="AJ12" i="45" s="1"/>
  <c r="P211" i="37"/>
  <c r="P107" i="37" s="1"/>
  <c r="P338" i="76"/>
  <c r="P347" i="76" s="1"/>
  <c r="P204" i="37"/>
  <c r="P100" i="37" s="1"/>
  <c r="AJ7" i="45" s="1"/>
  <c r="P205" i="37"/>
  <c r="P101" i="37" s="1"/>
  <c r="AJ8" i="45" s="1"/>
  <c r="P208" i="37"/>
  <c r="P104" i="37" s="1"/>
  <c r="AJ11" i="45" s="1"/>
  <c r="P342" i="76"/>
  <c r="P351" i="76" s="1"/>
  <c r="P69" i="37"/>
  <c r="M57" i="42" s="1"/>
  <c r="P24" i="37"/>
  <c r="P143" i="37"/>
  <c r="P145" i="37" s="1"/>
  <c r="O85" i="37"/>
  <c r="O87" i="37" s="1"/>
  <c r="O90" i="37" s="1"/>
  <c r="O92" i="37" s="1"/>
  <c r="P82" i="37"/>
  <c r="P191" i="37"/>
  <c r="P193" i="37" s="1"/>
  <c r="P196" i="37" s="1"/>
  <c r="P198" i="37" s="1"/>
  <c r="Q154" i="37"/>
  <c r="Q46" i="37" s="1"/>
  <c r="Q29" i="31" s="1"/>
  <c r="Q20" i="31"/>
  <c r="I19" i="23"/>
  <c r="Q223" i="37"/>
  <c r="Q121" i="37" s="1"/>
  <c r="AK24" i="45" s="1"/>
  <c r="Q227" i="37"/>
  <c r="Q125" i="37" s="1"/>
  <c r="Q221" i="37"/>
  <c r="Q119" i="37" s="1"/>
  <c r="AK22" i="45" s="1"/>
  <c r="Q220" i="37"/>
  <c r="Q118" i="37" s="1"/>
  <c r="AK21" i="45" s="1"/>
  <c r="Q224" i="37"/>
  <c r="Q122" i="37" s="1"/>
  <c r="AK25" i="45" s="1"/>
  <c r="Q225" i="37"/>
  <c r="Q123" i="37" s="1"/>
  <c r="AK26" i="45" s="1"/>
  <c r="Q219" i="37"/>
  <c r="Q222" i="37"/>
  <c r="Q120" i="37" s="1"/>
  <c r="AK23" i="45" s="1"/>
  <c r="Q226" i="37"/>
  <c r="Q124" i="37" s="1"/>
  <c r="AK27" i="45" s="1"/>
  <c r="Q58" i="37"/>
  <c r="N48" i="42" s="1"/>
  <c r="C56" i="76"/>
  <c r="D103" i="28" s="1"/>
  <c r="P20" i="31"/>
  <c r="H19" i="23"/>
  <c r="Q127" i="76"/>
  <c r="R66" i="76"/>
  <c r="R81" i="76"/>
  <c r="R83" i="76" s="1"/>
  <c r="Q151" i="37"/>
  <c r="Q43" i="37" s="1"/>
  <c r="Q26" i="31" s="1"/>
  <c r="Q18" i="31"/>
  <c r="I17" i="23"/>
  <c r="Q204" i="37"/>
  <c r="Q100" i="37" s="1"/>
  <c r="AK7" i="45" s="1"/>
  <c r="Q206" i="37"/>
  <c r="Q102" i="37" s="1"/>
  <c r="AK9" i="45" s="1"/>
  <c r="Q205" i="37"/>
  <c r="Q101" i="37" s="1"/>
  <c r="AK8" i="45" s="1"/>
  <c r="Q211" i="37"/>
  <c r="Q107" i="37" s="1"/>
  <c r="Q203" i="37"/>
  <c r="Q57" i="37"/>
  <c r="N47" i="42" s="1"/>
  <c r="Q209" i="37"/>
  <c r="Q105" i="37" s="1"/>
  <c r="AK12" i="45" s="1"/>
  <c r="Q210" i="37"/>
  <c r="Q106" i="37" s="1"/>
  <c r="AK13" i="45" s="1"/>
  <c r="Q207" i="37"/>
  <c r="Q103" i="37" s="1"/>
  <c r="AK10" i="45" s="1"/>
  <c r="Q208" i="37"/>
  <c r="Q104" i="37" s="1"/>
  <c r="AK11" i="45" s="1"/>
  <c r="O12" i="31"/>
  <c r="O33" i="37"/>
  <c r="O35" i="37" s="1"/>
  <c r="G11" i="23"/>
  <c r="R213" i="76"/>
  <c r="R306" i="76"/>
  <c r="S113" i="76"/>
  <c r="S270" i="76"/>
  <c r="S252" i="76"/>
  <c r="S315" i="76"/>
  <c r="S333" i="76"/>
  <c r="Q238" i="76"/>
  <c r="S310" i="76"/>
  <c r="S232" i="76"/>
  <c r="S331" i="76"/>
  <c r="S332" i="76" s="1"/>
  <c r="P70" i="42"/>
  <c r="R232" i="76"/>
  <c r="R331" i="76"/>
  <c r="R332" i="76" s="1"/>
  <c r="R310" i="76"/>
  <c r="S66" i="76"/>
  <c r="S81" i="76"/>
  <c r="S83" i="76" s="1"/>
  <c r="H15" i="23"/>
  <c r="P16" i="31"/>
  <c r="H13" i="23"/>
  <c r="P14" i="31"/>
  <c r="R76" i="70"/>
  <c r="R113" i="70"/>
  <c r="R117" i="70"/>
  <c r="R17" i="70" s="1"/>
  <c r="O212" i="37"/>
  <c r="O214" i="37" s="1"/>
  <c r="O99" i="37"/>
  <c r="O173" i="37"/>
  <c r="O176" i="37" s="1"/>
  <c r="O178" i="37" s="1"/>
  <c r="AJ15" i="45"/>
  <c r="P77" i="37"/>
  <c r="I12" i="23"/>
  <c r="Q13" i="31"/>
  <c r="Q69" i="37"/>
  <c r="N57" i="42" s="1"/>
  <c r="Q37" i="42"/>
  <c r="Q40" i="42" s="1"/>
  <c r="O65" i="37"/>
  <c r="O67" i="37" s="1"/>
  <c r="L51" i="42"/>
  <c r="K63" i="42"/>
  <c r="K65" i="42" s="1"/>
  <c r="K71" i="42"/>
  <c r="Q155" i="37"/>
  <c r="Q47" i="37" s="1"/>
  <c r="Q30" i="31" s="1"/>
  <c r="Q188" i="37"/>
  <c r="Q184" i="37"/>
  <c r="Q189" i="37"/>
  <c r="Q83" i="37" s="1"/>
  <c r="Q195" i="37"/>
  <c r="Q89" i="37" s="1"/>
  <c r="Q185" i="37"/>
  <c r="Q79" i="37" s="1"/>
  <c r="Q182" i="37"/>
  <c r="Q76" i="37" s="1"/>
  <c r="Q183" i="37"/>
  <c r="Q190" i="37"/>
  <c r="Q84" i="37" s="1"/>
  <c r="Q201" i="76"/>
  <c r="S235" i="76"/>
  <c r="S236" i="76"/>
  <c r="P17" i="31"/>
  <c r="H16" i="23"/>
  <c r="P13" i="31"/>
  <c r="H12" i="23"/>
  <c r="Q149" i="37"/>
  <c r="I16" i="23"/>
  <c r="Q17" i="31"/>
  <c r="I13" i="23"/>
  <c r="Q14" i="31"/>
  <c r="S258" i="76" l="1"/>
  <c r="R258" i="76"/>
  <c r="C113" i="76"/>
  <c r="D109" i="28" s="1"/>
  <c r="C252" i="76"/>
  <c r="D121" i="28" s="1"/>
  <c r="Q342" i="76"/>
  <c r="Q351" i="76" s="1"/>
  <c r="C232" i="76"/>
  <c r="D118" i="28" s="1"/>
  <c r="C177" i="76"/>
  <c r="D112" i="28" s="1"/>
  <c r="C78" i="76"/>
  <c r="D106" i="28" s="1"/>
  <c r="AK29" i="45"/>
  <c r="Q78" i="37"/>
  <c r="R24" i="70"/>
  <c r="R16" i="37" s="1"/>
  <c r="R77" i="70"/>
  <c r="R26" i="70" s="1"/>
  <c r="R19" i="37" s="1"/>
  <c r="L56" i="42"/>
  <c r="O70" i="37"/>
  <c r="O72" i="37" s="1"/>
  <c r="P85" i="37"/>
  <c r="P87" i="37" s="1"/>
  <c r="P90" i="37" s="1"/>
  <c r="P92" i="37" s="1"/>
  <c r="O21" i="31"/>
  <c r="Q339" i="76"/>
  <c r="Q348" i="76" s="1"/>
  <c r="C213" i="76"/>
  <c r="D115" i="28" s="1"/>
  <c r="O108" i="37"/>
  <c r="O110" i="37" s="1"/>
  <c r="AI6" i="45"/>
  <c r="Q340" i="76"/>
  <c r="Q349" i="76" s="1"/>
  <c r="S201" i="76"/>
  <c r="P24" i="31"/>
  <c r="P48" i="37"/>
  <c r="P50" i="37" s="1"/>
  <c r="Q191" i="37"/>
  <c r="Q193" i="37" s="1"/>
  <c r="Q196" i="37" s="1"/>
  <c r="Q198" i="37" s="1"/>
  <c r="Q82" i="37"/>
  <c r="L54" i="42"/>
  <c r="S238" i="76"/>
  <c r="C83" i="76"/>
  <c r="D107" i="28" s="1"/>
  <c r="S127" i="76"/>
  <c r="S76" i="70"/>
  <c r="S117" i="70"/>
  <c r="S17" i="70" s="1"/>
  <c r="S113" i="70"/>
  <c r="R127" i="76"/>
  <c r="P341" i="76"/>
  <c r="P350" i="76" s="1"/>
  <c r="C66" i="76"/>
  <c r="D104" i="28" s="1"/>
  <c r="O31" i="31"/>
  <c r="Q173" i="37"/>
  <c r="Q176" i="37" s="1"/>
  <c r="Q178" i="37" s="1"/>
  <c r="Q12" i="31"/>
  <c r="Q33" i="37"/>
  <c r="Q35" i="37" s="1"/>
  <c r="I11" i="23"/>
  <c r="I20" i="23" s="1"/>
  <c r="M51" i="42"/>
  <c r="M54" i="42" s="1"/>
  <c r="P65" i="37"/>
  <c r="P67" i="37" s="1"/>
  <c r="R238" i="76"/>
  <c r="C238" i="76" s="1"/>
  <c r="D119" i="28" s="1"/>
  <c r="Q41" i="37"/>
  <c r="Q156" i="37"/>
  <c r="Q158" i="37" s="1"/>
  <c r="Q338" i="76"/>
  <c r="Q347" i="76" s="1"/>
  <c r="Q77" i="37"/>
  <c r="AK15" i="45"/>
  <c r="Q228" i="37"/>
  <c r="Q230" i="37" s="1"/>
  <c r="Q117" i="37"/>
  <c r="P12" i="31"/>
  <c r="H11" i="23"/>
  <c r="H20" i="23" s="1"/>
  <c r="P33" i="37"/>
  <c r="P35" i="37" s="1"/>
  <c r="Q65" i="37"/>
  <c r="Q67" i="37" s="1"/>
  <c r="N51" i="42"/>
  <c r="N54" i="42" s="1"/>
  <c r="Q337" i="76"/>
  <c r="Q346" i="76" s="1"/>
  <c r="AI20" i="45"/>
  <c r="O126" i="37"/>
  <c r="O128" i="37" s="1"/>
  <c r="G20" i="23"/>
  <c r="G23" i="23" s="1"/>
  <c r="Q99" i="37"/>
  <c r="Q212" i="37"/>
  <c r="Q214" i="37" s="1"/>
  <c r="P212" i="37"/>
  <c r="P214" i="37" s="1"/>
  <c r="P99" i="37"/>
  <c r="R201" i="76"/>
  <c r="P117" i="37"/>
  <c r="P228" i="37"/>
  <c r="P230" i="37" s="1"/>
  <c r="C258" i="76" l="1"/>
  <c r="D122" i="28" s="1"/>
  <c r="Q341" i="76"/>
  <c r="Q350" i="76" s="1"/>
  <c r="L58" i="42"/>
  <c r="AI28" i="45"/>
  <c r="AI30" i="45" s="1"/>
  <c r="AI34" i="45" s="1"/>
  <c r="AJ6" i="45"/>
  <c r="AJ14" i="45" s="1"/>
  <c r="AJ16" i="45" s="1"/>
  <c r="P108" i="37"/>
  <c r="P110" i="37" s="1"/>
  <c r="Q24" i="31"/>
  <c r="Q48" i="37"/>
  <c r="Q50" i="37" s="1"/>
  <c r="Q126" i="37"/>
  <c r="Q128" i="37" s="1"/>
  <c r="AK20" i="45"/>
  <c r="AK28" i="45" s="1"/>
  <c r="AK30" i="45" s="1"/>
  <c r="P31" i="31"/>
  <c r="AI14" i="45"/>
  <c r="AI16" i="45" s="1"/>
  <c r="AI33" i="45" s="1"/>
  <c r="M56" i="42"/>
  <c r="M58" i="42" s="1"/>
  <c r="P70" i="37"/>
  <c r="P72" i="37" s="1"/>
  <c r="S24" i="70"/>
  <c r="S16" i="37" s="1"/>
  <c r="S77" i="70"/>
  <c r="S26" i="70" s="1"/>
  <c r="S19" i="37" s="1"/>
  <c r="P126" i="37"/>
  <c r="P128" i="37" s="1"/>
  <c r="AJ20" i="45"/>
  <c r="AJ28" i="45" s="1"/>
  <c r="AJ30" i="45" s="1"/>
  <c r="AK6" i="45"/>
  <c r="AK14" i="45" s="1"/>
  <c r="AK16" i="45" s="1"/>
  <c r="Q108" i="37"/>
  <c r="Q110" i="37" s="1"/>
  <c r="H23" i="23"/>
  <c r="I23" i="23"/>
  <c r="C127" i="76"/>
  <c r="D110" i="28" s="1"/>
  <c r="Q85" i="37"/>
  <c r="Q87" i="37" s="1"/>
  <c r="Q90" i="37" s="1"/>
  <c r="Q92" i="37" s="1"/>
  <c r="R183" i="37"/>
  <c r="R189" i="37"/>
  <c r="R83" i="37" s="1"/>
  <c r="R190" i="37"/>
  <c r="R84" i="37" s="1"/>
  <c r="R188" i="37"/>
  <c r="R195" i="37"/>
  <c r="R89" i="37" s="1"/>
  <c r="R185" i="37"/>
  <c r="R79" i="37" s="1"/>
  <c r="R184" i="37"/>
  <c r="R182" i="37"/>
  <c r="R76" i="37" s="1"/>
  <c r="Q70" i="37"/>
  <c r="Q72" i="37" s="1"/>
  <c r="N56" i="42"/>
  <c r="N58" i="42" s="1"/>
  <c r="P21" i="31"/>
  <c r="R168" i="37"/>
  <c r="R149" i="37"/>
  <c r="R136" i="37"/>
  <c r="R26" i="37" s="1"/>
  <c r="R139" i="37"/>
  <c r="R29" i="37" s="1"/>
  <c r="R170" i="37"/>
  <c r="R64" i="37" s="1"/>
  <c r="O53" i="42" s="1"/>
  <c r="R152" i="37"/>
  <c r="R44" i="37" s="1"/>
  <c r="R27" i="31" s="1"/>
  <c r="R155" i="37"/>
  <c r="R47" i="37" s="1"/>
  <c r="R30" i="31" s="1"/>
  <c r="R150" i="37"/>
  <c r="R42" i="37" s="1"/>
  <c r="R25" i="31" s="1"/>
  <c r="R163" i="37"/>
  <c r="R154" i="37"/>
  <c r="R46" i="37" s="1"/>
  <c r="R29" i="31" s="1"/>
  <c r="R164" i="37"/>
  <c r="R142" i="37"/>
  <c r="R32" i="37" s="1"/>
  <c r="R169" i="37"/>
  <c r="R63" i="37" s="1"/>
  <c r="O52" i="42" s="1"/>
  <c r="R153" i="37"/>
  <c r="R45" i="37" s="1"/>
  <c r="R28" i="31" s="1"/>
  <c r="R165" i="37"/>
  <c r="R140" i="37"/>
  <c r="R30" i="37" s="1"/>
  <c r="R134" i="37"/>
  <c r="R151" i="37"/>
  <c r="R43" i="37" s="1"/>
  <c r="R26" i="31" s="1"/>
  <c r="R137" i="37"/>
  <c r="R27" i="37" s="1"/>
  <c r="R162" i="37"/>
  <c r="R141" i="37"/>
  <c r="R31" i="37" s="1"/>
  <c r="R135" i="37"/>
  <c r="R25" i="37" s="1"/>
  <c r="R175" i="37"/>
  <c r="R138" i="37"/>
  <c r="R28" i="37" s="1"/>
  <c r="Q21" i="31"/>
  <c r="C201" i="76"/>
  <c r="D113" i="28" s="1"/>
  <c r="AJ34" i="45" l="1"/>
  <c r="J14" i="23"/>
  <c r="R15" i="31"/>
  <c r="R221" i="37"/>
  <c r="R119" i="37" s="1"/>
  <c r="AL22" i="45" s="1"/>
  <c r="R339" i="76"/>
  <c r="R348" i="76" s="1"/>
  <c r="R227" i="37"/>
  <c r="R125" i="37" s="1"/>
  <c r="R222" i="37"/>
  <c r="R120" i="37" s="1"/>
  <c r="AL23" i="45" s="1"/>
  <c r="R225" i="37"/>
  <c r="R123" i="37" s="1"/>
  <c r="AL26" i="45" s="1"/>
  <c r="R58" i="37"/>
  <c r="O48" i="42" s="1"/>
  <c r="R226" i="37"/>
  <c r="R124" i="37" s="1"/>
  <c r="AL27" i="45" s="1"/>
  <c r="R223" i="37"/>
  <c r="R121" i="37" s="1"/>
  <c r="AL24" i="45" s="1"/>
  <c r="R224" i="37"/>
  <c r="R122" i="37" s="1"/>
  <c r="AL25" i="45" s="1"/>
  <c r="R219" i="37"/>
  <c r="R220" i="37"/>
  <c r="R118" i="37" s="1"/>
  <c r="AL21" i="45" s="1"/>
  <c r="AK33" i="45"/>
  <c r="R156" i="37"/>
  <c r="R158" i="37" s="1"/>
  <c r="R41" i="37"/>
  <c r="R82" i="37"/>
  <c r="R191" i="37"/>
  <c r="R193" i="37" s="1"/>
  <c r="R196" i="37" s="1"/>
  <c r="R198" i="37" s="1"/>
  <c r="M63" i="42"/>
  <c r="M65" i="42" s="1"/>
  <c r="M71" i="42"/>
  <c r="R143" i="37"/>
  <c r="R145" i="37" s="1"/>
  <c r="R24" i="37"/>
  <c r="R203" i="37"/>
  <c r="R207" i="37"/>
  <c r="R103" i="37" s="1"/>
  <c r="AL10" i="45" s="1"/>
  <c r="R338" i="76"/>
  <c r="R347" i="76" s="1"/>
  <c r="R206" i="37"/>
  <c r="R102" i="37" s="1"/>
  <c r="AL9" i="45" s="1"/>
  <c r="R57" i="37"/>
  <c r="O47" i="42" s="1"/>
  <c r="R204" i="37"/>
  <c r="R100" i="37" s="1"/>
  <c r="AL7" i="45" s="1"/>
  <c r="R208" i="37"/>
  <c r="R104" i="37" s="1"/>
  <c r="AL11" i="45" s="1"/>
  <c r="R210" i="37"/>
  <c r="R106" i="37" s="1"/>
  <c r="AL13" i="45" s="1"/>
  <c r="R209" i="37"/>
  <c r="R105" i="37" s="1"/>
  <c r="AL12" i="45" s="1"/>
  <c r="R205" i="37"/>
  <c r="R101" i="37" s="1"/>
  <c r="AL8" i="45" s="1"/>
  <c r="R211" i="37"/>
  <c r="R107" i="37" s="1"/>
  <c r="R171" i="37"/>
  <c r="R62" i="37"/>
  <c r="N63" i="42"/>
  <c r="N65" i="42" s="1"/>
  <c r="N71" i="42"/>
  <c r="AK34" i="45"/>
  <c r="R20" i="31"/>
  <c r="J19" i="23"/>
  <c r="R69" i="37"/>
  <c r="O57" i="42" s="1"/>
  <c r="R342" i="76"/>
  <c r="R351" i="76" s="1"/>
  <c r="R59" i="37"/>
  <c r="O49" i="42" s="1"/>
  <c r="R340" i="76"/>
  <c r="R349" i="76" s="1"/>
  <c r="R77" i="37"/>
  <c r="AL15" i="45"/>
  <c r="S136" i="37"/>
  <c r="S26" i="37" s="1"/>
  <c r="S169" i="37"/>
  <c r="S63" i="37" s="1"/>
  <c r="P52" i="42" s="1"/>
  <c r="Q52" i="42" s="1"/>
  <c r="S151" i="37"/>
  <c r="S43" i="37" s="1"/>
  <c r="S26" i="31" s="1"/>
  <c r="S154" i="37"/>
  <c r="S46" i="37" s="1"/>
  <c r="S29" i="31" s="1"/>
  <c r="S139" i="37"/>
  <c r="S29" i="37" s="1"/>
  <c r="S152" i="37"/>
  <c r="S44" i="37" s="1"/>
  <c r="S27" i="31" s="1"/>
  <c r="S141" i="37"/>
  <c r="S31" i="37" s="1"/>
  <c r="S170" i="37"/>
  <c r="S64" i="37" s="1"/>
  <c r="P53" i="42" s="1"/>
  <c r="Q53" i="42" s="1"/>
  <c r="S135" i="37"/>
  <c r="S25" i="37" s="1"/>
  <c r="S162" i="37"/>
  <c r="S138" i="37"/>
  <c r="S28" i="37" s="1"/>
  <c r="S149" i="37"/>
  <c r="S134" i="37"/>
  <c r="S142" i="37"/>
  <c r="S32" i="37" s="1"/>
  <c r="S163" i="37"/>
  <c r="S164" i="37"/>
  <c r="S153" i="37"/>
  <c r="S45" i="37" s="1"/>
  <c r="S28" i="31" s="1"/>
  <c r="S137" i="37"/>
  <c r="S27" i="37" s="1"/>
  <c r="S175" i="37"/>
  <c r="S168" i="37"/>
  <c r="S155" i="37"/>
  <c r="S47" i="37" s="1"/>
  <c r="S30" i="31" s="1"/>
  <c r="S165" i="37"/>
  <c r="S150" i="37"/>
  <c r="S42" i="37" s="1"/>
  <c r="S25" i="31" s="1"/>
  <c r="S140" i="37"/>
  <c r="S30" i="37" s="1"/>
  <c r="J15" i="23"/>
  <c r="R16" i="31"/>
  <c r="J17" i="23"/>
  <c r="R18" i="31"/>
  <c r="S183" i="37"/>
  <c r="S195" i="37"/>
  <c r="S89" i="37" s="1"/>
  <c r="S185" i="37"/>
  <c r="S79" i="37" s="1"/>
  <c r="S190" i="37"/>
  <c r="S84" i="37" s="1"/>
  <c r="S189" i="37"/>
  <c r="S83" i="37" s="1"/>
  <c r="S184" i="37"/>
  <c r="S188" i="37"/>
  <c r="S182" i="37"/>
  <c r="S76" i="37" s="1"/>
  <c r="R13" i="31"/>
  <c r="J12" i="23"/>
  <c r="L63" i="42"/>
  <c r="L71" i="42"/>
  <c r="R17" i="31"/>
  <c r="J16" i="23"/>
  <c r="J18" i="23"/>
  <c r="R19" i="31"/>
  <c r="AL29" i="45"/>
  <c r="R78" i="37"/>
  <c r="Q31" i="31"/>
  <c r="AJ33" i="45"/>
  <c r="R56" i="37"/>
  <c r="O46" i="42" s="1"/>
  <c r="R337" i="76"/>
  <c r="R346" i="76" s="1"/>
  <c r="R14" i="31"/>
  <c r="J13" i="23"/>
  <c r="S77" i="37" l="1"/>
  <c r="AM15" i="45"/>
  <c r="S15" i="31"/>
  <c r="K14" i="23"/>
  <c r="L14" i="23" s="1"/>
  <c r="S56" i="37"/>
  <c r="P46" i="42" s="1"/>
  <c r="Q46" i="42" s="1"/>
  <c r="S337" i="76"/>
  <c r="S346" i="76" s="1"/>
  <c r="R117" i="37"/>
  <c r="R228" i="37"/>
  <c r="R230" i="37" s="1"/>
  <c r="K12" i="23"/>
  <c r="L12" i="23" s="1"/>
  <c r="S13" i="31"/>
  <c r="K13" i="23"/>
  <c r="L13" i="23" s="1"/>
  <c r="S14" i="31"/>
  <c r="R65" i="37"/>
  <c r="R67" i="37" s="1"/>
  <c r="O51" i="42"/>
  <c r="R24" i="31"/>
  <c r="R48" i="37"/>
  <c r="R50" i="37" s="1"/>
  <c r="S82" i="37"/>
  <c r="S191" i="37"/>
  <c r="S193" i="37" s="1"/>
  <c r="S196" i="37" s="1"/>
  <c r="S198" i="37" s="1"/>
  <c r="D198" i="37" s="1"/>
  <c r="D83" i="28" s="1"/>
  <c r="K17" i="23"/>
  <c r="L17" i="23" s="1"/>
  <c r="S18" i="31"/>
  <c r="R173" i="37"/>
  <c r="R176" i="37" s="1"/>
  <c r="R178" i="37" s="1"/>
  <c r="R341" i="76"/>
  <c r="R350" i="76" s="1"/>
  <c r="AM29" i="45"/>
  <c r="S78" i="37"/>
  <c r="S338" i="76"/>
  <c r="S347" i="76" s="1"/>
  <c r="S205" i="37"/>
  <c r="S101" i="37" s="1"/>
  <c r="AM8" i="45" s="1"/>
  <c r="AN8" i="45" s="1"/>
  <c r="S210" i="37"/>
  <c r="S106" i="37" s="1"/>
  <c r="AM13" i="45" s="1"/>
  <c r="AN13" i="45" s="1"/>
  <c r="S209" i="37"/>
  <c r="S105" i="37" s="1"/>
  <c r="AM12" i="45" s="1"/>
  <c r="AN12" i="45" s="1"/>
  <c r="S203" i="37"/>
  <c r="S57" i="37"/>
  <c r="P47" i="42" s="1"/>
  <c r="Q47" i="42" s="1"/>
  <c r="S208" i="37"/>
  <c r="S104" i="37" s="1"/>
  <c r="AM11" i="45" s="1"/>
  <c r="AN11" i="45" s="1"/>
  <c r="S206" i="37"/>
  <c r="S102" i="37" s="1"/>
  <c r="AM9" i="45" s="1"/>
  <c r="AN9" i="45" s="1"/>
  <c r="S204" i="37"/>
  <c r="S100" i="37" s="1"/>
  <c r="AM7" i="45" s="1"/>
  <c r="AN7" i="45" s="1"/>
  <c r="S211" i="37"/>
  <c r="S107" i="37" s="1"/>
  <c r="S207" i="37"/>
  <c r="S103" i="37" s="1"/>
  <c r="AM10" i="45" s="1"/>
  <c r="AN10" i="45" s="1"/>
  <c r="S19" i="31"/>
  <c r="K18" i="23"/>
  <c r="L18" i="23" s="1"/>
  <c r="S58" i="37"/>
  <c r="P48" i="42" s="1"/>
  <c r="Q48" i="42" s="1"/>
  <c r="S339" i="76"/>
  <c r="S348" i="76" s="1"/>
  <c r="S225" i="37"/>
  <c r="S123" i="37" s="1"/>
  <c r="AM26" i="45" s="1"/>
  <c r="AN26" i="45" s="1"/>
  <c r="S227" i="37"/>
  <c r="S125" i="37" s="1"/>
  <c r="S223" i="37"/>
  <c r="S121" i="37" s="1"/>
  <c r="AM24" i="45" s="1"/>
  <c r="AN24" i="45" s="1"/>
  <c r="S221" i="37"/>
  <c r="S119" i="37" s="1"/>
  <c r="AM22" i="45" s="1"/>
  <c r="AN22" i="45" s="1"/>
  <c r="S222" i="37"/>
  <c r="S120" i="37" s="1"/>
  <c r="AM23" i="45" s="1"/>
  <c r="AN23" i="45" s="1"/>
  <c r="S220" i="37"/>
  <c r="S118" i="37" s="1"/>
  <c r="AM21" i="45" s="1"/>
  <c r="AN21" i="45" s="1"/>
  <c r="S224" i="37"/>
  <c r="S122" i="37" s="1"/>
  <c r="AM25" i="45" s="1"/>
  <c r="AN25" i="45" s="1"/>
  <c r="S226" i="37"/>
  <c r="S124" i="37" s="1"/>
  <c r="AM27" i="45" s="1"/>
  <c r="AN27" i="45" s="1"/>
  <c r="S219" i="37"/>
  <c r="S59" i="37"/>
  <c r="P49" i="42" s="1"/>
  <c r="Q49" i="42" s="1"/>
  <c r="S340" i="76"/>
  <c r="S349" i="76" s="1"/>
  <c r="K19" i="23"/>
  <c r="L19" i="23" s="1"/>
  <c r="S20" i="31"/>
  <c r="R85" i="37"/>
  <c r="R87" i="37" s="1"/>
  <c r="R90" i="37" s="1"/>
  <c r="R92" i="37" s="1"/>
  <c r="S143" i="37"/>
  <c r="S145" i="37" s="1"/>
  <c r="D145" i="37" s="1"/>
  <c r="D80" i="28" s="1"/>
  <c r="S24" i="37"/>
  <c r="K16" i="23"/>
  <c r="L16" i="23" s="1"/>
  <c r="S17" i="31"/>
  <c r="R99" i="37"/>
  <c r="R212" i="37"/>
  <c r="R214" i="37" s="1"/>
  <c r="L65" i="42"/>
  <c r="S62" i="37"/>
  <c r="S171" i="37"/>
  <c r="S41" i="37"/>
  <c r="S156" i="37"/>
  <c r="S158" i="37" s="1"/>
  <c r="D158" i="37" s="1"/>
  <c r="D81" i="28" s="1"/>
  <c r="R12" i="31"/>
  <c r="J11" i="23"/>
  <c r="R33" i="37"/>
  <c r="R35" i="37" s="1"/>
  <c r="S342" i="76"/>
  <c r="S351" i="76" s="1"/>
  <c r="S69" i="37"/>
  <c r="P57" i="42" s="1"/>
  <c r="Q57" i="42" s="1"/>
  <c r="S16" i="31"/>
  <c r="K15" i="23"/>
  <c r="L15" i="23" s="1"/>
  <c r="S341" i="76" l="1"/>
  <c r="S350" i="76" s="1"/>
  <c r="R70" i="37"/>
  <c r="R72" i="37" s="1"/>
  <c r="O56" i="42"/>
  <c r="R31" i="31"/>
  <c r="P51" i="42"/>
  <c r="P54" i="42" s="1"/>
  <c r="S65" i="37"/>
  <c r="S67" i="37" s="1"/>
  <c r="J20" i="23"/>
  <c r="J23" i="23" s="1"/>
  <c r="S228" i="37"/>
  <c r="S230" i="37" s="1"/>
  <c r="D230" i="37" s="1"/>
  <c r="D85" i="28" s="1"/>
  <c r="S117" i="37"/>
  <c r="R21" i="31"/>
  <c r="S33" i="37"/>
  <c r="S35" i="37" s="1"/>
  <c r="D35" i="37" s="1"/>
  <c r="D74" i="28" s="1"/>
  <c r="K11" i="23"/>
  <c r="K20" i="23" s="1"/>
  <c r="S12" i="31"/>
  <c r="S212" i="37"/>
  <c r="S214" i="37" s="1"/>
  <c r="D214" i="37" s="1"/>
  <c r="D84" i="28" s="1"/>
  <c r="S99" i="37"/>
  <c r="S24" i="31"/>
  <c r="S48" i="37"/>
  <c r="S50" i="37" s="1"/>
  <c r="D50" i="37" s="1"/>
  <c r="D75" i="28" s="1"/>
  <c r="AL6" i="45"/>
  <c r="R108" i="37"/>
  <c r="R110" i="37" s="1"/>
  <c r="AL20" i="45"/>
  <c r="R126" i="37"/>
  <c r="R128" i="37" s="1"/>
  <c r="S85" i="37"/>
  <c r="S87" i="37" s="1"/>
  <c r="S90" i="37" s="1"/>
  <c r="S92" i="37" s="1"/>
  <c r="D92" i="37" s="1"/>
  <c r="D77" i="28" s="1"/>
  <c r="O54" i="42"/>
  <c r="Q51" i="42"/>
  <c r="Q54" i="42" s="1"/>
  <c r="S173" i="37"/>
  <c r="S176" i="37" s="1"/>
  <c r="S178" i="37" s="1"/>
  <c r="D178" i="37" s="1"/>
  <c r="D82" i="28" s="1"/>
  <c r="K23" i="23" l="1"/>
  <c r="AL28" i="45"/>
  <c r="AL30" i="45" s="1"/>
  <c r="AL34" i="45" s="1"/>
  <c r="AM6" i="45"/>
  <c r="AM14" i="45" s="1"/>
  <c r="AM16" i="45" s="1"/>
  <c r="S108" i="37"/>
  <c r="S110" i="37" s="1"/>
  <c r="D110" i="37" s="1"/>
  <c r="D78" i="28" s="1"/>
  <c r="S21" i="31"/>
  <c r="AL14" i="45"/>
  <c r="AL16" i="45" s="1"/>
  <c r="AL33" i="45" s="1"/>
  <c r="O58" i="42"/>
  <c r="AM20" i="45"/>
  <c r="AM28" i="45" s="1"/>
  <c r="AM30" i="45" s="1"/>
  <c r="S126" i="37"/>
  <c r="S128" i="37" s="1"/>
  <c r="D128" i="37" s="1"/>
  <c r="D79" i="28" s="1"/>
  <c r="S31" i="31"/>
  <c r="L11" i="23"/>
  <c r="L20" i="23" s="1"/>
  <c r="S70" i="37"/>
  <c r="S72" i="37" s="1"/>
  <c r="D72" i="37" s="1"/>
  <c r="D76" i="28" s="1"/>
  <c r="P56" i="42"/>
  <c r="P58" i="42" s="1"/>
  <c r="AM33" i="45" l="1"/>
  <c r="AM34" i="45"/>
  <c r="P71" i="42"/>
  <c r="P63" i="42"/>
  <c r="P65" i="42" s="1"/>
  <c r="AN6" i="45"/>
  <c r="AN14" i="45" s="1"/>
  <c r="AN16" i="45" s="1"/>
  <c r="Q56" i="42"/>
  <c r="Q58" i="42" s="1"/>
  <c r="O71" i="42"/>
  <c r="AN20" i="45"/>
  <c r="AN28" i="45" s="1"/>
  <c r="AN30" i="45" s="1"/>
  <c r="L7" i="43" l="1"/>
  <c r="P11" i="46"/>
  <c r="S11" i="46"/>
  <c r="S13" i="46" s="1"/>
  <c r="O7" i="43"/>
  <c r="R11" i="46"/>
  <c r="R13" i="46" s="1"/>
  <c r="N7" i="43"/>
  <c r="O11" i="46"/>
  <c r="O13" i="46" s="1"/>
  <c r="K7" i="43"/>
  <c r="O63" i="42"/>
  <c r="Q63" i="42" s="1"/>
  <c r="Q62" i="42"/>
  <c r="T11" i="46"/>
  <c r="T13" i="46" s="1"/>
  <c r="P7" i="43"/>
  <c r="Q11" i="46"/>
  <c r="Q13" i="46" s="1"/>
  <c r="M7" i="43"/>
  <c r="J7" i="43"/>
  <c r="N11" i="46"/>
  <c r="N13" i="46" s="1"/>
  <c r="L12" i="43" l="1"/>
  <c r="K12" i="43"/>
  <c r="J12" i="43"/>
  <c r="N12" i="43"/>
  <c r="S18" i="46"/>
  <c r="AG18" i="46"/>
  <c r="Q17" i="46"/>
  <c r="M8" i="43"/>
  <c r="Q18" i="46"/>
  <c r="AE18" i="46"/>
  <c r="R18" i="46"/>
  <c r="AF18" i="46"/>
  <c r="U11" i="46"/>
  <c r="P13" i="46"/>
  <c r="P11" i="43"/>
  <c r="AH18" i="46"/>
  <c r="T18" i="46"/>
  <c r="Q7" i="43"/>
  <c r="K11" i="43"/>
  <c r="AD18" i="46"/>
  <c r="P18" i="46"/>
  <c r="J11" i="43"/>
  <c r="N18" i="46"/>
  <c r="AB18" i="46"/>
  <c r="O18" i="46"/>
  <c r="AC18" i="46"/>
  <c r="AF11" i="46"/>
  <c r="AF13" i="46" s="1"/>
  <c r="P17" i="46"/>
  <c r="L8" i="43"/>
  <c r="AE11" i="46"/>
  <c r="AE13" i="46" s="1"/>
  <c r="AB11" i="46"/>
  <c r="AB13" i="46" s="1"/>
  <c r="M11" i="43"/>
  <c r="AC11" i="46"/>
  <c r="AC13" i="46" s="1"/>
  <c r="O11" i="43"/>
  <c r="L11" i="43"/>
  <c r="O8" i="43"/>
  <c r="S17" i="46"/>
  <c r="N11" i="43"/>
  <c r="N17" i="46"/>
  <c r="J8" i="43"/>
  <c r="K8" i="43"/>
  <c r="O17" i="46"/>
  <c r="O20" i="46" s="1"/>
  <c r="Q65" i="42"/>
  <c r="O12" i="43"/>
  <c r="R17" i="46"/>
  <c r="R20" i="46" s="1"/>
  <c r="N8" i="43"/>
  <c r="AH11" i="46"/>
  <c r="AH13" i="46" s="1"/>
  <c r="M12" i="43"/>
  <c r="O65" i="42"/>
  <c r="P8" i="43"/>
  <c r="T17" i="46"/>
  <c r="P12" i="43"/>
  <c r="AG11" i="46"/>
  <c r="AG13" i="46" s="1"/>
  <c r="AD11" i="46"/>
  <c r="S20" i="46" l="1"/>
  <c r="T20" i="46"/>
  <c r="N20" i="46"/>
  <c r="K13" i="43"/>
  <c r="N13" i="43"/>
  <c r="J13" i="43"/>
  <c r="Q12" i="43"/>
  <c r="G49" i="18"/>
  <c r="P6" i="46"/>
  <c r="O6" i="46"/>
  <c r="O8" i="46" s="1"/>
  <c r="O29" i="46" s="1"/>
  <c r="J22" i="43"/>
  <c r="M41" i="31"/>
  <c r="G50" i="18"/>
  <c r="AD13" i="46"/>
  <c r="AI11" i="46"/>
  <c r="AI13" i="46" s="1"/>
  <c r="O22" i="43"/>
  <c r="R41" i="31"/>
  <c r="L6" i="43"/>
  <c r="AB17" i="46"/>
  <c r="AB20" i="46" s="1"/>
  <c r="K6" i="43"/>
  <c r="K10" i="43" s="1"/>
  <c r="K22" i="43"/>
  <c r="N41" i="31"/>
  <c r="O6" i="43"/>
  <c r="O10" i="43" s="1"/>
  <c r="U13" i="46"/>
  <c r="G45" i="18"/>
  <c r="AE17" i="46"/>
  <c r="AE20" i="46" s="1"/>
  <c r="O41" i="31"/>
  <c r="L22" i="43"/>
  <c r="Q11" i="43"/>
  <c r="L13" i="43"/>
  <c r="N22" i="43"/>
  <c r="Q41" i="31"/>
  <c r="S6" i="46"/>
  <c r="S8" i="46" s="1"/>
  <c r="J6" i="43"/>
  <c r="J10" i="43" s="1"/>
  <c r="P22" i="43"/>
  <c r="S41" i="31"/>
  <c r="N26" i="43"/>
  <c r="Q46" i="31"/>
  <c r="U18" i="46"/>
  <c r="G43" i="18" s="1"/>
  <c r="N6" i="46"/>
  <c r="N8" i="46" s="1"/>
  <c r="N29" i="46" s="1"/>
  <c r="Q20" i="46"/>
  <c r="AH17" i="46"/>
  <c r="AH20" i="46" s="1"/>
  <c r="O13" i="43"/>
  <c r="P41" i="31"/>
  <c r="M22" i="43"/>
  <c r="K26" i="43"/>
  <c r="N46" i="31"/>
  <c r="AI18" i="46"/>
  <c r="P13" i="43"/>
  <c r="AF17" i="46"/>
  <c r="AF20" i="46" s="1"/>
  <c r="AC17" i="46"/>
  <c r="AC20" i="46" s="1"/>
  <c r="Q8" i="43"/>
  <c r="M6" i="43"/>
  <c r="M10" i="43" s="1"/>
  <c r="T6" i="46"/>
  <c r="T8" i="46" s="1"/>
  <c r="G47" i="18"/>
  <c r="R46" i="31"/>
  <c r="O26" i="43"/>
  <c r="AG17" i="46"/>
  <c r="AG20" i="46" s="1"/>
  <c r="N6" i="43"/>
  <c r="N10" i="43" s="1"/>
  <c r="G46" i="18"/>
  <c r="M13" i="43"/>
  <c r="AD17" i="46"/>
  <c r="Q6" i="46"/>
  <c r="Q8" i="46" s="1"/>
  <c r="J26" i="43"/>
  <c r="M46" i="31"/>
  <c r="P26" i="43"/>
  <c r="S46" i="31"/>
  <c r="P6" i="43"/>
  <c r="P10" i="43" s="1"/>
  <c r="L26" i="43"/>
  <c r="O46" i="31"/>
  <c r="P46" i="31"/>
  <c r="M26" i="43"/>
  <c r="R6" i="46"/>
  <c r="R8" i="46" s="1"/>
  <c r="R29" i="46" s="1"/>
  <c r="U17" i="46"/>
  <c r="P20" i="46"/>
  <c r="S29" i="46" l="1"/>
  <c r="S32" i="46" s="1"/>
  <c r="O27" i="43"/>
  <c r="O28" i="43" s="1"/>
  <c r="T29" i="46"/>
  <c r="T32" i="46" s="1"/>
  <c r="R32" i="46"/>
  <c r="R47" i="31"/>
  <c r="Q29" i="46"/>
  <c r="Q32" i="46" s="1"/>
  <c r="M14" i="43"/>
  <c r="K14" i="43"/>
  <c r="Q13" i="43"/>
  <c r="J14" i="43"/>
  <c r="N14" i="43"/>
  <c r="O14" i="43"/>
  <c r="N32" i="46"/>
  <c r="P27" i="43"/>
  <c r="P28" i="43" s="1"/>
  <c r="S47" i="31"/>
  <c r="O40" i="31"/>
  <c r="L21" i="43"/>
  <c r="M40" i="31"/>
  <c r="J21" i="43"/>
  <c r="AE6" i="46"/>
  <c r="AE8" i="46" s="1"/>
  <c r="AE29" i="46" s="1"/>
  <c r="J23" i="43"/>
  <c r="M42" i="31"/>
  <c r="L10" i="43"/>
  <c r="L14" i="43" s="1"/>
  <c r="Q6" i="43"/>
  <c r="Q10" i="43" s="1"/>
  <c r="O32" i="46"/>
  <c r="N40" i="31"/>
  <c r="K21" i="43"/>
  <c r="AF6" i="46"/>
  <c r="AF8" i="46" s="1"/>
  <c r="AF29" i="46" s="1"/>
  <c r="AB6" i="46"/>
  <c r="AB8" i="46" s="1"/>
  <c r="AB29" i="46" s="1"/>
  <c r="O47" i="31"/>
  <c r="L27" i="43"/>
  <c r="L28" i="43" s="1"/>
  <c r="AC6" i="46"/>
  <c r="AC8" i="46" s="1"/>
  <c r="AC29" i="46" s="1"/>
  <c r="Q40" i="31"/>
  <c r="N21" i="43"/>
  <c r="J27" i="43"/>
  <c r="J28" i="43" s="1"/>
  <c r="M47" i="31"/>
  <c r="Q22" i="43"/>
  <c r="K27" i="43"/>
  <c r="K28" i="43" s="1"/>
  <c r="N47" i="31"/>
  <c r="P8" i="46"/>
  <c r="P29" i="46" s="1"/>
  <c r="P32" i="46" s="1"/>
  <c r="U6" i="46"/>
  <c r="U20" i="46"/>
  <c r="G42" i="18"/>
  <c r="Q26" i="43"/>
  <c r="M27" i="43"/>
  <c r="M28" i="43" s="1"/>
  <c r="P47" i="31"/>
  <c r="P14" i="43"/>
  <c r="L23" i="43"/>
  <c r="O42" i="31"/>
  <c r="P21" i="43"/>
  <c r="S40" i="31"/>
  <c r="M23" i="43"/>
  <c r="P42" i="31"/>
  <c r="O23" i="43"/>
  <c r="R42" i="31"/>
  <c r="Q42" i="31"/>
  <c r="N23" i="43"/>
  <c r="AH6" i="46"/>
  <c r="AH8" i="46" s="1"/>
  <c r="AH29" i="46" s="1"/>
  <c r="P23" i="43"/>
  <c r="S42" i="31"/>
  <c r="AG6" i="46"/>
  <c r="AG8" i="46" s="1"/>
  <c r="AG29" i="46" s="1"/>
  <c r="AI17" i="46"/>
  <c r="AI20" i="46" s="1"/>
  <c r="AD20" i="46"/>
  <c r="O21" i="43"/>
  <c r="R40" i="31"/>
  <c r="AD6" i="46"/>
  <c r="K23" i="43"/>
  <c r="N42" i="31"/>
  <c r="P40" i="31"/>
  <c r="M21" i="43"/>
  <c r="Q47" i="31"/>
  <c r="N27" i="43"/>
  <c r="N28" i="43" s="1"/>
  <c r="AH32" i="46" l="1"/>
  <c r="O38" i="43"/>
  <c r="L38" i="43"/>
  <c r="J38" i="43"/>
  <c r="AB32" i="46"/>
  <c r="R48" i="31"/>
  <c r="K38" i="43"/>
  <c r="J25" i="43"/>
  <c r="J29" i="43" s="1"/>
  <c r="J39" i="43" s="1"/>
  <c r="Q14" i="43"/>
  <c r="N38" i="43"/>
  <c r="M38" i="43"/>
  <c r="AG32" i="46"/>
  <c r="AC32" i="46"/>
  <c r="M25" i="43"/>
  <c r="M29" i="43" s="1"/>
  <c r="AE32" i="46"/>
  <c r="N25" i="43"/>
  <c r="N29" i="43" s="1"/>
  <c r="P38" i="43"/>
  <c r="S48" i="31"/>
  <c r="P44" i="31"/>
  <c r="S44" i="31"/>
  <c r="N48" i="31"/>
  <c r="K25" i="43"/>
  <c r="K29" i="43" s="1"/>
  <c r="L25" i="43"/>
  <c r="L29" i="43" s="1"/>
  <c r="Q21" i="43"/>
  <c r="P48" i="31"/>
  <c r="R44" i="31"/>
  <c r="O25" i="43"/>
  <c r="O29" i="43" s="1"/>
  <c r="N44" i="31"/>
  <c r="AF32" i="46"/>
  <c r="M44" i="31"/>
  <c r="O44" i="31"/>
  <c r="M48" i="31"/>
  <c r="Q48" i="31"/>
  <c r="Q44" i="31"/>
  <c r="Q27" i="43"/>
  <c r="Q28" i="43" s="1"/>
  <c r="Q23" i="43"/>
  <c r="P25" i="43"/>
  <c r="P29" i="43" s="1"/>
  <c r="AD8" i="46"/>
  <c r="AD29" i="46" s="1"/>
  <c r="AD32" i="46" s="1"/>
  <c r="AI6" i="46"/>
  <c r="AI8" i="46" s="1"/>
  <c r="AI29" i="46" s="1"/>
  <c r="G44" i="18"/>
  <c r="U8" i="46"/>
  <c r="U29" i="46" s="1"/>
  <c r="O48" i="31"/>
  <c r="D46" i="28" l="1"/>
  <c r="R50" i="31"/>
  <c r="O50" i="31"/>
  <c r="S50" i="31"/>
  <c r="J34" i="43"/>
  <c r="D44" i="28"/>
  <c r="N39" i="43"/>
  <c r="N34" i="43"/>
  <c r="G57" i="18"/>
  <c r="M50" i="31"/>
  <c r="P50" i="31"/>
  <c r="D47" i="28"/>
  <c r="K34" i="43"/>
  <c r="K39" i="43"/>
  <c r="L34" i="43"/>
  <c r="L39" i="43"/>
  <c r="P34" i="43"/>
  <c r="P39" i="43"/>
  <c r="Q50" i="31"/>
  <c r="N50" i="31"/>
  <c r="O34" i="43"/>
  <c r="O39" i="43"/>
  <c r="Q25" i="43"/>
  <c r="Q29" i="43" s="1"/>
  <c r="M34" i="43"/>
  <c r="M39" i="43"/>
  <c r="D45" i="28" l="1"/>
  <c r="D15" i="28" s="1"/>
  <c r="C2" i="28" s="1"/>
  <c r="Q34" i="43"/>
  <c r="C2" i="29" l="1"/>
  <c r="C2" i="11"/>
  <c r="C2" i="76"/>
  <c r="C2" i="64"/>
  <c r="C2" i="65"/>
  <c r="C2" i="70"/>
  <c r="C2" i="33"/>
  <c r="C2" i="31"/>
  <c r="C2" i="38"/>
  <c r="C2" i="37"/>
  <c r="C2" i="72"/>
  <c r="C2" i="68"/>
  <c r="C2" i="12"/>
  <c r="C2" i="10"/>
</calcChain>
</file>

<file path=xl/sharedStrings.xml><?xml version="1.0" encoding="utf-8"?>
<sst xmlns="http://schemas.openxmlformats.org/spreadsheetml/2006/main" count="17556" uniqueCount="754">
  <si>
    <t>Overview of the Aurora Energy CPP Model Suite</t>
  </si>
  <si>
    <t>An overview of the Aurora Energy CPP Model (the CPP Model Suite) is provided on this worksheet</t>
  </si>
  <si>
    <t>Overview</t>
  </si>
  <si>
    <t xml:space="preserve">Aurora Energy Limited (Aurora Energy) has identified a programme of work required to renew ageing infrastructure and to support accelerating residential and commercial development in the Queenstown Lakes District. Funding this expenditure is the purpose of the proposed CPP application.  </t>
  </si>
  <si>
    <t xml:space="preserve">Over the forecast period, Aurora plan to make investments in the network to improve reliability and prepare for the future. The proposed expenditure has been developed to address six key aspects: safety, reliability, growth, resilience, future technology and customer service.
</t>
  </si>
  <si>
    <t>Under the proposed plan, Aurora Energy would invest in replacing and upgrading ageing equipment on the network. Major areas of spend would be on poles, cross arms, overhead lines and underground cables, protection systems and zone substation transformers.</t>
  </si>
  <si>
    <t>The purpose of this workbook (the Supporting Model - Expenditure) is to format expenditure into CPP expenditure and asset categories for asset roll forwards, price path calculations and various output tables for the CPP proposal. The workbook also includes the Schedule E tables.</t>
  </si>
  <si>
    <t>Figure 1 provides an illustrative overview of the CPP Model Suite.</t>
  </si>
  <si>
    <t>Figure 1: Aurora Energy CPP Model Suite</t>
  </si>
  <si>
    <t>Structure of this model &gt; Supporting Model - Expenditure</t>
  </si>
  <si>
    <t>Figure 2 provides an illustrative overview of the structure of the Supporting Model - Expenditure.</t>
  </si>
  <si>
    <t>Figure 2: Model structure</t>
  </si>
  <si>
    <t>Calculations</t>
  </si>
  <si>
    <t>The 'Supporting Model - Expenditure' workbook takes historical and forecast capital and operating expenditure by project and re-organises the data into CPP expenditure and asset categories for asset roll forwards, price path calculations and various output tables for the CPP proposal. The workbook also includes the Schedule E tables.</t>
  </si>
  <si>
    <t>Inputs</t>
  </si>
  <si>
    <t>Input model</t>
  </si>
  <si>
    <t>Description</t>
  </si>
  <si>
    <t>Historical opex summary</t>
  </si>
  <si>
    <t>Summarises historical operating expenditure from information disclosures.</t>
  </si>
  <si>
    <t>Opex aggregation model</t>
  </si>
  <si>
    <t>Aggregates operating expenditure forecasts from individual PoDs. Includes opex escalation inputs.</t>
  </si>
  <si>
    <t>Historical capex summary</t>
  </si>
  <si>
    <t>Summarises historical capital expenditure and commissioned assets.</t>
  </si>
  <si>
    <t>Capex aggregation model</t>
  </si>
  <si>
    <t>Aggregates capital expenditure forecasts from individual PoDs. Includes capex escalation inputs.</t>
  </si>
  <si>
    <t>Definitions</t>
  </si>
  <si>
    <t>Term</t>
  </si>
  <si>
    <t>Definition</t>
  </si>
  <si>
    <t>CPP Model Suite</t>
  </si>
  <si>
    <t>Refers to the suite of workbooks used to calculate the BBAR and MAR for the CPP regulatory period. The CPP Model Suite consists of three models (described below):
- CPP Financial Model
- Supporting Model - Other
- Supporting Model - Expenditure.</t>
  </si>
  <si>
    <t>CPP Financial Model</t>
  </si>
  <si>
    <t xml:space="preserve">The CPP Financial Model is used to calculate the BBAR and the MAR for the CPP regulatory period. </t>
  </si>
  <si>
    <t>Supporting Model - Other</t>
  </si>
  <si>
    <t>The 'Supporting Model - Other' workbook is used to calculate inputs for the CPP Financial Model, including: 
- RAB, RTAV + deferred tax roll forwards
- Regulatory tax calculations 
- Cost of capital.</t>
  </si>
  <si>
    <t>Supporting Model - Expenditure</t>
  </si>
  <si>
    <t>Shading</t>
  </si>
  <si>
    <t>Colour</t>
  </si>
  <si>
    <t>Interpretation</t>
  </si>
  <si>
    <t>Identifies input cells (ie where values are sourced from another workbook within the CPP Model Suite or from an external source)</t>
  </si>
  <si>
    <t>Spare 1</t>
  </si>
  <si>
    <t>Identifies cells where labels can be entered. These labels then flow through the rest of the model.</t>
  </si>
  <si>
    <t>This sheet has been deliberately left blank.</t>
  </si>
  <si>
    <t>Period beginning</t>
  </si>
  <si>
    <t>Period ending</t>
  </si>
  <si>
    <t>Regulatory year</t>
  </si>
  <si>
    <t>Relevant period</t>
  </si>
  <si>
    <t>Current period</t>
  </si>
  <si>
    <t>Assessment period</t>
  </si>
  <si>
    <t>CPP period</t>
  </si>
  <si>
    <t>Total</t>
  </si>
  <si>
    <t>General</t>
  </si>
  <si>
    <t>Units</t>
  </si>
  <si>
    <t>Value</t>
  </si>
  <si>
    <t>IM reference</t>
  </si>
  <si>
    <t>Model start date</t>
  </si>
  <si>
    <t>dd/mm/yyyy</t>
  </si>
  <si>
    <t>Error checks</t>
  </si>
  <si>
    <t>Model check</t>
  </si>
  <si>
    <t>Ok/Error</t>
  </si>
  <si>
    <t>Escalators</t>
  </si>
  <si>
    <t>Works under construction</t>
  </si>
  <si>
    <t>Opex summary</t>
  </si>
  <si>
    <t>Capex summary</t>
  </si>
  <si>
    <t>Commissioned assets allocation</t>
  </si>
  <si>
    <t>Commissioned assets summary</t>
  </si>
  <si>
    <t>Schedule E calculations</t>
  </si>
  <si>
    <t>Opex allocation</t>
  </si>
  <si>
    <t>Year</t>
  </si>
  <si>
    <t>Business support</t>
  </si>
  <si>
    <t>%</t>
  </si>
  <si>
    <t>Allocate using RY19%</t>
  </si>
  <si>
    <t>Yes/No</t>
  </si>
  <si>
    <t>No</t>
  </si>
  <si>
    <t>Mapping</t>
  </si>
  <si>
    <t>Fleet-1</t>
  </si>
  <si>
    <t>Expenditure category</t>
  </si>
  <si>
    <t>8.1 Arrowtown 33kV Ring Upgrade</t>
  </si>
  <si>
    <t xml:space="preserve">System growth </t>
  </si>
  <si>
    <t>8.2 Arrowtown Zone Substation 33kV Indoor Switchboard</t>
  </si>
  <si>
    <t>8.3 Omakau New Zone Substation</t>
  </si>
  <si>
    <t>8.4 Riverbank New Transformer</t>
  </si>
  <si>
    <t>8.5 Lindis Crossing Second Transformer</t>
  </si>
  <si>
    <t>8.7 Upper Clutha Voltage Support</t>
  </si>
  <si>
    <t>8.10 Frankton Zone Substation Upgrade</t>
  </si>
  <si>
    <t>8.16 Smith Street to Willowbank Inter-tie</t>
  </si>
  <si>
    <t>8.17 North City to Ward Inter-tie</t>
  </si>
  <si>
    <t>9 Distribution and LV Reinforcement</t>
  </si>
  <si>
    <t>Install two new 24MVA transformers at Cromwell substation</t>
  </si>
  <si>
    <t>Riverbank Road Switching Station</t>
  </si>
  <si>
    <t>14 IT</t>
  </si>
  <si>
    <t>Non-network CAPEX</t>
  </si>
  <si>
    <t>15 Facilities</t>
  </si>
  <si>
    <t>11 Asset relocations (net)</t>
  </si>
  <si>
    <t>Asset relocations and undergrounding</t>
  </si>
  <si>
    <t>10 Consumer connection (net)</t>
  </si>
  <si>
    <t>Consumer connection</t>
  </si>
  <si>
    <t>12 Future Networks</t>
  </si>
  <si>
    <t>Quality of supply</t>
  </si>
  <si>
    <t>13 RSE</t>
  </si>
  <si>
    <t>1.1 Poles</t>
  </si>
  <si>
    <t>Asset replacement and renewal</t>
  </si>
  <si>
    <t>1.2 Crossarms</t>
  </si>
  <si>
    <t>2.1 Subtransmission Conductor</t>
  </si>
  <si>
    <t>2.2 Distribution Conductor</t>
  </si>
  <si>
    <t>2.3 Low Voltage Conductor</t>
  </si>
  <si>
    <t>3.1 Subtransmission Cables</t>
  </si>
  <si>
    <t>3.2 Distribution Cables</t>
  </si>
  <si>
    <t>3.3 Low Voltage Cables</t>
  </si>
  <si>
    <t>4.1 Zone Substations</t>
  </si>
  <si>
    <t>5.1 Ground Mounted Switchgear</t>
  </si>
  <si>
    <t>5.2 Pole Mounted Fuses</t>
  </si>
  <si>
    <t>5.3 Pole Mounted Switches</t>
  </si>
  <si>
    <t>5.4 Low Voltage Enclosures</t>
  </si>
  <si>
    <t>5.6 Ancillary Distribution Substation Equipment</t>
  </si>
  <si>
    <t>6.1 Ground Mounted Distribution Transformers</t>
  </si>
  <si>
    <t>6.2 Pole Mounted Distribution Transformers</t>
  </si>
  <si>
    <t>6.4 Mobile Distribution Substations and Generators</t>
  </si>
  <si>
    <t>7.1 Protection</t>
  </si>
  <si>
    <t>7.2 DC Systems</t>
  </si>
  <si>
    <t>7.3 Remote Terminal Units</t>
  </si>
  <si>
    <t>Expenditure categories</t>
  </si>
  <si>
    <t>Legislative and regulatory</t>
  </si>
  <si>
    <t>Environment</t>
  </si>
  <si>
    <t>Asset life category</t>
  </si>
  <si>
    <t>DV rate for RTAV</t>
  </si>
  <si>
    <t>SUBTRANSMISSION LINES</t>
  </si>
  <si>
    <t>Power generation and electrical reticulation systems (POWR)</t>
  </si>
  <si>
    <t>1. Subtransmission concrete or steel pole</t>
  </si>
  <si>
    <t>Poles (power, excluding wooden)</t>
  </si>
  <si>
    <t>2. Subtransmission wood pole</t>
  </si>
  <si>
    <t>Poles (power, wooden)</t>
  </si>
  <si>
    <t>SUBTRANSMISSION CABLES</t>
  </si>
  <si>
    <t>10. Sub-transmission Surge Arresters (3 phase set)</t>
  </si>
  <si>
    <t>Cabling</t>
  </si>
  <si>
    <t>4. Subtransmission XLPE installed in or after 1985</t>
  </si>
  <si>
    <t>ZONE SUBSTATIONS</t>
  </si>
  <si>
    <t>12. Site Development and Buildings</t>
  </si>
  <si>
    <t>Buildings</t>
  </si>
  <si>
    <t>13. Transformers</t>
  </si>
  <si>
    <t>Transformers</t>
  </si>
  <si>
    <t>14. 66/50/33/22/11 kV Indoor Switchgear Cubicle</t>
  </si>
  <si>
    <t>16. 66/50/33/22/11 kV Outdoor Circuit Breakers</t>
  </si>
  <si>
    <t>Switchgear</t>
  </si>
  <si>
    <t>17. Outdoor Switchgear</t>
  </si>
  <si>
    <t>19. Circuit/Transformer/Feeder/Bus Section/Coupler Protection &amp; Controls - Digital</t>
  </si>
  <si>
    <t>Circuit breakers</t>
  </si>
  <si>
    <t>22. Ripple Injection Plant</t>
  </si>
  <si>
    <t>23. DC Supplies, Batteries and Inverters</t>
  </si>
  <si>
    <t>24. Zone substations other Items</t>
  </si>
  <si>
    <t>DISTRIBUTION AND LV LINES</t>
  </si>
  <si>
    <t>25. HV concrete or steel pole</t>
  </si>
  <si>
    <t>26. HV wood pole</t>
  </si>
  <si>
    <t>27. HV pole reinforcement</t>
  </si>
  <si>
    <t>41. LV Concrete pole</t>
  </si>
  <si>
    <t>42. LV Wood pole</t>
  </si>
  <si>
    <t>DISTRIBUTION and LV CABLES</t>
  </si>
  <si>
    <t>29. HV XLPE installed in or after 1985</t>
  </si>
  <si>
    <t>30. HV PILC</t>
  </si>
  <si>
    <t>45. LV XLPE or PVC installed in or after 1985</t>
  </si>
  <si>
    <t>46. LV PILC</t>
  </si>
  <si>
    <t>47. Link Pillars</t>
  </si>
  <si>
    <t>48. LV Overhead / Underground Customer Service Connections</t>
  </si>
  <si>
    <t>DISTRIBUTION SUBSTATIONS AND TRANSFORMERS</t>
  </si>
  <si>
    <t>38. Pole Mounted Single/Two/Three Phase, 22/0</t>
  </si>
  <si>
    <t>39. Ground Mounted, 22/0</t>
  </si>
  <si>
    <t>40. Distribution substations</t>
  </si>
  <si>
    <t>Power generation and electrical reticulation (default class)</t>
  </si>
  <si>
    <t>DISTRIBUTION SWITCHGEAR</t>
  </si>
  <si>
    <t>31. 22 / 11 kV Disconnector 3ph, 2ph (Excl Pole)</t>
  </si>
  <si>
    <t>32. 22 / 11 kV Load Break Switch (Excl Pole)</t>
  </si>
  <si>
    <t>33. 22 / 11 kV Dropout Fuse 3ph, 2ph (Excl Pole)</t>
  </si>
  <si>
    <t>34. 22 / 11 kV Sectionaliser or Recloser (Excl Pole)</t>
  </si>
  <si>
    <t>35. Voltage Regulator</t>
  </si>
  <si>
    <t>36. Ring Main Unit – 3 Way</t>
  </si>
  <si>
    <t>OTHER NETWORK ASSETS</t>
  </si>
  <si>
    <t>50. SCADA and Comms (Central Facilities and / or wider Network Communications Equipment)</t>
  </si>
  <si>
    <t>51. Other network assets</t>
  </si>
  <si>
    <t>NON-NETWORK ASSETS</t>
  </si>
  <si>
    <t>52. Buildings</t>
  </si>
  <si>
    <t>53. Furniture and fittings</t>
  </si>
  <si>
    <t>Furniture (fitted)</t>
  </si>
  <si>
    <t>54. Computer hardware</t>
  </si>
  <si>
    <t>Computer equipment (default class)</t>
  </si>
  <si>
    <t>55. Computer software</t>
  </si>
  <si>
    <t>Software</t>
  </si>
  <si>
    <t>57. Plant and equipment</t>
  </si>
  <si>
    <t>59. Other non-network</t>
  </si>
  <si>
    <t>Indices</t>
  </si>
  <si>
    <t>Historical CPI series</t>
  </si>
  <si>
    <t>Inflation rate</t>
  </si>
  <si>
    <t>Index</t>
  </si>
  <si>
    <t>#.##</t>
  </si>
  <si>
    <t>Capex indices</t>
  </si>
  <si>
    <t>Cost item for escalation </t>
  </si>
  <si>
    <t>Aluminium*</t>
  </si>
  <si>
    <t>USD</t>
  </si>
  <si>
    <t xml:space="preserve">Copper* </t>
  </si>
  <si>
    <t>Steel*</t>
  </si>
  <si>
    <t>Other capital goods</t>
  </si>
  <si>
    <t>NZD</t>
  </si>
  <si>
    <t>Engineers</t>
  </si>
  <si>
    <t xml:space="preserve">Professional  </t>
  </si>
  <si>
    <t>Project managers</t>
  </si>
  <si>
    <t>IT labour costs</t>
  </si>
  <si>
    <t>Capex labour</t>
  </si>
  <si>
    <t>Professional advice</t>
  </si>
  <si>
    <t>Maintenance labour</t>
  </si>
  <si>
    <t>Vegetation control</t>
  </si>
  <si>
    <t>Other costs</t>
  </si>
  <si>
    <t>US/NZ dollar exchange rates</t>
  </si>
  <si>
    <t>Annual growth rate of USD/NZD</t>
  </si>
  <si>
    <t>Opex indices</t>
  </si>
  <si>
    <t>Opex</t>
  </si>
  <si>
    <t>LCI - All sectors</t>
  </si>
  <si>
    <t>LCI - Electricity, gas, and water</t>
  </si>
  <si>
    <t>LCI - Professional and technical</t>
  </si>
  <si>
    <t>PPI - Inputs</t>
  </si>
  <si>
    <t>PPI-O Heavy and civil engineering</t>
  </si>
  <si>
    <t>PPI-O Professional services</t>
  </si>
  <si>
    <t>Capex escalators</t>
  </si>
  <si>
    <t>Index weightings</t>
  </si>
  <si>
    <t>Labour</t>
  </si>
  <si>
    <t>Error check 1</t>
  </si>
  <si>
    <t>Cables</t>
  </si>
  <si>
    <t>Error check 2</t>
  </si>
  <si>
    <t>Conductor</t>
  </si>
  <si>
    <t>Error check 3</t>
  </si>
  <si>
    <t>Error check 4</t>
  </si>
  <si>
    <t>Error check 5</t>
  </si>
  <si>
    <t>Other</t>
  </si>
  <si>
    <t>Error check 6</t>
  </si>
  <si>
    <t>Interest during construction</t>
  </si>
  <si>
    <t xml:space="preserve">Specific date commissioning </t>
  </si>
  <si>
    <t>Year one months to compound</t>
  </si>
  <si>
    <t>Interest rate</t>
  </si>
  <si>
    <t>text</t>
  </si>
  <si>
    <t xml:space="preserve">Current </t>
  </si>
  <si>
    <t>Forecast</t>
  </si>
  <si>
    <t>Source: Aurora Energy's incremental borrowing rate</t>
  </si>
  <si>
    <t>By expenditure category</t>
  </si>
  <si>
    <t>Real (RY20)</t>
  </si>
  <si>
    <t>Service interruptions and emergencies</t>
  </si>
  <si>
    <t>Real (RY20) $</t>
  </si>
  <si>
    <t>Vegetation management</t>
  </si>
  <si>
    <t>Routine and corrective maintenance and inspection</t>
  </si>
  <si>
    <t>Total network opex</t>
  </si>
  <si>
    <t>System operations and network support</t>
  </si>
  <si>
    <t>Total non-network opex</t>
  </si>
  <si>
    <t>Total operating expenditure</t>
  </si>
  <si>
    <t>Nominal</t>
  </si>
  <si>
    <t>Nominal $</t>
  </si>
  <si>
    <t>Source: Aurora Information Disclosures</t>
  </si>
  <si>
    <t>By portfolio</t>
  </si>
  <si>
    <t>Network opex</t>
  </si>
  <si>
    <t>Reactive Maintenance</t>
  </si>
  <si>
    <t>Vegetation</t>
  </si>
  <si>
    <t>Preventive Maintenance</t>
  </si>
  <si>
    <t>Corrective Maintenance</t>
  </si>
  <si>
    <t>Non-network opex</t>
  </si>
  <si>
    <t>People Costs</t>
  </si>
  <si>
    <t>IT Opex</t>
  </si>
  <si>
    <t>Premises and Plant</t>
  </si>
  <si>
    <t>Administration and Governance</t>
  </si>
  <si>
    <t>SONS</t>
  </si>
  <si>
    <t>Preventative and corrective maintenance check</t>
  </si>
  <si>
    <t>Error check</t>
  </si>
  <si>
    <t>Commissioned assets</t>
  </si>
  <si>
    <t>Historical commissioned assets by expenditure category</t>
  </si>
  <si>
    <t>System growth</t>
  </si>
  <si>
    <t>Asset relocations</t>
  </si>
  <si>
    <t>Reliability, safety and environment (RSE)</t>
  </si>
  <si>
    <t>Other reliability, safety and environment</t>
  </si>
  <si>
    <t>Total reliability, safety and environment</t>
  </si>
  <si>
    <t>Total historical network expenditure</t>
  </si>
  <si>
    <t>Non-network capex</t>
  </si>
  <si>
    <t>Total value of commissioned assets</t>
  </si>
  <si>
    <t>Source: Capital expenditure RY15-RY19 (Draft 18 October 2019).xlsx</t>
  </si>
  <si>
    <t>Complex commissioned assets from historical capex</t>
  </si>
  <si>
    <t>Complex major projects</t>
  </si>
  <si>
    <t>Closing works under construction</t>
  </si>
  <si>
    <t>Commissioned assets from RY19 WUC</t>
  </si>
  <si>
    <t>Commissioned assets from RY19 WUC (gross of cap cons)</t>
  </si>
  <si>
    <t>Source: Major Projects at 31 March 2019.xlsx</t>
  </si>
  <si>
    <t xml:space="preserve">Commissioned assets by asset life category </t>
  </si>
  <si>
    <t>a. Subtransmission lines</t>
  </si>
  <si>
    <t>b. Subtransmission cables</t>
  </si>
  <si>
    <t>c. Zone substations</t>
  </si>
  <si>
    <t>d. Distribution and LV lines</t>
  </si>
  <si>
    <t>e. Distribution and LV cables</t>
  </si>
  <si>
    <t>f. Distribution substations and transformers</t>
  </si>
  <si>
    <t>g. Distribution switchgear</t>
  </si>
  <si>
    <t>h. Other network assets</t>
  </si>
  <si>
    <t>i. Non-network assets</t>
  </si>
  <si>
    <t>RTAV</t>
  </si>
  <si>
    <t>Commissioned assets by expenditure category</t>
  </si>
  <si>
    <t>Total forecast commissioned assets</t>
  </si>
  <si>
    <t>Total expenditure on assets</t>
  </si>
  <si>
    <t>Capital contributions</t>
  </si>
  <si>
    <t>Comissioned assets</t>
  </si>
  <si>
    <t>Asset replacement and renewal - by project</t>
  </si>
  <si>
    <t>Capex by expenditure category</t>
  </si>
  <si>
    <t>Total historical network capex</t>
  </si>
  <si>
    <t>Source: Historical expenditure reconciliation V4 for Templates.xlsx</t>
  </si>
  <si>
    <t>Cost of financing</t>
  </si>
  <si>
    <t>Value of capital contributions</t>
  </si>
  <si>
    <t>Value of vested assets</t>
  </si>
  <si>
    <t>Capital expenditure</t>
  </si>
  <si>
    <t>Source: Aurora information disclosures</t>
  </si>
  <si>
    <t>Subtransmission lines</t>
  </si>
  <si>
    <t>Subtransmission cables</t>
  </si>
  <si>
    <t>Zone substations</t>
  </si>
  <si>
    <t>Distribution and LV lines</t>
  </si>
  <si>
    <t>Distribution and LV cables</t>
  </si>
  <si>
    <t>Distribution substations and transformers</t>
  </si>
  <si>
    <t>Distribution switchgear</t>
  </si>
  <si>
    <t>Other network assets</t>
  </si>
  <si>
    <t>Non-network assets</t>
  </si>
  <si>
    <t>System growth less capital contributions</t>
  </si>
  <si>
    <t>ARR less capital contributions</t>
  </si>
  <si>
    <t>Flags</t>
  </si>
  <si>
    <t>Annual payment</t>
  </si>
  <si>
    <t>1.1.4 (2)</t>
  </si>
  <si>
    <t>Premises Plant &amp; Insurance</t>
  </si>
  <si>
    <t>Unique flag</t>
  </si>
  <si>
    <t>Source: IFRS16 Operating Lease CPP v2.0.xlsx</t>
  </si>
  <si>
    <t>Right of use asset</t>
  </si>
  <si>
    <t>Opening deferred tax balance</t>
  </si>
  <si>
    <t>Note for assets with no regulatory tax value</t>
  </si>
  <si>
    <t>Shared assets</t>
  </si>
  <si>
    <t>Gross opex</t>
  </si>
  <si>
    <t>Net opex</t>
  </si>
  <si>
    <t>Opex category</t>
  </si>
  <si>
    <t>Opex description</t>
  </si>
  <si>
    <t>Portfolio</t>
  </si>
  <si>
    <t>Flag for premises plant &amp; insurance</t>
  </si>
  <si>
    <t>Flag for SONS</t>
  </si>
  <si>
    <t>Unique flag for</t>
  </si>
  <si>
    <t>Input</t>
  </si>
  <si>
    <t>RY</t>
  </si>
  <si>
    <t>incl operating</t>
  </si>
  <si>
    <t>Allocation</t>
  </si>
  <si>
    <t>Operating leases</t>
  </si>
  <si>
    <t>excl operating</t>
  </si>
  <si>
    <t>RPE index</t>
  </si>
  <si>
    <t>operating leases</t>
  </si>
  <si>
    <t>leases</t>
  </si>
  <si>
    <t>rate</t>
  </si>
  <si>
    <t>(real RY20)</t>
  </si>
  <si>
    <t>(nominal)</t>
  </si>
  <si>
    <t>Year of</t>
  </si>
  <si>
    <t xml:space="preserve">Commissioning </t>
  </si>
  <si>
    <t>Capex</t>
  </si>
  <si>
    <t>Capital</t>
  </si>
  <si>
    <t>Capex category</t>
  </si>
  <si>
    <t>CPP asset life category</t>
  </si>
  <si>
    <t>IM Asset Category</t>
  </si>
  <si>
    <t>Fleet_1</t>
  </si>
  <si>
    <t>Fleet</t>
  </si>
  <si>
    <t xml:space="preserve">Unique flag for </t>
  </si>
  <si>
    <t>expenditure</t>
  </si>
  <si>
    <t>year</t>
  </si>
  <si>
    <t>Simple/Complex</t>
  </si>
  <si>
    <t>excl RoU assets</t>
  </si>
  <si>
    <t xml:space="preserve">contributions </t>
  </si>
  <si>
    <t>RoU assets</t>
  </si>
  <si>
    <t>incl RoU assets</t>
  </si>
  <si>
    <t>Escalation index</t>
  </si>
  <si>
    <t>IDC rate</t>
  </si>
  <si>
    <t>IDC</t>
  </si>
  <si>
    <t>complex group</t>
  </si>
  <si>
    <t>Expenditure</t>
  </si>
  <si>
    <t>DV</t>
  </si>
  <si>
    <t>right of use asset</t>
  </si>
  <si>
    <t>net of cap cons</t>
  </si>
  <si>
    <t>gross of cap cons</t>
  </si>
  <si>
    <t xml:space="preserve"> to be applied</t>
  </si>
  <si>
    <t>(real)</t>
  </si>
  <si>
    <t>category</t>
  </si>
  <si>
    <t>(%)</t>
  </si>
  <si>
    <t>The values in this worksheet exclude ROU assets.</t>
  </si>
  <si>
    <t>Summary</t>
  </si>
  <si>
    <t>Opening balance</t>
  </si>
  <si>
    <t>Closing balance</t>
  </si>
  <si>
    <t>Closing WUC as a percentage of capex</t>
  </si>
  <si>
    <t>Simple</t>
  </si>
  <si>
    <t>Complex</t>
  </si>
  <si>
    <t>Capital contributions - simple</t>
  </si>
  <si>
    <t>Capital contributions - complex</t>
  </si>
  <si>
    <t>Capex, pre IDC</t>
  </si>
  <si>
    <t>Capex, net of cap cons, no IDC</t>
  </si>
  <si>
    <t>Capex, gross of cap cons, no IDC</t>
  </si>
  <si>
    <t>Works under construction - current period (simple and complex)</t>
  </si>
  <si>
    <t>Opening WUC balance</t>
  </si>
  <si>
    <t>Closing WUC balance</t>
  </si>
  <si>
    <t>Capex, incl IDC</t>
  </si>
  <si>
    <t>Closing WUC balance, pre IDC</t>
  </si>
  <si>
    <t>Capex - Interest during construction</t>
  </si>
  <si>
    <t>Capex, net of cap cons</t>
  </si>
  <si>
    <t>Capex, gross of cap cons</t>
  </si>
  <si>
    <t>Works under construction, gross of cap cons</t>
  </si>
  <si>
    <t>Capital expenditure, gross of cap cons</t>
  </si>
  <si>
    <t>Commissioned assets, gross of cap cons</t>
  </si>
  <si>
    <t>Commissioned assets, net of cap cons</t>
  </si>
  <si>
    <t>All assets</t>
  </si>
  <si>
    <t>Weighted inflation</t>
  </si>
  <si>
    <t>Weighted index</t>
  </si>
  <si>
    <t>Inflation</t>
  </si>
  <si>
    <t>Opex escalators</t>
  </si>
  <si>
    <t>Simple group</t>
  </si>
  <si>
    <t>Year one adjustment</t>
  </si>
  <si>
    <t xml:space="preserve">Year of expenditure </t>
  </si>
  <si>
    <t>Complex group</t>
  </si>
  <si>
    <t>Year flag</t>
  </si>
  <si>
    <t>Note this expenditure is directly attributable to the EDB and excludes expenditure on operating leases</t>
  </si>
  <si>
    <t>18 Reactive Maintenance</t>
  </si>
  <si>
    <t>19 Vegetation</t>
  </si>
  <si>
    <t>16 Preventive Maintenance</t>
  </si>
  <si>
    <t>17 Corrective Maintenance</t>
  </si>
  <si>
    <t>21 People Costs</t>
  </si>
  <si>
    <t>22 IT Opex</t>
  </si>
  <si>
    <t>23 Premises and Plant</t>
  </si>
  <si>
    <t>24 Administration and Governance</t>
  </si>
  <si>
    <t>20 SONS</t>
  </si>
  <si>
    <t>25 Upper Clutha DER Solution</t>
  </si>
  <si>
    <t>Total forecast network capex</t>
  </si>
  <si>
    <t xml:space="preserve">Total capital expenditure </t>
  </si>
  <si>
    <t>Total (net of capital contributions)</t>
  </si>
  <si>
    <t>Error check 7</t>
  </si>
  <si>
    <t>Error check 8</t>
  </si>
  <si>
    <t>Comissioned assets - simple group</t>
  </si>
  <si>
    <t>Text</t>
  </si>
  <si>
    <t>Capex - simple assets</t>
  </si>
  <si>
    <t>DV rate (exclusive of cap cons)</t>
  </si>
  <si>
    <t>Simple capex</t>
  </si>
  <si>
    <t>Proportion of simple assets capex</t>
  </si>
  <si>
    <t>DV rate</t>
  </si>
  <si>
    <t>Expenditure cateogry</t>
  </si>
  <si>
    <t>Error check 9</t>
  </si>
  <si>
    <t>Capital contributions by expenditure cateogry</t>
  </si>
  <si>
    <t>Error check 10</t>
  </si>
  <si>
    <t>Error check 11</t>
  </si>
  <si>
    <t>Error check 12</t>
  </si>
  <si>
    <t>Comissioned assets - complex group</t>
  </si>
  <si>
    <t>Commissioned assets - simple group</t>
  </si>
  <si>
    <t>Commissioned assets - complex group</t>
  </si>
  <si>
    <t>ROU assets</t>
  </si>
  <si>
    <t>Capital contributions - simple group</t>
  </si>
  <si>
    <t>Capital contributions - complex group</t>
  </si>
  <si>
    <t>By expenditure categories</t>
  </si>
  <si>
    <t xml:space="preserve">Simple commissioned assets </t>
  </si>
  <si>
    <t>Commissioned assets by expenditure categories</t>
  </si>
  <si>
    <t>Complex commissioned assets</t>
  </si>
  <si>
    <t>Error check 13</t>
  </si>
  <si>
    <t>Error check 14</t>
  </si>
  <si>
    <t>Error check 15</t>
  </si>
  <si>
    <t>Error check 16</t>
  </si>
  <si>
    <t>Error check 17</t>
  </si>
  <si>
    <t>Error check 18</t>
  </si>
  <si>
    <t>Error check 19</t>
  </si>
  <si>
    <t>Error check 20</t>
  </si>
  <si>
    <t>Error check 21</t>
  </si>
  <si>
    <t>Error check 22</t>
  </si>
  <si>
    <t>Error check 23</t>
  </si>
  <si>
    <t>Error check 24</t>
  </si>
  <si>
    <t>IDC allocation</t>
  </si>
  <si>
    <t>IDC - Simple (Nominal)</t>
  </si>
  <si>
    <t>IDC - Simple (Real)</t>
  </si>
  <si>
    <t>Real $ (RY20)</t>
  </si>
  <si>
    <t>Expendtiure cateogries proportions</t>
  </si>
  <si>
    <t>IDC - Complex (Nominal)</t>
  </si>
  <si>
    <t>IDC - Complex (Real)</t>
  </si>
  <si>
    <t>Consumer connections projects proportion</t>
  </si>
  <si>
    <t>IDC - Consumer connections projects (Nominal)</t>
  </si>
  <si>
    <t>IDC - Consumer connections projects (Real)</t>
  </si>
  <si>
    <t>System growth projects proportion</t>
  </si>
  <si>
    <t>IDC - System growth projects (Nominal)</t>
  </si>
  <si>
    <t>IDC - System growth projects (Real)</t>
  </si>
  <si>
    <t>Asset Replacement and Renewal proportion</t>
  </si>
  <si>
    <t>IDC - Asset Replacement and Renewal projects (Nominal)</t>
  </si>
  <si>
    <t>IDC - Asset Replacement and Renewal projects (Real)</t>
  </si>
  <si>
    <t>Asset relocations and undergrounding proportion</t>
  </si>
  <si>
    <t>Reliability, safety and environment (RSE) proportion</t>
  </si>
  <si>
    <t>IDC - Reliability, safety and environment projects (Nominal)</t>
  </si>
  <si>
    <t>IDC - Reliability, safety and environment projects (Real)</t>
  </si>
  <si>
    <t>Non-network capex proportion</t>
  </si>
  <si>
    <t>IDC - Non-network capex projects (Nominal)</t>
  </si>
  <si>
    <t>IDC - Non-network capex projects (Real)</t>
  </si>
  <si>
    <t>Simple capex by project (incl. IDC)</t>
  </si>
  <si>
    <t>Flag</t>
  </si>
  <si>
    <t>Simple capex to commissioned asset allocation</t>
  </si>
  <si>
    <t>Simple capex (gross of cap cons, incl. ROU)</t>
  </si>
  <si>
    <t>IDC - reliability, safety and environment</t>
  </si>
  <si>
    <t>Simple and ROU commissioned assets</t>
  </si>
  <si>
    <t>Timing allocation</t>
  </si>
  <si>
    <t>Commisioned assets</t>
  </si>
  <si>
    <t>RAB and Adjusted RAB</t>
  </si>
  <si>
    <t>Operating expenditure</t>
  </si>
  <si>
    <t xml:space="preserve">Business support </t>
  </si>
  <si>
    <t>Deferred tax</t>
  </si>
  <si>
    <t>Opening deferred tax balance for assets with no regulatory tax value</t>
  </si>
  <si>
    <t>IM 5.3.19 (1)(c)</t>
  </si>
  <si>
    <t>Table 1: Projects and programmes</t>
  </si>
  <si>
    <t>Table 1a  Summary of all capex projects and programmes</t>
  </si>
  <si>
    <t xml:space="preserve"> </t>
  </si>
  <si>
    <t>Number</t>
  </si>
  <si>
    <t>Project reference</t>
  </si>
  <si>
    <t>Project/programme name</t>
  </si>
  <si>
    <t xml:space="preserve">Capex category </t>
  </si>
  <si>
    <t>Brief description of project/programme</t>
  </si>
  <si>
    <t>Forecast costs in constant prices $(000)</t>
  </si>
  <si>
    <t>Reference to primary supporting information</t>
  </si>
  <si>
    <t>Renewals capex on Poles</t>
  </si>
  <si>
    <t>POD01 - Poles.pdf</t>
  </si>
  <si>
    <t>Renewals capex on Crossarms</t>
  </si>
  <si>
    <t>POD02 - Crossarms.pdf</t>
  </si>
  <si>
    <t>Renewals capex on Subtransmission Conductor</t>
  </si>
  <si>
    <t>Application - Appendix E. Renewals Capex</t>
  </si>
  <si>
    <t>Renewals capex on Distribution Conductor</t>
  </si>
  <si>
    <t>POD04 - Distribution Conductor.pdf</t>
  </si>
  <si>
    <t>Renewals capex on Low Voltage Conductor</t>
  </si>
  <si>
    <t>POD05 - LV Conductor.pdf</t>
  </si>
  <si>
    <t>Renewals capex on Subtransmission Cables</t>
  </si>
  <si>
    <t>Renewals capex on Distribution Cables</t>
  </si>
  <si>
    <t>Renewals capex on Low Voltage Cables</t>
  </si>
  <si>
    <t>Renewals capex on Zone Substations</t>
  </si>
  <si>
    <t>POD09 - Zone Substations.pdf</t>
  </si>
  <si>
    <t>Renewals capex on Ground Mounted Switchgear</t>
  </si>
  <si>
    <t>Renewals capex on Pole Mounted Fuses</t>
  </si>
  <si>
    <t>Renewals capex on Pole Mounted Switches</t>
  </si>
  <si>
    <t>Renewals capex on Low Voltage Enclosures</t>
  </si>
  <si>
    <t>POD18 - LV Enclosures.pdf</t>
  </si>
  <si>
    <t>Renewals capex on Ancillary Distribution Substation Equipment</t>
  </si>
  <si>
    <t>Renewals capex on Ground Mounted Distribution Transformers</t>
  </si>
  <si>
    <t>Renewals capex on Pole Mounted Distribution Transformers</t>
  </si>
  <si>
    <t>Renewals capex on Protection</t>
  </si>
  <si>
    <t>POD24 - Protection.pdf</t>
  </si>
  <si>
    <t>Renewals capex on DC Systems</t>
  </si>
  <si>
    <t>Renewals capex on Remote Terminal Units</t>
  </si>
  <si>
    <t xml:space="preserve">Reinforcement of the Distribution and LV network </t>
  </si>
  <si>
    <t>Application - Appendix F. Growth and Security Capex</t>
  </si>
  <si>
    <t>New 33kV feeder on Arrowtown Ring</t>
  </si>
  <si>
    <t>POD31 - Arrowtown 33kV Ring Upgrade.pdf</t>
  </si>
  <si>
    <t>New 33kV indoor switchboard at Arrowtown</t>
  </si>
  <si>
    <t>New Omakau zone substation</t>
  </si>
  <si>
    <t>New 33kV cable between Smith St and Willowbank</t>
  </si>
  <si>
    <t>Consumer connections expenditure</t>
  </si>
  <si>
    <t>POD50 - Consumer Connection.pdf</t>
  </si>
  <si>
    <t>Asset relocations expenditure</t>
  </si>
  <si>
    <t>Application - Appendix G. Other Network Capex</t>
  </si>
  <si>
    <t>Reliability focussed investment including network automation</t>
  </si>
  <si>
    <t>Work to prepare for uptake of new technology</t>
  </si>
  <si>
    <t>ICT capex</t>
  </si>
  <si>
    <t>POD60 - ICT.pdf</t>
  </si>
  <si>
    <t>Facilities capex</t>
  </si>
  <si>
    <t>Application - Appendix I. Non-network Expenditure</t>
  </si>
  <si>
    <t>Table 1b  Summary of all opex projects and programmes</t>
  </si>
  <si>
    <r>
      <t xml:space="preserve">Project reference </t>
    </r>
    <r>
      <rPr>
        <b/>
        <strike/>
        <sz val="10"/>
        <rFont val="Arial"/>
        <family val="2"/>
        <scheme val="minor"/>
      </rPr>
      <t/>
    </r>
  </si>
  <si>
    <t>Preventive maintenance operating expenditure</t>
  </si>
  <si>
    <t>POD70 - Preventive Maintenance.pdf</t>
  </si>
  <si>
    <t>Corrective maintenance operating expenditure</t>
  </si>
  <si>
    <t>POD71 - Corrective Maintenance.pdf</t>
  </si>
  <si>
    <t>Reactive maintenance operating expenditure</t>
  </si>
  <si>
    <t>POD72 - Reactive Maintenance.pdf</t>
  </si>
  <si>
    <t>Vegetation management operating expenditure</t>
  </si>
  <si>
    <t>POD73 - Vegetation Management.pdf</t>
  </si>
  <si>
    <t>System operations and network support expenditure</t>
  </si>
  <si>
    <t>POD80 - SONS.pdf</t>
  </si>
  <si>
    <t>People costs operating expenditure</t>
  </si>
  <si>
    <t>POD81 - PEOPLE.pdf</t>
  </si>
  <si>
    <t>ICT operating expenditure</t>
  </si>
  <si>
    <t>Premises, plant and insurance operating expenditure</t>
  </si>
  <si>
    <t>Governance and administration operating expenditure</t>
  </si>
  <si>
    <t>Demand response operating expenditure for Upper Clutha growth constraint</t>
  </si>
  <si>
    <t>1a check</t>
  </si>
  <si>
    <t>1b check</t>
  </si>
  <si>
    <t>Table 2: Capex summary</t>
  </si>
  <si>
    <t>2a Actual and forecast capex in constant prices $(000)</t>
  </si>
  <si>
    <t>Assessment Period</t>
  </si>
  <si>
    <t>CPP Regulatory Period</t>
  </si>
  <si>
    <t>Total CPP</t>
  </si>
  <si>
    <t>Capex Categories</t>
  </si>
  <si>
    <t>CY-4</t>
  </si>
  <si>
    <t>CY-3</t>
  </si>
  <si>
    <t>CY-2</t>
  </si>
  <si>
    <t>CY-1</t>
  </si>
  <si>
    <t>CY0</t>
  </si>
  <si>
    <t>CA</t>
  </si>
  <si>
    <t>CA+1</t>
  </si>
  <si>
    <t>Year 1</t>
  </si>
  <si>
    <t>Year 2</t>
  </si>
  <si>
    <t>Year 3</t>
  </si>
  <si>
    <t>Year 4</t>
  </si>
  <si>
    <t>Year 5</t>
  </si>
  <si>
    <t>$000 (in constant prices)</t>
  </si>
  <si>
    <t>Reliability, safety and environment:</t>
  </si>
  <si>
    <t>Total expenditure on network assets</t>
  </si>
  <si>
    <t>Total expenditure on non-network assets</t>
  </si>
  <si>
    <t>2b Actual and forecast capex in nominal prices $(000)</t>
  </si>
  <si>
    <t>$000 (in nominal  prices)</t>
  </si>
  <si>
    <t>Expenditure on non-network assets</t>
  </si>
  <si>
    <t>plus</t>
  </si>
  <si>
    <t>less</t>
  </si>
  <si>
    <t>2c Actual and forecast commissioned asset values in nominal prices  $(000)</t>
  </si>
  <si>
    <t>Total forecast  non-network capex</t>
  </si>
  <si>
    <t>2d Actual and forecast commissioned asset values by provider in nominal prices ($000)</t>
  </si>
  <si>
    <t>EDB</t>
  </si>
  <si>
    <t>Related party</t>
  </si>
  <si>
    <t xml:space="preserve">Other sources </t>
  </si>
  <si>
    <t>Unknown</t>
  </si>
  <si>
    <t>Totals in table 2c and table 2d must reconcile.</t>
  </si>
  <si>
    <t>2a check</t>
  </si>
  <si>
    <t>2b check</t>
  </si>
  <si>
    <t>2c check</t>
  </si>
  <si>
    <t>Table 3: Opex summary</t>
  </si>
  <si>
    <t>3a Actual and forecast opex in constant prices $(000)</t>
  </si>
  <si>
    <t>Total CPP period</t>
  </si>
  <si>
    <t>Opex Categories</t>
  </si>
  <si>
    <t>$(000) in constant prices</t>
  </si>
  <si>
    <t>3b Actual and forecast opex in nominal prices $(000)</t>
  </si>
  <si>
    <t>$(000) in nominal prices</t>
  </si>
  <si>
    <t>3c Actual and forecast opex by provider (optional)</t>
  </si>
  <si>
    <t>Other sources</t>
  </si>
  <si>
    <t>3a check</t>
  </si>
  <si>
    <t>3b check</t>
  </si>
  <si>
    <t>Table 4: Capex projects and programmes</t>
  </si>
  <si>
    <t>Actual and forecast capex in constant prices $(000)</t>
  </si>
  <si>
    <t>Actual and forecast capex in nominal prices $(000)</t>
  </si>
  <si>
    <t>Forecast commissioned assets values in nominal terms $(000)</t>
  </si>
  <si>
    <t>Total CPP Period</t>
  </si>
  <si>
    <t>4a Consumer connection</t>
  </si>
  <si>
    <t>Consumer types defined by EDB</t>
  </si>
  <si>
    <t>Total consumer connection expenditure</t>
  </si>
  <si>
    <t>Capital contributions funding consumer connection</t>
  </si>
  <si>
    <t>Total consumer connection less capital contributions</t>
  </si>
  <si>
    <t>4b System growth</t>
  </si>
  <si>
    <t>Major Projects</t>
  </si>
  <si>
    <t>Total system growth expenditure</t>
  </si>
  <si>
    <t>Capital contributions funding system growth</t>
  </si>
  <si>
    <t>Total system growth less capital contributions</t>
  </si>
  <si>
    <t>4c Asset replacement and renewal by projects or programmes</t>
  </si>
  <si>
    <t>Total asset replacement and renewal expenditure</t>
  </si>
  <si>
    <t>Capital contributions funding asset replacement and renewal</t>
  </si>
  <si>
    <t>Total asset replacement and renewal less capital contributions</t>
  </si>
  <si>
    <t xml:space="preserve">4d Asset relocations </t>
  </si>
  <si>
    <t>Project or programme*</t>
  </si>
  <si>
    <t>*include additional rows if needed</t>
  </si>
  <si>
    <t>Total asset relocations expenditure</t>
  </si>
  <si>
    <t>Capital contributions funding asset relocations</t>
  </si>
  <si>
    <t>Asset relocations less capital contributions</t>
  </si>
  <si>
    <t>4e Reliability, safety and environment:</t>
  </si>
  <si>
    <t>4e1 Quality of supply</t>
  </si>
  <si>
    <t>Total quality of supply expenditure</t>
  </si>
  <si>
    <t>Capital contributions funding quality of supply</t>
  </si>
  <si>
    <t>Quality of supply less capital contributions</t>
  </si>
  <si>
    <t>4e2 Legislative and regulatory</t>
  </si>
  <si>
    <t>Total legislative and regulatory expenditure</t>
  </si>
  <si>
    <t>Capital contributions funding legislative and regulatory</t>
  </si>
  <si>
    <t>Legislative and regulatory less capital contributions</t>
  </si>
  <si>
    <t>4e3 Other reliability, safety and environment</t>
  </si>
  <si>
    <t>Total other reliability, safety and environment</t>
  </si>
  <si>
    <t>Capital contributions funding other reliability, safety and environment</t>
  </si>
  <si>
    <t>Other reliability, safety and environment less capital contributions</t>
  </si>
  <si>
    <t>4f Non-network assets</t>
  </si>
  <si>
    <t>4f1 Routine non-network expenditure</t>
  </si>
  <si>
    <t>4f2 Non-network assets - atypical expenditure</t>
  </si>
  <si>
    <t>Total atypical non-network</t>
  </si>
  <si>
    <t>Total capex non-network assets</t>
  </si>
  <si>
    <t>Total capex network assets</t>
  </si>
  <si>
    <t>Total capex network assets less capital contributions</t>
  </si>
  <si>
    <t>4a check</t>
  </si>
  <si>
    <t>4b check</t>
  </si>
  <si>
    <t>4c check</t>
  </si>
  <si>
    <t>4d check</t>
  </si>
  <si>
    <t>4e check</t>
  </si>
  <si>
    <t>4f check</t>
  </si>
  <si>
    <t>Table 5: Capex by asset categories</t>
  </si>
  <si>
    <t>Forecast commissioned asset values in nominal terms $(000)</t>
  </si>
  <si>
    <t>5a System Growth</t>
  </si>
  <si>
    <t>System growth expenditure</t>
  </si>
  <si>
    <t xml:space="preserve">Less </t>
  </si>
  <si>
    <t xml:space="preserve">5b Asset Replacement and Renewal </t>
  </si>
  <si>
    <t>5a check</t>
  </si>
  <si>
    <t>5b check</t>
  </si>
  <si>
    <t>Table 6: Opex projects and programmes</t>
  </si>
  <si>
    <t>Adjust the column widths as required</t>
  </si>
  <si>
    <t>Actual and forecast opex in constant prices $(000)</t>
  </si>
  <si>
    <t>Actual and forecast opex in nominal prices (($000)</t>
  </si>
  <si>
    <t xml:space="preserve">6a </t>
  </si>
  <si>
    <t xml:space="preserve">6b:  </t>
  </si>
  <si>
    <t xml:space="preserve">6c  </t>
  </si>
  <si>
    <t xml:space="preserve">6d  </t>
  </si>
  <si>
    <t>6 check</t>
  </si>
  <si>
    <t>Table 7: Non-network opex</t>
  </si>
  <si>
    <t>Actual and forecast opex in nominal prices $(000)</t>
  </si>
  <si>
    <t xml:space="preserve">7a  </t>
  </si>
  <si>
    <t xml:space="preserve">7b  </t>
  </si>
  <si>
    <t>Total non network opex</t>
  </si>
  <si>
    <t>7 check</t>
  </si>
  <si>
    <t>Table 8: Aggregate forecast commissioned assets by asset categories</t>
  </si>
  <si>
    <t>Applicant may disaggregate other assets by asset types</t>
  </si>
  <si>
    <t>Forecast amounts should be net after adjustments for any capital contributions and related party transactions.</t>
  </si>
  <si>
    <t>Asset category</t>
  </si>
  <si>
    <t>8 check</t>
  </si>
  <si>
    <t>Table 9: Cost escalation factors</t>
  </si>
  <si>
    <t>Supplier must provide inflation and other factors used to convert real prices into nominal prices.</t>
  </si>
  <si>
    <t>Supplier may modify this table to suit its processes</t>
  </si>
  <si>
    <t>Escalator name and description</t>
  </si>
  <si>
    <t>Current Period</t>
  </si>
  <si>
    <t>Historical capital expenditure</t>
  </si>
  <si>
    <t>CPI series</t>
  </si>
  <si>
    <t>Forecast capital expenditure</t>
  </si>
  <si>
    <t>Historical operating expenditure</t>
  </si>
  <si>
    <t>Forecast operating expenditure</t>
  </si>
  <si>
    <t>Real (RY20) - Excluding ROU Assets</t>
  </si>
  <si>
    <t>Other Network Capex</t>
  </si>
  <si>
    <t>Support Structures</t>
  </si>
  <si>
    <t>Poles</t>
  </si>
  <si>
    <t>Crossarms</t>
  </si>
  <si>
    <t>Distribution Switchgear</t>
  </si>
  <si>
    <t>Ground Mounted Switchgear</t>
  </si>
  <si>
    <t>Pole Mounted Switches</t>
  </si>
  <si>
    <t>Pole Mount Fuses</t>
  </si>
  <si>
    <t>Low Voltage Enclosures</t>
  </si>
  <si>
    <t>Distribution Transformers</t>
  </si>
  <si>
    <t>Ground Mounted Distribution Transformers</t>
  </si>
  <si>
    <t>Pole Mounted Distribution Transformers</t>
  </si>
  <si>
    <t>Subtransmission Cables</t>
  </si>
  <si>
    <t>Distribution Cables</t>
  </si>
  <si>
    <t>Low Voltage Cables</t>
  </si>
  <si>
    <t>Overhead Conductors</t>
  </si>
  <si>
    <t>Subtransmission Conductor</t>
  </si>
  <si>
    <t>Distribution Conductor</t>
  </si>
  <si>
    <t>Zone Substations</t>
  </si>
  <si>
    <t>Indoor Switchgear</t>
  </si>
  <si>
    <t>Outdoor Switchgear</t>
  </si>
  <si>
    <t>Secondary Systems</t>
  </si>
  <si>
    <t xml:space="preserve">Protection </t>
  </si>
  <si>
    <t>Low Voltage Conductor</t>
  </si>
  <si>
    <t>Non Network Capex</t>
  </si>
  <si>
    <t>Non-network Assets</t>
  </si>
  <si>
    <t>Furniture and fittings</t>
  </si>
  <si>
    <t>Plant and equipment</t>
  </si>
  <si>
    <t>Renewals</t>
  </si>
  <si>
    <t>Reclosers and Sectionalisers</t>
  </si>
  <si>
    <t>DC Systems</t>
  </si>
  <si>
    <t>Ancillary Distribution Substation Equipment</t>
  </si>
  <si>
    <t>Growth</t>
  </si>
  <si>
    <t>Voltage Regulators</t>
  </si>
  <si>
    <t>Remote Terminal Units</t>
  </si>
  <si>
    <t>Computer hardware</t>
  </si>
  <si>
    <t>Computer software</t>
  </si>
  <si>
    <t>Buildings and Grounds</t>
  </si>
  <si>
    <t>Power Transformers</t>
  </si>
  <si>
    <t>Ancillary Zone Substation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</si>
</sst>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quot;* #,##0.00_-;\-&quot;$&quot;* #,##0.00_-;_-&quot;$&quot;* &quot;-&quot;??_-;_-@_-"/>
    <numFmt numFmtId="43" formatCode="_-* #,##0.00_-;\-* #,##0.00_-;_-* &quot;-&quot;??_-;_-@_-"/>
    <numFmt numFmtId="164" formatCode="_(&quot;$&quot;* #,##0.00_);_(&quot;$&quot;* \(#,##0.00\);_(&quot;$&quot;* &quot;-&quot;??_);_(@_)"/>
    <numFmt numFmtId="165" formatCode="#,##0_);\(#,##0\);&quot;-&quot;_);@_)"/>
    <numFmt numFmtId="166" formatCode="0.00%_);\(0.00%\);&quot;-&quot;_);@_)"/>
    <numFmt numFmtId="167" formatCode="&quot;Error&quot;;;&quot;Ok&quot;"/>
    <numFmt numFmtId="168" formatCode="[$-1409]d\ mmm\ yy;@"/>
    <numFmt numFmtId="169" formatCode="#,##0\ ;\(#,##0\);\-"/>
    <numFmt numFmtId="170" formatCode="#,##0;\(#,##0\);\-"/>
    <numFmt numFmtId="171" formatCode="[=0]&quot;Ok&quot;;&quot;Error&quot;"/>
    <numFmt numFmtId="172" formatCode="#,##0.0000_);\(#,##0.0000\);&quot;-&quot;_);@_)"/>
    <numFmt numFmtId="173" formatCode="_(\ #,##0_);_ \(#,##0\);_(\ &quot;–&quot;??_);_(\ @_)"/>
    <numFmt numFmtId="174" formatCode="[$-1409]d\ mmmm\ yyyy"/>
    <numFmt numFmtId="175" formatCode="#,##0.00_);\(#,##0.00\);&quot;-&quot;_);@_)"/>
    <numFmt numFmtId="176" formatCode="_(@_)"/>
    <numFmt numFmtId="177" formatCode="#,##0.000_);\(#,##0.000\);&quot;-&quot;_);@_)"/>
    <numFmt numFmtId="178" formatCode="_-* #,##0.0000_-;\-* #,##0.0000_-;_-* &quot;-&quot;??_-;_-@_-"/>
    <numFmt numFmtId="179" formatCode="_-* #,##0.0_-;\-* #,##0.0_-;_-* &quot;-&quot;??_-;_-@_-"/>
    <numFmt numFmtId="180" formatCode="###0_);\(###0\);&quot;-&quot;_);@_)"/>
    <numFmt numFmtId="181" formatCode="0.0%_);\(0.0%\);&quot;-&quot;_);@_)"/>
    <numFmt numFmtId="182" formatCode="0.0000%_);\(0.0000%\);&quot;-&quot;_);@_)"/>
    <numFmt numFmtId="183" formatCode="0.000%_);\(0.000%\);&quot;-&quot;_);@_)"/>
    <numFmt numFmtId="184" formatCode="d\ mmmm\ yyyy"/>
    <numFmt numFmtId="185" formatCode="_-* #,##0_-;\-* #,##0_-;_-* &quot;-&quot;??_-;_-@_-"/>
  </numFmts>
  <fonts count="69" x14ac:knownFonts="1">
    <font>
      <sz val="11"/>
      <color theme="1"/>
      <name val="Arial"/>
      <family val="2"/>
      <scheme val="minor"/>
    </font>
    <font>
      <sz val="11"/>
      <color theme="1"/>
      <name val="Arial"/>
      <family val="2"/>
      <scheme val="minor"/>
    </font>
    <font>
      <sz val="10"/>
      <name val="Arial"/>
      <family val="2"/>
    </font>
    <font>
      <sz val="10"/>
      <color theme="1"/>
      <name val="Arial"/>
      <family val="2"/>
      <scheme val="minor"/>
    </font>
    <font>
      <i/>
      <sz val="10"/>
      <name val="Arial"/>
      <family val="2"/>
      <scheme val="minor"/>
    </font>
    <font>
      <b/>
      <sz val="14"/>
      <name val="Arial"/>
      <family val="2"/>
      <scheme val="minor"/>
    </font>
    <font>
      <i/>
      <strike/>
      <sz val="10"/>
      <name val="Arial"/>
      <family val="2"/>
      <scheme val="minor"/>
    </font>
    <font>
      <sz val="10"/>
      <name val="Arial"/>
      <family val="2"/>
      <scheme val="minor"/>
    </font>
    <font>
      <strike/>
      <sz val="10"/>
      <name val="Arial"/>
      <family val="2"/>
      <scheme val="minor"/>
    </font>
    <font>
      <b/>
      <sz val="12"/>
      <color theme="1"/>
      <name val="Arial"/>
      <family val="2"/>
      <scheme val="minor"/>
    </font>
    <font>
      <b/>
      <sz val="10"/>
      <color theme="1"/>
      <name val="Arial"/>
      <family val="2"/>
      <scheme val="minor"/>
    </font>
    <font>
      <b/>
      <strike/>
      <sz val="10"/>
      <name val="Arial"/>
      <family val="2"/>
      <scheme val="minor"/>
    </font>
    <font>
      <i/>
      <sz val="10"/>
      <color theme="1"/>
      <name val="Arial"/>
      <family val="2"/>
      <scheme val="minor"/>
    </font>
    <font>
      <sz val="10"/>
      <color indexed="8"/>
      <name val="Arial"/>
      <family val="1"/>
    </font>
    <font>
      <sz val="10"/>
      <color rgb="FF0070C0"/>
      <name val="Arial"/>
      <family val="2"/>
      <scheme val="minor"/>
    </font>
    <font>
      <b/>
      <i/>
      <sz val="10"/>
      <color theme="1"/>
      <name val="Arial"/>
      <family val="2"/>
      <scheme val="minor"/>
    </font>
    <font>
      <sz val="10"/>
      <name val="Calibri"/>
      <family val="2"/>
    </font>
    <font>
      <b/>
      <sz val="10"/>
      <name val="Arial"/>
      <family val="2"/>
      <scheme val="minor"/>
    </font>
    <font>
      <b/>
      <sz val="9"/>
      <color theme="1"/>
      <name val="Arial"/>
      <family val="2"/>
      <scheme val="minor"/>
    </font>
    <font>
      <strike/>
      <sz val="10"/>
      <color theme="1"/>
      <name val="Arial"/>
      <family val="2"/>
      <scheme val="minor"/>
    </font>
    <font>
      <i/>
      <sz val="12"/>
      <name val="Arial"/>
      <family val="2"/>
      <scheme val="minor"/>
    </font>
    <font>
      <b/>
      <sz val="12"/>
      <name val="Arial"/>
      <family val="2"/>
      <scheme val="minor"/>
    </font>
    <font>
      <i/>
      <sz val="8"/>
      <name val="Arial"/>
      <family val="2"/>
      <scheme val="minor"/>
    </font>
    <font>
      <b/>
      <sz val="14"/>
      <color theme="1"/>
      <name val="Arial"/>
      <family val="2"/>
      <scheme val="minor"/>
    </font>
    <font>
      <sz val="12"/>
      <name val="Arial"/>
      <family val="2"/>
      <scheme val="minor"/>
    </font>
    <font>
      <b/>
      <sz val="10"/>
      <color theme="1"/>
      <name val="Arial"/>
      <family val="2"/>
    </font>
    <font>
      <b/>
      <sz val="10"/>
      <color theme="0"/>
      <name val="Arial"/>
      <family val="2"/>
    </font>
    <font>
      <b/>
      <i/>
      <sz val="10"/>
      <color theme="0"/>
      <name val="Arial"/>
      <family val="2"/>
    </font>
    <font>
      <sz val="10"/>
      <color theme="1"/>
      <name val="Arial"/>
      <family val="2"/>
    </font>
    <font>
      <i/>
      <sz val="10"/>
      <name val="Arial"/>
      <family val="2"/>
    </font>
    <font>
      <b/>
      <sz val="10"/>
      <color theme="5"/>
      <name val="Arial"/>
      <family val="2"/>
    </font>
    <font>
      <sz val="10"/>
      <color rgb="FFC00000"/>
      <name val="Arial"/>
      <family val="2"/>
    </font>
    <font>
      <i/>
      <sz val="10"/>
      <color theme="1"/>
      <name val="Arial"/>
      <family val="2"/>
    </font>
    <font>
      <b/>
      <sz val="10"/>
      <name val="Arial"/>
      <family val="2"/>
    </font>
    <font>
      <sz val="10"/>
      <color theme="3"/>
      <name val="Arial"/>
      <family val="2"/>
    </font>
    <font>
      <b/>
      <sz val="10"/>
      <color rgb="FFF7941E"/>
      <name val="Arial"/>
      <family val="2"/>
      <scheme val="minor"/>
    </font>
    <font>
      <b/>
      <sz val="12"/>
      <color rgb="FFF7941E"/>
      <name val="Arial"/>
      <family val="2"/>
    </font>
    <font>
      <b/>
      <sz val="10"/>
      <color rgb="FFF7941E"/>
      <name val="Arial"/>
      <family val="2"/>
    </font>
    <font>
      <b/>
      <i/>
      <sz val="10"/>
      <name val="Arial"/>
      <family val="2"/>
    </font>
    <font>
      <b/>
      <i/>
      <sz val="10"/>
      <color theme="1"/>
      <name val="Arial"/>
      <family val="2"/>
    </font>
    <font>
      <sz val="8"/>
      <color theme="1"/>
      <name val="Arial"/>
      <family val="2"/>
    </font>
    <font>
      <i/>
      <sz val="11"/>
      <color theme="1"/>
      <name val="Arial"/>
      <family val="2"/>
      <scheme val="minor"/>
    </font>
    <font>
      <b/>
      <sz val="11"/>
      <name val="Arial"/>
      <family val="2"/>
      <scheme val="minor"/>
    </font>
    <font>
      <sz val="10"/>
      <color theme="1"/>
      <name val="Arial"/>
      <family val="4"/>
      <scheme val="minor"/>
    </font>
    <font>
      <sz val="10"/>
      <color indexed="8"/>
      <name val="Calibri"/>
      <family val="1"/>
    </font>
    <font>
      <sz val="10"/>
      <color indexed="8"/>
      <name val="Calibri"/>
      <family val="2"/>
    </font>
    <font>
      <sz val="10"/>
      <name val="Arial"/>
      <family val="4"/>
      <scheme val="minor"/>
    </font>
    <font>
      <b/>
      <sz val="16"/>
      <name val="Arial"/>
      <family val="4"/>
      <scheme val="minor"/>
    </font>
    <font>
      <b/>
      <sz val="13"/>
      <color theme="4"/>
      <name val="Arial"/>
      <family val="2"/>
      <scheme val="minor"/>
    </font>
    <font>
      <i/>
      <sz val="12"/>
      <name val="Arial"/>
      <family val="4"/>
      <scheme val="minor"/>
    </font>
    <font>
      <i/>
      <sz val="10"/>
      <color theme="3"/>
      <name val="Arial"/>
      <family val="2"/>
    </font>
    <font>
      <sz val="11"/>
      <name val="Arial"/>
      <family val="2"/>
      <scheme val="minor"/>
    </font>
    <font>
      <b/>
      <i/>
      <sz val="10"/>
      <name val="Arial"/>
      <family val="2"/>
      <scheme val="minor"/>
    </font>
    <font>
      <b/>
      <sz val="20"/>
      <color theme="2"/>
      <name val="Arial"/>
      <family val="2"/>
      <scheme val="minor"/>
    </font>
    <font>
      <b/>
      <sz val="14"/>
      <color rgb="FFF7941E"/>
      <name val="Arial"/>
      <family val="2"/>
      <scheme val="minor"/>
    </font>
    <font>
      <i/>
      <sz val="10"/>
      <name val="Arial"/>
      <family val="4"/>
      <scheme val="minor"/>
    </font>
    <font>
      <sz val="11"/>
      <name val="Calibri"/>
      <family val="2"/>
    </font>
    <font>
      <b/>
      <sz val="11"/>
      <color theme="1"/>
      <name val="Arial"/>
      <family val="2"/>
      <scheme val="minor"/>
    </font>
    <font>
      <sz val="10"/>
      <color rgb="FF000000"/>
      <name val="Arial"/>
      <family val="2"/>
      <scheme val="minor"/>
    </font>
    <font>
      <b/>
      <sz val="10"/>
      <color theme="5"/>
      <name val="Arial"/>
      <family val="2"/>
      <scheme val="minor"/>
    </font>
    <font>
      <sz val="11"/>
      <color theme="1"/>
      <name val="Arial"/>
      <family val="2"/>
      <charset val="186"/>
      <scheme val="minor"/>
    </font>
    <font>
      <sz val="11"/>
      <color rgb="FF3F3F76"/>
      <name val="Arial"/>
      <family val="2"/>
      <charset val="186"/>
      <scheme val="minor"/>
    </font>
    <font>
      <sz val="11"/>
      <color theme="0"/>
      <name val="Arial"/>
      <family val="2"/>
      <charset val="186"/>
      <scheme val="minor"/>
    </font>
    <font>
      <b/>
      <sz val="10"/>
      <name val="Arial"/>
      <family val="4"/>
      <scheme val="minor"/>
    </font>
    <font>
      <sz val="10"/>
      <color rgb="FF000000"/>
      <name val="Arial"/>
      <family val="2"/>
    </font>
    <font>
      <sz val="12"/>
      <name val="Calibri"/>
      <family val="2"/>
    </font>
    <font>
      <i/>
      <sz val="8"/>
      <name val="Arial"/>
      <family val="2"/>
    </font>
    <font>
      <sz val="8"/>
      <color theme="1"/>
      <name val="Arial"/>
      <family val="2"/>
      <scheme val="minor"/>
    </font>
    <font>
      <b/>
      <i/>
      <sz val="12"/>
      <name val="Arial"/>
      <family val="2"/>
      <scheme val="minor"/>
    </font>
  </fonts>
  <fills count="19">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rgb="FFFFF1CC"/>
        <bgColor indexed="64"/>
      </patternFill>
    </fill>
    <fill>
      <patternFill patternType="solid">
        <fgColor rgb="FFF7941E"/>
        <bgColor rgb="FF00FFFF"/>
      </patternFill>
    </fill>
    <fill>
      <patternFill patternType="solid">
        <fgColor rgb="FFF7941E"/>
        <bgColor indexed="64"/>
      </patternFill>
    </fill>
    <fill>
      <patternFill patternType="solid">
        <fgColor rgb="FFCCFFCC"/>
        <bgColor indexed="64"/>
      </patternFill>
    </fill>
    <fill>
      <patternFill patternType="solid">
        <fgColor rgb="FFFCE4D6"/>
        <bgColor indexed="64"/>
      </patternFill>
    </fill>
    <fill>
      <patternFill patternType="solid">
        <fgColor theme="5" tint="0.79998168889431442"/>
        <bgColor indexed="64"/>
      </patternFill>
    </fill>
    <fill>
      <patternFill patternType="solid">
        <fgColor theme="0"/>
        <bgColor indexed="64"/>
      </patternFill>
    </fill>
    <fill>
      <patternFill patternType="solid">
        <fgColor rgb="FFBFBFBF"/>
        <bgColor indexed="64"/>
      </patternFill>
    </fill>
    <fill>
      <patternFill patternType="solid">
        <fgColor rgb="FFFFCC99"/>
      </patternFill>
    </fill>
    <fill>
      <patternFill patternType="solid">
        <fgColor theme="7"/>
      </patternFill>
    </fill>
    <fill>
      <patternFill patternType="solid">
        <fgColor theme="8"/>
      </patternFill>
    </fill>
    <fill>
      <patternFill patternType="solid">
        <fgColor rgb="FFFFFF99"/>
        <bgColor rgb="FF00FFFF"/>
      </patternFill>
    </fill>
    <fill>
      <patternFill patternType="solid">
        <fgColor theme="6"/>
        <bgColor indexed="64"/>
      </patternFill>
    </fill>
    <fill>
      <patternFill patternType="solid">
        <fgColor theme="2"/>
        <bgColor indexed="64"/>
      </patternFill>
    </fill>
    <fill>
      <patternFill patternType="solid">
        <fgColor theme="6"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bottom style="medium">
        <color auto="1"/>
      </bottom>
      <diagonal/>
    </border>
    <border>
      <left/>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indexed="64"/>
      </left>
      <right style="medium">
        <color indexed="64"/>
      </right>
      <top/>
      <bottom/>
      <diagonal/>
    </border>
    <border>
      <left style="thin">
        <color theme="0"/>
      </left>
      <right/>
      <top style="thin">
        <color theme="0"/>
      </top>
      <bottom/>
      <diagonal/>
    </border>
    <border>
      <left/>
      <right/>
      <top style="thin">
        <color theme="0"/>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6A6A6"/>
      </left>
      <right style="thin">
        <color rgb="FFA6A6A6"/>
      </right>
      <top style="thin">
        <color rgb="FFA6A6A6"/>
      </top>
      <bottom style="thin">
        <color rgb="FFA6A6A6"/>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theme="0" tint="-0.34998626667073579"/>
      </left>
      <right style="thin">
        <color theme="0" tint="-0.34998626667073579"/>
      </right>
      <top style="thin">
        <color theme="0" tint="-0.34998626667073579"/>
      </top>
      <bottom/>
      <diagonal/>
    </border>
    <border>
      <left/>
      <right/>
      <top style="thin">
        <color theme="7"/>
      </top>
      <bottom style="thin">
        <color theme="7"/>
      </bottom>
      <diagonal/>
    </border>
    <border>
      <left style="thin">
        <color rgb="FFA6A6A6"/>
      </left>
      <right style="thin">
        <color rgb="FFA6A6A6"/>
      </right>
      <top style="thin">
        <color rgb="FFA6A6A6"/>
      </top>
      <bottom/>
      <diagonal/>
    </border>
    <border>
      <left/>
      <right/>
      <top style="dotted">
        <color rgb="FFF7941E"/>
      </top>
      <bottom style="dotted">
        <color rgb="FFF7941E"/>
      </bottom>
      <diagonal/>
    </border>
    <border>
      <left style="thin">
        <color rgb="FF7F7F7F"/>
      </left>
      <right style="thin">
        <color rgb="FF7F7F7F"/>
      </right>
      <top style="thin">
        <color rgb="FF7F7F7F"/>
      </top>
      <bottom style="thin">
        <color rgb="FF7F7F7F"/>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rgb="FFA6A6A6"/>
      </left>
      <right/>
      <top style="thin">
        <color rgb="FFA6A6A6"/>
      </top>
      <bottom style="thin">
        <color rgb="FFA6A6A6"/>
      </bottom>
      <diagonal/>
    </border>
    <border>
      <left/>
      <right style="thin">
        <color theme="0"/>
      </right>
      <top style="thin">
        <color theme="0"/>
      </top>
      <bottom/>
      <diagonal/>
    </border>
    <border>
      <left style="thin">
        <color indexed="64"/>
      </left>
      <right/>
      <top/>
      <bottom/>
      <diagonal/>
    </border>
    <border>
      <left/>
      <right/>
      <top style="dotted">
        <color rgb="FFF7941E"/>
      </top>
      <bottom/>
      <diagonal/>
    </border>
    <border>
      <left/>
      <right/>
      <top/>
      <bottom style="dotted">
        <color rgb="FFF7941E"/>
      </bottom>
      <diagonal/>
    </border>
    <border>
      <left/>
      <right/>
      <top/>
      <bottom style="dotted">
        <color theme="5"/>
      </bottom>
      <diagonal/>
    </border>
    <border>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s>
  <cellStyleXfs count="88">
    <xf numFmtId="0" fontId="0" fillId="0" borderId="0"/>
    <xf numFmtId="9" fontId="1" fillId="0" borderId="0" applyFont="0" applyFill="0" applyBorder="0" applyAlignment="0" applyProtection="0"/>
    <xf numFmtId="0" fontId="2" fillId="0" borderId="0"/>
    <xf numFmtId="0" fontId="1"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0" fontId="4" fillId="2" borderId="10">
      <alignment horizontal="right"/>
    </xf>
    <xf numFmtId="0" fontId="7" fillId="2" borderId="0" applyAlignment="0"/>
    <xf numFmtId="0" fontId="7" fillId="2" borderId="0" applyBorder="0">
      <alignment horizontal="left"/>
    </xf>
    <xf numFmtId="0" fontId="4" fillId="2" borderId="0" applyBorder="0">
      <alignment horizontal="center" wrapText="1"/>
    </xf>
    <xf numFmtId="168" fontId="13" fillId="0" borderId="0" applyFont="0" applyFill="0" applyBorder="0" applyAlignment="0" applyProtection="0">
      <alignment wrapText="1"/>
    </xf>
    <xf numFmtId="0" fontId="14" fillId="0" borderId="1">
      <protection locked="0"/>
    </xf>
    <xf numFmtId="0" fontId="16" fillId="2" borderId="16" applyNumberFormat="0" applyFont="0" applyAlignment="0"/>
    <xf numFmtId="0" fontId="17" fillId="2" borderId="0" applyBorder="0">
      <alignment horizontal="left"/>
    </xf>
    <xf numFmtId="0" fontId="17" fillId="2" borderId="0" applyBorder="0">
      <alignment horizontal="center" wrapText="1"/>
    </xf>
    <xf numFmtId="0" fontId="5" fillId="2" borderId="0" applyBorder="0"/>
    <xf numFmtId="0" fontId="4" fillId="2" borderId="0" applyBorder="0"/>
    <xf numFmtId="0" fontId="4" fillId="2" borderId="0" applyNumberFormat="0" applyBorder="0" applyProtection="0">
      <alignment horizontal="right"/>
    </xf>
    <xf numFmtId="0" fontId="22" fillId="2" borderId="0" applyNumberFormat="0" applyBorder="0">
      <alignment horizontal="left"/>
    </xf>
    <xf numFmtId="0" fontId="21" fillId="2" borderId="0" applyBorder="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16" fillId="2" borderId="16" applyNumberFormat="0" applyFont="0" applyAlignment="0"/>
    <xf numFmtId="0" fontId="43" fillId="0" borderId="0"/>
    <xf numFmtId="0" fontId="7" fillId="2" borderId="0"/>
    <xf numFmtId="0" fontId="4" fillId="2" borderId="10" applyFill="0">
      <alignment horizontal="right"/>
    </xf>
    <xf numFmtId="173" fontId="44" fillId="0" borderId="0" applyFont="0" applyFill="0" applyBorder="0" applyAlignment="0" applyProtection="0">
      <alignment horizontal="left"/>
      <protection locked="0"/>
    </xf>
    <xf numFmtId="0" fontId="17" fillId="2" borderId="0" applyFill="0" applyBorder="0">
      <alignment horizontal="left"/>
    </xf>
    <xf numFmtId="0" fontId="7" fillId="2" borderId="0" applyFill="0" applyBorder="0">
      <alignment horizontal="left"/>
    </xf>
    <xf numFmtId="0" fontId="22" fillId="2" borderId="0" applyNumberFormat="0" applyFill="0" applyBorder="0">
      <alignment horizontal="left"/>
    </xf>
    <xf numFmtId="0" fontId="14" fillId="0" borderId="1" applyNumberFormat="0">
      <protection locked="0"/>
    </xf>
    <xf numFmtId="0" fontId="17" fillId="2" borderId="0" applyFill="0" applyBorder="0">
      <alignment horizontal="center" wrapText="1"/>
    </xf>
    <xf numFmtId="0" fontId="4" fillId="2" borderId="0" applyFill="0" applyBorder="0"/>
    <xf numFmtId="0" fontId="21" fillId="2" borderId="0" applyFill="0" applyBorder="0"/>
    <xf numFmtId="0" fontId="5" fillId="2" borderId="0" applyFill="0" applyBorder="0"/>
    <xf numFmtId="0" fontId="4" fillId="2" borderId="0" applyNumberFormat="0" applyFill="0" applyBorder="0" applyProtection="0">
      <alignment horizontal="right"/>
    </xf>
    <xf numFmtId="0" fontId="7" fillId="2" borderId="16" applyNumberFormat="0"/>
    <xf numFmtId="0" fontId="45" fillId="7" borderId="0" applyFont="0" applyAlignment="0"/>
    <xf numFmtId="0" fontId="4" fillId="7" borderId="0" applyFill="0" applyAlignment="0">
      <alignment horizontal="center"/>
    </xf>
    <xf numFmtId="0" fontId="46" fillId="7" borderId="0" applyFill="0" applyBorder="0">
      <alignment vertical="top" wrapText="1"/>
    </xf>
    <xf numFmtId="0" fontId="47" fillId="7" borderId="0" applyNumberFormat="0" applyFill="0" applyBorder="0" applyAlignment="0" applyProtection="0"/>
    <xf numFmtId="174" fontId="13" fillId="0" borderId="0" applyFont="0" applyFill="0" applyBorder="0" applyAlignment="0" applyProtection="0">
      <protection locked="0"/>
    </xf>
    <xf numFmtId="0" fontId="49" fillId="7" borderId="0" applyNumberFormat="0" applyFill="0" applyBorder="0">
      <alignment horizontal="right"/>
    </xf>
    <xf numFmtId="0" fontId="48" fillId="7" borderId="1" applyFill="0">
      <alignment horizontal="center"/>
    </xf>
    <xf numFmtId="0" fontId="14" fillId="0" borderId="1" applyNumberFormat="0">
      <protection locked="0"/>
    </xf>
    <xf numFmtId="49" fontId="53" fillId="0" borderId="0" applyFill="0" applyAlignment="0"/>
    <xf numFmtId="49" fontId="55" fillId="0" borderId="0" applyFill="0" applyProtection="0">
      <alignment horizontal="left" indent="1"/>
    </xf>
    <xf numFmtId="176" fontId="56" fillId="0" borderId="0" applyFont="0" applyFill="0" applyBorder="0" applyAlignment="0" applyProtection="0">
      <alignment horizontal="left"/>
      <protection locked="0"/>
    </xf>
    <xf numFmtId="9"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60" fillId="0" borderId="0"/>
    <xf numFmtId="9" fontId="60" fillId="0" borderId="0" applyFont="0" applyFill="0" applyBorder="0" applyAlignment="0" applyProtection="0"/>
    <xf numFmtId="0" fontId="61" fillId="12" borderId="41" applyNumberFormat="0" applyAlignment="0" applyProtection="0"/>
    <xf numFmtId="0" fontId="62" fillId="14" borderId="0" applyNumberFormat="0" applyBorder="0" applyAlignment="0" applyProtection="0"/>
    <xf numFmtId="0" fontId="62" fillId="13"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60" fillId="0" borderId="0" applyFont="0" applyFill="0" applyBorder="0" applyAlignment="0" applyProtection="0"/>
    <xf numFmtId="0" fontId="63" fillId="16" borderId="38" applyNumberFormat="0" applyFill="0">
      <alignment horizontal="centerContinuous" wrapText="1"/>
    </xf>
    <xf numFmtId="0" fontId="1" fillId="0" borderId="0"/>
    <xf numFmtId="0" fontId="28" fillId="0" borderId="0"/>
    <xf numFmtId="0" fontId="64" fillId="0" borderId="0"/>
    <xf numFmtId="0" fontId="65" fillId="0" borderId="0"/>
    <xf numFmtId="0" fontId="1" fillId="0" borderId="0"/>
    <xf numFmtId="0" fontId="64" fillId="0" borderId="0"/>
    <xf numFmtId="0" fontId="2" fillId="0" borderId="0"/>
    <xf numFmtId="44" fontId="60" fillId="0" borderId="0" applyFont="0" applyFill="0" applyBorder="0" applyAlignment="0" applyProtection="0"/>
    <xf numFmtId="43" fontId="60" fillId="0" borderId="0" applyFont="0" applyFill="0" applyBorder="0" applyAlignment="0" applyProtection="0"/>
    <xf numFmtId="0" fontId="43" fillId="0" borderId="0">
      <alignment horizontal="right"/>
    </xf>
    <xf numFmtId="0" fontId="49" fillId="7" borderId="0" applyNumberFormat="0" applyBorder="0">
      <alignment horizontal="right"/>
    </xf>
    <xf numFmtId="0" fontId="48" fillId="7" borderId="1">
      <alignment horizontal="center"/>
    </xf>
    <xf numFmtId="184" fontId="48" fillId="7" borderId="1">
      <alignment horizontal="center" vertical="center"/>
    </xf>
    <xf numFmtId="0" fontId="47" fillId="7" borderId="46" applyBorder="0"/>
    <xf numFmtId="0" fontId="4" fillId="7" borderId="0" applyAlignment="0">
      <alignment horizontal="center"/>
    </xf>
    <xf numFmtId="0" fontId="46" fillId="7" borderId="0" applyBorder="0">
      <alignment vertical="top" wrapText="1"/>
    </xf>
    <xf numFmtId="0" fontId="16" fillId="2" borderId="0" applyFont="0" applyBorder="0" applyProtection="0">
      <alignment horizontal="right"/>
    </xf>
    <xf numFmtId="43" fontId="1" fillId="0" borderId="0" applyFont="0" applyFill="0" applyBorder="0" applyAlignment="0" applyProtection="0"/>
  </cellStyleXfs>
  <cellXfs count="724">
    <xf numFmtId="0" fontId="0" fillId="0" borderId="0" xfId="0"/>
    <xf numFmtId="10" fontId="23" fillId="2" borderId="0" xfId="21" applyNumberFormat="1" applyFont="1" applyFill="1" applyBorder="1" applyAlignment="1">
      <alignment horizontal="left" vertical="center"/>
    </xf>
    <xf numFmtId="0" fontId="7" fillId="2" borderId="7" xfId="8" applyFont="1" applyBorder="1" applyAlignment="1">
      <alignment horizontal="center"/>
    </xf>
    <xf numFmtId="0" fontId="4" fillId="2" borderId="8" xfId="10" applyFont="1" applyBorder="1" applyAlignment="1">
      <alignment horizontal="center" wrapText="1"/>
    </xf>
    <xf numFmtId="0" fontId="4" fillId="2" borderId="9" xfId="10" applyFont="1" applyBorder="1" applyAlignment="1">
      <alignment horizontal="center" wrapText="1"/>
    </xf>
    <xf numFmtId="0" fontId="12" fillId="2" borderId="2" xfId="10" applyFont="1" applyBorder="1">
      <alignment horizontal="center" wrapText="1"/>
    </xf>
    <xf numFmtId="0" fontId="12" fillId="2" borderId="4" xfId="10" applyFont="1" applyBorder="1">
      <alignment horizontal="center" wrapText="1"/>
    </xf>
    <xf numFmtId="0" fontId="12" fillId="2" borderId="3" xfId="10" applyFont="1" applyBorder="1">
      <alignment horizontal="center" wrapText="1"/>
    </xf>
    <xf numFmtId="0" fontId="12" fillId="2" borderId="4" xfId="10" applyFont="1" applyBorder="1" applyAlignment="1">
      <alignment horizontal="center" wrapText="1"/>
    </xf>
    <xf numFmtId="0" fontId="3" fillId="2" borderId="2" xfId="22" applyFont="1" applyFill="1" applyBorder="1" applyAlignment="1">
      <alignment horizontal="left" vertical="center" wrapText="1" indent="1"/>
    </xf>
    <xf numFmtId="0" fontId="4" fillId="2" borderId="0" xfId="19" applyFont="1" applyBorder="1" applyAlignment="1">
      <alignment horizontal="left" vertical="center"/>
    </xf>
    <xf numFmtId="0" fontId="23" fillId="0" borderId="0" xfId="0" applyFont="1"/>
    <xf numFmtId="0" fontId="25" fillId="0" borderId="0" xfId="0" applyFont="1"/>
    <xf numFmtId="0" fontId="28" fillId="0" borderId="0" xfId="0" applyFont="1" applyFill="1"/>
    <xf numFmtId="0" fontId="28" fillId="0" borderId="0" xfId="0" applyFont="1" applyFill="1" applyAlignment="1">
      <alignment horizontal="left"/>
    </xf>
    <xf numFmtId="0" fontId="28" fillId="0" borderId="0" xfId="0" applyFont="1"/>
    <xf numFmtId="0" fontId="29" fillId="0" borderId="0" xfId="0" applyFont="1" applyFill="1" applyAlignment="1">
      <alignment horizontal="left"/>
    </xf>
    <xf numFmtId="167" fontId="29" fillId="0" borderId="0" xfId="0" applyNumberFormat="1" applyFont="1" applyFill="1" applyAlignment="1">
      <alignment horizontal="center"/>
    </xf>
    <xf numFmtId="0" fontId="2" fillId="0" borderId="0" xfId="0" applyFont="1" applyFill="1"/>
    <xf numFmtId="167" fontId="2" fillId="0" borderId="0" xfId="0" applyNumberFormat="1" applyFont="1" applyFill="1"/>
    <xf numFmtId="0" fontId="30" fillId="0" borderId="0" xfId="0" applyFont="1" applyFill="1" applyBorder="1" applyAlignment="1">
      <alignment horizontal="right"/>
    </xf>
    <xf numFmtId="10" fontId="31" fillId="0" borderId="0" xfId="1" applyNumberFormat="1" applyFont="1" applyFill="1" applyBorder="1"/>
    <xf numFmtId="0" fontId="29" fillId="0" borderId="0" xfId="0" applyFont="1" applyAlignment="1">
      <alignment horizontal="left"/>
    </xf>
    <xf numFmtId="39" fontId="2" fillId="0" borderId="0" xfId="0" applyNumberFormat="1" applyFont="1" applyFill="1" applyBorder="1"/>
    <xf numFmtId="0" fontId="2" fillId="0" borderId="0" xfId="0" applyFont="1"/>
    <xf numFmtId="0" fontId="32" fillId="0" borderId="0" xfId="0" applyFont="1" applyAlignment="1">
      <alignment horizontal="left"/>
    </xf>
    <xf numFmtId="0" fontId="10" fillId="0" borderId="0" xfId="0" applyFont="1"/>
    <xf numFmtId="0" fontId="3" fillId="0" borderId="0" xfId="0" applyFont="1"/>
    <xf numFmtId="0" fontId="3" fillId="0" borderId="0" xfId="0" applyFont="1" applyBorder="1"/>
    <xf numFmtId="0" fontId="3" fillId="0" borderId="0" xfId="0" applyFont="1" applyFill="1"/>
    <xf numFmtId="0" fontId="28" fillId="0" borderId="0" xfId="0" applyFont="1" applyBorder="1"/>
    <xf numFmtId="165" fontId="28" fillId="0" borderId="0" xfId="0" applyNumberFormat="1" applyFont="1"/>
    <xf numFmtId="0" fontId="33" fillId="0" borderId="0" xfId="0" applyFont="1"/>
    <xf numFmtId="0" fontId="26" fillId="5" borderId="0" xfId="0" applyFont="1" applyFill="1" applyBorder="1"/>
    <xf numFmtId="0" fontId="26" fillId="5" borderId="0" xfId="0" applyFont="1" applyFill="1" applyBorder="1" applyAlignment="1">
      <alignment horizontal="left"/>
    </xf>
    <xf numFmtId="0" fontId="26" fillId="5" borderId="0" xfId="0" applyFont="1" applyFill="1" applyBorder="1" applyAlignment="1">
      <alignment horizontal="right"/>
    </xf>
    <xf numFmtId="171" fontId="28" fillId="0" borderId="0" xfId="0" applyNumberFormat="1" applyFont="1" applyFill="1" applyAlignment="1">
      <alignment horizontal="center" vertical="center"/>
    </xf>
    <xf numFmtId="0" fontId="35" fillId="0" borderId="0" xfId="0" applyFont="1"/>
    <xf numFmtId="15" fontId="26" fillId="5" borderId="0" xfId="0" applyNumberFormat="1" applyFont="1" applyFill="1"/>
    <xf numFmtId="15" fontId="26" fillId="5" borderId="0" xfId="0" applyNumberFormat="1" applyFont="1" applyFill="1" applyAlignment="1">
      <alignment horizontal="right"/>
    </xf>
    <xf numFmtId="15" fontId="26" fillId="5" borderId="23" xfId="0" applyNumberFormat="1" applyFont="1" applyFill="1" applyBorder="1" applyAlignment="1">
      <alignment horizontal="centerContinuous" vertical="center"/>
    </xf>
    <xf numFmtId="0" fontId="34" fillId="0" borderId="0" xfId="0" applyFont="1" applyFill="1"/>
    <xf numFmtId="0" fontId="36" fillId="0" borderId="0" xfId="0" applyFont="1" applyFill="1"/>
    <xf numFmtId="0" fontId="26" fillId="6" borderId="0" xfId="0" applyFont="1" applyFill="1"/>
    <xf numFmtId="0" fontId="27" fillId="6" borderId="0" xfId="0" applyFont="1" applyFill="1" applyAlignment="1">
      <alignment horizontal="left"/>
    </xf>
    <xf numFmtId="0" fontId="26" fillId="6" borderId="0" xfId="0" applyFont="1" applyFill="1" applyAlignment="1">
      <alignment horizontal="right"/>
    </xf>
    <xf numFmtId="14" fontId="26" fillId="6" borderId="0" xfId="0" applyNumberFormat="1" applyFont="1" applyFill="1"/>
    <xf numFmtId="167" fontId="27" fillId="6" borderId="0" xfId="0" applyNumberFormat="1" applyFont="1" applyFill="1"/>
    <xf numFmtId="15" fontId="26" fillId="5" borderId="24" xfId="0" applyNumberFormat="1" applyFont="1" applyFill="1" applyBorder="1" applyAlignment="1">
      <alignment horizontal="centerContinuous" vertical="center"/>
    </xf>
    <xf numFmtId="0" fontId="26" fillId="6" borderId="0" xfId="0" applyFont="1" applyFill="1" applyBorder="1"/>
    <xf numFmtId="0" fontId="26" fillId="6" borderId="0" xfId="0" applyFont="1" applyFill="1" applyBorder="1" applyAlignment="1">
      <alignment horizontal="left"/>
    </xf>
    <xf numFmtId="0" fontId="26" fillId="6" borderId="0" xfId="0" applyFont="1" applyFill="1" applyBorder="1" applyAlignment="1">
      <alignment horizontal="right"/>
    </xf>
    <xf numFmtId="0" fontId="37" fillId="0" borderId="0" xfId="0" applyFont="1"/>
    <xf numFmtId="0" fontId="28" fillId="0" borderId="0" xfId="0" applyFont="1" applyFill="1" applyBorder="1"/>
    <xf numFmtId="171" fontId="28" fillId="0" borderId="26" xfId="0" applyNumberFormat="1" applyFont="1" applyFill="1" applyBorder="1" applyAlignment="1">
      <alignment horizontal="center" vertical="center"/>
    </xf>
    <xf numFmtId="171" fontId="28" fillId="0" borderId="0" xfId="0" applyNumberFormat="1" applyFont="1" applyFill="1" applyBorder="1" applyAlignment="1">
      <alignment horizontal="center" vertical="center"/>
    </xf>
    <xf numFmtId="0" fontId="32" fillId="0" borderId="0" xfId="0" applyFont="1" applyFill="1" applyAlignment="1">
      <alignment horizontal="left"/>
    </xf>
    <xf numFmtId="165" fontId="28" fillId="0" borderId="0" xfId="0" applyNumberFormat="1" applyFont="1" applyFill="1"/>
    <xf numFmtId="0" fontId="25" fillId="0" borderId="0" xfId="0" applyFont="1" applyFill="1"/>
    <xf numFmtId="0" fontId="37" fillId="0" borderId="0" xfId="0" applyFont="1" applyFill="1"/>
    <xf numFmtId="166" fontId="28" fillId="0" borderId="25" xfId="0" applyNumberFormat="1" applyFont="1" applyFill="1" applyBorder="1"/>
    <xf numFmtId="166" fontId="28" fillId="0" borderId="0" xfId="0" applyNumberFormat="1" applyFont="1" applyFill="1"/>
    <xf numFmtId="165" fontId="28" fillId="0" borderId="0" xfId="0" applyNumberFormat="1" applyFont="1" applyFill="1" applyBorder="1"/>
    <xf numFmtId="0" fontId="35" fillId="0" borderId="0" xfId="0" applyFont="1" applyFill="1"/>
    <xf numFmtId="0" fontId="10" fillId="0" borderId="0" xfId="0" applyFont="1" applyFill="1"/>
    <xf numFmtId="165" fontId="28" fillId="0" borderId="0" xfId="0" applyNumberFormat="1" applyFont="1" applyFill="1" applyAlignment="1">
      <alignment horizontal="left"/>
    </xf>
    <xf numFmtId="0" fontId="38" fillId="0" borderId="0" xfId="0" applyFont="1" applyFill="1" applyAlignment="1">
      <alignment horizontal="left"/>
    </xf>
    <xf numFmtId="165" fontId="25" fillId="0" borderId="0" xfId="0" applyNumberFormat="1" applyFont="1" applyFill="1"/>
    <xf numFmtId="0" fontId="32" fillId="0" borderId="0" xfId="0" applyFont="1"/>
    <xf numFmtId="0" fontId="39" fillId="0" borderId="0" xfId="0" applyFont="1" applyAlignment="1">
      <alignment horizontal="left"/>
    </xf>
    <xf numFmtId="165" fontId="25" fillId="0" borderId="0" xfId="0" applyNumberFormat="1" applyFont="1"/>
    <xf numFmtId="165" fontId="2" fillId="0" borderId="0" xfId="0" applyNumberFormat="1" applyFont="1" applyFill="1" applyBorder="1"/>
    <xf numFmtId="0" fontId="33" fillId="0" borderId="0" xfId="0" applyFont="1" applyFill="1"/>
    <xf numFmtId="165" fontId="3" fillId="0" borderId="0" xfId="0" applyNumberFormat="1" applyFont="1"/>
    <xf numFmtId="0" fontId="28" fillId="0" borderId="0" xfId="0" applyNumberFormat="1" applyFont="1" applyFill="1" applyBorder="1"/>
    <xf numFmtId="0" fontId="40" fillId="0" borderId="0" xfId="0" applyFont="1"/>
    <xf numFmtId="0" fontId="40" fillId="0" borderId="0" xfId="0" applyFont="1" applyFill="1"/>
    <xf numFmtId="0" fontId="30" fillId="0" borderId="0" xfId="0" applyFont="1"/>
    <xf numFmtId="0" fontId="25" fillId="0" borderId="0" xfId="0" applyFont="1" applyBorder="1"/>
    <xf numFmtId="171" fontId="28" fillId="0" borderId="0" xfId="0" applyNumberFormat="1" applyFont="1" applyFill="1" applyAlignment="1">
      <alignment horizontal="right" vertical="center"/>
    </xf>
    <xf numFmtId="0" fontId="3" fillId="0" borderId="0" xfId="0" applyFont="1" applyFill="1" applyBorder="1"/>
    <xf numFmtId="0" fontId="32" fillId="0" borderId="0" xfId="0" applyFont="1" applyFill="1"/>
    <xf numFmtId="0" fontId="25" fillId="0" borderId="0" xfId="0" applyFont="1" applyFill="1" applyBorder="1"/>
    <xf numFmtId="0" fontId="1" fillId="0" borderId="0" xfId="0" applyFont="1"/>
    <xf numFmtId="10" fontId="1" fillId="2" borderId="0" xfId="21" applyNumberFormat="1" applyFont="1" applyFill="1" applyBorder="1" applyAlignment="1">
      <alignment horizontal="center" vertical="center"/>
    </xf>
    <xf numFmtId="10" fontId="23" fillId="2" borderId="0" xfId="21" applyNumberFormat="1" applyFont="1" applyFill="1" applyBorder="1" applyAlignment="1">
      <alignment horizontal="center" vertical="center"/>
    </xf>
    <xf numFmtId="10" fontId="41" fillId="2" borderId="0" xfId="21" applyNumberFormat="1" applyFont="1" applyFill="1" applyBorder="1" applyAlignment="1">
      <alignment horizontal="left" vertical="center"/>
    </xf>
    <xf numFmtId="0" fontId="7" fillId="2" borderId="2" xfId="22" applyFont="1" applyFill="1" applyBorder="1" applyAlignment="1">
      <alignment horizontal="left" vertical="center" wrapText="1" indent="1"/>
    </xf>
    <xf numFmtId="10" fontId="1" fillId="2" borderId="1" xfId="21" applyNumberFormat="1" applyFont="1" applyFill="1" applyBorder="1" applyAlignment="1">
      <alignment horizontal="center" vertical="center"/>
    </xf>
    <xf numFmtId="165" fontId="3" fillId="2" borderId="0" xfId="21" applyNumberFormat="1" applyFont="1" applyFill="1" applyBorder="1" applyAlignment="1">
      <alignment horizontal="center" vertical="center"/>
    </xf>
    <xf numFmtId="165" fontId="33" fillId="0" borderId="0" xfId="0" applyNumberFormat="1" applyFont="1" applyFill="1" applyBorder="1"/>
    <xf numFmtId="165" fontId="25" fillId="0" borderId="31" xfId="0" applyNumberFormat="1" applyFont="1" applyFill="1" applyBorder="1"/>
    <xf numFmtId="0" fontId="3" fillId="0" borderId="0" xfId="0" applyNumberFormat="1" applyFont="1" applyFill="1" applyBorder="1"/>
    <xf numFmtId="165" fontId="3" fillId="0" borderId="0" xfId="0" applyNumberFormat="1" applyFont="1" applyFill="1"/>
    <xf numFmtId="0" fontId="10" fillId="0" borderId="0" xfId="0" applyNumberFormat="1" applyFont="1" applyFill="1" applyBorder="1"/>
    <xf numFmtId="0" fontId="25" fillId="0" borderId="0" xfId="0" applyNumberFormat="1" applyFont="1" applyFill="1" applyBorder="1"/>
    <xf numFmtId="0" fontId="26" fillId="5" borderId="0" xfId="0" applyFont="1" applyFill="1"/>
    <xf numFmtId="49" fontId="4" fillId="0" borderId="0" xfId="49" quotePrefix="1" applyFont="1" applyFill="1" applyAlignment="1" applyProtection="1">
      <alignment horizontal="left" vertical="top"/>
    </xf>
    <xf numFmtId="176" fontId="17" fillId="0" borderId="0" xfId="50" applyFont="1" applyFill="1" applyBorder="1" applyAlignment="1" applyProtection="1">
      <alignment vertical="top"/>
    </xf>
    <xf numFmtId="166" fontId="25" fillId="0" borderId="0" xfId="0" applyNumberFormat="1" applyFont="1"/>
    <xf numFmtId="166" fontId="25" fillId="0" borderId="0" xfId="0" applyNumberFormat="1" applyFont="1" applyFill="1"/>
    <xf numFmtId="0" fontId="7" fillId="0" borderId="0" xfId="52" applyFont="1" applyBorder="1"/>
    <xf numFmtId="0" fontId="58" fillId="10" borderId="0" xfId="53" applyFont="1" applyFill="1" applyBorder="1" applyAlignment="1">
      <alignment vertical="center"/>
    </xf>
    <xf numFmtId="10" fontId="7" fillId="0" borderId="0" xfId="51" applyNumberFormat="1" applyFont="1" applyBorder="1"/>
    <xf numFmtId="0" fontId="17" fillId="0" borderId="0" xfId="52" applyFont="1" applyBorder="1"/>
    <xf numFmtId="0" fontId="58" fillId="9" borderId="0" xfId="53" applyFont="1" applyFill="1" applyBorder="1" applyAlignment="1">
      <alignment vertical="center"/>
    </xf>
    <xf numFmtId="0" fontId="7" fillId="9" borderId="0" xfId="52" applyFont="1" applyFill="1" applyBorder="1"/>
    <xf numFmtId="165" fontId="3" fillId="0" borderId="0" xfId="53" applyNumberFormat="1" applyFont="1" applyBorder="1" applyAlignment="1">
      <alignment horizontal="left"/>
    </xf>
    <xf numFmtId="0" fontId="3" fillId="0" borderId="0" xfId="53" applyFont="1" applyBorder="1"/>
    <xf numFmtId="0" fontId="7" fillId="0" borderId="0" xfId="52" applyFont="1" applyAlignment="1">
      <alignment horizontal="center"/>
    </xf>
    <xf numFmtId="0" fontId="7" fillId="0" borderId="0" xfId="52" applyFont="1" applyAlignment="1">
      <alignment horizontal="left"/>
    </xf>
    <xf numFmtId="0" fontId="57" fillId="0" borderId="0" xfId="0" applyFont="1"/>
    <xf numFmtId="0" fontId="59" fillId="0" borderId="0" xfId="53" applyFont="1" applyFill="1" applyBorder="1" applyAlignment="1">
      <alignment horizontal="center" vertical="center" wrapText="1"/>
    </xf>
    <xf numFmtId="179" fontId="7" fillId="0" borderId="25" xfId="6" applyNumberFormat="1" applyFont="1" applyFill="1" applyBorder="1" applyAlignment="1">
      <alignment vertical="center"/>
    </xf>
    <xf numFmtId="172" fontId="28" fillId="0" borderId="0" xfId="0" applyNumberFormat="1" applyFont="1" applyFill="1" applyBorder="1"/>
    <xf numFmtId="166" fontId="7" fillId="0" borderId="1" xfId="23" applyNumberFormat="1" applyFont="1" applyFill="1" applyBorder="1" applyAlignment="1">
      <alignment horizontal="right" vertical="center" wrapText="1"/>
    </xf>
    <xf numFmtId="0" fontId="17" fillId="2" borderId="2" xfId="22" applyFont="1" applyFill="1" applyBorder="1" applyAlignment="1">
      <alignment horizontal="left" vertical="center" wrapText="1" indent="1"/>
    </xf>
    <xf numFmtId="166" fontId="7" fillId="0" borderId="5" xfId="23" applyNumberFormat="1" applyFont="1" applyFill="1" applyBorder="1" applyAlignment="1">
      <alignment horizontal="right" vertical="center" wrapText="1"/>
    </xf>
    <xf numFmtId="0" fontId="58" fillId="0" borderId="0" xfId="53" applyFont="1" applyFill="1" applyBorder="1" applyAlignment="1">
      <alignment vertical="center"/>
    </xf>
    <xf numFmtId="175" fontId="28" fillId="0" borderId="0" xfId="0" applyNumberFormat="1" applyFont="1" applyFill="1"/>
    <xf numFmtId="175" fontId="28" fillId="0" borderId="0" xfId="0" applyNumberFormat="1" applyFont="1" applyFill="1" applyBorder="1"/>
    <xf numFmtId="172" fontId="28" fillId="0" borderId="0" xfId="0" applyNumberFormat="1" applyFont="1" applyFill="1"/>
    <xf numFmtId="165" fontId="3" fillId="0" borderId="0" xfId="0" applyNumberFormat="1" applyFont="1" applyFill="1" applyBorder="1"/>
    <xf numFmtId="14" fontId="2" fillId="0" borderId="0" xfId="1" applyNumberFormat="1" applyFont="1" applyFill="1" applyBorder="1" applyAlignment="1">
      <alignment horizontal="right"/>
    </xf>
    <xf numFmtId="165" fontId="17" fillId="0" borderId="31" xfId="29" applyNumberFormat="1" applyFont="1" applyFill="1" applyBorder="1" applyAlignment="1" applyProtection="1"/>
    <xf numFmtId="165" fontId="7" fillId="0" borderId="0" xfId="27" applyNumberFormat="1" applyFont="1" applyFill="1" applyBorder="1" applyAlignment="1"/>
    <xf numFmtId="165" fontId="3" fillId="0" borderId="0" xfId="0" applyNumberFormat="1" applyFont="1" applyBorder="1"/>
    <xf numFmtId="0" fontId="28" fillId="8" borderId="0" xfId="0" applyFont="1" applyFill="1"/>
    <xf numFmtId="0" fontId="33" fillId="0" borderId="0" xfId="22" applyFont="1" applyFill="1" applyBorder="1" applyAlignment="1">
      <alignment vertical="top"/>
    </xf>
    <xf numFmtId="180" fontId="2" fillId="0" borderId="0" xfId="22" applyNumberFormat="1" applyFont="1" applyFill="1" applyBorder="1" applyAlignment="1">
      <alignment vertical="top" wrapText="1"/>
    </xf>
    <xf numFmtId="0" fontId="2" fillId="0" borderId="40" xfId="22" applyFont="1" applyFill="1" applyBorder="1" applyAlignment="1">
      <alignment vertical="top"/>
    </xf>
    <xf numFmtId="0" fontId="2" fillId="0" borderId="0" xfId="22" applyFont="1" applyFill="1" applyBorder="1" applyAlignment="1">
      <alignment vertical="top"/>
    </xf>
    <xf numFmtId="0" fontId="29" fillId="0" borderId="0" xfId="22" applyFont="1" applyFill="1" applyBorder="1" applyAlignment="1">
      <alignment vertical="top"/>
    </xf>
    <xf numFmtId="181" fontId="2" fillId="0" borderId="40" xfId="22" applyNumberFormat="1" applyFont="1" applyFill="1" applyBorder="1" applyAlignment="1">
      <alignment horizontal="right" vertical="top"/>
    </xf>
    <xf numFmtId="166" fontId="28" fillId="0" borderId="0" xfId="0" applyNumberFormat="1" applyFont="1"/>
    <xf numFmtId="0" fontId="0" fillId="0" borderId="0" xfId="0" applyFill="1"/>
    <xf numFmtId="166" fontId="28" fillId="0" borderId="0" xfId="0" applyNumberFormat="1" applyFont="1" applyFill="1" applyAlignment="1">
      <alignment horizontal="left"/>
    </xf>
    <xf numFmtId="0" fontId="3" fillId="4" borderId="0" xfId="0" applyFont="1" applyFill="1" applyBorder="1"/>
    <xf numFmtId="0" fontId="28" fillId="4" borderId="0" xfId="0" applyFont="1" applyFill="1" applyBorder="1"/>
    <xf numFmtId="0" fontId="39" fillId="0" borderId="0" xfId="0" applyFont="1"/>
    <xf numFmtId="0" fontId="12" fillId="0" borderId="0" xfId="0" applyFont="1" applyFill="1"/>
    <xf numFmtId="181" fontId="28" fillId="0" borderId="0" xfId="0" applyNumberFormat="1" applyFont="1" applyFill="1"/>
    <xf numFmtId="165" fontId="25" fillId="0" borderId="0" xfId="0" applyNumberFormat="1" applyFont="1" applyFill="1" applyBorder="1"/>
    <xf numFmtId="181" fontId="28" fillId="0" borderId="0" xfId="0" applyNumberFormat="1" applyFont="1" applyFill="1" applyBorder="1"/>
    <xf numFmtId="0" fontId="26" fillId="0" borderId="0" xfId="0" applyFont="1" applyFill="1" applyBorder="1"/>
    <xf numFmtId="0" fontId="26" fillId="0" borderId="0" xfId="0" applyFont="1" applyFill="1" applyBorder="1" applyAlignment="1">
      <alignment horizontal="left"/>
    </xf>
    <xf numFmtId="0" fontId="26" fillId="0" borderId="0" xfId="0" applyFont="1" applyFill="1" applyBorder="1" applyAlignment="1">
      <alignment horizontal="right"/>
    </xf>
    <xf numFmtId="165" fontId="28" fillId="0" borderId="26" xfId="0" applyNumberFormat="1" applyFont="1" applyFill="1" applyBorder="1"/>
    <xf numFmtId="165" fontId="17" fillId="0" borderId="0" xfId="29" applyNumberFormat="1" applyFont="1" applyFill="1" applyBorder="1" applyAlignment="1" applyProtection="1"/>
    <xf numFmtId="165" fontId="10" fillId="0" borderId="0" xfId="0" applyNumberFormat="1" applyFont="1" applyFill="1" applyBorder="1"/>
    <xf numFmtId="171" fontId="40" fillId="0" borderId="0" xfId="0" applyNumberFormat="1" applyFont="1" applyFill="1" applyBorder="1"/>
    <xf numFmtId="0" fontId="12" fillId="0" borderId="0" xfId="0" applyFont="1" applyBorder="1"/>
    <xf numFmtId="0" fontId="15" fillId="0" borderId="0" xfId="0" applyFont="1" applyBorder="1"/>
    <xf numFmtId="0" fontId="12" fillId="0" borderId="0" xfId="0" applyFont="1"/>
    <xf numFmtId="0" fontId="15" fillId="0" borderId="0" xfId="0" applyFont="1"/>
    <xf numFmtId="165" fontId="28" fillId="0" borderId="39" xfId="0" applyNumberFormat="1" applyFont="1" applyFill="1" applyBorder="1"/>
    <xf numFmtId="165" fontId="2" fillId="0" borderId="26" xfId="0" applyNumberFormat="1" applyFont="1" applyFill="1" applyBorder="1"/>
    <xf numFmtId="181" fontId="2" fillId="0" borderId="0" xfId="22" applyNumberFormat="1" applyFont="1" applyFill="1" applyBorder="1" applyAlignment="1">
      <alignment horizontal="right" vertical="top"/>
    </xf>
    <xf numFmtId="0" fontId="2" fillId="0" borderId="47" xfId="22" applyFont="1" applyFill="1" applyBorder="1" applyAlignment="1">
      <alignment vertical="top"/>
    </xf>
    <xf numFmtId="0" fontId="2" fillId="0" borderId="48" xfId="22" applyFont="1" applyFill="1" applyBorder="1" applyAlignment="1">
      <alignment vertical="top"/>
    </xf>
    <xf numFmtId="0" fontId="33" fillId="0" borderId="49" xfId="22" applyFont="1" applyFill="1" applyBorder="1" applyAlignment="1">
      <alignment vertical="top"/>
    </xf>
    <xf numFmtId="165" fontId="7" fillId="0" borderId="0" xfId="0" applyNumberFormat="1" applyFont="1" applyFill="1"/>
    <xf numFmtId="165" fontId="7" fillId="0" borderId="0" xfId="0" applyNumberFormat="1" applyFont="1"/>
    <xf numFmtId="0" fontId="7" fillId="0" borderId="0" xfId="0" applyFont="1" applyFill="1"/>
    <xf numFmtId="165" fontId="2" fillId="0" borderId="0" xfId="0" applyNumberFormat="1" applyFont="1" applyFill="1"/>
    <xf numFmtId="171" fontId="28" fillId="0" borderId="39" xfId="0" applyNumberFormat="1" applyFont="1" applyFill="1" applyBorder="1" applyAlignment="1">
      <alignment horizontal="center" vertical="center"/>
    </xf>
    <xf numFmtId="0" fontId="32" fillId="0" borderId="0" xfId="0" applyFont="1" applyFill="1" applyBorder="1"/>
    <xf numFmtId="171" fontId="28" fillId="0" borderId="0" xfId="0" applyNumberFormat="1" applyFont="1" applyFill="1" applyBorder="1" applyAlignment="1">
      <alignment horizontal="right" vertical="center"/>
    </xf>
    <xf numFmtId="0" fontId="3" fillId="0" borderId="0" xfId="0" applyFont="1" applyProtection="1"/>
    <xf numFmtId="176" fontId="54" fillId="0" borderId="0" xfId="48" applyNumberFormat="1" applyFont="1" applyFill="1" applyBorder="1" applyAlignment="1" applyProtection="1">
      <alignment vertical="top"/>
    </xf>
    <xf numFmtId="0" fontId="3" fillId="0" borderId="0" xfId="0" applyFont="1" applyBorder="1" applyProtection="1"/>
    <xf numFmtId="0" fontId="3" fillId="0" borderId="0" xfId="0" applyFont="1" applyAlignment="1" applyProtection="1">
      <alignment vertical="top"/>
    </xf>
    <xf numFmtId="0" fontId="3" fillId="0" borderId="0" xfId="0" applyFont="1" applyAlignment="1" applyProtection="1">
      <alignment vertical="top" wrapText="1"/>
    </xf>
    <xf numFmtId="0" fontId="3" fillId="0" borderId="0" xfId="0" applyFont="1" applyAlignment="1" applyProtection="1">
      <alignment wrapText="1"/>
    </xf>
    <xf numFmtId="0" fontId="3" fillId="0" borderId="0" xfId="0" applyFont="1" applyBorder="1" applyAlignment="1" applyProtection="1">
      <alignment vertical="top"/>
    </xf>
    <xf numFmtId="0" fontId="10" fillId="0" borderId="0" xfId="0" applyFont="1" applyBorder="1" applyAlignment="1" applyProtection="1">
      <alignment vertical="top"/>
    </xf>
    <xf numFmtId="0" fontId="3" fillId="0" borderId="0" xfId="0" applyFont="1" applyFill="1" applyAlignment="1" applyProtection="1">
      <alignment horizontal="left" vertical="top" wrapText="1"/>
    </xf>
    <xf numFmtId="0" fontId="10" fillId="0" borderId="0" xfId="0" applyFont="1" applyAlignment="1" applyProtection="1">
      <alignment vertical="top"/>
    </xf>
    <xf numFmtId="0" fontId="10" fillId="0" borderId="0" xfId="0" applyFont="1" applyProtection="1"/>
    <xf numFmtId="0" fontId="3" fillId="0" borderId="38" xfId="0" applyFont="1" applyFill="1" applyBorder="1" applyAlignment="1" applyProtection="1">
      <alignment vertical="top" wrapText="1"/>
    </xf>
    <xf numFmtId="0" fontId="3" fillId="0" borderId="38" xfId="0" applyFont="1" applyBorder="1" applyAlignment="1" applyProtection="1">
      <alignment vertical="top"/>
    </xf>
    <xf numFmtId="0" fontId="3" fillId="4" borderId="25" xfId="0" applyFont="1" applyFill="1" applyBorder="1" applyAlignment="1" applyProtection="1">
      <alignment vertical="top"/>
    </xf>
    <xf numFmtId="0" fontId="3" fillId="8" borderId="0" xfId="0" applyFont="1" applyFill="1" applyProtection="1"/>
    <xf numFmtId="14" fontId="2" fillId="4" borderId="25" xfId="1" applyNumberFormat="1" applyFont="1" applyFill="1" applyBorder="1" applyAlignment="1" applyProtection="1">
      <alignment horizontal="right"/>
      <protection locked="0"/>
    </xf>
    <xf numFmtId="0" fontId="28" fillId="4" borderId="26" xfId="0" applyFont="1" applyFill="1" applyBorder="1" applyProtection="1">
      <protection locked="0"/>
    </xf>
    <xf numFmtId="181" fontId="28" fillId="17" borderId="26" xfId="0" applyNumberFormat="1" applyFont="1" applyFill="1" applyBorder="1" applyProtection="1">
      <protection locked="0"/>
    </xf>
    <xf numFmtId="166" fontId="7" fillId="17" borderId="25" xfId="51" applyNumberFormat="1" applyFont="1" applyFill="1" applyBorder="1" applyAlignment="1" applyProtection="1">
      <alignment vertical="center"/>
      <protection locked="0"/>
    </xf>
    <xf numFmtId="10" fontId="7" fillId="4" borderId="25" xfId="51" applyNumberFormat="1" applyFont="1" applyFill="1" applyBorder="1" applyAlignment="1" applyProtection="1">
      <alignment horizontal="center" vertical="center"/>
      <protection locked="0"/>
    </xf>
    <xf numFmtId="10" fontId="7" fillId="0" borderId="0" xfId="51" applyNumberFormat="1" applyFont="1" applyBorder="1" applyAlignment="1" applyProtection="1">
      <alignment vertical="center"/>
      <protection locked="0"/>
    </xf>
    <xf numFmtId="10" fontId="7" fillId="0" borderId="0" xfId="51" applyNumberFormat="1" applyFont="1" applyBorder="1" applyProtection="1">
      <protection locked="0"/>
    </xf>
    <xf numFmtId="177" fontId="7" fillId="17" borderId="25" xfId="54" applyNumberFormat="1" applyFont="1" applyFill="1" applyBorder="1" applyAlignment="1" applyProtection="1">
      <alignment vertical="center"/>
      <protection locked="0"/>
    </xf>
    <xf numFmtId="166" fontId="7" fillId="17" borderId="25" xfId="51" applyNumberFormat="1" applyFont="1" applyFill="1" applyBorder="1" applyProtection="1">
      <protection locked="0"/>
    </xf>
    <xf numFmtId="0" fontId="28" fillId="17" borderId="25" xfId="0" applyFont="1" applyFill="1" applyBorder="1" applyProtection="1">
      <protection locked="0"/>
    </xf>
    <xf numFmtId="166" fontId="28" fillId="17" borderId="25" xfId="0" applyNumberFormat="1" applyFont="1" applyFill="1" applyBorder="1" applyProtection="1">
      <protection locked="0"/>
    </xf>
    <xf numFmtId="165" fontId="7" fillId="4" borderId="25" xfId="6" applyNumberFormat="1" applyFont="1" applyFill="1" applyBorder="1" applyAlignment="1" applyProtection="1">
      <alignment vertical="center"/>
      <protection locked="0"/>
    </xf>
    <xf numFmtId="10" fontId="3" fillId="4" borderId="25" xfId="1" applyNumberFormat="1" applyFont="1" applyFill="1" applyBorder="1" applyProtection="1">
      <protection locked="0"/>
    </xf>
    <xf numFmtId="10" fontId="3" fillId="4" borderId="37" xfId="1" applyNumberFormat="1" applyFont="1" applyFill="1" applyBorder="1" applyProtection="1">
      <protection locked="0"/>
    </xf>
    <xf numFmtId="165" fontId="3" fillId="17" borderId="25" xfId="0" applyNumberFormat="1" applyFont="1" applyFill="1" applyBorder="1" applyProtection="1">
      <protection locked="0"/>
    </xf>
    <xf numFmtId="165" fontId="3" fillId="17" borderId="37" xfId="0" applyNumberFormat="1" applyFont="1" applyFill="1" applyBorder="1" applyProtection="1">
      <protection locked="0"/>
    </xf>
    <xf numFmtId="165" fontId="28" fillId="17" borderId="26" xfId="0" applyNumberFormat="1" applyFont="1" applyFill="1" applyBorder="1" applyProtection="1">
      <protection locked="0"/>
    </xf>
    <xf numFmtId="165" fontId="28" fillId="17" borderId="39" xfId="0" applyNumberFormat="1" applyFont="1" applyFill="1" applyBorder="1" applyProtection="1">
      <protection locked="0"/>
    </xf>
    <xf numFmtId="0" fontId="28" fillId="0" borderId="0" xfId="0" applyFont="1" applyProtection="1">
      <protection locked="0"/>
    </xf>
    <xf numFmtId="165" fontId="2" fillId="17" borderId="26" xfId="0" applyNumberFormat="1" applyFont="1" applyFill="1" applyBorder="1" applyProtection="1">
      <protection locked="0"/>
    </xf>
    <xf numFmtId="0" fontId="28" fillId="17" borderId="26" xfId="0" applyFont="1" applyFill="1" applyBorder="1" applyProtection="1">
      <protection locked="0"/>
    </xf>
    <xf numFmtId="165" fontId="28" fillId="17" borderId="50" xfId="0" applyNumberFormat="1" applyFont="1" applyFill="1" applyBorder="1" applyProtection="1">
      <protection locked="0"/>
    </xf>
    <xf numFmtId="165" fontId="28" fillId="17" borderId="51" xfId="0" applyNumberFormat="1" applyFont="1" applyFill="1" applyBorder="1" applyProtection="1">
      <protection locked="0"/>
    </xf>
    <xf numFmtId="165" fontId="28" fillId="4" borderId="26" xfId="0" applyNumberFormat="1" applyFont="1" applyFill="1" applyBorder="1" applyProtection="1">
      <protection locked="0"/>
    </xf>
    <xf numFmtId="165" fontId="3" fillId="17" borderId="26" xfId="0" applyNumberFormat="1" applyFont="1" applyFill="1" applyBorder="1" applyProtection="1">
      <protection locked="0"/>
    </xf>
    <xf numFmtId="165" fontId="3" fillId="17" borderId="42" xfId="0" applyNumberFormat="1" applyFont="1" applyFill="1" applyBorder="1" applyProtection="1">
      <protection locked="0"/>
    </xf>
    <xf numFmtId="185" fontId="28" fillId="17" borderId="25" xfId="87" applyNumberFormat="1" applyFont="1" applyFill="1" applyBorder="1" applyProtection="1">
      <protection locked="0"/>
    </xf>
    <xf numFmtId="0" fontId="3" fillId="17" borderId="25" xfId="0" applyFont="1" applyFill="1" applyBorder="1" applyProtection="1">
      <protection locked="0"/>
    </xf>
    <xf numFmtId="181" fontId="28" fillId="4" borderId="26" xfId="0" applyNumberFormat="1" applyFont="1" applyFill="1" applyBorder="1" applyProtection="1">
      <protection locked="0"/>
    </xf>
    <xf numFmtId="0" fontId="36" fillId="0" borderId="0" xfId="0" applyFont="1" applyFill="1" applyProtection="1">
      <protection hidden="1"/>
    </xf>
    <xf numFmtId="15" fontId="26" fillId="5" borderId="0" xfId="0" applyNumberFormat="1" applyFont="1" applyFill="1" applyProtection="1">
      <protection hidden="1"/>
    </xf>
    <xf numFmtId="15" fontId="26" fillId="5" borderId="0" xfId="0" applyNumberFormat="1" applyFont="1" applyFill="1" applyAlignment="1" applyProtection="1">
      <alignment horizontal="right"/>
      <protection hidden="1"/>
    </xf>
    <xf numFmtId="15" fontId="26" fillId="5" borderId="23" xfId="0" applyNumberFormat="1" applyFont="1" applyFill="1" applyBorder="1" applyAlignment="1" applyProtection="1">
      <alignment horizontal="centerContinuous" vertical="center"/>
      <protection hidden="1"/>
    </xf>
    <xf numFmtId="15" fontId="26" fillId="5" borderId="24" xfId="0" applyNumberFormat="1" applyFont="1" applyFill="1" applyBorder="1" applyAlignment="1" applyProtection="1">
      <alignment horizontal="centerContinuous" vertical="center"/>
      <protection hidden="1"/>
    </xf>
    <xf numFmtId="172" fontId="28" fillId="0" borderId="0" xfId="0" applyNumberFormat="1" applyFont="1" applyFill="1" applyBorder="1" applyProtection="1">
      <protection hidden="1"/>
    </xf>
    <xf numFmtId="10" fontId="7" fillId="0" borderId="0" xfId="51" applyNumberFormat="1" applyFont="1" applyBorder="1" applyAlignment="1" applyProtection="1">
      <alignment vertical="center"/>
      <protection hidden="1"/>
    </xf>
    <xf numFmtId="0" fontId="7" fillId="0" borderId="0" xfId="52" applyFont="1" applyBorder="1" applyProtection="1">
      <protection hidden="1"/>
    </xf>
    <xf numFmtId="10" fontId="7" fillId="0" borderId="0" xfId="51" applyNumberFormat="1" applyFont="1" applyBorder="1" applyProtection="1">
      <protection hidden="1"/>
    </xf>
    <xf numFmtId="166" fontId="7" fillId="0" borderId="0" xfId="51" applyNumberFormat="1" applyFont="1" applyFill="1" applyBorder="1" applyAlignment="1" applyProtection="1">
      <alignment vertical="center"/>
      <protection hidden="1"/>
    </xf>
    <xf numFmtId="10" fontId="10" fillId="0" borderId="31" xfId="0" applyNumberFormat="1" applyFont="1" applyBorder="1" applyProtection="1">
      <protection hidden="1"/>
    </xf>
    <xf numFmtId="10" fontId="10" fillId="0" borderId="31" xfId="0" applyNumberFormat="1" applyFont="1" applyFill="1" applyBorder="1" applyProtection="1">
      <protection hidden="1"/>
    </xf>
    <xf numFmtId="165" fontId="3" fillId="0" borderId="0" xfId="0" applyNumberFormat="1" applyFont="1" applyFill="1" applyBorder="1" applyProtection="1">
      <protection hidden="1"/>
    </xf>
    <xf numFmtId="165" fontId="17" fillId="0" borderId="31" xfId="29" applyNumberFormat="1" applyFont="1" applyFill="1" applyBorder="1" applyAlignment="1" applyProtection="1">
      <protection hidden="1"/>
    </xf>
    <xf numFmtId="165" fontId="3" fillId="0" borderId="0" xfId="0" applyNumberFormat="1" applyFont="1" applyProtection="1">
      <protection hidden="1"/>
    </xf>
    <xf numFmtId="165" fontId="7" fillId="0" borderId="0" xfId="27" applyNumberFormat="1" applyFont="1" applyFill="1" applyBorder="1" applyAlignment="1" applyProtection="1">
      <protection hidden="1"/>
    </xf>
    <xf numFmtId="171" fontId="28" fillId="0" borderId="0" xfId="0" applyNumberFormat="1" applyFont="1" applyFill="1" applyAlignment="1" applyProtection="1">
      <alignment horizontal="right" vertical="center"/>
      <protection hidden="1"/>
    </xf>
    <xf numFmtId="0" fontId="28" fillId="0" borderId="0" xfId="0" applyFont="1" applyFill="1" applyProtection="1">
      <protection hidden="1"/>
    </xf>
    <xf numFmtId="0" fontId="28" fillId="0" borderId="0" xfId="0" applyFont="1" applyFill="1" applyBorder="1" applyProtection="1">
      <protection hidden="1"/>
    </xf>
    <xf numFmtId="0" fontId="3" fillId="0" borderId="0" xfId="0" applyFont="1" applyFill="1" applyBorder="1" applyProtection="1">
      <protection hidden="1"/>
    </xf>
    <xf numFmtId="0" fontId="28" fillId="0" borderId="0" xfId="0" applyFont="1" applyProtection="1">
      <protection hidden="1"/>
    </xf>
    <xf numFmtId="165" fontId="33" fillId="0" borderId="31" xfId="0" applyNumberFormat="1" applyFont="1" applyFill="1" applyBorder="1" applyProtection="1">
      <protection hidden="1"/>
    </xf>
    <xf numFmtId="0" fontId="28" fillId="0" borderId="0" xfId="0" applyFont="1" applyBorder="1" applyProtection="1">
      <protection hidden="1"/>
    </xf>
    <xf numFmtId="165" fontId="25" fillId="0" borderId="31" xfId="0" applyNumberFormat="1" applyFont="1" applyFill="1" applyBorder="1" applyProtection="1">
      <protection hidden="1"/>
    </xf>
    <xf numFmtId="165" fontId="25" fillId="0" borderId="0" xfId="0" applyNumberFormat="1" applyFont="1" applyFill="1" applyBorder="1" applyProtection="1">
      <protection hidden="1"/>
    </xf>
    <xf numFmtId="165" fontId="33" fillId="0" borderId="0" xfId="0" applyNumberFormat="1" applyFont="1" applyFill="1" applyBorder="1" applyProtection="1">
      <protection hidden="1"/>
    </xf>
    <xf numFmtId="165" fontId="28" fillId="0" borderId="0" xfId="0" applyNumberFormat="1" applyFont="1" applyFill="1" applyBorder="1" applyProtection="1">
      <protection hidden="1"/>
    </xf>
    <xf numFmtId="0" fontId="28" fillId="0" borderId="0" xfId="0" applyFont="1" applyFill="1" applyBorder="1" applyAlignment="1" applyProtection="1">
      <alignment horizontal="left"/>
      <protection hidden="1"/>
    </xf>
    <xf numFmtId="0" fontId="36" fillId="0" borderId="0" xfId="0" applyFont="1" applyFill="1" applyBorder="1" applyProtection="1">
      <protection hidden="1"/>
    </xf>
    <xf numFmtId="0" fontId="34" fillId="0" borderId="0" xfId="0" applyFont="1" applyFill="1" applyProtection="1">
      <protection hidden="1"/>
    </xf>
    <xf numFmtId="0" fontId="2" fillId="0" borderId="0" xfId="0" applyFont="1" applyFill="1" applyProtection="1">
      <protection hidden="1"/>
    </xf>
    <xf numFmtId="0" fontId="25" fillId="0" borderId="0" xfId="0" applyFont="1" applyProtection="1">
      <protection hidden="1"/>
    </xf>
    <xf numFmtId="0" fontId="26" fillId="6" borderId="0" xfId="0" applyFont="1" applyFill="1" applyProtection="1">
      <protection hidden="1"/>
    </xf>
    <xf numFmtId="0" fontId="26" fillId="6" borderId="0" xfId="0" applyFont="1" applyFill="1" applyAlignment="1" applyProtection="1">
      <alignment horizontal="right"/>
      <protection hidden="1"/>
    </xf>
    <xf numFmtId="0" fontId="27" fillId="6" borderId="0" xfId="0" applyFont="1" applyFill="1" applyBorder="1" applyAlignment="1" applyProtection="1">
      <alignment horizontal="left"/>
      <protection hidden="1"/>
    </xf>
    <xf numFmtId="14" fontId="26" fillId="6" borderId="0" xfId="0" applyNumberFormat="1" applyFont="1" applyFill="1" applyProtection="1">
      <protection hidden="1"/>
    </xf>
    <xf numFmtId="167" fontId="2" fillId="0" borderId="0" xfId="0" applyNumberFormat="1" applyFont="1" applyFill="1" applyProtection="1">
      <protection hidden="1"/>
    </xf>
    <xf numFmtId="0" fontId="29" fillId="0" borderId="0" xfId="0" applyFont="1" applyFill="1" applyBorder="1" applyAlignment="1" applyProtection="1">
      <alignment horizontal="left"/>
      <protection hidden="1"/>
    </xf>
    <xf numFmtId="0" fontId="3" fillId="0" borderId="0" xfId="0" applyFont="1" applyProtection="1">
      <protection hidden="1"/>
    </xf>
    <xf numFmtId="0" fontId="28" fillId="0" borderId="25" xfId="0" applyFont="1" applyFill="1" applyBorder="1" applyProtection="1">
      <protection hidden="1"/>
    </xf>
    <xf numFmtId="49" fontId="28" fillId="0" borderId="25" xfId="0" applyNumberFormat="1" applyFont="1" applyFill="1" applyBorder="1" applyProtection="1">
      <protection hidden="1"/>
    </xf>
    <xf numFmtId="181" fontId="28" fillId="0" borderId="44" xfId="0" applyNumberFormat="1" applyFont="1" applyFill="1" applyBorder="1" applyProtection="1">
      <protection hidden="1"/>
    </xf>
    <xf numFmtId="165" fontId="28" fillId="0" borderId="44" xfId="0" applyNumberFormat="1" applyFont="1" applyFill="1" applyBorder="1" applyProtection="1">
      <protection hidden="1"/>
    </xf>
    <xf numFmtId="165" fontId="28" fillId="0" borderId="26" xfId="0" applyNumberFormat="1" applyFont="1" applyFill="1" applyBorder="1" applyProtection="1">
      <protection hidden="1"/>
    </xf>
    <xf numFmtId="165" fontId="3" fillId="0" borderId="43" xfId="0" applyNumberFormat="1" applyFont="1" applyFill="1" applyBorder="1" applyProtection="1">
      <protection hidden="1"/>
    </xf>
    <xf numFmtId="165" fontId="3" fillId="0" borderId="25" xfId="0" applyNumberFormat="1" applyFont="1" applyFill="1" applyBorder="1" applyProtection="1">
      <protection hidden="1"/>
    </xf>
    <xf numFmtId="172" fontId="3" fillId="0" borderId="25" xfId="0" applyNumberFormat="1" applyFont="1" applyFill="1" applyBorder="1" applyProtection="1">
      <protection hidden="1"/>
    </xf>
    <xf numFmtId="0" fontId="28" fillId="17" borderId="25" xfId="0" applyFont="1" applyFill="1" applyBorder="1" applyProtection="1">
      <protection hidden="1"/>
    </xf>
    <xf numFmtId="181" fontId="28" fillId="0" borderId="26" xfId="0" applyNumberFormat="1" applyFont="1" applyFill="1" applyBorder="1" applyProtection="1">
      <protection hidden="1"/>
    </xf>
    <xf numFmtId="0" fontId="28" fillId="0" borderId="26" xfId="0" applyFont="1" applyFill="1" applyBorder="1" applyProtection="1">
      <protection hidden="1"/>
    </xf>
    <xf numFmtId="0" fontId="28" fillId="17" borderId="30" xfId="0" applyFont="1" applyFill="1" applyBorder="1" applyProtection="1">
      <protection hidden="1"/>
    </xf>
    <xf numFmtId="0" fontId="3" fillId="0" borderId="0" xfId="0" applyFont="1" applyBorder="1" applyProtection="1">
      <protection hidden="1"/>
    </xf>
    <xf numFmtId="172" fontId="3" fillId="0" borderId="0" xfId="0" applyNumberFormat="1" applyFont="1" applyProtection="1">
      <protection hidden="1"/>
    </xf>
    <xf numFmtId="0" fontId="0" fillId="0" borderId="0" xfId="0" applyProtection="1">
      <protection hidden="1"/>
    </xf>
    <xf numFmtId="15" fontId="26" fillId="5" borderId="0" xfId="0" applyNumberFormat="1" applyFont="1" applyFill="1" applyAlignment="1" applyProtection="1">
      <alignment horizontal="left"/>
      <protection hidden="1"/>
    </xf>
    <xf numFmtId="0" fontId="3" fillId="0" borderId="0" xfId="0" applyFont="1" applyFill="1" applyProtection="1">
      <protection hidden="1"/>
    </xf>
    <xf numFmtId="0" fontId="3" fillId="0" borderId="25" xfId="0" applyFont="1" applyFill="1" applyBorder="1" applyAlignment="1" applyProtection="1">
      <alignment horizontal="right"/>
      <protection hidden="1"/>
    </xf>
    <xf numFmtId="165" fontId="3" fillId="0" borderId="30" xfId="0" applyNumberFormat="1" applyFont="1" applyFill="1" applyBorder="1" applyProtection="1">
      <protection hidden="1"/>
    </xf>
    <xf numFmtId="181" fontId="3" fillId="0" borderId="25" xfId="0" applyNumberFormat="1" applyFont="1" applyFill="1" applyBorder="1" applyProtection="1">
      <protection hidden="1"/>
    </xf>
    <xf numFmtId="165" fontId="3" fillId="0" borderId="26" xfId="0" applyNumberFormat="1" applyFont="1" applyFill="1" applyBorder="1" applyProtection="1">
      <protection hidden="1"/>
    </xf>
    <xf numFmtId="166" fontId="3" fillId="0" borderId="26" xfId="0" applyNumberFormat="1" applyFont="1" applyFill="1" applyBorder="1" applyProtection="1">
      <protection hidden="1"/>
    </xf>
    <xf numFmtId="183" fontId="3" fillId="0" borderId="25" xfId="0" applyNumberFormat="1" applyFont="1" applyFill="1" applyBorder="1" applyProtection="1">
      <protection hidden="1"/>
    </xf>
    <xf numFmtId="0" fontId="3" fillId="17" borderId="25" xfId="0" applyFont="1" applyFill="1" applyBorder="1" applyProtection="1">
      <protection hidden="1"/>
    </xf>
    <xf numFmtId="165" fontId="3" fillId="17" borderId="25" xfId="0" applyNumberFormat="1" applyFont="1" applyFill="1" applyBorder="1" applyProtection="1">
      <protection hidden="1"/>
    </xf>
    <xf numFmtId="0" fontId="28" fillId="0" borderId="0" xfId="0" applyFont="1" applyFill="1" applyAlignment="1" applyProtection="1">
      <alignment horizontal="left"/>
      <protection hidden="1"/>
    </xf>
    <xf numFmtId="167" fontId="29" fillId="0" borderId="0" xfId="0" applyNumberFormat="1" applyFont="1" applyFill="1" applyAlignment="1" applyProtection="1">
      <alignment horizontal="center"/>
      <protection hidden="1"/>
    </xf>
    <xf numFmtId="0" fontId="27" fillId="6" borderId="0" xfId="0" applyFont="1" applyFill="1" applyAlignment="1" applyProtection="1">
      <alignment horizontal="left"/>
      <protection hidden="1"/>
    </xf>
    <xf numFmtId="167" fontId="27" fillId="6" borderId="0" xfId="0" applyNumberFormat="1" applyFont="1" applyFill="1" applyProtection="1">
      <protection hidden="1"/>
    </xf>
    <xf numFmtId="0" fontId="29" fillId="0" borderId="0" xfId="0" applyFont="1" applyFill="1" applyAlignment="1" applyProtection="1">
      <alignment horizontal="left"/>
      <protection hidden="1"/>
    </xf>
    <xf numFmtId="0" fontId="29" fillId="0" borderId="0" xfId="0" applyFont="1" applyFill="1" applyProtection="1">
      <protection hidden="1"/>
    </xf>
    <xf numFmtId="165" fontId="2" fillId="0" borderId="0" xfId="0" applyNumberFormat="1" applyFont="1" applyFill="1" applyProtection="1">
      <protection hidden="1"/>
    </xf>
    <xf numFmtId="0" fontId="26" fillId="6" borderId="0" xfId="0" applyFont="1" applyFill="1" applyBorder="1" applyProtection="1">
      <protection hidden="1"/>
    </xf>
    <xf numFmtId="0" fontId="26" fillId="6" borderId="0" xfId="0" applyFont="1" applyFill="1" applyBorder="1" applyAlignment="1" applyProtection="1">
      <alignment horizontal="left"/>
      <protection hidden="1"/>
    </xf>
    <xf numFmtId="0" fontId="26" fillId="6" borderId="0" xfId="0" applyFont="1" applyFill="1" applyBorder="1" applyAlignment="1" applyProtection="1">
      <alignment horizontal="right"/>
      <protection hidden="1"/>
    </xf>
    <xf numFmtId="0" fontId="32" fillId="0" borderId="0" xfId="0" applyFont="1" applyAlignment="1" applyProtection="1">
      <alignment horizontal="left"/>
      <protection hidden="1"/>
    </xf>
    <xf numFmtId="0" fontId="37" fillId="0" borderId="0" xfId="0" applyFont="1" applyProtection="1">
      <protection hidden="1"/>
    </xf>
    <xf numFmtId="0" fontId="25" fillId="0" borderId="0" xfId="0" applyFont="1" applyFill="1" applyProtection="1">
      <protection hidden="1"/>
    </xf>
    <xf numFmtId="165" fontId="28" fillId="0" borderId="0" xfId="0" applyNumberFormat="1" applyFont="1" applyProtection="1">
      <protection hidden="1"/>
    </xf>
    <xf numFmtId="165" fontId="28" fillId="0" borderId="0" xfId="0" applyNumberFormat="1" applyFont="1" applyFill="1" applyProtection="1">
      <protection hidden="1"/>
    </xf>
    <xf numFmtId="0" fontId="10" fillId="0" borderId="0" xfId="0" applyFont="1" applyProtection="1">
      <protection hidden="1"/>
    </xf>
    <xf numFmtId="0" fontId="39" fillId="0" borderId="0" xfId="0" applyFont="1" applyAlignment="1" applyProtection="1">
      <alignment horizontal="left"/>
      <protection hidden="1"/>
    </xf>
    <xf numFmtId="165" fontId="25" fillId="0" borderId="0" xfId="0" applyNumberFormat="1" applyFont="1" applyProtection="1">
      <protection hidden="1"/>
    </xf>
    <xf numFmtId="165" fontId="25" fillId="0" borderId="0" xfId="0" applyNumberFormat="1" applyFont="1" applyFill="1" applyProtection="1">
      <protection hidden="1"/>
    </xf>
    <xf numFmtId="181" fontId="28" fillId="0" borderId="0" xfId="0" applyNumberFormat="1" applyFont="1" applyFill="1" applyBorder="1" applyProtection="1">
      <protection hidden="1"/>
    </xf>
    <xf numFmtId="183" fontId="28" fillId="0" borderId="0" xfId="0" applyNumberFormat="1" applyFont="1" applyFill="1" applyBorder="1" applyProtection="1">
      <protection hidden="1"/>
    </xf>
    <xf numFmtId="171" fontId="28" fillId="0" borderId="26" xfId="0" applyNumberFormat="1" applyFont="1" applyFill="1" applyBorder="1" applyAlignment="1" applyProtection="1">
      <alignment horizontal="center" vertical="center"/>
      <protection hidden="1"/>
    </xf>
    <xf numFmtId="171" fontId="28" fillId="0" borderId="0" xfId="0" applyNumberFormat="1" applyFont="1" applyFill="1" applyBorder="1" applyAlignment="1" applyProtection="1">
      <alignment horizontal="center" vertical="center"/>
      <protection hidden="1"/>
    </xf>
    <xf numFmtId="0" fontId="25" fillId="0" borderId="0" xfId="0" applyFont="1" applyAlignment="1" applyProtection="1">
      <alignment horizontal="left"/>
      <protection hidden="1"/>
    </xf>
    <xf numFmtId="0" fontId="26" fillId="5" borderId="0" xfId="0" applyFont="1" applyFill="1" applyProtection="1">
      <protection hidden="1"/>
    </xf>
    <xf numFmtId="15" fontId="26" fillId="5" borderId="45" xfId="0" applyNumberFormat="1" applyFont="1" applyFill="1" applyBorder="1" applyAlignment="1" applyProtection="1">
      <alignment horizontal="centerContinuous" vertical="center"/>
      <protection hidden="1"/>
    </xf>
    <xf numFmtId="0" fontId="30" fillId="0" borderId="0" xfId="0" applyFont="1" applyFill="1" applyBorder="1" applyAlignment="1" applyProtection="1">
      <alignment horizontal="right"/>
      <protection hidden="1"/>
    </xf>
    <xf numFmtId="0" fontId="32" fillId="0" borderId="0" xfId="0" applyFont="1" applyFill="1" applyAlignment="1" applyProtection="1">
      <alignment horizontal="left"/>
      <protection hidden="1"/>
    </xf>
    <xf numFmtId="0" fontId="37" fillId="0" borderId="0" xfId="0" applyFont="1" applyFill="1" applyProtection="1">
      <protection hidden="1"/>
    </xf>
    <xf numFmtId="165" fontId="28" fillId="0" borderId="0" xfId="0" applyNumberFormat="1" applyFont="1" applyFill="1" applyAlignment="1" applyProtection="1">
      <alignment horizontal="left"/>
      <protection hidden="1"/>
    </xf>
    <xf numFmtId="166" fontId="28" fillId="0" borderId="0" xfId="0" applyNumberFormat="1" applyFont="1" applyFill="1" applyBorder="1" applyProtection="1">
      <protection hidden="1"/>
    </xf>
    <xf numFmtId="166" fontId="28" fillId="0" borderId="0" xfId="0" applyNumberFormat="1" applyFont="1" applyFill="1" applyProtection="1">
      <protection hidden="1"/>
    </xf>
    <xf numFmtId="0" fontId="39" fillId="0" borderId="0" xfId="0" applyFont="1" applyFill="1" applyAlignment="1" applyProtection="1">
      <alignment horizontal="left"/>
      <protection hidden="1"/>
    </xf>
    <xf numFmtId="166" fontId="25" fillId="0" borderId="0" xfId="0" applyNumberFormat="1" applyFont="1" applyFill="1" applyProtection="1">
      <protection hidden="1"/>
    </xf>
    <xf numFmtId="0" fontId="25" fillId="0" borderId="0" xfId="0" applyFont="1" applyFill="1" applyAlignment="1" applyProtection="1">
      <alignment horizontal="left"/>
      <protection hidden="1"/>
    </xf>
    <xf numFmtId="172" fontId="25" fillId="0" borderId="31" xfId="0" applyNumberFormat="1" applyFont="1" applyFill="1" applyBorder="1" applyProtection="1">
      <protection hidden="1"/>
    </xf>
    <xf numFmtId="0" fontId="26" fillId="6" borderId="0" xfId="0" applyFont="1" applyFill="1" applyBorder="1" applyAlignment="1" applyProtection="1">
      <alignment horizontal="center"/>
      <protection hidden="1"/>
    </xf>
    <xf numFmtId="0" fontId="26" fillId="0" borderId="0" xfId="0" applyFont="1" applyFill="1" applyBorder="1" applyProtection="1">
      <protection hidden="1"/>
    </xf>
    <xf numFmtId="0" fontId="26" fillId="0" borderId="0" xfId="0" applyFont="1" applyFill="1" applyBorder="1" applyAlignment="1" applyProtection="1">
      <alignment horizontal="left"/>
      <protection hidden="1"/>
    </xf>
    <xf numFmtId="0" fontId="26" fillId="0" borderId="0" xfId="0" applyFont="1" applyFill="1" applyBorder="1" applyAlignment="1" applyProtection="1">
      <alignment horizontal="center"/>
      <protection hidden="1"/>
    </xf>
    <xf numFmtId="0" fontId="17" fillId="0" borderId="0" xfId="52" applyFont="1" applyAlignment="1" applyProtection="1">
      <alignment horizontal="left"/>
      <protection hidden="1"/>
    </xf>
    <xf numFmtId="10" fontId="3" fillId="0" borderId="0" xfId="0" applyNumberFormat="1" applyFont="1" applyFill="1" applyProtection="1">
      <protection hidden="1"/>
    </xf>
    <xf numFmtId="10" fontId="3" fillId="0" borderId="0" xfId="0" applyNumberFormat="1" applyFont="1" applyProtection="1">
      <protection hidden="1"/>
    </xf>
    <xf numFmtId="172" fontId="3" fillId="0" borderId="0" xfId="0" applyNumberFormat="1" applyFont="1" applyFill="1" applyProtection="1">
      <protection hidden="1"/>
    </xf>
    <xf numFmtId="0" fontId="7" fillId="0" borderId="0" xfId="52" applyFont="1" applyAlignment="1" applyProtection="1">
      <alignment horizontal="center"/>
      <protection hidden="1"/>
    </xf>
    <xf numFmtId="182" fontId="7" fillId="0" borderId="0" xfId="52" applyNumberFormat="1" applyFont="1" applyAlignment="1" applyProtection="1">
      <alignment horizontal="center"/>
      <protection hidden="1"/>
    </xf>
    <xf numFmtId="0" fontId="7" fillId="0" borderId="0" xfId="52" applyFont="1" applyFill="1" applyAlignment="1" applyProtection="1">
      <alignment horizontal="left"/>
      <protection hidden="1"/>
    </xf>
    <xf numFmtId="0" fontId="7" fillId="0" borderId="0" xfId="52" applyFont="1" applyFill="1" applyBorder="1" applyAlignment="1" applyProtection="1">
      <alignment horizontal="center"/>
      <protection hidden="1"/>
    </xf>
    <xf numFmtId="178" fontId="3" fillId="11" borderId="0" xfId="54" applyNumberFormat="1" applyFont="1" applyFill="1" applyBorder="1" applyProtection="1">
      <protection hidden="1"/>
    </xf>
    <xf numFmtId="178" fontId="3" fillId="0" borderId="0" xfId="54" applyNumberFormat="1" applyFont="1" applyFill="1" applyBorder="1" applyProtection="1">
      <protection hidden="1"/>
    </xf>
    <xf numFmtId="43" fontId="3" fillId="0" borderId="0" xfId="54" applyFont="1" applyFill="1" applyBorder="1" applyProtection="1">
      <protection hidden="1"/>
    </xf>
    <xf numFmtId="166" fontId="3" fillId="0" borderId="0" xfId="54" applyNumberFormat="1" applyFont="1" applyFill="1" applyBorder="1" applyProtection="1">
      <protection hidden="1"/>
    </xf>
    <xf numFmtId="0" fontId="28" fillId="0" borderId="0" xfId="0" applyNumberFormat="1" applyFont="1" applyFill="1" applyBorder="1" applyProtection="1">
      <protection hidden="1"/>
    </xf>
    <xf numFmtId="0" fontId="32" fillId="0" borderId="0" xfId="0" applyFont="1" applyProtection="1">
      <protection hidden="1"/>
    </xf>
    <xf numFmtId="0" fontId="40" fillId="0" borderId="0" xfId="0" applyFont="1" applyFill="1" applyProtection="1">
      <protection hidden="1"/>
    </xf>
    <xf numFmtId="0" fontId="40" fillId="0" borderId="0" xfId="0" applyFont="1" applyProtection="1">
      <protection hidden="1"/>
    </xf>
    <xf numFmtId="0" fontId="30" fillId="0" borderId="0" xfId="0" applyFont="1" applyProtection="1">
      <protection hidden="1"/>
    </xf>
    <xf numFmtId="165" fontId="25" fillId="0" borderId="31" xfId="0" applyNumberFormat="1" applyFont="1" applyBorder="1" applyProtection="1">
      <protection hidden="1"/>
    </xf>
    <xf numFmtId="0" fontId="33" fillId="0" borderId="0" xfId="0" applyFont="1" applyProtection="1">
      <protection hidden="1"/>
    </xf>
    <xf numFmtId="0" fontId="25" fillId="0" borderId="0" xfId="0" applyFont="1" applyBorder="1" applyProtection="1">
      <protection hidden="1"/>
    </xf>
    <xf numFmtId="0" fontId="50" fillId="0" borderId="0" xfId="0" applyFont="1" applyFill="1" applyProtection="1">
      <protection hidden="1"/>
    </xf>
    <xf numFmtId="0" fontId="38" fillId="0" borderId="0" xfId="0" applyFont="1" applyFill="1" applyAlignment="1" applyProtection="1">
      <alignment horizontal="left"/>
      <protection hidden="1"/>
    </xf>
    <xf numFmtId="0" fontId="32" fillId="0" borderId="0" xfId="0" applyFont="1" applyFill="1" applyProtection="1">
      <protection hidden="1"/>
    </xf>
    <xf numFmtId="0" fontId="25" fillId="0" borderId="0" xfId="0" applyFont="1" applyFill="1" applyBorder="1" applyProtection="1">
      <protection hidden="1"/>
    </xf>
    <xf numFmtId="0" fontId="28" fillId="0" borderId="0" xfId="0" applyNumberFormat="1" applyFont="1" applyProtection="1">
      <protection hidden="1"/>
    </xf>
    <xf numFmtId="0" fontId="28" fillId="0" borderId="0" xfId="0" applyNumberFormat="1" applyFont="1" applyFill="1" applyProtection="1">
      <protection hidden="1"/>
    </xf>
    <xf numFmtId="0" fontId="28" fillId="4" borderId="26" xfId="0" applyFont="1" applyFill="1" applyBorder="1" applyAlignment="1" applyProtection="1">
      <alignment horizontal="right"/>
      <protection hidden="1"/>
    </xf>
    <xf numFmtId="166" fontId="28" fillId="0" borderId="0" xfId="0" applyNumberFormat="1" applyFont="1" applyFill="1" applyAlignment="1" applyProtection="1">
      <alignment horizontal="left"/>
      <protection hidden="1"/>
    </xf>
    <xf numFmtId="166" fontId="28" fillId="0" borderId="0" xfId="0" applyNumberFormat="1" applyFont="1" applyProtection="1">
      <protection hidden="1"/>
    </xf>
    <xf numFmtId="165" fontId="2" fillId="0" borderId="0" xfId="0" applyNumberFormat="1" applyFont="1" applyFill="1" applyBorder="1" applyProtection="1">
      <protection hidden="1"/>
    </xf>
    <xf numFmtId="166" fontId="28" fillId="0" borderId="0" xfId="0" applyNumberFormat="1" applyFont="1" applyAlignment="1" applyProtection="1">
      <alignment horizontal="left"/>
      <protection hidden="1"/>
    </xf>
    <xf numFmtId="0" fontId="26" fillId="0" borderId="0" xfId="0" applyFont="1" applyFill="1" applyBorder="1" applyAlignment="1" applyProtection="1">
      <alignment horizontal="right"/>
      <protection hidden="1"/>
    </xf>
    <xf numFmtId="181" fontId="28" fillId="0" borderId="0" xfId="0" applyNumberFormat="1" applyFont="1" applyFill="1" applyProtection="1">
      <protection hidden="1"/>
    </xf>
    <xf numFmtId="181" fontId="25" fillId="0" borderId="0" xfId="0" applyNumberFormat="1" applyFont="1" applyFill="1" applyBorder="1" applyProtection="1">
      <protection hidden="1"/>
    </xf>
    <xf numFmtId="0" fontId="17" fillId="0" borderId="0" xfId="0" applyNumberFormat="1" applyFont="1" applyFill="1" applyProtection="1">
      <protection hidden="1"/>
    </xf>
    <xf numFmtId="0" fontId="17" fillId="0" borderId="0" xfId="0" applyNumberFormat="1" applyFont="1" applyProtection="1">
      <protection hidden="1"/>
    </xf>
    <xf numFmtId="0" fontId="0" fillId="0" borderId="0" xfId="0" applyFill="1" applyProtection="1">
      <protection hidden="1"/>
    </xf>
    <xf numFmtId="14" fontId="26" fillId="0" borderId="0" xfId="0" applyNumberFormat="1" applyFont="1" applyFill="1" applyProtection="1">
      <protection hidden="1"/>
    </xf>
    <xf numFmtId="0" fontId="59" fillId="0" borderId="0" xfId="0" applyFont="1" applyProtection="1">
      <protection hidden="1"/>
    </xf>
    <xf numFmtId="0" fontId="3" fillId="0" borderId="0" xfId="0" applyFont="1" applyAlignment="1" applyProtection="1">
      <protection hidden="1"/>
    </xf>
    <xf numFmtId="0" fontId="12" fillId="0" borderId="0" xfId="0" applyFont="1" applyAlignment="1" applyProtection="1">
      <protection hidden="1"/>
    </xf>
    <xf numFmtId="165" fontId="7" fillId="0" borderId="0" xfId="0" applyNumberFormat="1" applyFont="1" applyFill="1" applyProtection="1">
      <protection hidden="1"/>
    </xf>
    <xf numFmtId="0" fontId="10" fillId="0" borderId="0" xfId="0" applyFont="1" applyAlignment="1" applyProtection="1">
      <protection hidden="1"/>
    </xf>
    <xf numFmtId="0" fontId="3" fillId="0" borderId="0" xfId="0" applyFont="1" applyAlignment="1" applyProtection="1">
      <alignment horizontal="left" indent="1"/>
      <protection hidden="1"/>
    </xf>
    <xf numFmtId="181" fontId="3" fillId="0" borderId="0" xfId="0" applyNumberFormat="1" applyFont="1" applyFill="1" applyProtection="1">
      <protection hidden="1"/>
    </xf>
    <xf numFmtId="0" fontId="12" fillId="0" borderId="0" xfId="0" applyFont="1" applyProtection="1">
      <protection hidden="1"/>
    </xf>
    <xf numFmtId="171" fontId="28" fillId="0" borderId="26" xfId="0" applyNumberFormat="1" applyFont="1" applyFill="1" applyBorder="1" applyAlignment="1" applyProtection="1">
      <alignment horizontal="centerContinuous" vertical="center"/>
      <protection hidden="1"/>
    </xf>
    <xf numFmtId="165" fontId="3" fillId="0" borderId="0" xfId="0" applyNumberFormat="1" applyFont="1" applyFill="1" applyProtection="1">
      <protection hidden="1"/>
    </xf>
    <xf numFmtId="0" fontId="7" fillId="0" borderId="0" xfId="0" applyFont="1" applyFill="1" applyAlignment="1" applyProtection="1">
      <alignment horizontal="left" indent="1"/>
      <protection hidden="1"/>
    </xf>
    <xf numFmtId="181" fontId="3" fillId="0" borderId="0" xfId="0" applyNumberFormat="1" applyFont="1" applyProtection="1">
      <protection hidden="1"/>
    </xf>
    <xf numFmtId="0" fontId="7" fillId="0" borderId="0" xfId="0" applyFont="1" applyAlignment="1" applyProtection="1">
      <alignment horizontal="left" indent="1"/>
      <protection hidden="1"/>
    </xf>
    <xf numFmtId="0" fontId="7" fillId="0" borderId="0" xfId="0" applyFont="1" applyAlignment="1" applyProtection="1">
      <protection hidden="1"/>
    </xf>
    <xf numFmtId="0" fontId="41" fillId="0" borderId="0" xfId="0" applyFont="1" applyProtection="1">
      <protection hidden="1"/>
    </xf>
    <xf numFmtId="0" fontId="28" fillId="4" borderId="26" xfId="0" applyFont="1" applyFill="1" applyBorder="1" applyAlignment="1" applyProtection="1">
      <alignment horizontal="left"/>
      <protection hidden="1"/>
    </xf>
    <xf numFmtId="0" fontId="28" fillId="4" borderId="26" xfId="0" applyFont="1" applyFill="1" applyBorder="1" applyProtection="1">
      <protection hidden="1"/>
    </xf>
    <xf numFmtId="0" fontId="1" fillId="0" borderId="0" xfId="0" applyFont="1" applyFill="1" applyProtection="1">
      <protection hidden="1"/>
    </xf>
    <xf numFmtId="0" fontId="1" fillId="0" borderId="0" xfId="0" applyFont="1" applyProtection="1">
      <protection hidden="1"/>
    </xf>
    <xf numFmtId="0" fontId="1" fillId="0" borderId="0" xfId="0" applyFont="1" applyAlignment="1" applyProtection="1">
      <alignment horizontal="center"/>
      <protection hidden="1"/>
    </xf>
    <xf numFmtId="0" fontId="5" fillId="2" borderId="0" xfId="7" applyFont="1" applyBorder="1" applyAlignment="1" applyProtection="1">
      <alignment horizontal="left" vertical="center"/>
      <protection hidden="1"/>
    </xf>
    <xf numFmtId="0" fontId="6" fillId="2" borderId="0" xfId="7" applyFont="1" applyBorder="1" applyProtection="1">
      <alignment horizontal="right"/>
      <protection hidden="1"/>
    </xf>
    <xf numFmtId="0" fontId="8" fillId="2" borderId="0" xfId="8" applyFont="1" applyBorder="1" applyProtection="1">
      <protection hidden="1"/>
    </xf>
    <xf numFmtId="0" fontId="8" fillId="0" borderId="0" xfId="8" applyFont="1" applyFill="1" applyBorder="1" applyProtection="1">
      <protection hidden="1"/>
    </xf>
    <xf numFmtId="0" fontId="9" fillId="2" borderId="0" xfId="8" applyFont="1" applyBorder="1" applyProtection="1">
      <protection hidden="1"/>
    </xf>
    <xf numFmtId="0" fontId="3" fillId="2" borderId="0" xfId="8" applyFont="1" applyBorder="1" applyProtection="1">
      <protection hidden="1"/>
    </xf>
    <xf numFmtId="0" fontId="10" fillId="2" borderId="0" xfId="9" applyFont="1" applyBorder="1" applyAlignment="1" applyProtection="1">
      <alignment vertical="center" wrapText="1"/>
      <protection hidden="1"/>
    </xf>
    <xf numFmtId="0" fontId="7" fillId="2" borderId="0" xfId="8" applyFont="1" applyBorder="1" applyProtection="1">
      <protection hidden="1"/>
    </xf>
    <xf numFmtId="0" fontId="10" fillId="2" borderId="0" xfId="8" applyFont="1" applyBorder="1" applyAlignment="1" applyProtection="1">
      <alignment horizontal="center" vertical="center"/>
      <protection hidden="1"/>
    </xf>
    <xf numFmtId="0" fontId="10" fillId="2" borderId="0" xfId="8" applyFont="1" applyBorder="1" applyAlignment="1" applyProtection="1">
      <alignment horizontal="center" vertical="center" wrapText="1"/>
      <protection hidden="1"/>
    </xf>
    <xf numFmtId="0" fontId="10" fillId="2" borderId="0" xfId="8" applyFont="1" applyBorder="1" applyAlignment="1" applyProtection="1">
      <alignment vertical="center"/>
      <protection hidden="1"/>
    </xf>
    <xf numFmtId="0" fontId="10" fillId="2" borderId="0" xfId="8" applyFont="1" applyBorder="1" applyAlignment="1" applyProtection="1">
      <alignment vertical="center" wrapText="1"/>
      <protection hidden="1"/>
    </xf>
    <xf numFmtId="0" fontId="7" fillId="2" borderId="0" xfId="8" applyFont="1" applyBorder="1" applyAlignment="1" applyProtection="1">
      <alignment horizontal="center"/>
      <protection hidden="1"/>
    </xf>
    <xf numFmtId="0" fontId="7" fillId="0" borderId="0" xfId="8" applyFill="1" applyProtection="1">
      <protection hidden="1"/>
    </xf>
    <xf numFmtId="0" fontId="7" fillId="0" borderId="0" xfId="8" applyFont="1" applyFill="1" applyBorder="1" applyProtection="1">
      <protection hidden="1"/>
    </xf>
    <xf numFmtId="165" fontId="7" fillId="0" borderId="0" xfId="8" applyNumberFormat="1" applyFont="1" applyFill="1" applyBorder="1" applyProtection="1">
      <protection hidden="1"/>
    </xf>
    <xf numFmtId="0" fontId="4" fillId="2" borderId="0" xfId="8" applyFont="1" applyBorder="1" applyProtection="1">
      <protection hidden="1"/>
    </xf>
    <xf numFmtId="0" fontId="66" fillId="0" borderId="0" xfId="0" applyFont="1" applyFill="1" applyAlignment="1" applyProtection="1">
      <alignment horizontal="left"/>
      <protection hidden="1"/>
    </xf>
    <xf numFmtId="0" fontId="67" fillId="0" borderId="0" xfId="0" applyFont="1" applyProtection="1">
      <protection hidden="1"/>
    </xf>
    <xf numFmtId="171" fontId="40" fillId="0" borderId="0" xfId="0" applyNumberFormat="1" applyFont="1" applyFill="1" applyAlignment="1" applyProtection="1">
      <alignment horizontal="center" vertical="center"/>
      <protection hidden="1"/>
    </xf>
    <xf numFmtId="171" fontId="40" fillId="0" borderId="0" xfId="0" applyNumberFormat="1" applyFont="1" applyFill="1" applyAlignment="1" applyProtection="1">
      <alignment horizontal="right" vertical="center"/>
      <protection hidden="1"/>
    </xf>
    <xf numFmtId="171" fontId="28" fillId="0" borderId="0" xfId="0" applyNumberFormat="1" applyFont="1" applyFill="1" applyAlignment="1" applyProtection="1">
      <alignment horizontal="center" vertical="center"/>
      <protection hidden="1"/>
    </xf>
    <xf numFmtId="0" fontId="1" fillId="0" borderId="0" xfId="0" applyFont="1" applyFill="1" applyAlignment="1" applyProtection="1">
      <alignment horizontal="center"/>
      <protection hidden="1"/>
    </xf>
    <xf numFmtId="0" fontId="1" fillId="2" borderId="0" xfId="8" applyFont="1" applyBorder="1" applyProtection="1">
      <protection hidden="1"/>
    </xf>
    <xf numFmtId="0" fontId="4" fillId="2" borderId="0" xfId="7" applyFont="1" applyBorder="1" applyProtection="1">
      <alignment horizontal="right"/>
      <protection hidden="1"/>
    </xf>
    <xf numFmtId="0" fontId="12" fillId="2" borderId="0" xfId="7" applyFont="1" applyBorder="1" applyProtection="1">
      <alignment horizontal="right"/>
      <protection hidden="1"/>
    </xf>
    <xf numFmtId="0" fontId="3" fillId="2" borderId="11" xfId="8" applyFont="1" applyBorder="1" applyAlignment="1" applyProtection="1">
      <alignment horizontal="center"/>
      <protection hidden="1"/>
    </xf>
    <xf numFmtId="0" fontId="12" fillId="2" borderId="12" xfId="10" applyFont="1" applyBorder="1" applyAlignment="1" applyProtection="1">
      <alignment horizontal="center" wrapText="1"/>
      <protection hidden="1"/>
    </xf>
    <xf numFmtId="0" fontId="12" fillId="2" borderId="12" xfId="10" applyFont="1" applyBorder="1" applyProtection="1">
      <alignment horizontal="center" wrapText="1"/>
      <protection hidden="1"/>
    </xf>
    <xf numFmtId="0" fontId="12" fillId="2" borderId="13" xfId="10" applyFont="1" applyBorder="1" applyAlignment="1" applyProtection="1">
      <alignment horizontal="center" wrapText="1"/>
      <protection hidden="1"/>
    </xf>
    <xf numFmtId="0" fontId="3" fillId="2" borderId="0" xfId="8" applyFont="1" applyAlignment="1" applyProtection="1">
      <alignment horizontal="right"/>
      <protection hidden="1"/>
    </xf>
    <xf numFmtId="168" fontId="10" fillId="3" borderId="9" xfId="11" applyFont="1" applyFill="1" applyBorder="1" applyAlignment="1" applyProtection="1">
      <alignment wrapText="1"/>
      <protection hidden="1"/>
    </xf>
    <xf numFmtId="0" fontId="3" fillId="2" borderId="0" xfId="9" applyFont="1" applyBorder="1" applyProtection="1">
      <alignment horizontal="left"/>
      <protection hidden="1"/>
    </xf>
    <xf numFmtId="0" fontId="3" fillId="2" borderId="0" xfId="8" applyFont="1" applyBorder="1" applyAlignment="1" applyProtection="1">
      <protection hidden="1"/>
    </xf>
    <xf numFmtId="169" fontId="7" fillId="0" borderId="1" xfId="12" applyNumberFormat="1" applyFont="1" applyFill="1" applyProtection="1">
      <protection hidden="1"/>
    </xf>
    <xf numFmtId="165" fontId="3" fillId="0" borderId="1" xfId="12" applyNumberFormat="1" applyFont="1" applyFill="1" applyProtection="1">
      <protection hidden="1"/>
    </xf>
    <xf numFmtId="169" fontId="3" fillId="0" borderId="1" xfId="12" applyNumberFormat="1" applyFont="1" applyFill="1" applyProtection="1">
      <protection hidden="1"/>
    </xf>
    <xf numFmtId="0" fontId="3" fillId="2" borderId="0" xfId="9" applyFont="1" applyBorder="1" applyAlignment="1" applyProtection="1">
      <alignment horizontal="left" wrapText="1"/>
      <protection hidden="1"/>
    </xf>
    <xf numFmtId="0" fontId="3" fillId="2" borderId="0" xfId="8" applyFont="1" applyBorder="1" applyAlignment="1" applyProtection="1">
      <alignment horizontal="left" indent="1"/>
      <protection hidden="1"/>
    </xf>
    <xf numFmtId="0" fontId="12" fillId="2" borderId="0" xfId="9" applyFont="1" applyBorder="1" applyAlignment="1" applyProtection="1">
      <alignment horizontal="left"/>
      <protection hidden="1"/>
    </xf>
    <xf numFmtId="0" fontId="3" fillId="2" borderId="0" xfId="9" applyFont="1" applyBorder="1" applyAlignment="1" applyProtection="1">
      <alignment horizontal="left" indent="2"/>
      <protection hidden="1"/>
    </xf>
    <xf numFmtId="0" fontId="10" fillId="2" borderId="0" xfId="8" applyFont="1" applyBorder="1" applyProtection="1">
      <protection hidden="1"/>
    </xf>
    <xf numFmtId="0" fontId="15" fillId="2" borderId="0" xfId="7" applyFont="1" applyBorder="1" applyProtection="1">
      <alignment horizontal="right"/>
      <protection hidden="1"/>
    </xf>
    <xf numFmtId="0" fontId="15" fillId="2" borderId="0" xfId="9" applyFont="1" applyBorder="1" applyAlignment="1" applyProtection="1">
      <alignment horizontal="left"/>
      <protection hidden="1"/>
    </xf>
    <xf numFmtId="169" fontId="10" fillId="15" borderId="16" xfId="13" applyNumberFormat="1" applyFont="1" applyFill="1" applyBorder="1" applyAlignment="1" applyProtection="1">
      <alignment horizontal="right"/>
      <protection hidden="1"/>
    </xf>
    <xf numFmtId="0" fontId="17" fillId="2" borderId="0" xfId="8" applyFont="1" applyFill="1" applyBorder="1" applyProtection="1">
      <protection hidden="1"/>
    </xf>
    <xf numFmtId="0" fontId="57" fillId="0" borderId="0" xfId="0" applyFont="1" applyProtection="1">
      <protection hidden="1"/>
    </xf>
    <xf numFmtId="0" fontId="57" fillId="0" borderId="0" xfId="0" applyFont="1" applyFill="1" applyProtection="1">
      <protection hidden="1"/>
    </xf>
    <xf numFmtId="0" fontId="3" fillId="2" borderId="0" xfId="9" applyFont="1" applyFill="1" applyBorder="1" applyProtection="1">
      <alignment horizontal="left"/>
      <protection hidden="1"/>
    </xf>
    <xf numFmtId="0" fontId="7" fillId="2" borderId="0" xfId="8" applyFont="1" applyFill="1" applyBorder="1" applyProtection="1">
      <protection hidden="1"/>
    </xf>
    <xf numFmtId="0" fontId="10" fillId="2" borderId="0" xfId="9" applyFont="1" applyBorder="1" applyProtection="1">
      <alignment horizontal="left"/>
      <protection hidden="1"/>
    </xf>
    <xf numFmtId="0" fontId="10" fillId="2" borderId="0" xfId="8" applyFont="1" applyBorder="1" applyAlignment="1" applyProtection="1">
      <alignment horizontal="left" indent="1"/>
      <protection hidden="1"/>
    </xf>
    <xf numFmtId="0" fontId="3" fillId="2" borderId="0" xfId="9" applyFont="1" applyBorder="1" applyAlignment="1" applyProtection="1">
      <alignment horizontal="left"/>
      <protection hidden="1"/>
    </xf>
    <xf numFmtId="0" fontId="10" fillId="2" borderId="0" xfId="14" applyFont="1" applyBorder="1" applyAlignment="1" applyProtection="1">
      <protection hidden="1"/>
    </xf>
    <xf numFmtId="0" fontId="3" fillId="2" borderId="0" xfId="13" applyFont="1" applyFill="1" applyBorder="1" applyAlignment="1" applyProtection="1">
      <alignment horizontal="right"/>
      <protection hidden="1"/>
    </xf>
    <xf numFmtId="0" fontId="3" fillId="2" borderId="0" xfId="8" applyFont="1" applyFill="1" applyBorder="1" applyProtection="1">
      <protection hidden="1"/>
    </xf>
    <xf numFmtId="0" fontId="9" fillId="2" borderId="0" xfId="9" applyFont="1" applyBorder="1" applyProtection="1">
      <alignment horizontal="left"/>
      <protection hidden="1"/>
    </xf>
    <xf numFmtId="0" fontId="3" fillId="2" borderId="17" xfId="8" applyFont="1" applyFill="1" applyBorder="1" applyAlignment="1" applyProtection="1">
      <alignment horizontal="center" vertical="center"/>
      <protection hidden="1"/>
    </xf>
    <xf numFmtId="0" fontId="12" fillId="2" borderId="18" xfId="10" applyFont="1" applyFill="1" applyBorder="1" applyAlignment="1" applyProtection="1">
      <alignment horizontal="center" vertical="center" wrapText="1"/>
      <protection hidden="1"/>
    </xf>
    <xf numFmtId="0" fontId="12" fillId="15" borderId="18" xfId="10" applyFont="1" applyFill="1" applyBorder="1" applyAlignment="1" applyProtection="1">
      <alignment horizontal="center" vertical="center" wrapText="1"/>
      <protection hidden="1"/>
    </xf>
    <xf numFmtId="0" fontId="17" fillId="2" borderId="0" xfId="8" applyFont="1" applyFill="1" applyBorder="1" applyAlignment="1" applyProtection="1">
      <alignment horizontal="center" wrapText="1"/>
      <protection hidden="1"/>
    </xf>
    <xf numFmtId="0" fontId="17" fillId="2" borderId="0" xfId="8" applyFont="1" applyBorder="1" applyAlignment="1" applyProtection="1">
      <alignment horizontal="center" wrapText="1"/>
      <protection hidden="1"/>
    </xf>
    <xf numFmtId="0" fontId="3" fillId="15" borderId="0" xfId="9" applyFont="1" applyFill="1" applyBorder="1" applyProtection="1">
      <alignment horizontal="left"/>
      <protection hidden="1"/>
    </xf>
    <xf numFmtId="0" fontId="3" fillId="2" borderId="0" xfId="8" applyFont="1" applyFill="1" applyBorder="1" applyAlignment="1" applyProtection="1">
      <alignment horizontal="left" indent="1"/>
      <protection hidden="1"/>
    </xf>
    <xf numFmtId="0" fontId="12" fillId="15" borderId="0" xfId="9" applyFont="1" applyFill="1" applyBorder="1" applyProtection="1">
      <alignment horizontal="left"/>
      <protection hidden="1"/>
    </xf>
    <xf numFmtId="0" fontId="3" fillId="15" borderId="0" xfId="9" applyFont="1" applyFill="1" applyBorder="1" applyAlignment="1" applyProtection="1">
      <alignment horizontal="left" indent="1"/>
      <protection hidden="1"/>
    </xf>
    <xf numFmtId="0" fontId="15" fillId="15" borderId="0" xfId="8" applyFont="1" applyFill="1" applyBorder="1" applyAlignment="1" applyProtection="1">
      <alignment horizontal="left" indent="1"/>
      <protection hidden="1"/>
    </xf>
    <xf numFmtId="0" fontId="10" fillId="2" borderId="0" xfId="8" applyFont="1" applyFill="1" applyBorder="1" applyAlignment="1" applyProtection="1">
      <alignment horizontal="left" indent="1"/>
      <protection hidden="1"/>
    </xf>
    <xf numFmtId="169" fontId="10" fillId="15" borderId="1" xfId="13" applyNumberFormat="1" applyFont="1" applyFill="1" applyBorder="1" applyAlignment="1" applyProtection="1">
      <alignment horizontal="right"/>
      <protection hidden="1"/>
    </xf>
    <xf numFmtId="0" fontId="15" fillId="2" borderId="0" xfId="8" applyFont="1" applyFill="1" applyBorder="1" applyAlignment="1" applyProtection="1">
      <alignment horizontal="left" indent="1"/>
      <protection hidden="1"/>
    </xf>
    <xf numFmtId="169" fontId="3" fillId="2" borderId="1" xfId="13" applyNumberFormat="1" applyFont="1" applyFill="1" applyBorder="1" applyAlignment="1" applyProtection="1">
      <alignment horizontal="right"/>
      <protection hidden="1"/>
    </xf>
    <xf numFmtId="0" fontId="10" fillId="15" borderId="0" xfId="9" applyFont="1" applyFill="1" applyBorder="1" applyProtection="1">
      <alignment horizontal="left"/>
      <protection hidden="1"/>
    </xf>
    <xf numFmtId="0" fontId="3" fillId="2" borderId="0" xfId="9" applyFont="1" applyFill="1" applyBorder="1" applyAlignment="1" applyProtection="1">
      <alignment horizontal="left" indent="1"/>
      <protection hidden="1"/>
    </xf>
    <xf numFmtId="0" fontId="3" fillId="2" borderId="0" xfId="8" applyFont="1" applyFill="1" applyBorder="1" applyAlignment="1" applyProtection="1">
      <protection hidden="1"/>
    </xf>
    <xf numFmtId="0" fontId="3" fillId="2" borderId="0" xfId="8" applyFont="1" applyFill="1" applyBorder="1" applyAlignment="1" applyProtection="1">
      <alignment horizontal="left"/>
      <protection hidden="1"/>
    </xf>
    <xf numFmtId="0" fontId="19" fillId="2" borderId="0" xfId="8" applyFont="1" applyFill="1" applyBorder="1" applyProtection="1">
      <protection hidden="1"/>
    </xf>
    <xf numFmtId="0" fontId="3" fillId="2" borderId="0" xfId="9" applyFont="1" applyFill="1" applyBorder="1" applyAlignment="1" applyProtection="1">
      <alignment horizontal="left"/>
      <protection hidden="1"/>
    </xf>
    <xf numFmtId="0" fontId="12" fillId="2" borderId="0" xfId="7" applyFont="1" applyFill="1" applyBorder="1" applyProtection="1">
      <alignment horizontal="right"/>
      <protection hidden="1"/>
    </xf>
    <xf numFmtId="0" fontId="10" fillId="2" borderId="0" xfId="14" applyFont="1" applyFill="1" applyBorder="1" applyProtection="1">
      <alignment horizontal="left"/>
      <protection hidden="1"/>
    </xf>
    <xf numFmtId="0" fontId="15" fillId="2" borderId="0" xfId="7" applyFont="1" applyFill="1" applyBorder="1" applyProtection="1">
      <alignment horizontal="right"/>
      <protection hidden="1"/>
    </xf>
    <xf numFmtId="169" fontId="10" fillId="0" borderId="1" xfId="12" applyNumberFormat="1" applyFont="1" applyFill="1" applyProtection="1">
      <protection hidden="1"/>
    </xf>
    <xf numFmtId="0" fontId="7" fillId="2" borderId="0" xfId="8" applyFont="1" applyBorder="1" applyAlignment="1" applyProtection="1">
      <alignment horizontal="left" indent="1"/>
      <protection hidden="1"/>
    </xf>
    <xf numFmtId="0" fontId="3" fillId="2" borderId="17" xfId="8" applyFont="1" applyBorder="1" applyAlignment="1" applyProtection="1">
      <alignment horizontal="center" vertical="center"/>
      <protection hidden="1"/>
    </xf>
    <xf numFmtId="0" fontId="12" fillId="2" borderId="18" xfId="10" applyFont="1" applyBorder="1" applyAlignment="1" applyProtection="1">
      <alignment horizontal="center" vertical="center" wrapText="1"/>
      <protection hidden="1"/>
    </xf>
    <xf numFmtId="0" fontId="3" fillId="2" borderId="0" xfId="8" applyFont="1" applyFill="1" applyAlignment="1" applyProtection="1">
      <alignment horizontal="right"/>
      <protection hidden="1"/>
    </xf>
    <xf numFmtId="0" fontId="3" fillId="2" borderId="7" xfId="8" applyFont="1" applyBorder="1" applyProtection="1">
      <protection hidden="1"/>
    </xf>
    <xf numFmtId="0" fontId="3" fillId="2" borderId="8" xfId="8" applyFont="1" applyBorder="1" applyProtection="1">
      <protection hidden="1"/>
    </xf>
    <xf numFmtId="0" fontId="10" fillId="2" borderId="8" xfId="15" applyFont="1" applyBorder="1" applyAlignment="1" applyProtection="1">
      <protection hidden="1"/>
    </xf>
    <xf numFmtId="0" fontId="10" fillId="2" borderId="9" xfId="15" applyFont="1" applyBorder="1" applyAlignment="1" applyProtection="1">
      <protection hidden="1"/>
    </xf>
    <xf numFmtId="169" fontId="3" fillId="0" borderId="5" xfId="12" applyNumberFormat="1" applyFont="1" applyFill="1" applyBorder="1" applyProtection="1">
      <protection hidden="1"/>
    </xf>
    <xf numFmtId="0" fontId="15" fillId="2" borderId="0" xfId="9" applyFont="1" applyFill="1" applyBorder="1" applyProtection="1">
      <alignment horizontal="left"/>
      <protection hidden="1"/>
    </xf>
    <xf numFmtId="169" fontId="3" fillId="0" borderId="1" xfId="12" applyNumberFormat="1" applyFont="1" applyFill="1" applyBorder="1" applyProtection="1">
      <protection hidden="1"/>
    </xf>
    <xf numFmtId="169" fontId="3" fillId="2" borderId="0" xfId="13" applyNumberFormat="1" applyFont="1" applyFill="1" applyBorder="1" applyAlignment="1" applyProtection="1">
      <alignment horizontal="right"/>
      <protection hidden="1"/>
    </xf>
    <xf numFmtId="169" fontId="7" fillId="2" borderId="0" xfId="13" applyNumberFormat="1" applyFont="1" applyFill="1" applyBorder="1" applyAlignment="1" applyProtection="1">
      <alignment horizontal="right"/>
      <protection hidden="1"/>
    </xf>
    <xf numFmtId="0" fontId="10" fillId="2" borderId="0" xfId="9" applyFont="1" applyFill="1" applyBorder="1" applyProtection="1">
      <alignment horizontal="left"/>
      <protection hidden="1"/>
    </xf>
    <xf numFmtId="169" fontId="3" fillId="17" borderId="1" xfId="12" applyNumberFormat="1" applyFont="1" applyFill="1" applyProtection="1">
      <protection hidden="1"/>
    </xf>
    <xf numFmtId="169" fontId="10" fillId="2" borderId="0" xfId="13" applyNumberFormat="1" applyFont="1" applyBorder="1" applyAlignment="1" applyProtection="1">
      <alignment horizontal="left"/>
      <protection hidden="1"/>
    </xf>
    <xf numFmtId="169" fontId="10" fillId="2" borderId="0" xfId="13" applyNumberFormat="1" applyFont="1" applyFill="1" applyBorder="1" applyAlignment="1" applyProtection="1">
      <alignment horizontal="left"/>
      <protection hidden="1"/>
    </xf>
    <xf numFmtId="0" fontId="10" fillId="2" borderId="0" xfId="8" applyFont="1" applyFill="1" applyBorder="1" applyProtection="1">
      <protection hidden="1"/>
    </xf>
    <xf numFmtId="169" fontId="3" fillId="2" borderId="0" xfId="13" applyNumberFormat="1" applyFont="1" applyBorder="1" applyAlignment="1" applyProtection="1">
      <alignment horizontal="left"/>
      <protection hidden="1"/>
    </xf>
    <xf numFmtId="169" fontId="12" fillId="2" borderId="0" xfId="13" applyNumberFormat="1" applyFont="1" applyFill="1" applyBorder="1" applyAlignment="1" applyProtection="1">
      <alignment horizontal="center"/>
      <protection hidden="1"/>
    </xf>
    <xf numFmtId="169" fontId="3" fillId="2" borderId="0" xfId="13" applyNumberFormat="1" applyFont="1" applyFill="1" applyBorder="1" applyAlignment="1" applyProtection="1">
      <alignment horizontal="left"/>
      <protection hidden="1"/>
    </xf>
    <xf numFmtId="0" fontId="51" fillId="2" borderId="0" xfId="8" applyFont="1" applyAlignment="1" applyProtection="1">
      <alignment horizontal="right"/>
      <protection hidden="1"/>
    </xf>
    <xf numFmtId="0" fontId="5" fillId="2" borderId="0" xfId="8" applyFont="1" applyAlignment="1" applyProtection="1">
      <alignment horizontal="left" vertical="center"/>
      <protection hidden="1"/>
    </xf>
    <xf numFmtId="0" fontId="7" fillId="2" borderId="0" xfId="8" applyFont="1" applyAlignment="1" applyProtection="1">
      <alignment horizontal="right"/>
      <protection hidden="1"/>
    </xf>
    <xf numFmtId="0" fontId="51" fillId="0" borderId="0" xfId="0" applyFont="1" applyProtection="1">
      <protection hidden="1"/>
    </xf>
    <xf numFmtId="0" fontId="21" fillId="2" borderId="0" xfId="8" applyFont="1" applyBorder="1" applyProtection="1">
      <protection hidden="1"/>
    </xf>
    <xf numFmtId="0" fontId="17" fillId="2" borderId="0" xfId="8" applyFont="1" applyBorder="1" applyAlignment="1" applyProtection="1">
      <alignment horizontal="center"/>
      <protection hidden="1"/>
    </xf>
    <xf numFmtId="0" fontId="21" fillId="2" borderId="0" xfId="8" applyFont="1" applyBorder="1" applyAlignment="1" applyProtection="1">
      <alignment vertical="center"/>
      <protection hidden="1"/>
    </xf>
    <xf numFmtId="0" fontId="7" fillId="2" borderId="28" xfId="8" applyFont="1" applyBorder="1" applyAlignment="1" applyProtection="1">
      <alignment horizontal="center"/>
      <protection hidden="1"/>
    </xf>
    <xf numFmtId="0" fontId="4" fillId="2" borderId="27" xfId="10" applyFont="1" applyBorder="1" applyAlignment="1" applyProtection="1">
      <alignment horizontal="center" wrapText="1"/>
      <protection hidden="1"/>
    </xf>
    <xf numFmtId="0" fontId="4" fillId="2" borderId="0" xfId="10" applyFont="1" applyBorder="1" applyProtection="1">
      <alignment horizontal="center" wrapText="1"/>
      <protection hidden="1"/>
    </xf>
    <xf numFmtId="0" fontId="4" fillId="2" borderId="0" xfId="10" applyFont="1" applyBorder="1" applyAlignment="1" applyProtection="1">
      <alignment horizontal="center" wrapText="1"/>
      <protection hidden="1"/>
    </xf>
    <xf numFmtId="168" fontId="17" fillId="3" borderId="0" xfId="11" applyFont="1" applyFill="1" applyBorder="1" applyAlignment="1" applyProtection="1">
      <alignment wrapText="1"/>
      <protection hidden="1"/>
    </xf>
    <xf numFmtId="0" fontId="7" fillId="2" borderId="0" xfId="9" applyFont="1" applyBorder="1" applyProtection="1">
      <alignment horizontal="left"/>
      <protection hidden="1"/>
    </xf>
    <xf numFmtId="0" fontId="17" fillId="2" borderId="0" xfId="8" applyFont="1" applyAlignment="1" applyProtection="1">
      <alignment horizontal="right"/>
      <protection hidden="1"/>
    </xf>
    <xf numFmtId="0" fontId="52" fillId="2" borderId="0" xfId="7" applyFont="1" applyBorder="1" applyProtection="1">
      <alignment horizontal="right"/>
      <protection hidden="1"/>
    </xf>
    <xf numFmtId="0" fontId="17" fillId="2" borderId="0" xfId="9" applyFont="1" applyBorder="1" applyAlignment="1" applyProtection="1">
      <alignment horizontal="right" indent="1"/>
      <protection hidden="1"/>
    </xf>
    <xf numFmtId="169" fontId="17" fillId="15" borderId="1" xfId="13" applyNumberFormat="1" applyFont="1" applyFill="1" applyBorder="1" applyAlignment="1" applyProtection="1">
      <alignment horizontal="right"/>
      <protection hidden="1"/>
    </xf>
    <xf numFmtId="0" fontId="17" fillId="2" borderId="0" xfId="9" applyFont="1" applyFill="1" applyBorder="1" applyProtection="1">
      <alignment horizontal="left"/>
      <protection hidden="1"/>
    </xf>
    <xf numFmtId="0" fontId="42" fillId="0" borderId="0" xfId="0" applyFont="1" applyProtection="1">
      <protection hidden="1"/>
    </xf>
    <xf numFmtId="0" fontId="17" fillId="2" borderId="0" xfId="14" applyFont="1" applyBorder="1" applyAlignment="1" applyProtection="1">
      <alignment horizontal="right" indent="1"/>
      <protection hidden="1"/>
    </xf>
    <xf numFmtId="169" fontId="17" fillId="15" borderId="16" xfId="13" applyNumberFormat="1" applyFont="1" applyFill="1" applyBorder="1" applyAlignment="1" applyProtection="1">
      <alignment horizontal="right"/>
      <protection hidden="1"/>
    </xf>
    <xf numFmtId="0" fontId="7" fillId="2" borderId="0" xfId="9" applyFont="1" applyFill="1" applyBorder="1" applyProtection="1">
      <alignment horizontal="left"/>
      <protection hidden="1"/>
    </xf>
    <xf numFmtId="0" fontId="17" fillId="2" borderId="0" xfId="8" applyFont="1" applyFill="1" applyBorder="1" applyAlignment="1" applyProtection="1">
      <alignment horizontal="center"/>
      <protection hidden="1"/>
    </xf>
    <xf numFmtId="0" fontId="7" fillId="2" borderId="28" xfId="8" applyFont="1" applyFill="1" applyBorder="1" applyAlignment="1" applyProtection="1">
      <alignment horizontal="center"/>
      <protection hidden="1"/>
    </xf>
    <xf numFmtId="0" fontId="4" fillId="2" borderId="27" xfId="10" applyFont="1" applyFill="1" applyBorder="1" applyAlignment="1" applyProtection="1">
      <alignment horizontal="center" wrapText="1"/>
      <protection hidden="1"/>
    </xf>
    <xf numFmtId="0" fontId="4" fillId="15" borderId="0" xfId="10" applyFont="1" applyFill="1" applyBorder="1" applyAlignment="1" applyProtection="1">
      <alignment horizontal="center" wrapText="1"/>
      <protection hidden="1"/>
    </xf>
    <xf numFmtId="0" fontId="4" fillId="2" borderId="0" xfId="10" applyFont="1" applyFill="1" applyBorder="1" applyAlignment="1" applyProtection="1">
      <alignment horizontal="center" wrapText="1"/>
      <protection hidden="1"/>
    </xf>
    <xf numFmtId="169" fontId="7" fillId="0" borderId="5" xfId="12" applyNumberFormat="1" applyFont="1" applyFill="1" applyBorder="1" applyProtection="1">
      <protection hidden="1"/>
    </xf>
    <xf numFmtId="0" fontId="17" fillId="2" borderId="0" xfId="9" applyFont="1" applyBorder="1" applyProtection="1">
      <alignment horizontal="left"/>
      <protection hidden="1"/>
    </xf>
    <xf numFmtId="169" fontId="17" fillId="15" borderId="32" xfId="13" applyNumberFormat="1" applyFont="1" applyFill="1" applyBorder="1" applyAlignment="1" applyProtection="1">
      <alignment horizontal="right"/>
      <protection hidden="1"/>
    </xf>
    <xf numFmtId="169" fontId="17" fillId="15" borderId="13" xfId="13" applyNumberFormat="1" applyFont="1" applyFill="1" applyBorder="1" applyAlignment="1" applyProtection="1">
      <alignment horizontal="right"/>
      <protection hidden="1"/>
    </xf>
    <xf numFmtId="0" fontId="7" fillId="2" borderId="0" xfId="9" applyFont="1" applyBorder="1" applyAlignment="1" applyProtection="1">
      <alignment horizontal="left"/>
      <protection hidden="1"/>
    </xf>
    <xf numFmtId="0" fontId="21" fillId="2" borderId="0" xfId="8" applyFont="1" applyBorder="1" applyAlignment="1" applyProtection="1">
      <protection hidden="1"/>
    </xf>
    <xf numFmtId="0" fontId="4" fillId="2" borderId="0" xfId="7" applyFont="1" applyFill="1" applyBorder="1" applyProtection="1">
      <alignment horizontal="right"/>
      <protection hidden="1"/>
    </xf>
    <xf numFmtId="169" fontId="7" fillId="0" borderId="1" xfId="12" applyNumberFormat="1" applyFont="1" applyProtection="1">
      <protection hidden="1"/>
    </xf>
    <xf numFmtId="169" fontId="7" fillId="17" borderId="1" xfId="12" applyNumberFormat="1" applyFont="1" applyFill="1" applyProtection="1">
      <protection hidden="1"/>
    </xf>
    <xf numFmtId="169" fontId="7" fillId="2" borderId="0" xfId="13" applyNumberFormat="1" applyFont="1" applyBorder="1" applyAlignment="1" applyProtection="1">
      <alignment horizontal="left"/>
      <protection hidden="1"/>
    </xf>
    <xf numFmtId="0" fontId="51" fillId="0" borderId="0" xfId="0" applyFont="1" applyFill="1" applyProtection="1">
      <protection hidden="1"/>
    </xf>
    <xf numFmtId="0" fontId="5" fillId="2" borderId="0" xfId="9" applyFont="1" applyFill="1" applyBorder="1" applyAlignment="1" applyProtection="1">
      <alignment horizontal="left" vertical="center"/>
      <protection hidden="1"/>
    </xf>
    <xf numFmtId="0" fontId="20" fillId="2" borderId="0" xfId="9" applyFont="1" applyBorder="1" applyAlignment="1" applyProtection="1">
      <alignment vertical="center"/>
      <protection hidden="1"/>
    </xf>
    <xf numFmtId="0" fontId="21" fillId="2" borderId="0" xfId="9" applyFont="1" applyBorder="1" applyProtection="1">
      <alignment horizontal="left"/>
      <protection hidden="1"/>
    </xf>
    <xf numFmtId="0" fontId="17" fillId="2" borderId="0" xfId="15" applyFont="1" applyBorder="1" applyProtection="1">
      <alignment horizontal="center" wrapText="1"/>
      <protection hidden="1"/>
    </xf>
    <xf numFmtId="0" fontId="5" fillId="2" borderId="0" xfId="16" applyFont="1" applyBorder="1" applyAlignment="1" applyProtection="1">
      <alignment horizontal="left" indent="1"/>
      <protection hidden="1"/>
    </xf>
    <xf numFmtId="0" fontId="10" fillId="2" borderId="0" xfId="15" applyFont="1" applyBorder="1" applyProtection="1">
      <alignment horizontal="center" wrapText="1"/>
      <protection hidden="1"/>
    </xf>
    <xf numFmtId="0" fontId="10" fillId="2" borderId="0" xfId="15" applyFont="1" applyBorder="1" applyAlignment="1" applyProtection="1">
      <alignment horizontal="center" wrapText="1"/>
      <protection hidden="1"/>
    </xf>
    <xf numFmtId="0" fontId="10" fillId="2" borderId="0" xfId="8" applyFont="1" applyBorder="1" applyAlignment="1" applyProtection="1">
      <alignment horizontal="center"/>
      <protection hidden="1"/>
    </xf>
    <xf numFmtId="0" fontId="17" fillId="2" borderId="1" xfId="9" applyFont="1" applyBorder="1" applyAlignment="1" applyProtection="1">
      <alignment horizontal="center" vertical="center" wrapText="1"/>
      <protection hidden="1"/>
    </xf>
    <xf numFmtId="0" fontId="17" fillId="2" borderId="1" xfId="9" applyFont="1" applyBorder="1" applyAlignment="1" applyProtection="1">
      <alignment vertical="center" wrapText="1"/>
      <protection hidden="1"/>
    </xf>
    <xf numFmtId="0" fontId="3" fillId="2" borderId="2" xfId="8" applyFont="1" applyBorder="1" applyAlignment="1" applyProtection="1">
      <alignment horizontal="center" vertical="center"/>
      <protection hidden="1"/>
    </xf>
    <xf numFmtId="0" fontId="12" fillId="2" borderId="3" xfId="10" applyFont="1" applyBorder="1" applyAlignment="1" applyProtection="1">
      <alignment horizontal="center" vertical="center" wrapText="1"/>
      <protection hidden="1"/>
    </xf>
    <xf numFmtId="0" fontId="12" fillId="2" borderId="4" xfId="10" applyFont="1" applyBorder="1" applyAlignment="1" applyProtection="1">
      <alignment horizontal="center" vertical="center" wrapText="1"/>
      <protection hidden="1"/>
    </xf>
    <xf numFmtId="0" fontId="12" fillId="2" borderId="2" xfId="10" applyFont="1" applyBorder="1" applyAlignment="1" applyProtection="1">
      <alignment horizontal="center" vertical="center" wrapText="1"/>
      <protection hidden="1"/>
    </xf>
    <xf numFmtId="0" fontId="12" fillId="2" borderId="0" xfId="10" applyFont="1" applyBorder="1" applyAlignment="1" applyProtection="1">
      <alignment horizontal="center" wrapText="1"/>
      <protection hidden="1"/>
    </xf>
    <xf numFmtId="0" fontId="17" fillId="2" borderId="0" xfId="14" applyFont="1" applyBorder="1" applyProtection="1">
      <alignment horizontal="left"/>
      <protection hidden="1"/>
    </xf>
    <xf numFmtId="169" fontId="7" fillId="2" borderId="0" xfId="13" applyNumberFormat="1" applyFont="1" applyBorder="1" applyAlignment="1" applyProtection="1">
      <alignment horizontal="right"/>
      <protection hidden="1"/>
    </xf>
    <xf numFmtId="0" fontId="7" fillId="2" borderId="0" xfId="13" applyFont="1" applyBorder="1" applyAlignment="1" applyProtection="1">
      <alignment horizontal="right"/>
      <protection hidden="1"/>
    </xf>
    <xf numFmtId="0" fontId="7" fillId="2" borderId="0" xfId="8" applyFont="1" applyBorder="1" applyAlignment="1" applyProtection="1">
      <alignment horizontal="center" wrapText="1"/>
      <protection hidden="1"/>
    </xf>
    <xf numFmtId="0" fontId="17" fillId="2" borderId="0" xfId="15" applyFont="1" applyBorder="1" applyAlignment="1" applyProtection="1">
      <alignment horizontal="center" wrapText="1"/>
      <protection hidden="1"/>
    </xf>
    <xf numFmtId="0" fontId="17" fillId="2" borderId="0" xfId="9" applyFont="1" applyBorder="1" applyAlignment="1" applyProtection="1">
      <alignment vertical="center" wrapText="1"/>
      <protection hidden="1"/>
    </xf>
    <xf numFmtId="0" fontId="3" fillId="2" borderId="0" xfId="8" applyFont="1" applyBorder="1" applyAlignment="1" applyProtection="1">
      <alignment horizontal="center" vertical="center"/>
      <protection hidden="1"/>
    </xf>
    <xf numFmtId="0" fontId="12" fillId="2" borderId="0" xfId="10" applyFont="1" applyBorder="1" applyAlignment="1" applyProtection="1">
      <alignment horizontal="center" vertical="center" wrapText="1"/>
      <protection hidden="1"/>
    </xf>
    <xf numFmtId="0" fontId="4" fillId="2" borderId="0" xfId="17" applyFont="1" applyBorder="1" applyProtection="1">
      <protection hidden="1"/>
    </xf>
    <xf numFmtId="0" fontId="7" fillId="0" borderId="0" xfId="8" applyFont="1" applyFill="1" applyBorder="1" applyAlignment="1" applyProtection="1">
      <alignment horizontal="center" wrapText="1"/>
      <protection hidden="1"/>
    </xf>
    <xf numFmtId="0" fontId="7" fillId="0" borderId="1" xfId="12" applyFont="1" applyFill="1" applyAlignment="1" applyProtection="1">
      <alignment wrapText="1"/>
      <protection hidden="1"/>
    </xf>
    <xf numFmtId="0" fontId="4" fillId="2" borderId="0" xfId="18" applyFont="1" applyBorder="1" applyProtection="1">
      <alignment horizontal="right"/>
      <protection hidden="1"/>
    </xf>
    <xf numFmtId="0" fontId="4" fillId="2" borderId="0" xfId="19" applyFont="1" applyBorder="1" applyProtection="1">
      <alignment horizontal="left"/>
      <protection hidden="1"/>
    </xf>
    <xf numFmtId="0" fontId="7" fillId="2" borderId="0" xfId="13" applyFont="1" applyFill="1" applyBorder="1" applyAlignment="1" applyProtection="1">
      <alignment horizontal="right"/>
      <protection hidden="1"/>
    </xf>
    <xf numFmtId="169" fontId="17" fillId="0" borderId="16" xfId="13" applyNumberFormat="1" applyFont="1" applyFill="1" applyBorder="1" applyAlignment="1" applyProtection="1">
      <alignment horizontal="right"/>
      <protection hidden="1"/>
    </xf>
    <xf numFmtId="0" fontId="15" fillId="2" borderId="0" xfId="10" applyFont="1" applyBorder="1" applyAlignment="1" applyProtection="1">
      <alignment horizontal="center" wrapText="1"/>
      <protection hidden="1"/>
    </xf>
    <xf numFmtId="0" fontId="17" fillId="0" borderId="0" xfId="8" applyFont="1" applyFill="1" applyBorder="1" applyProtection="1">
      <protection hidden="1"/>
    </xf>
    <xf numFmtId="0" fontId="7" fillId="2" borderId="0" xfId="9" applyFont="1" applyBorder="1" applyAlignment="1" applyProtection="1">
      <alignment horizontal="right"/>
      <protection hidden="1"/>
    </xf>
    <xf numFmtId="0" fontId="7" fillId="2" borderId="0" xfId="9" applyFont="1" applyFill="1" applyBorder="1" applyAlignment="1" applyProtection="1">
      <protection hidden="1"/>
    </xf>
    <xf numFmtId="0" fontId="17" fillId="2" borderId="0" xfId="8" applyFont="1" applyBorder="1" applyProtection="1">
      <protection hidden="1"/>
    </xf>
    <xf numFmtId="0" fontId="21" fillId="2" borderId="0" xfId="16" applyFont="1" applyBorder="1" applyAlignment="1" applyProtection="1">
      <alignment horizontal="left" vertical="center" indent="1"/>
      <protection hidden="1"/>
    </xf>
    <xf numFmtId="0" fontId="4" fillId="2" borderId="0" xfId="10" applyFont="1" applyFill="1" applyBorder="1" applyProtection="1">
      <alignment horizontal="center" wrapText="1"/>
      <protection hidden="1"/>
    </xf>
    <xf numFmtId="0" fontId="7" fillId="2" borderId="0" xfId="9" applyFont="1" applyBorder="1" applyAlignment="1" applyProtection="1">
      <protection hidden="1"/>
    </xf>
    <xf numFmtId="0" fontId="7" fillId="0" borderId="1" xfId="12" applyFont="1" applyAlignment="1" applyProtection="1">
      <alignment wrapText="1"/>
      <protection hidden="1"/>
    </xf>
    <xf numFmtId="170" fontId="7" fillId="2" borderId="0" xfId="8" applyNumberFormat="1" applyFont="1" applyBorder="1" applyAlignment="1" applyProtection="1">
      <protection hidden="1"/>
    </xf>
    <xf numFmtId="170" fontId="7" fillId="2" borderId="0" xfId="8" applyNumberFormat="1" applyFont="1" applyFill="1" applyBorder="1" applyAlignment="1" applyProtection="1">
      <protection hidden="1"/>
    </xf>
    <xf numFmtId="0" fontId="17" fillId="2" borderId="0" xfId="15" applyFont="1" applyBorder="1" applyAlignment="1" applyProtection="1">
      <alignment horizontal="left"/>
      <protection hidden="1"/>
    </xf>
    <xf numFmtId="0" fontId="17" fillId="2" borderId="0" xfId="15" applyFont="1" applyBorder="1" applyAlignment="1" applyProtection="1">
      <alignment horizontal="center" vertical="center" wrapText="1"/>
      <protection hidden="1"/>
    </xf>
    <xf numFmtId="0" fontId="4" fillId="2" borderId="0" xfId="9" applyFont="1" applyBorder="1" applyProtection="1">
      <alignment horizontal="left"/>
      <protection hidden="1"/>
    </xf>
    <xf numFmtId="0" fontId="17" fillId="2" borderId="0" xfId="14" applyFont="1" applyBorder="1" applyAlignment="1" applyProtection="1">
      <protection hidden="1"/>
    </xf>
    <xf numFmtId="165" fontId="7" fillId="17" borderId="1" xfId="12" applyNumberFormat="1" applyFont="1" applyFill="1" applyProtection="1">
      <protection hidden="1"/>
    </xf>
    <xf numFmtId="165" fontId="7" fillId="0" borderId="1" xfId="12" applyNumberFormat="1" applyFont="1" applyFill="1" applyProtection="1">
      <protection hidden="1"/>
    </xf>
    <xf numFmtId="0" fontId="21" fillId="2" borderId="0" xfId="16" applyFont="1" applyBorder="1" applyAlignment="1" applyProtection="1">
      <alignment horizontal="left" indent="1"/>
      <protection hidden="1"/>
    </xf>
    <xf numFmtId="0" fontId="17" fillId="2" borderId="0" xfId="15" applyFont="1" applyFill="1" applyBorder="1" applyProtection="1">
      <alignment horizontal="center" wrapText="1"/>
      <protection hidden="1"/>
    </xf>
    <xf numFmtId="0" fontId="17" fillId="2" borderId="0" xfId="15" applyFont="1" applyFill="1" applyBorder="1" applyAlignment="1" applyProtection="1">
      <alignment horizontal="left"/>
      <protection hidden="1"/>
    </xf>
    <xf numFmtId="0" fontId="52" fillId="2" borderId="0" xfId="18" applyFont="1" applyBorder="1" applyProtection="1">
      <alignment horizontal="right"/>
      <protection hidden="1"/>
    </xf>
    <xf numFmtId="0" fontId="17" fillId="2" borderId="0" xfId="20" applyFont="1" applyBorder="1" applyProtection="1">
      <protection hidden="1"/>
    </xf>
    <xf numFmtId="0" fontId="7" fillId="2" borderId="0" xfId="8" applyFont="1" applyBorder="1" applyAlignment="1" applyProtection="1">
      <protection hidden="1"/>
    </xf>
    <xf numFmtId="0" fontId="7" fillId="2" borderId="0" xfId="8" applyFont="1" applyFill="1" applyBorder="1" applyAlignment="1" applyProtection="1">
      <protection hidden="1"/>
    </xf>
    <xf numFmtId="0" fontId="24" fillId="2" borderId="0" xfId="8" applyFont="1" applyBorder="1" applyProtection="1">
      <protection hidden="1"/>
    </xf>
    <xf numFmtId="0" fontId="7" fillId="2" borderId="0" xfId="8" applyFont="1" applyFill="1" applyAlignment="1" applyProtection="1">
      <alignment horizontal="right"/>
      <protection hidden="1"/>
    </xf>
    <xf numFmtId="168" fontId="17" fillId="2" borderId="0" xfId="11" applyFont="1" applyFill="1" applyBorder="1" applyAlignment="1" applyProtection="1">
      <alignment horizontal="center" wrapText="1"/>
      <protection hidden="1"/>
    </xf>
    <xf numFmtId="0" fontId="68" fillId="2" borderId="0" xfId="16" applyFont="1" applyBorder="1" applyAlignment="1" applyProtection="1">
      <alignment horizontal="left" indent="1"/>
      <protection hidden="1"/>
    </xf>
    <xf numFmtId="0" fontId="17" fillId="2" borderId="0" xfId="14" applyFont="1" applyFill="1" applyBorder="1" applyProtection="1">
      <alignment horizontal="left"/>
      <protection hidden="1"/>
    </xf>
    <xf numFmtId="0" fontId="21" fillId="2" borderId="0" xfId="16" applyFont="1" applyBorder="1" applyAlignment="1" applyProtection="1">
      <protection hidden="1"/>
    </xf>
    <xf numFmtId="0" fontId="0" fillId="0" borderId="0" xfId="0" applyFont="1" applyProtection="1">
      <protection hidden="1"/>
    </xf>
    <xf numFmtId="169" fontId="1" fillId="0" borderId="0" xfId="0" applyNumberFormat="1" applyFont="1" applyProtection="1">
      <protection hidden="1"/>
    </xf>
    <xf numFmtId="165" fontId="1" fillId="0" borderId="0" xfId="0" applyNumberFormat="1" applyFont="1" applyProtection="1">
      <protection hidden="1"/>
    </xf>
    <xf numFmtId="0" fontId="42" fillId="2" borderId="0" xfId="9" applyFont="1" applyBorder="1" applyAlignment="1" applyProtection="1">
      <alignment horizontal="left" vertical="center" wrapText="1"/>
      <protection hidden="1"/>
    </xf>
    <xf numFmtId="0" fontId="17" fillId="2" borderId="0" xfId="9" applyFont="1" applyBorder="1" applyAlignment="1" applyProtection="1">
      <alignment horizontal="left" vertical="center" wrapText="1"/>
      <protection hidden="1"/>
    </xf>
    <xf numFmtId="0" fontId="7" fillId="15" borderId="0" xfId="8" applyFont="1" applyFill="1" applyAlignment="1" applyProtection="1">
      <alignment horizontal="right" vertical="top"/>
      <protection hidden="1"/>
    </xf>
    <xf numFmtId="0" fontId="7" fillId="2" borderId="34" xfId="8" applyFont="1" applyFill="1" applyBorder="1" applyAlignment="1" applyProtection="1">
      <alignment horizontal="center"/>
      <protection hidden="1"/>
    </xf>
    <xf numFmtId="0" fontId="4" fillId="2" borderId="34" xfId="10" applyFont="1" applyFill="1" applyBorder="1" applyProtection="1">
      <alignment horizontal="center" wrapText="1"/>
      <protection hidden="1"/>
    </xf>
    <xf numFmtId="0" fontId="7" fillId="2" borderId="2" xfId="8" applyFont="1" applyFill="1" applyBorder="1" applyAlignment="1" applyProtection="1">
      <alignment horizontal="center" vertical="center"/>
      <protection hidden="1"/>
    </xf>
    <xf numFmtId="0" fontId="4" fillId="2" borderId="3" xfId="10" applyFont="1" applyFill="1" applyBorder="1" applyAlignment="1" applyProtection="1">
      <alignment horizontal="center" vertical="center" wrapText="1"/>
      <protection hidden="1"/>
    </xf>
    <xf numFmtId="0" fontId="4" fillId="2" borderId="4" xfId="10" applyFont="1" applyFill="1" applyBorder="1" applyAlignment="1" applyProtection="1">
      <alignment horizontal="center" vertical="center" wrapText="1"/>
      <protection hidden="1"/>
    </xf>
    <xf numFmtId="0" fontId="4" fillId="2" borderId="2" xfId="10" applyFont="1" applyFill="1" applyBorder="1" applyAlignment="1" applyProtection="1">
      <alignment horizontal="center" vertical="center" wrapText="1"/>
      <protection hidden="1"/>
    </xf>
    <xf numFmtId="0" fontId="17" fillId="2" borderId="0" xfId="15" applyFont="1" applyFill="1" applyBorder="1" applyAlignment="1" applyProtection="1">
      <alignment horizontal="center" wrapText="1"/>
      <protection hidden="1"/>
    </xf>
    <xf numFmtId="0" fontId="7" fillId="2" borderId="0" xfId="8" applyFont="1" applyFill="1" applyProtection="1">
      <protection hidden="1"/>
    </xf>
    <xf numFmtId="0" fontId="17" fillId="2" borderId="0" xfId="9" applyFont="1" applyFill="1" applyBorder="1" applyAlignment="1" applyProtection="1">
      <alignment horizontal="left" vertical="center" wrapText="1"/>
      <protection hidden="1"/>
    </xf>
    <xf numFmtId="0" fontId="7" fillId="2" borderId="0" xfId="9" applyFont="1" applyBorder="1" applyAlignment="1" applyProtection="1">
      <alignment horizontal="left" indent="1"/>
      <protection hidden="1"/>
    </xf>
    <xf numFmtId="0" fontId="4" fillId="2" borderId="0" xfId="9" applyFont="1" applyBorder="1" applyAlignment="1" applyProtection="1">
      <alignment horizontal="right"/>
      <protection hidden="1"/>
    </xf>
    <xf numFmtId="0" fontId="7" fillId="15" borderId="0" xfId="8" applyFont="1" applyFill="1" applyAlignment="1" applyProtection="1">
      <alignment horizontal="right"/>
      <protection hidden="1"/>
    </xf>
    <xf numFmtId="168" fontId="17" fillId="15" borderId="0" xfId="11" applyFont="1" applyFill="1" applyBorder="1" applyAlignment="1" applyProtection="1">
      <alignment horizontal="center" wrapText="1"/>
      <protection hidden="1"/>
    </xf>
    <xf numFmtId="0" fontId="7" fillId="2" borderId="0" xfId="8" applyFont="1" applyFill="1" applyBorder="1" applyAlignment="1" applyProtection="1">
      <alignment horizontal="center" wrapText="1"/>
      <protection hidden="1"/>
    </xf>
    <xf numFmtId="0" fontId="51" fillId="2" borderId="0" xfId="8" applyFont="1" applyBorder="1" applyProtection="1">
      <protection hidden="1"/>
    </xf>
    <xf numFmtId="0" fontId="5" fillId="2" borderId="0" xfId="16" applyFont="1" applyFill="1" applyBorder="1" applyAlignment="1" applyProtection="1">
      <protection hidden="1"/>
    </xf>
    <xf numFmtId="0" fontId="21" fillId="2" borderId="1" xfId="8" applyFont="1" applyBorder="1" applyAlignment="1" applyProtection="1">
      <alignment vertical="center" wrapText="1"/>
      <protection hidden="1"/>
    </xf>
    <xf numFmtId="0" fontId="21" fillId="2" borderId="1" xfId="17" applyFont="1" applyBorder="1" applyAlignment="1" applyProtection="1">
      <alignment vertical="center"/>
      <protection hidden="1"/>
    </xf>
    <xf numFmtId="0" fontId="7" fillId="2" borderId="0" xfId="8" applyFont="1" applyFill="1" applyBorder="1" applyAlignment="1" applyProtection="1">
      <alignment horizontal="center"/>
      <protection hidden="1"/>
    </xf>
    <xf numFmtId="170" fontId="7" fillId="2" borderId="0" xfId="8" applyNumberFormat="1" applyFont="1" applyBorder="1" applyProtection="1">
      <protection hidden="1"/>
    </xf>
    <xf numFmtId="0" fontId="42" fillId="15" borderId="0" xfId="14" applyFont="1" applyFill="1" applyBorder="1" applyAlignment="1" applyProtection="1">
      <alignment horizontal="left"/>
      <protection hidden="1"/>
    </xf>
    <xf numFmtId="0" fontId="52" fillId="2" borderId="0" xfId="7" applyFont="1" applyFill="1" applyBorder="1" applyProtection="1">
      <alignment horizontal="right"/>
      <protection hidden="1"/>
    </xf>
    <xf numFmtId="0" fontId="42" fillId="2" borderId="0" xfId="14" applyFont="1" applyFill="1" applyBorder="1" applyAlignment="1" applyProtection="1">
      <alignment horizontal="right"/>
      <protection hidden="1"/>
    </xf>
    <xf numFmtId="0" fontId="17" fillId="2" borderId="0" xfId="15" applyFont="1" applyFill="1" applyBorder="1" applyAlignment="1" applyProtection="1">
      <alignment horizontal="center" vertical="center" wrapText="1"/>
      <protection hidden="1"/>
    </xf>
    <xf numFmtId="0" fontId="42" fillId="15" borderId="0" xfId="14" applyFont="1" applyFill="1" applyBorder="1" applyAlignment="1" applyProtection="1">
      <alignment horizontal="right"/>
      <protection hidden="1"/>
    </xf>
    <xf numFmtId="0" fontId="42" fillId="2" borderId="0" xfId="14" applyFont="1" applyFill="1" applyBorder="1" applyAlignment="1" applyProtection="1">
      <alignment horizontal="left"/>
      <protection hidden="1"/>
    </xf>
    <xf numFmtId="169" fontId="51" fillId="0" borderId="0" xfId="0" applyNumberFormat="1" applyFont="1" applyFill="1" applyProtection="1">
      <protection hidden="1"/>
    </xf>
    <xf numFmtId="169" fontId="51" fillId="0" borderId="0" xfId="0" applyNumberFormat="1" applyFont="1" applyProtection="1">
      <protection hidden="1"/>
    </xf>
    <xf numFmtId="9" fontId="51" fillId="0" borderId="0" xfId="0" applyNumberFormat="1" applyFont="1" applyProtection="1">
      <protection hidden="1"/>
    </xf>
    <xf numFmtId="9" fontId="51" fillId="0" borderId="0" xfId="0" applyNumberFormat="1" applyFont="1" applyFill="1" applyProtection="1">
      <protection hidden="1"/>
    </xf>
    <xf numFmtId="0" fontId="5" fillId="2" borderId="0" xfId="16" applyFont="1" applyBorder="1" applyAlignment="1" applyProtection="1">
      <protection hidden="1"/>
    </xf>
    <xf numFmtId="0" fontId="21" fillId="2" borderId="1" xfId="8" applyFont="1" applyBorder="1" applyAlignment="1" applyProtection="1">
      <alignment wrapText="1"/>
      <protection hidden="1"/>
    </xf>
    <xf numFmtId="0" fontId="4" fillId="2" borderId="36" xfId="10" applyFont="1" applyBorder="1" applyAlignment="1" applyProtection="1">
      <alignment wrapText="1"/>
      <protection hidden="1"/>
    </xf>
    <xf numFmtId="0" fontId="4" fillId="2" borderId="36" xfId="10" applyFont="1" applyFill="1" applyBorder="1" applyAlignment="1" applyProtection="1">
      <alignment horizontal="center" wrapText="1"/>
      <protection hidden="1"/>
    </xf>
    <xf numFmtId="0" fontId="21" fillId="2" borderId="0" xfId="16" applyFont="1" applyFill="1" applyBorder="1" applyAlignment="1" applyProtection="1">
      <alignment horizontal="left" indent="1"/>
      <protection hidden="1"/>
    </xf>
    <xf numFmtId="0" fontId="17" fillId="2" borderId="0" xfId="14" applyFont="1" applyBorder="1" applyAlignment="1" applyProtection="1">
      <alignment horizontal="left" vertical="center"/>
      <protection hidden="1"/>
    </xf>
    <xf numFmtId="0" fontId="5" fillId="2" borderId="0" xfId="14" applyFont="1" applyBorder="1" applyAlignment="1" applyProtection="1">
      <alignment horizontal="left" vertical="center"/>
      <protection hidden="1"/>
    </xf>
    <xf numFmtId="0" fontId="4" fillId="2" borderId="0" xfId="14" applyFont="1" applyBorder="1" applyAlignment="1" applyProtection="1">
      <alignment horizontal="left" vertical="center" indent="1"/>
      <protection hidden="1"/>
    </xf>
    <xf numFmtId="0" fontId="17" fillId="2" borderId="0" xfId="8" applyFont="1" applyBorder="1" applyAlignment="1" applyProtection="1">
      <alignment horizontal="left" vertical="center"/>
      <protection hidden="1"/>
    </xf>
    <xf numFmtId="0" fontId="17" fillId="2" borderId="0" xfId="14" applyFont="1" applyBorder="1" applyAlignment="1" applyProtection="1">
      <alignment horizontal="left" indent="2"/>
      <protection hidden="1"/>
    </xf>
    <xf numFmtId="0" fontId="4" fillId="2" borderId="0" xfId="9" applyFont="1" applyBorder="1" applyAlignment="1" applyProtection="1">
      <alignment horizontal="left" indent="2"/>
      <protection hidden="1"/>
    </xf>
    <xf numFmtId="0" fontId="4" fillId="2" borderId="0" xfId="9" applyFont="1" applyFill="1" applyBorder="1" applyAlignment="1" applyProtection="1">
      <alignment horizontal="left" indent="2"/>
      <protection hidden="1"/>
    </xf>
    <xf numFmtId="169" fontId="17" fillId="18" borderId="16" xfId="13" applyNumberFormat="1" applyFont="1" applyFill="1" applyBorder="1" applyAlignment="1" applyProtection="1">
      <alignment horizontal="right"/>
      <protection hidden="1"/>
    </xf>
    <xf numFmtId="165" fontId="2" fillId="17" borderId="26" xfId="0" applyNumberFormat="1" applyFont="1" applyFill="1" applyBorder="1" applyProtection="1">
      <protection hidden="1"/>
    </xf>
    <xf numFmtId="0" fontId="3" fillId="0" borderId="38" xfId="0" applyFont="1" applyBorder="1" applyAlignment="1" applyProtection="1">
      <alignment vertical="top" wrapText="1"/>
    </xf>
    <xf numFmtId="0" fontId="3" fillId="0" borderId="0" xfId="0" applyFont="1" applyFill="1" applyAlignment="1" applyProtection="1">
      <alignment horizontal="left" vertical="top" wrapText="1"/>
    </xf>
    <xf numFmtId="0" fontId="3" fillId="0" borderId="38" xfId="0" applyFont="1" applyFill="1" applyBorder="1" applyAlignment="1" applyProtection="1">
      <alignment vertical="top" wrapText="1"/>
    </xf>
    <xf numFmtId="0" fontId="3" fillId="0" borderId="0" xfId="0" applyFont="1" applyBorder="1" applyAlignment="1" applyProtection="1">
      <alignment vertical="top"/>
    </xf>
    <xf numFmtId="0" fontId="3"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0" xfId="0" applyFont="1" applyBorder="1" applyAlignment="1" applyProtection="1">
      <alignment vertical="top" wrapText="1"/>
    </xf>
    <xf numFmtId="0" fontId="9" fillId="2" borderId="0" xfId="8" applyFont="1" applyBorder="1" applyAlignment="1" applyProtection="1">
      <alignment horizontal="left" vertical="center"/>
      <protection hidden="1"/>
    </xf>
    <xf numFmtId="168" fontId="10" fillId="3" borderId="7" xfId="11" applyFont="1" applyFill="1" applyBorder="1" applyAlignment="1" applyProtection="1">
      <alignment horizontal="center" wrapText="1"/>
      <protection hidden="1"/>
    </xf>
    <xf numFmtId="168" fontId="10" fillId="3" borderId="8" xfId="11" applyFont="1" applyFill="1" applyBorder="1" applyAlignment="1" applyProtection="1">
      <alignment horizontal="center" wrapText="1"/>
      <protection hidden="1"/>
    </xf>
    <xf numFmtId="0" fontId="10" fillId="2" borderId="14" xfId="8" applyFont="1" applyBorder="1" applyAlignment="1" applyProtection="1">
      <alignment horizontal="center" vertical="center" wrapText="1"/>
      <protection hidden="1"/>
    </xf>
    <xf numFmtId="0" fontId="10" fillId="2" borderId="15" xfId="8" applyFont="1" applyBorder="1" applyAlignment="1" applyProtection="1">
      <alignment horizontal="center" vertical="center" wrapText="1"/>
      <protection hidden="1"/>
    </xf>
    <xf numFmtId="0" fontId="10" fillId="2" borderId="14" xfId="8" applyFont="1" applyFill="1" applyBorder="1" applyAlignment="1" applyProtection="1">
      <alignment horizontal="center" wrapText="1"/>
      <protection hidden="1"/>
    </xf>
    <xf numFmtId="0" fontId="10" fillId="2" borderId="15" xfId="8" applyFont="1" applyFill="1" applyBorder="1" applyAlignment="1" applyProtection="1">
      <alignment horizontal="center" wrapText="1"/>
      <protection hidden="1"/>
    </xf>
    <xf numFmtId="0" fontId="10" fillId="2" borderId="11" xfId="8" applyFont="1" applyFill="1" applyBorder="1" applyAlignment="1" applyProtection="1">
      <alignment horizontal="center"/>
      <protection hidden="1"/>
    </xf>
    <xf numFmtId="0" fontId="10" fillId="2" borderId="12" xfId="8" applyFont="1" applyFill="1" applyBorder="1" applyAlignment="1" applyProtection="1">
      <alignment horizontal="center"/>
      <protection hidden="1"/>
    </xf>
    <xf numFmtId="0" fontId="18" fillId="2" borderId="12" xfId="8" applyFont="1" applyFill="1" applyBorder="1" applyAlignment="1" applyProtection="1">
      <alignment horizontal="center"/>
      <protection hidden="1"/>
    </xf>
    <xf numFmtId="0" fontId="10" fillId="2" borderId="11" xfId="8" applyFont="1" applyBorder="1" applyAlignment="1" applyProtection="1">
      <alignment horizontal="center"/>
      <protection hidden="1"/>
    </xf>
    <xf numFmtId="0" fontId="10" fillId="2" borderId="12" xfId="8" applyFont="1" applyBorder="1" applyAlignment="1" applyProtection="1">
      <alignment horizontal="center"/>
      <protection hidden="1"/>
    </xf>
    <xf numFmtId="0" fontId="10" fillId="2" borderId="13" xfId="8" applyFont="1" applyBorder="1" applyAlignment="1" applyProtection="1">
      <alignment horizontal="center"/>
      <protection hidden="1"/>
    </xf>
    <xf numFmtId="0" fontId="9" fillId="2" borderId="0" xfId="8" applyFont="1" applyFill="1" applyBorder="1" applyAlignment="1" applyProtection="1">
      <alignment horizontal="left" vertical="center"/>
      <protection hidden="1"/>
    </xf>
    <xf numFmtId="0" fontId="10" fillId="2" borderId="7" xfId="15" applyFont="1" applyFill="1" applyBorder="1" applyAlignment="1" applyProtection="1">
      <alignment horizontal="center"/>
      <protection hidden="1"/>
    </xf>
    <xf numFmtId="0" fontId="10" fillId="2" borderId="8" xfId="15" applyFont="1" applyFill="1" applyBorder="1" applyAlignment="1" applyProtection="1">
      <alignment horizontal="center"/>
      <protection hidden="1"/>
    </xf>
    <xf numFmtId="0" fontId="10" fillId="2" borderId="9" xfId="15" applyFont="1" applyFill="1" applyBorder="1" applyAlignment="1" applyProtection="1">
      <alignment horizontal="center"/>
      <protection hidden="1"/>
    </xf>
    <xf numFmtId="0" fontId="18" fillId="2" borderId="12" xfId="8" applyFont="1" applyBorder="1" applyAlignment="1" applyProtection="1">
      <alignment horizontal="center"/>
      <protection hidden="1"/>
    </xf>
    <xf numFmtId="0" fontId="17" fillId="2" borderId="6" xfId="8" applyFont="1" applyBorder="1" applyAlignment="1" applyProtection="1">
      <alignment horizontal="center" vertical="top" wrapText="1"/>
      <protection hidden="1"/>
    </xf>
    <xf numFmtId="0" fontId="17" fillId="2" borderId="5" xfId="8" applyFont="1" applyBorder="1" applyAlignment="1" applyProtection="1">
      <alignment horizontal="center" vertical="top" wrapText="1"/>
      <protection hidden="1"/>
    </xf>
    <xf numFmtId="0" fontId="17" fillId="2" borderId="6" xfId="8" applyFont="1" applyFill="1" applyBorder="1" applyAlignment="1" applyProtection="1">
      <alignment horizontal="center" vertical="top" wrapText="1"/>
      <protection hidden="1"/>
    </xf>
    <xf numFmtId="0" fontId="17" fillId="2" borderId="5" xfId="8" applyFont="1" applyFill="1" applyBorder="1" applyAlignment="1" applyProtection="1">
      <alignment horizontal="center" vertical="top" wrapText="1"/>
      <protection hidden="1"/>
    </xf>
    <xf numFmtId="0" fontId="17" fillId="2" borderId="11" xfId="8" applyFont="1" applyFill="1" applyBorder="1" applyAlignment="1" applyProtection="1">
      <alignment horizontal="center"/>
      <protection hidden="1"/>
    </xf>
    <xf numFmtId="0" fontId="17" fillId="2" borderId="12" xfId="8" applyFont="1" applyFill="1" applyBorder="1" applyAlignment="1" applyProtection="1">
      <alignment horizontal="center"/>
      <protection hidden="1"/>
    </xf>
    <xf numFmtId="0" fontId="17" fillId="2" borderId="13" xfId="8" applyFont="1" applyFill="1" applyBorder="1" applyAlignment="1" applyProtection="1">
      <alignment horizontal="center"/>
      <protection hidden="1"/>
    </xf>
    <xf numFmtId="0" fontId="17" fillId="2" borderId="2" xfId="15" applyFont="1" applyFill="1" applyBorder="1" applyAlignment="1" applyProtection="1">
      <alignment horizontal="center"/>
      <protection hidden="1"/>
    </xf>
    <xf numFmtId="0" fontId="17" fillId="2" borderId="3" xfId="15" applyFont="1" applyFill="1" applyBorder="1" applyAlignment="1" applyProtection="1">
      <alignment horizontal="center"/>
      <protection hidden="1"/>
    </xf>
    <xf numFmtId="0" fontId="17" fillId="2" borderId="4" xfId="15" applyFont="1" applyFill="1" applyBorder="1" applyAlignment="1" applyProtection="1">
      <alignment horizontal="center"/>
      <protection hidden="1"/>
    </xf>
    <xf numFmtId="0" fontId="17" fillId="2" borderId="2" xfId="15" applyFont="1" applyBorder="1" applyAlignment="1" applyProtection="1">
      <alignment horizontal="center"/>
      <protection hidden="1"/>
    </xf>
    <xf numFmtId="0" fontId="17" fillId="2" borderId="3" xfId="15" applyFont="1" applyBorder="1" applyAlignment="1" applyProtection="1">
      <alignment horizontal="center"/>
      <protection hidden="1"/>
    </xf>
    <xf numFmtId="0" fontId="17" fillId="2" borderId="4" xfId="15" applyFont="1" applyBorder="1" applyAlignment="1" applyProtection="1">
      <alignment horizontal="center"/>
      <protection hidden="1"/>
    </xf>
    <xf numFmtId="0" fontId="17" fillId="2" borderId="11" xfId="8" applyFont="1" applyBorder="1" applyAlignment="1" applyProtection="1">
      <alignment horizontal="center"/>
      <protection hidden="1"/>
    </xf>
    <xf numFmtId="0" fontId="17" fillId="2" borderId="12" xfId="8" applyFont="1" applyBorder="1" applyAlignment="1" applyProtection="1">
      <alignment horizontal="center"/>
      <protection hidden="1"/>
    </xf>
    <xf numFmtId="0" fontId="17" fillId="2" borderId="13" xfId="8" applyFont="1" applyBorder="1" applyAlignment="1" applyProtection="1">
      <alignment horizontal="center"/>
      <protection hidden="1"/>
    </xf>
    <xf numFmtId="0" fontId="12" fillId="2" borderId="14" xfId="10" applyFont="1" applyBorder="1" applyAlignment="1" applyProtection="1">
      <alignment horizontal="center" vertical="center" wrapText="1"/>
      <protection hidden="1"/>
    </xf>
    <xf numFmtId="0" fontId="12" fillId="2" borderId="15" xfId="10" applyFont="1" applyBorder="1" applyAlignment="1" applyProtection="1">
      <alignment horizontal="center" vertical="center" wrapText="1"/>
      <protection hidden="1"/>
    </xf>
    <xf numFmtId="0" fontId="10" fillId="2" borderId="7" xfId="8" applyFont="1" applyBorder="1" applyAlignment="1" applyProtection="1">
      <alignment horizontal="center"/>
      <protection hidden="1"/>
    </xf>
    <xf numFmtId="0" fontId="10" fillId="2" borderId="9" xfId="8" applyFont="1" applyBorder="1" applyAlignment="1" applyProtection="1">
      <alignment horizontal="center"/>
      <protection hidden="1"/>
    </xf>
    <xf numFmtId="0" fontId="10" fillId="2" borderId="5" xfId="8" applyFont="1" applyBorder="1" applyAlignment="1" applyProtection="1">
      <alignment horizontal="center"/>
      <protection hidden="1"/>
    </xf>
    <xf numFmtId="0" fontId="9" fillId="2" borderId="19" xfId="8" applyFont="1" applyBorder="1" applyAlignment="1" applyProtection="1">
      <alignment horizontal="center"/>
      <protection hidden="1"/>
    </xf>
    <xf numFmtId="0" fontId="9" fillId="2" borderId="20" xfId="8" applyFont="1" applyBorder="1" applyAlignment="1" applyProtection="1">
      <alignment horizontal="center"/>
      <protection hidden="1"/>
    </xf>
    <xf numFmtId="0" fontId="9" fillId="2" borderId="21" xfId="8" applyFont="1" applyBorder="1" applyAlignment="1" applyProtection="1">
      <alignment horizontal="center"/>
      <protection hidden="1"/>
    </xf>
    <xf numFmtId="0" fontId="9" fillId="2" borderId="11" xfId="15" applyFont="1" applyBorder="1" applyAlignment="1" applyProtection="1">
      <alignment horizontal="center" vertical="center" wrapText="1"/>
      <protection hidden="1"/>
    </xf>
    <xf numFmtId="0" fontId="9" fillId="2" borderId="12" xfId="15" applyFont="1" applyBorder="1" applyAlignment="1" applyProtection="1">
      <alignment horizontal="center" vertical="center" wrapText="1"/>
      <protection hidden="1"/>
    </xf>
    <xf numFmtId="0" fontId="9" fillId="2" borderId="13" xfId="15" applyFont="1" applyBorder="1" applyAlignment="1" applyProtection="1">
      <alignment horizontal="center" vertical="center" wrapText="1"/>
      <protection hidden="1"/>
    </xf>
    <xf numFmtId="0" fontId="9" fillId="2" borderId="11" xfId="15" applyFont="1" applyBorder="1" applyAlignment="1" applyProtection="1">
      <alignment horizontal="center" wrapText="1"/>
      <protection hidden="1"/>
    </xf>
    <xf numFmtId="0" fontId="9" fillId="2" borderId="12" xfId="15" applyFont="1" applyBorder="1" applyAlignment="1" applyProtection="1">
      <alignment horizontal="center" wrapText="1"/>
      <protection hidden="1"/>
    </xf>
    <xf numFmtId="0" fontId="9" fillId="2" borderId="13" xfId="15" applyFont="1" applyBorder="1" applyAlignment="1" applyProtection="1">
      <alignment horizontal="center" wrapText="1"/>
      <protection hidden="1"/>
    </xf>
    <xf numFmtId="0" fontId="10" fillId="2" borderId="1" xfId="8" applyFont="1" applyBorder="1" applyAlignment="1" applyProtection="1">
      <alignment horizontal="center"/>
      <protection hidden="1"/>
    </xf>
    <xf numFmtId="0" fontId="10" fillId="2" borderId="2" xfId="8" applyFont="1" applyBorder="1" applyAlignment="1" applyProtection="1">
      <alignment horizontal="center"/>
      <protection hidden="1"/>
    </xf>
    <xf numFmtId="0" fontId="10" fillId="2" borderId="4" xfId="8" applyFont="1" applyBorder="1" applyAlignment="1" applyProtection="1">
      <alignment horizontal="center"/>
      <protection hidden="1"/>
    </xf>
    <xf numFmtId="0" fontId="12" fillId="2" borderId="14" xfId="10" applyFont="1" applyBorder="1" applyAlignment="1" applyProtection="1">
      <alignment horizontal="center" wrapText="1"/>
      <protection hidden="1"/>
    </xf>
    <xf numFmtId="0" fontId="12" fillId="2" borderId="15" xfId="10" applyFont="1" applyBorder="1" applyAlignment="1" applyProtection="1">
      <alignment horizontal="center" wrapText="1"/>
      <protection hidden="1"/>
    </xf>
    <xf numFmtId="0" fontId="17" fillId="2" borderId="33" xfId="8" applyFont="1" applyBorder="1" applyAlignment="1" applyProtection="1">
      <alignment horizontal="center" vertical="center" wrapText="1"/>
      <protection hidden="1"/>
    </xf>
    <xf numFmtId="0" fontId="17" fillId="2" borderId="33" xfId="8" applyFont="1" applyFill="1" applyBorder="1" applyAlignment="1" applyProtection="1">
      <alignment horizontal="center" vertical="center" wrapText="1"/>
      <protection hidden="1"/>
    </xf>
    <xf numFmtId="0" fontId="17" fillId="2" borderId="7" xfId="8" applyFont="1" applyBorder="1" applyAlignment="1" applyProtection="1">
      <alignment horizontal="center"/>
      <protection hidden="1"/>
    </xf>
    <xf numFmtId="0" fontId="17" fillId="2" borderId="9" xfId="8" applyFont="1" applyBorder="1" applyAlignment="1" applyProtection="1">
      <alignment horizontal="center"/>
      <protection hidden="1"/>
    </xf>
    <xf numFmtId="0" fontId="17" fillId="2" borderId="5" xfId="8" applyFont="1" applyBorder="1" applyAlignment="1" applyProtection="1">
      <alignment horizontal="center"/>
      <protection hidden="1"/>
    </xf>
    <xf numFmtId="0" fontId="5" fillId="2" borderId="0" xfId="9" applyFont="1" applyBorder="1" applyAlignment="1" applyProtection="1">
      <alignment horizontal="left" vertical="center" wrapText="1"/>
      <protection hidden="1"/>
    </xf>
    <xf numFmtId="0" fontId="17" fillId="2" borderId="0" xfId="9" applyFont="1" applyBorder="1" applyAlignment="1" applyProtection="1">
      <alignment horizontal="left" vertical="center" wrapText="1"/>
      <protection hidden="1"/>
    </xf>
    <xf numFmtId="0" fontId="21" fillId="2" borderId="11" xfId="8" applyFont="1" applyBorder="1" applyAlignment="1" applyProtection="1">
      <alignment horizontal="center" vertical="center"/>
      <protection hidden="1"/>
    </xf>
    <xf numFmtId="0" fontId="21" fillId="2" borderId="12" xfId="8" applyFont="1" applyBorder="1" applyAlignment="1" applyProtection="1">
      <alignment horizontal="center" vertical="center"/>
      <protection hidden="1"/>
    </xf>
    <xf numFmtId="0" fontId="21" fillId="2" borderId="13" xfId="8" applyFont="1" applyBorder="1" applyAlignment="1" applyProtection="1">
      <alignment horizontal="center" vertical="center"/>
      <protection hidden="1"/>
    </xf>
    <xf numFmtId="0" fontId="52" fillId="2" borderId="22" xfId="10" applyFont="1" applyBorder="1" applyAlignment="1" applyProtection="1">
      <alignment horizontal="center" vertical="center" wrapText="1"/>
      <protection hidden="1"/>
    </xf>
    <xf numFmtId="0" fontId="52" fillId="2" borderId="22" xfId="10" applyFont="1" applyFill="1" applyBorder="1" applyAlignment="1" applyProtection="1">
      <alignment horizontal="center" vertical="center" wrapText="1"/>
      <protection hidden="1"/>
    </xf>
    <xf numFmtId="0" fontId="21" fillId="2" borderId="11" xfId="15" applyFont="1" applyBorder="1" applyAlignment="1" applyProtection="1">
      <alignment horizontal="center" wrapText="1"/>
      <protection hidden="1"/>
    </xf>
    <xf numFmtId="0" fontId="21" fillId="2" borderId="12" xfId="15" applyFont="1" applyBorder="1" applyAlignment="1" applyProtection="1">
      <alignment horizontal="center" wrapText="1"/>
      <protection hidden="1"/>
    </xf>
    <xf numFmtId="0" fontId="21" fillId="2" borderId="13" xfId="15" applyFont="1" applyBorder="1" applyAlignment="1" applyProtection="1">
      <alignment horizontal="center" wrapText="1"/>
      <protection hidden="1"/>
    </xf>
    <xf numFmtId="0" fontId="21" fillId="2" borderId="11" xfId="15" applyFont="1" applyBorder="1" applyAlignment="1" applyProtection="1">
      <alignment horizontal="center" vertical="center" wrapText="1"/>
      <protection hidden="1"/>
    </xf>
    <xf numFmtId="0" fontId="21" fillId="2" borderId="12" xfId="15" applyFont="1" applyBorder="1" applyAlignment="1" applyProtection="1">
      <alignment horizontal="center" vertical="center" wrapText="1"/>
      <protection hidden="1"/>
    </xf>
    <xf numFmtId="0" fontId="21" fillId="2" borderId="13" xfId="15" applyFont="1" applyBorder="1" applyAlignment="1" applyProtection="1">
      <alignment horizontal="center" vertical="center" wrapText="1"/>
      <protection hidden="1"/>
    </xf>
    <xf numFmtId="0" fontId="52" fillId="2" borderId="33" xfId="10" applyFont="1" applyBorder="1" applyAlignment="1" applyProtection="1">
      <alignment horizontal="center" vertical="center" wrapText="1"/>
      <protection hidden="1"/>
    </xf>
    <xf numFmtId="0" fontId="52" fillId="2" borderId="33" xfId="10" applyFont="1" applyFill="1" applyBorder="1" applyAlignment="1" applyProtection="1">
      <alignment horizontal="center" vertical="center" wrapText="1"/>
      <protection hidden="1"/>
    </xf>
    <xf numFmtId="0" fontId="4" fillId="2" borderId="36" xfId="10" applyFont="1" applyBorder="1" applyAlignment="1" applyProtection="1">
      <alignment wrapText="1"/>
      <protection hidden="1"/>
    </xf>
    <xf numFmtId="0" fontId="51" fillId="0" borderId="35" xfId="0" applyFont="1" applyBorder="1" applyAlignment="1" applyProtection="1">
      <alignment wrapText="1"/>
      <protection hidden="1"/>
    </xf>
    <xf numFmtId="0" fontId="21" fillId="2" borderId="28" xfId="8" applyFont="1" applyBorder="1" applyAlignment="1" applyProtection="1">
      <alignment horizontal="center" vertical="center" wrapText="1"/>
      <protection hidden="1"/>
    </xf>
    <xf numFmtId="0" fontId="21" fillId="2" borderId="29" xfId="8" applyFont="1" applyBorder="1" applyAlignment="1" applyProtection="1">
      <alignment horizontal="center" vertical="center" wrapText="1"/>
      <protection hidden="1"/>
    </xf>
    <xf numFmtId="0" fontId="21" fillId="2" borderId="5" xfId="8" applyFont="1" applyBorder="1" applyAlignment="1" applyProtection="1">
      <alignment horizontal="center" vertical="center"/>
      <protection hidden="1"/>
    </xf>
    <xf numFmtId="0" fontId="21" fillId="2" borderId="7" xfId="8" applyFont="1" applyBorder="1" applyAlignment="1" applyProtection="1">
      <alignment horizontal="center" vertical="center"/>
      <protection hidden="1"/>
    </xf>
    <xf numFmtId="0" fontId="17" fillId="2" borderId="28" xfId="8" applyFont="1" applyBorder="1" applyAlignment="1" applyProtection="1">
      <alignment horizontal="center" vertical="center"/>
      <protection hidden="1"/>
    </xf>
    <xf numFmtId="0" fontId="17" fillId="2" borderId="27" xfId="8" applyFont="1" applyBorder="1" applyAlignment="1" applyProtection="1">
      <alignment horizontal="center" vertical="center"/>
      <protection hidden="1"/>
    </xf>
    <xf numFmtId="0" fontId="17" fillId="2" borderId="29" xfId="8" applyFont="1" applyBorder="1" applyAlignment="1" applyProtection="1">
      <alignment horizontal="center" vertical="center"/>
      <protection hidden="1"/>
    </xf>
    <xf numFmtId="0" fontId="17" fillId="2" borderId="5" xfId="8" applyFont="1" applyBorder="1" applyAlignment="1" applyProtection="1">
      <alignment horizontal="center" vertical="center"/>
      <protection hidden="1"/>
    </xf>
    <xf numFmtId="0" fontId="17" fillId="2" borderId="7" xfId="8" applyFont="1" applyBorder="1" applyAlignment="1" applyProtection="1">
      <alignment horizontal="center" vertical="center"/>
      <protection hidden="1"/>
    </xf>
    <xf numFmtId="0" fontId="4" fillId="2" borderId="22" xfId="10" applyFont="1" applyBorder="1" applyAlignment="1" applyProtection="1">
      <alignment horizontal="center" vertical="center" wrapText="1"/>
      <protection hidden="1"/>
    </xf>
    <xf numFmtId="0" fontId="4" fillId="2" borderId="22" xfId="10" applyFont="1" applyFill="1" applyBorder="1" applyAlignment="1" applyProtection="1">
      <alignment horizontal="center" vertical="center" wrapText="1"/>
      <protection hidden="1"/>
    </xf>
    <xf numFmtId="0" fontId="3" fillId="2" borderId="6" xfId="22" applyFont="1" applyFill="1" applyBorder="1" applyAlignment="1">
      <alignment horizontal="left" vertical="center" wrapText="1" indent="1"/>
    </xf>
    <xf numFmtId="0" fontId="7" fillId="2" borderId="5" xfId="22" applyFont="1" applyFill="1" applyBorder="1" applyAlignment="1">
      <alignment horizontal="left" vertical="center" wrapText="1" indent="1"/>
    </xf>
    <xf numFmtId="0" fontId="17" fillId="2" borderId="2" xfId="22" applyFont="1" applyFill="1" applyBorder="1" applyAlignment="1">
      <alignment horizontal="center" vertical="center"/>
    </xf>
    <xf numFmtId="0" fontId="17" fillId="2" borderId="3" xfId="22" applyFont="1" applyFill="1" applyBorder="1" applyAlignment="1">
      <alignment horizontal="center" vertical="center"/>
    </xf>
    <xf numFmtId="0" fontId="17" fillId="2" borderId="4" xfId="22" applyFont="1" applyFill="1" applyBorder="1" applyAlignment="1">
      <alignment horizontal="center" vertical="center"/>
    </xf>
    <xf numFmtId="0" fontId="10" fillId="2" borderId="2" xfId="10" applyFont="1" applyFill="1" applyBorder="1" applyAlignment="1">
      <alignment horizontal="center" vertical="center" wrapText="1"/>
    </xf>
    <xf numFmtId="0" fontId="10" fillId="2" borderId="4" xfId="10" applyFont="1" applyFill="1" applyBorder="1" applyAlignment="1">
      <alignment horizontal="center" vertical="center" wrapText="1"/>
    </xf>
  </cellXfs>
  <cellStyles count="88">
    <cellStyle name="Accent4 2" xfId="59" xr:uid="{50C149DE-D4BC-4F43-AEE5-F87FD8710BB8}"/>
    <cellStyle name="Accent5 2" xfId="58" xr:uid="{5DFA3B15-2EB8-4EA7-82E5-A2E44CA05F6D}"/>
    <cellStyle name="Comma" xfId="87" builtinId="3"/>
    <cellStyle name="Comma [0] 2" xfId="29" xr:uid="{D074D86C-0370-47ED-B292-F3AA0E8628CB}"/>
    <cellStyle name="Comma 2" xfId="6" xr:uid="{00000000-0005-0000-0000-000000000000}"/>
    <cellStyle name="Comma 2 2" xfId="61" xr:uid="{B2D349D8-5C4E-4A2C-9CE2-8D1E9AB9DDB8}"/>
    <cellStyle name="Comma 3" xfId="63" xr:uid="{B0760D0E-89D2-4031-8D03-2BB340E879E2}"/>
    <cellStyle name="Comma 4" xfId="65" xr:uid="{F56B1758-B8C6-492C-B7B8-C737DBF7838A}"/>
    <cellStyle name="Comma 43 3" xfId="54" xr:uid="{2F8F52EC-B5F0-4B87-844C-D9124827F3E5}"/>
    <cellStyle name="Comma 5" xfId="68" xr:uid="{E0F4B6FC-BB52-4CC5-A316-F86C4D838664}"/>
    <cellStyle name="Comma 6" xfId="78" xr:uid="{FC3773DE-1D8B-4333-B9F5-EDEC172FAA8F}"/>
    <cellStyle name="Comma(2)" xfId="86" xr:uid="{210C24C4-03F5-4D3D-A658-7C00FE8A8F0A}"/>
    <cellStyle name="Comment" xfId="17" xr:uid="{00000000-0005-0000-0000-000001000000}"/>
    <cellStyle name="Comment 2" xfId="35" xr:uid="{8F3519C7-A54A-4ECB-B39A-A3A537C32CA1}"/>
    <cellStyle name="Company Name" xfId="81" xr:uid="{3D0279A0-1D4E-4A09-A6AD-C2FCFB186A40}"/>
    <cellStyle name="Company Name 2" xfId="46" xr:uid="{7DDCB4DC-A067-4175-A54F-CB6C9D63E1D8}"/>
    <cellStyle name="Currency 2" xfId="62" xr:uid="{9020F958-CA77-416F-AF70-B32597D2F48D}"/>
    <cellStyle name="Currency 2 2" xfId="23" xr:uid="{00000000-0005-0000-0000-000002000000}"/>
    <cellStyle name="Currency 3" xfId="64" xr:uid="{E5117614-91FE-49BC-AA31-C2F14E395BC2}"/>
    <cellStyle name="Currency 4" xfId="66" xr:uid="{46FCFF33-EEC8-451D-9B6E-312DB4D834F3}"/>
    <cellStyle name="Currency 5" xfId="77" xr:uid="{7A8B42DE-B379-45BD-A6C7-315743ABB422}"/>
    <cellStyle name="Data Input" xfId="12" xr:uid="{00000000-0005-0000-0000-000003000000}"/>
    <cellStyle name="Data Input 2 2" xfId="33" xr:uid="{3A94592F-4BE5-4FAB-8510-62A00F2999B8}"/>
    <cellStyle name="Data Input 3" xfId="47" xr:uid="{C2B5AFAE-2622-48F6-9D7F-0ADEE7B7BB5E}"/>
    <cellStyle name="Data Rows" xfId="8" xr:uid="{00000000-0005-0000-0000-000004000000}"/>
    <cellStyle name="Data Rows 3" xfId="27" xr:uid="{7E349F8E-103C-4BE5-817B-2F8720892DC1}"/>
    <cellStyle name="Date (short)" xfId="11" xr:uid="{00000000-0005-0000-0000-000005000000}"/>
    <cellStyle name="Disclosure Date" xfId="82" xr:uid="{6375401E-B2CE-4A67-B539-539209E6A045}"/>
    <cellStyle name="Explanatory Text 2" xfId="49" xr:uid="{B40CA5E6-D98F-4D06-A9DD-983F35EB6EDD}"/>
    <cellStyle name="Footnote" xfId="19" xr:uid="{00000000-0005-0000-0000-000006000000}"/>
    <cellStyle name="Footnote 2" xfId="32" xr:uid="{099263A2-5141-4292-B908-D8B59D610C95}"/>
    <cellStyle name="Header 1" xfId="83" xr:uid="{0CC7539F-E90F-4AC5-B96A-E7FA04938BB7}"/>
    <cellStyle name="Header 1 2" xfId="43" xr:uid="{E0305453-173B-4EFE-B36A-BA26FEF4ECFF}"/>
    <cellStyle name="Header Company" xfId="80" xr:uid="{97591AAD-A80F-4255-B66A-CDA18AAD5F83}"/>
    <cellStyle name="Header Company 2" xfId="45" xr:uid="{AC8D2925-18BB-4574-B2B3-E8F15056C637}"/>
    <cellStyle name="Header Rows" xfId="40" xr:uid="{479F634D-8B30-4B24-A21E-FE453531F7A7}"/>
    <cellStyle name="Header Text" xfId="85" xr:uid="{B55103E1-BBFA-4E2C-BC28-C0969A48C669}"/>
    <cellStyle name="Header Text 2" xfId="42" xr:uid="{7E5D682D-1C32-48D4-A6E5-EDD061DF380C}"/>
    <cellStyle name="Header Version" xfId="84" xr:uid="{EFE565B5-9364-4CFF-B21A-1362349EA890}"/>
    <cellStyle name="Header Version 2" xfId="41" xr:uid="{8706514A-0AE4-4B53-858C-92CB7C58519E}"/>
    <cellStyle name="Heading1" xfId="16" xr:uid="{00000000-0005-0000-0000-000007000000}"/>
    <cellStyle name="Heading1 2" xfId="37" xr:uid="{60A21F7C-BADD-42D0-B656-CE8B0292883C}"/>
    <cellStyle name="Heading2" xfId="20" xr:uid="{00000000-0005-0000-0000-000008000000}"/>
    <cellStyle name="Heading2 3" xfId="36" xr:uid="{0D0A07ED-45FB-4669-8799-98EA0B101A96}"/>
    <cellStyle name="Heading3" xfId="14" xr:uid="{00000000-0005-0000-0000-000009000000}"/>
    <cellStyle name="Heading3 3" xfId="30" xr:uid="{EAA3EBC8-AF83-4F76-A4E4-8E32197811A8}"/>
    <cellStyle name="Heading3 wrap low" xfId="34" xr:uid="{CB97DB0A-AB17-4C68-8B33-876834246102}"/>
    <cellStyle name="Heading3WrapLow" xfId="15" xr:uid="{00000000-0005-0000-0000-00000A000000}"/>
    <cellStyle name="Heavy Box 2" xfId="13" xr:uid="{00000000-0005-0000-0000-00000B000000}"/>
    <cellStyle name="Heavy Box 2 2" xfId="25" xr:uid="{7A79E1CC-8A2A-4A9C-8F0D-7E6E2752C5D2}"/>
    <cellStyle name="Input 2" xfId="57" xr:uid="{CB82A05A-B641-4470-A16E-1F84071519A5}"/>
    <cellStyle name="Label" xfId="69" xr:uid="{844ED613-9AE3-4A6F-A02A-7EABFF367C56}"/>
    <cellStyle name="Long Date" xfId="44" xr:uid="{9518C217-25E0-4562-943F-362F8B02D0AC}"/>
    <cellStyle name="Normal" xfId="0" builtinId="0"/>
    <cellStyle name="Normal 10" xfId="76" xr:uid="{623384B5-F95A-426F-838E-B97F61EEEFAA}"/>
    <cellStyle name="Normal 11" xfId="55" xr:uid="{DEEE88E1-1819-4D98-9374-296C20121134}"/>
    <cellStyle name="Normal 12" xfId="79" xr:uid="{FB0A9F53-0A5B-45E8-8B0E-E93B87C857F0}"/>
    <cellStyle name="Normal 12 2" xfId="5" xr:uid="{00000000-0005-0000-0000-00000D000000}"/>
    <cellStyle name="Normal 2" xfId="22" xr:uid="{00000000-0005-0000-0000-00000E000000}"/>
    <cellStyle name="Normal 2 2" xfId="74" xr:uid="{42CB656C-28B4-4922-B1E0-2DFB3B6F325A}"/>
    <cellStyle name="Normal 2 2 10" xfId="52" xr:uid="{5005ACB7-00CE-4B45-B583-F27BDBBB8515}"/>
    <cellStyle name="Normal 2 3" xfId="60" xr:uid="{9BB469CF-392F-44A0-A34C-C261375BFBCC}"/>
    <cellStyle name="Normal 29" xfId="26" xr:uid="{D9F2713C-D1D3-4C3D-A27F-0B43AF36D6EF}"/>
    <cellStyle name="Normal 3" xfId="3" xr:uid="{00000000-0005-0000-0000-00000F000000}"/>
    <cellStyle name="Normal 3 2" xfId="2" xr:uid="{00000000-0005-0000-0000-000010000000}"/>
    <cellStyle name="Normal 4" xfId="67" xr:uid="{2346F294-025A-4982-B1C9-2B523779339B}"/>
    <cellStyle name="Normal 43 3" xfId="53" xr:uid="{51BBC9E8-A0F3-4EC0-A3A0-3414CE43F72D}"/>
    <cellStyle name="Normal 5" xfId="70" xr:uid="{B4E90F8F-930F-4616-950A-FA8E844A12DF}"/>
    <cellStyle name="Normal 6" xfId="71" xr:uid="{2C3C2CCC-ABED-402F-9E0D-AB037F11CDC5}"/>
    <cellStyle name="Normal 7" xfId="72" xr:uid="{6B7F1DC6-5E07-47BA-A6CE-112648563294}"/>
    <cellStyle name="Normal 8" xfId="73" xr:uid="{C3CB88D0-13B1-45D2-838C-23E5AE6809A3}"/>
    <cellStyle name="Normal 9" xfId="75" xr:uid="{C0E165C0-41CD-4602-ABF4-D7150229ADEE}"/>
    <cellStyle name="Output heavy 2" xfId="39" xr:uid="{562602B6-59F0-41F1-85AC-B7F0AD671B9C}"/>
    <cellStyle name="Percent" xfId="1" builtinId="5"/>
    <cellStyle name="Percent 2" xfId="4" xr:uid="{00000000-0005-0000-0000-000012000000}"/>
    <cellStyle name="Percent 2 2" xfId="24" xr:uid="{00000000-0005-0000-0000-000013000000}"/>
    <cellStyle name="Percent 22" xfId="21" xr:uid="{00000000-0005-0000-0000-000014000000}"/>
    <cellStyle name="Percent 3" xfId="56" xr:uid="{F7F67BAE-9927-405B-8C6E-BF00FA998192}"/>
    <cellStyle name="Percent 32 3" xfId="51" xr:uid="{0D9CD28D-35CF-42A6-906A-0F7684D41594}"/>
    <cellStyle name="plus/less" xfId="18" xr:uid="{00000000-0005-0000-0000-000015000000}"/>
    <cellStyle name="plus/less 2" xfId="38" xr:uid="{A807A532-9733-401D-91CC-E9DC43FB3508}"/>
    <cellStyle name="RowRef" xfId="7" xr:uid="{00000000-0005-0000-0000-000016000000}"/>
    <cellStyle name="RowRef 2" xfId="28" xr:uid="{37A32A9B-A282-4D93-A251-F08974A3CD5A}"/>
    <cellStyle name="Text" xfId="9" xr:uid="{00000000-0005-0000-0000-000017000000}"/>
    <cellStyle name="Text 3" xfId="31" xr:uid="{EF143EFE-8EB2-4307-83E1-AD497CC2430C}"/>
    <cellStyle name="Text 4" xfId="50" xr:uid="{025EA956-60AF-4596-901A-0E4997655924}"/>
    <cellStyle name="Title 2" xfId="48" xr:uid="{9CFF6268-A83F-4123-AFB4-F5B794209C01}"/>
    <cellStyle name="Year0" xfId="10" xr:uid="{00000000-0005-0000-0000-000018000000}"/>
  </cellStyles>
  <dxfs count="656">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
      <font>
        <color theme="0" tint="-0.14996795556505021"/>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ill>
        <patternFill>
          <bgColor theme="1"/>
        </patternFill>
      </fill>
    </dxf>
    <dxf>
      <font>
        <color rgb="FF00B050"/>
      </font>
    </dxf>
    <dxf>
      <font>
        <color rgb="FFFF0000"/>
      </font>
    </dxf>
    <dxf>
      <font>
        <color rgb="FF00B050"/>
      </font>
    </dxf>
    <dxf>
      <font>
        <color rgb="FFFF0000"/>
      </font>
    </dxf>
    <dxf>
      <fill>
        <patternFill>
          <bgColor theme="1"/>
        </patternFill>
      </fill>
    </dxf>
    <dxf>
      <font>
        <color rgb="FF00B050"/>
      </font>
    </dxf>
    <dxf>
      <font>
        <color rgb="FFFF0000"/>
      </font>
    </dxf>
    <dxf>
      <fill>
        <patternFill>
          <bgColor theme="1"/>
        </patternFill>
      </fill>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b val="0"/>
        <i/>
        <color theme="9"/>
      </font>
    </dxf>
    <dxf>
      <font>
        <b val="0"/>
        <i/>
        <color rgb="FFC00000"/>
      </font>
    </dxf>
    <dxf>
      <font>
        <color rgb="FF00B050"/>
      </font>
    </dxf>
    <dxf>
      <font>
        <color rgb="FFFF0000"/>
      </font>
    </dxf>
    <dxf>
      <font>
        <color theme="0" tint="-0.14996795556505021"/>
      </font>
    </dxf>
    <dxf>
      <fill>
        <patternFill>
          <bgColor theme="1"/>
        </patternFill>
      </fill>
    </dxf>
    <dxf>
      <font>
        <color theme="0" tint="-0.14996795556505021"/>
      </font>
    </dxf>
    <dxf>
      <font>
        <color theme="0" tint="-0.14996795556505021"/>
      </font>
    </dxf>
    <dxf>
      <font>
        <color theme="0" tint="-0.14996795556505021"/>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s>
  <tableStyles count="0" defaultTableStyle="TableStyleMedium2" defaultPivotStyle="PivotStyleLight16"/>
  <colors>
    <mruColors>
      <color rgb="FFFFBFBF"/>
      <color rgb="FFF794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177387</xdr:colOff>
      <xdr:row>18</xdr:row>
      <xdr:rowOff>112059</xdr:rowOff>
    </xdr:from>
    <xdr:to>
      <xdr:col>6</xdr:col>
      <xdr:colOff>287542</xdr:colOff>
      <xdr:row>36</xdr:row>
      <xdr:rowOff>94842</xdr:rowOff>
    </xdr:to>
    <xdr:pic>
      <xdr:nvPicPr>
        <xdr:cNvPr id="3" name="Picture 2">
          <a:extLst>
            <a:ext uri="{FF2B5EF4-FFF2-40B4-BE49-F238E27FC236}">
              <a16:creationId xmlns:a16="http://schemas.microsoft.com/office/drawing/2014/main" id="{D43DDA11-D7B2-4DDA-9E01-60205E6098A5}"/>
            </a:ext>
          </a:extLst>
        </xdr:cNvPr>
        <xdr:cNvPicPr>
          <a:picLocks noChangeAspect="1"/>
        </xdr:cNvPicPr>
      </xdr:nvPicPr>
      <xdr:blipFill>
        <a:blip xmlns:r="http://schemas.openxmlformats.org/officeDocument/2006/relationships" r:embed="rId1"/>
        <a:stretch>
          <a:fillRect/>
        </a:stretch>
      </xdr:blipFill>
      <xdr:spPr>
        <a:xfrm>
          <a:off x="177387" y="4056530"/>
          <a:ext cx="10781965" cy="3012181"/>
        </a:xfrm>
        <a:prstGeom prst="rect">
          <a:avLst/>
        </a:prstGeom>
      </xdr:spPr>
    </xdr:pic>
    <xdr:clientData/>
  </xdr:twoCellAnchor>
  <xdr:twoCellAnchor editAs="oneCell">
    <xdr:from>
      <xdr:col>1</xdr:col>
      <xdr:colOff>0</xdr:colOff>
      <xdr:row>44</xdr:row>
      <xdr:rowOff>1</xdr:rowOff>
    </xdr:from>
    <xdr:to>
      <xdr:col>6</xdr:col>
      <xdr:colOff>93457</xdr:colOff>
      <xdr:row>83</xdr:row>
      <xdr:rowOff>97268</xdr:rowOff>
    </xdr:to>
    <xdr:pic>
      <xdr:nvPicPr>
        <xdr:cNvPr id="4" name="Picture 3">
          <a:extLst>
            <a:ext uri="{FF2B5EF4-FFF2-40B4-BE49-F238E27FC236}">
              <a16:creationId xmlns:a16="http://schemas.microsoft.com/office/drawing/2014/main" id="{FAD67EF3-9641-4ACC-BFDB-7DAD8BE10499}"/>
            </a:ext>
          </a:extLst>
        </xdr:cNvPr>
        <xdr:cNvPicPr>
          <a:picLocks noChangeAspect="1"/>
        </xdr:cNvPicPr>
      </xdr:nvPicPr>
      <xdr:blipFill>
        <a:blip xmlns:r="http://schemas.openxmlformats.org/officeDocument/2006/relationships" r:embed="rId2"/>
        <a:stretch>
          <a:fillRect/>
        </a:stretch>
      </xdr:blipFill>
      <xdr:spPr>
        <a:xfrm>
          <a:off x="179294" y="8314766"/>
          <a:ext cx="10578353" cy="6648898"/>
        </a:xfrm>
        <a:prstGeom prst="rect">
          <a:avLst/>
        </a:prstGeom>
      </xdr:spPr>
    </xdr:pic>
    <xdr:clientData/>
  </xdr:twoCellAnchor>
</xdr:wsDr>
</file>

<file path=xl/theme/theme1.xml><?xml version="1.0" encoding="utf-8"?>
<a:theme xmlns:a="http://schemas.openxmlformats.org/drawingml/2006/main" name="PwC">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ltGray">
        <a:solidFill>
          <a:schemeClr val="tx2"/>
        </a:solidFill>
        <a:ln w="3175"/>
      </a:spPr>
      <a:bodyPr rtlCol="0" anchor="ctr"/>
      <a:lstStyle>
        <a:defPPr algn="ctr">
          <a:defRPr dirty="0" err="1" smtClean="0">
            <a:solidFill>
              <a:schemeClr val="bg1"/>
            </a:solidFill>
            <a:latin typeface="Georgia" pitchFamily="18" charset="0"/>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noAutofit/>
      </a:bodyPr>
      <a:lstStyle>
        <a:defPPr indent="-274320">
          <a:spcAft>
            <a:spcPts val="900"/>
          </a:spcAft>
          <a:defRPr sz="2000" dirty="0" err="1" smtClean="0">
            <a:latin typeface="Georgia" pitchFamily="18" charset="0"/>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C8B4-21B7-4E0C-99E1-CEA548485D3F}">
  <sheetPr codeName="Sheet27">
    <tabColor rgb="FFFFBFBF"/>
  </sheetPr>
  <dimension ref="A1:D109"/>
  <sheetViews>
    <sheetView showGridLines="0" zoomScale="85" zoomScaleNormal="85" workbookViewId="0">
      <pane ySplit="3" topLeftCell="A4" activePane="bottomLeft" state="frozen"/>
      <selection activeCell="A5" sqref="A5"/>
      <selection pane="bottomLeft" activeCell="D7" sqref="D7"/>
    </sheetView>
  </sheetViews>
  <sheetFormatPr defaultColWidth="8.75" defaultRowHeight="12.75" x14ac:dyDescent="0.2"/>
  <cols>
    <col min="1" max="1" width="2.375" style="168" customWidth="1"/>
    <col min="2" max="2" width="30.25" style="168" customWidth="1"/>
    <col min="3" max="3" width="28.75" style="168" customWidth="1"/>
    <col min="4" max="4" width="60.875" style="168" customWidth="1"/>
    <col min="5" max="16384" width="8.75" style="168"/>
  </cols>
  <sheetData>
    <row r="1" spans="1:4" ht="18" x14ac:dyDescent="0.2">
      <c r="B1" s="169" t="s">
        <v>0</v>
      </c>
    </row>
    <row r="2" spans="1:4" x14ac:dyDescent="0.2">
      <c r="B2" s="97" t="s">
        <v>1</v>
      </c>
    </row>
    <row r="4" spans="1:4" x14ac:dyDescent="0.2">
      <c r="A4" s="170"/>
      <c r="B4" s="98" t="s">
        <v>2</v>
      </c>
    </row>
    <row r="5" spans="1:4" x14ac:dyDescent="0.2">
      <c r="A5" s="170"/>
      <c r="B5" s="171"/>
    </row>
    <row r="6" spans="1:4" ht="29.65" customHeight="1" x14ac:dyDescent="0.2">
      <c r="A6" s="170"/>
      <c r="B6" s="625" t="s">
        <v>3</v>
      </c>
      <c r="C6" s="625"/>
      <c r="D6" s="625"/>
    </row>
    <row r="7" spans="1:4" x14ac:dyDescent="0.2">
      <c r="A7" s="170"/>
      <c r="B7" s="172"/>
      <c r="C7" s="173"/>
      <c r="D7" s="173"/>
    </row>
    <row r="8" spans="1:4" ht="32.1" customHeight="1" x14ac:dyDescent="0.2">
      <c r="A8" s="170"/>
      <c r="B8" s="628" t="s">
        <v>4</v>
      </c>
      <c r="C8" s="628"/>
      <c r="D8" s="628"/>
    </row>
    <row r="9" spans="1:4" x14ac:dyDescent="0.2">
      <c r="A9" s="170"/>
      <c r="B9" s="172"/>
      <c r="C9" s="173"/>
      <c r="D9" s="173"/>
    </row>
    <row r="10" spans="1:4" ht="32.1" customHeight="1" x14ac:dyDescent="0.2">
      <c r="A10" s="170"/>
      <c r="B10" s="628" t="s">
        <v>5</v>
      </c>
      <c r="C10" s="628"/>
      <c r="D10" s="628"/>
    </row>
    <row r="11" spans="1:4" x14ac:dyDescent="0.2">
      <c r="A11" s="170"/>
      <c r="B11" s="172"/>
      <c r="C11" s="173"/>
      <c r="D11" s="173"/>
    </row>
    <row r="12" spans="1:4" ht="29.1" customHeight="1" x14ac:dyDescent="0.2">
      <c r="A12" s="170"/>
      <c r="B12" s="629" t="s">
        <v>6</v>
      </c>
      <c r="C12" s="629"/>
      <c r="D12" s="629"/>
    </row>
    <row r="13" spans="1:4" x14ac:dyDescent="0.2">
      <c r="A13" s="170"/>
      <c r="B13" s="172"/>
      <c r="C13" s="173"/>
      <c r="D13" s="173"/>
    </row>
    <row r="14" spans="1:4" x14ac:dyDescent="0.2">
      <c r="A14" s="170"/>
      <c r="B14" s="630" t="s">
        <v>7</v>
      </c>
      <c r="C14" s="630"/>
      <c r="D14" s="630"/>
    </row>
    <row r="15" spans="1:4" x14ac:dyDescent="0.2">
      <c r="A15" s="170"/>
      <c r="B15" s="174"/>
      <c r="C15" s="170"/>
      <c r="D15" s="170"/>
    </row>
    <row r="16" spans="1:4" x14ac:dyDescent="0.2">
      <c r="A16" s="170"/>
      <c r="B16" s="175" t="s">
        <v>8</v>
      </c>
      <c r="C16" s="170"/>
      <c r="D16" s="170"/>
    </row>
    <row r="17" spans="2:2" x14ac:dyDescent="0.2">
      <c r="B17" s="175"/>
    </row>
    <row r="18" spans="2:2" x14ac:dyDescent="0.2">
      <c r="B18" s="175"/>
    </row>
    <row r="19" spans="2:2" x14ac:dyDescent="0.2">
      <c r="B19" s="174"/>
    </row>
    <row r="20" spans="2:2" x14ac:dyDescent="0.2">
      <c r="B20" s="174"/>
    </row>
    <row r="21" spans="2:2" x14ac:dyDescent="0.2">
      <c r="B21" s="174"/>
    </row>
    <row r="22" spans="2:2" x14ac:dyDescent="0.2">
      <c r="B22" s="174"/>
    </row>
    <row r="23" spans="2:2" x14ac:dyDescent="0.2">
      <c r="B23" s="174"/>
    </row>
    <row r="24" spans="2:2" x14ac:dyDescent="0.2">
      <c r="B24" s="174"/>
    </row>
    <row r="25" spans="2:2" x14ac:dyDescent="0.2">
      <c r="B25" s="174"/>
    </row>
    <row r="26" spans="2:2" x14ac:dyDescent="0.2">
      <c r="B26" s="174"/>
    </row>
    <row r="27" spans="2:2" x14ac:dyDescent="0.2">
      <c r="B27" s="174"/>
    </row>
    <row r="28" spans="2:2" x14ac:dyDescent="0.2">
      <c r="B28" s="174"/>
    </row>
    <row r="29" spans="2:2" x14ac:dyDescent="0.2">
      <c r="B29" s="174"/>
    </row>
    <row r="30" spans="2:2" x14ac:dyDescent="0.2">
      <c r="B30" s="174"/>
    </row>
    <row r="31" spans="2:2" x14ac:dyDescent="0.2">
      <c r="B31" s="174"/>
    </row>
    <row r="32" spans="2:2" x14ac:dyDescent="0.2">
      <c r="B32" s="174"/>
    </row>
    <row r="33" spans="1:4" x14ac:dyDescent="0.2">
      <c r="A33" s="170"/>
      <c r="B33" s="174"/>
      <c r="C33" s="170"/>
      <c r="D33" s="170"/>
    </row>
    <row r="34" spans="1:4" x14ac:dyDescent="0.2">
      <c r="A34" s="170"/>
      <c r="B34" s="174"/>
      <c r="C34" s="170"/>
      <c r="D34" s="170"/>
    </row>
    <row r="35" spans="1:4" x14ac:dyDescent="0.2">
      <c r="A35" s="170"/>
      <c r="B35" s="174"/>
      <c r="C35" s="170"/>
      <c r="D35" s="170"/>
    </row>
    <row r="36" spans="1:4" x14ac:dyDescent="0.2">
      <c r="A36" s="170"/>
      <c r="B36" s="174"/>
      <c r="C36" s="170"/>
      <c r="D36" s="170"/>
    </row>
    <row r="37" spans="1:4" x14ac:dyDescent="0.2">
      <c r="A37" s="170"/>
      <c r="B37" s="174"/>
      <c r="C37" s="170"/>
      <c r="D37" s="170"/>
    </row>
    <row r="38" spans="1:4" x14ac:dyDescent="0.2">
      <c r="A38" s="170"/>
      <c r="B38" s="174"/>
      <c r="C38" s="170"/>
      <c r="D38" s="170"/>
    </row>
    <row r="39" spans="1:4" x14ac:dyDescent="0.2">
      <c r="A39" s="170"/>
      <c r="B39" s="98" t="s">
        <v>9</v>
      </c>
    </row>
    <row r="40" spans="1:4" x14ac:dyDescent="0.2">
      <c r="A40" s="170"/>
      <c r="B40" s="171"/>
    </row>
    <row r="41" spans="1:4" x14ac:dyDescent="0.2">
      <c r="A41" s="170"/>
      <c r="B41" s="627" t="s">
        <v>10</v>
      </c>
      <c r="C41" s="627"/>
      <c r="D41" s="627"/>
    </row>
    <row r="42" spans="1:4" x14ac:dyDescent="0.2">
      <c r="A42" s="170"/>
      <c r="B42" s="174"/>
      <c r="C42" s="170"/>
      <c r="D42" s="170"/>
    </row>
    <row r="43" spans="1:4" x14ac:dyDescent="0.2">
      <c r="A43" s="170"/>
      <c r="B43" s="175" t="s">
        <v>11</v>
      </c>
      <c r="C43" s="170"/>
      <c r="D43" s="170"/>
    </row>
    <row r="44" spans="1:4" x14ac:dyDescent="0.2">
      <c r="A44" s="170"/>
      <c r="B44" s="175"/>
      <c r="C44" s="170"/>
      <c r="D44" s="170"/>
    </row>
    <row r="45" spans="1:4" x14ac:dyDescent="0.2">
      <c r="A45" s="170"/>
      <c r="B45" s="175"/>
      <c r="C45" s="170"/>
      <c r="D45" s="170"/>
    </row>
    <row r="46" spans="1:4" x14ac:dyDescent="0.2">
      <c r="A46" s="170"/>
      <c r="B46" s="174"/>
      <c r="C46" s="170"/>
      <c r="D46" s="170"/>
    </row>
    <row r="47" spans="1:4" x14ac:dyDescent="0.2">
      <c r="A47" s="170"/>
      <c r="B47" s="174"/>
      <c r="C47" s="170"/>
      <c r="D47" s="170"/>
    </row>
    <row r="48" spans="1:4" x14ac:dyDescent="0.2">
      <c r="B48" s="174"/>
    </row>
    <row r="49" spans="2:2" x14ac:dyDescent="0.2">
      <c r="B49" s="174"/>
    </row>
    <row r="50" spans="2:2" x14ac:dyDescent="0.2">
      <c r="B50" s="174"/>
    </row>
    <row r="51" spans="2:2" x14ac:dyDescent="0.2">
      <c r="B51" s="174"/>
    </row>
    <row r="52" spans="2:2" x14ac:dyDescent="0.2">
      <c r="B52" s="174"/>
    </row>
    <row r="53" spans="2:2" x14ac:dyDescent="0.2">
      <c r="B53" s="174"/>
    </row>
    <row r="54" spans="2:2" x14ac:dyDescent="0.2">
      <c r="B54" s="174"/>
    </row>
    <row r="55" spans="2:2" x14ac:dyDescent="0.2">
      <c r="B55" s="174"/>
    </row>
    <row r="56" spans="2:2" x14ac:dyDescent="0.2">
      <c r="B56" s="174"/>
    </row>
    <row r="57" spans="2:2" x14ac:dyDescent="0.2">
      <c r="B57" s="174"/>
    </row>
    <row r="58" spans="2:2" x14ac:dyDescent="0.2">
      <c r="B58" s="174"/>
    </row>
    <row r="59" spans="2:2" x14ac:dyDescent="0.2">
      <c r="B59" s="174"/>
    </row>
    <row r="60" spans="2:2" x14ac:dyDescent="0.2">
      <c r="B60" s="174"/>
    </row>
    <row r="61" spans="2:2" x14ac:dyDescent="0.2">
      <c r="B61" s="174"/>
    </row>
    <row r="62" spans="2:2" x14ac:dyDescent="0.2">
      <c r="B62" s="174"/>
    </row>
    <row r="63" spans="2:2" x14ac:dyDescent="0.2">
      <c r="B63" s="174"/>
    </row>
    <row r="64" spans="2:2" x14ac:dyDescent="0.2">
      <c r="B64" s="174"/>
    </row>
    <row r="65" spans="2:2" x14ac:dyDescent="0.2">
      <c r="B65" s="174"/>
    </row>
    <row r="66" spans="2:2" x14ac:dyDescent="0.2">
      <c r="B66" s="174"/>
    </row>
    <row r="67" spans="2:2" x14ac:dyDescent="0.2">
      <c r="B67" s="174"/>
    </row>
    <row r="68" spans="2:2" x14ac:dyDescent="0.2">
      <c r="B68" s="174"/>
    </row>
    <row r="69" spans="2:2" x14ac:dyDescent="0.2">
      <c r="B69" s="174"/>
    </row>
    <row r="70" spans="2:2" x14ac:dyDescent="0.2">
      <c r="B70" s="174"/>
    </row>
    <row r="71" spans="2:2" x14ac:dyDescent="0.2">
      <c r="B71" s="174"/>
    </row>
    <row r="72" spans="2:2" x14ac:dyDescent="0.2">
      <c r="B72" s="174"/>
    </row>
    <row r="73" spans="2:2" x14ac:dyDescent="0.2">
      <c r="B73" s="174"/>
    </row>
    <row r="74" spans="2:2" x14ac:dyDescent="0.2">
      <c r="B74" s="174"/>
    </row>
    <row r="75" spans="2:2" x14ac:dyDescent="0.2">
      <c r="B75" s="174"/>
    </row>
    <row r="76" spans="2:2" x14ac:dyDescent="0.2">
      <c r="B76" s="174"/>
    </row>
    <row r="77" spans="2:2" x14ac:dyDescent="0.2">
      <c r="B77" s="174"/>
    </row>
    <row r="78" spans="2:2" x14ac:dyDescent="0.2">
      <c r="B78" s="174"/>
    </row>
    <row r="79" spans="2:2" x14ac:dyDescent="0.2">
      <c r="B79" s="174"/>
    </row>
    <row r="80" spans="2:2" x14ac:dyDescent="0.2">
      <c r="B80" s="174"/>
    </row>
    <row r="81" spans="1:4" x14ac:dyDescent="0.2">
      <c r="B81" s="174"/>
    </row>
    <row r="82" spans="1:4" x14ac:dyDescent="0.2">
      <c r="B82" s="174"/>
    </row>
    <row r="83" spans="1:4" x14ac:dyDescent="0.2">
      <c r="B83" s="174"/>
    </row>
    <row r="84" spans="1:4" x14ac:dyDescent="0.2">
      <c r="B84" s="174"/>
    </row>
    <row r="85" spans="1:4" x14ac:dyDescent="0.2">
      <c r="A85" s="170"/>
      <c r="B85" s="98" t="s">
        <v>12</v>
      </c>
    </row>
    <row r="86" spans="1:4" x14ac:dyDescent="0.2">
      <c r="A86" s="170"/>
      <c r="B86" s="171"/>
    </row>
    <row r="87" spans="1:4" ht="45.6" customHeight="1" x14ac:dyDescent="0.2">
      <c r="A87" s="170"/>
      <c r="B87" s="625" t="s">
        <v>13</v>
      </c>
      <c r="C87" s="625"/>
      <c r="D87" s="625"/>
    </row>
    <row r="88" spans="1:4" ht="12.6" customHeight="1" x14ac:dyDescent="0.2">
      <c r="A88" s="170"/>
      <c r="B88" s="176"/>
      <c r="C88" s="176"/>
      <c r="D88" s="176"/>
    </row>
    <row r="89" spans="1:4" x14ac:dyDescent="0.2">
      <c r="A89" s="170"/>
      <c r="B89" s="98" t="s">
        <v>14</v>
      </c>
    </row>
    <row r="90" spans="1:4" x14ac:dyDescent="0.2">
      <c r="A90" s="170"/>
      <c r="B90" s="98"/>
    </row>
    <row r="91" spans="1:4" x14ac:dyDescent="0.2">
      <c r="A91" s="170"/>
      <c r="B91" s="177" t="s">
        <v>15</v>
      </c>
      <c r="C91" s="178" t="s">
        <v>16</v>
      </c>
      <c r="D91" s="178"/>
    </row>
    <row r="92" spans="1:4" ht="29.65" customHeight="1" x14ac:dyDescent="0.2">
      <c r="A92" s="170"/>
      <c r="B92" s="179" t="s">
        <v>17</v>
      </c>
      <c r="C92" s="626" t="s">
        <v>18</v>
      </c>
      <c r="D92" s="626"/>
    </row>
    <row r="93" spans="1:4" ht="29.65" customHeight="1" x14ac:dyDescent="0.2">
      <c r="A93" s="170"/>
      <c r="B93" s="179" t="s">
        <v>19</v>
      </c>
      <c r="C93" s="626" t="s">
        <v>20</v>
      </c>
      <c r="D93" s="626"/>
    </row>
    <row r="94" spans="1:4" ht="29.65" customHeight="1" x14ac:dyDescent="0.2">
      <c r="A94" s="170"/>
      <c r="B94" s="179" t="s">
        <v>21</v>
      </c>
      <c r="C94" s="626" t="s">
        <v>22</v>
      </c>
      <c r="D94" s="626"/>
    </row>
    <row r="95" spans="1:4" ht="29.65" customHeight="1" x14ac:dyDescent="0.2">
      <c r="A95" s="170"/>
      <c r="B95" s="179" t="s">
        <v>23</v>
      </c>
      <c r="C95" s="626" t="s">
        <v>24</v>
      </c>
      <c r="D95" s="626"/>
    </row>
    <row r="96" spans="1:4" x14ac:dyDescent="0.2">
      <c r="A96" s="170"/>
      <c r="B96" s="171"/>
    </row>
    <row r="97" spans="1:4" x14ac:dyDescent="0.2">
      <c r="A97" s="170"/>
      <c r="B97" s="98" t="s">
        <v>25</v>
      </c>
    </row>
    <row r="98" spans="1:4" x14ac:dyDescent="0.2">
      <c r="A98" s="170"/>
      <c r="B98" s="98"/>
    </row>
    <row r="99" spans="1:4" x14ac:dyDescent="0.2">
      <c r="A99" s="170"/>
      <c r="B99" s="177" t="s">
        <v>26</v>
      </c>
      <c r="C99" s="178" t="s">
        <v>27</v>
      </c>
      <c r="D99" s="178"/>
    </row>
    <row r="100" spans="1:4" ht="72.599999999999994" customHeight="1" x14ac:dyDescent="0.2">
      <c r="B100" s="180" t="s">
        <v>28</v>
      </c>
      <c r="C100" s="624" t="s">
        <v>29</v>
      </c>
      <c r="D100" s="624"/>
    </row>
    <row r="101" spans="1:4" ht="17.649999999999999" customHeight="1" x14ac:dyDescent="0.2">
      <c r="B101" s="180" t="s">
        <v>30</v>
      </c>
      <c r="C101" s="624" t="s">
        <v>31</v>
      </c>
      <c r="D101" s="624"/>
    </row>
    <row r="102" spans="1:4" ht="60.6" customHeight="1" x14ac:dyDescent="0.2">
      <c r="B102" s="180" t="s">
        <v>32</v>
      </c>
      <c r="C102" s="624" t="s">
        <v>33</v>
      </c>
      <c r="D102" s="624"/>
    </row>
    <row r="103" spans="1:4" ht="46.15" customHeight="1" x14ac:dyDescent="0.2">
      <c r="B103" s="180" t="s">
        <v>34</v>
      </c>
      <c r="C103" s="624" t="s">
        <v>13</v>
      </c>
      <c r="D103" s="624"/>
    </row>
    <row r="105" spans="1:4" x14ac:dyDescent="0.2">
      <c r="A105" s="170"/>
      <c r="B105" s="98" t="s">
        <v>35</v>
      </c>
    </row>
    <row r="106" spans="1:4" x14ac:dyDescent="0.2">
      <c r="A106" s="170"/>
      <c r="B106" s="98"/>
    </row>
    <row r="107" spans="1:4" x14ac:dyDescent="0.2">
      <c r="A107" s="170"/>
      <c r="B107" s="177" t="s">
        <v>36</v>
      </c>
      <c r="C107" s="178" t="s">
        <v>37</v>
      </c>
      <c r="D107" s="178"/>
    </row>
    <row r="108" spans="1:4" ht="29.1" customHeight="1" x14ac:dyDescent="0.2">
      <c r="A108" s="170"/>
      <c r="B108" s="181"/>
      <c r="C108" s="624" t="s">
        <v>38</v>
      </c>
      <c r="D108" s="624"/>
    </row>
    <row r="109" spans="1:4" x14ac:dyDescent="0.2">
      <c r="B109" s="182" t="s">
        <v>39</v>
      </c>
      <c r="C109" s="624" t="s">
        <v>40</v>
      </c>
      <c r="D109" s="624"/>
    </row>
  </sheetData>
  <sheetProtection algorithmName="SHA-512" hashValue="NqyyoP+6FhF52Y0SVWwJq/28csuoE1l3tx+g096YDDHt1IxsKkWDmXtwn9af1EnS0zoI+GVF9G7kcJMaDUayVw==" saltValue="rIuOVu725sU0MZPLVf+XRA==" spinCount="100000" sheet="1" objects="1" scenarios="1"/>
  <mergeCells count="17">
    <mergeCell ref="B41:D41"/>
    <mergeCell ref="B6:D6"/>
    <mergeCell ref="B8:D8"/>
    <mergeCell ref="B10:D10"/>
    <mergeCell ref="B12:D12"/>
    <mergeCell ref="B14:D14"/>
    <mergeCell ref="C109:D109"/>
    <mergeCell ref="B87:D87"/>
    <mergeCell ref="C92:D92"/>
    <mergeCell ref="C93:D93"/>
    <mergeCell ref="C95:D95"/>
    <mergeCell ref="C94:D94"/>
    <mergeCell ref="C100:D100"/>
    <mergeCell ref="C101:D101"/>
    <mergeCell ref="C102:D102"/>
    <mergeCell ref="C103:D103"/>
    <mergeCell ref="C108:D108"/>
  </mergeCells>
  <pageMargins left="0.70866141732283472" right="0.70866141732283472" top="0.74803149606299213" bottom="0.74803149606299213" header="0.31496062992125984" footer="0.31496062992125984"/>
  <pageSetup paperSize="9" scale="69" orientation="landscape" r:id="rId1"/>
  <headerFooter>
    <oddFooter>&amp;A</oddFooter>
  </headerFooter>
  <rowBreaks count="2" manualBreakCount="2">
    <brk id="38" max="16383" man="1"/>
    <brk id="8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9AA8-E169-4D5A-A6C3-623DDCB6A25D}">
  <sheetPr>
    <pageSetUpPr autoPageBreaks="0"/>
  </sheetPr>
  <dimension ref="A1:AA2658"/>
  <sheetViews>
    <sheetView showGridLines="0" zoomScale="85" zoomScaleNormal="85" workbookViewId="0">
      <pane xSplit="6" ySplit="7" topLeftCell="G8" activePane="bottomRight" state="frozen"/>
      <selection pane="topRight"/>
      <selection pane="bottomLeft"/>
      <selection pane="bottomRight" activeCell="G8" sqref="G8"/>
    </sheetView>
  </sheetViews>
  <sheetFormatPr defaultColWidth="0" defaultRowHeight="12" customHeight="1" x14ac:dyDescent="0.2"/>
  <cols>
    <col min="1" max="1" width="2.75" style="232" customWidth="1"/>
    <col min="2" max="2" width="35.75" style="232" customWidth="1"/>
    <col min="3" max="3" width="15.75" style="286" customWidth="1"/>
    <col min="4" max="5" width="15.75" style="232" customWidth="1"/>
    <col min="6" max="7" width="2.75" style="232" customWidth="1"/>
    <col min="8" max="11" width="10.75" style="232" customWidth="1"/>
    <col min="12" max="12" width="9.75" style="232" bestFit="1" customWidth="1"/>
    <col min="13" max="20" width="10.75" style="232" customWidth="1"/>
    <col min="21" max="21" width="2.75" style="232" customWidth="1"/>
    <col min="22" max="22" width="0" style="15" hidden="1" customWidth="1"/>
    <col min="23" max="24" width="9.375" style="15" hidden="1" customWidth="1"/>
    <col min="25" max="27" width="0" style="15" hidden="1" customWidth="1"/>
    <col min="28" max="16384" width="9.375" style="15" hidden="1"/>
  </cols>
  <sheetData>
    <row r="1" spans="1:27" ht="12" customHeight="1" x14ac:dyDescent="0.2">
      <c r="A1" s="229"/>
      <c r="B1" s="229"/>
      <c r="C1" s="276"/>
      <c r="D1" s="229"/>
      <c r="E1" s="229"/>
      <c r="F1" s="229"/>
      <c r="G1" s="229"/>
      <c r="H1" s="229"/>
      <c r="I1" s="229"/>
      <c r="J1" s="229"/>
      <c r="K1" s="229"/>
      <c r="L1" s="229"/>
      <c r="M1" s="229"/>
      <c r="N1" s="229"/>
      <c r="O1" s="229"/>
      <c r="P1" s="229"/>
      <c r="Q1" s="229"/>
      <c r="R1" s="229"/>
      <c r="S1" s="229"/>
      <c r="T1" s="229"/>
      <c r="U1" s="229"/>
      <c r="V1" s="13"/>
      <c r="W1" s="13"/>
      <c r="X1" s="13"/>
    </row>
    <row r="2" spans="1:27" s="13" customFormat="1" ht="15" customHeight="1" x14ac:dyDescent="0.25">
      <c r="A2" s="229"/>
      <c r="B2" s="212" t="str">
        <f ca="1">MID(CELL("filename",B2),FIND("]",CELL("filename",B2))+1,255)</f>
        <v>Works under construction</v>
      </c>
      <c r="C2" s="241" t="str">
        <f>'Global inputs'!C2</f>
        <v>Model: Ok</v>
      </c>
      <c r="D2" s="277"/>
      <c r="E2" s="277"/>
      <c r="F2" s="242"/>
      <c r="G2" s="242"/>
      <c r="H2" s="242"/>
      <c r="I2" s="242"/>
      <c r="J2" s="242"/>
      <c r="K2" s="242"/>
      <c r="L2" s="242"/>
      <c r="M2" s="242"/>
      <c r="N2" s="242"/>
      <c r="O2" s="242"/>
      <c r="P2" s="242"/>
      <c r="Q2" s="242"/>
      <c r="R2" s="242"/>
      <c r="S2" s="242"/>
      <c r="T2" s="242"/>
      <c r="U2" s="229"/>
    </row>
    <row r="3" spans="1:27" s="12" customFormat="1" ht="12" customHeight="1" x14ac:dyDescent="0.2">
      <c r="A3" s="243"/>
      <c r="B3" s="244"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'Global inputs'!S3</f>
        <v>45748</v>
      </c>
      <c r="T3" s="213"/>
      <c r="U3" s="243"/>
    </row>
    <row r="4" spans="1:27" s="12" customFormat="1" ht="12" customHeight="1" x14ac:dyDescent="0.2">
      <c r="A4" s="243"/>
      <c r="B4" s="244"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'Global inputs'!S4</f>
        <v>46112</v>
      </c>
      <c r="T4" s="213"/>
      <c r="U4" s="243"/>
    </row>
    <row r="5" spans="1:27" s="12" customFormat="1" ht="12" customHeight="1" x14ac:dyDescent="0.2">
      <c r="A5" s="243"/>
      <c r="B5" s="244"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'Global inputs'!S5</f>
        <v>RY26</v>
      </c>
      <c r="T5" s="214"/>
      <c r="U5" s="243"/>
    </row>
    <row r="6" spans="1:27" s="12" customFormat="1" ht="12" customHeight="1" x14ac:dyDescent="0.2">
      <c r="A6" s="243"/>
      <c r="B6" s="244" t="s">
        <v>45</v>
      </c>
      <c r="C6" s="278"/>
      <c r="D6" s="279"/>
      <c r="E6" s="279"/>
      <c r="F6" s="244"/>
      <c r="G6" s="247"/>
      <c r="H6" s="215" t="str">
        <f>'Global inputs'!H6</f>
        <v>Current period</v>
      </c>
      <c r="I6" s="216"/>
      <c r="J6" s="216"/>
      <c r="K6" s="216"/>
      <c r="L6" s="216"/>
      <c r="M6" s="215" t="str">
        <f>'Global inputs'!M6</f>
        <v>Assessment period</v>
      </c>
      <c r="N6" s="216"/>
      <c r="O6" s="215" t="str">
        <f>'Global inputs'!O6</f>
        <v>CPP period</v>
      </c>
      <c r="P6" s="216"/>
      <c r="Q6" s="216"/>
      <c r="R6" s="216"/>
      <c r="S6" s="216"/>
      <c r="T6" s="215" t="s">
        <v>49</v>
      </c>
      <c r="U6" s="243"/>
    </row>
    <row r="7" spans="1:27" ht="12" customHeight="1" x14ac:dyDescent="0.2">
      <c r="B7" s="242"/>
      <c r="C7" s="280"/>
      <c r="D7" s="248"/>
      <c r="E7" s="248"/>
      <c r="F7" s="242"/>
      <c r="G7" s="242"/>
      <c r="H7" s="242"/>
      <c r="I7" s="242"/>
      <c r="J7" s="242"/>
      <c r="K7" s="242"/>
      <c r="L7" s="242"/>
      <c r="M7" s="242"/>
      <c r="N7" s="242"/>
      <c r="O7" s="242"/>
      <c r="P7" s="242"/>
      <c r="Q7" s="242"/>
      <c r="R7" s="242"/>
      <c r="S7" s="242"/>
      <c r="T7" s="242"/>
    </row>
    <row r="8" spans="1:27" ht="12" customHeight="1" x14ac:dyDescent="0.2">
      <c r="B8" s="242"/>
      <c r="C8" s="280"/>
      <c r="D8" s="248"/>
      <c r="E8" s="248"/>
      <c r="F8" s="242"/>
      <c r="G8" s="242"/>
      <c r="H8" s="242"/>
      <c r="I8" s="242"/>
      <c r="J8" s="242"/>
      <c r="K8" s="242"/>
      <c r="L8" s="242"/>
      <c r="M8" s="242"/>
      <c r="N8" s="242"/>
      <c r="O8" s="242"/>
      <c r="P8" s="242"/>
      <c r="Q8" s="242"/>
      <c r="R8" s="242"/>
      <c r="S8" s="242"/>
      <c r="T8" s="242"/>
    </row>
    <row r="9" spans="1:27" ht="12" customHeight="1" x14ac:dyDescent="0.2">
      <c r="B9" s="281" t="s">
        <v>379</v>
      </c>
      <c r="C9" s="280"/>
      <c r="D9" s="248"/>
      <c r="E9" s="248"/>
      <c r="F9" s="242"/>
      <c r="G9" s="242"/>
      <c r="H9" s="242"/>
      <c r="I9" s="242"/>
      <c r="J9" s="242"/>
      <c r="K9" s="242"/>
      <c r="L9" s="242"/>
      <c r="M9" s="242"/>
      <c r="N9" s="242"/>
      <c r="O9" s="242"/>
      <c r="P9" s="242"/>
      <c r="Q9" s="242"/>
      <c r="R9" s="242"/>
      <c r="S9" s="242"/>
      <c r="T9" s="242"/>
    </row>
    <row r="10" spans="1:27" ht="12" customHeight="1" x14ac:dyDescent="0.2">
      <c r="B10" s="242"/>
      <c r="C10" s="280"/>
      <c r="D10" s="248"/>
      <c r="E10" s="248"/>
      <c r="F10" s="242"/>
      <c r="G10" s="242"/>
      <c r="H10" s="242"/>
      <c r="I10" s="242"/>
      <c r="J10" s="242"/>
      <c r="K10" s="242"/>
      <c r="L10" s="242"/>
      <c r="M10" s="282"/>
      <c r="N10" s="282"/>
      <c r="O10" s="282"/>
      <c r="P10" s="282"/>
      <c r="Q10" s="282"/>
      <c r="R10" s="282"/>
      <c r="S10" s="282"/>
      <c r="T10" s="242"/>
    </row>
    <row r="11" spans="1:27" s="25" customFormat="1" ht="12" customHeight="1" x14ac:dyDescent="0.2">
      <c r="A11" s="232"/>
      <c r="B11" s="283" t="s">
        <v>380</v>
      </c>
      <c r="C11" s="284" t="s">
        <v>51</v>
      </c>
      <c r="D11" s="285" t="s">
        <v>52</v>
      </c>
      <c r="E11" s="284" t="s">
        <v>53</v>
      </c>
      <c r="F11" s="232"/>
      <c r="G11" s="232"/>
      <c r="H11" s="232"/>
      <c r="I11" s="232"/>
      <c r="J11" s="232"/>
      <c r="K11" s="232"/>
      <c r="L11" s="232"/>
      <c r="M11" s="232"/>
      <c r="N11" s="232"/>
      <c r="O11" s="232"/>
      <c r="P11" s="232"/>
      <c r="Q11" s="232"/>
      <c r="R11" s="232"/>
      <c r="S11" s="232"/>
      <c r="T11" s="232"/>
      <c r="U11" s="232"/>
      <c r="V11" s="15"/>
      <c r="W11" s="15"/>
      <c r="X11" s="15"/>
      <c r="Y11" s="15"/>
      <c r="Z11" s="15"/>
      <c r="AA11" s="15"/>
    </row>
    <row r="12" spans="1:27" s="25" customFormat="1" ht="12" customHeight="1" x14ac:dyDescent="0.2">
      <c r="A12" s="232"/>
      <c r="B12" s="265"/>
      <c r="C12" s="286"/>
      <c r="D12" s="232"/>
      <c r="E12" s="232"/>
      <c r="F12" s="232"/>
      <c r="G12" s="232"/>
      <c r="H12" s="232"/>
      <c r="I12" s="232"/>
      <c r="J12" s="232"/>
      <c r="K12" s="232"/>
      <c r="L12" s="232"/>
      <c r="M12" s="232"/>
      <c r="N12" s="232"/>
      <c r="O12" s="232"/>
      <c r="P12" s="232"/>
      <c r="Q12" s="232"/>
      <c r="R12" s="232"/>
      <c r="S12" s="232"/>
      <c r="T12" s="232"/>
      <c r="U12" s="232"/>
      <c r="V12" s="15"/>
      <c r="W12" s="15"/>
      <c r="X12" s="15"/>
      <c r="Y12" s="15"/>
      <c r="Z12" s="15"/>
      <c r="AA12" s="15"/>
    </row>
    <row r="13" spans="1:27" s="25" customFormat="1" ht="12" customHeight="1" x14ac:dyDescent="0.2">
      <c r="A13" s="232"/>
      <c r="B13" s="287" t="s">
        <v>60</v>
      </c>
      <c r="C13" s="286"/>
      <c r="D13" s="232"/>
      <c r="E13" s="232"/>
      <c r="F13" s="232"/>
      <c r="G13" s="232"/>
      <c r="H13" s="232"/>
      <c r="I13" s="232"/>
      <c r="J13" s="232"/>
      <c r="K13" s="232"/>
      <c r="L13" s="288">
        <f t="shared" ref="L13:S13" si="0">YEAR(L4)</f>
        <v>2019</v>
      </c>
      <c r="M13" s="288">
        <f t="shared" si="0"/>
        <v>2020</v>
      </c>
      <c r="N13" s="288">
        <f t="shared" si="0"/>
        <v>2021</v>
      </c>
      <c r="O13" s="288">
        <f t="shared" si="0"/>
        <v>2022</v>
      </c>
      <c r="P13" s="288">
        <f t="shared" si="0"/>
        <v>2023</v>
      </c>
      <c r="Q13" s="288">
        <f t="shared" si="0"/>
        <v>2024</v>
      </c>
      <c r="R13" s="288">
        <f t="shared" si="0"/>
        <v>2025</v>
      </c>
      <c r="S13" s="288">
        <f t="shared" si="0"/>
        <v>2026</v>
      </c>
      <c r="T13" s="232"/>
      <c r="U13" s="232"/>
      <c r="V13" s="15"/>
      <c r="W13" s="15"/>
      <c r="X13" s="15"/>
      <c r="Y13" s="15"/>
      <c r="Z13" s="15"/>
      <c r="AA13" s="15"/>
    </row>
    <row r="14" spans="1:27" s="25" customFormat="1" ht="12" customHeight="1" x14ac:dyDescent="0.2">
      <c r="A14" s="232"/>
      <c r="B14" s="265"/>
      <c r="C14" s="286"/>
      <c r="D14" s="232"/>
      <c r="E14" s="232"/>
      <c r="F14" s="232"/>
      <c r="G14" s="232"/>
      <c r="H14" s="232"/>
      <c r="I14" s="232"/>
      <c r="J14" s="232"/>
      <c r="K14" s="232"/>
      <c r="L14" s="232"/>
      <c r="M14" s="232"/>
      <c r="N14" s="232"/>
      <c r="O14" s="232"/>
      <c r="P14" s="232"/>
      <c r="Q14" s="232"/>
      <c r="R14" s="232"/>
      <c r="S14" s="232"/>
      <c r="T14" s="232"/>
      <c r="U14" s="232"/>
      <c r="V14" s="15"/>
      <c r="W14" s="15"/>
      <c r="X14" s="15"/>
      <c r="Y14" s="15"/>
      <c r="Z14" s="15"/>
      <c r="AA14" s="15"/>
    </row>
    <row r="15" spans="1:27" s="25" customFormat="1" ht="12" customHeight="1" x14ac:dyDescent="0.2">
      <c r="A15" s="232"/>
      <c r="B15" s="250" t="s">
        <v>381</v>
      </c>
      <c r="C15" s="286" t="s">
        <v>250</v>
      </c>
      <c r="D15" s="230"/>
      <c r="E15" s="232"/>
      <c r="F15" s="232"/>
      <c r="G15" s="232"/>
      <c r="H15" s="232"/>
      <c r="I15" s="232"/>
      <c r="J15" s="232"/>
      <c r="K15" s="232"/>
      <c r="L15" s="289">
        <f>L115</f>
        <v>40228000</v>
      </c>
      <c r="M15" s="290">
        <f t="shared" ref="M15:S15" si="1">M115</f>
        <v>43271016.000000015</v>
      </c>
      <c r="N15" s="290">
        <f t="shared" si="1"/>
        <v>42981032.258128613</v>
      </c>
      <c r="O15" s="289">
        <f t="shared" si="1"/>
        <v>39189413.528056175</v>
      </c>
      <c r="P15" s="289">
        <f t="shared" si="1"/>
        <v>30551524.822749794</v>
      </c>
      <c r="Q15" s="289">
        <f t="shared" si="1"/>
        <v>31079302.731131904</v>
      </c>
      <c r="R15" s="289">
        <f t="shared" si="1"/>
        <v>31202741.58475396</v>
      </c>
      <c r="S15" s="289">
        <f t="shared" si="1"/>
        <v>30244588.434200943</v>
      </c>
      <c r="T15" s="232"/>
      <c r="U15" s="232"/>
      <c r="V15" s="15"/>
      <c r="W15" s="15"/>
      <c r="X15" s="15"/>
      <c r="Y15" s="15"/>
      <c r="Z15" s="15"/>
      <c r="AA15" s="15"/>
    </row>
    <row r="16" spans="1:27" s="25" customFormat="1" ht="12" customHeight="1" x14ac:dyDescent="0.2">
      <c r="A16" s="232"/>
      <c r="B16" s="250" t="s">
        <v>351</v>
      </c>
      <c r="C16" s="286" t="s">
        <v>250</v>
      </c>
      <c r="D16" s="232"/>
      <c r="E16" s="232"/>
      <c r="F16" s="232"/>
      <c r="G16" s="232"/>
      <c r="H16" s="232"/>
      <c r="I16" s="232"/>
      <c r="J16" s="232"/>
      <c r="K16" s="232"/>
      <c r="L16" s="289">
        <f t="shared" ref="L16:S16" si="2">L116</f>
        <v>66047370.000000007</v>
      </c>
      <c r="M16" s="289">
        <f t="shared" si="2"/>
        <v>55481657.417521752</v>
      </c>
      <c r="N16" s="289">
        <f t="shared" si="2"/>
        <v>67658780.92358157</v>
      </c>
      <c r="O16" s="289">
        <f t="shared" si="2"/>
        <v>69559649.597540349</v>
      </c>
      <c r="P16" s="289">
        <f t="shared" si="2"/>
        <v>67781013.177660763</v>
      </c>
      <c r="Q16" s="289">
        <f t="shared" si="2"/>
        <v>71815271.069680214</v>
      </c>
      <c r="R16" s="289">
        <f t="shared" si="2"/>
        <v>68843634.357684657</v>
      </c>
      <c r="S16" s="289">
        <f t="shared" si="2"/>
        <v>61420652.671343908</v>
      </c>
      <c r="T16" s="232"/>
      <c r="U16" s="232"/>
      <c r="V16" s="15"/>
      <c r="W16" s="15"/>
      <c r="X16" s="15"/>
      <c r="Y16" s="15"/>
      <c r="Z16" s="15"/>
      <c r="AA16" s="15"/>
    </row>
    <row r="17" spans="1:27" s="25" customFormat="1" ht="12" customHeight="1" x14ac:dyDescent="0.2">
      <c r="A17" s="232"/>
      <c r="B17" s="250" t="s">
        <v>266</v>
      </c>
      <c r="C17" s="286" t="s">
        <v>250</v>
      </c>
      <c r="D17" s="232"/>
      <c r="E17" s="232"/>
      <c r="F17" s="232"/>
      <c r="G17" s="232"/>
      <c r="H17" s="232"/>
      <c r="I17" s="232"/>
      <c r="J17" s="232"/>
      <c r="K17" s="232"/>
      <c r="L17" s="290">
        <f t="shared" ref="L17:S17" si="3">L117</f>
        <v>63004353.999999993</v>
      </c>
      <c r="M17" s="290">
        <f t="shared" si="3"/>
        <v>55771641.159393147</v>
      </c>
      <c r="N17" s="290">
        <f t="shared" si="3"/>
        <v>71450399.653654024</v>
      </c>
      <c r="O17" s="290">
        <f t="shared" si="3"/>
        <v>78197538.30284673</v>
      </c>
      <c r="P17" s="289">
        <f t="shared" si="3"/>
        <v>67253235.26927866</v>
      </c>
      <c r="Q17" s="289">
        <f t="shared" si="3"/>
        <v>71691832.216058165</v>
      </c>
      <c r="R17" s="289">
        <f t="shared" si="3"/>
        <v>69801787.50823769</v>
      </c>
      <c r="S17" s="289">
        <f t="shared" si="3"/>
        <v>65667779.558910623</v>
      </c>
      <c r="T17" s="232"/>
      <c r="U17" s="232"/>
      <c r="V17" s="15"/>
      <c r="W17" s="15"/>
      <c r="X17" s="15"/>
      <c r="Y17" s="15"/>
      <c r="Z17" s="15"/>
      <c r="AA17" s="15"/>
    </row>
    <row r="18" spans="1:27" s="25" customFormat="1" ht="12" customHeight="1" x14ac:dyDescent="0.2">
      <c r="A18" s="232"/>
      <c r="B18" s="291" t="s">
        <v>382</v>
      </c>
      <c r="C18" s="292" t="s">
        <v>250</v>
      </c>
      <c r="D18" s="232"/>
      <c r="E18" s="232"/>
      <c r="F18" s="232"/>
      <c r="G18" s="232"/>
      <c r="H18" s="232"/>
      <c r="I18" s="232"/>
      <c r="J18" s="232"/>
      <c r="K18" s="232"/>
      <c r="L18" s="293">
        <f t="shared" ref="L18:S18" si="4">L118</f>
        <v>43271016.000000015</v>
      </c>
      <c r="M18" s="294">
        <f t="shared" si="4"/>
        <v>42981032.258128613</v>
      </c>
      <c r="N18" s="294">
        <f t="shared" si="4"/>
        <v>39189413.528056175</v>
      </c>
      <c r="O18" s="294">
        <f t="shared" si="4"/>
        <v>30551524.822749794</v>
      </c>
      <c r="P18" s="293">
        <f t="shared" si="4"/>
        <v>31079302.731131904</v>
      </c>
      <c r="Q18" s="293">
        <f t="shared" si="4"/>
        <v>31202741.58475396</v>
      </c>
      <c r="R18" s="293">
        <f t="shared" si="4"/>
        <v>30244588.434200943</v>
      </c>
      <c r="S18" s="293">
        <f t="shared" si="4"/>
        <v>25997461.546634238</v>
      </c>
      <c r="T18" s="232"/>
      <c r="U18" s="232"/>
      <c r="V18" s="15"/>
      <c r="W18" s="15"/>
      <c r="X18" s="15"/>
      <c r="Y18" s="15"/>
      <c r="Z18" s="15"/>
      <c r="AA18" s="15"/>
    </row>
    <row r="19" spans="1:27" s="25" customFormat="1" ht="12" customHeight="1" x14ac:dyDescent="0.2">
      <c r="A19" s="232"/>
      <c r="B19" s="265"/>
      <c r="C19" s="286"/>
      <c r="D19" s="232"/>
      <c r="E19" s="232"/>
      <c r="F19" s="232"/>
      <c r="G19" s="232"/>
      <c r="H19" s="232"/>
      <c r="I19" s="232"/>
      <c r="J19" s="232"/>
      <c r="K19" s="232"/>
      <c r="L19" s="232"/>
      <c r="M19" s="232"/>
      <c r="N19" s="232"/>
      <c r="O19" s="232"/>
      <c r="P19" s="232"/>
      <c r="Q19" s="232"/>
      <c r="R19" s="232"/>
      <c r="S19" s="232"/>
      <c r="T19" s="232"/>
      <c r="U19" s="232"/>
      <c r="V19" s="15"/>
      <c r="W19" s="15"/>
      <c r="X19" s="15"/>
      <c r="Y19" s="15"/>
      <c r="Z19" s="15"/>
      <c r="AA19" s="15"/>
    </row>
    <row r="20" spans="1:27" s="25" customFormat="1" ht="12" customHeight="1" x14ac:dyDescent="0.2">
      <c r="A20" s="232"/>
      <c r="B20" s="250" t="s">
        <v>383</v>
      </c>
      <c r="C20" s="286" t="s">
        <v>69</v>
      </c>
      <c r="D20" s="230"/>
      <c r="E20" s="229"/>
      <c r="F20" s="229"/>
      <c r="G20" s="229"/>
      <c r="H20" s="229"/>
      <c r="I20" s="229"/>
      <c r="J20" s="229"/>
      <c r="K20" s="229"/>
      <c r="L20" s="295">
        <f>L18/L16</f>
        <v>0.65515123463659508</v>
      </c>
      <c r="M20" s="295">
        <f t="shared" ref="M20:S20" si="5">M18/M16</f>
        <v>0.7746890460513659</v>
      </c>
      <c r="N20" s="295">
        <f t="shared" si="5"/>
        <v>0.57922139584985077</v>
      </c>
      <c r="O20" s="295">
        <f t="shared" si="5"/>
        <v>0.43921332265926344</v>
      </c>
      <c r="P20" s="295">
        <f t="shared" si="5"/>
        <v>0.45852520158809024</v>
      </c>
      <c r="Q20" s="295">
        <f t="shared" si="5"/>
        <v>0.43448616317940053</v>
      </c>
      <c r="R20" s="295">
        <f t="shared" si="5"/>
        <v>0.43932294853961174</v>
      </c>
      <c r="S20" s="295">
        <f t="shared" si="5"/>
        <v>0.42326905390836844</v>
      </c>
      <c r="T20" s="232"/>
      <c r="U20" s="232"/>
      <c r="V20" s="15"/>
      <c r="W20" s="15"/>
      <c r="X20" s="15"/>
      <c r="Y20" s="15"/>
      <c r="Z20" s="15"/>
      <c r="AA20" s="15"/>
    </row>
    <row r="21" spans="1:27" s="25" customFormat="1" ht="12" customHeight="1" x14ac:dyDescent="0.2">
      <c r="A21" s="232"/>
      <c r="B21" s="250"/>
      <c r="C21" s="286"/>
      <c r="D21" s="230"/>
      <c r="E21" s="229"/>
      <c r="F21" s="229"/>
      <c r="G21" s="229"/>
      <c r="H21" s="229"/>
      <c r="I21" s="229"/>
      <c r="J21" s="229"/>
      <c r="K21" s="229"/>
      <c r="L21" s="295"/>
      <c r="M21" s="295"/>
      <c r="N21" s="295"/>
      <c r="O21" s="295"/>
      <c r="P21" s="295"/>
      <c r="Q21" s="295"/>
      <c r="R21" s="295"/>
      <c r="S21" s="295"/>
      <c r="T21" s="232"/>
      <c r="U21" s="232"/>
      <c r="V21" s="15"/>
      <c r="W21" s="15"/>
      <c r="X21" s="15"/>
      <c r="Y21" s="15"/>
      <c r="Z21" s="15"/>
      <c r="AA21" s="15"/>
    </row>
    <row r="22" spans="1:27" s="25" customFormat="1" ht="12" customHeight="1" x14ac:dyDescent="0.2">
      <c r="A22" s="232"/>
      <c r="B22" s="287" t="s">
        <v>266</v>
      </c>
      <c r="C22" s="286"/>
      <c r="D22" s="232"/>
      <c r="E22" s="232"/>
      <c r="F22" s="232"/>
      <c r="G22" s="232"/>
      <c r="H22" s="232"/>
      <c r="I22" s="232"/>
      <c r="J22" s="232"/>
      <c r="K22" s="232"/>
      <c r="L22" s="229"/>
      <c r="M22" s="288"/>
      <c r="N22" s="288"/>
      <c r="O22" s="288"/>
      <c r="P22" s="243"/>
      <c r="Q22" s="243"/>
      <c r="R22" s="243"/>
      <c r="S22" s="288"/>
      <c r="T22" s="232"/>
      <c r="U22" s="232"/>
      <c r="V22" s="15"/>
      <c r="W22" s="15"/>
      <c r="X22" s="15"/>
      <c r="Y22" s="15"/>
      <c r="Z22" s="15"/>
      <c r="AA22" s="15"/>
    </row>
    <row r="23" spans="1:27" s="25" customFormat="1" ht="12" customHeight="1" x14ac:dyDescent="0.2">
      <c r="A23" s="232"/>
      <c r="B23" s="287"/>
      <c r="C23" s="286"/>
      <c r="D23" s="232"/>
      <c r="E23" s="232"/>
      <c r="F23" s="232"/>
      <c r="G23" s="232"/>
      <c r="H23" s="232"/>
      <c r="I23" s="232"/>
      <c r="J23" s="232"/>
      <c r="K23" s="232"/>
      <c r="L23" s="229"/>
      <c r="M23" s="288"/>
      <c r="N23" s="288"/>
      <c r="O23" s="243"/>
      <c r="P23" s="243"/>
      <c r="Q23" s="243"/>
      <c r="R23" s="243"/>
      <c r="S23" s="243"/>
      <c r="T23" s="232"/>
      <c r="U23" s="232"/>
      <c r="V23" s="15"/>
      <c r="W23" s="15"/>
      <c r="X23" s="15"/>
      <c r="Y23" s="15"/>
      <c r="Z23" s="15"/>
      <c r="AA23" s="15"/>
    </row>
    <row r="24" spans="1:27" s="25" customFormat="1" ht="12" customHeight="1" x14ac:dyDescent="0.2">
      <c r="A24" s="232"/>
      <c r="B24" s="250" t="s">
        <v>384</v>
      </c>
      <c r="C24" s="286" t="s">
        <v>250</v>
      </c>
      <c r="D24" s="232"/>
      <c r="E24" s="232"/>
      <c r="F24" s="232"/>
      <c r="G24" s="232"/>
      <c r="H24" s="232"/>
      <c r="I24" s="232"/>
      <c r="J24" s="232"/>
      <c r="K24" s="232"/>
      <c r="L24" s="290">
        <f>L76</f>
        <v>63004353.999999993</v>
      </c>
      <c r="M24" s="290">
        <f t="shared" ref="M24:S24" si="6">M76</f>
        <v>44678704.269393146</v>
      </c>
      <c r="N24" s="290">
        <f t="shared" si="6"/>
        <v>60747818.001665995</v>
      </c>
      <c r="O24" s="290">
        <f t="shared" si="6"/>
        <v>72165277.257395446</v>
      </c>
      <c r="P24" s="290">
        <f t="shared" si="6"/>
        <v>65920689.936639383</v>
      </c>
      <c r="Q24" s="290">
        <f t="shared" si="6"/>
        <v>66616379.419026896</v>
      </c>
      <c r="R24" s="290">
        <f t="shared" si="6"/>
        <v>65674064.846767902</v>
      </c>
      <c r="S24" s="290">
        <f t="shared" si="6"/>
        <v>61155887.673698828</v>
      </c>
      <c r="T24" s="232"/>
      <c r="U24" s="232"/>
      <c r="V24" s="15"/>
      <c r="W24" s="15"/>
      <c r="X24" s="15"/>
      <c r="Y24" s="15"/>
      <c r="Z24" s="15"/>
      <c r="AA24" s="15"/>
    </row>
    <row r="25" spans="1:27" s="25" customFormat="1" ht="12" customHeight="1" x14ac:dyDescent="0.2">
      <c r="A25" s="232"/>
      <c r="B25" s="250" t="s">
        <v>385</v>
      </c>
      <c r="C25" s="286" t="s">
        <v>250</v>
      </c>
      <c r="D25" s="232"/>
      <c r="E25" s="232"/>
      <c r="F25" s="232"/>
      <c r="G25" s="232"/>
      <c r="H25" s="232"/>
      <c r="I25" s="232"/>
      <c r="J25" s="232"/>
      <c r="K25" s="232"/>
      <c r="L25" s="290">
        <f>L95</f>
        <v>0</v>
      </c>
      <c r="M25" s="290">
        <f t="shared" ref="M25:S25" si="7">M95</f>
        <v>11092936.890000001</v>
      </c>
      <c r="N25" s="290">
        <f t="shared" si="7"/>
        <v>10702581.651988026</v>
      </c>
      <c r="O25" s="290">
        <f t="shared" si="7"/>
        <v>6032261.0454512825</v>
      </c>
      <c r="P25" s="290">
        <f t="shared" si="7"/>
        <v>1332545.3326392709</v>
      </c>
      <c r="Q25" s="290">
        <f t="shared" si="7"/>
        <v>5075452.7970312648</v>
      </c>
      <c r="R25" s="290">
        <f t="shared" si="7"/>
        <v>4127722.6614697934</v>
      </c>
      <c r="S25" s="290">
        <f t="shared" si="7"/>
        <v>4511891.8852117918</v>
      </c>
      <c r="T25" s="232"/>
      <c r="U25" s="232"/>
      <c r="V25" s="15"/>
      <c r="W25" s="15"/>
      <c r="X25" s="15"/>
      <c r="Y25" s="15"/>
      <c r="Z25" s="15"/>
      <c r="AA25" s="15"/>
    </row>
    <row r="26" spans="1:27" s="25" customFormat="1" ht="12" customHeight="1" x14ac:dyDescent="0.2">
      <c r="A26" s="232"/>
      <c r="B26" s="232" t="s">
        <v>386</v>
      </c>
      <c r="C26" s="286" t="s">
        <v>250</v>
      </c>
      <c r="D26" s="232"/>
      <c r="E26" s="232"/>
      <c r="F26" s="232"/>
      <c r="G26" s="232"/>
      <c r="H26" s="232"/>
      <c r="I26" s="232"/>
      <c r="J26" s="232"/>
      <c r="K26" s="232"/>
      <c r="L26" s="290">
        <f>L77</f>
        <v>0</v>
      </c>
      <c r="M26" s="290">
        <f t="shared" ref="M26:S26" si="8">M77</f>
        <v>5884618.541485928</v>
      </c>
      <c r="N26" s="290">
        <f t="shared" si="8"/>
        <v>9519109.2074618042</v>
      </c>
      <c r="O26" s="290">
        <f t="shared" si="8"/>
        <v>6826286.8979321867</v>
      </c>
      <c r="P26" s="290">
        <f t="shared" si="8"/>
        <v>5558079.8084727377</v>
      </c>
      <c r="Q26" s="290">
        <f t="shared" si="8"/>
        <v>6694101.6654114425</v>
      </c>
      <c r="R26" s="290">
        <f t="shared" si="8"/>
        <v>8097478.9728862941</v>
      </c>
      <c r="S26" s="290">
        <f t="shared" si="8"/>
        <v>9449107.503840223</v>
      </c>
      <c r="T26" s="232"/>
      <c r="U26" s="232"/>
      <c r="V26" s="15"/>
      <c r="W26" s="15"/>
      <c r="X26" s="15"/>
      <c r="Y26" s="15"/>
      <c r="Z26" s="15"/>
      <c r="AA26" s="15"/>
    </row>
    <row r="27" spans="1:27" s="25" customFormat="1" ht="12" customHeight="1" x14ac:dyDescent="0.2">
      <c r="A27" s="232"/>
      <c r="B27" s="232" t="s">
        <v>387</v>
      </c>
      <c r="C27" s="286" t="s">
        <v>250</v>
      </c>
      <c r="D27" s="232"/>
      <c r="E27" s="232"/>
      <c r="F27" s="232"/>
      <c r="G27" s="232"/>
      <c r="H27" s="232"/>
      <c r="I27" s="232"/>
      <c r="J27" s="232"/>
      <c r="K27" s="232"/>
      <c r="L27" s="290">
        <f>L96</f>
        <v>0</v>
      </c>
      <c r="M27" s="290">
        <f t="shared" ref="M27:S27" si="9">M96</f>
        <v>0</v>
      </c>
      <c r="N27" s="290">
        <f t="shared" si="9"/>
        <v>0</v>
      </c>
      <c r="O27" s="290">
        <f t="shared" si="9"/>
        <v>0</v>
      </c>
      <c r="P27" s="290">
        <f t="shared" si="9"/>
        <v>0</v>
      </c>
      <c r="Q27" s="290">
        <f t="shared" si="9"/>
        <v>0</v>
      </c>
      <c r="R27" s="290">
        <f t="shared" si="9"/>
        <v>0</v>
      </c>
      <c r="S27" s="290">
        <f t="shared" si="9"/>
        <v>0</v>
      </c>
      <c r="T27" s="232"/>
      <c r="U27" s="232"/>
      <c r="V27" s="15"/>
      <c r="W27" s="15"/>
      <c r="X27" s="15"/>
      <c r="Y27" s="15"/>
      <c r="Z27" s="15"/>
      <c r="AA27" s="15"/>
    </row>
    <row r="28" spans="1:27" s="25" customFormat="1" ht="12" customHeight="1" x14ac:dyDescent="0.2">
      <c r="A28" s="232"/>
      <c r="B28" s="265"/>
      <c r="C28" s="286"/>
      <c r="D28" s="232"/>
      <c r="E28" s="232"/>
      <c r="F28" s="232"/>
      <c r="G28" s="232"/>
      <c r="H28" s="232"/>
      <c r="I28" s="232"/>
      <c r="J28" s="232"/>
      <c r="K28" s="232"/>
      <c r="L28" s="232"/>
      <c r="M28" s="229"/>
      <c r="N28" s="232"/>
      <c r="O28" s="232"/>
      <c r="P28" s="232"/>
      <c r="Q28" s="232"/>
      <c r="R28" s="232"/>
      <c r="S28" s="232"/>
      <c r="T28" s="232"/>
      <c r="U28" s="232"/>
      <c r="V28" s="15"/>
      <c r="W28" s="15"/>
      <c r="X28" s="15"/>
      <c r="Y28" s="15"/>
      <c r="Z28" s="15"/>
      <c r="AA28" s="15"/>
    </row>
    <row r="29" spans="1:27" s="25" customFormat="1" ht="12" customHeight="1" x14ac:dyDescent="0.2">
      <c r="A29" s="232"/>
      <c r="B29" s="283" t="s">
        <v>384</v>
      </c>
      <c r="C29" s="284" t="s">
        <v>51</v>
      </c>
      <c r="D29" s="285" t="s">
        <v>52</v>
      </c>
      <c r="E29" s="284" t="s">
        <v>53</v>
      </c>
      <c r="F29" s="232"/>
      <c r="G29" s="232"/>
      <c r="H29" s="232"/>
      <c r="I29" s="232"/>
      <c r="J29" s="232"/>
      <c r="K29" s="232"/>
      <c r="L29" s="232"/>
      <c r="M29" s="229"/>
      <c r="N29" s="232"/>
      <c r="O29" s="232"/>
      <c r="P29" s="232"/>
      <c r="Q29" s="232"/>
      <c r="R29" s="232"/>
      <c r="S29" s="232"/>
      <c r="T29" s="232"/>
      <c r="U29" s="232"/>
      <c r="V29" s="15"/>
      <c r="W29" s="15"/>
      <c r="X29" s="15"/>
      <c r="Y29" s="15"/>
      <c r="Z29" s="15"/>
      <c r="AA29" s="15"/>
    </row>
    <row r="30" spans="1:27" s="25" customFormat="1" ht="12" customHeight="1" x14ac:dyDescent="0.2">
      <c r="A30" s="232"/>
      <c r="B30" s="265"/>
      <c r="C30" s="286"/>
      <c r="D30" s="232"/>
      <c r="E30" s="232"/>
      <c r="F30" s="232"/>
      <c r="G30" s="232"/>
      <c r="H30" s="232"/>
      <c r="I30" s="232"/>
      <c r="J30" s="232"/>
      <c r="K30" s="232"/>
      <c r="L30" s="232"/>
      <c r="M30" s="229"/>
      <c r="N30" s="232"/>
      <c r="O30" s="232"/>
      <c r="P30" s="232"/>
      <c r="Q30" s="232"/>
      <c r="R30" s="232"/>
      <c r="S30" s="232"/>
      <c r="T30" s="232"/>
      <c r="U30" s="232"/>
      <c r="V30" s="15"/>
      <c r="W30" s="15"/>
      <c r="X30" s="15"/>
      <c r="Y30" s="15"/>
      <c r="Z30" s="15"/>
      <c r="AA30" s="15"/>
    </row>
    <row r="31" spans="1:27" s="25" customFormat="1" ht="12" customHeight="1" x14ac:dyDescent="0.2">
      <c r="A31" s="232"/>
      <c r="B31" s="287" t="s">
        <v>388</v>
      </c>
      <c r="C31" s="286"/>
      <c r="D31" s="232"/>
      <c r="E31" s="232"/>
      <c r="F31" s="232"/>
      <c r="G31" s="232"/>
      <c r="H31" s="232"/>
      <c r="I31" s="232"/>
      <c r="J31" s="232"/>
      <c r="K31" s="232"/>
      <c r="L31" s="232"/>
      <c r="M31" s="229"/>
      <c r="N31" s="232"/>
      <c r="O31" s="232"/>
      <c r="P31" s="232"/>
      <c r="Q31" s="232"/>
      <c r="R31" s="232"/>
      <c r="S31" s="232"/>
      <c r="T31" s="232"/>
      <c r="U31" s="232"/>
      <c r="V31" s="15"/>
      <c r="W31" s="15"/>
      <c r="X31" s="15"/>
      <c r="Y31" s="15"/>
      <c r="Z31" s="15"/>
      <c r="AA31" s="15"/>
    </row>
    <row r="32" spans="1:27" s="25" customFormat="1" ht="12" customHeight="1" x14ac:dyDescent="0.2">
      <c r="A32" s="232"/>
      <c r="B32" s="265"/>
      <c r="C32" s="286"/>
      <c r="D32" s="232"/>
      <c r="E32" s="232"/>
      <c r="F32" s="232"/>
      <c r="G32" s="232"/>
      <c r="H32" s="232"/>
      <c r="I32" s="232"/>
      <c r="J32" s="232"/>
      <c r="K32" s="232"/>
      <c r="L32" s="232"/>
      <c r="M32" s="229"/>
      <c r="N32" s="232"/>
      <c r="O32" s="232"/>
      <c r="P32" s="232"/>
      <c r="Q32" s="232"/>
      <c r="R32" s="232"/>
      <c r="S32" s="232"/>
      <c r="T32" s="232"/>
      <c r="U32" s="232"/>
      <c r="V32" s="15"/>
      <c r="W32" s="15"/>
      <c r="X32" s="15"/>
      <c r="Y32" s="15"/>
      <c r="Z32" s="15"/>
      <c r="AA32" s="15"/>
    </row>
    <row r="33" spans="1:27" s="25" customFormat="1" ht="12" customHeight="1" x14ac:dyDescent="0.2">
      <c r="A33" s="232"/>
      <c r="B33" s="267" t="s">
        <v>389</v>
      </c>
      <c r="C33" s="286" t="s">
        <v>250</v>
      </c>
      <c r="D33" s="232"/>
      <c r="E33" s="232"/>
      <c r="F33" s="232"/>
      <c r="G33" s="232"/>
      <c r="H33" s="232"/>
      <c r="I33" s="232"/>
      <c r="J33" s="232"/>
      <c r="K33" s="232"/>
      <c r="L33" s="290">
        <f>('Historical capex'!L196-'Historical capex'!L192)+SUMIFS('Forecast capex'!$U$9:$U$1940,'Forecast capex'!$L$9:$L$1940,$B29,'Forecast capex'!$J$9:$J$1940,L$13)</f>
        <v>66047541.71574793</v>
      </c>
      <c r="M33" s="290">
        <f>('Historical capex'!M196-'Historical capex'!M192)+SUMIFS('Forecast capex'!$U$9:$U$1940,'Forecast capex'!$L$9:$L$1940,$B29,'Forecast capex'!$J$9:$J$1940,M$13)</f>
        <v>48706190.828564525</v>
      </c>
      <c r="N33" s="290">
        <f>('Historical capex'!N196-'Historical capex'!N192)+SUMIFS('Forecast capex'!$U$9:$U$1940,'Forecast capex'!$L$9:$L$1940,$B29,'Forecast capex'!$J$9:$J$1940,N$13)</f>
        <v>59706988.312641084</v>
      </c>
      <c r="O33" s="290">
        <f>('Historical capex'!O196-'Historical capex'!O192)+SUMIFS('Forecast capex'!$U$9:$U$1940,'Forecast capex'!$L$9:$L$1940,$B29,'Forecast capex'!$J$9:$J$1940,O$13)</f>
        <v>66816149.194998622</v>
      </c>
      <c r="P33" s="290">
        <f>('Historical capex'!P196-'Historical capex'!P192)+SUMIFS('Forecast capex'!$U$9:$U$1940,'Forecast capex'!$L$9:$L$1940,$B29,'Forecast capex'!$J$9:$J$1940,P$13)</f>
        <v>64554437.067897938</v>
      </c>
      <c r="Q33" s="290">
        <f>('Historical capex'!Q196-'Historical capex'!Q192)+SUMIFS('Forecast capex'!$U$9:$U$1940,'Forecast capex'!$L$9:$L$1940,$B29,'Forecast capex'!$J$9:$J$1940,Q$13)</f>
        <v>67213609.079216808</v>
      </c>
      <c r="R33" s="290">
        <f>('Historical capex'!R196-'Historical capex'!R192)+SUMIFS('Forecast capex'!$U$9:$U$1940,'Forecast capex'!$L$9:$L$1940,$B29,'Forecast capex'!$J$9:$J$1940,R$13)</f>
        <v>63881300.056143664</v>
      </c>
      <c r="S33" s="290">
        <f>('Historical capex'!S196-'Historical capex'!S192)+SUMIFS('Forecast capex'!$U$9:$U$1940,'Forecast capex'!$L$9:$L$1940,$B29,'Forecast capex'!$J$9:$J$1940,S$13)</f>
        <v>58625270.255561188</v>
      </c>
      <c r="T33" s="232"/>
      <c r="U33" s="232"/>
      <c r="V33" s="15"/>
      <c r="W33" s="15"/>
      <c r="X33" s="15"/>
      <c r="Y33" s="15"/>
      <c r="Z33" s="15"/>
      <c r="AA33" s="15"/>
    </row>
    <row r="34" spans="1:27" s="25" customFormat="1" ht="12" customHeight="1" x14ac:dyDescent="0.2">
      <c r="A34" s="232"/>
      <c r="B34" s="267" t="s">
        <v>390</v>
      </c>
      <c r="C34" s="286" t="s">
        <v>250</v>
      </c>
      <c r="D34" s="232"/>
      <c r="E34" s="232"/>
      <c r="F34" s="232"/>
      <c r="G34" s="232"/>
      <c r="H34" s="232"/>
      <c r="I34" s="232"/>
      <c r="J34" s="232"/>
      <c r="K34" s="232"/>
      <c r="L34" s="290">
        <f>SUM('Historical capex'!L$189:L$192)+SUMIFS('Forecast capex'!$V$9:$V$1940,'Forecast capex'!$J$9:$J$1940,L$13,'Forecast capex'!$L$9:$L$1940,$B29)</f>
        <v>69922828.421837211</v>
      </c>
      <c r="M34" s="290">
        <f>SUM('Historical capex'!M$189:M$192)+SUMIFS('Forecast capex'!$V$9:$V$1940,'Forecast capex'!$J$9:$J$1940,M$13,'Forecast capex'!$L$9:$L$1940,$B29)</f>
        <v>58408181.983716257</v>
      </c>
      <c r="N34" s="290">
        <f>SUM('Historical capex'!N$189:N$192)+SUMIFS('Forecast capex'!$V$9:$V$1940,'Forecast capex'!$J$9:$J$1940,N$13,'Forecast capex'!$L$9:$L$1940,$B29)</f>
        <v>66401896.195627712</v>
      </c>
      <c r="O34" s="290">
        <f>SUM('Historical capex'!O$189:O$192)+SUMIFS('Forecast capex'!$V$9:$V$1940,'Forecast capex'!$J$9:$J$1940,O$13,'Forecast capex'!$L$9:$L$1940,$B29)</f>
        <v>72306510.426125914</v>
      </c>
      <c r="P34" s="290">
        <f>SUM('Historical capex'!P$189:P$192)+SUMIFS('Forecast capex'!$V$9:$V$1940,'Forecast capex'!$J$9:$J$1940,P$13,'Forecast capex'!$L$9:$L$1940,$B29)</f>
        <v>70157662.594600976</v>
      </c>
      <c r="Q34" s="290">
        <f>SUM('Historical capex'!Q$189:Q$192)+SUMIFS('Forecast capex'!$V$9:$V$1940,'Forecast capex'!$J$9:$J$1940,Q$13,'Forecast capex'!$L$9:$L$1940,$B29)</f>
        <v>74634961.503767192</v>
      </c>
      <c r="R34" s="290">
        <f>SUM('Historical capex'!R$189:R$192)+SUMIFS('Forecast capex'!$V$9:$V$1940,'Forecast capex'!$J$9:$J$1940,R$13,'Forecast capex'!$L$9:$L$1940,$B29)</f>
        <v>72429530.061253905</v>
      </c>
      <c r="S34" s="290">
        <f>SUM('Historical capex'!S$189:S$192)+SUMIFS('Forecast capex'!$V$9:$V$1940,'Forecast capex'!$J$9:$J$1940,S$13,'Forecast capex'!$L$9:$L$1940,$B29)</f>
        <v>68674962.758554757</v>
      </c>
      <c r="T34" s="232"/>
      <c r="U34" s="232"/>
      <c r="V34" s="15"/>
      <c r="W34" s="15"/>
      <c r="X34" s="15"/>
      <c r="Y34" s="15"/>
      <c r="Z34" s="15"/>
      <c r="AA34" s="15"/>
    </row>
    <row r="35" spans="1:27" s="25" customFormat="1" ht="12" customHeight="1" x14ac:dyDescent="0.2">
      <c r="A35" s="232"/>
      <c r="B35" s="267" t="s">
        <v>297</v>
      </c>
      <c r="C35" s="286" t="s">
        <v>250</v>
      </c>
      <c r="D35" s="232"/>
      <c r="E35" s="232"/>
      <c r="F35" s="232"/>
      <c r="G35" s="232"/>
      <c r="H35" s="232"/>
      <c r="I35" s="232"/>
      <c r="J35" s="232"/>
      <c r="K35" s="232"/>
      <c r="L35" s="289">
        <f t="shared" ref="L35" si="10">L34-L33</f>
        <v>3875286.7060892805</v>
      </c>
      <c r="M35" s="290">
        <f t="shared" ref="M35" si="11">M34-M33</f>
        <v>9701991.1551517323</v>
      </c>
      <c r="N35" s="289">
        <f t="shared" ref="N35" si="12">N34-N33</f>
        <v>6694907.8829866275</v>
      </c>
      <c r="O35" s="289">
        <f t="shared" ref="O35" si="13">O34-O33</f>
        <v>5490361.2311272919</v>
      </c>
      <c r="P35" s="289">
        <f t="shared" ref="P35" si="14">P34-P33</f>
        <v>5603225.5267030373</v>
      </c>
      <c r="Q35" s="289">
        <f t="shared" ref="Q35" si="15">Q34-Q33</f>
        <v>7421352.4245503843</v>
      </c>
      <c r="R35" s="289">
        <f t="shared" ref="R35" si="16">R34-R33</f>
        <v>8548230.0051102415</v>
      </c>
      <c r="S35" s="289">
        <f t="shared" ref="S35" si="17">S34-S33</f>
        <v>10049692.502993569</v>
      </c>
      <c r="T35" s="232"/>
      <c r="U35" s="232"/>
      <c r="V35" s="15"/>
      <c r="W35" s="15"/>
      <c r="X35" s="15"/>
      <c r="Y35" s="15"/>
      <c r="Z35" s="15"/>
      <c r="AA35" s="15"/>
    </row>
    <row r="36" spans="1:27" s="25" customFormat="1" ht="12" customHeight="1" x14ac:dyDescent="0.2">
      <c r="A36" s="232"/>
      <c r="B36" s="265"/>
      <c r="C36" s="286"/>
      <c r="D36" s="232"/>
      <c r="E36" s="232"/>
      <c r="F36" s="232"/>
      <c r="G36" s="232"/>
      <c r="H36" s="232"/>
      <c r="I36" s="232"/>
      <c r="J36" s="232"/>
      <c r="K36" s="232"/>
      <c r="L36" s="232"/>
      <c r="M36" s="229"/>
      <c r="N36" s="232"/>
      <c r="O36" s="232"/>
      <c r="P36" s="232"/>
      <c r="Q36" s="232"/>
      <c r="R36" s="232"/>
      <c r="S36" s="232"/>
      <c r="T36" s="232"/>
      <c r="U36" s="232"/>
      <c r="V36" s="15"/>
      <c r="W36" s="15"/>
      <c r="X36" s="15"/>
      <c r="Y36" s="15"/>
      <c r="Z36" s="15"/>
      <c r="AA36" s="15"/>
    </row>
    <row r="37" spans="1:27" s="25" customFormat="1" ht="12" customHeight="1" x14ac:dyDescent="0.2">
      <c r="A37" s="232"/>
      <c r="B37" s="287" t="s">
        <v>391</v>
      </c>
      <c r="C37" s="286"/>
      <c r="D37" s="232"/>
      <c r="E37" s="232"/>
      <c r="F37" s="232"/>
      <c r="G37" s="232"/>
      <c r="H37" s="232"/>
      <c r="I37" s="232"/>
      <c r="J37" s="232"/>
      <c r="K37" s="232"/>
      <c r="L37" s="232"/>
      <c r="M37" s="229"/>
      <c r="N37" s="232"/>
      <c r="O37" s="232"/>
      <c r="P37" s="232"/>
      <c r="Q37" s="232"/>
      <c r="R37" s="232"/>
      <c r="S37" s="232"/>
      <c r="T37" s="232"/>
      <c r="U37" s="232"/>
      <c r="V37" s="15"/>
      <c r="W37" s="15"/>
      <c r="X37" s="15"/>
      <c r="Y37" s="15"/>
      <c r="Z37" s="15"/>
      <c r="AA37" s="15"/>
    </row>
    <row r="38" spans="1:27" s="25" customFormat="1" ht="12" customHeight="1" x14ac:dyDescent="0.2">
      <c r="A38" s="232"/>
      <c r="B38" s="265"/>
      <c r="C38" s="286"/>
      <c r="D38" s="232"/>
      <c r="E38" s="232"/>
      <c r="F38" s="232"/>
      <c r="G38" s="232"/>
      <c r="H38" s="232"/>
      <c r="I38" s="232"/>
      <c r="J38" s="232"/>
      <c r="K38" s="232"/>
      <c r="L38" s="232"/>
      <c r="M38" s="229"/>
      <c r="N38" s="232"/>
      <c r="O38" s="232"/>
      <c r="P38" s="232"/>
      <c r="Q38" s="232"/>
      <c r="R38" s="232"/>
      <c r="S38" s="232"/>
      <c r="T38" s="232"/>
      <c r="U38" s="232"/>
      <c r="V38" s="15"/>
      <c r="W38" s="15"/>
      <c r="X38" s="15"/>
      <c r="Y38" s="15"/>
      <c r="Z38" s="15"/>
      <c r="AA38" s="15"/>
    </row>
    <row r="39" spans="1:27" s="25" customFormat="1" ht="12" customHeight="1" x14ac:dyDescent="0.2">
      <c r="A39" s="232"/>
      <c r="B39" s="267" t="s">
        <v>392</v>
      </c>
      <c r="C39" s="286" t="s">
        <v>250</v>
      </c>
      <c r="D39" s="232"/>
      <c r="E39" s="232"/>
      <c r="F39" s="232"/>
      <c r="G39" s="232"/>
      <c r="H39" s="232"/>
      <c r="I39" s="232"/>
      <c r="J39" s="232"/>
      <c r="K39" s="232"/>
      <c r="L39" s="199">
        <v>40228000</v>
      </c>
      <c r="M39" s="229"/>
      <c r="N39" s="232"/>
      <c r="O39" s="232"/>
      <c r="P39" s="232"/>
      <c r="Q39" s="232"/>
      <c r="R39" s="232"/>
      <c r="S39" s="232"/>
      <c r="T39" s="232"/>
      <c r="U39" s="232"/>
      <c r="V39" s="15"/>
      <c r="W39" s="15"/>
      <c r="X39" s="15"/>
      <c r="Y39" s="15"/>
      <c r="Z39" s="15"/>
      <c r="AA39" s="15"/>
    </row>
    <row r="40" spans="1:27" s="25" customFormat="1" ht="12" customHeight="1" x14ac:dyDescent="0.2">
      <c r="A40" s="232"/>
      <c r="B40" s="267" t="s">
        <v>306</v>
      </c>
      <c r="C40" s="286" t="s">
        <v>250</v>
      </c>
      <c r="D40" s="232"/>
      <c r="E40" s="232"/>
      <c r="F40" s="232"/>
      <c r="G40" s="232"/>
      <c r="H40" s="232"/>
      <c r="I40" s="232"/>
      <c r="J40" s="232"/>
      <c r="K40" s="232"/>
      <c r="L40" s="199">
        <v>66047370.000000007</v>
      </c>
      <c r="M40" s="229"/>
      <c r="N40" s="232"/>
      <c r="O40" s="232"/>
      <c r="P40" s="232"/>
      <c r="Q40" s="232"/>
      <c r="R40" s="232"/>
      <c r="S40" s="232"/>
      <c r="T40" s="232"/>
      <c r="U40" s="232"/>
      <c r="V40" s="15"/>
      <c r="W40" s="15"/>
      <c r="X40" s="15"/>
      <c r="Y40" s="15"/>
      <c r="Z40" s="15"/>
      <c r="AA40" s="15"/>
    </row>
    <row r="41" spans="1:27" s="25" customFormat="1" ht="12" customHeight="1" x14ac:dyDescent="0.2">
      <c r="A41" s="232"/>
      <c r="B41" s="267" t="s">
        <v>266</v>
      </c>
      <c r="C41" s="286" t="s">
        <v>250</v>
      </c>
      <c r="D41" s="232"/>
      <c r="E41" s="232"/>
      <c r="F41" s="232"/>
      <c r="G41" s="232"/>
      <c r="H41" s="232"/>
      <c r="I41" s="232"/>
      <c r="J41" s="232"/>
      <c r="K41" s="232"/>
      <c r="L41" s="199">
        <v>63004353.999999993</v>
      </c>
      <c r="M41" s="229"/>
      <c r="N41" s="229"/>
      <c r="O41" s="232"/>
      <c r="P41" s="232"/>
      <c r="Q41" s="232"/>
      <c r="R41" s="232"/>
      <c r="S41" s="232"/>
      <c r="T41" s="232"/>
      <c r="U41" s="232"/>
      <c r="V41" s="15"/>
      <c r="W41" s="15"/>
      <c r="X41" s="15"/>
      <c r="Y41" s="15"/>
      <c r="Z41" s="15"/>
      <c r="AA41" s="15"/>
    </row>
    <row r="42" spans="1:27" s="25" customFormat="1" ht="12" customHeight="1" x14ac:dyDescent="0.2">
      <c r="A42" s="232"/>
      <c r="B42" s="267" t="s">
        <v>393</v>
      </c>
      <c r="C42" s="286" t="s">
        <v>250</v>
      </c>
      <c r="D42" s="232"/>
      <c r="E42" s="232"/>
      <c r="F42" s="232"/>
      <c r="G42" s="232"/>
      <c r="H42" s="232"/>
      <c r="I42" s="232"/>
      <c r="J42" s="232"/>
      <c r="K42" s="232"/>
      <c r="L42" s="199">
        <v>43271016.000000015</v>
      </c>
      <c r="M42" s="229"/>
      <c r="N42" s="232"/>
      <c r="O42" s="232"/>
      <c r="P42" s="232"/>
      <c r="Q42" s="232"/>
      <c r="R42" s="232"/>
      <c r="S42" s="232"/>
      <c r="T42" s="232"/>
      <c r="U42" s="232"/>
      <c r="V42" s="15"/>
      <c r="W42" s="15"/>
      <c r="X42" s="15"/>
      <c r="Y42" s="15"/>
      <c r="Z42" s="15"/>
      <c r="AA42" s="15"/>
    </row>
    <row r="43" spans="1:27" s="25" customFormat="1" ht="12" customHeight="1" x14ac:dyDescent="0.2">
      <c r="A43" s="232"/>
      <c r="B43" s="265"/>
      <c r="C43" s="286"/>
      <c r="D43" s="232"/>
      <c r="E43" s="232"/>
      <c r="F43" s="232"/>
      <c r="G43" s="232"/>
      <c r="H43" s="232"/>
      <c r="I43" s="232"/>
      <c r="J43" s="232"/>
      <c r="K43" s="232"/>
      <c r="L43" s="289"/>
      <c r="M43" s="229"/>
      <c r="N43" s="232"/>
      <c r="O43" s="232"/>
      <c r="P43" s="296"/>
      <c r="Q43" s="232"/>
      <c r="R43" s="232"/>
      <c r="S43" s="232"/>
      <c r="T43" s="232"/>
      <c r="U43" s="232"/>
      <c r="V43" s="15"/>
      <c r="W43" s="15"/>
      <c r="X43" s="15"/>
      <c r="Y43" s="15"/>
      <c r="Z43" s="15"/>
      <c r="AA43" s="15"/>
    </row>
    <row r="44" spans="1:27" s="25" customFormat="1" ht="12" customHeight="1" x14ac:dyDescent="0.2">
      <c r="A44" s="232"/>
      <c r="B44" s="250" t="s">
        <v>383</v>
      </c>
      <c r="C44" s="286" t="s">
        <v>69</v>
      </c>
      <c r="D44" s="232"/>
      <c r="E44" s="232"/>
      <c r="F44" s="232"/>
      <c r="G44" s="232"/>
      <c r="H44" s="232"/>
      <c r="I44" s="232"/>
      <c r="J44" s="232"/>
      <c r="K44" s="232"/>
      <c r="L44" s="295">
        <f>L42/L40</f>
        <v>0.65515123463659508</v>
      </c>
      <c r="M44" s="229"/>
      <c r="N44" s="232"/>
      <c r="O44" s="232"/>
      <c r="P44" s="232"/>
      <c r="Q44" s="232"/>
      <c r="R44" s="232"/>
      <c r="S44" s="232"/>
      <c r="T44" s="232"/>
      <c r="U44" s="232"/>
      <c r="V44" s="15"/>
      <c r="W44" s="15"/>
      <c r="X44" s="15"/>
      <c r="Y44" s="15"/>
      <c r="Z44" s="15"/>
      <c r="AA44" s="15"/>
    </row>
    <row r="45" spans="1:27" s="25" customFormat="1" ht="12" customHeight="1" x14ac:dyDescent="0.2">
      <c r="A45" s="232"/>
      <c r="B45" s="265"/>
      <c r="C45" s="286"/>
      <c r="D45" s="232"/>
      <c r="E45" s="232"/>
      <c r="F45" s="232"/>
      <c r="G45" s="232"/>
      <c r="H45" s="232"/>
      <c r="I45" s="232"/>
      <c r="J45" s="232"/>
      <c r="K45" s="232"/>
      <c r="L45" s="232"/>
      <c r="M45" s="229"/>
      <c r="N45" s="232"/>
      <c r="O45" s="232"/>
      <c r="P45" s="232"/>
      <c r="Q45" s="232"/>
      <c r="R45" s="232"/>
      <c r="S45" s="232"/>
      <c r="T45" s="232"/>
      <c r="U45" s="232"/>
      <c r="V45" s="15"/>
      <c r="W45" s="15"/>
      <c r="X45" s="15"/>
      <c r="Y45" s="15"/>
      <c r="Z45" s="15"/>
      <c r="AA45" s="15"/>
    </row>
    <row r="46" spans="1:27" s="25" customFormat="1" ht="12" customHeight="1" x14ac:dyDescent="0.2">
      <c r="A46" s="232"/>
      <c r="B46" s="287" t="s">
        <v>394</v>
      </c>
      <c r="C46" s="286"/>
      <c r="D46" s="232"/>
      <c r="E46" s="232"/>
      <c r="F46" s="232"/>
      <c r="G46" s="232"/>
      <c r="H46" s="232"/>
      <c r="I46" s="232"/>
      <c r="J46" s="232"/>
      <c r="K46" s="232"/>
      <c r="L46" s="232"/>
      <c r="M46" s="229"/>
      <c r="N46" s="232"/>
      <c r="O46" s="232"/>
      <c r="P46" s="232"/>
      <c r="Q46" s="232"/>
      <c r="R46" s="232"/>
      <c r="S46" s="232"/>
      <c r="T46" s="232"/>
      <c r="U46" s="232"/>
      <c r="V46" s="15"/>
      <c r="W46" s="15"/>
      <c r="X46" s="15"/>
      <c r="Y46" s="15"/>
      <c r="Z46" s="15"/>
      <c r="AA46" s="15"/>
    </row>
    <row r="47" spans="1:27" s="25" customFormat="1" ht="12" customHeight="1" x14ac:dyDescent="0.2">
      <c r="A47" s="232"/>
      <c r="B47" s="265"/>
      <c r="C47" s="286"/>
      <c r="D47" s="232"/>
      <c r="E47" s="232"/>
      <c r="F47" s="232"/>
      <c r="G47" s="232"/>
      <c r="H47" s="232"/>
      <c r="I47" s="232"/>
      <c r="J47" s="232"/>
      <c r="K47" s="232"/>
      <c r="L47" s="232"/>
      <c r="M47" s="229"/>
      <c r="N47" s="232"/>
      <c r="O47" s="232"/>
      <c r="P47" s="232"/>
      <c r="Q47" s="232"/>
      <c r="R47" s="232"/>
      <c r="S47" s="232"/>
      <c r="T47" s="232"/>
      <c r="U47" s="232"/>
      <c r="V47" s="15"/>
      <c r="W47" s="15"/>
      <c r="X47" s="15"/>
      <c r="Y47" s="15"/>
      <c r="Z47" s="15"/>
      <c r="AA47" s="15"/>
    </row>
    <row r="48" spans="1:27" s="25" customFormat="1" ht="12" customHeight="1" x14ac:dyDescent="0.2">
      <c r="A48" s="232"/>
      <c r="B48" s="250" t="s">
        <v>383</v>
      </c>
      <c r="C48" s="286" t="s">
        <v>69</v>
      </c>
      <c r="D48" s="232"/>
      <c r="E48" s="232"/>
      <c r="F48" s="232"/>
      <c r="G48" s="232"/>
      <c r="H48" s="232"/>
      <c r="I48" s="232"/>
      <c r="J48" s="232"/>
      <c r="K48" s="232"/>
      <c r="L48" s="295"/>
      <c r="M48" s="211">
        <f>L44</f>
        <v>0.65515123463659508</v>
      </c>
      <c r="N48" s="211">
        <f>AVERAGE(M48,O48)</f>
        <v>0.5275756173182975</v>
      </c>
      <c r="O48" s="211">
        <v>0.4</v>
      </c>
      <c r="P48" s="211">
        <f>O48</f>
        <v>0.4</v>
      </c>
      <c r="Q48" s="211">
        <f t="shared" ref="Q48:S48" si="18">P48</f>
        <v>0.4</v>
      </c>
      <c r="R48" s="211">
        <f t="shared" si="18"/>
        <v>0.4</v>
      </c>
      <c r="S48" s="211">
        <f t="shared" si="18"/>
        <v>0.4</v>
      </c>
      <c r="T48" s="232"/>
      <c r="U48" s="232"/>
      <c r="V48" s="15"/>
      <c r="W48" s="15"/>
      <c r="X48" s="15"/>
      <c r="Y48" s="15"/>
      <c r="Z48" s="15"/>
      <c r="AA48" s="15"/>
    </row>
    <row r="49" spans="1:27" s="25" customFormat="1" ht="12" customHeight="1" x14ac:dyDescent="0.2">
      <c r="A49" s="232"/>
      <c r="B49" s="265"/>
      <c r="C49" s="286"/>
      <c r="D49" s="232"/>
      <c r="E49" s="232"/>
      <c r="F49" s="232"/>
      <c r="G49" s="232"/>
      <c r="H49" s="232"/>
      <c r="I49" s="232"/>
      <c r="J49" s="232"/>
      <c r="K49" s="232"/>
      <c r="L49" s="232"/>
      <c r="M49" s="229"/>
      <c r="N49" s="232"/>
      <c r="O49" s="232"/>
      <c r="P49" s="232"/>
      <c r="Q49" s="232"/>
      <c r="R49" s="232"/>
      <c r="S49" s="232"/>
      <c r="T49" s="232"/>
      <c r="U49" s="232"/>
      <c r="V49" s="15"/>
      <c r="W49" s="15"/>
      <c r="X49" s="15"/>
      <c r="Y49" s="15"/>
      <c r="Z49" s="15"/>
      <c r="AA49" s="15"/>
    </row>
    <row r="50" spans="1:27" s="25" customFormat="1" ht="12" customHeight="1" x14ac:dyDescent="0.2">
      <c r="A50" s="232"/>
      <c r="B50" s="267" t="s">
        <v>395</v>
      </c>
      <c r="C50" s="286" t="s">
        <v>250</v>
      </c>
      <c r="D50" s="232"/>
      <c r="E50" s="232"/>
      <c r="F50" s="232"/>
      <c r="G50" s="232"/>
      <c r="H50" s="232"/>
      <c r="I50" s="232"/>
      <c r="J50" s="232"/>
      <c r="K50" s="232"/>
      <c r="L50" s="232"/>
      <c r="M50" s="290">
        <f>M33*M48</f>
        <v>31909921.055779651</v>
      </c>
      <c r="N50" s="290">
        <f t="shared" ref="N50:S50" si="19">N33*N48</f>
        <v>31499951.217257995</v>
      </c>
      <c r="O50" s="290">
        <f t="shared" si="19"/>
        <v>26726459.677999452</v>
      </c>
      <c r="P50" s="290">
        <f t="shared" si="19"/>
        <v>25821774.827159178</v>
      </c>
      <c r="Q50" s="290">
        <f t="shared" si="19"/>
        <v>26885443.631686725</v>
      </c>
      <c r="R50" s="290">
        <f t="shared" si="19"/>
        <v>25552520.022457466</v>
      </c>
      <c r="S50" s="290">
        <f t="shared" si="19"/>
        <v>23450108.102224477</v>
      </c>
      <c r="T50" s="232"/>
      <c r="U50" s="232"/>
      <c r="V50" s="15"/>
      <c r="W50" s="15"/>
      <c r="X50" s="15"/>
      <c r="Y50" s="15"/>
      <c r="Z50" s="15"/>
      <c r="AA50" s="15"/>
    </row>
    <row r="51" spans="1:27" s="25" customFormat="1" ht="12" customHeight="1" x14ac:dyDescent="0.2">
      <c r="A51" s="232"/>
      <c r="B51" s="267" t="s">
        <v>396</v>
      </c>
      <c r="C51" s="286" t="s">
        <v>250</v>
      </c>
      <c r="D51" s="232"/>
      <c r="E51" s="232"/>
      <c r="F51" s="232"/>
      <c r="G51" s="232"/>
      <c r="H51" s="232"/>
      <c r="I51" s="232"/>
      <c r="J51" s="232"/>
      <c r="K51" s="232"/>
      <c r="L51" s="232"/>
      <c r="M51" s="290">
        <f>M50*IF(M$13&gt;$L$13,(INDEX('Escalators '!$M$163:$S$169,MATCH(M$13,'Escalators '!$B$163:$B$169,0),MATCH(M$13,'Escalators '!$M$160:$S$160,0))-1),0)</f>
        <v>562511.32696919737</v>
      </c>
      <c r="N51" s="290">
        <f>N50*IF(N$13&gt;$L$13,(INDEX('Escalators '!$M$163:$S$169,MATCH(N$13,'Escalators '!$B$163:$B$169,0),MATCH(N$13,'Escalators '!$M$160:$S$160,0))-1),0)</f>
        <v>555284.33704712754</v>
      </c>
      <c r="O51" s="290">
        <f>O50*IF(O$13&gt;$L$13,(INDEX('Escalators '!$M$163:$S$169,MATCH(O$13,'Escalators '!$B$163:$B$169,0),MATCH(O$13,'Escalators '!$M$160:$S$160,0))-1),0)</f>
        <v>471136.74372244219</v>
      </c>
      <c r="P51" s="290">
        <f>P50*IF(P$13&gt;$L$13,(INDEX('Escalators '!$M$163:$S$169,MATCH(P$13,'Escalators '!$B$163:$B$169,0),MATCH(P$13,'Escalators '!$M$160:$S$160,0))-1),0)</f>
        <v>455188.8673536625</v>
      </c>
      <c r="Q51" s="290">
        <f>Q50*IF(Q$13&gt;$L$13,(INDEX('Escalators '!$M$163:$S$169,MATCH(Q$13,'Escalators '!$B$163:$B$169,0),MATCH(Q$13,'Escalators '!$M$160:$S$160,0))-1),0)</f>
        <v>473939.32899362192</v>
      </c>
      <c r="R51" s="290">
        <f>R50*IF(R$13&gt;$L$13,(INDEX('Escalators '!$M$163:$S$169,MATCH(R$13,'Escalators '!$B$163:$B$169,0),MATCH(R$13,'Escalators '!$M$160:$S$160,0))-1),0)</f>
        <v>450442.4163292041</v>
      </c>
      <c r="S51" s="290">
        <f>S50*IF(S$13&gt;$L$13,(INDEX('Escalators '!$M$163:$S$169,MATCH(S$13,'Escalators '!$B$163:$B$169,0),MATCH(S$13,'Escalators '!$M$160:$S$160,0))-1),0)</f>
        <v>413380.88562159636</v>
      </c>
      <c r="T51" s="232"/>
      <c r="U51" s="232"/>
      <c r="V51" s="15"/>
      <c r="W51" s="15"/>
      <c r="X51" s="15"/>
      <c r="Y51" s="15"/>
      <c r="Z51" s="15"/>
      <c r="AA51" s="15"/>
    </row>
    <row r="52" spans="1:27" s="25" customFormat="1" ht="12" customHeight="1" x14ac:dyDescent="0.2">
      <c r="A52" s="232"/>
      <c r="B52" s="265"/>
      <c r="C52" s="286"/>
      <c r="D52" s="232"/>
      <c r="E52" s="232"/>
      <c r="F52" s="232"/>
      <c r="G52" s="232"/>
      <c r="H52" s="232"/>
      <c r="I52" s="232"/>
      <c r="J52" s="232"/>
      <c r="K52" s="232"/>
      <c r="L52" s="232"/>
      <c r="M52" s="229"/>
      <c r="N52" s="232"/>
      <c r="O52" s="232"/>
      <c r="P52" s="232"/>
      <c r="Q52" s="232"/>
      <c r="R52" s="232"/>
      <c r="S52" s="232"/>
      <c r="T52" s="232"/>
      <c r="U52" s="232"/>
      <c r="V52" s="15"/>
      <c r="W52" s="15"/>
      <c r="X52" s="15"/>
      <c r="Y52" s="15"/>
      <c r="Z52" s="15"/>
      <c r="AA52" s="15"/>
    </row>
    <row r="53" spans="1:27" s="25" customFormat="1" ht="12" customHeight="1" x14ac:dyDescent="0.2">
      <c r="A53" s="232"/>
      <c r="B53" s="267" t="s">
        <v>397</v>
      </c>
      <c r="C53" s="286" t="s">
        <v>250</v>
      </c>
      <c r="D53" s="232"/>
      <c r="E53" s="232"/>
      <c r="F53" s="232"/>
      <c r="G53" s="232"/>
      <c r="H53" s="232"/>
      <c r="I53" s="232"/>
      <c r="J53" s="232"/>
      <c r="K53" s="232"/>
      <c r="L53" s="289">
        <f t="shared" ref="L53:S53" si="20">L33+L51</f>
        <v>66047541.71574793</v>
      </c>
      <c r="M53" s="289">
        <f t="shared" si="20"/>
        <v>49268702.155533724</v>
      </c>
      <c r="N53" s="289">
        <f t="shared" si="20"/>
        <v>60262272.649688214</v>
      </c>
      <c r="O53" s="289">
        <f t="shared" si="20"/>
        <v>67287285.938721061</v>
      </c>
      <c r="P53" s="289">
        <f t="shared" si="20"/>
        <v>65009625.935251601</v>
      </c>
      <c r="Q53" s="289">
        <f t="shared" si="20"/>
        <v>67687548.408210427</v>
      </c>
      <c r="R53" s="289">
        <f t="shared" si="20"/>
        <v>64331742.472472869</v>
      </c>
      <c r="S53" s="289">
        <f t="shared" si="20"/>
        <v>59038651.141182788</v>
      </c>
      <c r="T53" s="232"/>
      <c r="U53" s="232"/>
      <c r="V53" s="15"/>
      <c r="W53" s="15"/>
      <c r="X53" s="15"/>
      <c r="Y53" s="15"/>
      <c r="Z53" s="15"/>
      <c r="AA53" s="15"/>
    </row>
    <row r="54" spans="1:27" s="25" customFormat="1" ht="12" customHeight="1" x14ac:dyDescent="0.2">
      <c r="A54" s="232"/>
      <c r="B54" s="267" t="s">
        <v>398</v>
      </c>
      <c r="C54" s="286" t="s">
        <v>250</v>
      </c>
      <c r="D54" s="232"/>
      <c r="E54" s="232"/>
      <c r="F54" s="232"/>
      <c r="G54" s="232"/>
      <c r="H54" s="232"/>
      <c r="I54" s="232"/>
      <c r="J54" s="232"/>
      <c r="K54" s="232"/>
      <c r="L54" s="289">
        <f t="shared" ref="L54:S54" si="21">L34+L51</f>
        <v>69922828.421837211</v>
      </c>
      <c r="M54" s="289">
        <f t="shared" si="21"/>
        <v>58970693.310685456</v>
      </c>
      <c r="N54" s="289">
        <f t="shared" si="21"/>
        <v>66957180.532674842</v>
      </c>
      <c r="O54" s="289">
        <f t="shared" si="21"/>
        <v>72777647.169848353</v>
      </c>
      <c r="P54" s="289">
        <f t="shared" si="21"/>
        <v>70612851.461954638</v>
      </c>
      <c r="Q54" s="290">
        <f t="shared" si="21"/>
        <v>75108900.832760811</v>
      </c>
      <c r="R54" s="289">
        <f t="shared" si="21"/>
        <v>72879972.47758311</v>
      </c>
      <c r="S54" s="289">
        <f t="shared" si="21"/>
        <v>69088343.644176349</v>
      </c>
      <c r="T54" s="232"/>
      <c r="U54" s="232"/>
      <c r="V54" s="15"/>
      <c r="W54" s="15"/>
      <c r="X54" s="15"/>
      <c r="Y54" s="15"/>
      <c r="Z54" s="15"/>
      <c r="AA54" s="15"/>
    </row>
    <row r="55" spans="1:27" s="25" customFormat="1" ht="12" customHeight="1" x14ac:dyDescent="0.2">
      <c r="A55" s="232"/>
      <c r="B55" s="286"/>
      <c r="C55" s="286"/>
      <c r="D55" s="232"/>
      <c r="E55" s="232"/>
      <c r="F55" s="232"/>
      <c r="G55" s="232"/>
      <c r="H55" s="232"/>
      <c r="I55" s="232"/>
      <c r="J55" s="232"/>
      <c r="K55" s="232"/>
      <c r="L55" s="232"/>
      <c r="M55" s="229"/>
      <c r="N55" s="232"/>
      <c r="O55" s="232"/>
      <c r="P55" s="232"/>
      <c r="Q55" s="232"/>
      <c r="R55" s="232"/>
      <c r="S55" s="232"/>
      <c r="T55" s="232"/>
      <c r="U55" s="232"/>
      <c r="V55" s="15"/>
      <c r="W55" s="15"/>
      <c r="X55" s="15"/>
      <c r="Y55" s="15"/>
      <c r="Z55" s="15"/>
      <c r="AA55" s="15"/>
    </row>
    <row r="56" spans="1:27" ht="12" customHeight="1" x14ac:dyDescent="0.2">
      <c r="B56" s="287" t="s">
        <v>60</v>
      </c>
    </row>
    <row r="57" spans="1:27" s="25" customFormat="1" ht="12" customHeight="1" x14ac:dyDescent="0.2">
      <c r="A57" s="232"/>
      <c r="B57" s="265"/>
      <c r="C57" s="286"/>
      <c r="D57" s="232"/>
      <c r="E57" s="232"/>
      <c r="F57" s="232"/>
      <c r="G57" s="232"/>
      <c r="H57" s="232"/>
      <c r="I57" s="232"/>
      <c r="J57" s="232"/>
      <c r="K57" s="232"/>
      <c r="L57" s="232"/>
      <c r="M57" s="229"/>
      <c r="N57" s="232"/>
      <c r="O57" s="232"/>
      <c r="P57" s="232"/>
      <c r="Q57" s="232"/>
      <c r="R57" s="232"/>
      <c r="S57" s="232"/>
      <c r="T57" s="232"/>
      <c r="U57" s="232"/>
      <c r="V57" s="15"/>
      <c r="W57" s="15"/>
      <c r="X57" s="15"/>
      <c r="Y57" s="15"/>
      <c r="Z57" s="15"/>
      <c r="AA57" s="15"/>
    </row>
    <row r="58" spans="1:27" s="25" customFormat="1" ht="12" customHeight="1" x14ac:dyDescent="0.2">
      <c r="A58" s="232"/>
      <c r="B58" s="267" t="s">
        <v>306</v>
      </c>
      <c r="C58" s="286" t="s">
        <v>250</v>
      </c>
      <c r="D58" s="286"/>
      <c r="E58" s="232"/>
      <c r="F58" s="232"/>
      <c r="G58" s="232"/>
      <c r="H58" s="232"/>
      <c r="I58" s="232"/>
      <c r="J58" s="232"/>
      <c r="K58" s="232"/>
      <c r="L58" s="232"/>
      <c r="M58" s="290">
        <f t="shared" ref="M58:S58" si="22">M53</f>
        <v>49268702.155533724</v>
      </c>
      <c r="N58" s="290">
        <f t="shared" si="22"/>
        <v>60262272.649688214</v>
      </c>
      <c r="O58" s="290">
        <f t="shared" si="22"/>
        <v>67287285.938721061</v>
      </c>
      <c r="P58" s="290">
        <f t="shared" si="22"/>
        <v>65009625.935251601</v>
      </c>
      <c r="Q58" s="290">
        <f t="shared" si="22"/>
        <v>67687548.408210427</v>
      </c>
      <c r="R58" s="290">
        <f t="shared" si="22"/>
        <v>64331742.472472869</v>
      </c>
      <c r="S58" s="290">
        <f t="shared" si="22"/>
        <v>59038651.141182788</v>
      </c>
      <c r="T58" s="232"/>
      <c r="U58" s="232"/>
      <c r="V58" s="15"/>
      <c r="W58" s="15"/>
      <c r="X58" s="15"/>
      <c r="Y58" s="15"/>
      <c r="Z58" s="15"/>
      <c r="AA58" s="15"/>
    </row>
    <row r="59" spans="1:27" s="25" customFormat="1" ht="12" customHeight="1" x14ac:dyDescent="0.2">
      <c r="A59" s="232"/>
      <c r="B59" s="265"/>
      <c r="C59" s="286"/>
      <c r="D59" s="286"/>
      <c r="E59" s="232"/>
      <c r="F59" s="232"/>
      <c r="G59" s="232"/>
      <c r="H59" s="232"/>
      <c r="I59" s="232"/>
      <c r="J59" s="232"/>
      <c r="K59" s="232"/>
      <c r="L59" s="232"/>
      <c r="M59" s="229"/>
      <c r="N59" s="232"/>
      <c r="O59" s="232"/>
      <c r="P59" s="232"/>
      <c r="Q59" s="232"/>
      <c r="R59" s="232"/>
      <c r="S59" s="232"/>
      <c r="T59" s="232"/>
      <c r="U59" s="232"/>
      <c r="V59" s="15"/>
      <c r="W59" s="15"/>
      <c r="X59" s="15"/>
      <c r="Y59" s="15"/>
      <c r="Z59" s="15"/>
      <c r="AA59" s="15"/>
    </row>
    <row r="60" spans="1:27" s="25" customFormat="1" ht="12" customHeight="1" x14ac:dyDescent="0.2">
      <c r="A60" s="232"/>
      <c r="B60" s="267" t="s">
        <v>393</v>
      </c>
      <c r="C60" s="286" t="s">
        <v>250</v>
      </c>
      <c r="D60" s="286"/>
      <c r="E60" s="232"/>
      <c r="F60" s="232"/>
      <c r="G60" s="232"/>
      <c r="H60" s="232"/>
      <c r="I60" s="232"/>
      <c r="J60" s="232"/>
      <c r="K60" s="232"/>
      <c r="L60" s="232"/>
      <c r="M60" s="290">
        <f t="shared" ref="M60:S60" si="23">M58*M48</f>
        <v>32278451.046140593</v>
      </c>
      <c r="N60" s="290">
        <f t="shared" si="23"/>
        <v>31792905.694162816</v>
      </c>
      <c r="O60" s="290">
        <f t="shared" si="23"/>
        <v>26914914.375488427</v>
      </c>
      <c r="P60" s="290">
        <f t="shared" si="23"/>
        <v>26003850.37410064</v>
      </c>
      <c r="Q60" s="290">
        <f t="shared" si="23"/>
        <v>27075019.363284171</v>
      </c>
      <c r="R60" s="290">
        <f t="shared" si="23"/>
        <v>25732696.988989148</v>
      </c>
      <c r="S60" s="290">
        <f t="shared" si="23"/>
        <v>23615460.456473116</v>
      </c>
      <c r="T60" s="232"/>
      <c r="U60" s="232"/>
      <c r="V60" s="15"/>
      <c r="W60" s="15"/>
      <c r="X60" s="15"/>
      <c r="Y60" s="15"/>
      <c r="Z60" s="15"/>
      <c r="AA60" s="15"/>
    </row>
    <row r="61" spans="1:27" s="25" customFormat="1" ht="12" customHeight="1" x14ac:dyDescent="0.2">
      <c r="A61" s="232"/>
      <c r="B61" s="265"/>
      <c r="C61" s="286"/>
      <c r="D61" s="286"/>
      <c r="E61" s="232"/>
      <c r="F61" s="232"/>
      <c r="G61" s="232"/>
      <c r="H61" s="232"/>
      <c r="I61" s="232"/>
      <c r="J61" s="232"/>
      <c r="K61" s="232"/>
      <c r="L61" s="232"/>
      <c r="M61" s="229"/>
      <c r="N61" s="232"/>
      <c r="O61" s="232"/>
      <c r="P61" s="232"/>
      <c r="Q61" s="232"/>
      <c r="R61" s="232"/>
      <c r="S61" s="232"/>
      <c r="T61" s="232"/>
      <c r="U61" s="232"/>
      <c r="V61" s="15"/>
      <c r="W61" s="15"/>
      <c r="X61" s="15"/>
      <c r="Y61" s="15"/>
      <c r="Z61" s="15"/>
      <c r="AA61" s="15"/>
    </row>
    <row r="62" spans="1:27" s="25" customFormat="1" ht="12" customHeight="1" x14ac:dyDescent="0.2">
      <c r="A62" s="232"/>
      <c r="B62" s="267" t="s">
        <v>392</v>
      </c>
      <c r="C62" s="286" t="s">
        <v>250</v>
      </c>
      <c r="D62" s="286"/>
      <c r="E62" s="232"/>
      <c r="F62" s="232"/>
      <c r="G62" s="232"/>
      <c r="H62" s="232"/>
      <c r="I62" s="232"/>
      <c r="J62" s="232"/>
      <c r="K62" s="232"/>
      <c r="L62" s="232"/>
      <c r="M62" s="289">
        <f>IF(L62="",$L42-$D$100,L65)</f>
        <v>27688453.160000015</v>
      </c>
      <c r="N62" s="289">
        <f t="shared" ref="N62:S62" si="24">IF(M62="",$L42,M65)</f>
        <v>32278451.046140593</v>
      </c>
      <c r="O62" s="289">
        <f t="shared" si="24"/>
        <v>31792905.694162816</v>
      </c>
      <c r="P62" s="289">
        <f t="shared" si="24"/>
        <v>26914914.375488427</v>
      </c>
      <c r="Q62" s="289">
        <f t="shared" si="24"/>
        <v>26003850.37410064</v>
      </c>
      <c r="R62" s="289">
        <f t="shared" si="24"/>
        <v>27075019.363284171</v>
      </c>
      <c r="S62" s="289">
        <f t="shared" si="24"/>
        <v>25732696.988989148</v>
      </c>
      <c r="T62" s="232"/>
      <c r="U62" s="232"/>
      <c r="V62" s="15"/>
      <c r="W62" s="15"/>
      <c r="X62" s="15"/>
      <c r="Y62" s="15"/>
      <c r="Z62" s="15"/>
      <c r="AA62" s="15"/>
    </row>
    <row r="63" spans="1:27" s="25" customFormat="1" ht="12" customHeight="1" x14ac:dyDescent="0.2">
      <c r="A63" s="232"/>
      <c r="B63" s="267" t="s">
        <v>306</v>
      </c>
      <c r="C63" s="286" t="s">
        <v>250</v>
      </c>
      <c r="D63" s="286"/>
      <c r="E63" s="232"/>
      <c r="F63" s="232"/>
      <c r="G63" s="232"/>
      <c r="H63" s="232"/>
      <c r="I63" s="232"/>
      <c r="J63" s="232"/>
      <c r="K63" s="232"/>
      <c r="L63" s="232"/>
      <c r="M63" s="290">
        <f>M58</f>
        <v>49268702.155533724</v>
      </c>
      <c r="N63" s="290">
        <f t="shared" ref="N63:S63" si="25">N58</f>
        <v>60262272.649688214</v>
      </c>
      <c r="O63" s="290">
        <f t="shared" si="25"/>
        <v>67287285.938721061</v>
      </c>
      <c r="P63" s="290">
        <f t="shared" si="25"/>
        <v>65009625.935251601</v>
      </c>
      <c r="Q63" s="290">
        <f t="shared" si="25"/>
        <v>67687548.408210427</v>
      </c>
      <c r="R63" s="290">
        <f t="shared" si="25"/>
        <v>64331742.472472869</v>
      </c>
      <c r="S63" s="290">
        <f t="shared" si="25"/>
        <v>59038651.141182788</v>
      </c>
      <c r="T63" s="232"/>
      <c r="U63" s="232"/>
      <c r="V63" s="15"/>
      <c r="W63" s="15"/>
      <c r="X63" s="15"/>
      <c r="Y63" s="15"/>
      <c r="Z63" s="15"/>
      <c r="AA63" s="15"/>
    </row>
    <row r="64" spans="1:27" s="25" customFormat="1" ht="12" customHeight="1" x14ac:dyDescent="0.2">
      <c r="A64" s="232"/>
      <c r="B64" s="267" t="s">
        <v>266</v>
      </c>
      <c r="C64" s="286" t="s">
        <v>250</v>
      </c>
      <c r="D64" s="286"/>
      <c r="E64" s="232"/>
      <c r="F64" s="232"/>
      <c r="G64" s="232"/>
      <c r="H64" s="232"/>
      <c r="I64" s="232"/>
      <c r="J64" s="232"/>
      <c r="K64" s="232"/>
      <c r="L64" s="232"/>
      <c r="M64" s="290">
        <f>M62+M63-M65</f>
        <v>44678704.269393146</v>
      </c>
      <c r="N64" s="290">
        <f t="shared" ref="N64:S64" si="26">N62+N63-N65</f>
        <v>60747818.001665995</v>
      </c>
      <c r="O64" s="290">
        <f t="shared" si="26"/>
        <v>72165277.257395446</v>
      </c>
      <c r="P64" s="290">
        <f t="shared" si="26"/>
        <v>65920689.936639383</v>
      </c>
      <c r="Q64" s="290">
        <f t="shared" si="26"/>
        <v>66616379.419026896</v>
      </c>
      <c r="R64" s="290">
        <f t="shared" si="26"/>
        <v>65674064.846767902</v>
      </c>
      <c r="S64" s="290">
        <f t="shared" si="26"/>
        <v>61155887.673698828</v>
      </c>
      <c r="T64" s="232"/>
      <c r="U64" s="232"/>
      <c r="V64" s="15"/>
      <c r="W64" s="15"/>
      <c r="X64" s="15"/>
      <c r="Y64" s="15"/>
      <c r="Z64" s="15"/>
      <c r="AA64" s="15"/>
    </row>
    <row r="65" spans="1:27" s="25" customFormat="1" ht="12" customHeight="1" x14ac:dyDescent="0.2">
      <c r="A65" s="232"/>
      <c r="B65" s="267" t="s">
        <v>393</v>
      </c>
      <c r="C65" s="286" t="s">
        <v>250</v>
      </c>
      <c r="D65" s="286"/>
      <c r="E65" s="232"/>
      <c r="F65" s="232"/>
      <c r="G65" s="232"/>
      <c r="H65" s="232"/>
      <c r="I65" s="232"/>
      <c r="J65" s="232"/>
      <c r="K65" s="232"/>
      <c r="L65" s="232"/>
      <c r="M65" s="290">
        <f>M60</f>
        <v>32278451.046140593</v>
      </c>
      <c r="N65" s="290">
        <f t="shared" ref="N65:S65" si="27">N60</f>
        <v>31792905.694162816</v>
      </c>
      <c r="O65" s="290">
        <f t="shared" si="27"/>
        <v>26914914.375488427</v>
      </c>
      <c r="P65" s="290">
        <f t="shared" si="27"/>
        <v>26003850.37410064</v>
      </c>
      <c r="Q65" s="290">
        <f t="shared" si="27"/>
        <v>27075019.363284171</v>
      </c>
      <c r="R65" s="290">
        <f t="shared" si="27"/>
        <v>25732696.988989148</v>
      </c>
      <c r="S65" s="290">
        <f t="shared" si="27"/>
        <v>23615460.456473116</v>
      </c>
      <c r="T65" s="232"/>
      <c r="U65" s="232"/>
      <c r="V65" s="15"/>
      <c r="W65" s="15"/>
      <c r="X65" s="15"/>
      <c r="Y65" s="15"/>
      <c r="Z65" s="15"/>
      <c r="AA65" s="15"/>
    </row>
    <row r="66" spans="1:27" s="25" customFormat="1" ht="12" customHeight="1" x14ac:dyDescent="0.2">
      <c r="A66" s="232"/>
      <c r="B66" s="265"/>
      <c r="C66" s="286"/>
      <c r="D66" s="286"/>
      <c r="E66" s="232"/>
      <c r="F66" s="232"/>
      <c r="G66" s="232"/>
      <c r="H66" s="232"/>
      <c r="I66" s="232"/>
      <c r="J66" s="232"/>
      <c r="K66" s="232"/>
      <c r="L66" s="232"/>
      <c r="M66" s="229"/>
      <c r="N66" s="232"/>
      <c r="O66" s="232"/>
      <c r="P66" s="232"/>
      <c r="Q66" s="232"/>
      <c r="R66" s="232"/>
      <c r="S66" s="232"/>
      <c r="T66" s="232"/>
      <c r="U66" s="232"/>
      <c r="V66" s="15"/>
      <c r="W66" s="15"/>
      <c r="X66" s="15"/>
      <c r="Y66" s="15"/>
      <c r="Z66" s="15"/>
      <c r="AA66" s="15"/>
    </row>
    <row r="67" spans="1:27" s="25" customFormat="1" ht="12" customHeight="1" x14ac:dyDescent="0.2">
      <c r="A67" s="232"/>
      <c r="B67" s="287" t="s">
        <v>399</v>
      </c>
      <c r="C67" s="286"/>
      <c r="D67" s="286"/>
      <c r="E67" s="232"/>
      <c r="F67" s="232"/>
      <c r="G67" s="232"/>
      <c r="H67" s="232"/>
      <c r="I67" s="232"/>
      <c r="J67" s="232"/>
      <c r="K67" s="232"/>
      <c r="L67" s="232"/>
      <c r="M67" s="229"/>
      <c r="N67" s="232"/>
      <c r="O67" s="232"/>
      <c r="P67" s="232"/>
      <c r="Q67" s="232"/>
      <c r="R67" s="232"/>
      <c r="S67" s="232"/>
      <c r="T67" s="232"/>
      <c r="U67" s="232"/>
      <c r="V67" s="15"/>
      <c r="W67" s="15"/>
      <c r="X67" s="15"/>
      <c r="Y67" s="15"/>
      <c r="Z67" s="15"/>
      <c r="AA67" s="15"/>
    </row>
    <row r="68" spans="1:27" s="25" customFormat="1" ht="12" customHeight="1" x14ac:dyDescent="0.2">
      <c r="A68" s="232"/>
      <c r="B68" s="265"/>
      <c r="C68" s="286"/>
      <c r="D68" s="286"/>
      <c r="E68" s="232"/>
      <c r="F68" s="232"/>
      <c r="G68" s="232"/>
      <c r="H68" s="232"/>
      <c r="I68" s="232"/>
      <c r="J68" s="232"/>
      <c r="K68" s="232"/>
      <c r="L68" s="232"/>
      <c r="M68" s="229"/>
      <c r="N68" s="232"/>
      <c r="O68" s="232"/>
      <c r="P68" s="232"/>
      <c r="Q68" s="232"/>
      <c r="R68" s="232"/>
      <c r="S68" s="232"/>
      <c r="T68" s="232"/>
      <c r="U68" s="232"/>
      <c r="V68" s="15"/>
      <c r="W68" s="15"/>
      <c r="X68" s="15"/>
      <c r="Y68" s="15"/>
      <c r="Z68" s="15"/>
      <c r="AA68" s="15"/>
    </row>
    <row r="69" spans="1:27" s="25" customFormat="1" ht="12" customHeight="1" x14ac:dyDescent="0.2">
      <c r="A69" s="232"/>
      <c r="B69" s="267" t="s">
        <v>392</v>
      </c>
      <c r="C69" s="286" t="s">
        <v>250</v>
      </c>
      <c r="D69" s="286"/>
      <c r="E69" s="232"/>
      <c r="F69" s="232"/>
      <c r="G69" s="232"/>
      <c r="H69" s="232"/>
      <c r="I69" s="232"/>
      <c r="J69" s="232"/>
      <c r="K69" s="232"/>
      <c r="L69" s="232"/>
      <c r="M69" s="290">
        <f>L72</f>
        <v>30227352.03006519</v>
      </c>
      <c r="N69" s="290">
        <f t="shared" ref="N69:S69" si="28">M72</f>
        <v>38634722.529871576</v>
      </c>
      <c r="O69" s="290">
        <f t="shared" si="28"/>
        <v>35324975.853418618</v>
      </c>
      <c r="P69" s="290">
        <f t="shared" si="28"/>
        <v>29111058.867939342</v>
      </c>
      <c r="Q69" s="290">
        <f t="shared" si="28"/>
        <v>28245140.584781855</v>
      </c>
      <c r="R69" s="290">
        <f t="shared" si="28"/>
        <v>30043560.333104327</v>
      </c>
      <c r="S69" s="290">
        <f t="shared" si="28"/>
        <v>29151988.991033245</v>
      </c>
      <c r="T69" s="232"/>
      <c r="U69" s="232"/>
      <c r="V69" s="15"/>
      <c r="W69" s="15"/>
      <c r="X69" s="15"/>
      <c r="Y69" s="15"/>
      <c r="Z69" s="15"/>
      <c r="AA69" s="15"/>
    </row>
    <row r="70" spans="1:27" s="25" customFormat="1" ht="12" customHeight="1" x14ac:dyDescent="0.2">
      <c r="A70" s="232"/>
      <c r="B70" s="267" t="s">
        <v>400</v>
      </c>
      <c r="C70" s="286" t="s">
        <v>250</v>
      </c>
      <c r="D70" s="286"/>
      <c r="E70" s="232"/>
      <c r="F70" s="232"/>
      <c r="G70" s="232"/>
      <c r="H70" s="232"/>
      <c r="I70" s="232"/>
      <c r="J70" s="232"/>
      <c r="K70" s="232"/>
      <c r="L70" s="232"/>
      <c r="M70" s="290">
        <f t="shared" ref="M70:S70" si="29">M54</f>
        <v>58970693.310685456</v>
      </c>
      <c r="N70" s="290">
        <f t="shared" si="29"/>
        <v>66957180.532674842</v>
      </c>
      <c r="O70" s="290">
        <f t="shared" si="29"/>
        <v>72777647.169848353</v>
      </c>
      <c r="P70" s="290">
        <f t="shared" si="29"/>
        <v>70612851.461954638</v>
      </c>
      <c r="Q70" s="290">
        <f t="shared" si="29"/>
        <v>75108900.832760811</v>
      </c>
      <c r="R70" s="290">
        <f t="shared" si="29"/>
        <v>72879972.47758311</v>
      </c>
      <c r="S70" s="290">
        <f t="shared" si="29"/>
        <v>69088343.644176349</v>
      </c>
      <c r="T70" s="232"/>
      <c r="U70" s="232"/>
      <c r="V70" s="15"/>
      <c r="W70" s="15"/>
      <c r="X70" s="15"/>
      <c r="Y70" s="15"/>
      <c r="Z70" s="15"/>
      <c r="AA70" s="15"/>
    </row>
    <row r="71" spans="1:27" s="25" customFormat="1" ht="12" customHeight="1" x14ac:dyDescent="0.2">
      <c r="A71" s="232"/>
      <c r="B71" s="267" t="s">
        <v>401</v>
      </c>
      <c r="C71" s="286" t="s">
        <v>250</v>
      </c>
      <c r="D71" s="286"/>
      <c r="E71" s="232"/>
      <c r="F71" s="232"/>
      <c r="G71" s="232"/>
      <c r="H71" s="232"/>
      <c r="I71" s="232"/>
      <c r="J71" s="232"/>
      <c r="K71" s="232"/>
      <c r="L71" s="232"/>
      <c r="M71" s="290">
        <f>M69+M70-M72</f>
        <v>50563322.810879074</v>
      </c>
      <c r="N71" s="290">
        <f t="shared" ref="N71:S71" si="30">N69+N70-N72</f>
        <v>70266927.209127799</v>
      </c>
      <c r="O71" s="290">
        <f t="shared" si="30"/>
        <v>78991564.155327633</v>
      </c>
      <c r="P71" s="290">
        <f t="shared" si="30"/>
        <v>71478769.745112121</v>
      </c>
      <c r="Q71" s="290">
        <f t="shared" si="30"/>
        <v>73310481.084438339</v>
      </c>
      <c r="R71" s="290">
        <f t="shared" si="30"/>
        <v>73771543.819654197</v>
      </c>
      <c r="S71" s="290">
        <f t="shared" si="30"/>
        <v>70604995.177539051</v>
      </c>
      <c r="T71" s="232"/>
      <c r="U71" s="232"/>
      <c r="V71" s="15"/>
      <c r="W71" s="15"/>
      <c r="X71" s="15"/>
      <c r="Y71" s="15"/>
      <c r="Z71" s="15"/>
      <c r="AA71" s="15"/>
    </row>
    <row r="72" spans="1:27" s="25" customFormat="1" ht="12" customHeight="1" x14ac:dyDescent="0.2">
      <c r="A72" s="232"/>
      <c r="B72" s="267" t="s">
        <v>393</v>
      </c>
      <c r="C72" s="286" t="s">
        <v>250</v>
      </c>
      <c r="D72" s="286"/>
      <c r="E72" s="232"/>
      <c r="F72" s="232"/>
      <c r="G72" s="232"/>
      <c r="H72" s="232"/>
      <c r="I72" s="232"/>
      <c r="J72" s="232"/>
      <c r="K72" s="232"/>
      <c r="L72" s="290">
        <f>L42-D100+L35*L44</f>
        <v>30227352.03006519</v>
      </c>
      <c r="M72" s="290">
        <f t="shared" ref="M72:S72" si="31">M70*M48</f>
        <v>38634722.529871576</v>
      </c>
      <c r="N72" s="290">
        <f t="shared" si="31"/>
        <v>35324975.853418618</v>
      </c>
      <c r="O72" s="290">
        <f t="shared" si="31"/>
        <v>29111058.867939342</v>
      </c>
      <c r="P72" s="290">
        <f t="shared" si="31"/>
        <v>28245140.584781855</v>
      </c>
      <c r="Q72" s="290">
        <f t="shared" si="31"/>
        <v>30043560.333104327</v>
      </c>
      <c r="R72" s="290">
        <f t="shared" si="31"/>
        <v>29151988.991033245</v>
      </c>
      <c r="S72" s="290">
        <f t="shared" si="31"/>
        <v>27635337.45767054</v>
      </c>
      <c r="T72" s="232"/>
      <c r="U72" s="232"/>
      <c r="V72" s="15"/>
      <c r="W72" s="15"/>
      <c r="X72" s="15"/>
      <c r="Y72" s="15"/>
      <c r="Z72" s="15"/>
      <c r="AA72" s="15"/>
    </row>
    <row r="73" spans="1:27" s="25" customFormat="1" ht="12" customHeight="1" x14ac:dyDescent="0.2">
      <c r="A73" s="232"/>
      <c r="B73" s="265"/>
      <c r="C73" s="286"/>
      <c r="D73" s="286"/>
      <c r="E73" s="232"/>
      <c r="F73" s="232"/>
      <c r="G73" s="232"/>
      <c r="H73" s="232"/>
      <c r="I73" s="232"/>
      <c r="J73" s="232"/>
      <c r="K73" s="232"/>
      <c r="L73" s="232"/>
      <c r="M73" s="229"/>
      <c r="N73" s="232"/>
      <c r="O73" s="232"/>
      <c r="P73" s="232"/>
      <c r="Q73" s="232"/>
      <c r="R73" s="232"/>
      <c r="S73" s="232"/>
      <c r="T73" s="232"/>
      <c r="U73" s="232"/>
      <c r="V73" s="15"/>
      <c r="W73" s="15"/>
      <c r="X73" s="15"/>
      <c r="Y73" s="15"/>
      <c r="Z73" s="15"/>
      <c r="AA73" s="15"/>
    </row>
    <row r="74" spans="1:27" s="25" customFormat="1" ht="12" customHeight="1" x14ac:dyDescent="0.2">
      <c r="A74" s="232"/>
      <c r="B74" s="287" t="s">
        <v>266</v>
      </c>
      <c r="C74" s="286"/>
      <c r="D74" s="286"/>
      <c r="E74" s="232"/>
      <c r="F74" s="232"/>
      <c r="G74" s="232"/>
      <c r="H74" s="232"/>
      <c r="I74" s="232"/>
      <c r="J74" s="232"/>
      <c r="K74" s="232"/>
      <c r="L74" s="232"/>
      <c r="M74" s="229"/>
      <c r="N74" s="232"/>
      <c r="O74" s="232"/>
      <c r="P74" s="232"/>
      <c r="Q74" s="232"/>
      <c r="R74" s="232"/>
      <c r="S74" s="232"/>
      <c r="T74" s="232"/>
      <c r="U74" s="232"/>
      <c r="V74" s="15"/>
      <c r="W74" s="15"/>
      <c r="X74" s="15"/>
      <c r="Y74" s="15"/>
      <c r="Z74" s="15"/>
      <c r="AA74" s="15"/>
    </row>
    <row r="75" spans="1:27" s="25" customFormat="1" ht="12" customHeight="1" x14ac:dyDescent="0.2">
      <c r="A75" s="232"/>
      <c r="B75" s="265"/>
      <c r="C75" s="286"/>
      <c r="D75" s="286"/>
      <c r="E75" s="232"/>
      <c r="F75" s="232"/>
      <c r="G75" s="232"/>
      <c r="H75" s="232"/>
      <c r="I75" s="232"/>
      <c r="J75" s="232"/>
      <c r="K75" s="232"/>
      <c r="L75" s="232"/>
      <c r="M75" s="229"/>
      <c r="N75" s="232"/>
      <c r="O75" s="232"/>
      <c r="P75" s="232"/>
      <c r="Q75" s="232"/>
      <c r="R75" s="232"/>
      <c r="S75" s="232"/>
      <c r="T75" s="232"/>
      <c r="U75" s="232"/>
      <c r="V75" s="15"/>
      <c r="W75" s="15"/>
      <c r="X75" s="15"/>
      <c r="Y75" s="15"/>
      <c r="Z75" s="15"/>
      <c r="AA75" s="15"/>
    </row>
    <row r="76" spans="1:27" s="25" customFormat="1" ht="12" customHeight="1" x14ac:dyDescent="0.2">
      <c r="A76" s="232"/>
      <c r="B76" s="267" t="s">
        <v>402</v>
      </c>
      <c r="C76" s="286" t="s">
        <v>250</v>
      </c>
      <c r="D76" s="286"/>
      <c r="E76" s="232"/>
      <c r="F76" s="232"/>
      <c r="G76" s="232"/>
      <c r="H76" s="232"/>
      <c r="I76" s="232"/>
      <c r="J76" s="232"/>
      <c r="K76" s="232"/>
      <c r="L76" s="289">
        <f>L41</f>
        <v>63004353.999999993</v>
      </c>
      <c r="M76" s="290">
        <f t="shared" ref="M76:S76" si="32">M64</f>
        <v>44678704.269393146</v>
      </c>
      <c r="N76" s="290">
        <f t="shared" si="32"/>
        <v>60747818.001665995</v>
      </c>
      <c r="O76" s="290">
        <f t="shared" si="32"/>
        <v>72165277.257395446</v>
      </c>
      <c r="P76" s="290">
        <f t="shared" si="32"/>
        <v>65920689.936639383</v>
      </c>
      <c r="Q76" s="290">
        <f t="shared" si="32"/>
        <v>66616379.419026896</v>
      </c>
      <c r="R76" s="290">
        <f t="shared" si="32"/>
        <v>65674064.846767902</v>
      </c>
      <c r="S76" s="290">
        <f t="shared" si="32"/>
        <v>61155887.673698828</v>
      </c>
      <c r="T76" s="232"/>
      <c r="U76" s="232"/>
      <c r="V76" s="15"/>
      <c r="W76" s="15"/>
      <c r="X76" s="15"/>
      <c r="Y76" s="15"/>
      <c r="Z76" s="15"/>
      <c r="AA76" s="15"/>
    </row>
    <row r="77" spans="1:27" s="25" customFormat="1" ht="12" customHeight="1" x14ac:dyDescent="0.2">
      <c r="A77" s="232"/>
      <c r="B77" s="267" t="s">
        <v>297</v>
      </c>
      <c r="C77" s="286" t="s">
        <v>250</v>
      </c>
      <c r="D77" s="286"/>
      <c r="E77" s="232"/>
      <c r="F77" s="232"/>
      <c r="G77" s="232"/>
      <c r="H77" s="232"/>
      <c r="I77" s="232"/>
      <c r="J77" s="232"/>
      <c r="K77" s="232"/>
      <c r="L77" s="232"/>
      <c r="M77" s="290">
        <f>M71-M76</f>
        <v>5884618.541485928</v>
      </c>
      <c r="N77" s="290">
        <f t="shared" ref="N77:S77" si="33">N71-N76</f>
        <v>9519109.2074618042</v>
      </c>
      <c r="O77" s="290">
        <f t="shared" si="33"/>
        <v>6826286.8979321867</v>
      </c>
      <c r="P77" s="290">
        <f t="shared" si="33"/>
        <v>5558079.8084727377</v>
      </c>
      <c r="Q77" s="290">
        <f t="shared" si="33"/>
        <v>6694101.6654114425</v>
      </c>
      <c r="R77" s="290">
        <f t="shared" si="33"/>
        <v>8097478.9728862941</v>
      </c>
      <c r="S77" s="290">
        <f t="shared" si="33"/>
        <v>9449107.503840223</v>
      </c>
      <c r="T77" s="232"/>
      <c r="U77" s="232"/>
      <c r="V77" s="15"/>
      <c r="W77" s="15"/>
      <c r="X77" s="15"/>
      <c r="Y77" s="15"/>
      <c r="Z77" s="15"/>
      <c r="AA77" s="15"/>
    </row>
    <row r="78" spans="1:27" s="25" customFormat="1" ht="12" customHeight="1" x14ac:dyDescent="0.2">
      <c r="A78" s="232"/>
      <c r="B78" s="265"/>
      <c r="C78" s="286"/>
      <c r="D78" s="286"/>
      <c r="E78" s="232"/>
      <c r="F78" s="232"/>
      <c r="G78" s="232"/>
      <c r="H78" s="232"/>
      <c r="I78" s="232"/>
      <c r="J78" s="232"/>
      <c r="K78" s="232"/>
      <c r="L78" s="232"/>
      <c r="M78" s="229"/>
      <c r="N78" s="232"/>
      <c r="O78" s="232"/>
      <c r="P78" s="232"/>
      <c r="Q78" s="232"/>
      <c r="R78" s="232"/>
      <c r="S78" s="232"/>
      <c r="T78" s="232"/>
      <c r="U78" s="232"/>
      <c r="V78" s="15"/>
      <c r="W78" s="15"/>
      <c r="X78" s="15"/>
      <c r="Y78" s="15"/>
      <c r="Z78" s="15"/>
      <c r="AA78" s="15"/>
    </row>
    <row r="79" spans="1:27" s="25" customFormat="1" ht="12" customHeight="1" x14ac:dyDescent="0.2">
      <c r="A79" s="232"/>
      <c r="B79" s="283" t="s">
        <v>385</v>
      </c>
      <c r="C79" s="284" t="s">
        <v>51</v>
      </c>
      <c r="D79" s="285" t="s">
        <v>52</v>
      </c>
      <c r="E79" s="284" t="s">
        <v>53</v>
      </c>
      <c r="F79" s="232"/>
      <c r="G79" s="232"/>
      <c r="H79" s="232"/>
      <c r="I79" s="232"/>
      <c r="J79" s="232"/>
      <c r="K79" s="232"/>
      <c r="L79" s="232"/>
      <c r="M79" s="229"/>
      <c r="N79" s="232"/>
      <c r="O79" s="232"/>
      <c r="P79" s="232"/>
      <c r="Q79" s="232"/>
      <c r="R79" s="232"/>
      <c r="S79" s="232"/>
      <c r="T79" s="232"/>
      <c r="U79" s="232"/>
      <c r="V79" s="15"/>
      <c r="W79" s="15"/>
      <c r="X79" s="15"/>
      <c r="Y79" s="15"/>
      <c r="Z79" s="15"/>
      <c r="AA79" s="15"/>
    </row>
    <row r="80" spans="1:27" s="25" customFormat="1" ht="12" customHeight="1" x14ac:dyDescent="0.2">
      <c r="A80" s="232"/>
      <c r="B80" s="265"/>
      <c r="C80" s="286"/>
      <c r="D80" s="232"/>
      <c r="E80" s="232"/>
      <c r="F80" s="232"/>
      <c r="G80" s="232"/>
      <c r="H80" s="232"/>
      <c r="I80" s="232"/>
      <c r="J80" s="232"/>
      <c r="K80" s="232"/>
      <c r="L80" s="232"/>
      <c r="M80" s="229"/>
      <c r="N80" s="232"/>
      <c r="O80" s="232"/>
      <c r="P80" s="232"/>
      <c r="Q80" s="232"/>
      <c r="R80" s="232"/>
      <c r="S80" s="232"/>
      <c r="T80" s="232"/>
      <c r="U80" s="232"/>
      <c r="V80" s="15"/>
      <c r="W80" s="15"/>
      <c r="X80" s="15"/>
      <c r="Y80" s="15"/>
      <c r="Z80" s="15"/>
      <c r="AA80" s="15"/>
    </row>
    <row r="81" spans="1:27" s="25" customFormat="1" ht="12" customHeight="1" x14ac:dyDescent="0.2">
      <c r="A81" s="232"/>
      <c r="B81" s="287" t="s">
        <v>388</v>
      </c>
      <c r="C81" s="286"/>
      <c r="D81" s="232"/>
      <c r="E81" s="232"/>
      <c r="F81" s="232"/>
      <c r="G81" s="232"/>
      <c r="H81" s="232"/>
      <c r="I81" s="232"/>
      <c r="J81" s="232"/>
      <c r="K81" s="232"/>
      <c r="L81" s="232"/>
      <c r="M81" s="229"/>
      <c r="N81" s="232"/>
      <c r="O81" s="232"/>
      <c r="P81" s="232"/>
      <c r="Q81" s="232"/>
      <c r="R81" s="232"/>
      <c r="S81" s="232"/>
      <c r="T81" s="232"/>
      <c r="U81" s="232"/>
      <c r="V81" s="15"/>
      <c r="W81" s="15"/>
      <c r="X81" s="15"/>
      <c r="Y81" s="15"/>
      <c r="Z81" s="15"/>
      <c r="AA81" s="15"/>
    </row>
    <row r="82" spans="1:27" s="25" customFormat="1" ht="12" customHeight="1" x14ac:dyDescent="0.2">
      <c r="A82" s="232"/>
      <c r="B82" s="265"/>
      <c r="C82" s="286"/>
      <c r="D82" s="232"/>
      <c r="E82" s="232"/>
      <c r="F82" s="232"/>
      <c r="G82" s="232"/>
      <c r="H82" s="232"/>
      <c r="I82" s="232"/>
      <c r="J82" s="232"/>
      <c r="K82" s="232"/>
      <c r="L82" s="232"/>
      <c r="M82" s="229"/>
      <c r="N82" s="232"/>
      <c r="O82" s="232"/>
      <c r="P82" s="232"/>
      <c r="Q82" s="232"/>
      <c r="R82" s="232"/>
      <c r="S82" s="232"/>
      <c r="T82" s="232"/>
      <c r="U82" s="232"/>
      <c r="V82" s="15"/>
      <c r="W82" s="15"/>
      <c r="X82" s="15"/>
      <c r="Y82" s="15"/>
      <c r="Z82" s="15"/>
      <c r="AA82" s="15"/>
    </row>
    <row r="83" spans="1:27" s="25" customFormat="1" ht="12" customHeight="1" x14ac:dyDescent="0.2">
      <c r="A83" s="232"/>
      <c r="B83" s="267" t="s">
        <v>389</v>
      </c>
      <c r="C83" s="286" t="s">
        <v>250</v>
      </c>
      <c r="D83" s="232"/>
      <c r="E83" s="232"/>
      <c r="F83" s="232"/>
      <c r="G83" s="232"/>
      <c r="H83" s="232"/>
      <c r="I83" s="232"/>
      <c r="J83" s="232"/>
      <c r="K83" s="232"/>
      <c r="L83" s="232"/>
      <c r="M83" s="290">
        <f>SUMIFS('Forecast capex'!$U$9:$U$1940,'Forecast capex'!$J$9:$J$1940,M$13,'Forecast capex'!$L$9:$L$1940,$B$79)</f>
        <v>5999568.8780078124</v>
      </c>
      <c r="N83" s="290">
        <f>SUMIFS('Forecast capex'!$U$9:$U$1940,'Forecast capex'!$J$9:$J$1940,N$13,'Forecast capex'!$L$9:$L$1940,$B$79)</f>
        <v>7053533.6373571148</v>
      </c>
      <c r="O83" s="290">
        <f>SUMIFS('Forecast capex'!$U$9:$U$1940,'Forecast capex'!$J$9:$J$1940,O$13,'Forecast capex'!$L$9:$L$1940,$B$79)</f>
        <v>2163148.6246455912</v>
      </c>
      <c r="P83" s="290">
        <f>SUMIFS('Forecast capex'!$U$9:$U$1940,'Forecast capex'!$J$9:$J$1940,P$13,'Forecast capex'!$L$9:$L$1940,$B$79)</f>
        <v>2676202.8611719916</v>
      </c>
      <c r="Q83" s="290">
        <f>SUMIFS('Forecast capex'!$U$9:$U$1940,'Forecast capex'!$J$9:$J$1940,Q$13,'Forecast capex'!$L$9:$L$1940,$B$79)</f>
        <v>3985954.408575213</v>
      </c>
      <c r="R83" s="290">
        <f>SUMIFS('Forecast capex'!$U$9:$U$1940,'Forecast capex'!$J$9:$J$1940,R$13,'Forecast capex'!$L$9:$L$1940,$B$79)</f>
        <v>4356929.1897316817</v>
      </c>
      <c r="S83" s="290">
        <f>SUMIFS('Forecast capex'!$U$9:$U$1940,'Forecast capex'!$J$9:$J$1940,S$13,'Forecast capex'!$L$9:$L$1940,$B$79)</f>
        <v>2300190.7538521076</v>
      </c>
      <c r="T83" s="232"/>
      <c r="U83" s="232"/>
      <c r="V83" s="15"/>
      <c r="W83" s="15"/>
      <c r="X83" s="15"/>
      <c r="Y83" s="15"/>
      <c r="Z83" s="15"/>
      <c r="AA83" s="15"/>
    </row>
    <row r="84" spans="1:27" s="25" customFormat="1" ht="12" customHeight="1" x14ac:dyDescent="0.2">
      <c r="A84" s="232"/>
      <c r="B84" s="267" t="s">
        <v>390</v>
      </c>
      <c r="C84" s="286" t="s">
        <v>250</v>
      </c>
      <c r="D84" s="232"/>
      <c r="E84" s="232"/>
      <c r="F84" s="232"/>
      <c r="G84" s="232"/>
      <c r="H84" s="232"/>
      <c r="I84" s="232"/>
      <c r="J84" s="232"/>
      <c r="K84" s="232"/>
      <c r="L84" s="232"/>
      <c r="M84" s="290">
        <f>SUMIFS('Forecast capex'!$V$9:$V$1940,'Forecast capex'!$J$9:$J$1940,M$13,'Forecast capex'!$L$9:$L$1940,$B$79)</f>
        <v>5999568.8780078124</v>
      </c>
      <c r="N84" s="290">
        <f>SUMIFS('Forecast capex'!$V$9:$V$1940,'Forecast capex'!$J$9:$J$1940,N$13,'Forecast capex'!$L$9:$L$1940,$B$79)</f>
        <v>7053533.6373571148</v>
      </c>
      <c r="O84" s="290">
        <f>SUMIFS('Forecast capex'!$V$9:$V$1940,'Forecast capex'!$J$9:$J$1940,O$13,'Forecast capex'!$L$9:$L$1940,$B$79)</f>
        <v>2163148.6246455912</v>
      </c>
      <c r="P84" s="290">
        <f>SUMIFS('Forecast capex'!$V$9:$V$1940,'Forecast capex'!$J$9:$J$1940,P$13,'Forecast capex'!$L$9:$L$1940,$B$79)</f>
        <v>2676202.8611719916</v>
      </c>
      <c r="Q84" s="290">
        <f>SUMIFS('Forecast capex'!$V$9:$V$1940,'Forecast capex'!$J$9:$J$1940,Q$13,'Forecast capex'!$L$9:$L$1940,$B$79)</f>
        <v>3985954.408575213</v>
      </c>
      <c r="R84" s="290">
        <f>SUMIFS('Forecast capex'!$V$9:$V$1940,'Forecast capex'!$J$9:$J$1940,R$13,'Forecast capex'!$L$9:$L$1940,$B$79)</f>
        <v>4356929.1897316817</v>
      </c>
      <c r="S84" s="290">
        <f>SUMIFS('Forecast capex'!$V$9:$V$1940,'Forecast capex'!$J$9:$J$1940,S$13,'Forecast capex'!$L$9:$L$1940,$B$79)</f>
        <v>2300190.7538521076</v>
      </c>
      <c r="T84" s="232"/>
      <c r="U84" s="232"/>
      <c r="V84" s="15"/>
      <c r="W84" s="15"/>
      <c r="X84" s="15"/>
      <c r="Y84" s="15"/>
      <c r="Z84" s="15"/>
      <c r="AA84" s="15"/>
    </row>
    <row r="85" spans="1:27" s="25" customFormat="1" ht="12" customHeight="1" x14ac:dyDescent="0.2">
      <c r="A85" s="232"/>
      <c r="B85" s="267" t="s">
        <v>297</v>
      </c>
      <c r="C85" s="286" t="s">
        <v>250</v>
      </c>
      <c r="D85" s="232"/>
      <c r="E85" s="232"/>
      <c r="F85" s="232"/>
      <c r="G85" s="232"/>
      <c r="H85" s="232"/>
      <c r="I85" s="232"/>
      <c r="J85" s="232"/>
      <c r="K85" s="232"/>
      <c r="L85" s="232"/>
      <c r="M85" s="290">
        <f t="shared" ref="M85:S85" si="34">M84-M83</f>
        <v>0</v>
      </c>
      <c r="N85" s="289">
        <f t="shared" si="34"/>
        <v>0</v>
      </c>
      <c r="O85" s="289">
        <f t="shared" si="34"/>
        <v>0</v>
      </c>
      <c r="P85" s="289">
        <f t="shared" si="34"/>
        <v>0</v>
      </c>
      <c r="Q85" s="289">
        <f t="shared" si="34"/>
        <v>0</v>
      </c>
      <c r="R85" s="289">
        <f t="shared" si="34"/>
        <v>0</v>
      </c>
      <c r="S85" s="289">
        <f t="shared" si="34"/>
        <v>0</v>
      </c>
      <c r="T85" s="232"/>
      <c r="U85" s="232"/>
      <c r="V85" s="15"/>
      <c r="W85" s="15"/>
      <c r="X85" s="15"/>
      <c r="Y85" s="15"/>
      <c r="Z85" s="15"/>
      <c r="AA85" s="15"/>
    </row>
    <row r="86" spans="1:27" s="25" customFormat="1" ht="12" customHeight="1" x14ac:dyDescent="0.2">
      <c r="A86" s="232"/>
      <c r="B86" s="265"/>
      <c r="C86" s="286"/>
      <c r="D86" s="232"/>
      <c r="E86" s="232"/>
      <c r="F86" s="232"/>
      <c r="G86" s="232"/>
      <c r="H86" s="232"/>
      <c r="I86" s="232"/>
      <c r="J86" s="232"/>
      <c r="K86" s="232"/>
      <c r="L86" s="232"/>
      <c r="M86" s="229"/>
      <c r="N86" s="232"/>
      <c r="O86" s="232"/>
      <c r="P86" s="232"/>
      <c r="Q86" s="232"/>
      <c r="R86" s="232"/>
      <c r="S86" s="232"/>
      <c r="T86" s="232"/>
      <c r="U86" s="232"/>
      <c r="V86" s="15"/>
      <c r="W86" s="15"/>
      <c r="X86" s="15"/>
      <c r="Y86" s="15"/>
      <c r="Z86" s="15"/>
      <c r="AA86" s="15"/>
    </row>
    <row r="87" spans="1:27" s="25" customFormat="1" ht="12" customHeight="1" x14ac:dyDescent="0.2">
      <c r="A87" s="232"/>
      <c r="B87" s="287" t="s">
        <v>394</v>
      </c>
      <c r="C87" s="286"/>
      <c r="D87" s="232"/>
      <c r="E87" s="232"/>
      <c r="F87" s="232"/>
      <c r="G87" s="232"/>
      <c r="H87" s="232"/>
      <c r="I87" s="232"/>
      <c r="J87" s="232"/>
      <c r="K87" s="232"/>
      <c r="L87" s="232"/>
      <c r="M87" s="229"/>
      <c r="N87" s="232"/>
      <c r="O87" s="232"/>
      <c r="P87" s="232"/>
      <c r="Q87" s="232"/>
      <c r="R87" s="232"/>
      <c r="S87" s="232"/>
      <c r="T87" s="232"/>
      <c r="U87" s="232"/>
      <c r="V87" s="15"/>
      <c r="W87" s="15"/>
      <c r="X87" s="15"/>
      <c r="Y87" s="15"/>
      <c r="Z87" s="15"/>
      <c r="AA87" s="15"/>
    </row>
    <row r="88" spans="1:27" s="25" customFormat="1" ht="12" customHeight="1" x14ac:dyDescent="0.2">
      <c r="A88" s="232"/>
      <c r="B88" s="265"/>
      <c r="C88" s="286"/>
      <c r="D88" s="232"/>
      <c r="E88" s="232"/>
      <c r="F88" s="232"/>
      <c r="G88" s="232"/>
      <c r="H88" s="232"/>
      <c r="I88" s="232"/>
      <c r="J88" s="232"/>
      <c r="K88" s="232"/>
      <c r="L88" s="232"/>
      <c r="M88" s="229"/>
      <c r="N88" s="232"/>
      <c r="O88" s="232"/>
      <c r="P88" s="232"/>
      <c r="Q88" s="232"/>
      <c r="R88" s="232"/>
      <c r="S88" s="232"/>
      <c r="T88" s="232"/>
      <c r="U88" s="232"/>
      <c r="V88" s="15"/>
      <c r="W88" s="15"/>
      <c r="X88" s="15"/>
      <c r="Y88" s="15"/>
      <c r="Z88" s="15"/>
      <c r="AA88" s="15"/>
    </row>
    <row r="89" spans="1:27" s="25" customFormat="1" ht="12" customHeight="1" x14ac:dyDescent="0.2">
      <c r="A89" s="232"/>
      <c r="B89" s="267" t="s">
        <v>396</v>
      </c>
      <c r="C89" s="286" t="s">
        <v>250</v>
      </c>
      <c r="D89" s="232"/>
      <c r="E89" s="232"/>
      <c r="F89" s="232"/>
      <c r="G89" s="232"/>
      <c r="H89" s="232"/>
      <c r="I89" s="232"/>
      <c r="J89" s="232"/>
      <c r="K89" s="232"/>
      <c r="L89" s="232"/>
      <c r="M89" s="290">
        <f>SUMIFS('Forecast capex'!$AA$9:$AA$1940,'Forecast capex'!$J$9:$J$1940,M$13)</f>
        <v>213386.38398021326</v>
      </c>
      <c r="N89" s="289">
        <f>SUMIFS('Forecast capex'!$AA$9:$AA$1940,'Forecast capex'!$J$9:$J$1940,N$13)</f>
        <v>342974.63653624558</v>
      </c>
      <c r="O89" s="289">
        <f>SUMIFS('Forecast capex'!$AA$9:$AA$1940,'Forecast capex'!$J$9:$J$1940,O$13)</f>
        <v>109215.03417369934</v>
      </c>
      <c r="P89" s="289">
        <f>SUMIFS('Forecast capex'!$AA$9:$AA$1940,'Forecast capex'!$J$9:$J$1940,P$13)</f>
        <v>95184.381237176014</v>
      </c>
      <c r="Q89" s="289">
        <f>SUMIFS('Forecast capex'!$AA$9:$AA$1940,'Forecast capex'!$J$9:$J$1940,Q$13)</f>
        <v>141768.2528945785</v>
      </c>
      <c r="R89" s="290">
        <f>SUMIFS('Forecast capex'!$AA$9:$AA$1940,'Forecast capex'!$J$9:$J$1940,R$13)</f>
        <v>154962.69548011242</v>
      </c>
      <c r="S89" s="289">
        <f>SUMIFS('Forecast capex'!$AA$9:$AA$1940,'Forecast capex'!$J$9:$J$1940,S$13)</f>
        <v>81810.776309014429</v>
      </c>
      <c r="T89" s="232"/>
      <c r="U89" s="232"/>
      <c r="V89" s="15"/>
      <c r="W89" s="15"/>
      <c r="X89" s="15"/>
      <c r="Y89" s="15"/>
      <c r="Z89" s="15"/>
      <c r="AA89" s="15"/>
    </row>
    <row r="90" spans="1:27" s="25" customFormat="1" ht="12" customHeight="1" x14ac:dyDescent="0.2">
      <c r="A90" s="232"/>
      <c r="B90" s="267" t="s">
        <v>397</v>
      </c>
      <c r="C90" s="286" t="s">
        <v>250</v>
      </c>
      <c r="D90" s="232"/>
      <c r="E90" s="232"/>
      <c r="F90" s="232"/>
      <c r="G90" s="232"/>
      <c r="H90" s="232"/>
      <c r="I90" s="232"/>
      <c r="J90" s="232"/>
      <c r="K90" s="232"/>
      <c r="L90" s="232"/>
      <c r="M90" s="290">
        <f t="shared" ref="M90:S90" si="35">M83+M89</f>
        <v>6212955.2619880261</v>
      </c>
      <c r="N90" s="289">
        <f t="shared" si="35"/>
        <v>7396508.27389336</v>
      </c>
      <c r="O90" s="289">
        <f t="shared" si="35"/>
        <v>2272363.6588192908</v>
      </c>
      <c r="P90" s="289">
        <f t="shared" si="35"/>
        <v>2771387.2424091678</v>
      </c>
      <c r="Q90" s="289">
        <f t="shared" si="35"/>
        <v>4127722.6614697916</v>
      </c>
      <c r="R90" s="289">
        <f t="shared" si="35"/>
        <v>4511891.8852117937</v>
      </c>
      <c r="S90" s="289">
        <f t="shared" si="35"/>
        <v>2382001.5301611219</v>
      </c>
      <c r="T90" s="232"/>
      <c r="U90" s="232"/>
      <c r="V90" s="15"/>
      <c r="W90" s="15"/>
      <c r="X90" s="15"/>
      <c r="Y90" s="15"/>
      <c r="Z90" s="15"/>
      <c r="AA90" s="15"/>
    </row>
    <row r="91" spans="1:27" s="25" customFormat="1" ht="12" customHeight="1" x14ac:dyDescent="0.2">
      <c r="A91" s="232"/>
      <c r="B91" s="267" t="s">
        <v>398</v>
      </c>
      <c r="C91" s="286" t="s">
        <v>250</v>
      </c>
      <c r="D91" s="232"/>
      <c r="E91" s="232"/>
      <c r="F91" s="232"/>
      <c r="G91" s="232"/>
      <c r="H91" s="232"/>
      <c r="I91" s="232"/>
      <c r="J91" s="232"/>
      <c r="K91" s="232"/>
      <c r="L91" s="232"/>
      <c r="M91" s="289">
        <f>M84+M89</f>
        <v>6212955.2619880261</v>
      </c>
      <c r="N91" s="289">
        <f t="shared" ref="N91:S91" si="36">N84+N89</f>
        <v>7396508.27389336</v>
      </c>
      <c r="O91" s="289">
        <f t="shared" si="36"/>
        <v>2272363.6588192908</v>
      </c>
      <c r="P91" s="289">
        <f t="shared" si="36"/>
        <v>2771387.2424091678</v>
      </c>
      <c r="Q91" s="289">
        <f t="shared" si="36"/>
        <v>4127722.6614697916</v>
      </c>
      <c r="R91" s="289">
        <f t="shared" si="36"/>
        <v>4511891.8852117937</v>
      </c>
      <c r="S91" s="289">
        <f t="shared" si="36"/>
        <v>2382001.5301611219</v>
      </c>
      <c r="T91" s="232"/>
      <c r="U91" s="232"/>
      <c r="V91" s="15"/>
      <c r="W91" s="15"/>
      <c r="X91" s="15"/>
      <c r="Y91" s="15"/>
      <c r="Z91" s="15"/>
      <c r="AA91" s="15"/>
    </row>
    <row r="92" spans="1:27" s="25" customFormat="1" ht="12" customHeight="1" x14ac:dyDescent="0.2">
      <c r="A92" s="232"/>
      <c r="B92" s="265"/>
      <c r="C92" s="286"/>
      <c r="D92" s="232"/>
      <c r="E92" s="232"/>
      <c r="F92" s="232"/>
      <c r="G92" s="232"/>
      <c r="H92" s="232"/>
      <c r="I92" s="232"/>
      <c r="J92" s="232"/>
      <c r="K92" s="232"/>
      <c r="L92" s="232"/>
      <c r="M92" s="229"/>
      <c r="N92" s="232"/>
      <c r="O92" s="232"/>
      <c r="P92" s="232"/>
      <c r="Q92" s="232"/>
      <c r="R92" s="232"/>
      <c r="S92" s="232"/>
      <c r="T92" s="232"/>
      <c r="U92" s="232"/>
      <c r="V92" s="15"/>
      <c r="W92" s="15"/>
      <c r="X92" s="15"/>
      <c r="Y92" s="15"/>
      <c r="Z92" s="15"/>
      <c r="AA92" s="15"/>
    </row>
    <row r="93" spans="1:27" s="25" customFormat="1" ht="12" customHeight="1" x14ac:dyDescent="0.2">
      <c r="A93" s="232"/>
      <c r="B93" s="287" t="s">
        <v>266</v>
      </c>
      <c r="C93" s="286"/>
      <c r="D93" s="232"/>
      <c r="E93" s="232"/>
      <c r="F93" s="232"/>
      <c r="G93" s="232"/>
      <c r="H93" s="232"/>
      <c r="I93" s="232"/>
      <c r="J93" s="232"/>
      <c r="K93" s="232"/>
      <c r="L93" s="232"/>
      <c r="M93" s="229"/>
      <c r="N93" s="232"/>
      <c r="O93" s="232"/>
      <c r="P93" s="232"/>
      <c r="Q93" s="232"/>
      <c r="R93" s="232"/>
      <c r="S93" s="232"/>
      <c r="T93" s="232"/>
      <c r="U93" s="232"/>
      <c r="V93" s="15"/>
      <c r="W93" s="15"/>
      <c r="X93" s="15"/>
      <c r="Y93" s="15"/>
      <c r="Z93" s="15"/>
      <c r="AA93" s="15"/>
    </row>
    <row r="94" spans="1:27" s="25" customFormat="1" ht="12" customHeight="1" x14ac:dyDescent="0.2">
      <c r="A94" s="232"/>
      <c r="B94" s="265"/>
      <c r="C94" s="286"/>
      <c r="D94" s="232"/>
      <c r="E94" s="232"/>
      <c r="F94" s="232"/>
      <c r="G94" s="232"/>
      <c r="H94" s="232"/>
      <c r="I94" s="232"/>
      <c r="J94" s="232"/>
      <c r="K94" s="232"/>
      <c r="L94" s="232"/>
      <c r="M94" s="229"/>
      <c r="N94" s="232"/>
      <c r="O94" s="232"/>
      <c r="P94" s="232"/>
      <c r="Q94" s="232"/>
      <c r="R94" s="232"/>
      <c r="S94" s="232"/>
      <c r="T94" s="232"/>
      <c r="U94" s="232"/>
      <c r="V94" s="15"/>
      <c r="W94" s="15"/>
      <c r="X94" s="15"/>
      <c r="Y94" s="15"/>
      <c r="Z94" s="15"/>
      <c r="AA94" s="15"/>
    </row>
    <row r="95" spans="1:27" s="25" customFormat="1" ht="12" customHeight="1" x14ac:dyDescent="0.2">
      <c r="A95" s="232"/>
      <c r="B95" s="267" t="s">
        <v>402</v>
      </c>
      <c r="C95" s="286" t="s">
        <v>250</v>
      </c>
      <c r="D95" s="238"/>
      <c r="E95" s="232"/>
      <c r="F95" s="232"/>
      <c r="G95" s="232"/>
      <c r="H95" s="232"/>
      <c r="I95" s="232"/>
      <c r="J95" s="232"/>
      <c r="K95" s="232"/>
      <c r="L95" s="232"/>
      <c r="M95" s="290">
        <f>'Historical capex'!M35+(SUMIFS('Forecast capex'!$AB$9:$AB$1940,'Forecast capex'!$K$9:$K$1940,'Works under construction'!M13))</f>
        <v>11092936.890000001</v>
      </c>
      <c r="N95" s="290">
        <f>'Historical capex'!N35+(SUMIFS('Forecast capex'!$AB$9:$AB$1940,'Forecast capex'!$K$9:$K$1940,'Works under construction'!N13))</f>
        <v>10702581.651988026</v>
      </c>
      <c r="O95" s="290">
        <f>'Historical capex'!O35+(SUMIFS('Forecast capex'!$AB$9:$AB$1940,'Forecast capex'!$K$9:$K$1940,'Works under construction'!O13))</f>
        <v>6032261.0454512825</v>
      </c>
      <c r="P95" s="290">
        <f>'Historical capex'!P35+(SUMIFS('Forecast capex'!$AB$9:$AB$1940,'Forecast capex'!$K$9:$K$1940,'Works under construction'!P13))</f>
        <v>1332545.3326392709</v>
      </c>
      <c r="Q95" s="290">
        <f>'Historical capex'!Q35+(SUMIFS('Forecast capex'!$AB$9:$AB$1940,'Forecast capex'!$K$9:$K$1940,'Works under construction'!Q13))</f>
        <v>5075452.7970312648</v>
      </c>
      <c r="R95" s="290">
        <f>'Historical capex'!R35+(SUMIFS('Forecast capex'!$AB$9:$AB$1940,'Forecast capex'!$K$9:$K$1940,'Works under construction'!R13))</f>
        <v>4127722.6614697934</v>
      </c>
      <c r="S95" s="290">
        <f>'Historical capex'!S35+(SUMIFS('Forecast capex'!$AB$9:$AB$1940,'Forecast capex'!$K$9:$K$1940,'Works under construction'!S13))</f>
        <v>4511891.8852117918</v>
      </c>
      <c r="T95" s="232"/>
      <c r="U95" s="232"/>
      <c r="V95" s="15"/>
      <c r="W95" s="15"/>
      <c r="X95" s="15"/>
      <c r="Y95" s="15"/>
      <c r="Z95" s="15"/>
      <c r="AA95" s="15"/>
    </row>
    <row r="96" spans="1:27" s="25" customFormat="1" ht="12" customHeight="1" x14ac:dyDescent="0.2">
      <c r="A96" s="232"/>
      <c r="B96" s="267" t="s">
        <v>297</v>
      </c>
      <c r="C96" s="286" t="s">
        <v>250</v>
      </c>
      <c r="D96" s="238"/>
      <c r="E96" s="232"/>
      <c r="F96" s="232"/>
      <c r="G96" s="232"/>
      <c r="H96" s="232"/>
      <c r="I96" s="232"/>
      <c r="J96" s="232"/>
      <c r="K96" s="232"/>
      <c r="L96" s="232"/>
      <c r="M96" s="290">
        <f>'Historical capex'!M36+SUMIFS('Forecast capex'!$T$9:$T$1911,'Forecast capex'!$L$9:$L$1911,'Works under construction'!$B$79,'Forecast capex'!$K$9:$K$1911,'Works under construction'!M13)</f>
        <v>0</v>
      </c>
      <c r="N96" s="290">
        <f>'Historical capex'!N36+SUMIFS('Forecast capex'!$T$9:$T$1911,'Forecast capex'!$L$9:$L$1911,'Works under construction'!$B$79,'Forecast capex'!$K$9:$K$1911,'Works under construction'!N13)</f>
        <v>0</v>
      </c>
      <c r="O96" s="290">
        <f>'Historical capex'!O36+SUMIFS('Forecast capex'!$T$9:$T$1911,'Forecast capex'!$L$9:$L$1911,'Works under construction'!$B$79,'Forecast capex'!$K$9:$K$1911,'Works under construction'!O13)</f>
        <v>0</v>
      </c>
      <c r="P96" s="290">
        <f>'Historical capex'!P36+SUMIFS('Forecast capex'!$T$9:$T$1911,'Forecast capex'!$L$9:$L$1911,'Works under construction'!$B$79,'Forecast capex'!$K$9:$K$1911,'Works under construction'!P13)</f>
        <v>0</v>
      </c>
      <c r="Q96" s="290">
        <f>'Historical capex'!Q36+SUMIFS('Forecast capex'!$T$9:$T$1911,'Forecast capex'!$L$9:$L$1911,'Works under construction'!$B$79,'Forecast capex'!$K$9:$K$1911,'Works under construction'!Q13)</f>
        <v>0</v>
      </c>
      <c r="R96" s="290">
        <f>'Historical capex'!R36+SUMIFS('Forecast capex'!$T$9:$T$1911,'Forecast capex'!$L$9:$L$1911,'Works under construction'!$B$79,'Forecast capex'!$K$9:$K$1911,'Works under construction'!R13)</f>
        <v>0</v>
      </c>
      <c r="S96" s="290">
        <f>'Historical capex'!S36+SUMIFS('Forecast capex'!$T$9:$T$1911,'Forecast capex'!$L$9:$L$1911,'Works under construction'!$B$79,'Forecast capex'!$K$9:$K$1911,'Works under construction'!S13)</f>
        <v>0</v>
      </c>
      <c r="T96" s="232"/>
      <c r="U96" s="232"/>
      <c r="V96" s="15"/>
      <c r="W96" s="15"/>
      <c r="X96" s="15"/>
      <c r="Y96" s="15"/>
      <c r="Z96" s="15"/>
      <c r="AA96" s="15"/>
    </row>
    <row r="97" spans="1:27" s="25" customFormat="1" ht="12" customHeight="1" x14ac:dyDescent="0.2">
      <c r="A97" s="232"/>
      <c r="B97" s="265"/>
      <c r="C97" s="286"/>
      <c r="D97" s="232"/>
      <c r="E97" s="232"/>
      <c r="F97" s="232"/>
      <c r="G97" s="232"/>
      <c r="H97" s="232"/>
      <c r="I97" s="232"/>
      <c r="J97" s="232"/>
      <c r="K97" s="232"/>
      <c r="L97" s="232"/>
      <c r="M97" s="229"/>
      <c r="N97" s="232"/>
      <c r="O97" s="232"/>
      <c r="P97" s="232"/>
      <c r="Q97" s="232"/>
      <c r="R97" s="232"/>
      <c r="S97" s="232"/>
      <c r="T97" s="232"/>
      <c r="U97" s="232"/>
      <c r="V97" s="15"/>
      <c r="W97" s="15"/>
      <c r="X97" s="15"/>
      <c r="Y97" s="15"/>
      <c r="Z97" s="15"/>
      <c r="AA97" s="15"/>
    </row>
    <row r="98" spans="1:27" s="25" customFormat="1" ht="12" customHeight="1" x14ac:dyDescent="0.2">
      <c r="A98" s="232"/>
      <c r="B98" s="287" t="s">
        <v>60</v>
      </c>
      <c r="C98" s="286"/>
      <c r="D98" s="232"/>
      <c r="E98" s="232"/>
      <c r="F98" s="232"/>
      <c r="G98" s="232"/>
      <c r="H98" s="232"/>
      <c r="I98" s="232"/>
      <c r="J98" s="232"/>
      <c r="K98" s="232"/>
      <c r="L98" s="232"/>
      <c r="M98" s="229"/>
      <c r="N98" s="232"/>
      <c r="O98" s="232"/>
      <c r="P98" s="232"/>
      <c r="Q98" s="232"/>
      <c r="R98" s="232"/>
      <c r="S98" s="232"/>
      <c r="T98" s="232"/>
      <c r="U98" s="232"/>
      <c r="V98" s="15"/>
      <c r="W98" s="15"/>
      <c r="X98" s="15"/>
      <c r="Y98" s="15"/>
      <c r="Z98" s="15"/>
      <c r="AA98" s="15"/>
    </row>
    <row r="99" spans="1:27" s="25" customFormat="1" ht="12" customHeight="1" x14ac:dyDescent="0.2">
      <c r="A99" s="232"/>
      <c r="B99" s="265"/>
      <c r="C99" s="286"/>
      <c r="D99" s="232"/>
      <c r="E99" s="232"/>
      <c r="F99" s="232"/>
      <c r="G99" s="232"/>
      <c r="H99" s="232"/>
      <c r="I99" s="232"/>
      <c r="J99" s="232"/>
      <c r="K99" s="232"/>
      <c r="L99" s="232"/>
      <c r="M99" s="229"/>
      <c r="N99" s="232"/>
      <c r="O99" s="232"/>
      <c r="P99" s="232"/>
      <c r="Q99" s="232"/>
      <c r="R99" s="232"/>
      <c r="S99" s="232"/>
      <c r="T99" s="232"/>
      <c r="U99" s="232"/>
      <c r="V99" s="15"/>
      <c r="W99" s="15"/>
      <c r="X99" s="15"/>
      <c r="Y99" s="15"/>
      <c r="Z99" s="15"/>
      <c r="AA99" s="15"/>
    </row>
    <row r="100" spans="1:27" s="25" customFormat="1" ht="12" customHeight="1" x14ac:dyDescent="0.2">
      <c r="A100" s="232"/>
      <c r="B100" s="267" t="s">
        <v>392</v>
      </c>
      <c r="C100" s="286" t="s">
        <v>250</v>
      </c>
      <c r="D100" s="255">
        <f>'Historical capex'!L34</f>
        <v>15582562.84</v>
      </c>
      <c r="E100" s="232"/>
      <c r="F100" s="232"/>
      <c r="G100" s="232"/>
      <c r="H100" s="232"/>
      <c r="I100" s="232"/>
      <c r="J100" s="232"/>
      <c r="K100" s="232"/>
      <c r="L100" s="229"/>
      <c r="M100" s="290">
        <f>IF(L100="",$D100,L103)</f>
        <v>15582562.84</v>
      </c>
      <c r="N100" s="289">
        <f t="shared" ref="N100" si="37">IF(M100="",$D100,M103)</f>
        <v>10702581.211988024</v>
      </c>
      <c r="O100" s="289">
        <f t="shared" ref="O100" si="38">IF(N100="",$D100,N103)</f>
        <v>7396507.8338933587</v>
      </c>
      <c r="P100" s="289">
        <f t="shared" ref="P100" si="39">IF(O100="",$D100,O103)</f>
        <v>3636610.4472613679</v>
      </c>
      <c r="Q100" s="289">
        <f t="shared" ref="Q100" si="40">IF(P100="",$D100,P103)</f>
        <v>5075452.3570312653</v>
      </c>
      <c r="R100" s="289">
        <f t="shared" ref="R100" si="41">IF(Q100="",$D100,Q103)</f>
        <v>4127722.2214697916</v>
      </c>
      <c r="S100" s="289">
        <f t="shared" ref="S100" si="42">IF(R100="",$D100,R103)</f>
        <v>4511891.4452117924</v>
      </c>
      <c r="T100" s="232"/>
      <c r="U100" s="232"/>
      <c r="V100" s="15"/>
      <c r="W100" s="15"/>
      <c r="X100" s="15"/>
      <c r="Y100" s="15"/>
      <c r="Z100" s="15"/>
      <c r="AA100" s="15"/>
    </row>
    <row r="101" spans="1:27" s="25" customFormat="1" ht="12" customHeight="1" x14ac:dyDescent="0.2">
      <c r="A101" s="232"/>
      <c r="B101" s="267" t="s">
        <v>306</v>
      </c>
      <c r="C101" s="286" t="s">
        <v>250</v>
      </c>
      <c r="D101" s="232"/>
      <c r="E101" s="232"/>
      <c r="F101" s="232"/>
      <c r="G101" s="232"/>
      <c r="H101" s="232"/>
      <c r="I101" s="232"/>
      <c r="J101" s="232"/>
      <c r="K101" s="232"/>
      <c r="L101" s="232"/>
      <c r="M101" s="290">
        <f>M90</f>
        <v>6212955.2619880261</v>
      </c>
      <c r="N101" s="290">
        <f t="shared" ref="N101:S101" si="43">N90</f>
        <v>7396508.27389336</v>
      </c>
      <c r="O101" s="290">
        <f t="shared" si="43"/>
        <v>2272363.6588192908</v>
      </c>
      <c r="P101" s="290">
        <f t="shared" si="43"/>
        <v>2771387.2424091678</v>
      </c>
      <c r="Q101" s="290">
        <f t="shared" si="43"/>
        <v>4127722.6614697916</v>
      </c>
      <c r="R101" s="290">
        <f t="shared" si="43"/>
        <v>4511891.8852117937</v>
      </c>
      <c r="S101" s="290">
        <f t="shared" si="43"/>
        <v>2382001.5301611219</v>
      </c>
      <c r="T101" s="232"/>
      <c r="U101" s="232"/>
      <c r="V101" s="15"/>
      <c r="W101" s="15"/>
      <c r="X101" s="15"/>
      <c r="Y101" s="15"/>
      <c r="Z101" s="15"/>
      <c r="AA101" s="15"/>
    </row>
    <row r="102" spans="1:27" s="25" customFormat="1" ht="12" customHeight="1" x14ac:dyDescent="0.2">
      <c r="A102" s="232"/>
      <c r="B102" s="267" t="s">
        <v>266</v>
      </c>
      <c r="C102" s="286" t="s">
        <v>250</v>
      </c>
      <c r="D102" s="232"/>
      <c r="E102" s="232"/>
      <c r="F102" s="232"/>
      <c r="G102" s="232"/>
      <c r="H102" s="232"/>
      <c r="I102" s="232"/>
      <c r="J102" s="232"/>
      <c r="K102" s="232"/>
      <c r="L102" s="232"/>
      <c r="M102" s="290">
        <f>M95</f>
        <v>11092936.890000001</v>
      </c>
      <c r="N102" s="290">
        <f t="shared" ref="N102:S102" si="44">N95</f>
        <v>10702581.651988026</v>
      </c>
      <c r="O102" s="290">
        <f t="shared" si="44"/>
        <v>6032261.0454512825</v>
      </c>
      <c r="P102" s="290">
        <f t="shared" si="44"/>
        <v>1332545.3326392709</v>
      </c>
      <c r="Q102" s="290">
        <f t="shared" si="44"/>
        <v>5075452.7970312648</v>
      </c>
      <c r="R102" s="290">
        <f t="shared" si="44"/>
        <v>4127722.6614697934</v>
      </c>
      <c r="S102" s="290">
        <f t="shared" si="44"/>
        <v>4511891.8852117918</v>
      </c>
      <c r="T102" s="232"/>
      <c r="U102" s="232"/>
      <c r="V102" s="15"/>
      <c r="W102" s="15"/>
      <c r="X102" s="15"/>
      <c r="Y102" s="15"/>
      <c r="Z102" s="15"/>
      <c r="AA102" s="15"/>
    </row>
    <row r="103" spans="1:27" s="25" customFormat="1" ht="12" customHeight="1" x14ac:dyDescent="0.2">
      <c r="A103" s="232"/>
      <c r="B103" s="267" t="s">
        <v>393</v>
      </c>
      <c r="C103" s="286" t="s">
        <v>250</v>
      </c>
      <c r="D103" s="232"/>
      <c r="E103" s="232"/>
      <c r="F103" s="232"/>
      <c r="G103" s="232"/>
      <c r="H103" s="232"/>
      <c r="I103" s="232"/>
      <c r="J103" s="232"/>
      <c r="K103" s="232"/>
      <c r="L103" s="229"/>
      <c r="M103" s="290">
        <f>M100+M101-M102</f>
        <v>10702581.211988024</v>
      </c>
      <c r="N103" s="290">
        <f t="shared" ref="N103:S103" si="45">N100+N101-N102</f>
        <v>7396507.8338933587</v>
      </c>
      <c r="O103" s="290">
        <f t="shared" si="45"/>
        <v>3636610.4472613679</v>
      </c>
      <c r="P103" s="290">
        <f t="shared" si="45"/>
        <v>5075452.3570312653</v>
      </c>
      <c r="Q103" s="290">
        <f t="shared" si="45"/>
        <v>4127722.2214697916</v>
      </c>
      <c r="R103" s="290">
        <f t="shared" si="45"/>
        <v>4511891.4452117924</v>
      </c>
      <c r="S103" s="290">
        <f t="shared" si="45"/>
        <v>2382001.0901611224</v>
      </c>
      <c r="T103" s="232"/>
      <c r="U103" s="232"/>
      <c r="V103" s="15"/>
      <c r="W103" s="15"/>
      <c r="X103" s="15"/>
      <c r="Y103" s="15"/>
      <c r="Z103" s="15"/>
      <c r="AA103" s="15"/>
    </row>
    <row r="104" spans="1:27" s="25" customFormat="1" ht="12" customHeight="1" x14ac:dyDescent="0.2">
      <c r="A104" s="232"/>
      <c r="B104" s="265"/>
      <c r="C104" s="286"/>
      <c r="D104" s="232"/>
      <c r="E104" s="232"/>
      <c r="F104" s="232"/>
      <c r="G104" s="232"/>
      <c r="H104" s="232"/>
      <c r="I104" s="232"/>
      <c r="J104" s="232"/>
      <c r="K104" s="232"/>
      <c r="L104" s="232"/>
      <c r="M104" s="229"/>
      <c r="N104" s="232"/>
      <c r="O104" s="232"/>
      <c r="P104" s="232"/>
      <c r="Q104" s="232"/>
      <c r="R104" s="232"/>
      <c r="S104" s="232"/>
      <c r="T104" s="232"/>
      <c r="U104" s="232"/>
      <c r="V104" s="15"/>
      <c r="W104" s="15"/>
      <c r="X104" s="15"/>
      <c r="Y104" s="15"/>
      <c r="Z104" s="15"/>
      <c r="AA104" s="15"/>
    </row>
    <row r="105" spans="1:27" s="25" customFormat="1" ht="12" customHeight="1" x14ac:dyDescent="0.2">
      <c r="A105" s="232"/>
      <c r="B105" s="283" t="s">
        <v>403</v>
      </c>
      <c r="C105" s="284" t="s">
        <v>51</v>
      </c>
      <c r="D105" s="285" t="s">
        <v>52</v>
      </c>
      <c r="E105" s="284" t="s">
        <v>53</v>
      </c>
      <c r="F105" s="232"/>
      <c r="G105" s="232"/>
      <c r="H105" s="232"/>
      <c r="I105" s="232"/>
      <c r="J105" s="232"/>
      <c r="K105" s="232"/>
      <c r="L105" s="232"/>
      <c r="M105" s="229"/>
      <c r="N105" s="232"/>
      <c r="O105" s="232"/>
      <c r="P105" s="232"/>
      <c r="Q105" s="232"/>
      <c r="R105" s="232"/>
      <c r="S105" s="232"/>
      <c r="T105" s="232"/>
      <c r="U105" s="232"/>
      <c r="V105" s="15"/>
      <c r="W105" s="15"/>
      <c r="X105" s="15"/>
      <c r="Y105" s="15"/>
      <c r="Z105" s="15"/>
      <c r="AA105" s="15"/>
    </row>
    <row r="106" spans="1:27" s="25" customFormat="1" ht="12" customHeight="1" x14ac:dyDescent="0.2">
      <c r="A106" s="232"/>
      <c r="B106" s="265"/>
      <c r="C106" s="286"/>
      <c r="D106" s="232"/>
      <c r="E106" s="232"/>
      <c r="F106" s="232"/>
      <c r="G106" s="232"/>
      <c r="H106" s="232"/>
      <c r="I106" s="232"/>
      <c r="J106" s="232"/>
      <c r="K106" s="232"/>
      <c r="L106" s="232"/>
      <c r="M106" s="229"/>
      <c r="N106" s="232"/>
      <c r="O106" s="232"/>
      <c r="P106" s="232"/>
      <c r="Q106" s="232"/>
      <c r="R106" s="232"/>
      <c r="S106" s="232"/>
      <c r="T106" s="232"/>
      <c r="U106" s="232"/>
      <c r="V106" s="15"/>
      <c r="W106" s="15"/>
      <c r="X106" s="15"/>
      <c r="Y106" s="15"/>
      <c r="Z106" s="15"/>
      <c r="AA106" s="15"/>
    </row>
    <row r="107" spans="1:27" s="25" customFormat="1" ht="12" customHeight="1" x14ac:dyDescent="0.2">
      <c r="A107" s="232"/>
      <c r="B107" s="267" t="s">
        <v>389</v>
      </c>
      <c r="C107" s="286" t="s">
        <v>250</v>
      </c>
      <c r="D107" s="232"/>
      <c r="E107" s="232"/>
      <c r="F107" s="232"/>
      <c r="G107" s="232"/>
      <c r="H107" s="232"/>
      <c r="I107" s="232"/>
      <c r="J107" s="232"/>
      <c r="K107" s="232"/>
      <c r="L107" s="290">
        <f t="shared" ref="L107:S109" si="46">L33+L83</f>
        <v>66047541.71574793</v>
      </c>
      <c r="M107" s="289">
        <f t="shared" si="46"/>
        <v>54705759.706572339</v>
      </c>
      <c r="N107" s="289">
        <f t="shared" si="46"/>
        <v>66760521.9499982</v>
      </c>
      <c r="O107" s="289">
        <f t="shared" si="46"/>
        <v>68979297.819644213</v>
      </c>
      <c r="P107" s="289">
        <f t="shared" si="46"/>
        <v>67230639.929069936</v>
      </c>
      <c r="Q107" s="289">
        <f t="shared" si="46"/>
        <v>71199563.487792015</v>
      </c>
      <c r="R107" s="289">
        <f t="shared" si="46"/>
        <v>68238229.245875344</v>
      </c>
      <c r="S107" s="289">
        <f t="shared" si="46"/>
        <v>60925461.009413294</v>
      </c>
      <c r="T107" s="232"/>
      <c r="U107" s="232"/>
      <c r="V107" s="15"/>
      <c r="W107" s="15"/>
      <c r="X107" s="15"/>
      <c r="Y107" s="15"/>
      <c r="Z107" s="15"/>
      <c r="AA107" s="15"/>
    </row>
    <row r="108" spans="1:27" s="25" customFormat="1" ht="12" customHeight="1" x14ac:dyDescent="0.2">
      <c r="A108" s="232"/>
      <c r="B108" s="267" t="s">
        <v>390</v>
      </c>
      <c r="C108" s="286" t="s">
        <v>250</v>
      </c>
      <c r="D108" s="232"/>
      <c r="E108" s="232"/>
      <c r="F108" s="232"/>
      <c r="G108" s="232"/>
      <c r="H108" s="232"/>
      <c r="I108" s="232"/>
      <c r="J108" s="232"/>
      <c r="K108" s="232"/>
      <c r="L108" s="290">
        <f t="shared" si="46"/>
        <v>69922828.421837211</v>
      </c>
      <c r="M108" s="289">
        <f t="shared" si="46"/>
        <v>64407750.861724071</v>
      </c>
      <c r="N108" s="289">
        <f t="shared" si="46"/>
        <v>73455429.83298482</v>
      </c>
      <c r="O108" s="289">
        <f t="shared" si="46"/>
        <v>74469659.050771505</v>
      </c>
      <c r="P108" s="289">
        <f t="shared" si="46"/>
        <v>72833865.455772966</v>
      </c>
      <c r="Q108" s="289">
        <f t="shared" si="46"/>
        <v>78620915.912342399</v>
      </c>
      <c r="R108" s="289">
        <f t="shared" si="46"/>
        <v>76786459.250985593</v>
      </c>
      <c r="S108" s="289">
        <f t="shared" si="46"/>
        <v>70975153.512406871</v>
      </c>
      <c r="T108" s="232"/>
      <c r="U108" s="232"/>
      <c r="V108" s="15"/>
      <c r="W108" s="15"/>
      <c r="X108" s="15"/>
      <c r="Y108" s="15"/>
      <c r="Z108" s="15"/>
      <c r="AA108" s="15"/>
    </row>
    <row r="109" spans="1:27" s="25" customFormat="1" ht="12" customHeight="1" x14ac:dyDescent="0.2">
      <c r="A109" s="232"/>
      <c r="B109" s="267" t="s">
        <v>297</v>
      </c>
      <c r="C109" s="286" t="s">
        <v>250</v>
      </c>
      <c r="D109" s="232"/>
      <c r="E109" s="232"/>
      <c r="F109" s="232"/>
      <c r="G109" s="232"/>
      <c r="H109" s="232"/>
      <c r="I109" s="232"/>
      <c r="J109" s="232"/>
      <c r="K109" s="232"/>
      <c r="L109" s="290">
        <f t="shared" si="46"/>
        <v>3875286.7060892805</v>
      </c>
      <c r="M109" s="290">
        <f t="shared" si="46"/>
        <v>9701991.1551517323</v>
      </c>
      <c r="N109" s="289">
        <f t="shared" si="46"/>
        <v>6694907.8829866275</v>
      </c>
      <c r="O109" s="290">
        <f t="shared" si="46"/>
        <v>5490361.2311272919</v>
      </c>
      <c r="P109" s="289">
        <f t="shared" si="46"/>
        <v>5603225.5267030373</v>
      </c>
      <c r="Q109" s="289">
        <f t="shared" si="46"/>
        <v>7421352.4245503843</v>
      </c>
      <c r="R109" s="289">
        <f t="shared" si="46"/>
        <v>8548230.0051102415</v>
      </c>
      <c r="S109" s="289">
        <f t="shared" si="46"/>
        <v>10049692.502993569</v>
      </c>
      <c r="T109" s="232"/>
      <c r="U109" s="232"/>
      <c r="V109" s="15"/>
      <c r="W109" s="15"/>
      <c r="X109" s="15"/>
      <c r="Y109" s="15"/>
      <c r="Z109" s="15"/>
      <c r="AA109" s="15"/>
    </row>
    <row r="110" spans="1:27" s="25" customFormat="1" ht="12" customHeight="1" x14ac:dyDescent="0.2">
      <c r="A110" s="232"/>
      <c r="B110" s="265"/>
      <c r="C110" s="286"/>
      <c r="D110" s="232"/>
      <c r="E110" s="232"/>
      <c r="F110" s="232"/>
      <c r="G110" s="232"/>
      <c r="H110" s="232"/>
      <c r="I110" s="232"/>
      <c r="J110" s="232"/>
      <c r="K110" s="232"/>
      <c r="L110" s="232"/>
      <c r="M110" s="229"/>
      <c r="N110" s="232"/>
      <c r="O110" s="232"/>
      <c r="P110" s="232"/>
      <c r="Q110" s="232"/>
      <c r="R110" s="232"/>
      <c r="S110" s="232"/>
      <c r="T110" s="232"/>
      <c r="U110" s="232"/>
      <c r="V110" s="15"/>
      <c r="W110" s="15"/>
      <c r="X110" s="15"/>
      <c r="Y110" s="15"/>
      <c r="Z110" s="15"/>
      <c r="AA110" s="15"/>
    </row>
    <row r="111" spans="1:27" s="25" customFormat="1" ht="12" customHeight="1" x14ac:dyDescent="0.2">
      <c r="A111" s="232"/>
      <c r="B111" s="267" t="s">
        <v>396</v>
      </c>
      <c r="C111" s="286" t="s">
        <v>250</v>
      </c>
      <c r="D111" s="232"/>
      <c r="E111" s="232"/>
      <c r="F111" s="232"/>
      <c r="G111" s="232"/>
      <c r="H111" s="232"/>
      <c r="I111" s="232"/>
      <c r="J111" s="232"/>
      <c r="K111" s="232"/>
      <c r="L111" s="289">
        <f t="shared" ref="L111:S111" si="47">L51+L89</f>
        <v>0</v>
      </c>
      <c r="M111" s="290">
        <f t="shared" si="47"/>
        <v>775897.71094941068</v>
      </c>
      <c r="N111" s="290">
        <f t="shared" si="47"/>
        <v>898258.97358337312</v>
      </c>
      <c r="O111" s="289">
        <f t="shared" si="47"/>
        <v>580351.77789614152</v>
      </c>
      <c r="P111" s="289">
        <f t="shared" si="47"/>
        <v>550373.24859083851</v>
      </c>
      <c r="Q111" s="289">
        <f t="shared" si="47"/>
        <v>615707.58188820048</v>
      </c>
      <c r="R111" s="290">
        <f t="shared" si="47"/>
        <v>605405.11180931656</v>
      </c>
      <c r="S111" s="289">
        <f t="shared" si="47"/>
        <v>495191.66193061078</v>
      </c>
      <c r="T111" s="232"/>
      <c r="U111" s="232"/>
      <c r="V111" s="15"/>
      <c r="W111" s="15"/>
      <c r="X111" s="15"/>
      <c r="Y111" s="15"/>
      <c r="Z111" s="15"/>
      <c r="AA111" s="15"/>
    </row>
    <row r="112" spans="1:27" s="25" customFormat="1" ht="12" customHeight="1" x14ac:dyDescent="0.2">
      <c r="A112" s="232"/>
      <c r="B112" s="265"/>
      <c r="C112" s="286"/>
      <c r="D112" s="232"/>
      <c r="E112" s="232"/>
      <c r="F112" s="232"/>
      <c r="G112" s="232"/>
      <c r="H112" s="232"/>
      <c r="I112" s="232"/>
      <c r="J112" s="232"/>
      <c r="K112" s="232"/>
      <c r="L112" s="232"/>
      <c r="M112" s="229"/>
      <c r="N112" s="232"/>
      <c r="O112" s="232"/>
      <c r="P112" s="232"/>
      <c r="Q112" s="232"/>
      <c r="R112" s="232"/>
      <c r="S112" s="232"/>
      <c r="T112" s="232"/>
      <c r="U112" s="232"/>
      <c r="V112" s="15"/>
      <c r="W112" s="15"/>
      <c r="X112" s="15"/>
      <c r="Y112" s="15"/>
      <c r="Z112" s="15"/>
      <c r="AA112" s="15"/>
    </row>
    <row r="113" spans="1:27" s="25" customFormat="1" ht="12" customHeight="1" x14ac:dyDescent="0.2">
      <c r="A113" s="232"/>
      <c r="B113" s="267" t="s">
        <v>402</v>
      </c>
      <c r="C113" s="286" t="s">
        <v>250</v>
      </c>
      <c r="D113" s="232"/>
      <c r="E113" s="232"/>
      <c r="F113" s="232"/>
      <c r="G113" s="232"/>
      <c r="H113" s="232"/>
      <c r="I113" s="232"/>
      <c r="J113" s="232"/>
      <c r="K113" s="232"/>
      <c r="L113" s="289">
        <f t="shared" ref="L113:S113" si="48">L41+L64+L95</f>
        <v>63004353.999999993</v>
      </c>
      <c r="M113" s="289">
        <f t="shared" si="48"/>
        <v>55771641.159393147</v>
      </c>
      <c r="N113" s="289">
        <f t="shared" si="48"/>
        <v>71450399.653654024</v>
      </c>
      <c r="O113" s="289">
        <f t="shared" si="48"/>
        <v>78197538.30284673</v>
      </c>
      <c r="P113" s="289">
        <f t="shared" si="48"/>
        <v>67253235.26927866</v>
      </c>
      <c r="Q113" s="289">
        <f t="shared" si="48"/>
        <v>71691832.216058165</v>
      </c>
      <c r="R113" s="289">
        <f t="shared" si="48"/>
        <v>69801787.50823769</v>
      </c>
      <c r="S113" s="289">
        <f t="shared" si="48"/>
        <v>65667779.558910623</v>
      </c>
      <c r="T113" s="232"/>
      <c r="U113" s="232"/>
      <c r="V113" s="15"/>
      <c r="W113" s="15"/>
      <c r="X113" s="15"/>
      <c r="Y113" s="15"/>
      <c r="Z113" s="15"/>
      <c r="AA113" s="15"/>
    </row>
    <row r="114" spans="1:27" s="25" customFormat="1" ht="12" customHeight="1" x14ac:dyDescent="0.2">
      <c r="A114" s="232"/>
      <c r="B114" s="265"/>
      <c r="C114" s="286"/>
      <c r="D114" s="232"/>
      <c r="E114" s="232"/>
      <c r="F114" s="232"/>
      <c r="G114" s="232"/>
      <c r="H114" s="232"/>
      <c r="I114" s="232"/>
      <c r="J114" s="232"/>
      <c r="K114" s="232"/>
      <c r="L114" s="286"/>
      <c r="M114" s="229"/>
      <c r="N114" s="232"/>
      <c r="O114" s="232"/>
      <c r="P114" s="232"/>
      <c r="Q114" s="232"/>
      <c r="R114" s="232"/>
      <c r="S114" s="232"/>
      <c r="T114" s="232"/>
      <c r="U114" s="232"/>
      <c r="V114" s="15"/>
      <c r="W114" s="15"/>
      <c r="X114" s="15"/>
      <c r="Y114" s="15"/>
      <c r="Z114" s="15"/>
      <c r="AA114" s="15"/>
    </row>
    <row r="115" spans="1:27" s="25" customFormat="1" ht="12" customHeight="1" x14ac:dyDescent="0.2">
      <c r="A115" s="232"/>
      <c r="B115" s="267" t="s">
        <v>392</v>
      </c>
      <c r="C115" s="286" t="s">
        <v>250</v>
      </c>
      <c r="D115" s="232"/>
      <c r="E115" s="232"/>
      <c r="F115" s="232"/>
      <c r="G115" s="232"/>
      <c r="H115" s="232"/>
      <c r="I115" s="232"/>
      <c r="J115" s="232"/>
      <c r="K115" s="232"/>
      <c r="L115" s="289">
        <f t="shared" ref="L115:S118" si="49">L39+L62+L100</f>
        <v>40228000</v>
      </c>
      <c r="M115" s="289">
        <f t="shared" si="49"/>
        <v>43271016.000000015</v>
      </c>
      <c r="N115" s="289">
        <f t="shared" si="49"/>
        <v>42981032.258128613</v>
      </c>
      <c r="O115" s="289">
        <f t="shared" si="49"/>
        <v>39189413.528056175</v>
      </c>
      <c r="P115" s="289">
        <f t="shared" si="49"/>
        <v>30551524.822749794</v>
      </c>
      <c r="Q115" s="289">
        <f t="shared" si="49"/>
        <v>31079302.731131904</v>
      </c>
      <c r="R115" s="289">
        <f t="shared" si="49"/>
        <v>31202741.58475396</v>
      </c>
      <c r="S115" s="289">
        <f t="shared" si="49"/>
        <v>30244588.434200943</v>
      </c>
      <c r="T115" s="232"/>
      <c r="U115" s="232"/>
      <c r="V115" s="15"/>
      <c r="W115" s="15"/>
      <c r="X115" s="15"/>
      <c r="Y115" s="15"/>
      <c r="Z115" s="15"/>
      <c r="AA115" s="15"/>
    </row>
    <row r="116" spans="1:27" s="25" customFormat="1" ht="12" customHeight="1" x14ac:dyDescent="0.2">
      <c r="A116" s="232"/>
      <c r="B116" s="267" t="s">
        <v>306</v>
      </c>
      <c r="C116" s="286" t="s">
        <v>250</v>
      </c>
      <c r="D116" s="232"/>
      <c r="E116" s="232"/>
      <c r="F116" s="232"/>
      <c r="G116" s="232"/>
      <c r="H116" s="232"/>
      <c r="I116" s="232"/>
      <c r="J116" s="232"/>
      <c r="K116" s="232"/>
      <c r="L116" s="289">
        <f t="shared" si="49"/>
        <v>66047370.000000007</v>
      </c>
      <c r="M116" s="289">
        <f t="shared" si="49"/>
        <v>55481657.417521752</v>
      </c>
      <c r="N116" s="289">
        <f t="shared" si="49"/>
        <v>67658780.92358157</v>
      </c>
      <c r="O116" s="289">
        <f t="shared" si="49"/>
        <v>69559649.597540349</v>
      </c>
      <c r="P116" s="289">
        <f t="shared" si="49"/>
        <v>67781013.177660763</v>
      </c>
      <c r="Q116" s="289">
        <f t="shared" si="49"/>
        <v>71815271.069680214</v>
      </c>
      <c r="R116" s="289">
        <f t="shared" si="49"/>
        <v>68843634.357684657</v>
      </c>
      <c r="S116" s="289">
        <f t="shared" si="49"/>
        <v>61420652.671343908</v>
      </c>
      <c r="T116" s="232"/>
      <c r="U116" s="232"/>
      <c r="V116" s="15"/>
      <c r="W116" s="15"/>
      <c r="X116" s="15"/>
      <c r="Y116" s="15"/>
      <c r="Z116" s="15"/>
      <c r="AA116" s="15"/>
    </row>
    <row r="117" spans="1:27" s="25" customFormat="1" ht="12" customHeight="1" x14ac:dyDescent="0.2">
      <c r="A117" s="232"/>
      <c r="B117" s="267" t="s">
        <v>266</v>
      </c>
      <c r="C117" s="286" t="s">
        <v>250</v>
      </c>
      <c r="D117" s="232"/>
      <c r="E117" s="232"/>
      <c r="F117" s="232"/>
      <c r="G117" s="232"/>
      <c r="H117" s="232"/>
      <c r="I117" s="232"/>
      <c r="J117" s="232"/>
      <c r="K117" s="232"/>
      <c r="L117" s="289">
        <f t="shared" si="49"/>
        <v>63004353.999999993</v>
      </c>
      <c r="M117" s="289">
        <f t="shared" si="49"/>
        <v>55771641.159393147</v>
      </c>
      <c r="N117" s="290">
        <f t="shared" si="49"/>
        <v>71450399.653654024</v>
      </c>
      <c r="O117" s="289">
        <f t="shared" si="49"/>
        <v>78197538.30284673</v>
      </c>
      <c r="P117" s="289">
        <f t="shared" si="49"/>
        <v>67253235.26927866</v>
      </c>
      <c r="Q117" s="289">
        <f t="shared" si="49"/>
        <v>71691832.216058165</v>
      </c>
      <c r="R117" s="289">
        <f t="shared" si="49"/>
        <v>69801787.50823769</v>
      </c>
      <c r="S117" s="289">
        <f t="shared" si="49"/>
        <v>65667779.558910623</v>
      </c>
      <c r="T117" s="232"/>
      <c r="U117" s="232"/>
      <c r="V117" s="15"/>
      <c r="W117" s="15"/>
      <c r="X117" s="15"/>
      <c r="Y117" s="15"/>
      <c r="Z117" s="15"/>
      <c r="AA117" s="15"/>
    </row>
    <row r="118" spans="1:27" s="25" customFormat="1" ht="12" customHeight="1" x14ac:dyDescent="0.2">
      <c r="A118" s="232"/>
      <c r="B118" s="267" t="s">
        <v>393</v>
      </c>
      <c r="C118" s="286" t="s">
        <v>250</v>
      </c>
      <c r="D118" s="232"/>
      <c r="E118" s="232"/>
      <c r="F118" s="232"/>
      <c r="G118" s="232"/>
      <c r="H118" s="232"/>
      <c r="I118" s="232"/>
      <c r="J118" s="232"/>
      <c r="K118" s="232"/>
      <c r="L118" s="289">
        <f t="shared" si="49"/>
        <v>43271016.000000015</v>
      </c>
      <c r="M118" s="289">
        <f t="shared" si="49"/>
        <v>42981032.258128613</v>
      </c>
      <c r="N118" s="290">
        <f t="shared" si="49"/>
        <v>39189413.528056175</v>
      </c>
      <c r="O118" s="290">
        <f t="shared" si="49"/>
        <v>30551524.822749794</v>
      </c>
      <c r="P118" s="289">
        <f t="shared" si="49"/>
        <v>31079302.731131904</v>
      </c>
      <c r="Q118" s="289">
        <f t="shared" si="49"/>
        <v>31202741.58475396</v>
      </c>
      <c r="R118" s="289">
        <f t="shared" si="49"/>
        <v>30244588.434200943</v>
      </c>
      <c r="S118" s="289">
        <f t="shared" si="49"/>
        <v>25997461.546634238</v>
      </c>
      <c r="T118" s="232"/>
      <c r="U118" s="232"/>
      <c r="V118" s="15"/>
      <c r="W118" s="15"/>
      <c r="X118" s="15"/>
      <c r="Y118" s="15"/>
      <c r="Z118" s="15"/>
      <c r="AA118" s="15"/>
    </row>
    <row r="119" spans="1:27" s="25" customFormat="1" ht="12" customHeight="1" x14ac:dyDescent="0.2">
      <c r="A119" s="232"/>
      <c r="B119" s="265"/>
      <c r="C119" s="286"/>
      <c r="D119" s="232"/>
      <c r="E119" s="232"/>
      <c r="F119" s="232"/>
      <c r="G119" s="232"/>
      <c r="H119" s="232"/>
      <c r="I119" s="232"/>
      <c r="J119" s="232"/>
      <c r="K119" s="232"/>
      <c r="L119" s="289"/>
      <c r="M119" s="289"/>
      <c r="N119" s="289"/>
      <c r="O119" s="289"/>
      <c r="P119" s="289"/>
      <c r="Q119" s="289"/>
      <c r="R119" s="289"/>
      <c r="S119" s="289"/>
      <c r="T119" s="232"/>
      <c r="U119" s="232"/>
      <c r="V119" s="15"/>
      <c r="W119" s="15"/>
      <c r="X119" s="15"/>
      <c r="Y119" s="15"/>
      <c r="Z119" s="15"/>
      <c r="AA119" s="15"/>
    </row>
    <row r="120" spans="1:27" s="25" customFormat="1" ht="12" customHeight="1" x14ac:dyDescent="0.2">
      <c r="A120" s="232"/>
      <c r="B120" s="242" t="s">
        <v>222</v>
      </c>
      <c r="C120" s="280" t="s">
        <v>58</v>
      </c>
      <c r="D120" s="297">
        <f>SUM(H120:S120)</f>
        <v>0</v>
      </c>
      <c r="E120" s="298"/>
      <c r="F120" s="229"/>
      <c r="G120" s="229"/>
      <c r="H120" s="229"/>
      <c r="I120" s="229"/>
      <c r="J120" s="229"/>
      <c r="K120" s="229"/>
      <c r="L120" s="228"/>
      <c r="M120" s="228">
        <f>M107-(SUMIFS('Forecast capex'!$U$9:$U$1940,'Forecast capex'!$J$9:$J$1940,'Works under construction'!M13))</f>
        <v>0</v>
      </c>
      <c r="N120" s="228">
        <f>N107-(SUMIFS('Forecast capex'!$U$9:$U$1940,'Forecast capex'!$J$9:$J$1940,'Works under construction'!N13))</f>
        <v>0</v>
      </c>
      <c r="O120" s="228">
        <f>O107-(SUMIFS('Forecast capex'!$U$9:$U$1940,'Forecast capex'!$J$9:$J$1940,'Works under construction'!O13))</f>
        <v>0</v>
      </c>
      <c r="P120" s="228">
        <f>P107-(SUMIFS('Forecast capex'!$U$9:$U$1940,'Forecast capex'!$J$9:$J$1940,'Works under construction'!P13))</f>
        <v>0</v>
      </c>
      <c r="Q120" s="228">
        <f>Q107-(SUMIFS('Forecast capex'!$U$9:$U$1940,'Forecast capex'!$J$9:$J$1940,'Works under construction'!Q13))</f>
        <v>0</v>
      </c>
      <c r="R120" s="228">
        <f>R107-(SUMIFS('Forecast capex'!$U$9:$U$1940,'Forecast capex'!$J$9:$J$1940,'Works under construction'!R13))</f>
        <v>0</v>
      </c>
      <c r="S120" s="228">
        <f>S107-(SUMIFS('Forecast capex'!$U$9:$U$1940,'Forecast capex'!$J$9:$J$1940,'Works under construction'!S13))</f>
        <v>0</v>
      </c>
      <c r="T120" s="232"/>
      <c r="U120" s="232"/>
      <c r="V120" s="15"/>
      <c r="W120" s="15"/>
      <c r="X120" s="15"/>
      <c r="Y120" s="15"/>
      <c r="Z120" s="15"/>
      <c r="AA120" s="15"/>
    </row>
    <row r="121" spans="1:27" s="25" customFormat="1" ht="12" customHeight="1" x14ac:dyDescent="0.2">
      <c r="A121" s="232"/>
      <c r="B121" s="242" t="s">
        <v>224</v>
      </c>
      <c r="C121" s="280" t="s">
        <v>58</v>
      </c>
      <c r="D121" s="297">
        <f>SUM(H121:S121)</f>
        <v>0</v>
      </c>
      <c r="E121" s="298"/>
      <c r="F121" s="229"/>
      <c r="G121" s="229"/>
      <c r="H121" s="229"/>
      <c r="I121" s="229"/>
      <c r="J121" s="229"/>
      <c r="K121" s="229"/>
      <c r="L121" s="228"/>
      <c r="M121" s="228">
        <f>M108-SUMIFS('Forecast capex'!$V$9:$V$1940,'Forecast capex'!$J$9:$J$1940,M$13)</f>
        <v>0</v>
      </c>
      <c r="N121" s="228">
        <f>N108-SUMIFS('Forecast capex'!$V$9:$V$1940,'Forecast capex'!$J$9:$J$1940,N$13)</f>
        <v>0</v>
      </c>
      <c r="O121" s="228">
        <f>O108-SUMIFS('Forecast capex'!$V$9:$V$1940,'Forecast capex'!$J$9:$J$1940,O$13)</f>
        <v>0</v>
      </c>
      <c r="P121" s="228">
        <f>P108-SUMIFS('Forecast capex'!$V$9:$V$1940,'Forecast capex'!$J$9:$J$1940,P$13)</f>
        <v>0</v>
      </c>
      <c r="Q121" s="228">
        <f>Q108-SUMIFS('Forecast capex'!$V$9:$V$1940,'Forecast capex'!$J$9:$J$1940,Q$13)</f>
        <v>0</v>
      </c>
      <c r="R121" s="228">
        <f>R108-SUMIFS('Forecast capex'!$V$9:$V$1940,'Forecast capex'!$J$9:$J$1940,R$13)</f>
        <v>0</v>
      </c>
      <c r="S121" s="228">
        <f>S108-SUMIFS('Forecast capex'!$V$9:$V$1940,'Forecast capex'!$J$9:$J$1940,S$13)</f>
        <v>0</v>
      </c>
      <c r="T121" s="232"/>
      <c r="U121" s="232"/>
      <c r="V121" s="15"/>
      <c r="W121" s="15"/>
      <c r="X121" s="15"/>
      <c r="Y121" s="15"/>
      <c r="Z121" s="15"/>
      <c r="AA121" s="15"/>
    </row>
    <row r="122" spans="1:27" s="25" customFormat="1" ht="12" customHeight="1" x14ac:dyDescent="0.2">
      <c r="A122" s="232"/>
      <c r="B122" s="242" t="s">
        <v>226</v>
      </c>
      <c r="C122" s="280" t="s">
        <v>58</v>
      </c>
      <c r="D122" s="297">
        <f>SUM(H122:S122)</f>
        <v>0</v>
      </c>
      <c r="E122" s="298"/>
      <c r="F122" s="229"/>
      <c r="G122" s="229"/>
      <c r="H122" s="229"/>
      <c r="I122" s="229"/>
      <c r="J122" s="229"/>
      <c r="K122" s="229"/>
      <c r="L122" s="228">
        <f t="shared" ref="L122" si="50">IF(ABS((L108-L107)-L109)&lt;0.001,0,1)</f>
        <v>0</v>
      </c>
      <c r="M122" s="228">
        <f t="shared" ref="M122:S122" si="51">IF(ABS((M108-M107)-M109)&lt;0.001,0,1)</f>
        <v>0</v>
      </c>
      <c r="N122" s="228">
        <f t="shared" si="51"/>
        <v>0</v>
      </c>
      <c r="O122" s="228">
        <f t="shared" si="51"/>
        <v>0</v>
      </c>
      <c r="P122" s="228">
        <f t="shared" si="51"/>
        <v>0</v>
      </c>
      <c r="Q122" s="228">
        <f t="shared" si="51"/>
        <v>0</v>
      </c>
      <c r="R122" s="228">
        <f t="shared" si="51"/>
        <v>0</v>
      </c>
      <c r="S122" s="228">
        <f t="shared" si="51"/>
        <v>0</v>
      </c>
      <c r="T122" s="232"/>
      <c r="U122" s="232"/>
      <c r="V122" s="15"/>
      <c r="W122" s="15"/>
      <c r="X122" s="15"/>
      <c r="Y122" s="15"/>
      <c r="Z122" s="15"/>
      <c r="AA122" s="15"/>
    </row>
    <row r="123" spans="1:27" s="25" customFormat="1" ht="12" customHeight="1" x14ac:dyDescent="0.2">
      <c r="A123" s="232"/>
      <c r="B123" s="242" t="s">
        <v>227</v>
      </c>
      <c r="C123" s="280" t="s">
        <v>58</v>
      </c>
      <c r="D123" s="297">
        <f>SUM(H123:S123)</f>
        <v>0</v>
      </c>
      <c r="E123" s="298"/>
      <c r="F123" s="229"/>
      <c r="G123" s="229"/>
      <c r="H123" s="229"/>
      <c r="I123" s="229"/>
      <c r="J123" s="229"/>
      <c r="K123" s="229"/>
      <c r="L123" s="228">
        <f t="shared" ref="L123:S123" si="52">IF(ABS(L111-SUM(L51,L89))&lt;0.001,0,1)</f>
        <v>0</v>
      </c>
      <c r="M123" s="228">
        <f t="shared" si="52"/>
        <v>0</v>
      </c>
      <c r="N123" s="228">
        <f t="shared" si="52"/>
        <v>0</v>
      </c>
      <c r="O123" s="228">
        <f t="shared" si="52"/>
        <v>0</v>
      </c>
      <c r="P123" s="228">
        <f t="shared" si="52"/>
        <v>0</v>
      </c>
      <c r="Q123" s="228">
        <f t="shared" si="52"/>
        <v>0</v>
      </c>
      <c r="R123" s="228">
        <f t="shared" si="52"/>
        <v>0</v>
      </c>
      <c r="S123" s="228">
        <f t="shared" si="52"/>
        <v>0</v>
      </c>
      <c r="T123" s="232"/>
      <c r="U123" s="232"/>
      <c r="V123" s="15"/>
      <c r="W123" s="15"/>
      <c r="X123" s="15"/>
      <c r="Y123" s="15"/>
      <c r="Z123" s="15"/>
      <c r="AA123" s="15"/>
    </row>
    <row r="124" spans="1:27" s="25" customFormat="1" ht="12" customHeight="1" x14ac:dyDescent="0.2">
      <c r="A124" s="232"/>
      <c r="B124" s="265"/>
      <c r="C124" s="286"/>
      <c r="D124" s="232"/>
      <c r="E124" s="232"/>
      <c r="F124" s="232"/>
      <c r="G124" s="232"/>
      <c r="H124" s="232"/>
      <c r="I124" s="232"/>
      <c r="J124" s="232"/>
      <c r="K124" s="232"/>
      <c r="L124" s="232"/>
      <c r="M124" s="229"/>
      <c r="N124" s="232"/>
      <c r="O124" s="232"/>
      <c r="P124" s="232"/>
      <c r="Q124" s="232"/>
      <c r="R124" s="232"/>
      <c r="S124" s="232"/>
      <c r="T124" s="232"/>
      <c r="U124" s="232"/>
      <c r="V124" s="15"/>
      <c r="W124" s="15"/>
      <c r="X124" s="15"/>
      <c r="Y124" s="15"/>
      <c r="Z124" s="15"/>
      <c r="AA124" s="15"/>
    </row>
    <row r="125" spans="1:27" s="25" customFormat="1" ht="12" customHeight="1" x14ac:dyDescent="0.2">
      <c r="A125" s="232"/>
      <c r="B125" s="250"/>
      <c r="C125" s="286"/>
      <c r="D125" s="232"/>
      <c r="E125" s="232"/>
      <c r="F125" s="232"/>
      <c r="G125" s="232"/>
      <c r="H125" s="232"/>
      <c r="I125" s="232"/>
      <c r="J125" s="232"/>
      <c r="K125" s="232"/>
      <c r="L125" s="232"/>
      <c r="M125" s="232"/>
      <c r="N125" s="232"/>
      <c r="O125" s="232"/>
      <c r="P125" s="232"/>
      <c r="Q125" s="232"/>
      <c r="R125" s="232"/>
      <c r="S125" s="232"/>
      <c r="T125" s="232"/>
      <c r="U125" s="232"/>
      <c r="V125" s="15"/>
      <c r="W125" s="15"/>
      <c r="X125" s="15"/>
      <c r="Y125" s="15"/>
      <c r="Z125" s="15"/>
      <c r="AA125" s="15"/>
    </row>
    <row r="126" spans="1:27" s="25" customFormat="1" ht="12" customHeight="1" x14ac:dyDescent="0.2">
      <c r="A126" s="232"/>
      <c r="B126" s="250"/>
      <c r="C126" s="286"/>
      <c r="D126" s="232"/>
      <c r="E126" s="232"/>
      <c r="F126" s="232"/>
      <c r="G126" s="232"/>
      <c r="H126" s="232"/>
      <c r="I126" s="232"/>
      <c r="J126" s="232"/>
      <c r="K126" s="232"/>
      <c r="L126" s="232"/>
      <c r="M126" s="232"/>
      <c r="N126" s="232"/>
      <c r="O126" s="232"/>
      <c r="P126" s="232"/>
      <c r="Q126" s="232"/>
      <c r="R126" s="232"/>
      <c r="S126" s="232"/>
      <c r="T126" s="232"/>
      <c r="U126" s="232"/>
      <c r="V126" s="15"/>
      <c r="W126" s="15"/>
      <c r="X126" s="15"/>
      <c r="Y126" s="15"/>
      <c r="Z126" s="15"/>
      <c r="AA126" s="15"/>
    </row>
    <row r="127" spans="1:27" s="25" customFormat="1" ht="12" customHeight="1" x14ac:dyDescent="0.2">
      <c r="A127" s="232"/>
      <c r="B127" s="250"/>
      <c r="C127" s="286"/>
      <c r="D127" s="232"/>
      <c r="E127" s="232"/>
      <c r="F127" s="232"/>
      <c r="G127" s="232"/>
      <c r="H127" s="232"/>
      <c r="I127" s="232"/>
      <c r="J127" s="232"/>
      <c r="K127" s="232"/>
      <c r="L127" s="232"/>
      <c r="M127" s="232"/>
      <c r="N127" s="232"/>
      <c r="O127" s="232"/>
      <c r="P127" s="232"/>
      <c r="Q127" s="232"/>
      <c r="R127" s="232"/>
      <c r="S127" s="232"/>
      <c r="T127" s="232"/>
      <c r="U127" s="232"/>
      <c r="V127" s="15"/>
      <c r="W127" s="15"/>
      <c r="X127" s="15"/>
      <c r="Y127" s="15"/>
      <c r="Z127" s="15"/>
      <c r="AA127" s="15"/>
    </row>
    <row r="128" spans="1:27" s="25" customFormat="1" ht="12" customHeight="1" x14ac:dyDescent="0.2">
      <c r="A128" s="232"/>
      <c r="B128" s="250"/>
      <c r="C128" s="286"/>
      <c r="D128" s="232"/>
      <c r="E128" s="232"/>
      <c r="F128" s="232"/>
      <c r="G128" s="232"/>
      <c r="H128" s="232"/>
      <c r="I128" s="232"/>
      <c r="J128" s="232"/>
      <c r="K128" s="232"/>
      <c r="L128" s="232"/>
      <c r="M128" s="232"/>
      <c r="N128" s="232"/>
      <c r="O128" s="232"/>
      <c r="P128" s="232"/>
      <c r="Q128" s="232"/>
      <c r="R128" s="232"/>
      <c r="S128" s="232"/>
      <c r="T128" s="232"/>
      <c r="U128" s="232"/>
      <c r="V128" s="15"/>
      <c r="W128" s="15"/>
      <c r="X128" s="15"/>
      <c r="Y128" s="15"/>
      <c r="Z128" s="15"/>
      <c r="AA128" s="15"/>
    </row>
    <row r="129" spans="1:27" s="25" customFormat="1" ht="12" customHeight="1" x14ac:dyDescent="0.2">
      <c r="A129" s="232"/>
      <c r="B129" s="250"/>
      <c r="C129" s="286"/>
      <c r="D129" s="232"/>
      <c r="E129" s="232"/>
      <c r="F129" s="232"/>
      <c r="G129" s="232"/>
      <c r="H129" s="232"/>
      <c r="I129" s="232"/>
      <c r="J129" s="232"/>
      <c r="K129" s="232"/>
      <c r="L129" s="286"/>
      <c r="M129" s="243"/>
      <c r="N129" s="243"/>
      <c r="O129" s="243"/>
      <c r="P129" s="243"/>
      <c r="Q129" s="243"/>
      <c r="R129" s="243"/>
      <c r="S129" s="243"/>
      <c r="T129" s="232"/>
      <c r="U129" s="232"/>
      <c r="V129" s="15"/>
      <c r="W129" s="15"/>
      <c r="X129" s="15"/>
      <c r="Y129" s="15"/>
      <c r="Z129" s="15"/>
      <c r="AA129" s="15"/>
    </row>
    <row r="130" spans="1:27" s="25" customFormat="1" ht="12" customHeight="1" x14ac:dyDescent="0.2">
      <c r="A130" s="232"/>
      <c r="B130" s="250"/>
      <c r="C130" s="286"/>
      <c r="D130" s="232"/>
      <c r="E130" s="232"/>
      <c r="F130" s="232"/>
      <c r="G130" s="232"/>
      <c r="H130" s="232"/>
      <c r="I130" s="232"/>
      <c r="J130" s="232"/>
      <c r="K130" s="232"/>
      <c r="L130" s="286"/>
      <c r="M130" s="232"/>
      <c r="N130" s="232"/>
      <c r="O130" s="232"/>
      <c r="P130" s="232"/>
      <c r="Q130" s="232"/>
      <c r="R130" s="232"/>
      <c r="S130" s="232"/>
      <c r="T130" s="232"/>
      <c r="U130" s="232"/>
      <c r="V130" s="15"/>
      <c r="W130" s="15"/>
      <c r="X130" s="15"/>
      <c r="Y130" s="15"/>
      <c r="Z130" s="15"/>
      <c r="AA130" s="15"/>
    </row>
    <row r="131" spans="1:27" s="25" customFormat="1" ht="12" customHeight="1" x14ac:dyDescent="0.2">
      <c r="A131" s="232"/>
      <c r="B131" s="250"/>
      <c r="C131" s="286"/>
      <c r="D131" s="232"/>
      <c r="E131" s="232"/>
      <c r="F131" s="232"/>
      <c r="G131" s="232"/>
      <c r="H131" s="232"/>
      <c r="I131" s="232"/>
      <c r="J131" s="232"/>
      <c r="K131" s="232"/>
      <c r="L131" s="299"/>
      <c r="M131" s="232"/>
      <c r="N131" s="232"/>
      <c r="O131" s="232"/>
      <c r="P131" s="232"/>
      <c r="Q131" s="232"/>
      <c r="R131" s="232"/>
      <c r="S131" s="232"/>
      <c r="T131" s="232"/>
      <c r="U131" s="232"/>
      <c r="V131" s="15"/>
      <c r="W131" s="15"/>
      <c r="X131" s="15"/>
      <c r="Y131" s="15"/>
      <c r="Z131" s="15"/>
      <c r="AA131" s="15"/>
    </row>
    <row r="132" spans="1:27" s="25" customFormat="1" ht="12" customHeight="1" x14ac:dyDescent="0.2">
      <c r="A132" s="232"/>
      <c r="B132" s="250"/>
      <c r="C132" s="286"/>
      <c r="D132" s="232"/>
      <c r="E132" s="232"/>
      <c r="F132" s="232"/>
      <c r="G132" s="232"/>
      <c r="H132" s="232"/>
      <c r="I132" s="232"/>
      <c r="J132" s="232"/>
      <c r="K132" s="232"/>
      <c r="L132" s="232"/>
      <c r="M132" s="289"/>
      <c r="N132" s="289"/>
      <c r="O132" s="289"/>
      <c r="P132" s="289"/>
      <c r="Q132" s="289"/>
      <c r="R132" s="289"/>
      <c r="S132" s="289"/>
      <c r="T132" s="232"/>
      <c r="U132" s="232"/>
      <c r="V132" s="15"/>
      <c r="W132" s="15"/>
      <c r="X132" s="15"/>
      <c r="Y132" s="15"/>
      <c r="Z132" s="15"/>
      <c r="AA132" s="15"/>
    </row>
    <row r="133" spans="1:27" s="25" customFormat="1" ht="12" customHeight="1" x14ac:dyDescent="0.2">
      <c r="A133" s="232"/>
      <c r="B133" s="250"/>
      <c r="C133" s="286"/>
      <c r="D133" s="232"/>
      <c r="E133" s="232"/>
      <c r="F133" s="232"/>
      <c r="G133" s="232"/>
      <c r="H133" s="232"/>
      <c r="I133" s="232"/>
      <c r="J133" s="232"/>
      <c r="K133" s="232"/>
      <c r="L133" s="232"/>
      <c r="M133" s="289"/>
      <c r="N133" s="289"/>
      <c r="O133" s="289"/>
      <c r="P133" s="289"/>
      <c r="Q133" s="289"/>
      <c r="R133" s="289"/>
      <c r="S133" s="289"/>
      <c r="T133" s="232"/>
      <c r="U133" s="232"/>
      <c r="V133" s="15"/>
      <c r="W133" s="15"/>
      <c r="X133" s="15"/>
      <c r="Y133" s="15"/>
      <c r="Z133" s="15"/>
      <c r="AA133" s="15"/>
    </row>
    <row r="134" spans="1:27" s="25" customFormat="1" ht="12" customHeight="1" x14ac:dyDescent="0.2">
      <c r="A134" s="232"/>
      <c r="B134" s="250"/>
      <c r="C134" s="286"/>
      <c r="D134" s="232"/>
      <c r="E134" s="232"/>
      <c r="F134" s="232"/>
      <c r="G134" s="232"/>
      <c r="H134" s="232"/>
      <c r="I134" s="232"/>
      <c r="J134" s="232"/>
      <c r="K134" s="232"/>
      <c r="L134" s="232"/>
      <c r="M134" s="289"/>
      <c r="N134" s="289"/>
      <c r="O134" s="289"/>
      <c r="P134" s="289"/>
      <c r="Q134" s="289"/>
      <c r="R134" s="289"/>
      <c r="S134" s="289"/>
      <c r="T134" s="232"/>
      <c r="U134" s="232"/>
      <c r="V134" s="15"/>
      <c r="W134" s="15"/>
      <c r="X134" s="15"/>
      <c r="Y134" s="15"/>
      <c r="Z134" s="15"/>
      <c r="AA134" s="15"/>
    </row>
    <row r="135" spans="1:27" s="25" customFormat="1" ht="12" customHeight="1" x14ac:dyDescent="0.2">
      <c r="A135" s="232"/>
      <c r="B135" s="250"/>
      <c r="C135" s="286"/>
      <c r="D135" s="232"/>
      <c r="E135" s="232"/>
      <c r="F135" s="232"/>
      <c r="G135" s="232"/>
      <c r="H135" s="232"/>
      <c r="I135" s="232"/>
      <c r="J135" s="232"/>
      <c r="K135" s="232"/>
      <c r="L135" s="232"/>
      <c r="M135" s="290"/>
      <c r="N135" s="290"/>
      <c r="O135" s="290"/>
      <c r="P135" s="290"/>
      <c r="Q135" s="290"/>
      <c r="R135" s="290"/>
      <c r="S135" s="290"/>
      <c r="T135" s="232"/>
      <c r="U135" s="232"/>
      <c r="V135" s="15"/>
      <c r="W135" s="15"/>
      <c r="X135" s="15"/>
      <c r="Y135" s="15"/>
      <c r="Z135" s="15"/>
      <c r="AA135" s="15"/>
    </row>
    <row r="136" spans="1:27" s="25" customFormat="1" ht="12" customHeight="1" x14ac:dyDescent="0.2">
      <c r="A136" s="232"/>
      <c r="B136" s="250"/>
      <c r="C136" s="286"/>
      <c r="D136" s="232"/>
      <c r="E136" s="232"/>
      <c r="F136" s="232"/>
      <c r="G136" s="232"/>
      <c r="H136" s="232"/>
      <c r="I136" s="232"/>
      <c r="J136" s="232"/>
      <c r="K136" s="232"/>
      <c r="L136" s="232"/>
      <c r="M136" s="289"/>
      <c r="N136" s="289"/>
      <c r="O136" s="289"/>
      <c r="P136" s="289"/>
      <c r="Q136" s="289"/>
      <c r="R136" s="289"/>
      <c r="S136" s="289"/>
      <c r="T136" s="232"/>
      <c r="U136" s="232"/>
      <c r="V136" s="15"/>
      <c r="W136" s="15"/>
      <c r="X136" s="15"/>
      <c r="Y136" s="15"/>
      <c r="Z136" s="15"/>
      <c r="AA136" s="15"/>
    </row>
    <row r="137" spans="1:27" s="25" customFormat="1" ht="12" customHeight="1" x14ac:dyDescent="0.2">
      <c r="A137" s="232"/>
      <c r="B137" s="250"/>
      <c r="C137" s="286"/>
      <c r="D137" s="232"/>
      <c r="E137" s="232"/>
      <c r="F137" s="232"/>
      <c r="G137" s="232"/>
      <c r="H137" s="232"/>
      <c r="I137" s="232"/>
      <c r="J137" s="232"/>
      <c r="K137" s="232"/>
      <c r="L137" s="232"/>
      <c r="M137" s="289"/>
      <c r="N137" s="289"/>
      <c r="O137" s="289"/>
      <c r="P137" s="289"/>
      <c r="Q137" s="289"/>
      <c r="R137" s="289"/>
      <c r="S137" s="289"/>
      <c r="T137" s="232"/>
      <c r="U137" s="232"/>
      <c r="V137" s="15"/>
      <c r="W137" s="15"/>
      <c r="X137" s="15"/>
      <c r="Y137" s="15"/>
      <c r="Z137" s="15"/>
      <c r="AA137" s="15"/>
    </row>
    <row r="138" spans="1:27" s="25" customFormat="1" ht="12" customHeight="1" x14ac:dyDescent="0.2">
      <c r="A138" s="232"/>
      <c r="B138" s="250"/>
      <c r="C138" s="286"/>
      <c r="D138" s="232"/>
      <c r="E138" s="232"/>
      <c r="F138" s="232"/>
      <c r="G138" s="232"/>
      <c r="H138" s="232"/>
      <c r="I138" s="232"/>
      <c r="J138" s="232"/>
      <c r="K138" s="232"/>
      <c r="L138" s="232"/>
      <c r="M138" s="232"/>
      <c r="N138" s="232"/>
      <c r="O138" s="232"/>
      <c r="P138" s="232"/>
      <c r="Q138" s="232"/>
      <c r="R138" s="232"/>
      <c r="S138" s="232"/>
      <c r="T138" s="232"/>
      <c r="U138" s="232"/>
      <c r="V138" s="15"/>
      <c r="W138" s="15"/>
      <c r="X138" s="15"/>
      <c r="Y138" s="15"/>
      <c r="Z138" s="15"/>
      <c r="AA138" s="15"/>
    </row>
    <row r="139" spans="1:27" s="25" customFormat="1" ht="12" customHeight="1" x14ac:dyDescent="0.2">
      <c r="A139" s="232"/>
      <c r="B139" s="250"/>
      <c r="C139" s="286"/>
      <c r="D139" s="232"/>
      <c r="E139" s="232"/>
      <c r="F139" s="232"/>
      <c r="G139" s="232"/>
      <c r="H139" s="232"/>
      <c r="I139" s="232"/>
      <c r="J139" s="232"/>
      <c r="K139" s="232"/>
      <c r="L139" s="299"/>
      <c r="M139" s="232"/>
      <c r="N139" s="232"/>
      <c r="O139" s="232"/>
      <c r="P139" s="232"/>
      <c r="Q139" s="232"/>
      <c r="R139" s="232"/>
      <c r="S139" s="232"/>
      <c r="T139" s="232"/>
      <c r="U139" s="232"/>
      <c r="V139" s="15"/>
      <c r="W139" s="15"/>
      <c r="X139" s="15"/>
      <c r="Y139" s="15"/>
      <c r="Z139" s="15"/>
      <c r="AA139" s="15"/>
    </row>
    <row r="140" spans="1:27" s="25" customFormat="1" ht="12" customHeight="1" x14ac:dyDescent="0.2">
      <c r="A140" s="232"/>
      <c r="B140" s="250"/>
      <c r="C140" s="286"/>
      <c r="D140" s="232"/>
      <c r="E140" s="232"/>
      <c r="F140" s="232"/>
      <c r="G140" s="232"/>
      <c r="H140" s="232"/>
      <c r="I140" s="232"/>
      <c r="J140" s="232"/>
      <c r="K140" s="232"/>
      <c r="L140" s="232"/>
      <c r="M140" s="289"/>
      <c r="N140" s="289"/>
      <c r="O140" s="289"/>
      <c r="P140" s="289"/>
      <c r="Q140" s="289"/>
      <c r="R140" s="289"/>
      <c r="S140" s="289"/>
      <c r="T140" s="232"/>
      <c r="U140" s="232"/>
      <c r="V140" s="15"/>
      <c r="W140" s="15"/>
      <c r="X140" s="15"/>
      <c r="Y140" s="15"/>
      <c r="Z140" s="15"/>
      <c r="AA140" s="15"/>
    </row>
    <row r="141" spans="1:27" s="25" customFormat="1" ht="12" customHeight="1" x14ac:dyDescent="0.2">
      <c r="A141" s="232"/>
      <c r="B141" s="250"/>
      <c r="C141" s="286"/>
      <c r="D141" s="232"/>
      <c r="E141" s="232"/>
      <c r="F141" s="232"/>
      <c r="G141" s="232"/>
      <c r="H141" s="232"/>
      <c r="I141" s="232"/>
      <c r="J141" s="232"/>
      <c r="K141" s="232"/>
      <c r="L141" s="232"/>
      <c r="M141" s="289"/>
      <c r="N141" s="289"/>
      <c r="O141" s="289"/>
      <c r="P141" s="289"/>
      <c r="Q141" s="289"/>
      <c r="R141" s="289"/>
      <c r="S141" s="289"/>
      <c r="T141" s="232"/>
      <c r="U141" s="232"/>
      <c r="V141" s="15"/>
      <c r="W141" s="15"/>
      <c r="X141" s="15"/>
      <c r="Y141" s="15"/>
      <c r="Z141" s="15"/>
      <c r="AA141" s="15"/>
    </row>
    <row r="142" spans="1:27" s="25" customFormat="1" ht="12" customHeight="1" x14ac:dyDescent="0.2">
      <c r="A142" s="232"/>
      <c r="B142" s="250"/>
      <c r="C142" s="286"/>
      <c r="D142" s="232"/>
      <c r="E142" s="232"/>
      <c r="F142" s="232"/>
      <c r="G142" s="232"/>
      <c r="H142" s="232"/>
      <c r="I142" s="232"/>
      <c r="J142" s="232"/>
      <c r="K142" s="232"/>
      <c r="L142" s="232"/>
      <c r="M142" s="289"/>
      <c r="N142" s="289"/>
      <c r="O142" s="289"/>
      <c r="P142" s="289"/>
      <c r="Q142" s="289"/>
      <c r="R142" s="289"/>
      <c r="S142" s="289"/>
      <c r="T142" s="232"/>
      <c r="U142" s="232"/>
      <c r="V142" s="15"/>
      <c r="W142" s="15"/>
      <c r="X142" s="15"/>
      <c r="Y142" s="15"/>
      <c r="Z142" s="15"/>
      <c r="AA142" s="15"/>
    </row>
    <row r="143" spans="1:27" s="25" customFormat="1" ht="12" customHeight="1" x14ac:dyDescent="0.2">
      <c r="A143" s="232"/>
      <c r="B143" s="250"/>
      <c r="C143" s="286"/>
      <c r="D143" s="232"/>
      <c r="E143" s="232"/>
      <c r="F143" s="232"/>
      <c r="G143" s="232"/>
      <c r="H143" s="232"/>
      <c r="I143" s="232"/>
      <c r="J143" s="232"/>
      <c r="K143" s="232"/>
      <c r="L143" s="232"/>
      <c r="M143" s="289"/>
      <c r="N143" s="289"/>
      <c r="O143" s="289"/>
      <c r="P143" s="289"/>
      <c r="Q143" s="289"/>
      <c r="R143" s="289"/>
      <c r="S143" s="289"/>
      <c r="T143" s="232"/>
      <c r="U143" s="232"/>
      <c r="V143" s="15"/>
      <c r="W143" s="15"/>
      <c r="X143" s="15"/>
      <c r="Y143" s="15"/>
      <c r="Z143" s="15"/>
      <c r="AA143" s="15"/>
    </row>
    <row r="144" spans="1:27" s="25" customFormat="1" ht="12" customHeight="1" x14ac:dyDescent="0.2">
      <c r="A144" s="232"/>
      <c r="B144" s="250"/>
      <c r="C144" s="286"/>
      <c r="D144" s="232"/>
      <c r="E144" s="232"/>
      <c r="F144" s="232"/>
      <c r="G144" s="232"/>
      <c r="H144" s="232"/>
      <c r="I144" s="232"/>
      <c r="J144" s="232"/>
      <c r="K144" s="232"/>
      <c r="L144" s="232"/>
      <c r="M144" s="289"/>
      <c r="N144" s="289"/>
      <c r="O144" s="289"/>
      <c r="P144" s="289"/>
      <c r="Q144" s="289"/>
      <c r="R144" s="289"/>
      <c r="S144" s="289"/>
      <c r="T144" s="232"/>
      <c r="U144" s="232"/>
      <c r="V144" s="15"/>
      <c r="W144" s="15"/>
      <c r="X144" s="15"/>
      <c r="Y144" s="15"/>
      <c r="Z144" s="15"/>
      <c r="AA144" s="15"/>
    </row>
    <row r="145" spans="1:27" s="25" customFormat="1" ht="12" customHeight="1" x14ac:dyDescent="0.2">
      <c r="A145" s="232"/>
      <c r="B145" s="250"/>
      <c r="C145" s="286"/>
      <c r="D145" s="232"/>
      <c r="E145" s="232"/>
      <c r="F145" s="232"/>
      <c r="G145" s="232"/>
      <c r="H145" s="232"/>
      <c r="I145" s="232"/>
      <c r="J145" s="232"/>
      <c r="K145" s="232"/>
      <c r="L145" s="232"/>
      <c r="M145" s="289"/>
      <c r="N145" s="289"/>
      <c r="O145" s="289"/>
      <c r="P145" s="289"/>
      <c r="Q145" s="289"/>
      <c r="R145" s="289"/>
      <c r="S145" s="289"/>
      <c r="T145" s="232"/>
      <c r="U145" s="232"/>
      <c r="V145" s="15"/>
      <c r="W145" s="15"/>
      <c r="X145" s="15"/>
      <c r="Y145" s="15"/>
      <c r="Z145" s="15"/>
      <c r="AA145" s="15"/>
    </row>
    <row r="146" spans="1:27" s="25" customFormat="1" ht="12" customHeight="1" x14ac:dyDescent="0.2">
      <c r="A146" s="232"/>
      <c r="B146" s="250"/>
      <c r="C146" s="286"/>
      <c r="D146" s="232"/>
      <c r="E146" s="232"/>
      <c r="F146" s="232"/>
      <c r="G146" s="232"/>
      <c r="H146" s="232"/>
      <c r="I146" s="232"/>
      <c r="J146" s="232"/>
      <c r="K146" s="232"/>
      <c r="L146" s="232"/>
      <c r="M146" s="232"/>
      <c r="N146" s="232"/>
      <c r="O146" s="232"/>
      <c r="P146" s="232"/>
      <c r="Q146" s="232"/>
      <c r="R146" s="232"/>
      <c r="S146" s="232"/>
      <c r="T146" s="232"/>
      <c r="U146" s="232"/>
      <c r="V146" s="15"/>
      <c r="W146" s="15"/>
      <c r="X146" s="15"/>
      <c r="Y146" s="15"/>
      <c r="Z146" s="15"/>
      <c r="AA146" s="15"/>
    </row>
    <row r="147" spans="1:27" s="25" customFormat="1" ht="12" customHeight="1" x14ac:dyDescent="0.2">
      <c r="A147" s="232"/>
      <c r="B147" s="250"/>
      <c r="C147" s="286"/>
      <c r="D147" s="232"/>
      <c r="E147" s="232"/>
      <c r="F147" s="232"/>
      <c r="G147" s="232"/>
      <c r="H147" s="232"/>
      <c r="I147" s="232"/>
      <c r="J147" s="232"/>
      <c r="K147" s="232"/>
      <c r="L147" s="232"/>
      <c r="M147" s="232"/>
      <c r="N147" s="232"/>
      <c r="O147" s="232"/>
      <c r="P147" s="232"/>
      <c r="Q147" s="232"/>
      <c r="R147" s="232"/>
      <c r="S147" s="232"/>
      <c r="T147" s="232"/>
      <c r="U147" s="232"/>
      <c r="V147" s="15"/>
      <c r="W147" s="15"/>
      <c r="X147" s="15"/>
      <c r="Y147" s="15"/>
      <c r="Z147" s="15"/>
      <c r="AA147" s="15"/>
    </row>
    <row r="148" spans="1:27" s="25" customFormat="1" ht="12" customHeight="1" x14ac:dyDescent="0.2">
      <c r="A148" s="232"/>
      <c r="B148" s="250"/>
      <c r="C148" s="286"/>
      <c r="D148" s="232"/>
      <c r="E148" s="232"/>
      <c r="F148" s="232"/>
      <c r="G148" s="232"/>
      <c r="H148" s="232"/>
      <c r="I148" s="232"/>
      <c r="J148" s="232"/>
      <c r="K148" s="232"/>
      <c r="L148" s="232"/>
      <c r="M148" s="232"/>
      <c r="N148" s="232"/>
      <c r="O148" s="232"/>
      <c r="P148" s="232"/>
      <c r="Q148" s="232"/>
      <c r="R148" s="232"/>
      <c r="S148" s="232"/>
      <c r="T148" s="232"/>
      <c r="U148" s="232"/>
      <c r="V148" s="15"/>
      <c r="W148" s="15"/>
      <c r="X148" s="15"/>
      <c r="Y148" s="15"/>
      <c r="Z148" s="15"/>
      <c r="AA148" s="15"/>
    </row>
    <row r="149" spans="1:27" s="25" customFormat="1" ht="12" customHeight="1" x14ac:dyDescent="0.2">
      <c r="A149" s="232"/>
      <c r="B149" s="250"/>
      <c r="C149" s="286"/>
      <c r="D149" s="232"/>
      <c r="E149" s="232"/>
      <c r="F149" s="232"/>
      <c r="G149" s="232"/>
      <c r="H149" s="232"/>
      <c r="I149" s="232"/>
      <c r="J149" s="232"/>
      <c r="K149" s="232"/>
      <c r="L149" s="232"/>
      <c r="M149" s="232"/>
      <c r="N149" s="232"/>
      <c r="O149" s="232"/>
      <c r="P149" s="232"/>
      <c r="Q149" s="232"/>
      <c r="R149" s="232"/>
      <c r="S149" s="232"/>
      <c r="T149" s="232"/>
      <c r="U149" s="232"/>
      <c r="V149" s="15"/>
      <c r="W149" s="15"/>
      <c r="X149" s="15"/>
      <c r="Y149" s="15"/>
      <c r="Z149" s="15"/>
      <c r="AA149" s="15"/>
    </row>
    <row r="150" spans="1:27" s="25" customFormat="1" ht="12" customHeight="1" x14ac:dyDescent="0.2">
      <c r="A150" s="232"/>
      <c r="B150" s="250"/>
      <c r="C150" s="286"/>
      <c r="D150" s="232"/>
      <c r="E150" s="232"/>
      <c r="F150" s="232"/>
      <c r="G150" s="232"/>
      <c r="H150" s="232"/>
      <c r="I150" s="232"/>
      <c r="J150" s="232"/>
      <c r="K150" s="232"/>
      <c r="L150" s="232"/>
      <c r="M150" s="232"/>
      <c r="N150" s="232"/>
      <c r="O150" s="232"/>
      <c r="P150" s="232"/>
      <c r="Q150" s="232"/>
      <c r="R150" s="232"/>
      <c r="S150" s="232"/>
      <c r="T150" s="232"/>
      <c r="U150" s="232"/>
      <c r="V150" s="15"/>
      <c r="W150" s="15"/>
      <c r="X150" s="15"/>
      <c r="Y150" s="15"/>
      <c r="Z150" s="15"/>
      <c r="AA150" s="15"/>
    </row>
    <row r="151" spans="1:27" s="25" customFormat="1" ht="12" customHeight="1" x14ac:dyDescent="0.2">
      <c r="A151" s="232"/>
      <c r="B151" s="250"/>
      <c r="C151" s="286"/>
      <c r="D151" s="232"/>
      <c r="E151" s="232"/>
      <c r="F151" s="232"/>
      <c r="G151" s="232"/>
      <c r="H151" s="232"/>
      <c r="I151" s="232"/>
      <c r="J151" s="232"/>
      <c r="K151" s="232"/>
      <c r="L151" s="232"/>
      <c r="M151" s="232"/>
      <c r="N151" s="232"/>
      <c r="O151" s="232"/>
      <c r="P151" s="232"/>
      <c r="Q151" s="232"/>
      <c r="R151" s="232"/>
      <c r="S151" s="232"/>
      <c r="T151" s="232"/>
      <c r="U151" s="232"/>
      <c r="V151" s="15"/>
      <c r="W151" s="15"/>
      <c r="X151" s="15"/>
      <c r="Y151" s="15"/>
      <c r="Z151" s="15"/>
      <c r="AA151" s="15"/>
    </row>
    <row r="152" spans="1:27" s="25" customFormat="1" ht="12" customHeight="1" x14ac:dyDescent="0.2">
      <c r="A152" s="232"/>
      <c r="B152" s="250"/>
      <c r="C152" s="286"/>
      <c r="D152" s="232"/>
      <c r="E152" s="232"/>
      <c r="F152" s="232"/>
      <c r="G152" s="232"/>
      <c r="H152" s="232"/>
      <c r="I152" s="232"/>
      <c r="J152" s="232"/>
      <c r="K152" s="232"/>
      <c r="L152" s="232"/>
      <c r="M152" s="232"/>
      <c r="N152" s="232"/>
      <c r="O152" s="232"/>
      <c r="P152" s="232"/>
      <c r="Q152" s="232"/>
      <c r="R152" s="232"/>
      <c r="S152" s="232"/>
      <c r="T152" s="232"/>
      <c r="U152" s="232"/>
      <c r="V152" s="15"/>
      <c r="W152" s="15"/>
      <c r="X152" s="15"/>
      <c r="Y152" s="15"/>
      <c r="Z152" s="15"/>
      <c r="AA152" s="15"/>
    </row>
    <row r="153" spans="1:27" s="25" customFormat="1" ht="12" customHeight="1" x14ac:dyDescent="0.2">
      <c r="A153" s="232"/>
      <c r="B153" s="250"/>
      <c r="C153" s="286"/>
      <c r="D153" s="232"/>
      <c r="E153" s="232"/>
      <c r="F153" s="232"/>
      <c r="G153" s="232"/>
      <c r="H153" s="232"/>
      <c r="I153" s="232"/>
      <c r="J153" s="232"/>
      <c r="K153" s="232"/>
      <c r="L153" s="232"/>
      <c r="M153" s="232"/>
      <c r="N153" s="232"/>
      <c r="O153" s="232"/>
      <c r="P153" s="232"/>
      <c r="Q153" s="232"/>
      <c r="R153" s="232"/>
      <c r="S153" s="232"/>
      <c r="T153" s="232"/>
      <c r="U153" s="232"/>
      <c r="V153" s="15"/>
      <c r="W153" s="15"/>
      <c r="X153" s="15"/>
      <c r="Y153" s="15"/>
      <c r="Z153" s="15"/>
      <c r="AA153" s="15"/>
    </row>
    <row r="154" spans="1:27" s="25" customFormat="1" ht="12" customHeight="1" x14ac:dyDescent="0.2">
      <c r="A154" s="232"/>
      <c r="B154" s="250"/>
      <c r="C154" s="286"/>
      <c r="D154" s="232"/>
      <c r="E154" s="232"/>
      <c r="F154" s="232"/>
      <c r="G154" s="232"/>
      <c r="H154" s="232"/>
      <c r="I154" s="232"/>
      <c r="J154" s="232"/>
      <c r="K154" s="232"/>
      <c r="L154" s="232"/>
      <c r="M154" s="232"/>
      <c r="N154" s="232"/>
      <c r="O154" s="232"/>
      <c r="P154" s="232"/>
      <c r="Q154" s="232"/>
      <c r="R154" s="232"/>
      <c r="S154" s="232"/>
      <c r="T154" s="232"/>
      <c r="U154" s="232"/>
      <c r="V154" s="15"/>
      <c r="W154" s="15"/>
      <c r="X154" s="15"/>
      <c r="Y154" s="15"/>
      <c r="Z154" s="15"/>
      <c r="AA154" s="15"/>
    </row>
    <row r="155" spans="1:27" s="25" customFormat="1" ht="12" customHeight="1" x14ac:dyDescent="0.2">
      <c r="A155" s="232"/>
      <c r="B155" s="250"/>
      <c r="C155" s="286"/>
      <c r="D155" s="232"/>
      <c r="E155" s="232"/>
      <c r="F155" s="232"/>
      <c r="G155" s="232"/>
      <c r="H155" s="232"/>
      <c r="I155" s="232"/>
      <c r="J155" s="232"/>
      <c r="K155" s="232"/>
      <c r="L155" s="232"/>
      <c r="M155" s="232"/>
      <c r="N155" s="232"/>
      <c r="O155" s="232"/>
      <c r="P155" s="232"/>
      <c r="Q155" s="232"/>
      <c r="R155" s="232"/>
      <c r="S155" s="232"/>
      <c r="T155" s="232"/>
      <c r="U155" s="232"/>
      <c r="V155" s="15"/>
      <c r="W155" s="15"/>
      <c r="X155" s="15"/>
      <c r="Y155" s="15"/>
      <c r="Z155" s="15"/>
      <c r="AA155" s="15"/>
    </row>
    <row r="156" spans="1:27" s="25" customFormat="1" ht="12" customHeight="1" x14ac:dyDescent="0.2">
      <c r="A156" s="232"/>
      <c r="B156" s="250"/>
      <c r="C156" s="286"/>
      <c r="D156" s="232"/>
      <c r="E156" s="232"/>
      <c r="F156" s="232"/>
      <c r="G156" s="232"/>
      <c r="H156" s="232"/>
      <c r="I156" s="232"/>
      <c r="J156" s="232"/>
      <c r="K156" s="232"/>
      <c r="L156" s="232"/>
      <c r="M156" s="232"/>
      <c r="N156" s="232"/>
      <c r="O156" s="232"/>
      <c r="P156" s="232"/>
      <c r="Q156" s="232"/>
      <c r="R156" s="232"/>
      <c r="S156" s="232"/>
      <c r="T156" s="232"/>
      <c r="U156" s="232"/>
      <c r="V156" s="15"/>
      <c r="W156" s="15"/>
      <c r="X156" s="15"/>
      <c r="Y156" s="15"/>
      <c r="Z156" s="15"/>
      <c r="AA156" s="15"/>
    </row>
    <row r="157" spans="1:27" s="25" customFormat="1" ht="12" customHeight="1" x14ac:dyDescent="0.2">
      <c r="A157" s="232"/>
      <c r="B157" s="250"/>
      <c r="C157" s="286"/>
      <c r="D157" s="232"/>
      <c r="E157" s="232"/>
      <c r="F157" s="232"/>
      <c r="G157" s="232"/>
      <c r="H157" s="232"/>
      <c r="I157" s="232"/>
      <c r="J157" s="232"/>
      <c r="K157" s="232"/>
      <c r="L157" s="232"/>
      <c r="M157" s="232"/>
      <c r="N157" s="232"/>
      <c r="O157" s="232"/>
      <c r="P157" s="232"/>
      <c r="Q157" s="232"/>
      <c r="R157" s="232"/>
      <c r="S157" s="232"/>
      <c r="T157" s="232"/>
      <c r="U157" s="232"/>
      <c r="V157" s="15"/>
      <c r="W157" s="15"/>
      <c r="X157" s="15"/>
      <c r="Y157" s="15"/>
      <c r="Z157" s="15"/>
      <c r="AA157" s="15"/>
    </row>
    <row r="158" spans="1:27" s="25" customFormat="1" ht="12" customHeight="1" x14ac:dyDescent="0.2">
      <c r="A158" s="232"/>
      <c r="B158" s="250"/>
      <c r="C158" s="286"/>
      <c r="D158" s="232"/>
      <c r="E158" s="232"/>
      <c r="F158" s="232"/>
      <c r="G158" s="232"/>
      <c r="H158" s="232"/>
      <c r="I158" s="232"/>
      <c r="J158" s="232"/>
      <c r="K158" s="232"/>
      <c r="L158" s="232"/>
      <c r="M158" s="232"/>
      <c r="N158" s="232"/>
      <c r="O158" s="232"/>
      <c r="P158" s="232"/>
      <c r="Q158" s="232"/>
      <c r="R158" s="232"/>
      <c r="S158" s="232"/>
      <c r="T158" s="232"/>
      <c r="U158" s="232"/>
      <c r="V158" s="15"/>
      <c r="W158" s="15"/>
      <c r="X158" s="15"/>
      <c r="Y158" s="15"/>
      <c r="Z158" s="15"/>
      <c r="AA158" s="15"/>
    </row>
    <row r="159" spans="1:27" s="25" customFormat="1" ht="12" customHeight="1" x14ac:dyDescent="0.2">
      <c r="A159" s="232"/>
      <c r="B159" s="250"/>
      <c r="C159" s="286"/>
      <c r="D159" s="232"/>
      <c r="E159" s="232"/>
      <c r="F159" s="232"/>
      <c r="G159" s="232"/>
      <c r="H159" s="232"/>
      <c r="I159" s="232"/>
      <c r="J159" s="232"/>
      <c r="K159" s="232"/>
      <c r="L159" s="232"/>
      <c r="M159" s="232"/>
      <c r="N159" s="232"/>
      <c r="O159" s="232"/>
      <c r="P159" s="232"/>
      <c r="Q159" s="232"/>
      <c r="R159" s="232"/>
      <c r="S159" s="232"/>
      <c r="T159" s="232"/>
      <c r="U159" s="232"/>
      <c r="V159" s="15"/>
      <c r="W159" s="15"/>
      <c r="X159" s="15"/>
      <c r="Y159" s="15"/>
      <c r="Z159" s="15"/>
      <c r="AA159" s="15"/>
    </row>
    <row r="160" spans="1:27" s="25" customFormat="1" ht="12" customHeight="1" x14ac:dyDescent="0.2">
      <c r="A160" s="232"/>
      <c r="B160" s="250"/>
      <c r="C160" s="286"/>
      <c r="D160" s="232"/>
      <c r="E160" s="232"/>
      <c r="F160" s="232"/>
      <c r="G160" s="232"/>
      <c r="H160" s="232"/>
      <c r="I160" s="232"/>
      <c r="J160" s="232"/>
      <c r="K160" s="232"/>
      <c r="L160" s="232"/>
      <c r="M160" s="232"/>
      <c r="N160" s="232"/>
      <c r="O160" s="232"/>
      <c r="P160" s="232"/>
      <c r="Q160" s="232"/>
      <c r="R160" s="232"/>
      <c r="S160" s="232"/>
      <c r="T160" s="232"/>
      <c r="U160" s="232"/>
      <c r="V160" s="15"/>
      <c r="W160" s="15"/>
      <c r="X160" s="15"/>
      <c r="Y160" s="15"/>
      <c r="Z160" s="15"/>
      <c r="AA160" s="15"/>
    </row>
    <row r="161" spans="1:27" s="25" customFormat="1" ht="12" customHeight="1" x14ac:dyDescent="0.2">
      <c r="A161" s="232"/>
      <c r="B161" s="250"/>
      <c r="C161" s="286"/>
      <c r="D161" s="232"/>
      <c r="E161" s="232"/>
      <c r="F161" s="232"/>
      <c r="G161" s="232"/>
      <c r="H161" s="232"/>
      <c r="I161" s="232"/>
      <c r="J161" s="232"/>
      <c r="K161" s="232"/>
      <c r="L161" s="232"/>
      <c r="M161" s="232"/>
      <c r="N161" s="232"/>
      <c r="O161" s="232"/>
      <c r="P161" s="232"/>
      <c r="Q161" s="232"/>
      <c r="R161" s="232"/>
      <c r="S161" s="232"/>
      <c r="T161" s="232"/>
      <c r="U161" s="232"/>
      <c r="V161" s="15"/>
      <c r="W161" s="15"/>
      <c r="X161" s="15"/>
      <c r="Y161" s="15"/>
      <c r="Z161" s="15"/>
      <c r="AA161" s="15"/>
    </row>
    <row r="162" spans="1:27" s="25" customFormat="1" ht="12" customHeight="1" x14ac:dyDescent="0.2">
      <c r="A162" s="232"/>
      <c r="B162" s="250"/>
      <c r="C162" s="286"/>
      <c r="D162" s="232"/>
      <c r="E162" s="232"/>
      <c r="F162" s="232"/>
      <c r="G162" s="232"/>
      <c r="H162" s="232"/>
      <c r="I162" s="232"/>
      <c r="J162" s="232"/>
      <c r="K162" s="232"/>
      <c r="L162" s="232"/>
      <c r="M162" s="232"/>
      <c r="N162" s="232"/>
      <c r="O162" s="232"/>
      <c r="P162" s="232"/>
      <c r="Q162" s="232"/>
      <c r="R162" s="232"/>
      <c r="S162" s="232"/>
      <c r="T162" s="232"/>
      <c r="U162" s="232"/>
      <c r="V162" s="15"/>
      <c r="W162" s="15"/>
      <c r="X162" s="15"/>
      <c r="Y162" s="15"/>
      <c r="Z162" s="15"/>
      <c r="AA162" s="15"/>
    </row>
    <row r="163" spans="1:27" s="25" customFormat="1" ht="12" customHeight="1" x14ac:dyDescent="0.2">
      <c r="A163" s="232"/>
      <c r="B163" s="250"/>
      <c r="C163" s="286"/>
      <c r="D163" s="232"/>
      <c r="E163" s="232"/>
      <c r="F163" s="232"/>
      <c r="G163" s="232"/>
      <c r="H163" s="232"/>
      <c r="I163" s="232"/>
      <c r="J163" s="232"/>
      <c r="K163" s="232"/>
      <c r="L163" s="232"/>
      <c r="M163" s="232"/>
      <c r="N163" s="232"/>
      <c r="O163" s="232"/>
      <c r="P163" s="232"/>
      <c r="Q163" s="232"/>
      <c r="R163" s="232"/>
      <c r="S163" s="232"/>
      <c r="T163" s="232"/>
      <c r="U163" s="232"/>
      <c r="V163" s="15"/>
      <c r="W163" s="15"/>
      <c r="X163" s="15"/>
      <c r="Y163" s="15"/>
      <c r="Z163" s="15"/>
      <c r="AA163" s="15"/>
    </row>
    <row r="164" spans="1:27" s="25" customFormat="1" ht="12" customHeight="1" x14ac:dyDescent="0.2">
      <c r="A164" s="232"/>
      <c r="B164" s="250"/>
      <c r="C164" s="286"/>
      <c r="D164" s="232"/>
      <c r="E164" s="232"/>
      <c r="F164" s="232"/>
      <c r="G164" s="232"/>
      <c r="H164" s="232"/>
      <c r="I164" s="232"/>
      <c r="J164" s="232"/>
      <c r="K164" s="232"/>
      <c r="L164" s="232"/>
      <c r="M164" s="232"/>
      <c r="N164" s="232"/>
      <c r="O164" s="232"/>
      <c r="P164" s="232"/>
      <c r="Q164" s="232"/>
      <c r="R164" s="232"/>
      <c r="S164" s="232"/>
      <c r="T164" s="232"/>
      <c r="U164" s="232"/>
      <c r="V164" s="15"/>
      <c r="W164" s="15"/>
      <c r="X164" s="15"/>
      <c r="Y164" s="15"/>
      <c r="Z164" s="15"/>
      <c r="AA164" s="15"/>
    </row>
    <row r="165" spans="1:27" s="25" customFormat="1" ht="12" customHeight="1" x14ac:dyDescent="0.2">
      <c r="A165" s="232"/>
      <c r="B165" s="250"/>
      <c r="C165" s="286"/>
      <c r="D165" s="232"/>
      <c r="E165" s="232"/>
      <c r="F165" s="232"/>
      <c r="G165" s="232"/>
      <c r="H165" s="232"/>
      <c r="I165" s="232"/>
      <c r="J165" s="232"/>
      <c r="K165" s="232"/>
      <c r="L165" s="232"/>
      <c r="M165" s="232"/>
      <c r="N165" s="232"/>
      <c r="O165" s="232"/>
      <c r="P165" s="232"/>
      <c r="Q165" s="232"/>
      <c r="R165" s="232"/>
      <c r="S165" s="232"/>
      <c r="T165" s="232"/>
      <c r="U165" s="232"/>
      <c r="V165" s="15"/>
      <c r="W165" s="15"/>
      <c r="X165" s="15"/>
      <c r="Y165" s="15"/>
      <c r="Z165" s="15"/>
      <c r="AA165" s="15"/>
    </row>
    <row r="166" spans="1:27" s="25" customFormat="1" ht="12" customHeight="1" x14ac:dyDescent="0.2">
      <c r="A166" s="232"/>
      <c r="B166" s="250"/>
      <c r="C166" s="286"/>
      <c r="D166" s="232"/>
      <c r="E166" s="232"/>
      <c r="F166" s="232"/>
      <c r="G166" s="232"/>
      <c r="H166" s="232"/>
      <c r="I166" s="232"/>
      <c r="J166" s="232"/>
      <c r="K166" s="232"/>
      <c r="L166" s="232"/>
      <c r="M166" s="232"/>
      <c r="N166" s="232"/>
      <c r="O166" s="232"/>
      <c r="P166" s="232"/>
      <c r="Q166" s="232"/>
      <c r="R166" s="232"/>
      <c r="S166" s="232"/>
      <c r="T166" s="232"/>
      <c r="U166" s="232"/>
      <c r="V166" s="15"/>
      <c r="W166" s="15"/>
      <c r="X166" s="15"/>
      <c r="Y166" s="15"/>
      <c r="Z166" s="15"/>
      <c r="AA166" s="15"/>
    </row>
    <row r="167" spans="1:27" s="25" customFormat="1" ht="12" customHeight="1" x14ac:dyDescent="0.2">
      <c r="A167" s="232"/>
      <c r="B167" s="250"/>
      <c r="C167" s="286"/>
      <c r="D167" s="232"/>
      <c r="E167" s="232"/>
      <c r="F167" s="232"/>
      <c r="G167" s="232"/>
      <c r="H167" s="232"/>
      <c r="I167" s="232"/>
      <c r="J167" s="232"/>
      <c r="K167" s="232"/>
      <c r="L167" s="232"/>
      <c r="M167" s="232"/>
      <c r="N167" s="232"/>
      <c r="O167" s="232"/>
      <c r="P167" s="232"/>
      <c r="Q167" s="232"/>
      <c r="R167" s="232"/>
      <c r="S167" s="232"/>
      <c r="T167" s="232"/>
      <c r="U167" s="232"/>
      <c r="V167" s="15"/>
      <c r="W167" s="15"/>
      <c r="X167" s="15"/>
      <c r="Y167" s="15"/>
      <c r="Z167" s="15"/>
      <c r="AA167" s="15"/>
    </row>
    <row r="168" spans="1:27" s="25" customFormat="1" ht="12" customHeight="1" x14ac:dyDescent="0.2">
      <c r="A168" s="232"/>
      <c r="B168" s="250"/>
      <c r="C168" s="286"/>
      <c r="D168" s="232"/>
      <c r="E168" s="232"/>
      <c r="F168" s="232"/>
      <c r="G168" s="232"/>
      <c r="H168" s="232"/>
      <c r="I168" s="232"/>
      <c r="J168" s="232"/>
      <c r="K168" s="232"/>
      <c r="L168" s="232"/>
      <c r="M168" s="232"/>
      <c r="N168" s="232"/>
      <c r="O168" s="232"/>
      <c r="P168" s="232"/>
      <c r="Q168" s="232"/>
      <c r="R168" s="232"/>
      <c r="S168" s="232"/>
      <c r="T168" s="232"/>
      <c r="U168" s="232"/>
      <c r="V168" s="15"/>
      <c r="W168" s="15"/>
      <c r="X168" s="15"/>
      <c r="Y168" s="15"/>
      <c r="Z168" s="15"/>
      <c r="AA168" s="15"/>
    </row>
    <row r="169" spans="1:27" s="25" customFormat="1" ht="12" customHeight="1" x14ac:dyDescent="0.2">
      <c r="A169" s="232"/>
      <c r="B169" s="250"/>
      <c r="C169" s="286"/>
      <c r="D169" s="232"/>
      <c r="E169" s="232"/>
      <c r="F169" s="232"/>
      <c r="G169" s="232"/>
      <c r="H169" s="232"/>
      <c r="I169" s="232"/>
      <c r="J169" s="232"/>
      <c r="K169" s="232"/>
      <c r="L169" s="232"/>
      <c r="M169" s="232"/>
      <c r="N169" s="232"/>
      <c r="O169" s="232"/>
      <c r="P169" s="232"/>
      <c r="Q169" s="232"/>
      <c r="R169" s="232"/>
      <c r="S169" s="232"/>
      <c r="T169" s="232"/>
      <c r="U169" s="232"/>
      <c r="V169" s="15"/>
      <c r="W169" s="15"/>
      <c r="X169" s="15"/>
      <c r="Y169" s="15"/>
      <c r="Z169" s="15"/>
      <c r="AA169" s="15"/>
    </row>
    <row r="170" spans="1:27" s="25" customFormat="1" ht="12" customHeight="1" x14ac:dyDescent="0.2">
      <c r="A170" s="232"/>
      <c r="B170" s="250"/>
      <c r="C170" s="286"/>
      <c r="D170" s="232"/>
      <c r="E170" s="232"/>
      <c r="F170" s="232"/>
      <c r="G170" s="232"/>
      <c r="H170" s="232"/>
      <c r="I170" s="232"/>
      <c r="J170" s="232"/>
      <c r="K170" s="232"/>
      <c r="L170" s="232"/>
      <c r="M170" s="232"/>
      <c r="N170" s="232"/>
      <c r="O170" s="232"/>
      <c r="P170" s="232"/>
      <c r="Q170" s="232"/>
      <c r="R170" s="232"/>
      <c r="S170" s="232"/>
      <c r="T170" s="232"/>
      <c r="U170" s="232"/>
      <c r="V170" s="15"/>
      <c r="W170" s="15"/>
      <c r="X170" s="15"/>
      <c r="Y170" s="15"/>
      <c r="Z170" s="15"/>
      <c r="AA170" s="15"/>
    </row>
    <row r="171" spans="1:27" s="25" customFormat="1" ht="12" customHeight="1" x14ac:dyDescent="0.2">
      <c r="A171" s="232"/>
      <c r="B171" s="250"/>
      <c r="C171" s="286"/>
      <c r="D171" s="232"/>
      <c r="E171" s="232"/>
      <c r="F171" s="232"/>
      <c r="G171" s="232"/>
      <c r="H171" s="232"/>
      <c r="I171" s="232"/>
      <c r="J171" s="232"/>
      <c r="K171" s="232"/>
      <c r="L171" s="232"/>
      <c r="M171" s="232"/>
      <c r="N171" s="232"/>
      <c r="O171" s="232"/>
      <c r="P171" s="232"/>
      <c r="Q171" s="232"/>
      <c r="R171" s="232"/>
      <c r="S171" s="232"/>
      <c r="T171" s="232"/>
      <c r="U171" s="232"/>
      <c r="V171" s="15"/>
      <c r="W171" s="15"/>
      <c r="X171" s="15"/>
      <c r="Y171" s="15"/>
      <c r="Z171" s="15"/>
      <c r="AA171" s="15"/>
    </row>
    <row r="172" spans="1:27" s="25" customFormat="1" ht="12" customHeight="1" x14ac:dyDescent="0.2">
      <c r="A172" s="232"/>
      <c r="B172" s="250"/>
      <c r="C172" s="286"/>
      <c r="D172" s="232"/>
      <c r="E172" s="232"/>
      <c r="F172" s="232"/>
      <c r="G172" s="232"/>
      <c r="H172" s="232"/>
      <c r="I172" s="232"/>
      <c r="J172" s="232"/>
      <c r="K172" s="232"/>
      <c r="L172" s="232"/>
      <c r="M172" s="232"/>
      <c r="N172" s="232"/>
      <c r="O172" s="232"/>
      <c r="P172" s="232"/>
      <c r="Q172" s="232"/>
      <c r="R172" s="232"/>
      <c r="S172" s="232"/>
      <c r="T172" s="232"/>
      <c r="U172" s="232"/>
      <c r="V172" s="15"/>
      <c r="W172" s="15"/>
      <c r="X172" s="15"/>
      <c r="Y172" s="15"/>
      <c r="Z172" s="15"/>
      <c r="AA172" s="15"/>
    </row>
    <row r="173" spans="1:27" s="25" customFormat="1" ht="12" customHeight="1" x14ac:dyDescent="0.2">
      <c r="A173" s="232"/>
      <c r="B173" s="250"/>
      <c r="C173" s="286"/>
      <c r="D173" s="232"/>
      <c r="E173" s="232"/>
      <c r="F173" s="232"/>
      <c r="G173" s="232"/>
      <c r="H173" s="232"/>
      <c r="I173" s="232"/>
      <c r="J173" s="232"/>
      <c r="K173" s="232"/>
      <c r="L173" s="232"/>
      <c r="M173" s="232"/>
      <c r="N173" s="232"/>
      <c r="O173" s="232"/>
      <c r="P173" s="232"/>
      <c r="Q173" s="232"/>
      <c r="R173" s="232"/>
      <c r="S173" s="232"/>
      <c r="T173" s="232"/>
      <c r="U173" s="232"/>
      <c r="V173" s="15"/>
      <c r="W173" s="15"/>
      <c r="X173" s="15"/>
      <c r="Y173" s="15"/>
      <c r="Z173" s="15"/>
      <c r="AA173" s="15"/>
    </row>
    <row r="174" spans="1:27" s="25" customFormat="1" ht="12" customHeight="1" x14ac:dyDescent="0.2">
      <c r="A174" s="232"/>
      <c r="B174" s="250"/>
      <c r="C174" s="286"/>
      <c r="D174" s="232"/>
      <c r="E174" s="232"/>
      <c r="F174" s="232"/>
      <c r="G174" s="232"/>
      <c r="H174" s="232"/>
      <c r="I174" s="232"/>
      <c r="J174" s="232"/>
      <c r="K174" s="232"/>
      <c r="L174" s="232"/>
      <c r="M174" s="232"/>
      <c r="N174" s="232"/>
      <c r="O174" s="232"/>
      <c r="P174" s="232"/>
      <c r="Q174" s="232"/>
      <c r="R174" s="232"/>
      <c r="S174" s="232"/>
      <c r="T174" s="232"/>
      <c r="U174" s="232"/>
      <c r="V174" s="15"/>
      <c r="W174" s="15"/>
      <c r="X174" s="15"/>
      <c r="Y174" s="15"/>
      <c r="Z174" s="15"/>
      <c r="AA174" s="15"/>
    </row>
    <row r="175" spans="1:27" s="25" customFormat="1" ht="12" customHeight="1" x14ac:dyDescent="0.2">
      <c r="A175" s="232"/>
      <c r="B175" s="250"/>
      <c r="C175" s="286"/>
      <c r="D175" s="232"/>
      <c r="E175" s="232"/>
      <c r="F175" s="232"/>
      <c r="G175" s="232"/>
      <c r="H175" s="232"/>
      <c r="I175" s="232"/>
      <c r="J175" s="232"/>
      <c r="K175" s="232"/>
      <c r="L175" s="232"/>
      <c r="M175" s="232"/>
      <c r="N175" s="232"/>
      <c r="O175" s="232"/>
      <c r="P175" s="232"/>
      <c r="Q175" s="232"/>
      <c r="R175" s="232"/>
      <c r="S175" s="232"/>
      <c r="T175" s="232"/>
      <c r="U175" s="232"/>
      <c r="V175" s="15"/>
      <c r="W175" s="15"/>
      <c r="X175" s="15"/>
      <c r="Y175" s="15"/>
      <c r="Z175" s="15"/>
      <c r="AA175" s="15"/>
    </row>
    <row r="176" spans="1:27" s="25" customFormat="1" ht="12" customHeight="1" x14ac:dyDescent="0.2">
      <c r="A176" s="232"/>
      <c r="B176" s="250"/>
      <c r="C176" s="286"/>
      <c r="D176" s="232"/>
      <c r="E176" s="232"/>
      <c r="F176" s="232"/>
      <c r="G176" s="232"/>
      <c r="H176" s="232"/>
      <c r="I176" s="232"/>
      <c r="J176" s="232"/>
      <c r="K176" s="232"/>
      <c r="L176" s="232"/>
      <c r="M176" s="232"/>
      <c r="N176" s="232"/>
      <c r="O176" s="232"/>
      <c r="P176" s="232"/>
      <c r="Q176" s="232"/>
      <c r="R176" s="232"/>
      <c r="S176" s="232"/>
      <c r="T176" s="232"/>
      <c r="U176" s="232"/>
      <c r="V176" s="15"/>
      <c r="W176" s="15"/>
      <c r="X176" s="15"/>
      <c r="Y176" s="15"/>
      <c r="Z176" s="15"/>
      <c r="AA176" s="15"/>
    </row>
    <row r="177" spans="1:27" s="25" customFormat="1" ht="12" customHeight="1" x14ac:dyDescent="0.2">
      <c r="A177" s="232"/>
      <c r="B177" s="250"/>
      <c r="C177" s="286"/>
      <c r="D177" s="232"/>
      <c r="E177" s="232"/>
      <c r="F177" s="232"/>
      <c r="G177" s="232"/>
      <c r="H177" s="232"/>
      <c r="I177" s="232"/>
      <c r="J177" s="232"/>
      <c r="K177" s="232"/>
      <c r="L177" s="232"/>
      <c r="M177" s="232"/>
      <c r="N177" s="232"/>
      <c r="O177" s="232"/>
      <c r="P177" s="232"/>
      <c r="Q177" s="232"/>
      <c r="R177" s="232"/>
      <c r="S177" s="232"/>
      <c r="T177" s="232"/>
      <c r="U177" s="232"/>
      <c r="V177" s="15"/>
      <c r="W177" s="15"/>
      <c r="X177" s="15"/>
      <c r="Y177" s="15"/>
      <c r="Z177" s="15"/>
      <c r="AA177" s="15"/>
    </row>
    <row r="178" spans="1:27" s="25" customFormat="1" ht="12" customHeight="1" x14ac:dyDescent="0.2">
      <c r="A178" s="232"/>
      <c r="B178" s="250"/>
      <c r="C178" s="286"/>
      <c r="D178" s="232"/>
      <c r="E178" s="232"/>
      <c r="F178" s="232"/>
      <c r="G178" s="232"/>
      <c r="H178" s="232"/>
      <c r="I178" s="232"/>
      <c r="J178" s="232"/>
      <c r="K178" s="232"/>
      <c r="L178" s="232"/>
      <c r="M178" s="232"/>
      <c r="N178" s="232"/>
      <c r="O178" s="232"/>
      <c r="P178" s="232"/>
      <c r="Q178" s="232"/>
      <c r="R178" s="232"/>
      <c r="S178" s="232"/>
      <c r="T178" s="232"/>
      <c r="U178" s="232"/>
      <c r="V178" s="15"/>
      <c r="W178" s="15"/>
      <c r="X178" s="15"/>
      <c r="Y178" s="15"/>
      <c r="Z178" s="15"/>
      <c r="AA178" s="15"/>
    </row>
    <row r="179" spans="1:27" s="25" customFormat="1" ht="12" customHeight="1" x14ac:dyDescent="0.2">
      <c r="A179" s="232"/>
      <c r="B179" s="250"/>
      <c r="C179" s="286"/>
      <c r="D179" s="232"/>
      <c r="E179" s="232"/>
      <c r="F179" s="232"/>
      <c r="G179" s="232"/>
      <c r="H179" s="232"/>
      <c r="I179" s="232"/>
      <c r="J179" s="232"/>
      <c r="K179" s="232"/>
      <c r="L179" s="232"/>
      <c r="M179" s="232"/>
      <c r="N179" s="232"/>
      <c r="O179" s="232"/>
      <c r="P179" s="232"/>
      <c r="Q179" s="232"/>
      <c r="R179" s="232"/>
      <c r="S179" s="232"/>
      <c r="T179" s="232"/>
      <c r="U179" s="232"/>
      <c r="V179" s="15"/>
      <c r="W179" s="15"/>
      <c r="X179" s="15"/>
      <c r="Y179" s="15"/>
      <c r="Z179" s="15"/>
      <c r="AA179" s="15"/>
    </row>
    <row r="180" spans="1:27" s="25" customFormat="1" ht="12" customHeight="1" x14ac:dyDescent="0.2">
      <c r="A180" s="232"/>
      <c r="B180" s="250"/>
      <c r="C180" s="286"/>
      <c r="D180" s="232"/>
      <c r="E180" s="232"/>
      <c r="F180" s="232"/>
      <c r="G180" s="232"/>
      <c r="H180" s="232"/>
      <c r="I180" s="232"/>
      <c r="J180" s="232"/>
      <c r="K180" s="232"/>
      <c r="L180" s="232"/>
      <c r="M180" s="232"/>
      <c r="N180" s="232"/>
      <c r="O180" s="232"/>
      <c r="P180" s="232"/>
      <c r="Q180" s="232"/>
      <c r="R180" s="232"/>
      <c r="S180" s="232"/>
      <c r="T180" s="232"/>
      <c r="U180" s="232"/>
      <c r="V180" s="15"/>
      <c r="W180" s="15"/>
      <c r="X180" s="15"/>
      <c r="Y180" s="15"/>
      <c r="Z180" s="15"/>
      <c r="AA180" s="15"/>
    </row>
    <row r="181" spans="1:27" s="25" customFormat="1" ht="12" customHeight="1" x14ac:dyDescent="0.2">
      <c r="A181" s="232"/>
      <c r="B181" s="250"/>
      <c r="C181" s="286"/>
      <c r="D181" s="232"/>
      <c r="E181" s="232"/>
      <c r="F181" s="232"/>
      <c r="G181" s="232"/>
      <c r="H181" s="232"/>
      <c r="I181" s="232"/>
      <c r="J181" s="232"/>
      <c r="K181" s="232"/>
      <c r="L181" s="232"/>
      <c r="M181" s="232"/>
      <c r="N181" s="232"/>
      <c r="O181" s="232"/>
      <c r="P181" s="232"/>
      <c r="Q181" s="232"/>
      <c r="R181" s="232"/>
      <c r="S181" s="232"/>
      <c r="T181" s="232"/>
      <c r="U181" s="232"/>
      <c r="V181" s="15"/>
      <c r="W181" s="15"/>
      <c r="X181" s="15"/>
      <c r="Y181" s="15"/>
      <c r="Z181" s="15"/>
      <c r="AA181" s="15"/>
    </row>
    <row r="182" spans="1:27" s="25" customFormat="1" ht="12" customHeight="1" x14ac:dyDescent="0.2">
      <c r="A182" s="232"/>
      <c r="B182" s="250"/>
      <c r="C182" s="286"/>
      <c r="D182" s="232"/>
      <c r="E182" s="232"/>
      <c r="F182" s="232"/>
      <c r="G182" s="232"/>
      <c r="H182" s="232"/>
      <c r="I182" s="232"/>
      <c r="J182" s="232"/>
      <c r="K182" s="232"/>
      <c r="L182" s="232"/>
      <c r="M182" s="232"/>
      <c r="N182" s="232"/>
      <c r="O182" s="232"/>
      <c r="P182" s="232"/>
      <c r="Q182" s="232"/>
      <c r="R182" s="232"/>
      <c r="S182" s="232"/>
      <c r="T182" s="232"/>
      <c r="U182" s="232"/>
      <c r="V182" s="15"/>
      <c r="W182" s="15"/>
      <c r="X182" s="15"/>
      <c r="Y182" s="15"/>
      <c r="Z182" s="15"/>
      <c r="AA182" s="15"/>
    </row>
    <row r="183" spans="1:27" s="25" customFormat="1" ht="12" customHeight="1" x14ac:dyDescent="0.2">
      <c r="A183" s="232"/>
      <c r="B183" s="250"/>
      <c r="C183" s="286"/>
      <c r="D183" s="232"/>
      <c r="E183" s="232"/>
      <c r="F183" s="232"/>
      <c r="G183" s="232"/>
      <c r="H183" s="232"/>
      <c r="I183" s="232"/>
      <c r="J183" s="232"/>
      <c r="K183" s="232"/>
      <c r="L183" s="232"/>
      <c r="M183" s="232"/>
      <c r="N183" s="232"/>
      <c r="O183" s="232"/>
      <c r="P183" s="232"/>
      <c r="Q183" s="232"/>
      <c r="R183" s="232"/>
      <c r="S183" s="232"/>
      <c r="T183" s="232"/>
      <c r="U183" s="232"/>
      <c r="V183" s="15"/>
      <c r="W183" s="15"/>
      <c r="X183" s="15"/>
      <c r="Y183" s="15"/>
      <c r="Z183" s="15"/>
      <c r="AA183" s="15"/>
    </row>
    <row r="184" spans="1:27" s="25" customFormat="1" ht="12" customHeight="1" x14ac:dyDescent="0.2">
      <c r="A184" s="232"/>
      <c r="B184" s="250"/>
      <c r="C184" s="286"/>
      <c r="D184" s="232"/>
      <c r="E184" s="232"/>
      <c r="F184" s="232"/>
      <c r="G184" s="232"/>
      <c r="H184" s="232"/>
      <c r="I184" s="232"/>
      <c r="J184" s="232"/>
      <c r="K184" s="232"/>
      <c r="L184" s="232"/>
      <c r="M184" s="232"/>
      <c r="N184" s="232"/>
      <c r="O184" s="232"/>
      <c r="P184" s="232"/>
      <c r="Q184" s="232"/>
      <c r="R184" s="232"/>
      <c r="S184" s="232"/>
      <c r="T184" s="232"/>
      <c r="U184" s="232"/>
      <c r="V184" s="15"/>
      <c r="W184" s="15"/>
      <c r="X184" s="15"/>
      <c r="Y184" s="15"/>
      <c r="Z184" s="15"/>
      <c r="AA184" s="15"/>
    </row>
    <row r="185" spans="1:27" s="25" customFormat="1" ht="12" customHeight="1" x14ac:dyDescent="0.2">
      <c r="A185" s="232"/>
      <c r="B185" s="250"/>
      <c r="C185" s="286"/>
      <c r="D185" s="232"/>
      <c r="E185" s="232"/>
      <c r="F185" s="232"/>
      <c r="G185" s="232"/>
      <c r="H185" s="232"/>
      <c r="I185" s="232"/>
      <c r="J185" s="232"/>
      <c r="K185" s="232"/>
      <c r="L185" s="232"/>
      <c r="M185" s="232"/>
      <c r="N185" s="232"/>
      <c r="O185" s="232"/>
      <c r="P185" s="232"/>
      <c r="Q185" s="232"/>
      <c r="R185" s="232"/>
      <c r="S185" s="232"/>
      <c r="T185" s="232"/>
      <c r="U185" s="232"/>
      <c r="V185" s="15"/>
      <c r="W185" s="15"/>
      <c r="X185" s="15"/>
      <c r="Y185" s="15"/>
      <c r="Z185" s="15"/>
      <c r="AA185" s="15"/>
    </row>
    <row r="186" spans="1:27" s="25" customFormat="1" ht="12" customHeight="1" x14ac:dyDescent="0.2">
      <c r="A186" s="232"/>
      <c r="B186" s="250"/>
      <c r="C186" s="286"/>
      <c r="D186" s="232"/>
      <c r="E186" s="232"/>
      <c r="F186" s="232"/>
      <c r="G186" s="232"/>
      <c r="H186" s="232"/>
      <c r="I186" s="232"/>
      <c r="J186" s="232"/>
      <c r="K186" s="232"/>
      <c r="L186" s="232"/>
      <c r="M186" s="232"/>
      <c r="N186" s="232"/>
      <c r="O186" s="232"/>
      <c r="P186" s="232"/>
      <c r="Q186" s="232"/>
      <c r="R186" s="232"/>
      <c r="S186" s="232"/>
      <c r="T186" s="232"/>
      <c r="U186" s="232"/>
      <c r="V186" s="15"/>
      <c r="W186" s="15"/>
      <c r="X186" s="15"/>
      <c r="Y186" s="15"/>
      <c r="Z186" s="15"/>
      <c r="AA186" s="15"/>
    </row>
    <row r="187" spans="1:27" s="25" customFormat="1" ht="12" customHeight="1" x14ac:dyDescent="0.2">
      <c r="A187" s="232"/>
      <c r="B187" s="250"/>
      <c r="C187" s="286"/>
      <c r="D187" s="232"/>
      <c r="E187" s="232"/>
      <c r="F187" s="232"/>
      <c r="G187" s="232"/>
      <c r="H187" s="232"/>
      <c r="I187" s="232"/>
      <c r="J187" s="232"/>
      <c r="K187" s="232"/>
      <c r="L187" s="232"/>
      <c r="M187" s="232"/>
      <c r="N187" s="232"/>
      <c r="O187" s="232"/>
      <c r="P187" s="232"/>
      <c r="Q187" s="232"/>
      <c r="R187" s="232"/>
      <c r="S187" s="232"/>
      <c r="T187" s="232"/>
      <c r="U187" s="232"/>
      <c r="V187" s="15"/>
      <c r="W187" s="15"/>
      <c r="X187" s="15"/>
      <c r="Y187" s="15"/>
      <c r="Z187" s="15"/>
      <c r="AA187" s="15"/>
    </row>
    <row r="188" spans="1:27" s="25" customFormat="1" ht="12" customHeight="1" x14ac:dyDescent="0.2">
      <c r="A188" s="232"/>
      <c r="B188" s="250"/>
      <c r="C188" s="286"/>
      <c r="D188" s="232"/>
      <c r="E188" s="232"/>
      <c r="F188" s="232"/>
      <c r="G188" s="232"/>
      <c r="H188" s="232"/>
      <c r="I188" s="232"/>
      <c r="J188" s="232"/>
      <c r="K188" s="232"/>
      <c r="L188" s="232"/>
      <c r="M188" s="232"/>
      <c r="N188" s="232"/>
      <c r="O188" s="232"/>
      <c r="P188" s="232"/>
      <c r="Q188" s="232"/>
      <c r="R188" s="232"/>
      <c r="S188" s="232"/>
      <c r="T188" s="232"/>
      <c r="U188" s="232"/>
      <c r="V188" s="15"/>
      <c r="W188" s="15"/>
      <c r="X188" s="15"/>
      <c r="Y188" s="15"/>
      <c r="Z188" s="15"/>
      <c r="AA188" s="15"/>
    </row>
    <row r="189" spans="1:27" s="25" customFormat="1" ht="12" customHeight="1" x14ac:dyDescent="0.2">
      <c r="A189" s="232"/>
      <c r="B189" s="250"/>
      <c r="C189" s="286"/>
      <c r="D189" s="232"/>
      <c r="E189" s="232"/>
      <c r="F189" s="232"/>
      <c r="G189" s="232"/>
      <c r="H189" s="232"/>
      <c r="I189" s="232"/>
      <c r="J189" s="232"/>
      <c r="K189" s="232"/>
      <c r="L189" s="232"/>
      <c r="M189" s="232"/>
      <c r="N189" s="232"/>
      <c r="O189" s="232"/>
      <c r="P189" s="232"/>
      <c r="Q189" s="232"/>
      <c r="R189" s="232"/>
      <c r="S189" s="232"/>
      <c r="T189" s="232"/>
      <c r="U189" s="232"/>
      <c r="V189" s="15"/>
      <c r="W189" s="15"/>
      <c r="X189" s="15"/>
      <c r="Y189" s="15"/>
      <c r="Z189" s="15"/>
      <c r="AA189" s="15"/>
    </row>
    <row r="190" spans="1:27" s="25" customFormat="1" ht="12" customHeight="1" x14ac:dyDescent="0.2">
      <c r="A190" s="232"/>
      <c r="B190" s="250"/>
      <c r="C190" s="286"/>
      <c r="D190" s="232"/>
      <c r="E190" s="232"/>
      <c r="F190" s="232"/>
      <c r="G190" s="232"/>
      <c r="H190" s="232"/>
      <c r="I190" s="232"/>
      <c r="J190" s="232"/>
      <c r="K190" s="232"/>
      <c r="L190" s="232"/>
      <c r="M190" s="232"/>
      <c r="N190" s="232"/>
      <c r="O190" s="232"/>
      <c r="P190" s="232"/>
      <c r="Q190" s="232"/>
      <c r="R190" s="232"/>
      <c r="S190" s="232"/>
      <c r="T190" s="232"/>
      <c r="U190" s="232"/>
      <c r="V190" s="15"/>
      <c r="W190" s="15"/>
      <c r="X190" s="15"/>
      <c r="Y190" s="15"/>
      <c r="Z190" s="15"/>
      <c r="AA190" s="15"/>
    </row>
    <row r="191" spans="1:27" s="25" customFormat="1" ht="12" customHeight="1" x14ac:dyDescent="0.2">
      <c r="A191" s="232"/>
      <c r="B191" s="250"/>
      <c r="C191" s="286"/>
      <c r="D191" s="232"/>
      <c r="E191" s="232"/>
      <c r="F191" s="232"/>
      <c r="G191" s="232"/>
      <c r="H191" s="232"/>
      <c r="I191" s="232"/>
      <c r="J191" s="232"/>
      <c r="K191" s="232"/>
      <c r="L191" s="232"/>
      <c r="M191" s="232"/>
      <c r="N191" s="232"/>
      <c r="O191" s="232"/>
      <c r="P191" s="232"/>
      <c r="Q191" s="232"/>
      <c r="R191" s="232"/>
      <c r="S191" s="232"/>
      <c r="T191" s="232"/>
      <c r="U191" s="232"/>
      <c r="V191" s="15"/>
      <c r="W191" s="15"/>
      <c r="X191" s="15"/>
      <c r="Y191" s="15"/>
      <c r="Z191" s="15"/>
      <c r="AA191" s="15"/>
    </row>
    <row r="192" spans="1:27" s="25" customFormat="1" ht="12" customHeight="1" x14ac:dyDescent="0.2">
      <c r="A192" s="232"/>
      <c r="B192" s="250"/>
      <c r="C192" s="286"/>
      <c r="D192" s="232"/>
      <c r="E192" s="232"/>
      <c r="F192" s="232"/>
      <c r="G192" s="232"/>
      <c r="H192" s="232"/>
      <c r="I192" s="232"/>
      <c r="J192" s="232"/>
      <c r="K192" s="232"/>
      <c r="L192" s="232"/>
      <c r="M192" s="232"/>
      <c r="N192" s="232"/>
      <c r="O192" s="232"/>
      <c r="P192" s="232"/>
      <c r="Q192" s="232"/>
      <c r="R192" s="232"/>
      <c r="S192" s="232"/>
      <c r="T192" s="232"/>
      <c r="U192" s="232"/>
      <c r="V192" s="15"/>
      <c r="W192" s="15"/>
      <c r="X192" s="15"/>
      <c r="Y192" s="15"/>
      <c r="Z192" s="15"/>
      <c r="AA192" s="15"/>
    </row>
    <row r="193" spans="1:27" s="25" customFormat="1" ht="12" customHeight="1" x14ac:dyDescent="0.2">
      <c r="A193" s="232"/>
      <c r="B193" s="250"/>
      <c r="C193" s="286"/>
      <c r="D193" s="232"/>
      <c r="E193" s="232"/>
      <c r="F193" s="232"/>
      <c r="G193" s="232"/>
      <c r="H193" s="232"/>
      <c r="I193" s="232"/>
      <c r="J193" s="232"/>
      <c r="K193" s="232"/>
      <c r="L193" s="232"/>
      <c r="M193" s="232"/>
      <c r="N193" s="232"/>
      <c r="O193" s="232"/>
      <c r="P193" s="232"/>
      <c r="Q193" s="232"/>
      <c r="R193" s="232"/>
      <c r="S193" s="232"/>
      <c r="T193" s="232"/>
      <c r="U193" s="232"/>
      <c r="V193" s="15"/>
      <c r="W193" s="15"/>
      <c r="X193" s="15"/>
      <c r="Y193" s="15"/>
      <c r="Z193" s="15"/>
      <c r="AA193" s="15"/>
    </row>
    <row r="194" spans="1:27" s="25" customFormat="1" ht="12" customHeight="1" x14ac:dyDescent="0.2">
      <c r="A194" s="232"/>
      <c r="B194" s="250"/>
      <c r="C194" s="286"/>
      <c r="D194" s="232"/>
      <c r="E194" s="232"/>
      <c r="F194" s="232"/>
      <c r="G194" s="232"/>
      <c r="H194" s="232"/>
      <c r="I194" s="232"/>
      <c r="J194" s="232"/>
      <c r="K194" s="232"/>
      <c r="L194" s="232"/>
      <c r="M194" s="232"/>
      <c r="N194" s="232"/>
      <c r="O194" s="232"/>
      <c r="P194" s="232"/>
      <c r="Q194" s="232"/>
      <c r="R194" s="232"/>
      <c r="S194" s="232"/>
      <c r="T194" s="232"/>
      <c r="U194" s="232"/>
      <c r="V194" s="15"/>
      <c r="W194" s="15"/>
      <c r="X194" s="15"/>
      <c r="Y194" s="15"/>
      <c r="Z194" s="15"/>
      <c r="AA194" s="15"/>
    </row>
    <row r="195" spans="1:27" s="25" customFormat="1" ht="12" customHeight="1" x14ac:dyDescent="0.2">
      <c r="A195" s="232"/>
      <c r="B195" s="250"/>
      <c r="C195" s="286"/>
      <c r="D195" s="232"/>
      <c r="E195" s="232"/>
      <c r="F195" s="232"/>
      <c r="G195" s="232"/>
      <c r="H195" s="232"/>
      <c r="I195" s="232"/>
      <c r="J195" s="232"/>
      <c r="K195" s="232"/>
      <c r="L195" s="232"/>
      <c r="M195" s="232"/>
      <c r="N195" s="232"/>
      <c r="O195" s="232"/>
      <c r="P195" s="232"/>
      <c r="Q195" s="232"/>
      <c r="R195" s="232"/>
      <c r="S195" s="232"/>
      <c r="T195" s="232"/>
      <c r="U195" s="232"/>
      <c r="V195" s="15"/>
      <c r="W195" s="15"/>
      <c r="X195" s="15"/>
      <c r="Y195" s="15"/>
      <c r="Z195" s="15"/>
      <c r="AA195" s="15"/>
    </row>
    <row r="196" spans="1:27" s="25" customFormat="1" ht="12" customHeight="1" x14ac:dyDescent="0.2">
      <c r="A196" s="232"/>
      <c r="B196" s="250"/>
      <c r="C196" s="286"/>
      <c r="D196" s="232"/>
      <c r="E196" s="232"/>
      <c r="F196" s="232"/>
      <c r="G196" s="232"/>
      <c r="H196" s="232"/>
      <c r="I196" s="232"/>
      <c r="J196" s="232"/>
      <c r="K196" s="232"/>
      <c r="L196" s="232"/>
      <c r="M196" s="232"/>
      <c r="N196" s="232"/>
      <c r="O196" s="232"/>
      <c r="P196" s="232"/>
      <c r="Q196" s="232"/>
      <c r="R196" s="232"/>
      <c r="S196" s="232"/>
      <c r="T196" s="232"/>
      <c r="U196" s="232"/>
      <c r="V196" s="15"/>
      <c r="W196" s="15"/>
      <c r="X196" s="15"/>
      <c r="Y196" s="15"/>
      <c r="Z196" s="15"/>
      <c r="AA196" s="15"/>
    </row>
    <row r="197" spans="1:27" s="25" customFormat="1" ht="12" customHeight="1" x14ac:dyDescent="0.2">
      <c r="A197" s="232"/>
      <c r="B197" s="250"/>
      <c r="C197" s="286"/>
      <c r="D197" s="232"/>
      <c r="E197" s="232"/>
      <c r="F197" s="232"/>
      <c r="G197" s="232"/>
      <c r="H197" s="232"/>
      <c r="I197" s="232"/>
      <c r="J197" s="232"/>
      <c r="K197" s="232"/>
      <c r="L197" s="232"/>
      <c r="M197" s="232"/>
      <c r="N197" s="232"/>
      <c r="O197" s="232"/>
      <c r="P197" s="232"/>
      <c r="Q197" s="232"/>
      <c r="R197" s="232"/>
      <c r="S197" s="232"/>
      <c r="T197" s="232"/>
      <c r="U197" s="232"/>
      <c r="V197" s="15"/>
      <c r="W197" s="15"/>
      <c r="X197" s="15"/>
      <c r="Y197" s="15"/>
      <c r="Z197" s="15"/>
      <c r="AA197" s="15"/>
    </row>
    <row r="198" spans="1:27" s="25" customFormat="1" ht="12" customHeight="1" x14ac:dyDescent="0.2">
      <c r="A198" s="232"/>
      <c r="B198" s="250"/>
      <c r="C198" s="286"/>
      <c r="D198" s="232"/>
      <c r="E198" s="232"/>
      <c r="F198" s="232"/>
      <c r="G198" s="232"/>
      <c r="H198" s="232"/>
      <c r="I198" s="232"/>
      <c r="J198" s="232"/>
      <c r="K198" s="232"/>
      <c r="L198" s="232"/>
      <c r="M198" s="232"/>
      <c r="N198" s="232"/>
      <c r="O198" s="232"/>
      <c r="P198" s="232"/>
      <c r="Q198" s="232"/>
      <c r="R198" s="232"/>
      <c r="S198" s="232"/>
      <c r="T198" s="232"/>
      <c r="U198" s="232"/>
      <c r="V198" s="15"/>
      <c r="W198" s="15"/>
      <c r="X198" s="15"/>
      <c r="Y198" s="15"/>
      <c r="Z198" s="15"/>
      <c r="AA198" s="15"/>
    </row>
    <row r="199" spans="1:27" s="25" customFormat="1" ht="12" customHeight="1" x14ac:dyDescent="0.2">
      <c r="A199" s="232"/>
      <c r="B199" s="250"/>
      <c r="C199" s="286"/>
      <c r="D199" s="232"/>
      <c r="E199" s="232"/>
      <c r="F199" s="232"/>
      <c r="G199" s="232"/>
      <c r="H199" s="232"/>
      <c r="I199" s="232"/>
      <c r="J199" s="232"/>
      <c r="K199" s="232"/>
      <c r="L199" s="232"/>
      <c r="M199" s="232"/>
      <c r="N199" s="232"/>
      <c r="O199" s="232"/>
      <c r="P199" s="232"/>
      <c r="Q199" s="232"/>
      <c r="R199" s="232"/>
      <c r="S199" s="232"/>
      <c r="T199" s="232"/>
      <c r="U199" s="232"/>
      <c r="V199" s="15"/>
      <c r="W199" s="15"/>
      <c r="X199" s="15"/>
      <c r="Y199" s="15"/>
      <c r="Z199" s="15"/>
      <c r="AA199" s="15"/>
    </row>
    <row r="200" spans="1:27" s="25" customFormat="1" ht="12" customHeight="1" x14ac:dyDescent="0.2">
      <c r="A200" s="232"/>
      <c r="B200" s="250"/>
      <c r="C200" s="286"/>
      <c r="D200" s="232"/>
      <c r="E200" s="232"/>
      <c r="F200" s="232"/>
      <c r="G200" s="232"/>
      <c r="H200" s="232"/>
      <c r="I200" s="232"/>
      <c r="J200" s="232"/>
      <c r="K200" s="232"/>
      <c r="L200" s="232"/>
      <c r="M200" s="232"/>
      <c r="N200" s="232"/>
      <c r="O200" s="232"/>
      <c r="P200" s="232"/>
      <c r="Q200" s="232"/>
      <c r="R200" s="232"/>
      <c r="S200" s="232"/>
      <c r="T200" s="232"/>
      <c r="U200" s="232"/>
      <c r="V200" s="15"/>
      <c r="W200" s="15"/>
      <c r="X200" s="15"/>
      <c r="Y200" s="15"/>
      <c r="Z200" s="15"/>
      <c r="AA200" s="15"/>
    </row>
    <row r="201" spans="1:27" s="25" customFormat="1" ht="12" customHeight="1" x14ac:dyDescent="0.2">
      <c r="A201" s="232"/>
      <c r="B201" s="250"/>
      <c r="C201" s="286"/>
      <c r="D201" s="232"/>
      <c r="E201" s="232"/>
      <c r="F201" s="232"/>
      <c r="G201" s="232"/>
      <c r="H201" s="232"/>
      <c r="I201" s="232"/>
      <c r="J201" s="232"/>
      <c r="K201" s="232"/>
      <c r="L201" s="232"/>
      <c r="M201" s="232"/>
      <c r="N201" s="232"/>
      <c r="O201" s="232"/>
      <c r="P201" s="232"/>
      <c r="Q201" s="232"/>
      <c r="R201" s="232"/>
      <c r="S201" s="232"/>
      <c r="T201" s="232"/>
      <c r="U201" s="232"/>
      <c r="V201" s="15"/>
      <c r="W201" s="15"/>
      <c r="X201" s="15"/>
      <c r="Y201" s="15"/>
      <c r="Z201" s="15"/>
      <c r="AA201" s="15"/>
    </row>
    <row r="202" spans="1:27" s="25" customFormat="1" ht="12" customHeight="1" x14ac:dyDescent="0.2">
      <c r="A202" s="232"/>
      <c r="B202" s="250"/>
      <c r="C202" s="286"/>
      <c r="D202" s="232"/>
      <c r="E202" s="232"/>
      <c r="F202" s="232"/>
      <c r="G202" s="232"/>
      <c r="H202" s="232"/>
      <c r="I202" s="232"/>
      <c r="J202" s="232"/>
      <c r="K202" s="232"/>
      <c r="L202" s="232"/>
      <c r="M202" s="232"/>
      <c r="N202" s="232"/>
      <c r="O202" s="232"/>
      <c r="P202" s="232"/>
      <c r="Q202" s="232"/>
      <c r="R202" s="232"/>
      <c r="S202" s="232"/>
      <c r="T202" s="232"/>
      <c r="U202" s="232"/>
      <c r="V202" s="15"/>
      <c r="W202" s="15"/>
      <c r="X202" s="15"/>
      <c r="Y202" s="15"/>
      <c r="Z202" s="15"/>
      <c r="AA202" s="15"/>
    </row>
    <row r="203" spans="1:27" s="25" customFormat="1" ht="12" customHeight="1" x14ac:dyDescent="0.2">
      <c r="A203" s="232"/>
      <c r="B203" s="250"/>
      <c r="C203" s="286"/>
      <c r="D203" s="232"/>
      <c r="E203" s="232"/>
      <c r="F203" s="232"/>
      <c r="G203" s="232"/>
      <c r="H203" s="232"/>
      <c r="I203" s="232"/>
      <c r="J203" s="232"/>
      <c r="K203" s="232"/>
      <c r="L203" s="232"/>
      <c r="M203" s="232"/>
      <c r="N203" s="232"/>
      <c r="O203" s="232"/>
      <c r="P203" s="232"/>
      <c r="Q203" s="232"/>
      <c r="R203" s="232"/>
      <c r="S203" s="232"/>
      <c r="T203" s="232"/>
      <c r="U203" s="232"/>
      <c r="V203" s="15"/>
      <c r="W203" s="15"/>
      <c r="X203" s="15"/>
      <c r="Y203" s="15"/>
      <c r="Z203" s="15"/>
      <c r="AA203" s="15"/>
    </row>
    <row r="204" spans="1:27" s="25" customFormat="1" ht="12" customHeight="1" x14ac:dyDescent="0.2">
      <c r="A204" s="232"/>
      <c r="B204" s="250"/>
      <c r="C204" s="286"/>
      <c r="D204" s="232"/>
      <c r="E204" s="232"/>
      <c r="F204" s="232"/>
      <c r="G204" s="232"/>
      <c r="H204" s="232"/>
      <c r="I204" s="232"/>
      <c r="J204" s="232"/>
      <c r="K204" s="232"/>
      <c r="L204" s="232"/>
      <c r="M204" s="232"/>
      <c r="N204" s="232"/>
      <c r="O204" s="232"/>
      <c r="P204" s="232"/>
      <c r="Q204" s="232"/>
      <c r="R204" s="232"/>
      <c r="S204" s="232"/>
      <c r="T204" s="232"/>
      <c r="U204" s="232"/>
      <c r="V204" s="15"/>
      <c r="W204" s="15"/>
      <c r="X204" s="15"/>
      <c r="Y204" s="15"/>
      <c r="Z204" s="15"/>
      <c r="AA204" s="15"/>
    </row>
    <row r="205" spans="1:27" s="25" customFormat="1" ht="12" customHeight="1" x14ac:dyDescent="0.2">
      <c r="A205" s="232"/>
      <c r="B205" s="250"/>
      <c r="C205" s="286"/>
      <c r="D205" s="232"/>
      <c r="E205" s="232"/>
      <c r="F205" s="232"/>
      <c r="G205" s="232"/>
      <c r="H205" s="232"/>
      <c r="I205" s="232"/>
      <c r="J205" s="232"/>
      <c r="K205" s="232"/>
      <c r="L205" s="232"/>
      <c r="M205" s="232"/>
      <c r="N205" s="232"/>
      <c r="O205" s="232"/>
      <c r="P205" s="232"/>
      <c r="Q205" s="232"/>
      <c r="R205" s="232"/>
      <c r="S205" s="232"/>
      <c r="T205" s="232"/>
      <c r="U205" s="232"/>
      <c r="V205" s="15"/>
      <c r="W205" s="15"/>
      <c r="X205" s="15"/>
      <c r="Y205" s="15"/>
      <c r="Z205" s="15"/>
      <c r="AA205" s="15"/>
    </row>
    <row r="206" spans="1:27" s="25" customFormat="1" ht="12" customHeight="1" x14ac:dyDescent="0.2">
      <c r="A206" s="232"/>
      <c r="B206" s="250"/>
      <c r="C206" s="286"/>
      <c r="D206" s="232"/>
      <c r="E206" s="232"/>
      <c r="F206" s="232"/>
      <c r="G206" s="232"/>
      <c r="H206" s="232"/>
      <c r="I206" s="232"/>
      <c r="J206" s="232"/>
      <c r="K206" s="232"/>
      <c r="L206" s="232"/>
      <c r="M206" s="232"/>
      <c r="N206" s="232"/>
      <c r="O206" s="232"/>
      <c r="P206" s="232"/>
      <c r="Q206" s="232"/>
      <c r="R206" s="232"/>
      <c r="S206" s="232"/>
      <c r="T206" s="232"/>
      <c r="U206" s="232"/>
      <c r="V206" s="15"/>
      <c r="W206" s="15"/>
      <c r="X206" s="15"/>
      <c r="Y206" s="15"/>
      <c r="Z206" s="15"/>
      <c r="AA206" s="15"/>
    </row>
    <row r="207" spans="1:27" s="25" customFormat="1" ht="12" customHeight="1" x14ac:dyDescent="0.2">
      <c r="A207" s="232"/>
      <c r="B207" s="250"/>
      <c r="C207" s="286"/>
      <c r="D207" s="232"/>
      <c r="E207" s="232"/>
      <c r="F207" s="232"/>
      <c r="G207" s="232"/>
      <c r="H207" s="232"/>
      <c r="I207" s="232"/>
      <c r="J207" s="232"/>
      <c r="K207" s="232"/>
      <c r="L207" s="232"/>
      <c r="M207" s="232"/>
      <c r="N207" s="232"/>
      <c r="O207" s="232"/>
      <c r="P207" s="232"/>
      <c r="Q207" s="232"/>
      <c r="R207" s="232"/>
      <c r="S207" s="232"/>
      <c r="T207" s="232"/>
      <c r="U207" s="232"/>
      <c r="V207" s="15"/>
      <c r="W207" s="15"/>
      <c r="X207" s="15"/>
      <c r="Y207" s="15"/>
      <c r="Z207" s="15"/>
      <c r="AA207" s="15"/>
    </row>
    <row r="208" spans="1:27" s="25" customFormat="1" ht="12" customHeight="1" x14ac:dyDescent="0.2">
      <c r="A208" s="232"/>
      <c r="B208" s="250"/>
      <c r="C208" s="286"/>
      <c r="D208" s="232"/>
      <c r="E208" s="232"/>
      <c r="F208" s="232"/>
      <c r="G208" s="232"/>
      <c r="H208" s="232"/>
      <c r="I208" s="232"/>
      <c r="J208" s="232"/>
      <c r="K208" s="232"/>
      <c r="L208" s="232"/>
      <c r="M208" s="232"/>
      <c r="N208" s="232"/>
      <c r="O208" s="232"/>
      <c r="P208" s="232"/>
      <c r="Q208" s="232"/>
      <c r="R208" s="232"/>
      <c r="S208" s="232"/>
      <c r="T208" s="232"/>
      <c r="U208" s="232"/>
      <c r="V208" s="15"/>
      <c r="W208" s="15"/>
      <c r="X208" s="15"/>
      <c r="Y208" s="15"/>
      <c r="Z208" s="15"/>
      <c r="AA208" s="15"/>
    </row>
    <row r="209" spans="1:27" s="25" customFormat="1" ht="12" customHeight="1" x14ac:dyDescent="0.2">
      <c r="A209" s="232"/>
      <c r="B209" s="250"/>
      <c r="C209" s="286"/>
      <c r="D209" s="232"/>
      <c r="E209" s="232"/>
      <c r="F209" s="232"/>
      <c r="G209" s="232"/>
      <c r="H209" s="232"/>
      <c r="I209" s="232"/>
      <c r="J209" s="232"/>
      <c r="K209" s="232"/>
      <c r="L209" s="232"/>
      <c r="M209" s="232"/>
      <c r="N209" s="232"/>
      <c r="O209" s="232"/>
      <c r="P209" s="232"/>
      <c r="Q209" s="232"/>
      <c r="R209" s="232"/>
      <c r="S209" s="232"/>
      <c r="T209" s="232"/>
      <c r="U209" s="232"/>
      <c r="V209" s="15"/>
      <c r="W209" s="15"/>
      <c r="X209" s="15"/>
      <c r="Y209" s="15"/>
      <c r="Z209" s="15"/>
      <c r="AA209" s="15"/>
    </row>
    <row r="210" spans="1:27" s="25" customFormat="1" ht="12" customHeight="1" x14ac:dyDescent="0.2">
      <c r="A210" s="232"/>
      <c r="B210" s="250"/>
      <c r="C210" s="286"/>
      <c r="D210" s="232"/>
      <c r="E210" s="232"/>
      <c r="F210" s="232"/>
      <c r="G210" s="232"/>
      <c r="H210" s="232"/>
      <c r="I210" s="232"/>
      <c r="J210" s="232"/>
      <c r="K210" s="232"/>
      <c r="L210" s="232"/>
      <c r="M210" s="232"/>
      <c r="N210" s="232"/>
      <c r="O210" s="232"/>
      <c r="P210" s="232"/>
      <c r="Q210" s="232"/>
      <c r="R210" s="232"/>
      <c r="S210" s="232"/>
      <c r="T210" s="232"/>
      <c r="U210" s="232"/>
      <c r="V210" s="15"/>
      <c r="W210" s="15"/>
      <c r="X210" s="15"/>
      <c r="Y210" s="15"/>
      <c r="Z210" s="15"/>
      <c r="AA210" s="15"/>
    </row>
    <row r="211" spans="1:27" s="25" customFormat="1" ht="12" customHeight="1" x14ac:dyDescent="0.2">
      <c r="A211" s="232"/>
      <c r="B211" s="250"/>
      <c r="C211" s="286"/>
      <c r="D211" s="232"/>
      <c r="E211" s="232"/>
      <c r="F211" s="232"/>
      <c r="G211" s="232"/>
      <c r="H211" s="232"/>
      <c r="I211" s="232"/>
      <c r="J211" s="232"/>
      <c r="K211" s="232"/>
      <c r="L211" s="232"/>
      <c r="M211" s="232"/>
      <c r="N211" s="232"/>
      <c r="O211" s="232"/>
      <c r="P211" s="232"/>
      <c r="Q211" s="232"/>
      <c r="R211" s="232"/>
      <c r="S211" s="232"/>
      <c r="T211" s="232"/>
      <c r="U211" s="232"/>
      <c r="V211" s="15"/>
      <c r="W211" s="15"/>
      <c r="X211" s="15"/>
      <c r="Y211" s="15"/>
      <c r="Z211" s="15"/>
      <c r="AA211" s="15"/>
    </row>
    <row r="212" spans="1:27" s="25" customFormat="1" ht="12" customHeight="1" x14ac:dyDescent="0.2">
      <c r="A212" s="232"/>
      <c r="B212" s="250"/>
      <c r="C212" s="286"/>
      <c r="D212" s="232"/>
      <c r="E212" s="232"/>
      <c r="F212" s="232"/>
      <c r="G212" s="232"/>
      <c r="H212" s="232"/>
      <c r="I212" s="232"/>
      <c r="J212" s="232"/>
      <c r="K212" s="232"/>
      <c r="L212" s="232"/>
      <c r="M212" s="232"/>
      <c r="N212" s="232"/>
      <c r="O212" s="232"/>
      <c r="P212" s="232"/>
      <c r="Q212" s="232"/>
      <c r="R212" s="232"/>
      <c r="S212" s="232"/>
      <c r="T212" s="232"/>
      <c r="U212" s="232"/>
      <c r="V212" s="15"/>
      <c r="W212" s="15"/>
      <c r="X212" s="15"/>
      <c r="Y212" s="15"/>
      <c r="Z212" s="15"/>
      <c r="AA212" s="15"/>
    </row>
    <row r="213" spans="1:27" s="25" customFormat="1" ht="12" customHeight="1" x14ac:dyDescent="0.2">
      <c r="A213" s="232"/>
      <c r="B213" s="250"/>
      <c r="C213" s="286"/>
      <c r="D213" s="232"/>
      <c r="E213" s="232"/>
      <c r="F213" s="232"/>
      <c r="G213" s="232"/>
      <c r="H213" s="232"/>
      <c r="I213" s="232"/>
      <c r="J213" s="232"/>
      <c r="K213" s="232"/>
      <c r="L213" s="232"/>
      <c r="M213" s="232"/>
      <c r="N213" s="232"/>
      <c r="O213" s="232"/>
      <c r="P213" s="232"/>
      <c r="Q213" s="232"/>
      <c r="R213" s="232"/>
      <c r="S213" s="232"/>
      <c r="T213" s="232"/>
      <c r="U213" s="232"/>
      <c r="V213" s="15"/>
      <c r="W213" s="15"/>
      <c r="X213" s="15"/>
      <c r="Y213" s="15"/>
      <c r="Z213" s="15"/>
      <c r="AA213" s="15"/>
    </row>
    <row r="214" spans="1:27" s="25" customFormat="1" ht="12" customHeight="1" x14ac:dyDescent="0.2">
      <c r="A214" s="232"/>
      <c r="B214" s="250"/>
      <c r="C214" s="286"/>
      <c r="D214" s="232"/>
      <c r="E214" s="232"/>
      <c r="F214" s="232"/>
      <c r="G214" s="232"/>
      <c r="H214" s="232"/>
      <c r="I214" s="232"/>
      <c r="J214" s="232"/>
      <c r="K214" s="232"/>
      <c r="L214" s="232"/>
      <c r="M214" s="232"/>
      <c r="N214" s="232"/>
      <c r="O214" s="232"/>
      <c r="P214" s="232"/>
      <c r="Q214" s="232"/>
      <c r="R214" s="232"/>
      <c r="S214" s="232"/>
      <c r="T214" s="232"/>
      <c r="U214" s="232"/>
      <c r="V214" s="15"/>
      <c r="W214" s="15"/>
      <c r="X214" s="15"/>
      <c r="Y214" s="15"/>
      <c r="Z214" s="15"/>
      <c r="AA214" s="15"/>
    </row>
    <row r="215" spans="1:27" s="25" customFormat="1" ht="12" customHeight="1" x14ac:dyDescent="0.2">
      <c r="A215" s="232"/>
      <c r="B215" s="250"/>
      <c r="C215" s="286"/>
      <c r="D215" s="232"/>
      <c r="E215" s="232"/>
      <c r="F215" s="232"/>
      <c r="G215" s="232"/>
      <c r="H215" s="232"/>
      <c r="I215" s="232"/>
      <c r="J215" s="232"/>
      <c r="K215" s="232"/>
      <c r="L215" s="232"/>
      <c r="M215" s="232"/>
      <c r="N215" s="232"/>
      <c r="O215" s="232"/>
      <c r="P215" s="232"/>
      <c r="Q215" s="232"/>
      <c r="R215" s="232"/>
      <c r="S215" s="232"/>
      <c r="T215" s="232"/>
      <c r="U215" s="232"/>
      <c r="V215" s="15"/>
      <c r="W215" s="15"/>
      <c r="X215" s="15"/>
      <c r="Y215" s="15"/>
      <c r="Z215" s="15"/>
      <c r="AA215" s="15"/>
    </row>
    <row r="216" spans="1:27" s="25" customFormat="1" ht="12" customHeight="1" x14ac:dyDescent="0.2">
      <c r="A216" s="232"/>
      <c r="B216" s="250"/>
      <c r="C216" s="286"/>
      <c r="D216" s="232"/>
      <c r="E216" s="232"/>
      <c r="F216" s="232"/>
      <c r="G216" s="232"/>
      <c r="H216" s="232"/>
      <c r="I216" s="232"/>
      <c r="J216" s="232"/>
      <c r="K216" s="232"/>
      <c r="L216" s="232"/>
      <c r="M216" s="232"/>
      <c r="N216" s="232"/>
      <c r="O216" s="232"/>
      <c r="P216" s="232"/>
      <c r="Q216" s="232"/>
      <c r="R216" s="232"/>
      <c r="S216" s="232"/>
      <c r="T216" s="232"/>
      <c r="U216" s="232"/>
      <c r="V216" s="15"/>
      <c r="W216" s="15"/>
      <c r="X216" s="15"/>
      <c r="Y216" s="15"/>
      <c r="Z216" s="15"/>
      <c r="AA216" s="15"/>
    </row>
    <row r="217" spans="1:27" s="25" customFormat="1" ht="12" customHeight="1" x14ac:dyDescent="0.2">
      <c r="A217" s="232"/>
      <c r="B217" s="250"/>
      <c r="C217" s="286"/>
      <c r="D217" s="232"/>
      <c r="E217" s="232"/>
      <c r="F217" s="232"/>
      <c r="G217" s="232"/>
      <c r="H217" s="232"/>
      <c r="I217" s="232"/>
      <c r="J217" s="232"/>
      <c r="K217" s="232"/>
      <c r="L217" s="232"/>
      <c r="M217" s="232"/>
      <c r="N217" s="232"/>
      <c r="O217" s="232"/>
      <c r="P217" s="232"/>
      <c r="Q217" s="232"/>
      <c r="R217" s="232"/>
      <c r="S217" s="232"/>
      <c r="T217" s="232"/>
      <c r="U217" s="232"/>
      <c r="V217" s="15"/>
      <c r="W217" s="15"/>
      <c r="X217" s="15"/>
      <c r="Y217" s="15"/>
      <c r="Z217" s="15"/>
      <c r="AA217" s="15"/>
    </row>
    <row r="218" spans="1:27" s="25" customFormat="1" ht="12" customHeight="1" x14ac:dyDescent="0.2">
      <c r="A218" s="232"/>
      <c r="B218" s="250"/>
      <c r="C218" s="286"/>
      <c r="D218" s="232"/>
      <c r="E218" s="232"/>
      <c r="F218" s="232"/>
      <c r="G218" s="232"/>
      <c r="H218" s="232"/>
      <c r="I218" s="232"/>
      <c r="J218" s="232"/>
      <c r="K218" s="232"/>
      <c r="L218" s="232"/>
      <c r="M218" s="232"/>
      <c r="N218" s="232"/>
      <c r="O218" s="232"/>
      <c r="P218" s="232"/>
      <c r="Q218" s="232"/>
      <c r="R218" s="232"/>
      <c r="S218" s="232"/>
      <c r="T218" s="232"/>
      <c r="U218" s="232"/>
      <c r="V218" s="15"/>
      <c r="W218" s="15"/>
      <c r="X218" s="15"/>
      <c r="Y218" s="15"/>
      <c r="Z218" s="15"/>
      <c r="AA218" s="15"/>
    </row>
    <row r="219" spans="1:27" s="25" customFormat="1" ht="12" customHeight="1" x14ac:dyDescent="0.2">
      <c r="A219" s="232"/>
      <c r="B219" s="250"/>
      <c r="C219" s="286"/>
      <c r="D219" s="232"/>
      <c r="E219" s="232"/>
      <c r="F219" s="232"/>
      <c r="G219" s="232"/>
      <c r="H219" s="232"/>
      <c r="I219" s="232"/>
      <c r="J219" s="232"/>
      <c r="K219" s="232"/>
      <c r="L219" s="232"/>
      <c r="M219" s="232"/>
      <c r="N219" s="232"/>
      <c r="O219" s="232"/>
      <c r="P219" s="232"/>
      <c r="Q219" s="232"/>
      <c r="R219" s="232"/>
      <c r="S219" s="232"/>
      <c r="T219" s="232"/>
      <c r="U219" s="232"/>
      <c r="V219" s="15"/>
      <c r="W219" s="15"/>
      <c r="X219" s="15"/>
      <c r="Y219" s="15"/>
      <c r="Z219" s="15"/>
      <c r="AA219" s="15"/>
    </row>
    <row r="220" spans="1:27" s="25" customFormat="1" ht="12" customHeight="1" x14ac:dyDescent="0.2">
      <c r="A220" s="232"/>
      <c r="B220" s="250"/>
      <c r="C220" s="286"/>
      <c r="D220" s="232"/>
      <c r="E220" s="232"/>
      <c r="F220" s="232"/>
      <c r="G220" s="232"/>
      <c r="H220" s="232"/>
      <c r="I220" s="232"/>
      <c r="J220" s="232"/>
      <c r="K220" s="232"/>
      <c r="L220" s="232"/>
      <c r="M220" s="232"/>
      <c r="N220" s="232"/>
      <c r="O220" s="232"/>
      <c r="P220" s="232"/>
      <c r="Q220" s="232"/>
      <c r="R220" s="232"/>
      <c r="S220" s="232"/>
      <c r="T220" s="232"/>
      <c r="U220" s="232"/>
      <c r="V220" s="15"/>
      <c r="W220" s="15"/>
      <c r="X220" s="15"/>
      <c r="Y220" s="15"/>
      <c r="Z220" s="15"/>
      <c r="AA220" s="15"/>
    </row>
    <row r="221" spans="1:27" s="25" customFormat="1" ht="12" customHeight="1" x14ac:dyDescent="0.2">
      <c r="A221" s="232"/>
      <c r="B221" s="250"/>
      <c r="C221" s="286"/>
      <c r="D221" s="232"/>
      <c r="E221" s="232"/>
      <c r="F221" s="232"/>
      <c r="G221" s="232"/>
      <c r="H221" s="232"/>
      <c r="I221" s="232"/>
      <c r="J221" s="232"/>
      <c r="K221" s="232"/>
      <c r="L221" s="232"/>
      <c r="M221" s="232"/>
      <c r="N221" s="232"/>
      <c r="O221" s="232"/>
      <c r="P221" s="232"/>
      <c r="Q221" s="232"/>
      <c r="R221" s="232"/>
      <c r="S221" s="232"/>
      <c r="T221" s="232"/>
      <c r="U221" s="232"/>
      <c r="V221" s="15"/>
      <c r="W221" s="15"/>
      <c r="X221" s="15"/>
      <c r="Y221" s="15"/>
      <c r="Z221" s="15"/>
      <c r="AA221" s="15"/>
    </row>
    <row r="222" spans="1:27" s="25" customFormat="1" ht="12" customHeight="1" x14ac:dyDescent="0.2">
      <c r="A222" s="232"/>
      <c r="B222" s="250"/>
      <c r="C222" s="286"/>
      <c r="D222" s="232"/>
      <c r="E222" s="232"/>
      <c r="F222" s="232"/>
      <c r="G222" s="232"/>
      <c r="H222" s="232"/>
      <c r="I222" s="232"/>
      <c r="J222" s="232"/>
      <c r="K222" s="232"/>
      <c r="L222" s="232"/>
      <c r="M222" s="232"/>
      <c r="N222" s="232"/>
      <c r="O222" s="232"/>
      <c r="P222" s="232"/>
      <c r="Q222" s="232"/>
      <c r="R222" s="232"/>
      <c r="S222" s="232"/>
      <c r="T222" s="232"/>
      <c r="U222" s="232"/>
      <c r="V222" s="15"/>
      <c r="W222" s="15"/>
      <c r="X222" s="15"/>
      <c r="Y222" s="15"/>
      <c r="Z222" s="15"/>
      <c r="AA222" s="15"/>
    </row>
    <row r="223" spans="1:27" s="25" customFormat="1" ht="12" customHeight="1" x14ac:dyDescent="0.2">
      <c r="A223" s="232"/>
      <c r="B223" s="250"/>
      <c r="C223" s="286"/>
      <c r="D223" s="232"/>
      <c r="E223" s="232"/>
      <c r="F223" s="232"/>
      <c r="G223" s="232"/>
      <c r="H223" s="232"/>
      <c r="I223" s="232"/>
      <c r="J223" s="232"/>
      <c r="K223" s="232"/>
      <c r="L223" s="232"/>
      <c r="M223" s="232"/>
      <c r="N223" s="232"/>
      <c r="O223" s="232"/>
      <c r="P223" s="232"/>
      <c r="Q223" s="232"/>
      <c r="R223" s="232"/>
      <c r="S223" s="232"/>
      <c r="T223" s="232"/>
      <c r="U223" s="232"/>
      <c r="V223" s="15"/>
      <c r="W223" s="15"/>
      <c r="X223" s="15"/>
      <c r="Y223" s="15"/>
      <c r="Z223" s="15"/>
      <c r="AA223" s="15"/>
    </row>
    <row r="224" spans="1:27" s="25" customFormat="1" ht="12" customHeight="1" x14ac:dyDescent="0.2">
      <c r="A224" s="232"/>
      <c r="B224" s="250"/>
      <c r="C224" s="286"/>
      <c r="D224" s="232"/>
      <c r="E224" s="232"/>
      <c r="F224" s="232"/>
      <c r="G224" s="232"/>
      <c r="H224" s="232"/>
      <c r="I224" s="232"/>
      <c r="J224" s="232"/>
      <c r="K224" s="232"/>
      <c r="L224" s="232"/>
      <c r="M224" s="232"/>
      <c r="N224" s="232"/>
      <c r="O224" s="232"/>
      <c r="P224" s="232"/>
      <c r="Q224" s="232"/>
      <c r="R224" s="232"/>
      <c r="S224" s="232"/>
      <c r="T224" s="232"/>
      <c r="U224" s="232"/>
      <c r="V224" s="15"/>
      <c r="W224" s="15"/>
      <c r="X224" s="15"/>
      <c r="Y224" s="15"/>
      <c r="Z224" s="15"/>
      <c r="AA224" s="15"/>
    </row>
    <row r="225" spans="1:27" s="25" customFormat="1" ht="12" customHeight="1" x14ac:dyDescent="0.2">
      <c r="A225" s="232"/>
      <c r="B225" s="250"/>
      <c r="C225" s="286"/>
      <c r="D225" s="232"/>
      <c r="E225" s="232"/>
      <c r="F225" s="232"/>
      <c r="G225" s="232"/>
      <c r="H225" s="232"/>
      <c r="I225" s="232"/>
      <c r="J225" s="232"/>
      <c r="K225" s="232"/>
      <c r="L225" s="232"/>
      <c r="M225" s="232"/>
      <c r="N225" s="232"/>
      <c r="O225" s="232"/>
      <c r="P225" s="232"/>
      <c r="Q225" s="232"/>
      <c r="R225" s="232"/>
      <c r="S225" s="232"/>
      <c r="T225" s="232"/>
      <c r="U225" s="232"/>
      <c r="V225" s="15"/>
      <c r="W225" s="15"/>
      <c r="X225" s="15"/>
      <c r="Y225" s="15"/>
      <c r="Z225" s="15"/>
      <c r="AA225" s="15"/>
    </row>
    <row r="226" spans="1:27" s="25" customFormat="1" ht="12" customHeight="1" x14ac:dyDescent="0.2">
      <c r="A226" s="232"/>
      <c r="B226" s="250"/>
      <c r="C226" s="286"/>
      <c r="D226" s="232"/>
      <c r="E226" s="232"/>
      <c r="F226" s="232"/>
      <c r="G226" s="232"/>
      <c r="H226" s="232"/>
      <c r="I226" s="232"/>
      <c r="J226" s="232"/>
      <c r="K226" s="232"/>
      <c r="L226" s="232"/>
      <c r="M226" s="232"/>
      <c r="N226" s="232"/>
      <c r="O226" s="232"/>
      <c r="P226" s="232"/>
      <c r="Q226" s="232"/>
      <c r="R226" s="232"/>
      <c r="S226" s="232"/>
      <c r="T226" s="232"/>
      <c r="U226" s="232"/>
      <c r="V226" s="15"/>
      <c r="W226" s="15"/>
      <c r="X226" s="15"/>
      <c r="Y226" s="15"/>
      <c r="Z226" s="15"/>
      <c r="AA226" s="15"/>
    </row>
    <row r="227" spans="1:27" s="25" customFormat="1" ht="12" customHeight="1" x14ac:dyDescent="0.2">
      <c r="A227" s="232"/>
      <c r="B227" s="250"/>
      <c r="C227" s="286"/>
      <c r="D227" s="232"/>
      <c r="E227" s="232"/>
      <c r="F227" s="232"/>
      <c r="G227" s="232"/>
      <c r="H227" s="232"/>
      <c r="I227" s="232"/>
      <c r="J227" s="232"/>
      <c r="K227" s="232"/>
      <c r="L227" s="232"/>
      <c r="M227" s="232"/>
      <c r="N227" s="232"/>
      <c r="O227" s="232"/>
      <c r="P227" s="232"/>
      <c r="Q227" s="232"/>
      <c r="R227" s="232"/>
      <c r="S227" s="232"/>
      <c r="T227" s="232"/>
      <c r="U227" s="232"/>
      <c r="V227" s="15"/>
      <c r="W227" s="15"/>
      <c r="X227" s="15"/>
      <c r="Y227" s="15"/>
      <c r="Z227" s="15"/>
      <c r="AA227" s="15"/>
    </row>
    <row r="228" spans="1:27" s="25" customFormat="1" ht="12" customHeight="1" x14ac:dyDescent="0.2">
      <c r="A228" s="232"/>
      <c r="B228" s="250"/>
      <c r="C228" s="286"/>
      <c r="D228" s="232"/>
      <c r="E228" s="232"/>
      <c r="F228" s="232"/>
      <c r="G228" s="232"/>
      <c r="H228" s="232"/>
      <c r="I228" s="232"/>
      <c r="J228" s="232"/>
      <c r="K228" s="232"/>
      <c r="L228" s="232"/>
      <c r="M228" s="232"/>
      <c r="N228" s="232"/>
      <c r="O228" s="232"/>
      <c r="P228" s="232"/>
      <c r="Q228" s="232"/>
      <c r="R228" s="232"/>
      <c r="S228" s="232"/>
      <c r="T228" s="232"/>
      <c r="U228" s="232"/>
      <c r="V228" s="15"/>
      <c r="W228" s="15"/>
      <c r="X228" s="15"/>
      <c r="Y228" s="15"/>
      <c r="Z228" s="15"/>
      <c r="AA228" s="15"/>
    </row>
    <row r="229" spans="1:27" s="25" customFormat="1" ht="12" customHeight="1" x14ac:dyDescent="0.2">
      <c r="A229" s="232"/>
      <c r="B229" s="250"/>
      <c r="C229" s="286"/>
      <c r="D229" s="232"/>
      <c r="E229" s="232"/>
      <c r="F229" s="232"/>
      <c r="G229" s="232"/>
      <c r="H229" s="232"/>
      <c r="I229" s="232"/>
      <c r="J229" s="232"/>
      <c r="K229" s="232"/>
      <c r="L229" s="232"/>
      <c r="M229" s="232"/>
      <c r="N229" s="232"/>
      <c r="O229" s="232"/>
      <c r="P229" s="232"/>
      <c r="Q229" s="232"/>
      <c r="R229" s="232"/>
      <c r="S229" s="232"/>
      <c r="T229" s="232"/>
      <c r="U229" s="232"/>
      <c r="V229" s="15"/>
      <c r="W229" s="15"/>
      <c r="X229" s="15"/>
      <c r="Y229" s="15"/>
      <c r="Z229" s="15"/>
      <c r="AA229" s="15"/>
    </row>
    <row r="230" spans="1:27" s="25" customFormat="1" ht="12" customHeight="1" x14ac:dyDescent="0.2">
      <c r="A230" s="232"/>
      <c r="B230" s="250"/>
      <c r="C230" s="286"/>
      <c r="D230" s="232"/>
      <c r="E230" s="232"/>
      <c r="F230" s="232"/>
      <c r="G230" s="232"/>
      <c r="H230" s="232"/>
      <c r="I230" s="232"/>
      <c r="J230" s="232"/>
      <c r="K230" s="232"/>
      <c r="L230" s="232"/>
      <c r="M230" s="232"/>
      <c r="N230" s="232"/>
      <c r="O230" s="232"/>
      <c r="P230" s="232"/>
      <c r="Q230" s="232"/>
      <c r="R230" s="232"/>
      <c r="S230" s="232"/>
      <c r="T230" s="232"/>
      <c r="U230" s="232"/>
      <c r="V230" s="15"/>
      <c r="W230" s="15"/>
      <c r="X230" s="15"/>
      <c r="Y230" s="15"/>
      <c r="Z230" s="15"/>
      <c r="AA230" s="15"/>
    </row>
    <row r="231" spans="1:27" s="25" customFormat="1" ht="12" customHeight="1" x14ac:dyDescent="0.2">
      <c r="A231" s="232"/>
      <c r="B231" s="250"/>
      <c r="C231" s="286"/>
      <c r="D231" s="232"/>
      <c r="E231" s="232"/>
      <c r="F231" s="232"/>
      <c r="G231" s="232"/>
      <c r="H231" s="232"/>
      <c r="I231" s="232"/>
      <c r="J231" s="232"/>
      <c r="K231" s="232"/>
      <c r="L231" s="232"/>
      <c r="M231" s="232"/>
      <c r="N231" s="232"/>
      <c r="O231" s="232"/>
      <c r="P231" s="232"/>
      <c r="Q231" s="232"/>
      <c r="R231" s="232"/>
      <c r="S231" s="232"/>
      <c r="T231" s="232"/>
      <c r="U231" s="232"/>
      <c r="V231" s="15"/>
      <c r="W231" s="15"/>
      <c r="X231" s="15"/>
      <c r="Y231" s="15"/>
      <c r="Z231" s="15"/>
      <c r="AA231" s="15"/>
    </row>
    <row r="232" spans="1:27" s="25" customFormat="1" ht="12" customHeight="1" x14ac:dyDescent="0.2">
      <c r="A232" s="232"/>
      <c r="B232" s="250"/>
      <c r="C232" s="286"/>
      <c r="D232" s="232"/>
      <c r="E232" s="232"/>
      <c r="F232" s="232"/>
      <c r="G232" s="232"/>
      <c r="H232" s="232"/>
      <c r="I232" s="232"/>
      <c r="J232" s="232"/>
      <c r="K232" s="232"/>
      <c r="L232" s="232"/>
      <c r="M232" s="232"/>
      <c r="N232" s="232"/>
      <c r="O232" s="232"/>
      <c r="P232" s="232"/>
      <c r="Q232" s="232"/>
      <c r="R232" s="232"/>
      <c r="S232" s="232"/>
      <c r="T232" s="232"/>
      <c r="U232" s="232"/>
      <c r="V232" s="15"/>
      <c r="W232" s="15"/>
      <c r="X232" s="15"/>
      <c r="Y232" s="15"/>
      <c r="Z232" s="15"/>
      <c r="AA232" s="15"/>
    </row>
    <row r="233" spans="1:27" s="25" customFormat="1" ht="12" customHeight="1" x14ac:dyDescent="0.2">
      <c r="A233" s="232"/>
      <c r="B233" s="250"/>
      <c r="C233" s="286"/>
      <c r="D233" s="232"/>
      <c r="E233" s="232"/>
      <c r="F233" s="232"/>
      <c r="G233" s="232"/>
      <c r="H233" s="232"/>
      <c r="I233" s="232"/>
      <c r="J233" s="232"/>
      <c r="K233" s="232"/>
      <c r="L233" s="232"/>
      <c r="M233" s="232"/>
      <c r="N233" s="232"/>
      <c r="O233" s="232"/>
      <c r="P233" s="232"/>
      <c r="Q233" s="232"/>
      <c r="R233" s="232"/>
      <c r="S233" s="232"/>
      <c r="T233" s="232"/>
      <c r="U233" s="232"/>
      <c r="V233" s="15"/>
      <c r="W233" s="15"/>
      <c r="X233" s="15"/>
      <c r="Y233" s="15"/>
      <c r="Z233" s="15"/>
      <c r="AA233" s="15"/>
    </row>
    <row r="234" spans="1:27" s="25" customFormat="1" ht="12" customHeight="1" x14ac:dyDescent="0.2">
      <c r="A234" s="232"/>
      <c r="B234" s="250"/>
      <c r="C234" s="286"/>
      <c r="D234" s="232"/>
      <c r="E234" s="232"/>
      <c r="F234" s="232"/>
      <c r="G234" s="232"/>
      <c r="H234" s="232"/>
      <c r="I234" s="232"/>
      <c r="J234" s="232"/>
      <c r="K234" s="232"/>
      <c r="L234" s="232"/>
      <c r="M234" s="232"/>
      <c r="N234" s="232"/>
      <c r="O234" s="232"/>
      <c r="P234" s="232"/>
      <c r="Q234" s="232"/>
      <c r="R234" s="232"/>
      <c r="S234" s="232"/>
      <c r="T234" s="232"/>
      <c r="U234" s="232"/>
      <c r="V234" s="15"/>
      <c r="W234" s="15"/>
      <c r="X234" s="15"/>
      <c r="Y234" s="15"/>
      <c r="Z234" s="15"/>
      <c r="AA234" s="15"/>
    </row>
    <row r="235" spans="1:27" s="25" customFormat="1" ht="12" customHeight="1" x14ac:dyDescent="0.2">
      <c r="A235" s="232"/>
      <c r="B235" s="250"/>
      <c r="C235" s="286"/>
      <c r="D235" s="232"/>
      <c r="E235" s="232"/>
      <c r="F235" s="232"/>
      <c r="G235" s="232"/>
      <c r="H235" s="232"/>
      <c r="I235" s="232"/>
      <c r="J235" s="232"/>
      <c r="K235" s="232"/>
      <c r="L235" s="232"/>
      <c r="M235" s="232"/>
      <c r="N235" s="232"/>
      <c r="O235" s="232"/>
      <c r="P235" s="232"/>
      <c r="Q235" s="232"/>
      <c r="R235" s="232"/>
      <c r="S235" s="232"/>
      <c r="T235" s="232"/>
      <c r="U235" s="232"/>
      <c r="V235" s="15"/>
      <c r="W235" s="15"/>
      <c r="X235" s="15"/>
      <c r="Y235" s="15"/>
      <c r="Z235" s="15"/>
      <c r="AA235" s="15"/>
    </row>
    <row r="236" spans="1:27" s="25" customFormat="1" ht="12" customHeight="1" x14ac:dyDescent="0.2">
      <c r="A236" s="232"/>
      <c r="B236" s="250"/>
      <c r="C236" s="286"/>
      <c r="D236" s="232"/>
      <c r="E236" s="232"/>
      <c r="F236" s="232"/>
      <c r="G236" s="232"/>
      <c r="H236" s="232"/>
      <c r="I236" s="232"/>
      <c r="J236" s="232"/>
      <c r="K236" s="232"/>
      <c r="L236" s="232"/>
      <c r="M236" s="232"/>
      <c r="N236" s="232"/>
      <c r="O236" s="232"/>
      <c r="P236" s="232"/>
      <c r="Q236" s="232"/>
      <c r="R236" s="232"/>
      <c r="S236" s="232"/>
      <c r="T236" s="232"/>
      <c r="U236" s="232"/>
      <c r="V236" s="15"/>
      <c r="W236" s="15"/>
      <c r="X236" s="15"/>
      <c r="Y236" s="15"/>
      <c r="Z236" s="15"/>
      <c r="AA236" s="15"/>
    </row>
    <row r="237" spans="1:27" s="25" customFormat="1" ht="12" customHeight="1" x14ac:dyDescent="0.2">
      <c r="A237" s="232"/>
      <c r="B237" s="250"/>
      <c r="C237" s="286"/>
      <c r="D237" s="232"/>
      <c r="E237" s="232"/>
      <c r="F237" s="232"/>
      <c r="G237" s="232"/>
      <c r="H237" s="232"/>
      <c r="I237" s="232"/>
      <c r="J237" s="232"/>
      <c r="K237" s="232"/>
      <c r="L237" s="232"/>
      <c r="M237" s="232"/>
      <c r="N237" s="232"/>
      <c r="O237" s="232"/>
      <c r="P237" s="232"/>
      <c r="Q237" s="232"/>
      <c r="R237" s="232"/>
      <c r="S237" s="232"/>
      <c r="T237" s="232"/>
      <c r="U237" s="232"/>
      <c r="V237" s="15"/>
      <c r="W237" s="15"/>
      <c r="X237" s="15"/>
      <c r="Y237" s="15"/>
      <c r="Z237" s="15"/>
      <c r="AA237" s="15"/>
    </row>
    <row r="238" spans="1:27" s="25" customFormat="1" ht="12" customHeight="1" x14ac:dyDescent="0.2">
      <c r="A238" s="232"/>
      <c r="B238" s="250"/>
      <c r="C238" s="286"/>
      <c r="D238" s="232"/>
      <c r="E238" s="232"/>
      <c r="F238" s="232"/>
      <c r="G238" s="232"/>
      <c r="H238" s="232"/>
      <c r="I238" s="232"/>
      <c r="J238" s="232"/>
      <c r="K238" s="232"/>
      <c r="L238" s="232"/>
      <c r="M238" s="232"/>
      <c r="N238" s="232"/>
      <c r="O238" s="232"/>
      <c r="P238" s="232"/>
      <c r="Q238" s="232"/>
      <c r="R238" s="232"/>
      <c r="S238" s="232"/>
      <c r="T238" s="232"/>
      <c r="U238" s="232"/>
      <c r="V238" s="15"/>
      <c r="W238" s="15"/>
      <c r="X238" s="15"/>
      <c r="Y238" s="15"/>
      <c r="Z238" s="15"/>
      <c r="AA238" s="15"/>
    </row>
    <row r="239" spans="1:27" s="25" customFormat="1" ht="12" customHeight="1" x14ac:dyDescent="0.2">
      <c r="A239" s="232"/>
      <c r="B239" s="250"/>
      <c r="C239" s="286"/>
      <c r="D239" s="232"/>
      <c r="E239" s="232"/>
      <c r="F239" s="232"/>
      <c r="G239" s="232"/>
      <c r="H239" s="232"/>
      <c r="I239" s="232"/>
      <c r="J239" s="232"/>
      <c r="K239" s="232"/>
      <c r="L239" s="232"/>
      <c r="M239" s="232"/>
      <c r="N239" s="232"/>
      <c r="O239" s="232"/>
      <c r="P239" s="232"/>
      <c r="Q239" s="232"/>
      <c r="R239" s="232"/>
      <c r="S239" s="232"/>
      <c r="T239" s="232"/>
      <c r="U239" s="232"/>
      <c r="V239" s="15"/>
      <c r="W239" s="15"/>
      <c r="X239" s="15"/>
      <c r="Y239" s="15"/>
      <c r="Z239" s="15"/>
      <c r="AA239" s="15"/>
    </row>
    <row r="240" spans="1:27" s="25" customFormat="1" ht="12" customHeight="1" x14ac:dyDescent="0.2">
      <c r="A240" s="232"/>
      <c r="B240" s="250"/>
      <c r="C240" s="286"/>
      <c r="D240" s="232"/>
      <c r="E240" s="232"/>
      <c r="F240" s="232"/>
      <c r="G240" s="232"/>
      <c r="H240" s="232"/>
      <c r="I240" s="232"/>
      <c r="J240" s="232"/>
      <c r="K240" s="232"/>
      <c r="L240" s="232"/>
      <c r="M240" s="232"/>
      <c r="N240" s="232"/>
      <c r="O240" s="232"/>
      <c r="P240" s="232"/>
      <c r="Q240" s="232"/>
      <c r="R240" s="232"/>
      <c r="S240" s="232"/>
      <c r="T240" s="232"/>
      <c r="U240" s="232"/>
      <c r="V240" s="15"/>
      <c r="W240" s="15"/>
      <c r="X240" s="15"/>
      <c r="Y240" s="15"/>
      <c r="Z240" s="15"/>
      <c r="AA240" s="15"/>
    </row>
    <row r="241" spans="1:27" s="25" customFormat="1" ht="12" customHeight="1" x14ac:dyDescent="0.2">
      <c r="A241" s="232"/>
      <c r="B241" s="250"/>
      <c r="C241" s="286"/>
      <c r="D241" s="232"/>
      <c r="E241" s="232"/>
      <c r="F241" s="232"/>
      <c r="G241" s="232"/>
      <c r="H241" s="232"/>
      <c r="I241" s="232"/>
      <c r="J241" s="232"/>
      <c r="K241" s="232"/>
      <c r="L241" s="232"/>
      <c r="M241" s="232"/>
      <c r="N241" s="232"/>
      <c r="O241" s="232"/>
      <c r="P241" s="232"/>
      <c r="Q241" s="232"/>
      <c r="R241" s="232"/>
      <c r="S241" s="232"/>
      <c r="T241" s="232"/>
      <c r="U241" s="232"/>
      <c r="V241" s="15"/>
      <c r="W241" s="15"/>
      <c r="X241" s="15"/>
      <c r="Y241" s="15"/>
      <c r="Z241" s="15"/>
      <c r="AA241" s="15"/>
    </row>
    <row r="242" spans="1:27" s="25" customFormat="1" ht="12" customHeight="1" x14ac:dyDescent="0.2">
      <c r="A242" s="232"/>
      <c r="B242" s="250"/>
      <c r="C242" s="286"/>
      <c r="D242" s="232"/>
      <c r="E242" s="232"/>
      <c r="F242" s="232"/>
      <c r="G242" s="232"/>
      <c r="H242" s="232"/>
      <c r="I242" s="232"/>
      <c r="J242" s="232"/>
      <c r="K242" s="232"/>
      <c r="L242" s="232"/>
      <c r="M242" s="232"/>
      <c r="N242" s="232"/>
      <c r="O242" s="232"/>
      <c r="P242" s="232"/>
      <c r="Q242" s="232"/>
      <c r="R242" s="232"/>
      <c r="S242" s="232"/>
      <c r="T242" s="232"/>
      <c r="U242" s="232"/>
      <c r="V242" s="15"/>
      <c r="W242" s="15"/>
      <c r="X242" s="15"/>
      <c r="Y242" s="15"/>
      <c r="Z242" s="15"/>
      <c r="AA242" s="15"/>
    </row>
    <row r="243" spans="1:27" s="25" customFormat="1" ht="12" customHeight="1" x14ac:dyDescent="0.2">
      <c r="A243" s="232"/>
      <c r="B243" s="250"/>
      <c r="C243" s="286"/>
      <c r="D243" s="232"/>
      <c r="E243" s="232"/>
      <c r="F243" s="232"/>
      <c r="G243" s="232"/>
      <c r="H243" s="232"/>
      <c r="I243" s="232"/>
      <c r="J243" s="232"/>
      <c r="K243" s="232"/>
      <c r="L243" s="232"/>
      <c r="M243" s="232"/>
      <c r="N243" s="232"/>
      <c r="O243" s="232"/>
      <c r="P243" s="232"/>
      <c r="Q243" s="232"/>
      <c r="R243" s="232"/>
      <c r="S243" s="232"/>
      <c r="T243" s="232"/>
      <c r="U243" s="232"/>
      <c r="V243" s="15"/>
      <c r="W243" s="15"/>
      <c r="X243" s="15"/>
      <c r="Y243" s="15"/>
      <c r="Z243" s="15"/>
      <c r="AA243" s="15"/>
    </row>
    <row r="244" spans="1:27" s="25" customFormat="1" ht="12" customHeight="1" x14ac:dyDescent="0.2">
      <c r="A244" s="232"/>
      <c r="B244" s="250"/>
      <c r="C244" s="286"/>
      <c r="D244" s="232"/>
      <c r="E244" s="232"/>
      <c r="F244" s="232"/>
      <c r="G244" s="232"/>
      <c r="H244" s="232"/>
      <c r="I244" s="232"/>
      <c r="J244" s="232"/>
      <c r="K244" s="232"/>
      <c r="L244" s="232"/>
      <c r="M244" s="232"/>
      <c r="N244" s="232"/>
      <c r="O244" s="232"/>
      <c r="P244" s="232"/>
      <c r="Q244" s="232"/>
      <c r="R244" s="232"/>
      <c r="S244" s="232"/>
      <c r="T244" s="232"/>
      <c r="U244" s="232"/>
      <c r="V244" s="15"/>
      <c r="W244" s="15"/>
      <c r="X244" s="15"/>
      <c r="Y244" s="15"/>
      <c r="Z244" s="15"/>
      <c r="AA244" s="15"/>
    </row>
    <row r="245" spans="1:27" s="25" customFormat="1" ht="12" customHeight="1" x14ac:dyDescent="0.2">
      <c r="A245" s="232"/>
      <c r="B245" s="250"/>
      <c r="C245" s="286"/>
      <c r="D245" s="232"/>
      <c r="E245" s="232"/>
      <c r="F245" s="232"/>
      <c r="G245" s="232"/>
      <c r="H245" s="232"/>
      <c r="I245" s="232"/>
      <c r="J245" s="232"/>
      <c r="K245" s="232"/>
      <c r="L245" s="232"/>
      <c r="M245" s="232"/>
      <c r="N245" s="232"/>
      <c r="O245" s="232"/>
      <c r="P245" s="232"/>
      <c r="Q245" s="232"/>
      <c r="R245" s="232"/>
      <c r="S245" s="232"/>
      <c r="T245" s="232"/>
      <c r="U245" s="232"/>
      <c r="V245" s="15"/>
      <c r="W245" s="15"/>
      <c r="X245" s="15"/>
      <c r="Y245" s="15"/>
      <c r="Z245" s="15"/>
      <c r="AA245" s="15"/>
    </row>
    <row r="246" spans="1:27" s="25" customFormat="1" ht="12" customHeight="1" x14ac:dyDescent="0.2">
      <c r="A246" s="232"/>
      <c r="B246" s="250"/>
      <c r="C246" s="286"/>
      <c r="D246" s="232"/>
      <c r="E246" s="232"/>
      <c r="F246" s="232"/>
      <c r="G246" s="232"/>
      <c r="H246" s="232"/>
      <c r="I246" s="232"/>
      <c r="J246" s="232"/>
      <c r="K246" s="232"/>
      <c r="L246" s="232"/>
      <c r="M246" s="232"/>
      <c r="N246" s="232"/>
      <c r="O246" s="232"/>
      <c r="P246" s="232"/>
      <c r="Q246" s="232"/>
      <c r="R246" s="232"/>
      <c r="S246" s="232"/>
      <c r="T246" s="232"/>
      <c r="U246" s="232"/>
      <c r="V246" s="15"/>
      <c r="W246" s="15"/>
      <c r="X246" s="15"/>
      <c r="Y246" s="15"/>
      <c r="Z246" s="15"/>
      <c r="AA246" s="15"/>
    </row>
    <row r="247" spans="1:27" s="25" customFormat="1" ht="12" customHeight="1" x14ac:dyDescent="0.2">
      <c r="A247" s="232"/>
      <c r="B247" s="250"/>
      <c r="C247" s="286"/>
      <c r="D247" s="232"/>
      <c r="E247" s="232"/>
      <c r="F247" s="232"/>
      <c r="G247" s="232"/>
      <c r="H247" s="232"/>
      <c r="I247" s="232"/>
      <c r="J247" s="232"/>
      <c r="K247" s="232"/>
      <c r="L247" s="232"/>
      <c r="M247" s="232"/>
      <c r="N247" s="232"/>
      <c r="O247" s="232"/>
      <c r="P247" s="232"/>
      <c r="Q247" s="232"/>
      <c r="R247" s="232"/>
      <c r="S247" s="232"/>
      <c r="T247" s="232"/>
      <c r="U247" s="232"/>
      <c r="V247" s="15"/>
      <c r="W247" s="15"/>
      <c r="X247" s="15"/>
      <c r="Y247" s="15"/>
      <c r="Z247" s="15"/>
      <c r="AA247" s="15"/>
    </row>
    <row r="248" spans="1:27" s="25" customFormat="1" ht="12" customHeight="1" x14ac:dyDescent="0.2">
      <c r="A248" s="232"/>
      <c r="B248" s="250"/>
      <c r="C248" s="286"/>
      <c r="D248" s="232"/>
      <c r="E248" s="232"/>
      <c r="F248" s="232"/>
      <c r="G248" s="232"/>
      <c r="H248" s="232"/>
      <c r="I248" s="232"/>
      <c r="J248" s="232"/>
      <c r="K248" s="232"/>
      <c r="L248" s="232"/>
      <c r="M248" s="232"/>
      <c r="N248" s="232"/>
      <c r="O248" s="232"/>
      <c r="P248" s="232"/>
      <c r="Q248" s="232"/>
      <c r="R248" s="232"/>
      <c r="S248" s="232"/>
      <c r="T248" s="232"/>
      <c r="U248" s="232"/>
      <c r="V248" s="15"/>
      <c r="W248" s="15"/>
      <c r="X248" s="15"/>
      <c r="Y248" s="15"/>
      <c r="Z248" s="15"/>
      <c r="AA248" s="15"/>
    </row>
    <row r="249" spans="1:27" s="25" customFormat="1" ht="12" customHeight="1" x14ac:dyDescent="0.2">
      <c r="A249" s="232"/>
      <c r="B249" s="250"/>
      <c r="C249" s="286"/>
      <c r="D249" s="232"/>
      <c r="E249" s="232"/>
      <c r="F249" s="232"/>
      <c r="G249" s="232"/>
      <c r="H249" s="232"/>
      <c r="I249" s="232"/>
      <c r="J249" s="232"/>
      <c r="K249" s="232"/>
      <c r="L249" s="232"/>
      <c r="M249" s="232"/>
      <c r="N249" s="232"/>
      <c r="O249" s="232"/>
      <c r="P249" s="232"/>
      <c r="Q249" s="232"/>
      <c r="R249" s="232"/>
      <c r="S249" s="232"/>
      <c r="T249" s="232"/>
      <c r="U249" s="232"/>
      <c r="V249" s="15"/>
      <c r="W249" s="15"/>
      <c r="X249" s="15"/>
      <c r="Y249" s="15"/>
      <c r="Z249" s="15"/>
      <c r="AA249" s="15"/>
    </row>
    <row r="250" spans="1:27" s="25" customFormat="1" ht="12" customHeight="1" x14ac:dyDescent="0.2">
      <c r="A250" s="232"/>
      <c r="B250" s="250"/>
      <c r="C250" s="286"/>
      <c r="D250" s="232"/>
      <c r="E250" s="232"/>
      <c r="F250" s="232"/>
      <c r="G250" s="232"/>
      <c r="H250" s="232"/>
      <c r="I250" s="232"/>
      <c r="J250" s="232"/>
      <c r="K250" s="232"/>
      <c r="L250" s="232"/>
      <c r="M250" s="232"/>
      <c r="N250" s="232"/>
      <c r="O250" s="232"/>
      <c r="P250" s="232"/>
      <c r="Q250" s="232"/>
      <c r="R250" s="232"/>
      <c r="S250" s="232"/>
      <c r="T250" s="232"/>
      <c r="U250" s="232"/>
      <c r="V250" s="15"/>
      <c r="W250" s="15"/>
      <c r="X250" s="15"/>
      <c r="Y250" s="15"/>
      <c r="Z250" s="15"/>
      <c r="AA250" s="15"/>
    </row>
    <row r="251" spans="1:27" s="25" customFormat="1" ht="12" customHeight="1" x14ac:dyDescent="0.2">
      <c r="A251" s="232"/>
      <c r="B251" s="250"/>
      <c r="C251" s="286"/>
      <c r="D251" s="232"/>
      <c r="E251" s="232"/>
      <c r="F251" s="232"/>
      <c r="G251" s="232"/>
      <c r="H251" s="232"/>
      <c r="I251" s="232"/>
      <c r="J251" s="232"/>
      <c r="K251" s="232"/>
      <c r="L251" s="232"/>
      <c r="M251" s="232"/>
      <c r="N251" s="232"/>
      <c r="O251" s="232"/>
      <c r="P251" s="232"/>
      <c r="Q251" s="232"/>
      <c r="R251" s="232"/>
      <c r="S251" s="232"/>
      <c r="T251" s="232"/>
      <c r="U251" s="232"/>
      <c r="V251" s="15"/>
      <c r="W251" s="15"/>
      <c r="X251" s="15"/>
      <c r="Y251" s="15"/>
      <c r="Z251" s="15"/>
      <c r="AA251" s="15"/>
    </row>
    <row r="252" spans="1:27" s="25" customFormat="1" ht="12" customHeight="1" x14ac:dyDescent="0.2">
      <c r="A252" s="232"/>
      <c r="B252" s="250"/>
      <c r="C252" s="286"/>
      <c r="D252" s="232"/>
      <c r="E252" s="232"/>
      <c r="F252" s="232"/>
      <c r="G252" s="232"/>
      <c r="H252" s="232"/>
      <c r="I252" s="232"/>
      <c r="J252" s="232"/>
      <c r="K252" s="232"/>
      <c r="L252" s="232"/>
      <c r="M252" s="232"/>
      <c r="N252" s="232"/>
      <c r="O252" s="232"/>
      <c r="P252" s="232"/>
      <c r="Q252" s="232"/>
      <c r="R252" s="232"/>
      <c r="S252" s="232"/>
      <c r="T252" s="232"/>
      <c r="U252" s="232"/>
      <c r="V252" s="15"/>
      <c r="W252" s="15"/>
      <c r="X252" s="15"/>
      <c r="Y252" s="15"/>
      <c r="Z252" s="15"/>
      <c r="AA252" s="15"/>
    </row>
    <row r="253" spans="1:27" s="25" customFormat="1" ht="12" customHeight="1" x14ac:dyDescent="0.2">
      <c r="A253" s="232"/>
      <c r="B253" s="250"/>
      <c r="C253" s="286"/>
      <c r="D253" s="232"/>
      <c r="E253" s="232"/>
      <c r="F253" s="232"/>
      <c r="G253" s="232"/>
      <c r="H253" s="232"/>
      <c r="I253" s="232"/>
      <c r="J253" s="232"/>
      <c r="K253" s="232"/>
      <c r="L253" s="232"/>
      <c r="M253" s="232"/>
      <c r="N253" s="232"/>
      <c r="O253" s="232"/>
      <c r="P253" s="232"/>
      <c r="Q253" s="232"/>
      <c r="R253" s="232"/>
      <c r="S253" s="232"/>
      <c r="T253" s="232"/>
      <c r="U253" s="232"/>
      <c r="V253" s="15"/>
      <c r="W253" s="15"/>
      <c r="X253" s="15"/>
      <c r="Y253" s="15"/>
      <c r="Z253" s="15"/>
      <c r="AA253" s="15"/>
    </row>
    <row r="254" spans="1:27" s="25" customFormat="1" ht="12" customHeight="1" x14ac:dyDescent="0.2">
      <c r="A254" s="232"/>
      <c r="B254" s="250"/>
      <c r="C254" s="286"/>
      <c r="D254" s="232"/>
      <c r="E254" s="232"/>
      <c r="F254" s="232"/>
      <c r="G254" s="232"/>
      <c r="H254" s="232"/>
      <c r="I254" s="232"/>
      <c r="J254" s="232"/>
      <c r="K254" s="232"/>
      <c r="L254" s="232"/>
      <c r="M254" s="232"/>
      <c r="N254" s="232"/>
      <c r="O254" s="232"/>
      <c r="P254" s="232"/>
      <c r="Q254" s="232"/>
      <c r="R254" s="232"/>
      <c r="S254" s="232"/>
      <c r="T254" s="232"/>
      <c r="U254" s="232"/>
      <c r="V254" s="15"/>
      <c r="W254" s="15"/>
      <c r="X254" s="15"/>
      <c r="Y254" s="15"/>
      <c r="Z254" s="15"/>
      <c r="AA254" s="15"/>
    </row>
    <row r="255" spans="1:27" s="25" customFormat="1" ht="12" customHeight="1" x14ac:dyDescent="0.2">
      <c r="A255" s="232"/>
      <c r="B255" s="250"/>
      <c r="C255" s="286"/>
      <c r="D255" s="232"/>
      <c r="E255" s="232"/>
      <c r="F255" s="232"/>
      <c r="G255" s="232"/>
      <c r="H255" s="232"/>
      <c r="I255" s="232"/>
      <c r="J255" s="232"/>
      <c r="K255" s="232"/>
      <c r="L255" s="232"/>
      <c r="M255" s="232"/>
      <c r="N255" s="232"/>
      <c r="O255" s="232"/>
      <c r="P255" s="232"/>
      <c r="Q255" s="232"/>
      <c r="R255" s="232"/>
      <c r="S255" s="232"/>
      <c r="T255" s="232"/>
      <c r="U255" s="232"/>
      <c r="V255" s="15"/>
      <c r="W255" s="15"/>
      <c r="X255" s="15"/>
      <c r="Y255" s="15"/>
      <c r="Z255" s="15"/>
      <c r="AA255" s="15"/>
    </row>
    <row r="256" spans="1:27" s="25" customFormat="1" ht="12" customHeight="1" x14ac:dyDescent="0.2">
      <c r="A256" s="232"/>
      <c r="B256" s="250"/>
      <c r="C256" s="286"/>
      <c r="D256" s="232"/>
      <c r="E256" s="232"/>
      <c r="F256" s="232"/>
      <c r="G256" s="232"/>
      <c r="H256" s="232"/>
      <c r="I256" s="232"/>
      <c r="J256" s="232"/>
      <c r="K256" s="232"/>
      <c r="L256" s="232"/>
      <c r="M256" s="232"/>
      <c r="N256" s="232"/>
      <c r="O256" s="232"/>
      <c r="P256" s="232"/>
      <c r="Q256" s="232"/>
      <c r="R256" s="232"/>
      <c r="S256" s="232"/>
      <c r="T256" s="232"/>
      <c r="U256" s="232"/>
      <c r="V256" s="15"/>
      <c r="W256" s="15"/>
      <c r="X256" s="15"/>
      <c r="Y256" s="15"/>
      <c r="Z256" s="15"/>
      <c r="AA256" s="15"/>
    </row>
    <row r="257" spans="1:27" s="25" customFormat="1" ht="12" customHeight="1" x14ac:dyDescent="0.2">
      <c r="A257" s="232"/>
      <c r="B257" s="250"/>
      <c r="C257" s="286"/>
      <c r="D257" s="232"/>
      <c r="E257" s="232"/>
      <c r="F257" s="232"/>
      <c r="G257" s="232"/>
      <c r="H257" s="232"/>
      <c r="I257" s="232"/>
      <c r="J257" s="232"/>
      <c r="K257" s="232"/>
      <c r="L257" s="232"/>
      <c r="M257" s="232"/>
      <c r="N257" s="232"/>
      <c r="O257" s="232"/>
      <c r="P257" s="232"/>
      <c r="Q257" s="232"/>
      <c r="R257" s="232"/>
      <c r="S257" s="232"/>
      <c r="T257" s="232"/>
      <c r="U257" s="232"/>
      <c r="V257" s="15"/>
      <c r="W257" s="15"/>
      <c r="X257" s="15"/>
      <c r="Y257" s="15"/>
      <c r="Z257" s="15"/>
      <c r="AA257" s="15"/>
    </row>
    <row r="258" spans="1:27" s="25" customFormat="1" ht="12" customHeight="1" x14ac:dyDescent="0.2">
      <c r="A258" s="232"/>
      <c r="B258" s="250"/>
      <c r="C258" s="286"/>
      <c r="D258" s="232"/>
      <c r="E258" s="232"/>
      <c r="F258" s="232"/>
      <c r="G258" s="232"/>
      <c r="H258" s="232"/>
      <c r="I258" s="232"/>
      <c r="J258" s="232"/>
      <c r="K258" s="232"/>
      <c r="L258" s="232"/>
      <c r="M258" s="232"/>
      <c r="N258" s="232"/>
      <c r="O258" s="232"/>
      <c r="P258" s="232"/>
      <c r="Q258" s="232"/>
      <c r="R258" s="232"/>
      <c r="S258" s="232"/>
      <c r="T258" s="232"/>
      <c r="U258" s="232"/>
      <c r="V258" s="15"/>
      <c r="W258" s="15"/>
      <c r="X258" s="15"/>
      <c r="Y258" s="15"/>
      <c r="Z258" s="15"/>
      <c r="AA258" s="15"/>
    </row>
    <row r="259" spans="1:27" s="25" customFormat="1" ht="12" customHeight="1" x14ac:dyDescent="0.2">
      <c r="A259" s="232"/>
      <c r="B259" s="250"/>
      <c r="C259" s="286"/>
      <c r="D259" s="232"/>
      <c r="E259" s="232"/>
      <c r="F259" s="232"/>
      <c r="G259" s="232"/>
      <c r="H259" s="232"/>
      <c r="I259" s="232"/>
      <c r="J259" s="232"/>
      <c r="K259" s="232"/>
      <c r="L259" s="232"/>
      <c r="M259" s="232"/>
      <c r="N259" s="232"/>
      <c r="O259" s="232"/>
      <c r="P259" s="232"/>
      <c r="Q259" s="232"/>
      <c r="R259" s="232"/>
      <c r="S259" s="232"/>
      <c r="T259" s="232"/>
      <c r="U259" s="232"/>
      <c r="V259" s="15"/>
      <c r="W259" s="15"/>
      <c r="X259" s="15"/>
      <c r="Y259" s="15"/>
      <c r="Z259" s="15"/>
      <c r="AA259" s="15"/>
    </row>
    <row r="260" spans="1:27" s="25" customFormat="1" ht="12" customHeight="1" x14ac:dyDescent="0.2">
      <c r="A260" s="232"/>
      <c r="B260" s="250"/>
      <c r="C260" s="286"/>
      <c r="D260" s="232"/>
      <c r="E260" s="232"/>
      <c r="F260" s="232"/>
      <c r="G260" s="232"/>
      <c r="H260" s="232"/>
      <c r="I260" s="232"/>
      <c r="J260" s="232"/>
      <c r="K260" s="232"/>
      <c r="L260" s="232"/>
      <c r="M260" s="232"/>
      <c r="N260" s="232"/>
      <c r="O260" s="232"/>
      <c r="P260" s="232"/>
      <c r="Q260" s="232"/>
      <c r="R260" s="232"/>
      <c r="S260" s="232"/>
      <c r="T260" s="232"/>
      <c r="U260" s="232"/>
      <c r="V260" s="15"/>
      <c r="W260" s="15"/>
      <c r="X260" s="15"/>
      <c r="Y260" s="15"/>
      <c r="Z260" s="15"/>
      <c r="AA260" s="15"/>
    </row>
    <row r="261" spans="1:27" s="25" customFormat="1" ht="12" customHeight="1" x14ac:dyDescent="0.2">
      <c r="A261" s="232"/>
      <c r="B261" s="250"/>
      <c r="C261" s="286"/>
      <c r="D261" s="232"/>
      <c r="E261" s="232"/>
      <c r="F261" s="232"/>
      <c r="G261" s="232"/>
      <c r="H261" s="232"/>
      <c r="I261" s="232"/>
      <c r="J261" s="232"/>
      <c r="K261" s="232"/>
      <c r="L261" s="232"/>
      <c r="M261" s="232"/>
      <c r="N261" s="232"/>
      <c r="O261" s="232"/>
      <c r="P261" s="232"/>
      <c r="Q261" s="232"/>
      <c r="R261" s="232"/>
      <c r="S261" s="232"/>
      <c r="T261" s="232"/>
      <c r="U261" s="232"/>
      <c r="V261" s="15"/>
      <c r="W261" s="15"/>
      <c r="X261" s="15"/>
      <c r="Y261" s="15"/>
      <c r="Z261" s="15"/>
      <c r="AA261" s="15"/>
    </row>
    <row r="262" spans="1:27" s="25" customFormat="1" ht="12" customHeight="1" x14ac:dyDescent="0.2">
      <c r="A262" s="232"/>
      <c r="B262" s="250"/>
      <c r="C262" s="286"/>
      <c r="D262" s="232"/>
      <c r="E262" s="232"/>
      <c r="F262" s="232"/>
      <c r="G262" s="232"/>
      <c r="H262" s="232"/>
      <c r="I262" s="232"/>
      <c r="J262" s="232"/>
      <c r="K262" s="232"/>
      <c r="L262" s="232"/>
      <c r="M262" s="232"/>
      <c r="N262" s="232"/>
      <c r="O262" s="232"/>
      <c r="P262" s="232"/>
      <c r="Q262" s="232"/>
      <c r="R262" s="232"/>
      <c r="S262" s="232"/>
      <c r="T262" s="232"/>
      <c r="U262" s="232"/>
      <c r="V262" s="15"/>
      <c r="W262" s="15"/>
      <c r="X262" s="15"/>
      <c r="Y262" s="15"/>
      <c r="Z262" s="15"/>
      <c r="AA262" s="15"/>
    </row>
    <row r="263" spans="1:27" s="25" customFormat="1" ht="12" customHeight="1" x14ac:dyDescent="0.2">
      <c r="A263" s="232"/>
      <c r="B263" s="250"/>
      <c r="C263" s="286"/>
      <c r="D263" s="232"/>
      <c r="E263" s="232"/>
      <c r="F263" s="232"/>
      <c r="G263" s="232"/>
      <c r="H263" s="232"/>
      <c r="I263" s="232"/>
      <c r="J263" s="232"/>
      <c r="K263" s="232"/>
      <c r="L263" s="232"/>
      <c r="M263" s="232"/>
      <c r="N263" s="232"/>
      <c r="O263" s="232"/>
      <c r="P263" s="232"/>
      <c r="Q263" s="232"/>
      <c r="R263" s="232"/>
      <c r="S263" s="232"/>
      <c r="T263" s="232"/>
      <c r="U263" s="232"/>
      <c r="V263" s="15"/>
      <c r="W263" s="15"/>
      <c r="X263" s="15"/>
      <c r="Y263" s="15"/>
      <c r="Z263" s="15"/>
      <c r="AA263" s="15"/>
    </row>
    <row r="264" spans="1:27" s="25" customFormat="1" ht="12" customHeight="1" x14ac:dyDescent="0.2">
      <c r="A264" s="232"/>
      <c r="B264" s="250"/>
      <c r="C264" s="286"/>
      <c r="D264" s="232"/>
      <c r="E264" s="232"/>
      <c r="F264" s="232"/>
      <c r="G264" s="232"/>
      <c r="H264" s="232"/>
      <c r="I264" s="232"/>
      <c r="J264" s="232"/>
      <c r="K264" s="232"/>
      <c r="L264" s="232"/>
      <c r="M264" s="232"/>
      <c r="N264" s="232"/>
      <c r="O264" s="232"/>
      <c r="P264" s="232"/>
      <c r="Q264" s="232"/>
      <c r="R264" s="232"/>
      <c r="S264" s="232"/>
      <c r="T264" s="232"/>
      <c r="U264" s="232"/>
      <c r="V264" s="15"/>
      <c r="W264" s="15"/>
      <c r="X264" s="15"/>
      <c r="Y264" s="15"/>
      <c r="Z264" s="15"/>
      <c r="AA264" s="15"/>
    </row>
    <row r="265" spans="1:27" s="25" customFormat="1" ht="12" customHeight="1" x14ac:dyDescent="0.2">
      <c r="A265" s="232"/>
      <c r="B265" s="250"/>
      <c r="C265" s="286"/>
      <c r="D265" s="232"/>
      <c r="E265" s="232"/>
      <c r="F265" s="232"/>
      <c r="G265" s="232"/>
      <c r="H265" s="232"/>
      <c r="I265" s="232"/>
      <c r="J265" s="232"/>
      <c r="K265" s="232"/>
      <c r="L265" s="232"/>
      <c r="M265" s="232"/>
      <c r="N265" s="232"/>
      <c r="O265" s="232"/>
      <c r="P265" s="232"/>
      <c r="Q265" s="232"/>
      <c r="R265" s="232"/>
      <c r="S265" s="232"/>
      <c r="T265" s="232"/>
      <c r="U265" s="232"/>
      <c r="V265" s="15"/>
      <c r="W265" s="15"/>
      <c r="X265" s="15"/>
      <c r="Y265" s="15"/>
      <c r="Z265" s="15"/>
      <c r="AA265" s="15"/>
    </row>
    <row r="266" spans="1:27" s="25" customFormat="1" ht="12" customHeight="1" x14ac:dyDescent="0.2">
      <c r="A266" s="232"/>
      <c r="B266" s="250"/>
      <c r="C266" s="286"/>
      <c r="D266" s="232"/>
      <c r="E266" s="232"/>
      <c r="F266" s="232"/>
      <c r="G266" s="232"/>
      <c r="H266" s="232"/>
      <c r="I266" s="232"/>
      <c r="J266" s="232"/>
      <c r="K266" s="232"/>
      <c r="L266" s="232"/>
      <c r="M266" s="232"/>
      <c r="N266" s="232"/>
      <c r="O266" s="232"/>
      <c r="P266" s="232"/>
      <c r="Q266" s="232"/>
      <c r="R266" s="232"/>
      <c r="S266" s="232"/>
      <c r="T266" s="232"/>
      <c r="U266" s="232"/>
      <c r="V266" s="15"/>
      <c r="W266" s="15"/>
      <c r="X266" s="15"/>
      <c r="Y266" s="15"/>
      <c r="Z266" s="15"/>
      <c r="AA266" s="15"/>
    </row>
    <row r="267" spans="1:27" s="25" customFormat="1" ht="12" customHeight="1" x14ac:dyDescent="0.2">
      <c r="A267" s="232"/>
      <c r="B267" s="250"/>
      <c r="C267" s="286"/>
      <c r="D267" s="232"/>
      <c r="E267" s="232"/>
      <c r="F267" s="232"/>
      <c r="G267" s="232"/>
      <c r="H267" s="232"/>
      <c r="I267" s="232"/>
      <c r="J267" s="232"/>
      <c r="K267" s="232"/>
      <c r="L267" s="232"/>
      <c r="M267" s="232"/>
      <c r="N267" s="232"/>
      <c r="O267" s="232"/>
      <c r="P267" s="232"/>
      <c r="Q267" s="232"/>
      <c r="R267" s="232"/>
      <c r="S267" s="232"/>
      <c r="T267" s="232"/>
      <c r="U267" s="232"/>
      <c r="V267" s="15"/>
      <c r="W267" s="15"/>
      <c r="X267" s="15"/>
      <c r="Y267" s="15"/>
      <c r="Z267" s="15"/>
      <c r="AA267" s="15"/>
    </row>
    <row r="268" spans="1:27" s="25" customFormat="1" ht="12" customHeight="1" x14ac:dyDescent="0.2">
      <c r="A268" s="232"/>
      <c r="B268" s="250"/>
      <c r="C268" s="286"/>
      <c r="D268" s="232"/>
      <c r="E268" s="232"/>
      <c r="F268" s="232"/>
      <c r="G268" s="232"/>
      <c r="H268" s="232"/>
      <c r="I268" s="232"/>
      <c r="J268" s="232"/>
      <c r="K268" s="232"/>
      <c r="L268" s="232"/>
      <c r="M268" s="232"/>
      <c r="N268" s="232"/>
      <c r="O268" s="232"/>
      <c r="P268" s="232"/>
      <c r="Q268" s="232"/>
      <c r="R268" s="232"/>
      <c r="S268" s="232"/>
      <c r="T268" s="232"/>
      <c r="U268" s="232"/>
      <c r="V268" s="15"/>
      <c r="W268" s="15"/>
      <c r="X268" s="15"/>
      <c r="Y268" s="15"/>
      <c r="Z268" s="15"/>
      <c r="AA268" s="15"/>
    </row>
    <row r="269" spans="1:27" s="25" customFormat="1" ht="12" customHeight="1" x14ac:dyDescent="0.2">
      <c r="A269" s="232"/>
      <c r="B269" s="250"/>
      <c r="C269" s="286"/>
      <c r="D269" s="232"/>
      <c r="E269" s="232"/>
      <c r="F269" s="232"/>
      <c r="G269" s="232"/>
      <c r="H269" s="232"/>
      <c r="I269" s="232"/>
      <c r="J269" s="232"/>
      <c r="K269" s="232"/>
      <c r="L269" s="232"/>
      <c r="M269" s="232"/>
      <c r="N269" s="232"/>
      <c r="O269" s="232"/>
      <c r="P269" s="232"/>
      <c r="Q269" s="232"/>
      <c r="R269" s="232"/>
      <c r="S269" s="232"/>
      <c r="T269" s="232"/>
      <c r="U269" s="232"/>
      <c r="V269" s="15"/>
      <c r="W269" s="15"/>
      <c r="X269" s="15"/>
      <c r="Y269" s="15"/>
      <c r="Z269" s="15"/>
      <c r="AA269" s="15"/>
    </row>
    <row r="270" spans="1:27" s="25" customFormat="1" ht="12" customHeight="1" x14ac:dyDescent="0.2">
      <c r="A270" s="232"/>
      <c r="B270" s="250"/>
      <c r="C270" s="286"/>
      <c r="D270" s="232"/>
      <c r="E270" s="232"/>
      <c r="F270" s="232"/>
      <c r="G270" s="232"/>
      <c r="H270" s="232"/>
      <c r="I270" s="232"/>
      <c r="J270" s="232"/>
      <c r="K270" s="232"/>
      <c r="L270" s="232"/>
      <c r="M270" s="232"/>
      <c r="N270" s="232"/>
      <c r="O270" s="232"/>
      <c r="P270" s="232"/>
      <c r="Q270" s="232"/>
      <c r="R270" s="232"/>
      <c r="S270" s="232"/>
      <c r="T270" s="232"/>
      <c r="U270" s="232"/>
      <c r="V270" s="15"/>
      <c r="W270" s="15"/>
      <c r="X270" s="15"/>
      <c r="Y270" s="15"/>
      <c r="Z270" s="15"/>
      <c r="AA270" s="15"/>
    </row>
    <row r="271" spans="1:27" s="25" customFormat="1" ht="12" customHeight="1" x14ac:dyDescent="0.2">
      <c r="A271" s="232"/>
      <c r="B271" s="250"/>
      <c r="C271" s="286"/>
      <c r="D271" s="232"/>
      <c r="E271" s="232"/>
      <c r="F271" s="232"/>
      <c r="G271" s="232"/>
      <c r="H271" s="232"/>
      <c r="I271" s="232"/>
      <c r="J271" s="232"/>
      <c r="K271" s="232"/>
      <c r="L271" s="232"/>
      <c r="M271" s="232"/>
      <c r="N271" s="232"/>
      <c r="O271" s="232"/>
      <c r="P271" s="232"/>
      <c r="Q271" s="232"/>
      <c r="R271" s="232"/>
      <c r="S271" s="232"/>
      <c r="T271" s="232"/>
      <c r="U271" s="232"/>
      <c r="V271" s="15"/>
      <c r="W271" s="15"/>
      <c r="X271" s="15"/>
      <c r="Y271" s="15"/>
      <c r="Z271" s="15"/>
      <c r="AA271" s="15"/>
    </row>
    <row r="272" spans="1:27" s="25" customFormat="1" ht="12" customHeight="1" x14ac:dyDescent="0.2">
      <c r="A272" s="232"/>
      <c r="B272" s="250"/>
      <c r="C272" s="286"/>
      <c r="D272" s="232"/>
      <c r="E272" s="232"/>
      <c r="F272" s="232"/>
      <c r="G272" s="232"/>
      <c r="H272" s="232"/>
      <c r="I272" s="232"/>
      <c r="J272" s="232"/>
      <c r="K272" s="232"/>
      <c r="L272" s="232"/>
      <c r="M272" s="232"/>
      <c r="N272" s="232"/>
      <c r="O272" s="232"/>
      <c r="P272" s="232"/>
      <c r="Q272" s="232"/>
      <c r="R272" s="232"/>
      <c r="S272" s="232"/>
      <c r="T272" s="232"/>
      <c r="U272" s="232"/>
      <c r="V272" s="15"/>
      <c r="W272" s="15"/>
      <c r="X272" s="15"/>
      <c r="Y272" s="15"/>
      <c r="Z272" s="15"/>
      <c r="AA272" s="15"/>
    </row>
    <row r="273" spans="1:27" s="25" customFormat="1" ht="12" customHeight="1" x14ac:dyDescent="0.2">
      <c r="A273" s="232"/>
      <c r="B273" s="250"/>
      <c r="C273" s="286"/>
      <c r="D273" s="232"/>
      <c r="E273" s="232"/>
      <c r="F273" s="232"/>
      <c r="G273" s="232"/>
      <c r="H273" s="232"/>
      <c r="I273" s="232"/>
      <c r="J273" s="232"/>
      <c r="K273" s="232"/>
      <c r="L273" s="232"/>
      <c r="M273" s="232"/>
      <c r="N273" s="232"/>
      <c r="O273" s="232"/>
      <c r="P273" s="232"/>
      <c r="Q273" s="232"/>
      <c r="R273" s="232"/>
      <c r="S273" s="232"/>
      <c r="T273" s="232"/>
      <c r="U273" s="232"/>
      <c r="V273" s="15"/>
      <c r="W273" s="15"/>
      <c r="X273" s="15"/>
      <c r="Y273" s="15"/>
      <c r="Z273" s="15"/>
      <c r="AA273" s="15"/>
    </row>
    <row r="274" spans="1:27" s="25" customFormat="1" ht="12" customHeight="1" x14ac:dyDescent="0.2">
      <c r="A274" s="232"/>
      <c r="B274" s="250"/>
      <c r="C274" s="286"/>
      <c r="D274" s="232"/>
      <c r="E274" s="232"/>
      <c r="F274" s="232"/>
      <c r="G274" s="232"/>
      <c r="H274" s="232"/>
      <c r="I274" s="232"/>
      <c r="J274" s="232"/>
      <c r="K274" s="232"/>
      <c r="L274" s="232"/>
      <c r="M274" s="232"/>
      <c r="N274" s="232"/>
      <c r="O274" s="232"/>
      <c r="P274" s="232"/>
      <c r="Q274" s="232"/>
      <c r="R274" s="232"/>
      <c r="S274" s="232"/>
      <c r="T274" s="232"/>
      <c r="U274" s="232"/>
      <c r="V274" s="15"/>
      <c r="W274" s="15"/>
      <c r="X274" s="15"/>
      <c r="Y274" s="15"/>
      <c r="Z274" s="15"/>
      <c r="AA274" s="15"/>
    </row>
    <row r="275" spans="1:27" s="25" customFormat="1" ht="12" customHeight="1" x14ac:dyDescent="0.2">
      <c r="A275" s="232"/>
      <c r="B275" s="250"/>
      <c r="C275" s="286"/>
      <c r="D275" s="232"/>
      <c r="E275" s="232"/>
      <c r="F275" s="232"/>
      <c r="G275" s="232"/>
      <c r="H275" s="232"/>
      <c r="I275" s="232"/>
      <c r="J275" s="232"/>
      <c r="K275" s="232"/>
      <c r="L275" s="232"/>
      <c r="M275" s="232"/>
      <c r="N275" s="232"/>
      <c r="O275" s="232"/>
      <c r="P275" s="232"/>
      <c r="Q275" s="232"/>
      <c r="R275" s="232"/>
      <c r="S275" s="232"/>
      <c r="T275" s="232"/>
      <c r="U275" s="232"/>
      <c r="V275" s="15"/>
      <c r="W275" s="15"/>
      <c r="X275" s="15"/>
      <c r="Y275" s="15"/>
      <c r="Z275" s="15"/>
      <c r="AA275" s="15"/>
    </row>
    <row r="276" spans="1:27" s="25" customFormat="1" ht="12" customHeight="1" x14ac:dyDescent="0.2">
      <c r="A276" s="232"/>
      <c r="B276" s="250"/>
      <c r="C276" s="286"/>
      <c r="D276" s="232"/>
      <c r="E276" s="232"/>
      <c r="F276" s="232"/>
      <c r="G276" s="232"/>
      <c r="H276" s="232"/>
      <c r="I276" s="232"/>
      <c r="J276" s="232"/>
      <c r="K276" s="232"/>
      <c r="L276" s="232"/>
      <c r="M276" s="232"/>
      <c r="N276" s="232"/>
      <c r="O276" s="232"/>
      <c r="P276" s="232"/>
      <c r="Q276" s="232"/>
      <c r="R276" s="232"/>
      <c r="S276" s="232"/>
      <c r="T276" s="232"/>
      <c r="U276" s="232"/>
      <c r="V276" s="15"/>
      <c r="W276" s="15"/>
      <c r="X276" s="15"/>
      <c r="Y276" s="15"/>
      <c r="Z276" s="15"/>
      <c r="AA276" s="15"/>
    </row>
    <row r="277" spans="1:27" s="25" customFormat="1" ht="12" customHeight="1" x14ac:dyDescent="0.2">
      <c r="A277" s="232"/>
      <c r="B277" s="250"/>
      <c r="C277" s="286"/>
      <c r="D277" s="232"/>
      <c r="E277" s="232"/>
      <c r="F277" s="232"/>
      <c r="G277" s="232"/>
      <c r="H277" s="232"/>
      <c r="I277" s="232"/>
      <c r="J277" s="232"/>
      <c r="K277" s="232"/>
      <c r="L277" s="232"/>
      <c r="M277" s="232"/>
      <c r="N277" s="232"/>
      <c r="O277" s="232"/>
      <c r="P277" s="232"/>
      <c r="Q277" s="232"/>
      <c r="R277" s="232"/>
      <c r="S277" s="232"/>
      <c r="T277" s="232"/>
      <c r="U277" s="232"/>
      <c r="V277" s="15"/>
      <c r="W277" s="15"/>
      <c r="X277" s="15"/>
      <c r="Y277" s="15"/>
      <c r="Z277" s="15"/>
      <c r="AA277" s="15"/>
    </row>
    <row r="278" spans="1:27" s="25" customFormat="1" ht="12" customHeight="1" x14ac:dyDescent="0.2">
      <c r="A278" s="232"/>
      <c r="B278" s="250"/>
      <c r="C278" s="286"/>
      <c r="D278" s="232"/>
      <c r="E278" s="232"/>
      <c r="F278" s="232"/>
      <c r="G278" s="232"/>
      <c r="H278" s="232"/>
      <c r="I278" s="232"/>
      <c r="J278" s="232"/>
      <c r="K278" s="232"/>
      <c r="L278" s="232"/>
      <c r="M278" s="232"/>
      <c r="N278" s="232"/>
      <c r="O278" s="232"/>
      <c r="P278" s="232"/>
      <c r="Q278" s="232"/>
      <c r="R278" s="232"/>
      <c r="S278" s="232"/>
      <c r="T278" s="232"/>
      <c r="U278" s="232"/>
      <c r="V278" s="15"/>
      <c r="W278" s="15"/>
      <c r="X278" s="15"/>
      <c r="Y278" s="15"/>
      <c r="Z278" s="15"/>
      <c r="AA278" s="15"/>
    </row>
    <row r="279" spans="1:27" s="25" customFormat="1" ht="12" customHeight="1" x14ac:dyDescent="0.2">
      <c r="A279" s="232"/>
      <c r="B279" s="250"/>
      <c r="C279" s="286"/>
      <c r="D279" s="232"/>
      <c r="E279" s="232"/>
      <c r="F279" s="232"/>
      <c r="G279" s="232"/>
      <c r="H279" s="232"/>
      <c r="I279" s="232"/>
      <c r="J279" s="232"/>
      <c r="K279" s="232"/>
      <c r="L279" s="232"/>
      <c r="M279" s="232"/>
      <c r="N279" s="232"/>
      <c r="O279" s="232"/>
      <c r="P279" s="232"/>
      <c r="Q279" s="232"/>
      <c r="R279" s="232"/>
      <c r="S279" s="232"/>
      <c r="T279" s="232"/>
      <c r="U279" s="232"/>
      <c r="V279" s="15"/>
      <c r="W279" s="15"/>
      <c r="X279" s="15"/>
      <c r="Y279" s="15"/>
      <c r="Z279" s="15"/>
      <c r="AA279" s="15"/>
    </row>
    <row r="280" spans="1:27" s="25" customFormat="1" ht="12" customHeight="1" x14ac:dyDescent="0.2">
      <c r="A280" s="232"/>
      <c r="B280" s="250"/>
      <c r="C280" s="286"/>
      <c r="D280" s="232"/>
      <c r="E280" s="232"/>
      <c r="F280" s="232"/>
      <c r="G280" s="232"/>
      <c r="H280" s="232"/>
      <c r="I280" s="232"/>
      <c r="J280" s="232"/>
      <c r="K280" s="232"/>
      <c r="L280" s="232"/>
      <c r="M280" s="232"/>
      <c r="N280" s="232"/>
      <c r="O280" s="232"/>
      <c r="P280" s="232"/>
      <c r="Q280" s="232"/>
      <c r="R280" s="232"/>
      <c r="S280" s="232"/>
      <c r="T280" s="232"/>
      <c r="U280" s="232"/>
      <c r="V280" s="15"/>
      <c r="W280" s="15"/>
      <c r="X280" s="15"/>
      <c r="Y280" s="15"/>
      <c r="Z280" s="15"/>
      <c r="AA280" s="15"/>
    </row>
    <row r="281" spans="1:27" s="25" customFormat="1" ht="12" customHeight="1" x14ac:dyDescent="0.2">
      <c r="A281" s="232"/>
      <c r="B281" s="250"/>
      <c r="C281" s="286"/>
      <c r="D281" s="232"/>
      <c r="E281" s="232"/>
      <c r="F281" s="232"/>
      <c r="G281" s="232"/>
      <c r="H281" s="232"/>
      <c r="I281" s="232"/>
      <c r="J281" s="232"/>
      <c r="K281" s="232"/>
      <c r="L281" s="232"/>
      <c r="M281" s="232"/>
      <c r="N281" s="232"/>
      <c r="O281" s="232"/>
      <c r="P281" s="232"/>
      <c r="Q281" s="232"/>
      <c r="R281" s="232"/>
      <c r="S281" s="232"/>
      <c r="T281" s="232"/>
      <c r="U281" s="232"/>
      <c r="V281" s="15"/>
      <c r="W281" s="15"/>
      <c r="X281" s="15"/>
      <c r="Y281" s="15"/>
      <c r="Z281" s="15"/>
      <c r="AA281" s="15"/>
    </row>
    <row r="282" spans="1:27" s="25" customFormat="1" ht="12" customHeight="1" x14ac:dyDescent="0.2">
      <c r="A282" s="232"/>
      <c r="B282" s="250"/>
      <c r="C282" s="286"/>
      <c r="D282" s="232"/>
      <c r="E282" s="232"/>
      <c r="F282" s="232"/>
      <c r="G282" s="232"/>
      <c r="H282" s="232"/>
      <c r="I282" s="232"/>
      <c r="J282" s="232"/>
      <c r="K282" s="232"/>
      <c r="L282" s="232"/>
      <c r="M282" s="232"/>
      <c r="N282" s="232"/>
      <c r="O282" s="232"/>
      <c r="P282" s="232"/>
      <c r="Q282" s="232"/>
      <c r="R282" s="232"/>
      <c r="S282" s="232"/>
      <c r="T282" s="232"/>
      <c r="U282" s="232"/>
      <c r="V282" s="15"/>
      <c r="W282" s="15"/>
      <c r="X282" s="15"/>
      <c r="Y282" s="15"/>
      <c r="Z282" s="15"/>
      <c r="AA282" s="15"/>
    </row>
    <row r="283" spans="1:27" s="25" customFormat="1" ht="12" customHeight="1" x14ac:dyDescent="0.2">
      <c r="A283" s="232"/>
      <c r="B283" s="250"/>
      <c r="C283" s="286"/>
      <c r="D283" s="232"/>
      <c r="E283" s="232"/>
      <c r="F283" s="232"/>
      <c r="G283" s="232"/>
      <c r="H283" s="232"/>
      <c r="I283" s="232"/>
      <c r="J283" s="232"/>
      <c r="K283" s="232"/>
      <c r="L283" s="232"/>
      <c r="M283" s="232"/>
      <c r="N283" s="232"/>
      <c r="O283" s="232"/>
      <c r="P283" s="232"/>
      <c r="Q283" s="232"/>
      <c r="R283" s="232"/>
      <c r="S283" s="232"/>
      <c r="T283" s="232"/>
      <c r="U283" s="232"/>
      <c r="V283" s="15"/>
      <c r="W283" s="15"/>
      <c r="X283" s="15"/>
      <c r="Y283" s="15"/>
      <c r="Z283" s="15"/>
      <c r="AA283" s="15"/>
    </row>
    <row r="284" spans="1:27" s="25" customFormat="1" ht="12" customHeight="1" x14ac:dyDescent="0.2">
      <c r="A284" s="232"/>
      <c r="B284" s="250"/>
      <c r="C284" s="286"/>
      <c r="D284" s="232"/>
      <c r="E284" s="232"/>
      <c r="F284" s="232"/>
      <c r="G284" s="232"/>
      <c r="H284" s="232"/>
      <c r="I284" s="232"/>
      <c r="J284" s="232"/>
      <c r="K284" s="232"/>
      <c r="L284" s="232"/>
      <c r="M284" s="232"/>
      <c r="N284" s="232"/>
      <c r="O284" s="232"/>
      <c r="P284" s="232"/>
      <c r="Q284" s="232"/>
      <c r="R284" s="232"/>
      <c r="S284" s="232"/>
      <c r="T284" s="232"/>
      <c r="U284" s="232"/>
      <c r="V284" s="15"/>
      <c r="W284" s="15"/>
      <c r="X284" s="15"/>
      <c r="Y284" s="15"/>
      <c r="Z284" s="15"/>
      <c r="AA284" s="15"/>
    </row>
    <row r="285" spans="1:27" s="25" customFormat="1" ht="12" customHeight="1" x14ac:dyDescent="0.2">
      <c r="A285" s="232"/>
      <c r="B285" s="250"/>
      <c r="C285" s="286"/>
      <c r="D285" s="232"/>
      <c r="E285" s="232"/>
      <c r="F285" s="232"/>
      <c r="G285" s="232"/>
      <c r="H285" s="232"/>
      <c r="I285" s="232"/>
      <c r="J285" s="232"/>
      <c r="K285" s="232"/>
      <c r="L285" s="232"/>
      <c r="M285" s="232"/>
      <c r="N285" s="232"/>
      <c r="O285" s="232"/>
      <c r="P285" s="232"/>
      <c r="Q285" s="232"/>
      <c r="R285" s="232"/>
      <c r="S285" s="232"/>
      <c r="T285" s="232"/>
      <c r="U285" s="232"/>
      <c r="V285" s="15"/>
      <c r="W285" s="15"/>
      <c r="X285" s="15"/>
      <c r="Y285" s="15"/>
      <c r="Z285" s="15"/>
      <c r="AA285" s="15"/>
    </row>
    <row r="286" spans="1:27" s="25" customFormat="1" ht="12" customHeight="1" x14ac:dyDescent="0.2">
      <c r="A286" s="232"/>
      <c r="B286" s="250"/>
      <c r="C286" s="286"/>
      <c r="D286" s="232"/>
      <c r="E286" s="232"/>
      <c r="F286" s="232"/>
      <c r="G286" s="232"/>
      <c r="H286" s="232"/>
      <c r="I286" s="232"/>
      <c r="J286" s="232"/>
      <c r="K286" s="232"/>
      <c r="L286" s="232"/>
      <c r="M286" s="232"/>
      <c r="N286" s="232"/>
      <c r="O286" s="232"/>
      <c r="P286" s="232"/>
      <c r="Q286" s="232"/>
      <c r="R286" s="232"/>
      <c r="S286" s="232"/>
      <c r="T286" s="232"/>
      <c r="U286" s="232"/>
      <c r="V286" s="15"/>
      <c r="W286" s="15"/>
      <c r="X286" s="15"/>
      <c r="Y286" s="15"/>
      <c r="Z286" s="15"/>
      <c r="AA286" s="15"/>
    </row>
    <row r="287" spans="1:27" s="25" customFormat="1" ht="12" customHeight="1" x14ac:dyDescent="0.2">
      <c r="A287" s="232"/>
      <c r="B287" s="250"/>
      <c r="C287" s="286"/>
      <c r="D287" s="232"/>
      <c r="E287" s="232"/>
      <c r="F287" s="232"/>
      <c r="G287" s="232"/>
      <c r="H287" s="232"/>
      <c r="I287" s="232"/>
      <c r="J287" s="232"/>
      <c r="K287" s="232"/>
      <c r="L287" s="232"/>
      <c r="M287" s="232"/>
      <c r="N287" s="232"/>
      <c r="O287" s="232"/>
      <c r="P287" s="232"/>
      <c r="Q287" s="232"/>
      <c r="R287" s="232"/>
      <c r="S287" s="232"/>
      <c r="T287" s="232"/>
      <c r="U287" s="232"/>
      <c r="V287" s="15"/>
      <c r="W287" s="15"/>
      <c r="X287" s="15"/>
      <c r="Y287" s="15"/>
      <c r="Z287" s="15"/>
      <c r="AA287" s="15"/>
    </row>
    <row r="288" spans="1:27" s="25" customFormat="1" ht="12" customHeight="1" x14ac:dyDescent="0.2">
      <c r="A288" s="232"/>
      <c r="B288" s="250"/>
      <c r="C288" s="286"/>
      <c r="D288" s="232"/>
      <c r="E288" s="232"/>
      <c r="F288" s="232"/>
      <c r="G288" s="232"/>
      <c r="H288" s="232"/>
      <c r="I288" s="232"/>
      <c r="J288" s="232"/>
      <c r="K288" s="232"/>
      <c r="L288" s="232"/>
      <c r="M288" s="232"/>
      <c r="N288" s="232"/>
      <c r="O288" s="232"/>
      <c r="P288" s="232"/>
      <c r="Q288" s="232"/>
      <c r="R288" s="232"/>
      <c r="S288" s="232"/>
      <c r="T288" s="232"/>
      <c r="U288" s="232"/>
      <c r="V288" s="15"/>
      <c r="W288" s="15"/>
      <c r="X288" s="15"/>
      <c r="Y288" s="15"/>
      <c r="Z288" s="15"/>
      <c r="AA288" s="15"/>
    </row>
    <row r="289" spans="1:27" s="25" customFormat="1" ht="12" customHeight="1" x14ac:dyDescent="0.2">
      <c r="A289" s="232"/>
      <c r="B289" s="250"/>
      <c r="C289" s="286"/>
      <c r="D289" s="232"/>
      <c r="E289" s="232"/>
      <c r="F289" s="232"/>
      <c r="G289" s="232"/>
      <c r="H289" s="232"/>
      <c r="I289" s="232"/>
      <c r="J289" s="232"/>
      <c r="K289" s="232"/>
      <c r="L289" s="232"/>
      <c r="M289" s="232"/>
      <c r="N289" s="232"/>
      <c r="O289" s="232"/>
      <c r="P289" s="232"/>
      <c r="Q289" s="232"/>
      <c r="R289" s="232"/>
      <c r="S289" s="232"/>
      <c r="T289" s="232"/>
      <c r="U289" s="232"/>
      <c r="V289" s="15"/>
      <c r="W289" s="15"/>
      <c r="X289" s="15"/>
      <c r="Y289" s="15"/>
      <c r="Z289" s="15"/>
      <c r="AA289" s="15"/>
    </row>
    <row r="290" spans="1:27" s="25" customFormat="1" ht="12" customHeight="1" x14ac:dyDescent="0.2">
      <c r="A290" s="232"/>
      <c r="B290" s="250"/>
      <c r="C290" s="286"/>
      <c r="D290" s="232"/>
      <c r="E290" s="232"/>
      <c r="F290" s="232"/>
      <c r="G290" s="232"/>
      <c r="H290" s="232"/>
      <c r="I290" s="232"/>
      <c r="J290" s="232"/>
      <c r="K290" s="232"/>
      <c r="L290" s="232"/>
      <c r="M290" s="232"/>
      <c r="N290" s="232"/>
      <c r="O290" s="232"/>
      <c r="P290" s="232"/>
      <c r="Q290" s="232"/>
      <c r="R290" s="232"/>
      <c r="S290" s="232"/>
      <c r="T290" s="232"/>
      <c r="U290" s="232"/>
      <c r="V290" s="15"/>
      <c r="W290" s="15"/>
      <c r="X290" s="15"/>
      <c r="Y290" s="15"/>
      <c r="Z290" s="15"/>
      <c r="AA290" s="15"/>
    </row>
    <row r="291" spans="1:27" s="25" customFormat="1" ht="12" customHeight="1" x14ac:dyDescent="0.2">
      <c r="A291" s="232"/>
      <c r="B291" s="250"/>
      <c r="C291" s="286"/>
      <c r="D291" s="232"/>
      <c r="E291" s="232"/>
      <c r="F291" s="232"/>
      <c r="G291" s="232"/>
      <c r="H291" s="232"/>
      <c r="I291" s="232"/>
      <c r="J291" s="232"/>
      <c r="K291" s="232"/>
      <c r="L291" s="232"/>
      <c r="M291" s="232"/>
      <c r="N291" s="232"/>
      <c r="O291" s="232"/>
      <c r="P291" s="232"/>
      <c r="Q291" s="232"/>
      <c r="R291" s="232"/>
      <c r="S291" s="232"/>
      <c r="T291" s="232"/>
      <c r="U291" s="232"/>
      <c r="V291" s="15"/>
      <c r="W291" s="15"/>
      <c r="X291" s="15"/>
      <c r="Y291" s="15"/>
      <c r="Z291" s="15"/>
      <c r="AA291" s="15"/>
    </row>
    <row r="292" spans="1:27" s="25" customFormat="1" ht="12" customHeight="1" x14ac:dyDescent="0.2">
      <c r="A292" s="232"/>
      <c r="B292" s="250"/>
      <c r="C292" s="286"/>
      <c r="D292" s="232"/>
      <c r="E292" s="232"/>
      <c r="F292" s="232"/>
      <c r="G292" s="232"/>
      <c r="H292" s="232"/>
      <c r="I292" s="232"/>
      <c r="J292" s="232"/>
      <c r="K292" s="232"/>
      <c r="L292" s="232"/>
      <c r="M292" s="232"/>
      <c r="N292" s="232"/>
      <c r="O292" s="232"/>
      <c r="P292" s="232"/>
      <c r="Q292" s="232"/>
      <c r="R292" s="232"/>
      <c r="S292" s="232"/>
      <c r="T292" s="232"/>
      <c r="U292" s="232"/>
      <c r="V292" s="15"/>
      <c r="W292" s="15"/>
      <c r="X292" s="15"/>
      <c r="Y292" s="15"/>
      <c r="Z292" s="15"/>
      <c r="AA292" s="15"/>
    </row>
    <row r="293" spans="1:27" s="25" customFormat="1" ht="12" customHeight="1" x14ac:dyDescent="0.2">
      <c r="A293" s="232"/>
      <c r="B293" s="250"/>
      <c r="C293" s="286"/>
      <c r="D293" s="232"/>
      <c r="E293" s="232"/>
      <c r="F293" s="232"/>
      <c r="G293" s="232"/>
      <c r="H293" s="232"/>
      <c r="I293" s="232"/>
      <c r="J293" s="232"/>
      <c r="K293" s="232"/>
      <c r="L293" s="232"/>
      <c r="M293" s="232"/>
      <c r="N293" s="232"/>
      <c r="O293" s="232"/>
      <c r="P293" s="232"/>
      <c r="Q293" s="232"/>
      <c r="R293" s="232"/>
      <c r="S293" s="232"/>
      <c r="T293" s="232"/>
      <c r="U293" s="232"/>
      <c r="V293" s="15"/>
      <c r="W293" s="15"/>
      <c r="X293" s="15"/>
      <c r="Y293" s="15"/>
      <c r="Z293" s="15"/>
      <c r="AA293" s="15"/>
    </row>
    <row r="294" spans="1:27" s="25" customFormat="1" ht="12" customHeight="1" x14ac:dyDescent="0.2">
      <c r="A294" s="232"/>
      <c r="B294" s="250"/>
      <c r="C294" s="286"/>
      <c r="D294" s="232"/>
      <c r="E294" s="232"/>
      <c r="F294" s="232"/>
      <c r="G294" s="232"/>
      <c r="H294" s="232"/>
      <c r="I294" s="232"/>
      <c r="J294" s="232"/>
      <c r="K294" s="232"/>
      <c r="L294" s="232"/>
      <c r="M294" s="232"/>
      <c r="N294" s="232"/>
      <c r="O294" s="232"/>
      <c r="P294" s="232"/>
      <c r="Q294" s="232"/>
      <c r="R294" s="232"/>
      <c r="S294" s="232"/>
      <c r="T294" s="232"/>
      <c r="U294" s="232"/>
      <c r="V294" s="15"/>
      <c r="W294" s="15"/>
      <c r="X294" s="15"/>
      <c r="Y294" s="15"/>
      <c r="Z294" s="15"/>
      <c r="AA294" s="15"/>
    </row>
    <row r="295" spans="1:27" s="25" customFormat="1" ht="12" customHeight="1" x14ac:dyDescent="0.2">
      <c r="A295" s="232"/>
      <c r="B295" s="250"/>
      <c r="C295" s="286"/>
      <c r="D295" s="232"/>
      <c r="E295" s="232"/>
      <c r="F295" s="232"/>
      <c r="G295" s="232"/>
      <c r="H295" s="232"/>
      <c r="I295" s="232"/>
      <c r="J295" s="232"/>
      <c r="K295" s="232"/>
      <c r="L295" s="232"/>
      <c r="M295" s="232"/>
      <c r="N295" s="232"/>
      <c r="O295" s="232"/>
      <c r="P295" s="232"/>
      <c r="Q295" s="232"/>
      <c r="R295" s="232"/>
      <c r="S295" s="232"/>
      <c r="T295" s="232"/>
      <c r="U295" s="232"/>
      <c r="V295" s="15"/>
      <c r="W295" s="15"/>
      <c r="X295" s="15"/>
      <c r="Y295" s="15"/>
      <c r="Z295" s="15"/>
      <c r="AA295" s="15"/>
    </row>
    <row r="296" spans="1:27" s="25" customFormat="1" ht="12" customHeight="1" x14ac:dyDescent="0.2">
      <c r="A296" s="232"/>
      <c r="B296" s="250"/>
      <c r="C296" s="286"/>
      <c r="D296" s="232"/>
      <c r="E296" s="232"/>
      <c r="F296" s="232"/>
      <c r="G296" s="232"/>
      <c r="H296" s="232"/>
      <c r="I296" s="232"/>
      <c r="J296" s="232"/>
      <c r="K296" s="232"/>
      <c r="L296" s="232"/>
      <c r="M296" s="232"/>
      <c r="N296" s="232"/>
      <c r="O296" s="232"/>
      <c r="P296" s="232"/>
      <c r="Q296" s="232"/>
      <c r="R296" s="232"/>
      <c r="S296" s="232"/>
      <c r="T296" s="232"/>
      <c r="U296" s="232"/>
      <c r="V296" s="15"/>
      <c r="W296" s="15"/>
      <c r="X296" s="15"/>
      <c r="Y296" s="15"/>
      <c r="Z296" s="15"/>
      <c r="AA296" s="15"/>
    </row>
    <row r="297" spans="1:27" s="25" customFormat="1" ht="12" customHeight="1" x14ac:dyDescent="0.2">
      <c r="A297" s="232"/>
      <c r="B297" s="250"/>
      <c r="C297" s="286"/>
      <c r="D297" s="232"/>
      <c r="E297" s="232"/>
      <c r="F297" s="232"/>
      <c r="G297" s="232"/>
      <c r="H297" s="232"/>
      <c r="I297" s="232"/>
      <c r="J297" s="232"/>
      <c r="K297" s="232"/>
      <c r="L297" s="232"/>
      <c r="M297" s="232"/>
      <c r="N297" s="232"/>
      <c r="O297" s="232"/>
      <c r="P297" s="232"/>
      <c r="Q297" s="232"/>
      <c r="R297" s="232"/>
      <c r="S297" s="232"/>
      <c r="T297" s="232"/>
      <c r="U297" s="232"/>
      <c r="V297" s="15"/>
      <c r="W297" s="15"/>
      <c r="X297" s="15"/>
      <c r="Y297" s="15"/>
      <c r="Z297" s="15"/>
      <c r="AA297" s="15"/>
    </row>
    <row r="298" spans="1:27" s="25" customFormat="1" ht="12" customHeight="1" x14ac:dyDescent="0.2">
      <c r="A298" s="232"/>
      <c r="B298" s="250"/>
      <c r="C298" s="286"/>
      <c r="D298" s="232"/>
      <c r="E298" s="232"/>
      <c r="F298" s="232"/>
      <c r="G298" s="232"/>
      <c r="H298" s="232"/>
      <c r="I298" s="232"/>
      <c r="J298" s="232"/>
      <c r="K298" s="232"/>
      <c r="L298" s="232"/>
      <c r="M298" s="232"/>
      <c r="N298" s="232"/>
      <c r="O298" s="232"/>
      <c r="P298" s="232"/>
      <c r="Q298" s="232"/>
      <c r="R298" s="232"/>
      <c r="S298" s="232"/>
      <c r="T298" s="232"/>
      <c r="U298" s="232"/>
      <c r="V298" s="15"/>
      <c r="W298" s="15"/>
      <c r="X298" s="15"/>
      <c r="Y298" s="15"/>
      <c r="Z298" s="15"/>
      <c r="AA298" s="15"/>
    </row>
    <row r="299" spans="1:27" s="25" customFormat="1" ht="12" customHeight="1" x14ac:dyDescent="0.2">
      <c r="A299" s="232"/>
      <c r="B299" s="250"/>
      <c r="C299" s="286"/>
      <c r="D299" s="232"/>
      <c r="E299" s="232"/>
      <c r="F299" s="232"/>
      <c r="G299" s="232"/>
      <c r="H299" s="232"/>
      <c r="I299" s="232"/>
      <c r="J299" s="232"/>
      <c r="K299" s="232"/>
      <c r="L299" s="232"/>
      <c r="M299" s="232"/>
      <c r="N299" s="232"/>
      <c r="O299" s="232"/>
      <c r="P299" s="232"/>
      <c r="Q299" s="232"/>
      <c r="R299" s="232"/>
      <c r="S299" s="232"/>
      <c r="T299" s="232"/>
      <c r="U299" s="232"/>
      <c r="V299" s="15"/>
      <c r="W299" s="15"/>
      <c r="X299" s="15"/>
      <c r="Y299" s="15"/>
      <c r="Z299" s="15"/>
      <c r="AA299" s="15"/>
    </row>
    <row r="300" spans="1:27" s="25" customFormat="1" ht="12" customHeight="1" x14ac:dyDescent="0.2">
      <c r="A300" s="232"/>
      <c r="B300" s="250"/>
      <c r="C300" s="286"/>
      <c r="D300" s="232"/>
      <c r="E300" s="232"/>
      <c r="F300" s="232"/>
      <c r="G300" s="232"/>
      <c r="H300" s="232"/>
      <c r="I300" s="232"/>
      <c r="J300" s="232"/>
      <c r="K300" s="232"/>
      <c r="L300" s="232"/>
      <c r="M300" s="232"/>
      <c r="N300" s="232"/>
      <c r="O300" s="232"/>
      <c r="P300" s="232"/>
      <c r="Q300" s="232"/>
      <c r="R300" s="232"/>
      <c r="S300" s="232"/>
      <c r="T300" s="232"/>
      <c r="U300" s="232"/>
      <c r="V300" s="15"/>
      <c r="W300" s="15"/>
      <c r="X300" s="15"/>
      <c r="Y300" s="15"/>
      <c r="Z300" s="15"/>
      <c r="AA300" s="15"/>
    </row>
    <row r="301" spans="1:27" s="25" customFormat="1" ht="12" customHeight="1" x14ac:dyDescent="0.2">
      <c r="A301" s="232"/>
      <c r="B301" s="250"/>
      <c r="C301" s="286"/>
      <c r="D301" s="232"/>
      <c r="E301" s="232"/>
      <c r="F301" s="232"/>
      <c r="G301" s="232"/>
      <c r="H301" s="232"/>
      <c r="I301" s="232"/>
      <c r="J301" s="232"/>
      <c r="K301" s="232"/>
      <c r="L301" s="232"/>
      <c r="M301" s="232"/>
      <c r="N301" s="232"/>
      <c r="O301" s="232"/>
      <c r="P301" s="232"/>
      <c r="Q301" s="232"/>
      <c r="R301" s="232"/>
      <c r="S301" s="232"/>
      <c r="T301" s="232"/>
      <c r="U301" s="232"/>
      <c r="V301" s="15"/>
      <c r="W301" s="15"/>
      <c r="X301" s="15"/>
      <c r="Y301" s="15"/>
      <c r="Z301" s="15"/>
      <c r="AA301" s="15"/>
    </row>
    <row r="302" spans="1:27" s="25" customFormat="1" ht="12" customHeight="1" x14ac:dyDescent="0.2">
      <c r="A302" s="232"/>
      <c r="B302" s="250"/>
      <c r="C302" s="286"/>
      <c r="D302" s="232"/>
      <c r="E302" s="232"/>
      <c r="F302" s="232"/>
      <c r="G302" s="232"/>
      <c r="H302" s="232"/>
      <c r="I302" s="232"/>
      <c r="J302" s="232"/>
      <c r="K302" s="232"/>
      <c r="L302" s="232"/>
      <c r="M302" s="232"/>
      <c r="N302" s="232"/>
      <c r="O302" s="232"/>
      <c r="P302" s="232"/>
      <c r="Q302" s="232"/>
      <c r="R302" s="232"/>
      <c r="S302" s="232"/>
      <c r="T302" s="232"/>
      <c r="U302" s="232"/>
      <c r="V302" s="15"/>
      <c r="W302" s="15"/>
      <c r="X302" s="15"/>
      <c r="Y302" s="15"/>
      <c r="Z302" s="15"/>
      <c r="AA302" s="15"/>
    </row>
    <row r="303" spans="1:27" s="25" customFormat="1" ht="12" customHeight="1" x14ac:dyDescent="0.2">
      <c r="A303" s="232"/>
      <c r="B303" s="250"/>
      <c r="C303" s="286"/>
      <c r="D303" s="232"/>
      <c r="E303" s="232"/>
      <c r="F303" s="232"/>
      <c r="G303" s="232"/>
      <c r="H303" s="232"/>
      <c r="I303" s="232"/>
      <c r="J303" s="232"/>
      <c r="K303" s="232"/>
      <c r="L303" s="232"/>
      <c r="M303" s="232"/>
      <c r="N303" s="232"/>
      <c r="O303" s="232"/>
      <c r="P303" s="232"/>
      <c r="Q303" s="232"/>
      <c r="R303" s="232"/>
      <c r="S303" s="232"/>
      <c r="T303" s="232"/>
      <c r="U303" s="232"/>
      <c r="V303" s="15"/>
      <c r="W303" s="15"/>
      <c r="X303" s="15"/>
      <c r="Y303" s="15"/>
      <c r="Z303" s="15"/>
      <c r="AA303" s="15"/>
    </row>
    <row r="304" spans="1:27" s="25" customFormat="1" ht="12" customHeight="1" x14ac:dyDescent="0.2">
      <c r="A304" s="232"/>
      <c r="B304" s="250"/>
      <c r="C304" s="286"/>
      <c r="D304" s="232"/>
      <c r="E304" s="232"/>
      <c r="F304" s="232"/>
      <c r="G304" s="232"/>
      <c r="H304" s="232"/>
      <c r="I304" s="232"/>
      <c r="J304" s="232"/>
      <c r="K304" s="232"/>
      <c r="L304" s="232"/>
      <c r="M304" s="232"/>
      <c r="N304" s="232"/>
      <c r="O304" s="232"/>
      <c r="P304" s="232"/>
      <c r="Q304" s="232"/>
      <c r="R304" s="232"/>
      <c r="S304" s="232"/>
      <c r="T304" s="232"/>
      <c r="U304" s="232"/>
      <c r="V304" s="15"/>
      <c r="W304" s="15"/>
      <c r="X304" s="15"/>
      <c r="Y304" s="15"/>
      <c r="Z304" s="15"/>
      <c r="AA304" s="15"/>
    </row>
    <row r="305" spans="1:27" s="25" customFormat="1" ht="12" customHeight="1" x14ac:dyDescent="0.2">
      <c r="A305" s="232"/>
      <c r="B305" s="250"/>
      <c r="C305" s="286"/>
      <c r="D305" s="232"/>
      <c r="E305" s="232"/>
      <c r="F305" s="232"/>
      <c r="G305" s="232"/>
      <c r="H305" s="232"/>
      <c r="I305" s="232"/>
      <c r="J305" s="232"/>
      <c r="K305" s="232"/>
      <c r="L305" s="232"/>
      <c r="M305" s="232"/>
      <c r="N305" s="232"/>
      <c r="O305" s="232"/>
      <c r="P305" s="232"/>
      <c r="Q305" s="232"/>
      <c r="R305" s="232"/>
      <c r="S305" s="232"/>
      <c r="T305" s="232"/>
      <c r="U305" s="232"/>
      <c r="V305" s="15"/>
      <c r="W305" s="15"/>
      <c r="X305" s="15"/>
      <c r="Y305" s="15"/>
      <c r="Z305" s="15"/>
      <c r="AA305" s="15"/>
    </row>
    <row r="306" spans="1:27" s="25" customFormat="1" ht="12" customHeight="1" x14ac:dyDescent="0.2">
      <c r="A306" s="232"/>
      <c r="B306" s="250"/>
      <c r="C306" s="286"/>
      <c r="D306" s="232"/>
      <c r="E306" s="232"/>
      <c r="F306" s="232"/>
      <c r="G306" s="232"/>
      <c r="H306" s="232"/>
      <c r="I306" s="232"/>
      <c r="J306" s="232"/>
      <c r="K306" s="232"/>
      <c r="L306" s="232"/>
      <c r="M306" s="232"/>
      <c r="N306" s="232"/>
      <c r="O306" s="232"/>
      <c r="P306" s="232"/>
      <c r="Q306" s="232"/>
      <c r="R306" s="232"/>
      <c r="S306" s="232"/>
      <c r="T306" s="232"/>
      <c r="U306" s="232"/>
      <c r="V306" s="15"/>
      <c r="W306" s="15"/>
      <c r="X306" s="15"/>
      <c r="Y306" s="15"/>
      <c r="Z306" s="15"/>
      <c r="AA306" s="15"/>
    </row>
    <row r="307" spans="1:27" s="25" customFormat="1" ht="12" customHeight="1" x14ac:dyDescent="0.2">
      <c r="A307" s="232"/>
      <c r="B307" s="250"/>
      <c r="C307" s="286"/>
      <c r="D307" s="232"/>
      <c r="E307" s="232"/>
      <c r="F307" s="232"/>
      <c r="G307" s="232"/>
      <c r="H307" s="232"/>
      <c r="I307" s="232"/>
      <c r="J307" s="232"/>
      <c r="K307" s="232"/>
      <c r="L307" s="232"/>
      <c r="M307" s="232"/>
      <c r="N307" s="232"/>
      <c r="O307" s="232"/>
      <c r="P307" s="232"/>
      <c r="Q307" s="232"/>
      <c r="R307" s="232"/>
      <c r="S307" s="232"/>
      <c r="T307" s="232"/>
      <c r="U307" s="232"/>
      <c r="V307" s="15"/>
      <c r="W307" s="15"/>
      <c r="X307" s="15"/>
      <c r="Y307" s="15"/>
      <c r="Z307" s="15"/>
      <c r="AA307" s="15"/>
    </row>
    <row r="308" spans="1:27" s="25" customFormat="1" ht="12" customHeight="1" x14ac:dyDescent="0.2">
      <c r="A308" s="232"/>
      <c r="B308" s="250"/>
      <c r="C308" s="286"/>
      <c r="D308" s="232"/>
      <c r="E308" s="232"/>
      <c r="F308" s="232"/>
      <c r="G308" s="232"/>
      <c r="H308" s="232"/>
      <c r="I308" s="232"/>
      <c r="J308" s="232"/>
      <c r="K308" s="232"/>
      <c r="L308" s="232"/>
      <c r="M308" s="232"/>
      <c r="N308" s="232"/>
      <c r="O308" s="232"/>
      <c r="P308" s="232"/>
      <c r="Q308" s="232"/>
      <c r="R308" s="232"/>
      <c r="S308" s="232"/>
      <c r="T308" s="232"/>
      <c r="U308" s="232"/>
      <c r="V308" s="15"/>
      <c r="W308" s="15"/>
      <c r="X308" s="15"/>
      <c r="Y308" s="15"/>
      <c r="Z308" s="15"/>
      <c r="AA308" s="15"/>
    </row>
    <row r="309" spans="1:27" s="25" customFormat="1" ht="12" customHeight="1" x14ac:dyDescent="0.2">
      <c r="A309" s="232"/>
      <c r="B309" s="250"/>
      <c r="C309" s="286"/>
      <c r="D309" s="232"/>
      <c r="E309" s="232"/>
      <c r="F309" s="232"/>
      <c r="G309" s="232"/>
      <c r="H309" s="232"/>
      <c r="I309" s="232"/>
      <c r="J309" s="232"/>
      <c r="K309" s="232"/>
      <c r="L309" s="232"/>
      <c r="M309" s="232"/>
      <c r="N309" s="232"/>
      <c r="O309" s="232"/>
      <c r="P309" s="232"/>
      <c r="Q309" s="232"/>
      <c r="R309" s="232"/>
      <c r="S309" s="232"/>
      <c r="T309" s="232"/>
      <c r="U309" s="232"/>
      <c r="V309" s="15"/>
      <c r="W309" s="15"/>
      <c r="X309" s="15"/>
      <c r="Y309" s="15"/>
      <c r="Z309" s="15"/>
      <c r="AA309" s="15"/>
    </row>
    <row r="310" spans="1:27" s="25" customFormat="1" ht="12" customHeight="1" x14ac:dyDescent="0.2">
      <c r="A310" s="232"/>
      <c r="B310" s="250"/>
      <c r="C310" s="286"/>
      <c r="D310" s="232"/>
      <c r="E310" s="232"/>
      <c r="F310" s="232"/>
      <c r="G310" s="232"/>
      <c r="H310" s="232"/>
      <c r="I310" s="232"/>
      <c r="J310" s="232"/>
      <c r="K310" s="232"/>
      <c r="L310" s="232"/>
      <c r="M310" s="232"/>
      <c r="N310" s="232"/>
      <c r="O310" s="232"/>
      <c r="P310" s="232"/>
      <c r="Q310" s="232"/>
      <c r="R310" s="232"/>
      <c r="S310" s="232"/>
      <c r="T310" s="232"/>
      <c r="U310" s="232"/>
      <c r="V310" s="15"/>
      <c r="W310" s="15"/>
      <c r="X310" s="15"/>
      <c r="Y310" s="15"/>
      <c r="Z310" s="15"/>
      <c r="AA310" s="15"/>
    </row>
    <row r="311" spans="1:27" s="25" customFormat="1" ht="12" customHeight="1" x14ac:dyDescent="0.2">
      <c r="A311" s="232"/>
      <c r="B311" s="250"/>
      <c r="C311" s="286"/>
      <c r="D311" s="232"/>
      <c r="E311" s="232"/>
      <c r="F311" s="232"/>
      <c r="G311" s="232"/>
      <c r="H311" s="232"/>
      <c r="I311" s="232"/>
      <c r="J311" s="232"/>
      <c r="K311" s="232"/>
      <c r="L311" s="232"/>
      <c r="M311" s="232"/>
      <c r="N311" s="232"/>
      <c r="O311" s="232"/>
      <c r="P311" s="232"/>
      <c r="Q311" s="232"/>
      <c r="R311" s="232"/>
      <c r="S311" s="232"/>
      <c r="T311" s="232"/>
      <c r="U311" s="232"/>
      <c r="V311" s="15"/>
      <c r="W311" s="15"/>
      <c r="X311" s="15"/>
      <c r="Y311" s="15"/>
      <c r="Z311" s="15"/>
      <c r="AA311" s="15"/>
    </row>
    <row r="312" spans="1:27" s="25" customFormat="1" ht="12" customHeight="1" x14ac:dyDescent="0.2">
      <c r="A312" s="232"/>
      <c r="B312" s="250"/>
      <c r="C312" s="286"/>
      <c r="D312" s="232"/>
      <c r="E312" s="232"/>
      <c r="F312" s="232"/>
      <c r="G312" s="232"/>
      <c r="H312" s="232"/>
      <c r="I312" s="232"/>
      <c r="J312" s="232"/>
      <c r="K312" s="232"/>
      <c r="L312" s="232"/>
      <c r="M312" s="232"/>
      <c r="N312" s="232"/>
      <c r="O312" s="232"/>
      <c r="P312" s="232"/>
      <c r="Q312" s="232"/>
      <c r="R312" s="232"/>
      <c r="S312" s="232"/>
      <c r="T312" s="232"/>
      <c r="U312" s="232"/>
      <c r="V312" s="15"/>
      <c r="W312" s="15"/>
      <c r="X312" s="15"/>
      <c r="Y312" s="15"/>
      <c r="Z312" s="15"/>
      <c r="AA312" s="15"/>
    </row>
    <row r="313" spans="1:27" s="25" customFormat="1" ht="12" customHeight="1" x14ac:dyDescent="0.2">
      <c r="A313" s="232"/>
      <c r="B313" s="250"/>
      <c r="C313" s="286"/>
      <c r="D313" s="232"/>
      <c r="E313" s="232"/>
      <c r="F313" s="232"/>
      <c r="G313" s="232"/>
      <c r="H313" s="232"/>
      <c r="I313" s="232"/>
      <c r="J313" s="232"/>
      <c r="K313" s="232"/>
      <c r="L313" s="232"/>
      <c r="M313" s="232"/>
      <c r="N313" s="232"/>
      <c r="O313" s="232"/>
      <c r="P313" s="232"/>
      <c r="Q313" s="232"/>
      <c r="R313" s="232"/>
      <c r="S313" s="232"/>
      <c r="T313" s="232"/>
      <c r="U313" s="232"/>
      <c r="V313" s="15"/>
      <c r="W313" s="15"/>
      <c r="X313" s="15"/>
      <c r="Y313" s="15"/>
      <c r="Z313" s="15"/>
      <c r="AA313" s="15"/>
    </row>
    <row r="314" spans="1:27" s="25" customFormat="1" ht="12" customHeight="1" x14ac:dyDescent="0.2">
      <c r="A314" s="232"/>
      <c r="B314" s="250"/>
      <c r="C314" s="286"/>
      <c r="D314" s="232"/>
      <c r="E314" s="232"/>
      <c r="F314" s="232"/>
      <c r="G314" s="232"/>
      <c r="H314" s="232"/>
      <c r="I314" s="232"/>
      <c r="J314" s="232"/>
      <c r="K314" s="232"/>
      <c r="L314" s="232"/>
      <c r="M314" s="232"/>
      <c r="N314" s="232"/>
      <c r="O314" s="232"/>
      <c r="P314" s="232"/>
      <c r="Q314" s="232"/>
      <c r="R314" s="232"/>
      <c r="S314" s="232"/>
      <c r="T314" s="232"/>
      <c r="U314" s="232"/>
      <c r="V314" s="15"/>
      <c r="W314" s="15"/>
      <c r="X314" s="15"/>
      <c r="Y314" s="15"/>
      <c r="Z314" s="15"/>
      <c r="AA314" s="15"/>
    </row>
    <row r="315" spans="1:27" s="25" customFormat="1" ht="12" customHeight="1" x14ac:dyDescent="0.2">
      <c r="A315" s="232"/>
      <c r="B315" s="250"/>
      <c r="C315" s="286"/>
      <c r="D315" s="232"/>
      <c r="E315" s="232"/>
      <c r="F315" s="232"/>
      <c r="G315" s="232"/>
      <c r="H315" s="232"/>
      <c r="I315" s="232"/>
      <c r="J315" s="232"/>
      <c r="K315" s="232"/>
      <c r="L315" s="232"/>
      <c r="M315" s="232"/>
      <c r="N315" s="232"/>
      <c r="O315" s="232"/>
      <c r="P315" s="232"/>
      <c r="Q315" s="232"/>
      <c r="R315" s="232"/>
      <c r="S315" s="232"/>
      <c r="T315" s="232"/>
      <c r="U315" s="232"/>
      <c r="V315" s="15"/>
      <c r="W315" s="15"/>
      <c r="X315" s="15"/>
      <c r="Y315" s="15"/>
      <c r="Z315" s="15"/>
      <c r="AA315" s="15"/>
    </row>
    <row r="316" spans="1:27" s="25" customFormat="1" ht="12" customHeight="1" x14ac:dyDescent="0.2">
      <c r="A316" s="232"/>
      <c r="B316" s="250"/>
      <c r="C316" s="286"/>
      <c r="D316" s="232"/>
      <c r="E316" s="232"/>
      <c r="F316" s="232"/>
      <c r="G316" s="232"/>
      <c r="H316" s="232"/>
      <c r="I316" s="232"/>
      <c r="J316" s="232"/>
      <c r="K316" s="232"/>
      <c r="L316" s="232"/>
      <c r="M316" s="232"/>
      <c r="N316" s="232"/>
      <c r="O316" s="232"/>
      <c r="P316" s="232"/>
      <c r="Q316" s="232"/>
      <c r="R316" s="232"/>
      <c r="S316" s="232"/>
      <c r="T316" s="232"/>
      <c r="U316" s="232"/>
      <c r="V316" s="15"/>
      <c r="W316" s="15"/>
      <c r="X316" s="15"/>
      <c r="Y316" s="15"/>
      <c r="Z316" s="15"/>
      <c r="AA316" s="15"/>
    </row>
    <row r="317" spans="1:27" s="25" customFormat="1" ht="12" customHeight="1" x14ac:dyDescent="0.2">
      <c r="A317" s="232"/>
      <c r="B317" s="250"/>
      <c r="C317" s="286"/>
      <c r="D317" s="232"/>
      <c r="E317" s="232"/>
      <c r="F317" s="232"/>
      <c r="G317" s="232"/>
      <c r="H317" s="232"/>
      <c r="I317" s="232"/>
      <c r="J317" s="232"/>
      <c r="K317" s="232"/>
      <c r="L317" s="232"/>
      <c r="M317" s="232"/>
      <c r="N317" s="232"/>
      <c r="O317" s="232"/>
      <c r="P317" s="232"/>
      <c r="Q317" s="232"/>
      <c r="R317" s="232"/>
      <c r="S317" s="232"/>
      <c r="T317" s="232"/>
      <c r="U317" s="232"/>
      <c r="V317" s="15"/>
      <c r="W317" s="15"/>
      <c r="X317" s="15"/>
      <c r="Y317" s="15"/>
      <c r="Z317" s="15"/>
      <c r="AA317" s="15"/>
    </row>
    <row r="318" spans="1:27" s="25" customFormat="1" ht="12" customHeight="1" x14ac:dyDescent="0.2">
      <c r="A318" s="232"/>
      <c r="B318" s="250"/>
      <c r="C318" s="286"/>
      <c r="D318" s="232"/>
      <c r="E318" s="232"/>
      <c r="F318" s="232"/>
      <c r="G318" s="232"/>
      <c r="H318" s="232"/>
      <c r="I318" s="232"/>
      <c r="J318" s="232"/>
      <c r="K318" s="232"/>
      <c r="L318" s="232"/>
      <c r="M318" s="232"/>
      <c r="N318" s="232"/>
      <c r="O318" s="232"/>
      <c r="P318" s="232"/>
      <c r="Q318" s="232"/>
      <c r="R318" s="232"/>
      <c r="S318" s="232"/>
      <c r="T318" s="232"/>
      <c r="U318" s="232"/>
      <c r="V318" s="15"/>
      <c r="W318" s="15"/>
      <c r="X318" s="15"/>
      <c r="Y318" s="15"/>
      <c r="Z318" s="15"/>
      <c r="AA318" s="15"/>
    </row>
    <row r="319" spans="1:27" s="25" customFormat="1" ht="12" customHeight="1" x14ac:dyDescent="0.2">
      <c r="A319" s="232"/>
      <c r="B319" s="250"/>
      <c r="C319" s="286"/>
      <c r="D319" s="232"/>
      <c r="E319" s="232"/>
      <c r="F319" s="232"/>
      <c r="G319" s="232"/>
      <c r="H319" s="232"/>
      <c r="I319" s="232"/>
      <c r="J319" s="232"/>
      <c r="K319" s="232"/>
      <c r="L319" s="232"/>
      <c r="M319" s="232"/>
      <c r="N319" s="232"/>
      <c r="O319" s="232"/>
      <c r="P319" s="232"/>
      <c r="Q319" s="232"/>
      <c r="R319" s="232"/>
      <c r="S319" s="232"/>
      <c r="T319" s="232"/>
      <c r="U319" s="232"/>
      <c r="V319" s="15"/>
      <c r="W319" s="15"/>
      <c r="X319" s="15"/>
      <c r="Y319" s="15"/>
      <c r="Z319" s="15"/>
      <c r="AA319" s="15"/>
    </row>
    <row r="320" spans="1:27" s="25" customFormat="1" ht="12" customHeight="1" x14ac:dyDescent="0.2">
      <c r="A320" s="232"/>
      <c r="B320" s="250"/>
      <c r="C320" s="286"/>
      <c r="D320" s="232"/>
      <c r="E320" s="232"/>
      <c r="F320" s="232"/>
      <c r="G320" s="232"/>
      <c r="H320" s="232"/>
      <c r="I320" s="232"/>
      <c r="J320" s="232"/>
      <c r="K320" s="232"/>
      <c r="L320" s="232"/>
      <c r="M320" s="232"/>
      <c r="N320" s="232"/>
      <c r="O320" s="232"/>
      <c r="P320" s="232"/>
      <c r="Q320" s="232"/>
      <c r="R320" s="232"/>
      <c r="S320" s="232"/>
      <c r="T320" s="232"/>
      <c r="U320" s="232"/>
      <c r="V320" s="15"/>
      <c r="W320" s="15"/>
      <c r="X320" s="15"/>
      <c r="Y320" s="15"/>
      <c r="Z320" s="15"/>
      <c r="AA320" s="15"/>
    </row>
    <row r="321" spans="1:27" s="25" customFormat="1" ht="12" customHeight="1" x14ac:dyDescent="0.2">
      <c r="A321" s="232"/>
      <c r="B321" s="250"/>
      <c r="C321" s="286"/>
      <c r="D321" s="232"/>
      <c r="E321" s="232"/>
      <c r="F321" s="232"/>
      <c r="G321" s="232"/>
      <c r="H321" s="232"/>
      <c r="I321" s="232"/>
      <c r="J321" s="232"/>
      <c r="K321" s="232"/>
      <c r="L321" s="232"/>
      <c r="M321" s="232"/>
      <c r="N321" s="232"/>
      <c r="O321" s="232"/>
      <c r="P321" s="232"/>
      <c r="Q321" s="232"/>
      <c r="R321" s="232"/>
      <c r="S321" s="232"/>
      <c r="T321" s="232"/>
      <c r="U321" s="232"/>
      <c r="V321" s="15"/>
      <c r="W321" s="15"/>
      <c r="X321" s="15"/>
      <c r="Y321" s="15"/>
      <c r="Z321" s="15"/>
      <c r="AA321" s="15"/>
    </row>
    <row r="322" spans="1:27" s="25" customFormat="1" ht="12" customHeight="1" x14ac:dyDescent="0.2">
      <c r="A322" s="232"/>
      <c r="B322" s="250"/>
      <c r="C322" s="286"/>
      <c r="D322" s="232"/>
      <c r="E322" s="232"/>
      <c r="F322" s="232"/>
      <c r="G322" s="232"/>
      <c r="H322" s="232"/>
      <c r="I322" s="232"/>
      <c r="J322" s="232"/>
      <c r="K322" s="232"/>
      <c r="L322" s="232"/>
      <c r="M322" s="232"/>
      <c r="N322" s="232"/>
      <c r="O322" s="232"/>
      <c r="P322" s="232"/>
      <c r="Q322" s="232"/>
      <c r="R322" s="232"/>
      <c r="S322" s="232"/>
      <c r="T322" s="232"/>
      <c r="U322" s="232"/>
      <c r="V322" s="15"/>
      <c r="W322" s="15"/>
      <c r="X322" s="15"/>
      <c r="Y322" s="15"/>
      <c r="Z322" s="15"/>
      <c r="AA322" s="15"/>
    </row>
    <row r="323" spans="1:27" s="25" customFormat="1" ht="12" customHeight="1" x14ac:dyDescent="0.2">
      <c r="A323" s="232"/>
      <c r="B323" s="250"/>
      <c r="C323" s="286"/>
      <c r="D323" s="232"/>
      <c r="E323" s="232"/>
      <c r="F323" s="232"/>
      <c r="G323" s="232"/>
      <c r="H323" s="232"/>
      <c r="I323" s="232"/>
      <c r="J323" s="232"/>
      <c r="K323" s="232"/>
      <c r="L323" s="232"/>
      <c r="M323" s="232"/>
      <c r="N323" s="232"/>
      <c r="O323" s="232"/>
      <c r="P323" s="232"/>
      <c r="Q323" s="232"/>
      <c r="R323" s="232"/>
      <c r="S323" s="232"/>
      <c r="T323" s="232"/>
      <c r="U323" s="232"/>
      <c r="V323" s="15"/>
      <c r="W323" s="15"/>
      <c r="X323" s="15"/>
      <c r="Y323" s="15"/>
      <c r="Z323" s="15"/>
      <c r="AA323" s="15"/>
    </row>
    <row r="324" spans="1:27" s="25" customFormat="1" ht="12" customHeight="1" x14ac:dyDescent="0.2">
      <c r="A324" s="232"/>
      <c r="B324" s="250"/>
      <c r="C324" s="286"/>
      <c r="D324" s="232"/>
      <c r="E324" s="232"/>
      <c r="F324" s="232"/>
      <c r="G324" s="232"/>
      <c r="H324" s="232"/>
      <c r="I324" s="232"/>
      <c r="J324" s="232"/>
      <c r="K324" s="232"/>
      <c r="L324" s="232"/>
      <c r="M324" s="232"/>
      <c r="N324" s="232"/>
      <c r="O324" s="232"/>
      <c r="P324" s="232"/>
      <c r="Q324" s="232"/>
      <c r="R324" s="232"/>
      <c r="S324" s="232"/>
      <c r="T324" s="232"/>
      <c r="U324" s="232"/>
      <c r="V324" s="15"/>
      <c r="W324" s="15"/>
      <c r="X324" s="15"/>
      <c r="Y324" s="15"/>
      <c r="Z324" s="15"/>
      <c r="AA324" s="15"/>
    </row>
    <row r="325" spans="1:27" s="25" customFormat="1" ht="12" customHeight="1" x14ac:dyDescent="0.2">
      <c r="A325" s="232"/>
      <c r="B325" s="250"/>
      <c r="C325" s="286"/>
      <c r="D325" s="232"/>
      <c r="E325" s="232"/>
      <c r="F325" s="232"/>
      <c r="G325" s="232"/>
      <c r="H325" s="232"/>
      <c r="I325" s="232"/>
      <c r="J325" s="232"/>
      <c r="K325" s="232"/>
      <c r="L325" s="232"/>
      <c r="M325" s="232"/>
      <c r="N325" s="232"/>
      <c r="O325" s="232"/>
      <c r="P325" s="232"/>
      <c r="Q325" s="232"/>
      <c r="R325" s="232"/>
      <c r="S325" s="232"/>
      <c r="T325" s="232"/>
      <c r="U325" s="232"/>
      <c r="V325" s="15"/>
      <c r="W325" s="15"/>
      <c r="X325" s="15"/>
      <c r="Y325" s="15"/>
      <c r="Z325" s="15"/>
      <c r="AA325" s="15"/>
    </row>
    <row r="326" spans="1:27" s="25" customFormat="1" ht="12" customHeight="1" x14ac:dyDescent="0.2">
      <c r="A326" s="232"/>
      <c r="B326" s="250"/>
      <c r="C326" s="286"/>
      <c r="D326" s="232"/>
      <c r="E326" s="232"/>
      <c r="F326" s="232"/>
      <c r="G326" s="232"/>
      <c r="H326" s="232"/>
      <c r="I326" s="232"/>
      <c r="J326" s="232"/>
      <c r="K326" s="232"/>
      <c r="L326" s="232"/>
      <c r="M326" s="232"/>
      <c r="N326" s="232"/>
      <c r="O326" s="232"/>
      <c r="P326" s="232"/>
      <c r="Q326" s="232"/>
      <c r="R326" s="232"/>
      <c r="S326" s="232"/>
      <c r="T326" s="232"/>
      <c r="U326" s="232"/>
      <c r="V326" s="15"/>
      <c r="W326" s="15"/>
      <c r="X326" s="15"/>
      <c r="Y326" s="15"/>
      <c r="Z326" s="15"/>
      <c r="AA326" s="15"/>
    </row>
    <row r="327" spans="1:27" s="25" customFormat="1" ht="12" customHeight="1" x14ac:dyDescent="0.2">
      <c r="A327" s="232"/>
      <c r="B327" s="250"/>
      <c r="C327" s="286"/>
      <c r="D327" s="232"/>
      <c r="E327" s="232"/>
      <c r="F327" s="232"/>
      <c r="G327" s="232"/>
      <c r="H327" s="232"/>
      <c r="I327" s="232"/>
      <c r="J327" s="232"/>
      <c r="K327" s="232"/>
      <c r="L327" s="232"/>
      <c r="M327" s="232"/>
      <c r="N327" s="232"/>
      <c r="O327" s="232"/>
      <c r="P327" s="232"/>
      <c r="Q327" s="232"/>
      <c r="R327" s="232"/>
      <c r="S327" s="232"/>
      <c r="T327" s="232"/>
      <c r="U327" s="232"/>
      <c r="V327" s="15"/>
      <c r="W327" s="15"/>
      <c r="X327" s="15"/>
      <c r="Y327" s="15"/>
      <c r="Z327" s="15"/>
      <c r="AA327" s="15"/>
    </row>
    <row r="328" spans="1:27" s="25" customFormat="1" ht="12" customHeight="1" x14ac:dyDescent="0.2">
      <c r="A328" s="232"/>
      <c r="B328" s="250"/>
      <c r="C328" s="286"/>
      <c r="D328" s="232"/>
      <c r="E328" s="232"/>
      <c r="F328" s="232"/>
      <c r="G328" s="232"/>
      <c r="H328" s="232"/>
      <c r="I328" s="232"/>
      <c r="J328" s="232"/>
      <c r="K328" s="232"/>
      <c r="L328" s="232"/>
      <c r="M328" s="232"/>
      <c r="N328" s="232"/>
      <c r="O328" s="232"/>
      <c r="P328" s="232"/>
      <c r="Q328" s="232"/>
      <c r="R328" s="232"/>
      <c r="S328" s="232"/>
      <c r="T328" s="232"/>
      <c r="U328" s="232"/>
      <c r="V328" s="15"/>
      <c r="W328" s="15"/>
      <c r="X328" s="15"/>
      <c r="Y328" s="15"/>
      <c r="Z328" s="15"/>
      <c r="AA328" s="15"/>
    </row>
    <row r="329" spans="1:27" s="25" customFormat="1" ht="12" customHeight="1" x14ac:dyDescent="0.2">
      <c r="A329" s="232"/>
      <c r="B329" s="250"/>
      <c r="C329" s="286"/>
      <c r="D329" s="232"/>
      <c r="E329" s="232"/>
      <c r="F329" s="232"/>
      <c r="G329" s="232"/>
      <c r="H329" s="232"/>
      <c r="I329" s="232"/>
      <c r="J329" s="232"/>
      <c r="K329" s="232"/>
      <c r="L329" s="232"/>
      <c r="M329" s="232"/>
      <c r="N329" s="232"/>
      <c r="O329" s="232"/>
      <c r="P329" s="232"/>
      <c r="Q329" s="232"/>
      <c r="R329" s="232"/>
      <c r="S329" s="232"/>
      <c r="T329" s="232"/>
      <c r="U329" s="232"/>
      <c r="V329" s="15"/>
      <c r="W329" s="15"/>
      <c r="X329" s="15"/>
      <c r="Y329" s="15"/>
      <c r="Z329" s="15"/>
      <c r="AA329" s="15"/>
    </row>
    <row r="330" spans="1:27" s="25" customFormat="1" ht="12" customHeight="1" x14ac:dyDescent="0.2">
      <c r="A330" s="232"/>
      <c r="B330" s="250"/>
      <c r="C330" s="286"/>
      <c r="D330" s="232"/>
      <c r="E330" s="232"/>
      <c r="F330" s="232"/>
      <c r="G330" s="232"/>
      <c r="H330" s="232"/>
      <c r="I330" s="232"/>
      <c r="J330" s="232"/>
      <c r="K330" s="232"/>
      <c r="L330" s="232"/>
      <c r="M330" s="232"/>
      <c r="N330" s="232"/>
      <c r="O330" s="232"/>
      <c r="P330" s="232"/>
      <c r="Q330" s="232"/>
      <c r="R330" s="232"/>
      <c r="S330" s="232"/>
      <c r="T330" s="232"/>
      <c r="U330" s="232"/>
      <c r="V330" s="15"/>
      <c r="W330" s="15"/>
      <c r="X330" s="15"/>
      <c r="Y330" s="15"/>
      <c r="Z330" s="15"/>
      <c r="AA330" s="15"/>
    </row>
    <row r="331" spans="1:27" s="25" customFormat="1" ht="12" customHeight="1" x14ac:dyDescent="0.2">
      <c r="A331" s="232"/>
      <c r="B331" s="250"/>
      <c r="C331" s="286"/>
      <c r="D331" s="232"/>
      <c r="E331" s="232"/>
      <c r="F331" s="232"/>
      <c r="G331" s="232"/>
      <c r="H331" s="232"/>
      <c r="I331" s="232"/>
      <c r="J331" s="232"/>
      <c r="K331" s="232"/>
      <c r="L331" s="232"/>
      <c r="M331" s="232"/>
      <c r="N331" s="232"/>
      <c r="O331" s="232"/>
      <c r="P331" s="232"/>
      <c r="Q331" s="232"/>
      <c r="R331" s="232"/>
      <c r="S331" s="232"/>
      <c r="T331" s="232"/>
      <c r="U331" s="232"/>
      <c r="V331" s="15"/>
      <c r="W331" s="15"/>
      <c r="X331" s="15"/>
      <c r="Y331" s="15"/>
      <c r="Z331" s="15"/>
      <c r="AA331" s="15"/>
    </row>
    <row r="332" spans="1:27" s="25" customFormat="1" ht="12" customHeight="1" x14ac:dyDescent="0.2">
      <c r="A332" s="232"/>
      <c r="B332" s="250"/>
      <c r="C332" s="286"/>
      <c r="D332" s="232"/>
      <c r="E332" s="232"/>
      <c r="F332" s="232"/>
      <c r="G332" s="232"/>
      <c r="H332" s="232"/>
      <c r="I332" s="232"/>
      <c r="J332" s="232"/>
      <c r="K332" s="232"/>
      <c r="L332" s="232"/>
      <c r="M332" s="232"/>
      <c r="N332" s="232"/>
      <c r="O332" s="232"/>
      <c r="P332" s="232"/>
      <c r="Q332" s="232"/>
      <c r="R332" s="232"/>
      <c r="S332" s="232"/>
      <c r="T332" s="232"/>
      <c r="U332" s="232"/>
      <c r="V332" s="15"/>
      <c r="W332" s="15"/>
      <c r="X332" s="15"/>
      <c r="Y332" s="15"/>
      <c r="Z332" s="15"/>
      <c r="AA332" s="15"/>
    </row>
    <row r="333" spans="1:27" s="25" customFormat="1" ht="12" customHeight="1" x14ac:dyDescent="0.2">
      <c r="A333" s="232"/>
      <c r="B333" s="250"/>
      <c r="C333" s="286"/>
      <c r="D333" s="232"/>
      <c r="E333" s="232"/>
      <c r="F333" s="232"/>
      <c r="G333" s="232"/>
      <c r="H333" s="232"/>
      <c r="I333" s="232"/>
      <c r="J333" s="232"/>
      <c r="K333" s="232"/>
      <c r="L333" s="232"/>
      <c r="M333" s="232"/>
      <c r="N333" s="232"/>
      <c r="O333" s="232"/>
      <c r="P333" s="232"/>
      <c r="Q333" s="232"/>
      <c r="R333" s="232"/>
      <c r="S333" s="232"/>
      <c r="T333" s="232"/>
      <c r="U333" s="232"/>
      <c r="V333" s="15"/>
      <c r="W333" s="15"/>
      <c r="X333" s="15"/>
      <c r="Y333" s="15"/>
      <c r="Z333" s="15"/>
      <c r="AA333" s="15"/>
    </row>
    <row r="334" spans="1:27" s="25" customFormat="1" ht="12" customHeight="1" x14ac:dyDescent="0.2">
      <c r="A334" s="232"/>
      <c r="B334" s="250"/>
      <c r="C334" s="286"/>
      <c r="D334" s="232"/>
      <c r="E334" s="232"/>
      <c r="F334" s="232"/>
      <c r="G334" s="232"/>
      <c r="H334" s="232"/>
      <c r="I334" s="232"/>
      <c r="J334" s="232"/>
      <c r="K334" s="232"/>
      <c r="L334" s="232"/>
      <c r="M334" s="232"/>
      <c r="N334" s="232"/>
      <c r="O334" s="232"/>
      <c r="P334" s="232"/>
      <c r="Q334" s="232"/>
      <c r="R334" s="232"/>
      <c r="S334" s="232"/>
      <c r="T334" s="232"/>
      <c r="U334" s="232"/>
      <c r="V334" s="15"/>
      <c r="W334" s="15"/>
      <c r="X334" s="15"/>
      <c r="Y334" s="15"/>
      <c r="Z334" s="15"/>
      <c r="AA334" s="15"/>
    </row>
    <row r="335" spans="1:27" s="25" customFormat="1" ht="12" customHeight="1" x14ac:dyDescent="0.2">
      <c r="A335" s="232"/>
      <c r="B335" s="250"/>
      <c r="C335" s="286"/>
      <c r="D335" s="232"/>
      <c r="E335" s="232"/>
      <c r="F335" s="232"/>
      <c r="G335" s="232"/>
      <c r="H335" s="232"/>
      <c r="I335" s="232"/>
      <c r="J335" s="232"/>
      <c r="K335" s="232"/>
      <c r="L335" s="232"/>
      <c r="M335" s="232"/>
      <c r="N335" s="232"/>
      <c r="O335" s="232"/>
      <c r="P335" s="232"/>
      <c r="Q335" s="232"/>
      <c r="R335" s="232"/>
      <c r="S335" s="232"/>
      <c r="T335" s="232"/>
      <c r="U335" s="232"/>
      <c r="V335" s="15"/>
      <c r="W335" s="15"/>
      <c r="X335" s="15"/>
      <c r="Y335" s="15"/>
      <c r="Z335" s="15"/>
      <c r="AA335" s="15"/>
    </row>
    <row r="336" spans="1:27" s="25" customFormat="1" ht="12" customHeight="1" x14ac:dyDescent="0.2">
      <c r="A336" s="232"/>
      <c r="B336" s="250"/>
      <c r="C336" s="286"/>
      <c r="D336" s="232"/>
      <c r="E336" s="232"/>
      <c r="F336" s="232"/>
      <c r="G336" s="232"/>
      <c r="H336" s="232"/>
      <c r="I336" s="232"/>
      <c r="J336" s="232"/>
      <c r="K336" s="232"/>
      <c r="L336" s="232"/>
      <c r="M336" s="232"/>
      <c r="N336" s="232"/>
      <c r="O336" s="232"/>
      <c r="P336" s="232"/>
      <c r="Q336" s="232"/>
      <c r="R336" s="232"/>
      <c r="S336" s="232"/>
      <c r="T336" s="232"/>
      <c r="U336" s="232"/>
      <c r="V336" s="15"/>
      <c r="W336" s="15"/>
      <c r="X336" s="15"/>
      <c r="Y336" s="15"/>
      <c r="Z336" s="15"/>
      <c r="AA336" s="15"/>
    </row>
    <row r="337" spans="1:27" s="25" customFormat="1" ht="12" customHeight="1" x14ac:dyDescent="0.2">
      <c r="A337" s="232"/>
      <c r="B337" s="250"/>
      <c r="C337" s="286"/>
      <c r="D337" s="232"/>
      <c r="E337" s="232"/>
      <c r="F337" s="232"/>
      <c r="G337" s="232"/>
      <c r="H337" s="232"/>
      <c r="I337" s="232"/>
      <c r="J337" s="232"/>
      <c r="K337" s="232"/>
      <c r="L337" s="232"/>
      <c r="M337" s="232"/>
      <c r="N337" s="232"/>
      <c r="O337" s="232"/>
      <c r="P337" s="232"/>
      <c r="Q337" s="232"/>
      <c r="R337" s="232"/>
      <c r="S337" s="232"/>
      <c r="T337" s="232"/>
      <c r="U337" s="232"/>
      <c r="V337" s="15"/>
      <c r="W337" s="15"/>
      <c r="X337" s="15"/>
      <c r="Y337" s="15"/>
      <c r="Z337" s="15"/>
      <c r="AA337" s="15"/>
    </row>
    <row r="338" spans="1:27" s="25" customFormat="1" ht="12" customHeight="1" x14ac:dyDescent="0.2">
      <c r="A338" s="232"/>
      <c r="B338" s="250"/>
      <c r="C338" s="286"/>
      <c r="D338" s="232"/>
      <c r="E338" s="232"/>
      <c r="F338" s="232"/>
      <c r="G338" s="232"/>
      <c r="H338" s="232"/>
      <c r="I338" s="232"/>
      <c r="J338" s="232"/>
      <c r="K338" s="232"/>
      <c r="L338" s="232"/>
      <c r="M338" s="232"/>
      <c r="N338" s="232"/>
      <c r="O338" s="232"/>
      <c r="P338" s="232"/>
      <c r="Q338" s="232"/>
      <c r="R338" s="232"/>
      <c r="S338" s="232"/>
      <c r="T338" s="232"/>
      <c r="U338" s="232"/>
      <c r="V338" s="15"/>
      <c r="W338" s="15"/>
      <c r="X338" s="15"/>
      <c r="Y338" s="15"/>
      <c r="Z338" s="15"/>
      <c r="AA338" s="15"/>
    </row>
    <row r="339" spans="1:27" s="25" customFormat="1" ht="12" customHeight="1" x14ac:dyDescent="0.2">
      <c r="A339" s="232"/>
      <c r="B339" s="250"/>
      <c r="C339" s="286"/>
      <c r="D339" s="232"/>
      <c r="E339" s="232"/>
      <c r="F339" s="232"/>
      <c r="G339" s="232"/>
      <c r="H339" s="232"/>
      <c r="I339" s="232"/>
      <c r="J339" s="232"/>
      <c r="K339" s="232"/>
      <c r="L339" s="232"/>
      <c r="M339" s="232"/>
      <c r="N339" s="232"/>
      <c r="O339" s="232"/>
      <c r="P339" s="232"/>
      <c r="Q339" s="232"/>
      <c r="R339" s="232"/>
      <c r="S339" s="232"/>
      <c r="T339" s="232"/>
      <c r="U339" s="232"/>
      <c r="V339" s="15"/>
      <c r="W339" s="15"/>
      <c r="X339" s="15"/>
      <c r="Y339" s="15"/>
      <c r="Z339" s="15"/>
      <c r="AA339" s="15"/>
    </row>
    <row r="340" spans="1:27" s="25" customFormat="1" ht="12" customHeight="1" x14ac:dyDescent="0.2">
      <c r="A340" s="232"/>
      <c r="B340" s="250"/>
      <c r="C340" s="286"/>
      <c r="D340" s="232"/>
      <c r="E340" s="232"/>
      <c r="F340" s="232"/>
      <c r="G340" s="232"/>
      <c r="H340" s="232"/>
      <c r="I340" s="232"/>
      <c r="J340" s="232"/>
      <c r="K340" s="232"/>
      <c r="L340" s="232"/>
      <c r="M340" s="232"/>
      <c r="N340" s="232"/>
      <c r="O340" s="232"/>
      <c r="P340" s="232"/>
      <c r="Q340" s="232"/>
      <c r="R340" s="232"/>
      <c r="S340" s="232"/>
      <c r="T340" s="232"/>
      <c r="U340" s="232"/>
      <c r="V340" s="15"/>
      <c r="W340" s="15"/>
      <c r="X340" s="15"/>
      <c r="Y340" s="15"/>
      <c r="Z340" s="15"/>
      <c r="AA340" s="15"/>
    </row>
    <row r="341" spans="1:27" s="25" customFormat="1" ht="12" customHeight="1" x14ac:dyDescent="0.2">
      <c r="A341" s="232"/>
      <c r="B341" s="250"/>
      <c r="C341" s="286"/>
      <c r="D341" s="232"/>
      <c r="E341" s="232"/>
      <c r="F341" s="232"/>
      <c r="G341" s="232"/>
      <c r="H341" s="232"/>
      <c r="I341" s="232"/>
      <c r="J341" s="232"/>
      <c r="K341" s="232"/>
      <c r="L341" s="232"/>
      <c r="M341" s="232"/>
      <c r="N341" s="232"/>
      <c r="O341" s="232"/>
      <c r="P341" s="232"/>
      <c r="Q341" s="232"/>
      <c r="R341" s="232"/>
      <c r="S341" s="232"/>
      <c r="T341" s="232"/>
      <c r="U341" s="232"/>
      <c r="V341" s="15"/>
      <c r="W341" s="15"/>
      <c r="X341" s="15"/>
      <c r="Y341" s="15"/>
      <c r="Z341" s="15"/>
      <c r="AA341" s="15"/>
    </row>
    <row r="342" spans="1:27" s="25" customFormat="1" ht="12" customHeight="1" x14ac:dyDescent="0.2">
      <c r="A342" s="232"/>
      <c r="B342" s="250"/>
      <c r="C342" s="286"/>
      <c r="D342" s="232"/>
      <c r="E342" s="232"/>
      <c r="F342" s="232"/>
      <c r="G342" s="232"/>
      <c r="H342" s="232"/>
      <c r="I342" s="232"/>
      <c r="J342" s="232"/>
      <c r="K342" s="232"/>
      <c r="L342" s="232"/>
      <c r="M342" s="232"/>
      <c r="N342" s="232"/>
      <c r="O342" s="232"/>
      <c r="P342" s="232"/>
      <c r="Q342" s="232"/>
      <c r="R342" s="232"/>
      <c r="S342" s="232"/>
      <c r="T342" s="232"/>
      <c r="U342" s="232"/>
      <c r="V342" s="15"/>
      <c r="W342" s="15"/>
      <c r="X342" s="15"/>
      <c r="Y342" s="15"/>
      <c r="Z342" s="15"/>
      <c r="AA342" s="15"/>
    </row>
    <row r="343" spans="1:27" s="25" customFormat="1" ht="12" customHeight="1" x14ac:dyDescent="0.2">
      <c r="A343" s="232"/>
      <c r="B343" s="250"/>
      <c r="C343" s="286"/>
      <c r="D343" s="232"/>
      <c r="E343" s="232"/>
      <c r="F343" s="232"/>
      <c r="G343" s="232"/>
      <c r="H343" s="232"/>
      <c r="I343" s="232"/>
      <c r="J343" s="232"/>
      <c r="K343" s="232"/>
      <c r="L343" s="232"/>
      <c r="M343" s="232"/>
      <c r="N343" s="232"/>
      <c r="O343" s="232"/>
      <c r="P343" s="232"/>
      <c r="Q343" s="232"/>
      <c r="R343" s="232"/>
      <c r="S343" s="232"/>
      <c r="T343" s="232"/>
      <c r="U343" s="232"/>
      <c r="V343" s="15"/>
      <c r="W343" s="15"/>
      <c r="X343" s="15"/>
      <c r="Y343" s="15"/>
      <c r="Z343" s="15"/>
      <c r="AA343" s="15"/>
    </row>
    <row r="344" spans="1:27" s="25" customFormat="1" ht="12" customHeight="1" x14ac:dyDescent="0.2">
      <c r="A344" s="232"/>
      <c r="B344" s="250"/>
      <c r="C344" s="286"/>
      <c r="D344" s="232"/>
      <c r="E344" s="232"/>
      <c r="F344" s="232"/>
      <c r="G344" s="232"/>
      <c r="H344" s="232"/>
      <c r="I344" s="232"/>
      <c r="J344" s="232"/>
      <c r="K344" s="232"/>
      <c r="L344" s="232"/>
      <c r="M344" s="232"/>
      <c r="N344" s="232"/>
      <c r="O344" s="232"/>
      <c r="P344" s="232"/>
      <c r="Q344" s="232"/>
      <c r="R344" s="232"/>
      <c r="S344" s="232"/>
      <c r="T344" s="232"/>
      <c r="U344" s="232"/>
      <c r="V344" s="15"/>
      <c r="W344" s="15"/>
      <c r="X344" s="15"/>
      <c r="Y344" s="15"/>
      <c r="Z344" s="15"/>
      <c r="AA344" s="15"/>
    </row>
    <row r="345" spans="1:27" s="25" customFormat="1" ht="12" customHeight="1" x14ac:dyDescent="0.2">
      <c r="A345" s="232"/>
      <c r="B345" s="250"/>
      <c r="C345" s="286"/>
      <c r="D345" s="232"/>
      <c r="E345" s="232"/>
      <c r="F345" s="232"/>
      <c r="G345" s="232"/>
      <c r="H345" s="232"/>
      <c r="I345" s="232"/>
      <c r="J345" s="232"/>
      <c r="K345" s="232"/>
      <c r="L345" s="232"/>
      <c r="M345" s="232"/>
      <c r="N345" s="232"/>
      <c r="O345" s="232"/>
      <c r="P345" s="232"/>
      <c r="Q345" s="232"/>
      <c r="R345" s="232"/>
      <c r="S345" s="232"/>
      <c r="T345" s="232"/>
      <c r="U345" s="232"/>
      <c r="V345" s="15"/>
      <c r="W345" s="15"/>
      <c r="X345" s="15"/>
      <c r="Y345" s="15"/>
      <c r="Z345" s="15"/>
      <c r="AA345" s="15"/>
    </row>
    <row r="346" spans="1:27" s="25" customFormat="1" ht="12" customHeight="1" x14ac:dyDescent="0.2">
      <c r="A346" s="232"/>
      <c r="B346" s="250"/>
      <c r="C346" s="286"/>
      <c r="D346" s="232"/>
      <c r="E346" s="232"/>
      <c r="F346" s="232"/>
      <c r="G346" s="232"/>
      <c r="H346" s="232"/>
      <c r="I346" s="232"/>
      <c r="J346" s="232"/>
      <c r="K346" s="232"/>
      <c r="L346" s="232"/>
      <c r="M346" s="232"/>
      <c r="N346" s="232"/>
      <c r="O346" s="232"/>
      <c r="P346" s="232"/>
      <c r="Q346" s="232"/>
      <c r="R346" s="232"/>
      <c r="S346" s="232"/>
      <c r="T346" s="232"/>
      <c r="U346" s="232"/>
      <c r="V346" s="15"/>
      <c r="W346" s="15"/>
      <c r="X346" s="15"/>
      <c r="Y346" s="15"/>
      <c r="Z346" s="15"/>
      <c r="AA346" s="15"/>
    </row>
    <row r="347" spans="1:27" s="25" customFormat="1" ht="12" customHeight="1" x14ac:dyDescent="0.2">
      <c r="A347" s="232"/>
      <c r="B347" s="250"/>
      <c r="C347" s="286"/>
      <c r="D347" s="232"/>
      <c r="E347" s="232"/>
      <c r="F347" s="232"/>
      <c r="G347" s="232"/>
      <c r="H347" s="232"/>
      <c r="I347" s="232"/>
      <c r="J347" s="232"/>
      <c r="K347" s="232"/>
      <c r="L347" s="232"/>
      <c r="M347" s="232"/>
      <c r="N347" s="232"/>
      <c r="O347" s="232"/>
      <c r="P347" s="232"/>
      <c r="Q347" s="232"/>
      <c r="R347" s="232"/>
      <c r="S347" s="232"/>
      <c r="T347" s="232"/>
      <c r="U347" s="232"/>
      <c r="V347" s="15"/>
      <c r="W347" s="15"/>
      <c r="X347" s="15"/>
      <c r="Y347" s="15"/>
      <c r="Z347" s="15"/>
      <c r="AA347" s="15"/>
    </row>
    <row r="348" spans="1:27" s="25" customFormat="1" ht="12" customHeight="1" x14ac:dyDescent="0.2">
      <c r="A348" s="232"/>
      <c r="B348" s="250"/>
      <c r="C348" s="286"/>
      <c r="D348" s="232"/>
      <c r="E348" s="232"/>
      <c r="F348" s="232"/>
      <c r="G348" s="232"/>
      <c r="H348" s="232"/>
      <c r="I348" s="232"/>
      <c r="J348" s="232"/>
      <c r="K348" s="232"/>
      <c r="L348" s="232"/>
      <c r="M348" s="232"/>
      <c r="N348" s="232"/>
      <c r="O348" s="232"/>
      <c r="P348" s="232"/>
      <c r="Q348" s="232"/>
      <c r="R348" s="232"/>
      <c r="S348" s="232"/>
      <c r="T348" s="232"/>
      <c r="U348" s="232"/>
      <c r="V348" s="15"/>
      <c r="W348" s="15"/>
      <c r="X348" s="15"/>
      <c r="Y348" s="15"/>
      <c r="Z348" s="15"/>
      <c r="AA348" s="15"/>
    </row>
    <row r="349" spans="1:27" s="25" customFormat="1" ht="12" customHeight="1" x14ac:dyDescent="0.2">
      <c r="A349" s="232"/>
      <c r="B349" s="250"/>
      <c r="C349" s="286"/>
      <c r="D349" s="232"/>
      <c r="E349" s="232"/>
      <c r="F349" s="232"/>
      <c r="G349" s="232"/>
      <c r="H349" s="232"/>
      <c r="I349" s="232"/>
      <c r="J349" s="232"/>
      <c r="K349" s="232"/>
      <c r="L349" s="232"/>
      <c r="M349" s="232"/>
      <c r="N349" s="232"/>
      <c r="O349" s="232"/>
      <c r="P349" s="232"/>
      <c r="Q349" s="232"/>
      <c r="R349" s="232"/>
      <c r="S349" s="232"/>
      <c r="T349" s="232"/>
      <c r="U349" s="232"/>
      <c r="V349" s="15"/>
      <c r="W349" s="15"/>
      <c r="X349" s="15"/>
      <c r="Y349" s="15"/>
      <c r="Z349" s="15"/>
      <c r="AA349" s="15"/>
    </row>
    <row r="350" spans="1:27" s="25" customFormat="1" ht="12" customHeight="1" x14ac:dyDescent="0.2">
      <c r="A350" s="232"/>
      <c r="B350" s="250"/>
      <c r="C350" s="286"/>
      <c r="D350" s="232"/>
      <c r="E350" s="232"/>
      <c r="F350" s="232"/>
      <c r="G350" s="232"/>
      <c r="H350" s="232"/>
      <c r="I350" s="232"/>
      <c r="J350" s="232"/>
      <c r="K350" s="232"/>
      <c r="L350" s="232"/>
      <c r="M350" s="232"/>
      <c r="N350" s="232"/>
      <c r="O350" s="232"/>
      <c r="P350" s="232"/>
      <c r="Q350" s="232"/>
      <c r="R350" s="232"/>
      <c r="S350" s="232"/>
      <c r="T350" s="232"/>
      <c r="U350" s="232"/>
      <c r="V350" s="15"/>
      <c r="W350" s="15"/>
      <c r="X350" s="15"/>
      <c r="Y350" s="15"/>
      <c r="Z350" s="15"/>
      <c r="AA350" s="15"/>
    </row>
    <row r="351" spans="1:27" s="25" customFormat="1" ht="12" customHeight="1" x14ac:dyDescent="0.2">
      <c r="A351" s="232"/>
      <c r="B351" s="250"/>
      <c r="C351" s="286"/>
      <c r="D351" s="232"/>
      <c r="E351" s="232"/>
      <c r="F351" s="232"/>
      <c r="G351" s="232"/>
      <c r="H351" s="232"/>
      <c r="I351" s="232"/>
      <c r="J351" s="232"/>
      <c r="K351" s="232"/>
      <c r="L351" s="232"/>
      <c r="M351" s="232"/>
      <c r="N351" s="232"/>
      <c r="O351" s="232"/>
      <c r="P351" s="232"/>
      <c r="Q351" s="232"/>
      <c r="R351" s="232"/>
      <c r="S351" s="232"/>
      <c r="T351" s="232"/>
      <c r="U351" s="232"/>
      <c r="V351" s="15"/>
      <c r="W351" s="15"/>
      <c r="X351" s="15"/>
      <c r="Y351" s="15"/>
      <c r="Z351" s="15"/>
      <c r="AA351" s="15"/>
    </row>
    <row r="352" spans="1:27" s="25" customFormat="1" ht="12" customHeight="1" x14ac:dyDescent="0.2">
      <c r="A352" s="232"/>
      <c r="B352" s="250"/>
      <c r="C352" s="286"/>
      <c r="D352" s="232"/>
      <c r="E352" s="232"/>
      <c r="F352" s="232"/>
      <c r="G352" s="232"/>
      <c r="H352" s="232"/>
      <c r="I352" s="232"/>
      <c r="J352" s="232"/>
      <c r="K352" s="232"/>
      <c r="L352" s="232"/>
      <c r="M352" s="232"/>
      <c r="N352" s="232"/>
      <c r="O352" s="232"/>
      <c r="P352" s="232"/>
      <c r="Q352" s="232"/>
      <c r="R352" s="232"/>
      <c r="S352" s="232"/>
      <c r="T352" s="232"/>
      <c r="U352" s="232"/>
      <c r="V352" s="15"/>
      <c r="W352" s="15"/>
      <c r="X352" s="15"/>
      <c r="Y352" s="15"/>
      <c r="Z352" s="15"/>
      <c r="AA352" s="15"/>
    </row>
    <row r="353" spans="1:27" s="25" customFormat="1" ht="12" customHeight="1" x14ac:dyDescent="0.2">
      <c r="A353" s="232"/>
      <c r="B353" s="250"/>
      <c r="C353" s="286"/>
      <c r="D353" s="232"/>
      <c r="E353" s="232"/>
      <c r="F353" s="232"/>
      <c r="G353" s="232"/>
      <c r="H353" s="232"/>
      <c r="I353" s="232"/>
      <c r="J353" s="232"/>
      <c r="K353" s="232"/>
      <c r="L353" s="232"/>
      <c r="M353" s="232"/>
      <c r="N353" s="232"/>
      <c r="O353" s="232"/>
      <c r="P353" s="232"/>
      <c r="Q353" s="232"/>
      <c r="R353" s="232"/>
      <c r="S353" s="232"/>
      <c r="T353" s="232"/>
      <c r="U353" s="232"/>
      <c r="V353" s="15"/>
      <c r="W353" s="15"/>
      <c r="X353" s="15"/>
      <c r="Y353" s="15"/>
      <c r="Z353" s="15"/>
      <c r="AA353" s="15"/>
    </row>
    <row r="354" spans="1:27" s="25" customFormat="1" ht="12" customHeight="1" x14ac:dyDescent="0.2">
      <c r="A354" s="232"/>
      <c r="B354" s="250"/>
      <c r="C354" s="286"/>
      <c r="D354" s="232"/>
      <c r="E354" s="232"/>
      <c r="F354" s="232"/>
      <c r="G354" s="232"/>
      <c r="H354" s="232"/>
      <c r="I354" s="232"/>
      <c r="J354" s="232"/>
      <c r="K354" s="232"/>
      <c r="L354" s="232"/>
      <c r="M354" s="232"/>
      <c r="N354" s="232"/>
      <c r="O354" s="232"/>
      <c r="P354" s="232"/>
      <c r="Q354" s="232"/>
      <c r="R354" s="232"/>
      <c r="S354" s="232"/>
      <c r="T354" s="232"/>
      <c r="U354" s="232"/>
      <c r="V354" s="15"/>
      <c r="W354" s="15"/>
      <c r="X354" s="15"/>
      <c r="Y354" s="15"/>
      <c r="Z354" s="15"/>
      <c r="AA354" s="15"/>
    </row>
    <row r="355" spans="1:27" s="25" customFormat="1" ht="12" customHeight="1" x14ac:dyDescent="0.2">
      <c r="A355" s="232"/>
      <c r="B355" s="250"/>
      <c r="C355" s="286"/>
      <c r="D355" s="232"/>
      <c r="E355" s="232"/>
      <c r="F355" s="232"/>
      <c r="G355" s="232"/>
      <c r="H355" s="232"/>
      <c r="I355" s="232"/>
      <c r="J355" s="232"/>
      <c r="K355" s="232"/>
      <c r="L355" s="232"/>
      <c r="M355" s="232"/>
      <c r="N355" s="232"/>
      <c r="O355" s="232"/>
      <c r="P355" s="232"/>
      <c r="Q355" s="232"/>
      <c r="R355" s="232"/>
      <c r="S355" s="232"/>
      <c r="T355" s="232"/>
      <c r="U355" s="232"/>
      <c r="V355" s="15"/>
      <c r="W355" s="15"/>
      <c r="X355" s="15"/>
      <c r="Y355" s="15"/>
      <c r="Z355" s="15"/>
      <c r="AA355" s="15"/>
    </row>
    <row r="356" spans="1:27" s="25" customFormat="1" ht="12" customHeight="1" x14ac:dyDescent="0.2">
      <c r="A356" s="232"/>
      <c r="B356" s="250"/>
      <c r="C356" s="286"/>
      <c r="D356" s="232"/>
      <c r="E356" s="232"/>
      <c r="F356" s="232"/>
      <c r="G356" s="232"/>
      <c r="H356" s="232"/>
      <c r="I356" s="232"/>
      <c r="J356" s="232"/>
      <c r="K356" s="232"/>
      <c r="L356" s="232"/>
      <c r="M356" s="232"/>
      <c r="N356" s="232"/>
      <c r="O356" s="232"/>
      <c r="P356" s="232"/>
      <c r="Q356" s="232"/>
      <c r="R356" s="232"/>
      <c r="S356" s="232"/>
      <c r="T356" s="232"/>
      <c r="U356" s="232"/>
      <c r="V356" s="15"/>
      <c r="W356" s="15"/>
      <c r="X356" s="15"/>
      <c r="Y356" s="15"/>
      <c r="Z356" s="15"/>
      <c r="AA356" s="15"/>
    </row>
    <row r="357" spans="1:27" s="25" customFormat="1" ht="12" customHeight="1" x14ac:dyDescent="0.2">
      <c r="A357" s="232"/>
      <c r="B357" s="250"/>
      <c r="C357" s="286"/>
      <c r="D357" s="232"/>
      <c r="E357" s="232"/>
      <c r="F357" s="232"/>
      <c r="G357" s="232"/>
      <c r="H357" s="232"/>
      <c r="I357" s="232"/>
      <c r="J357" s="232"/>
      <c r="K357" s="232"/>
      <c r="L357" s="232"/>
      <c r="M357" s="232"/>
      <c r="N357" s="232"/>
      <c r="O357" s="232"/>
      <c r="P357" s="232"/>
      <c r="Q357" s="232"/>
      <c r="R357" s="232"/>
      <c r="S357" s="232"/>
      <c r="T357" s="232"/>
      <c r="U357" s="232"/>
      <c r="V357" s="15"/>
      <c r="W357" s="15"/>
      <c r="X357" s="15"/>
      <c r="Y357" s="15"/>
      <c r="Z357" s="15"/>
      <c r="AA357" s="15"/>
    </row>
    <row r="358" spans="1:27" s="25" customFormat="1" ht="12" customHeight="1" x14ac:dyDescent="0.2">
      <c r="A358" s="232"/>
      <c r="B358" s="250"/>
      <c r="C358" s="286"/>
      <c r="D358" s="232"/>
      <c r="E358" s="232"/>
      <c r="F358" s="232"/>
      <c r="G358" s="232"/>
      <c r="H358" s="232"/>
      <c r="I358" s="232"/>
      <c r="J358" s="232"/>
      <c r="K358" s="232"/>
      <c r="L358" s="232"/>
      <c r="M358" s="232"/>
      <c r="N358" s="232"/>
      <c r="O358" s="232"/>
      <c r="P358" s="232"/>
      <c r="Q358" s="232"/>
      <c r="R358" s="232"/>
      <c r="S358" s="232"/>
      <c r="T358" s="232"/>
      <c r="U358" s="232"/>
      <c r="V358" s="15"/>
      <c r="W358" s="15"/>
      <c r="X358" s="15"/>
      <c r="Y358" s="15"/>
      <c r="Z358" s="15"/>
      <c r="AA358" s="15"/>
    </row>
    <row r="359" spans="1:27" s="25" customFormat="1" ht="12" customHeight="1" x14ac:dyDescent="0.2">
      <c r="A359" s="232"/>
      <c r="B359" s="250"/>
      <c r="C359" s="286"/>
      <c r="D359" s="232"/>
      <c r="E359" s="232"/>
      <c r="F359" s="232"/>
      <c r="G359" s="232"/>
      <c r="H359" s="232"/>
      <c r="I359" s="232"/>
      <c r="J359" s="232"/>
      <c r="K359" s="232"/>
      <c r="L359" s="232"/>
      <c r="M359" s="232"/>
      <c r="N359" s="232"/>
      <c r="O359" s="232"/>
      <c r="P359" s="232"/>
      <c r="Q359" s="232"/>
      <c r="R359" s="232"/>
      <c r="S359" s="232"/>
      <c r="T359" s="232"/>
      <c r="U359" s="232"/>
      <c r="V359" s="15"/>
      <c r="W359" s="15"/>
      <c r="X359" s="15"/>
      <c r="Y359" s="15"/>
      <c r="Z359" s="15"/>
      <c r="AA359" s="15"/>
    </row>
    <row r="360" spans="1:27" s="25" customFormat="1" ht="12" customHeight="1" x14ac:dyDescent="0.2">
      <c r="A360" s="232"/>
      <c r="B360" s="250"/>
      <c r="C360" s="286"/>
      <c r="D360" s="232"/>
      <c r="E360" s="232"/>
      <c r="F360" s="232"/>
      <c r="G360" s="232"/>
      <c r="H360" s="232"/>
      <c r="I360" s="232"/>
      <c r="J360" s="232"/>
      <c r="K360" s="232"/>
      <c r="L360" s="232"/>
      <c r="M360" s="232"/>
      <c r="N360" s="232"/>
      <c r="O360" s="232"/>
      <c r="P360" s="232"/>
      <c r="Q360" s="232"/>
      <c r="R360" s="232"/>
      <c r="S360" s="232"/>
      <c r="T360" s="232"/>
      <c r="U360" s="232"/>
      <c r="V360" s="15"/>
      <c r="W360" s="15"/>
      <c r="X360" s="15"/>
      <c r="Y360" s="15"/>
      <c r="Z360" s="15"/>
      <c r="AA360" s="15"/>
    </row>
    <row r="361" spans="1:27" s="25" customFormat="1" ht="12" customHeight="1" x14ac:dyDescent="0.2">
      <c r="A361" s="232"/>
      <c r="B361" s="250"/>
      <c r="C361" s="286"/>
      <c r="D361" s="232"/>
      <c r="E361" s="232"/>
      <c r="F361" s="232"/>
      <c r="G361" s="232"/>
      <c r="H361" s="232"/>
      <c r="I361" s="232"/>
      <c r="J361" s="232"/>
      <c r="K361" s="232"/>
      <c r="L361" s="232"/>
      <c r="M361" s="232"/>
      <c r="N361" s="232"/>
      <c r="O361" s="232"/>
      <c r="P361" s="232"/>
      <c r="Q361" s="232"/>
      <c r="R361" s="232"/>
      <c r="S361" s="232"/>
      <c r="T361" s="232"/>
      <c r="U361" s="232"/>
      <c r="V361" s="15"/>
      <c r="W361" s="15"/>
      <c r="X361" s="15"/>
      <c r="Y361" s="15"/>
      <c r="Z361" s="15"/>
      <c r="AA361" s="15"/>
    </row>
    <row r="362" spans="1:27" s="25" customFormat="1" ht="12" customHeight="1" x14ac:dyDescent="0.2">
      <c r="A362" s="232"/>
      <c r="B362" s="250"/>
      <c r="C362" s="286"/>
      <c r="D362" s="232"/>
      <c r="E362" s="232"/>
      <c r="F362" s="232"/>
      <c r="G362" s="232"/>
      <c r="H362" s="232"/>
      <c r="I362" s="232"/>
      <c r="J362" s="232"/>
      <c r="K362" s="232"/>
      <c r="L362" s="232"/>
      <c r="M362" s="232"/>
      <c r="N362" s="232"/>
      <c r="O362" s="232"/>
      <c r="P362" s="232"/>
      <c r="Q362" s="232"/>
      <c r="R362" s="232"/>
      <c r="S362" s="232"/>
      <c r="T362" s="232"/>
      <c r="U362" s="232"/>
      <c r="V362" s="15"/>
      <c r="W362" s="15"/>
      <c r="X362" s="15"/>
      <c r="Y362" s="15"/>
      <c r="Z362" s="15"/>
      <c r="AA362" s="15"/>
    </row>
    <row r="363" spans="1:27" s="25" customFormat="1" ht="12" customHeight="1" x14ac:dyDescent="0.2">
      <c r="A363" s="232"/>
      <c r="B363" s="250"/>
      <c r="C363" s="286"/>
      <c r="D363" s="232"/>
      <c r="E363" s="232"/>
      <c r="F363" s="232"/>
      <c r="G363" s="232"/>
      <c r="H363" s="232"/>
      <c r="I363" s="232"/>
      <c r="J363" s="232"/>
      <c r="K363" s="232"/>
      <c r="L363" s="232"/>
      <c r="M363" s="232"/>
      <c r="N363" s="232"/>
      <c r="O363" s="232"/>
      <c r="P363" s="232"/>
      <c r="Q363" s="232"/>
      <c r="R363" s="232"/>
      <c r="S363" s="232"/>
      <c r="T363" s="232"/>
      <c r="U363" s="232"/>
      <c r="V363" s="15"/>
      <c r="W363" s="15"/>
      <c r="X363" s="15"/>
      <c r="Y363" s="15"/>
      <c r="Z363" s="15"/>
      <c r="AA363" s="15"/>
    </row>
    <row r="364" spans="1:27" s="25" customFormat="1" ht="12" customHeight="1" x14ac:dyDescent="0.2">
      <c r="A364" s="232"/>
      <c r="B364" s="250"/>
      <c r="C364" s="286"/>
      <c r="D364" s="232"/>
      <c r="E364" s="232"/>
      <c r="F364" s="232"/>
      <c r="G364" s="232"/>
      <c r="H364" s="232"/>
      <c r="I364" s="232"/>
      <c r="J364" s="232"/>
      <c r="K364" s="232"/>
      <c r="L364" s="232"/>
      <c r="M364" s="232"/>
      <c r="N364" s="232"/>
      <c r="O364" s="232"/>
      <c r="P364" s="232"/>
      <c r="Q364" s="232"/>
      <c r="R364" s="232"/>
      <c r="S364" s="232"/>
      <c r="T364" s="232"/>
      <c r="U364" s="232"/>
      <c r="V364" s="15"/>
      <c r="W364" s="15"/>
      <c r="X364" s="15"/>
      <c r="Y364" s="15"/>
      <c r="Z364" s="15"/>
      <c r="AA364" s="15"/>
    </row>
    <row r="365" spans="1:27" s="25" customFormat="1" ht="12" customHeight="1" x14ac:dyDescent="0.2">
      <c r="A365" s="232"/>
      <c r="B365" s="250"/>
      <c r="C365" s="286"/>
      <c r="D365" s="232"/>
      <c r="E365" s="232"/>
      <c r="F365" s="232"/>
      <c r="G365" s="232"/>
      <c r="H365" s="232"/>
      <c r="I365" s="232"/>
      <c r="J365" s="232"/>
      <c r="K365" s="232"/>
      <c r="L365" s="232"/>
      <c r="M365" s="232"/>
      <c r="N365" s="232"/>
      <c r="O365" s="232"/>
      <c r="P365" s="232"/>
      <c r="Q365" s="232"/>
      <c r="R365" s="232"/>
      <c r="S365" s="232"/>
      <c r="T365" s="232"/>
      <c r="U365" s="232"/>
      <c r="V365" s="15"/>
      <c r="W365" s="15"/>
      <c r="X365" s="15"/>
      <c r="Y365" s="15"/>
      <c r="Z365" s="15"/>
      <c r="AA365" s="15"/>
    </row>
    <row r="366" spans="1:27" s="25" customFormat="1" ht="12" customHeight="1" x14ac:dyDescent="0.2">
      <c r="A366" s="232"/>
      <c r="B366" s="250"/>
      <c r="C366" s="286"/>
      <c r="D366" s="232"/>
      <c r="E366" s="232"/>
      <c r="F366" s="232"/>
      <c r="G366" s="232"/>
      <c r="H366" s="232"/>
      <c r="I366" s="232"/>
      <c r="J366" s="232"/>
      <c r="K366" s="232"/>
      <c r="L366" s="232"/>
      <c r="M366" s="232"/>
      <c r="N366" s="232"/>
      <c r="O366" s="232"/>
      <c r="P366" s="232"/>
      <c r="Q366" s="232"/>
      <c r="R366" s="232"/>
      <c r="S366" s="232"/>
      <c r="T366" s="232"/>
      <c r="U366" s="232"/>
      <c r="V366" s="15"/>
      <c r="W366" s="15"/>
      <c r="X366" s="15"/>
      <c r="Y366" s="15"/>
      <c r="Z366" s="15"/>
      <c r="AA366" s="15"/>
    </row>
    <row r="367" spans="1:27" s="25" customFormat="1" ht="12" customHeight="1" x14ac:dyDescent="0.2">
      <c r="A367" s="232"/>
      <c r="B367" s="250"/>
      <c r="C367" s="286"/>
      <c r="D367" s="232"/>
      <c r="E367" s="232"/>
      <c r="F367" s="232"/>
      <c r="G367" s="232"/>
      <c r="H367" s="232"/>
      <c r="I367" s="232"/>
      <c r="J367" s="232"/>
      <c r="K367" s="232"/>
      <c r="L367" s="232"/>
      <c r="M367" s="232"/>
      <c r="N367" s="232"/>
      <c r="O367" s="232"/>
      <c r="P367" s="232"/>
      <c r="Q367" s="232"/>
      <c r="R367" s="232"/>
      <c r="S367" s="232"/>
      <c r="T367" s="232"/>
      <c r="U367" s="232"/>
      <c r="V367" s="15"/>
      <c r="W367" s="15"/>
      <c r="X367" s="15"/>
      <c r="Y367" s="15"/>
      <c r="Z367" s="15"/>
      <c r="AA367" s="15"/>
    </row>
    <row r="368" spans="1:27" s="25" customFormat="1" ht="12" customHeight="1" x14ac:dyDescent="0.2">
      <c r="A368" s="232"/>
      <c r="B368" s="250"/>
      <c r="C368" s="286"/>
      <c r="D368" s="232"/>
      <c r="E368" s="232"/>
      <c r="F368" s="232"/>
      <c r="G368" s="232"/>
      <c r="H368" s="232"/>
      <c r="I368" s="232"/>
      <c r="J368" s="232"/>
      <c r="K368" s="232"/>
      <c r="L368" s="232"/>
      <c r="M368" s="232"/>
      <c r="N368" s="232"/>
      <c r="O368" s="232"/>
      <c r="P368" s="232"/>
      <c r="Q368" s="232"/>
      <c r="R368" s="232"/>
      <c r="S368" s="232"/>
      <c r="T368" s="232"/>
      <c r="U368" s="232"/>
      <c r="V368" s="15"/>
      <c r="W368" s="15"/>
      <c r="X368" s="15"/>
      <c r="Y368" s="15"/>
      <c r="Z368" s="15"/>
      <c r="AA368" s="15"/>
    </row>
    <row r="369" spans="1:27" s="25" customFormat="1" ht="12" customHeight="1" x14ac:dyDescent="0.2">
      <c r="A369" s="232"/>
      <c r="B369" s="250"/>
      <c r="C369" s="286"/>
      <c r="D369" s="232"/>
      <c r="E369" s="232"/>
      <c r="F369" s="232"/>
      <c r="G369" s="232"/>
      <c r="H369" s="232"/>
      <c r="I369" s="232"/>
      <c r="J369" s="232"/>
      <c r="K369" s="232"/>
      <c r="L369" s="232"/>
      <c r="M369" s="232"/>
      <c r="N369" s="232"/>
      <c r="O369" s="232"/>
      <c r="P369" s="232"/>
      <c r="Q369" s="232"/>
      <c r="R369" s="232"/>
      <c r="S369" s="232"/>
      <c r="T369" s="232"/>
      <c r="U369" s="232"/>
      <c r="V369" s="15"/>
      <c r="W369" s="15"/>
      <c r="X369" s="15"/>
      <c r="Y369" s="15"/>
      <c r="Z369" s="15"/>
      <c r="AA369" s="15"/>
    </row>
    <row r="370" spans="1:27" s="25" customFormat="1" ht="12" customHeight="1" x14ac:dyDescent="0.2">
      <c r="A370" s="232"/>
      <c r="B370" s="250"/>
      <c r="C370" s="286"/>
      <c r="D370" s="232"/>
      <c r="E370" s="232"/>
      <c r="F370" s="232"/>
      <c r="G370" s="232"/>
      <c r="H370" s="232"/>
      <c r="I370" s="232"/>
      <c r="J370" s="232"/>
      <c r="K370" s="232"/>
      <c r="L370" s="232"/>
      <c r="M370" s="232"/>
      <c r="N370" s="232"/>
      <c r="O370" s="232"/>
      <c r="P370" s="232"/>
      <c r="Q370" s="232"/>
      <c r="R370" s="232"/>
      <c r="S370" s="232"/>
      <c r="T370" s="232"/>
      <c r="U370" s="232"/>
      <c r="V370" s="15"/>
      <c r="W370" s="15"/>
      <c r="X370" s="15"/>
      <c r="Y370" s="15"/>
      <c r="Z370" s="15"/>
      <c r="AA370" s="15"/>
    </row>
    <row r="371" spans="1:27" s="25" customFormat="1" ht="12" customHeight="1" x14ac:dyDescent="0.2">
      <c r="A371" s="232"/>
      <c r="B371" s="250"/>
      <c r="C371" s="286"/>
      <c r="D371" s="232"/>
      <c r="E371" s="232"/>
      <c r="F371" s="232"/>
      <c r="G371" s="232"/>
      <c r="H371" s="232"/>
      <c r="I371" s="232"/>
      <c r="J371" s="232"/>
      <c r="K371" s="232"/>
      <c r="L371" s="232"/>
      <c r="M371" s="232"/>
      <c r="N371" s="232"/>
      <c r="O371" s="232"/>
      <c r="P371" s="232"/>
      <c r="Q371" s="232"/>
      <c r="R371" s="232"/>
      <c r="S371" s="232"/>
      <c r="T371" s="232"/>
      <c r="U371" s="232"/>
      <c r="V371" s="15"/>
      <c r="W371" s="15"/>
      <c r="X371" s="15"/>
      <c r="Y371" s="15"/>
      <c r="Z371" s="15"/>
      <c r="AA371" s="15"/>
    </row>
    <row r="372" spans="1:27" s="25" customFormat="1" ht="12" customHeight="1" x14ac:dyDescent="0.2">
      <c r="A372" s="232"/>
      <c r="B372" s="250"/>
      <c r="C372" s="286"/>
      <c r="D372" s="232"/>
      <c r="E372" s="232"/>
      <c r="F372" s="232"/>
      <c r="G372" s="232"/>
      <c r="H372" s="232"/>
      <c r="I372" s="232"/>
      <c r="J372" s="232"/>
      <c r="K372" s="232"/>
      <c r="L372" s="232"/>
      <c r="M372" s="232"/>
      <c r="N372" s="232"/>
      <c r="O372" s="232"/>
      <c r="P372" s="232"/>
      <c r="Q372" s="232"/>
      <c r="R372" s="232"/>
      <c r="S372" s="232"/>
      <c r="T372" s="232"/>
      <c r="U372" s="232"/>
      <c r="V372" s="15"/>
      <c r="W372" s="15"/>
      <c r="X372" s="15"/>
      <c r="Y372" s="15"/>
      <c r="Z372" s="15"/>
      <c r="AA372" s="15"/>
    </row>
    <row r="373" spans="1:27" s="25" customFormat="1" ht="12" customHeight="1" x14ac:dyDescent="0.2">
      <c r="A373" s="232"/>
      <c r="B373" s="250"/>
      <c r="C373" s="286"/>
      <c r="D373" s="232"/>
      <c r="E373" s="232"/>
      <c r="F373" s="232"/>
      <c r="G373" s="232"/>
      <c r="H373" s="232"/>
      <c r="I373" s="232"/>
      <c r="J373" s="232"/>
      <c r="K373" s="232"/>
      <c r="L373" s="232"/>
      <c r="M373" s="232"/>
      <c r="N373" s="232"/>
      <c r="O373" s="232"/>
      <c r="P373" s="232"/>
      <c r="Q373" s="232"/>
      <c r="R373" s="232"/>
      <c r="S373" s="232"/>
      <c r="T373" s="232"/>
      <c r="U373" s="232"/>
      <c r="V373" s="15"/>
      <c r="W373" s="15"/>
      <c r="X373" s="15"/>
      <c r="Y373" s="15"/>
      <c r="Z373" s="15"/>
      <c r="AA373" s="15"/>
    </row>
    <row r="374" spans="1:27" s="25" customFormat="1" ht="12" customHeight="1" x14ac:dyDescent="0.2">
      <c r="A374" s="232"/>
      <c r="B374" s="250"/>
      <c r="C374" s="286"/>
      <c r="D374" s="232"/>
      <c r="E374" s="232"/>
      <c r="F374" s="232"/>
      <c r="G374" s="232"/>
      <c r="H374" s="232"/>
      <c r="I374" s="232"/>
      <c r="J374" s="232"/>
      <c r="K374" s="232"/>
      <c r="L374" s="232"/>
      <c r="M374" s="232"/>
      <c r="N374" s="232"/>
      <c r="O374" s="232"/>
      <c r="P374" s="232"/>
      <c r="Q374" s="232"/>
      <c r="R374" s="232"/>
      <c r="S374" s="232"/>
      <c r="T374" s="232"/>
      <c r="U374" s="232"/>
      <c r="V374" s="15"/>
      <c r="W374" s="15"/>
      <c r="X374" s="15"/>
      <c r="Y374" s="15"/>
      <c r="Z374" s="15"/>
      <c r="AA374" s="15"/>
    </row>
    <row r="375" spans="1:27" s="25" customFormat="1" ht="12" customHeight="1" x14ac:dyDescent="0.2">
      <c r="A375" s="232"/>
      <c r="B375" s="250"/>
      <c r="C375" s="286"/>
      <c r="D375" s="232"/>
      <c r="E375" s="232"/>
      <c r="F375" s="232"/>
      <c r="G375" s="232"/>
      <c r="H375" s="232"/>
      <c r="I375" s="232"/>
      <c r="J375" s="232"/>
      <c r="K375" s="232"/>
      <c r="L375" s="232"/>
      <c r="M375" s="232"/>
      <c r="N375" s="232"/>
      <c r="O375" s="232"/>
      <c r="P375" s="232"/>
      <c r="Q375" s="232"/>
      <c r="R375" s="232"/>
      <c r="S375" s="232"/>
      <c r="T375" s="232"/>
      <c r="U375" s="232"/>
      <c r="V375" s="15"/>
      <c r="W375" s="15"/>
      <c r="X375" s="15"/>
      <c r="Y375" s="15"/>
      <c r="Z375" s="15"/>
      <c r="AA375" s="15"/>
    </row>
    <row r="376" spans="1:27" s="25" customFormat="1" ht="12" customHeight="1" x14ac:dyDescent="0.2">
      <c r="A376" s="232"/>
      <c r="B376" s="250"/>
      <c r="C376" s="286"/>
      <c r="D376" s="232"/>
      <c r="E376" s="232"/>
      <c r="F376" s="232"/>
      <c r="G376" s="232"/>
      <c r="H376" s="232"/>
      <c r="I376" s="232"/>
      <c r="J376" s="232"/>
      <c r="K376" s="232"/>
      <c r="L376" s="232"/>
      <c r="M376" s="232"/>
      <c r="N376" s="232"/>
      <c r="O376" s="232"/>
      <c r="P376" s="232"/>
      <c r="Q376" s="232"/>
      <c r="R376" s="232"/>
      <c r="S376" s="232"/>
      <c r="T376" s="232"/>
      <c r="U376" s="232"/>
      <c r="V376" s="15"/>
      <c r="W376" s="15"/>
      <c r="X376" s="15"/>
      <c r="Y376" s="15"/>
      <c r="Z376" s="15"/>
      <c r="AA376" s="15"/>
    </row>
    <row r="377" spans="1:27" s="25" customFormat="1" ht="12" customHeight="1" x14ac:dyDescent="0.2">
      <c r="A377" s="232"/>
      <c r="B377" s="250"/>
      <c r="C377" s="286"/>
      <c r="D377" s="232"/>
      <c r="E377" s="232"/>
      <c r="F377" s="232"/>
      <c r="G377" s="232"/>
      <c r="H377" s="232"/>
      <c r="I377" s="232"/>
      <c r="J377" s="232"/>
      <c r="K377" s="232"/>
      <c r="L377" s="232"/>
      <c r="M377" s="232"/>
      <c r="N377" s="232"/>
      <c r="O377" s="232"/>
      <c r="P377" s="232"/>
      <c r="Q377" s="232"/>
      <c r="R377" s="232"/>
      <c r="S377" s="232"/>
      <c r="T377" s="232"/>
      <c r="U377" s="232"/>
      <c r="V377" s="15"/>
      <c r="W377" s="15"/>
      <c r="X377" s="15"/>
      <c r="Y377" s="15"/>
      <c r="Z377" s="15"/>
      <c r="AA377" s="15"/>
    </row>
    <row r="378" spans="1:27" s="25" customFormat="1" ht="12" customHeight="1" x14ac:dyDescent="0.2">
      <c r="A378" s="232"/>
      <c r="B378" s="250"/>
      <c r="C378" s="286"/>
      <c r="D378" s="232"/>
      <c r="E378" s="232"/>
      <c r="F378" s="232"/>
      <c r="G378" s="232"/>
      <c r="H378" s="232"/>
      <c r="I378" s="232"/>
      <c r="J378" s="232"/>
      <c r="K378" s="232"/>
      <c r="L378" s="232"/>
      <c r="M378" s="232"/>
      <c r="N378" s="232"/>
      <c r="O378" s="232"/>
      <c r="P378" s="232"/>
      <c r="Q378" s="232"/>
      <c r="R378" s="232"/>
      <c r="S378" s="232"/>
      <c r="T378" s="232"/>
      <c r="U378" s="232"/>
      <c r="V378" s="15"/>
      <c r="W378" s="15"/>
      <c r="X378" s="15"/>
      <c r="Y378" s="15"/>
      <c r="Z378" s="15"/>
      <c r="AA378" s="15"/>
    </row>
    <row r="379" spans="1:27" s="25" customFormat="1" ht="12" customHeight="1" x14ac:dyDescent="0.2">
      <c r="A379" s="232"/>
      <c r="B379" s="250"/>
      <c r="C379" s="286"/>
      <c r="D379" s="232"/>
      <c r="E379" s="232"/>
      <c r="F379" s="232"/>
      <c r="G379" s="232"/>
      <c r="H379" s="232"/>
      <c r="I379" s="232"/>
      <c r="J379" s="232"/>
      <c r="K379" s="232"/>
      <c r="L379" s="232"/>
      <c r="M379" s="232"/>
      <c r="N379" s="232"/>
      <c r="O379" s="232"/>
      <c r="P379" s="232"/>
      <c r="Q379" s="232"/>
      <c r="R379" s="232"/>
      <c r="S379" s="232"/>
      <c r="T379" s="232"/>
      <c r="U379" s="232"/>
      <c r="V379" s="15"/>
      <c r="W379" s="15"/>
      <c r="X379" s="15"/>
      <c r="Y379" s="15"/>
      <c r="Z379" s="15"/>
      <c r="AA379" s="15"/>
    </row>
    <row r="380" spans="1:27" s="25" customFormat="1" ht="12" customHeight="1" x14ac:dyDescent="0.2">
      <c r="A380" s="232"/>
      <c r="B380" s="250"/>
      <c r="C380" s="286"/>
      <c r="D380" s="232"/>
      <c r="E380" s="232"/>
      <c r="F380" s="232"/>
      <c r="G380" s="232"/>
      <c r="H380" s="232"/>
      <c r="I380" s="232"/>
      <c r="J380" s="232"/>
      <c r="K380" s="232"/>
      <c r="L380" s="232"/>
      <c r="M380" s="232"/>
      <c r="N380" s="232"/>
      <c r="O380" s="232"/>
      <c r="P380" s="232"/>
      <c r="Q380" s="232"/>
      <c r="R380" s="232"/>
      <c r="S380" s="232"/>
      <c r="T380" s="232"/>
      <c r="U380" s="232"/>
      <c r="V380" s="15"/>
      <c r="W380" s="15"/>
      <c r="X380" s="15"/>
      <c r="Y380" s="15"/>
      <c r="Z380" s="15"/>
      <c r="AA380" s="15"/>
    </row>
    <row r="381" spans="1:27" s="25" customFormat="1" ht="12" customHeight="1" x14ac:dyDescent="0.2">
      <c r="A381" s="232"/>
      <c r="B381" s="250"/>
      <c r="C381" s="286"/>
      <c r="D381" s="232"/>
      <c r="E381" s="232"/>
      <c r="F381" s="232"/>
      <c r="G381" s="232"/>
      <c r="H381" s="232"/>
      <c r="I381" s="232"/>
      <c r="J381" s="232"/>
      <c r="K381" s="232"/>
      <c r="L381" s="232"/>
      <c r="M381" s="232"/>
      <c r="N381" s="232"/>
      <c r="O381" s="232"/>
      <c r="P381" s="232"/>
      <c r="Q381" s="232"/>
      <c r="R381" s="232"/>
      <c r="S381" s="232"/>
      <c r="T381" s="232"/>
      <c r="U381" s="232"/>
      <c r="V381" s="15"/>
      <c r="W381" s="15"/>
      <c r="X381" s="15"/>
      <c r="Y381" s="15"/>
      <c r="Z381" s="15"/>
      <c r="AA381" s="15"/>
    </row>
    <row r="382" spans="1:27" s="25" customFormat="1" ht="12" customHeight="1" x14ac:dyDescent="0.2">
      <c r="A382" s="232"/>
      <c r="B382" s="250"/>
      <c r="C382" s="286"/>
      <c r="D382" s="232"/>
      <c r="E382" s="232"/>
      <c r="F382" s="232"/>
      <c r="G382" s="232"/>
      <c r="H382" s="232"/>
      <c r="I382" s="232"/>
      <c r="J382" s="232"/>
      <c r="K382" s="232"/>
      <c r="L382" s="232"/>
      <c r="M382" s="232"/>
      <c r="N382" s="232"/>
      <c r="O382" s="232"/>
      <c r="P382" s="232"/>
      <c r="Q382" s="232"/>
      <c r="R382" s="232"/>
      <c r="S382" s="232"/>
      <c r="T382" s="232"/>
      <c r="U382" s="232"/>
      <c r="V382" s="15"/>
      <c r="W382" s="15"/>
      <c r="X382" s="15"/>
      <c r="Y382" s="15"/>
      <c r="Z382" s="15"/>
      <c r="AA382" s="15"/>
    </row>
    <row r="383" spans="1:27" s="25" customFormat="1" ht="12" customHeight="1" x14ac:dyDescent="0.2">
      <c r="A383" s="232"/>
      <c r="B383" s="250"/>
      <c r="C383" s="286"/>
      <c r="D383" s="232"/>
      <c r="E383" s="232"/>
      <c r="F383" s="232"/>
      <c r="G383" s="232"/>
      <c r="H383" s="232"/>
      <c r="I383" s="232"/>
      <c r="J383" s="232"/>
      <c r="K383" s="232"/>
      <c r="L383" s="232"/>
      <c r="M383" s="232"/>
      <c r="N383" s="232"/>
      <c r="O383" s="232"/>
      <c r="P383" s="232"/>
      <c r="Q383" s="232"/>
      <c r="R383" s="232"/>
      <c r="S383" s="232"/>
      <c r="T383" s="232"/>
      <c r="U383" s="232"/>
      <c r="V383" s="15"/>
      <c r="W383" s="15"/>
      <c r="X383" s="15"/>
      <c r="Y383" s="15"/>
      <c r="Z383" s="15"/>
      <c r="AA383" s="15"/>
    </row>
    <row r="384" spans="1:27" s="25" customFormat="1" ht="12" customHeight="1" x14ac:dyDescent="0.2">
      <c r="A384" s="232"/>
      <c r="B384" s="250"/>
      <c r="C384" s="286"/>
      <c r="D384" s="232"/>
      <c r="E384" s="232"/>
      <c r="F384" s="232"/>
      <c r="G384" s="232"/>
      <c r="H384" s="232"/>
      <c r="I384" s="232"/>
      <c r="J384" s="232"/>
      <c r="K384" s="232"/>
      <c r="L384" s="232"/>
      <c r="M384" s="232"/>
      <c r="N384" s="232"/>
      <c r="O384" s="232"/>
      <c r="P384" s="232"/>
      <c r="Q384" s="232"/>
      <c r="R384" s="232"/>
      <c r="S384" s="232"/>
      <c r="T384" s="232"/>
      <c r="U384" s="232"/>
      <c r="V384" s="15"/>
      <c r="W384" s="15"/>
      <c r="X384" s="15"/>
      <c r="Y384" s="15"/>
      <c r="Z384" s="15"/>
      <c r="AA384" s="15"/>
    </row>
    <row r="385" spans="1:27" s="25" customFormat="1" ht="12" customHeight="1" x14ac:dyDescent="0.2">
      <c r="A385" s="232"/>
      <c r="B385" s="250"/>
      <c r="C385" s="286"/>
      <c r="D385" s="232"/>
      <c r="E385" s="232"/>
      <c r="F385" s="232"/>
      <c r="G385" s="232"/>
      <c r="H385" s="232"/>
      <c r="I385" s="232"/>
      <c r="J385" s="232"/>
      <c r="K385" s="232"/>
      <c r="L385" s="232"/>
      <c r="M385" s="232"/>
      <c r="N385" s="232"/>
      <c r="O385" s="232"/>
      <c r="P385" s="232"/>
      <c r="Q385" s="232"/>
      <c r="R385" s="232"/>
      <c r="S385" s="232"/>
      <c r="T385" s="232"/>
      <c r="U385" s="232"/>
      <c r="V385" s="15"/>
      <c r="W385" s="15"/>
      <c r="X385" s="15"/>
      <c r="Y385" s="15"/>
      <c r="Z385" s="15"/>
      <c r="AA385" s="15"/>
    </row>
    <row r="386" spans="1:27" s="25" customFormat="1" ht="12" customHeight="1" x14ac:dyDescent="0.2">
      <c r="A386" s="232"/>
      <c r="B386" s="250"/>
      <c r="C386" s="286"/>
      <c r="D386" s="232"/>
      <c r="E386" s="232"/>
      <c r="F386" s="232"/>
      <c r="G386" s="232"/>
      <c r="H386" s="232"/>
      <c r="I386" s="232"/>
      <c r="J386" s="232"/>
      <c r="K386" s="232"/>
      <c r="L386" s="232"/>
      <c r="M386" s="232"/>
      <c r="N386" s="232"/>
      <c r="O386" s="232"/>
      <c r="P386" s="232"/>
      <c r="Q386" s="232"/>
      <c r="R386" s="232"/>
      <c r="S386" s="232"/>
      <c r="T386" s="232"/>
      <c r="U386" s="232"/>
      <c r="V386" s="15"/>
      <c r="W386" s="15"/>
      <c r="X386" s="15"/>
      <c r="Y386" s="15"/>
      <c r="Z386" s="15"/>
      <c r="AA386" s="15"/>
    </row>
    <row r="387" spans="1:27" s="25" customFormat="1" ht="12" customHeight="1" x14ac:dyDescent="0.2">
      <c r="A387" s="232"/>
      <c r="B387" s="250"/>
      <c r="C387" s="286"/>
      <c r="D387" s="232"/>
      <c r="E387" s="232"/>
      <c r="F387" s="232"/>
      <c r="G387" s="232"/>
      <c r="H387" s="232"/>
      <c r="I387" s="232"/>
      <c r="J387" s="232"/>
      <c r="K387" s="232"/>
      <c r="L387" s="232"/>
      <c r="M387" s="232"/>
      <c r="N387" s="232"/>
      <c r="O387" s="232"/>
      <c r="P387" s="232"/>
      <c r="Q387" s="232"/>
      <c r="R387" s="232"/>
      <c r="S387" s="232"/>
      <c r="T387" s="232"/>
      <c r="U387" s="232"/>
      <c r="V387" s="15"/>
      <c r="W387" s="15"/>
      <c r="X387" s="15"/>
      <c r="Y387" s="15"/>
      <c r="Z387" s="15"/>
      <c r="AA387" s="15"/>
    </row>
    <row r="388" spans="1:27" s="25" customFormat="1" ht="12" customHeight="1" x14ac:dyDescent="0.2">
      <c r="A388" s="232"/>
      <c r="B388" s="250"/>
      <c r="C388" s="286"/>
      <c r="D388" s="232"/>
      <c r="E388" s="232"/>
      <c r="F388" s="232"/>
      <c r="G388" s="232"/>
      <c r="H388" s="232"/>
      <c r="I388" s="232"/>
      <c r="J388" s="232"/>
      <c r="K388" s="232"/>
      <c r="L388" s="232"/>
      <c r="M388" s="232"/>
      <c r="N388" s="232"/>
      <c r="O388" s="232"/>
      <c r="P388" s="232"/>
      <c r="Q388" s="232"/>
      <c r="R388" s="232"/>
      <c r="S388" s="232"/>
      <c r="T388" s="232"/>
      <c r="U388" s="232"/>
      <c r="V388" s="15"/>
      <c r="W388" s="15"/>
      <c r="X388" s="15"/>
      <c r="Y388" s="15"/>
      <c r="Z388" s="15"/>
      <c r="AA388" s="15"/>
    </row>
    <row r="389" spans="1:27" s="25" customFormat="1" ht="12" customHeight="1" x14ac:dyDescent="0.2">
      <c r="A389" s="232"/>
      <c r="B389" s="250"/>
      <c r="C389" s="286"/>
      <c r="D389" s="232"/>
      <c r="E389" s="232"/>
      <c r="F389" s="232"/>
      <c r="G389" s="232"/>
      <c r="H389" s="232"/>
      <c r="I389" s="232"/>
      <c r="J389" s="232"/>
      <c r="K389" s="232"/>
      <c r="L389" s="232"/>
      <c r="M389" s="232"/>
      <c r="N389" s="232"/>
      <c r="O389" s="232"/>
      <c r="P389" s="232"/>
      <c r="Q389" s="232"/>
      <c r="R389" s="232"/>
      <c r="S389" s="232"/>
      <c r="T389" s="232"/>
      <c r="U389" s="232"/>
      <c r="V389" s="15"/>
      <c r="W389" s="15"/>
      <c r="X389" s="15"/>
      <c r="Y389" s="15"/>
      <c r="Z389" s="15"/>
      <c r="AA389" s="15"/>
    </row>
    <row r="390" spans="1:27" s="25" customFormat="1" ht="12" customHeight="1" x14ac:dyDescent="0.2">
      <c r="A390" s="232"/>
      <c r="B390" s="250"/>
      <c r="C390" s="286"/>
      <c r="D390" s="232"/>
      <c r="E390" s="232"/>
      <c r="F390" s="232"/>
      <c r="G390" s="232"/>
      <c r="H390" s="232"/>
      <c r="I390" s="232"/>
      <c r="J390" s="232"/>
      <c r="K390" s="232"/>
      <c r="L390" s="232"/>
      <c r="M390" s="232"/>
      <c r="N390" s="232"/>
      <c r="O390" s="232"/>
      <c r="P390" s="232"/>
      <c r="Q390" s="232"/>
      <c r="R390" s="232"/>
      <c r="S390" s="232"/>
      <c r="T390" s="232"/>
      <c r="U390" s="232"/>
      <c r="V390" s="15"/>
      <c r="W390" s="15"/>
      <c r="X390" s="15"/>
      <c r="Y390" s="15"/>
      <c r="Z390" s="15"/>
      <c r="AA390" s="15"/>
    </row>
    <row r="391" spans="1:27" s="25" customFormat="1" ht="12" customHeight="1" x14ac:dyDescent="0.2">
      <c r="A391" s="232"/>
      <c r="B391" s="250"/>
      <c r="C391" s="286"/>
      <c r="D391" s="232"/>
      <c r="E391" s="232"/>
      <c r="F391" s="232"/>
      <c r="G391" s="232"/>
      <c r="H391" s="232"/>
      <c r="I391" s="232"/>
      <c r="J391" s="232"/>
      <c r="K391" s="232"/>
      <c r="L391" s="232"/>
      <c r="M391" s="232"/>
      <c r="N391" s="232"/>
      <c r="O391" s="232"/>
      <c r="P391" s="232"/>
      <c r="Q391" s="232"/>
      <c r="R391" s="232"/>
      <c r="S391" s="232"/>
      <c r="T391" s="232"/>
      <c r="U391" s="232"/>
      <c r="V391" s="15"/>
      <c r="W391" s="15"/>
      <c r="X391" s="15"/>
      <c r="Y391" s="15"/>
      <c r="Z391" s="15"/>
      <c r="AA391" s="15"/>
    </row>
    <row r="392" spans="1:27" s="25" customFormat="1" ht="12" customHeight="1" x14ac:dyDescent="0.2">
      <c r="A392" s="232"/>
      <c r="B392" s="250"/>
      <c r="C392" s="286"/>
      <c r="D392" s="232"/>
      <c r="E392" s="232"/>
      <c r="F392" s="232"/>
      <c r="G392" s="232"/>
      <c r="H392" s="232"/>
      <c r="I392" s="232"/>
      <c r="J392" s="232"/>
      <c r="K392" s="232"/>
      <c r="L392" s="232"/>
      <c r="M392" s="232"/>
      <c r="N392" s="232"/>
      <c r="O392" s="232"/>
      <c r="P392" s="232"/>
      <c r="Q392" s="232"/>
      <c r="R392" s="232"/>
      <c r="S392" s="232"/>
      <c r="T392" s="232"/>
      <c r="U392" s="232"/>
      <c r="V392" s="15"/>
      <c r="W392" s="15"/>
      <c r="X392" s="15"/>
      <c r="Y392" s="15"/>
      <c r="Z392" s="15"/>
      <c r="AA392" s="15"/>
    </row>
    <row r="393" spans="1:27" s="25" customFormat="1" ht="12" customHeight="1" x14ac:dyDescent="0.2">
      <c r="A393" s="232"/>
      <c r="B393" s="250"/>
      <c r="C393" s="286"/>
      <c r="D393" s="232"/>
      <c r="E393" s="232"/>
      <c r="F393" s="232"/>
      <c r="G393" s="232"/>
      <c r="H393" s="232"/>
      <c r="I393" s="232"/>
      <c r="J393" s="232"/>
      <c r="K393" s="232"/>
      <c r="L393" s="232"/>
      <c r="M393" s="232"/>
      <c r="N393" s="232"/>
      <c r="O393" s="232"/>
      <c r="P393" s="232"/>
      <c r="Q393" s="232"/>
      <c r="R393" s="232"/>
      <c r="S393" s="232"/>
      <c r="T393" s="232"/>
      <c r="U393" s="232"/>
      <c r="V393" s="15"/>
      <c r="W393" s="15"/>
      <c r="X393" s="15"/>
      <c r="Y393" s="15"/>
      <c r="Z393" s="15"/>
      <c r="AA393" s="15"/>
    </row>
    <row r="394" spans="1:27" s="25" customFormat="1" ht="12" customHeight="1" x14ac:dyDescent="0.2">
      <c r="A394" s="232"/>
      <c r="B394" s="250"/>
      <c r="C394" s="286"/>
      <c r="D394" s="232"/>
      <c r="E394" s="232"/>
      <c r="F394" s="232"/>
      <c r="G394" s="232"/>
      <c r="H394" s="232"/>
      <c r="I394" s="232"/>
      <c r="J394" s="232"/>
      <c r="K394" s="232"/>
      <c r="L394" s="232"/>
      <c r="M394" s="232"/>
      <c r="N394" s="232"/>
      <c r="O394" s="232"/>
      <c r="P394" s="232"/>
      <c r="Q394" s="232"/>
      <c r="R394" s="232"/>
      <c r="S394" s="232"/>
      <c r="T394" s="232"/>
      <c r="U394" s="232"/>
      <c r="V394" s="15"/>
      <c r="W394" s="15"/>
      <c r="X394" s="15"/>
      <c r="Y394" s="15"/>
      <c r="Z394" s="15"/>
      <c r="AA394" s="15"/>
    </row>
    <row r="395" spans="1:27" s="25" customFormat="1" ht="12" customHeight="1" x14ac:dyDescent="0.2">
      <c r="A395" s="232"/>
      <c r="B395" s="250"/>
      <c r="C395" s="286"/>
      <c r="D395" s="232"/>
      <c r="E395" s="232"/>
      <c r="F395" s="232"/>
      <c r="G395" s="232"/>
      <c r="H395" s="232"/>
      <c r="I395" s="232"/>
      <c r="J395" s="232"/>
      <c r="K395" s="232"/>
      <c r="L395" s="232"/>
      <c r="M395" s="232"/>
      <c r="N395" s="232"/>
      <c r="O395" s="232"/>
      <c r="P395" s="232"/>
      <c r="Q395" s="232"/>
      <c r="R395" s="232"/>
      <c r="S395" s="232"/>
      <c r="T395" s="232"/>
      <c r="U395" s="232"/>
      <c r="V395" s="15"/>
      <c r="W395" s="15"/>
      <c r="X395" s="15"/>
      <c r="Y395" s="15"/>
      <c r="Z395" s="15"/>
      <c r="AA395" s="15"/>
    </row>
    <row r="396" spans="1:27" s="25" customFormat="1" ht="12" customHeight="1" x14ac:dyDescent="0.2">
      <c r="A396" s="232"/>
      <c r="B396" s="250"/>
      <c r="C396" s="286"/>
      <c r="D396" s="232"/>
      <c r="E396" s="232"/>
      <c r="F396" s="232"/>
      <c r="G396" s="232"/>
      <c r="H396" s="232"/>
      <c r="I396" s="232"/>
      <c r="J396" s="232"/>
      <c r="K396" s="232"/>
      <c r="L396" s="232"/>
      <c r="M396" s="232"/>
      <c r="N396" s="232"/>
      <c r="O396" s="232"/>
      <c r="P396" s="232"/>
      <c r="Q396" s="232"/>
      <c r="R396" s="232"/>
      <c r="S396" s="232"/>
      <c r="T396" s="232"/>
      <c r="U396" s="232"/>
      <c r="V396" s="15"/>
      <c r="W396" s="15"/>
      <c r="X396" s="15"/>
      <c r="Y396" s="15"/>
      <c r="Z396" s="15"/>
      <c r="AA396" s="15"/>
    </row>
    <row r="397" spans="1:27" s="25" customFormat="1" ht="12" customHeight="1" x14ac:dyDescent="0.2">
      <c r="A397" s="232"/>
      <c r="B397" s="250"/>
      <c r="C397" s="286"/>
      <c r="D397" s="232"/>
      <c r="E397" s="232"/>
      <c r="F397" s="232"/>
      <c r="G397" s="232"/>
      <c r="H397" s="232"/>
      <c r="I397" s="232"/>
      <c r="J397" s="232"/>
      <c r="K397" s="232"/>
      <c r="L397" s="232"/>
      <c r="M397" s="232"/>
      <c r="N397" s="232"/>
      <c r="O397" s="232"/>
      <c r="P397" s="232"/>
      <c r="Q397" s="232"/>
      <c r="R397" s="232"/>
      <c r="S397" s="232"/>
      <c r="T397" s="232"/>
      <c r="U397" s="232"/>
      <c r="V397" s="15"/>
      <c r="W397" s="15"/>
      <c r="X397" s="15"/>
      <c r="Y397" s="15"/>
      <c r="Z397" s="15"/>
      <c r="AA397" s="15"/>
    </row>
    <row r="398" spans="1:27" s="25" customFormat="1" ht="12" customHeight="1" x14ac:dyDescent="0.2">
      <c r="A398" s="232"/>
      <c r="B398" s="250"/>
      <c r="C398" s="286"/>
      <c r="D398" s="232"/>
      <c r="E398" s="232"/>
      <c r="F398" s="232"/>
      <c r="G398" s="232"/>
      <c r="H398" s="232"/>
      <c r="I398" s="232"/>
      <c r="J398" s="232"/>
      <c r="K398" s="232"/>
      <c r="L398" s="232"/>
      <c r="M398" s="232"/>
      <c r="N398" s="232"/>
      <c r="O398" s="232"/>
      <c r="P398" s="232"/>
      <c r="Q398" s="232"/>
      <c r="R398" s="232"/>
      <c r="S398" s="232"/>
      <c r="T398" s="232"/>
      <c r="U398" s="232"/>
      <c r="V398" s="15"/>
      <c r="W398" s="15"/>
      <c r="X398" s="15"/>
      <c r="Y398" s="15"/>
      <c r="Z398" s="15"/>
      <c r="AA398" s="15"/>
    </row>
    <row r="399" spans="1:27" s="25" customFormat="1" ht="12" customHeight="1" x14ac:dyDescent="0.2">
      <c r="A399" s="232"/>
      <c r="B399" s="250"/>
      <c r="C399" s="286"/>
      <c r="D399" s="232"/>
      <c r="E399" s="232"/>
      <c r="F399" s="232"/>
      <c r="G399" s="232"/>
      <c r="H399" s="232"/>
      <c r="I399" s="232"/>
      <c r="J399" s="232"/>
      <c r="K399" s="232"/>
      <c r="L399" s="232"/>
      <c r="M399" s="232"/>
      <c r="N399" s="232"/>
      <c r="O399" s="232"/>
      <c r="P399" s="232"/>
      <c r="Q399" s="232"/>
      <c r="R399" s="232"/>
      <c r="S399" s="232"/>
      <c r="T399" s="232"/>
      <c r="U399" s="232"/>
      <c r="V399" s="15"/>
      <c r="W399" s="15"/>
      <c r="X399" s="15"/>
      <c r="Y399" s="15"/>
      <c r="Z399" s="15"/>
      <c r="AA399" s="15"/>
    </row>
    <row r="400" spans="1:27" s="25" customFormat="1" ht="12" customHeight="1" x14ac:dyDescent="0.2">
      <c r="A400" s="232"/>
      <c r="B400" s="250"/>
      <c r="C400" s="286"/>
      <c r="D400" s="232"/>
      <c r="E400" s="232"/>
      <c r="F400" s="232"/>
      <c r="G400" s="232"/>
      <c r="H400" s="232"/>
      <c r="I400" s="232"/>
      <c r="J400" s="232"/>
      <c r="K400" s="232"/>
      <c r="L400" s="232"/>
      <c r="M400" s="232"/>
      <c r="N400" s="232"/>
      <c r="O400" s="232"/>
      <c r="P400" s="232"/>
      <c r="Q400" s="232"/>
      <c r="R400" s="232"/>
      <c r="S400" s="232"/>
      <c r="T400" s="232"/>
      <c r="U400" s="232"/>
      <c r="V400" s="15"/>
      <c r="W400" s="15"/>
      <c r="X400" s="15"/>
      <c r="Y400" s="15"/>
      <c r="Z400" s="15"/>
      <c r="AA400" s="15"/>
    </row>
    <row r="401" spans="1:27" s="25" customFormat="1" ht="12" customHeight="1" x14ac:dyDescent="0.2">
      <c r="A401" s="232"/>
      <c r="B401" s="250"/>
      <c r="C401" s="286"/>
      <c r="D401" s="232"/>
      <c r="E401" s="232"/>
      <c r="F401" s="232"/>
      <c r="G401" s="232"/>
      <c r="H401" s="232"/>
      <c r="I401" s="232"/>
      <c r="J401" s="232"/>
      <c r="K401" s="232"/>
      <c r="L401" s="232"/>
      <c r="M401" s="232"/>
      <c r="N401" s="232"/>
      <c r="O401" s="232"/>
      <c r="P401" s="232"/>
      <c r="Q401" s="232"/>
      <c r="R401" s="232"/>
      <c r="S401" s="232"/>
      <c r="T401" s="232"/>
      <c r="U401" s="232"/>
      <c r="V401" s="15"/>
      <c r="W401" s="15"/>
      <c r="X401" s="15"/>
      <c r="Y401" s="15"/>
      <c r="Z401" s="15"/>
      <c r="AA401" s="15"/>
    </row>
    <row r="402" spans="1:27" s="25" customFormat="1" ht="12" customHeight="1" x14ac:dyDescent="0.2">
      <c r="A402" s="232"/>
      <c r="B402" s="250"/>
      <c r="C402" s="286"/>
      <c r="D402" s="232"/>
      <c r="E402" s="232"/>
      <c r="F402" s="232"/>
      <c r="G402" s="232"/>
      <c r="H402" s="232"/>
      <c r="I402" s="232"/>
      <c r="J402" s="232"/>
      <c r="K402" s="232"/>
      <c r="L402" s="232"/>
      <c r="M402" s="232"/>
      <c r="N402" s="232"/>
      <c r="O402" s="232"/>
      <c r="P402" s="232"/>
      <c r="Q402" s="232"/>
      <c r="R402" s="232"/>
      <c r="S402" s="232"/>
      <c r="T402" s="232"/>
      <c r="U402" s="232"/>
      <c r="V402" s="15"/>
      <c r="W402" s="15"/>
      <c r="X402" s="15"/>
      <c r="Y402" s="15"/>
      <c r="Z402" s="15"/>
      <c r="AA402" s="15"/>
    </row>
    <row r="403" spans="1:27" s="25" customFormat="1" ht="12" customHeight="1" x14ac:dyDescent="0.2">
      <c r="A403" s="232"/>
      <c r="B403" s="250"/>
      <c r="C403" s="286"/>
      <c r="D403" s="232"/>
      <c r="E403" s="232"/>
      <c r="F403" s="232"/>
      <c r="G403" s="232"/>
      <c r="H403" s="232"/>
      <c r="I403" s="232"/>
      <c r="J403" s="232"/>
      <c r="K403" s="232"/>
      <c r="L403" s="232"/>
      <c r="M403" s="232"/>
      <c r="N403" s="232"/>
      <c r="O403" s="232"/>
      <c r="P403" s="232"/>
      <c r="Q403" s="232"/>
      <c r="R403" s="232"/>
      <c r="S403" s="232"/>
      <c r="T403" s="232"/>
      <c r="U403" s="232"/>
      <c r="V403" s="15"/>
      <c r="W403" s="15"/>
      <c r="X403" s="15"/>
      <c r="Y403" s="15"/>
      <c r="Z403" s="15"/>
      <c r="AA403" s="15"/>
    </row>
    <row r="404" spans="1:27" s="25" customFormat="1" ht="12" customHeight="1" x14ac:dyDescent="0.2">
      <c r="A404" s="232"/>
      <c r="B404" s="250"/>
      <c r="C404" s="286"/>
      <c r="D404" s="232"/>
      <c r="E404" s="232"/>
      <c r="F404" s="232"/>
      <c r="G404" s="232"/>
      <c r="H404" s="232"/>
      <c r="I404" s="232"/>
      <c r="J404" s="232"/>
      <c r="K404" s="232"/>
      <c r="L404" s="232"/>
      <c r="M404" s="232"/>
      <c r="N404" s="232"/>
      <c r="O404" s="232"/>
      <c r="P404" s="232"/>
      <c r="Q404" s="232"/>
      <c r="R404" s="232"/>
      <c r="S404" s="232"/>
      <c r="T404" s="232"/>
      <c r="U404" s="232"/>
      <c r="V404" s="15"/>
      <c r="W404" s="15"/>
      <c r="X404" s="15"/>
      <c r="Y404" s="15"/>
      <c r="Z404" s="15"/>
      <c r="AA404" s="15"/>
    </row>
    <row r="405" spans="1:27" s="25" customFormat="1" ht="12" customHeight="1" x14ac:dyDescent="0.2">
      <c r="A405" s="232"/>
      <c r="B405" s="250"/>
      <c r="C405" s="286"/>
      <c r="D405" s="232"/>
      <c r="E405" s="232"/>
      <c r="F405" s="232"/>
      <c r="G405" s="232"/>
      <c r="H405" s="232"/>
      <c r="I405" s="232"/>
      <c r="J405" s="232"/>
      <c r="K405" s="232"/>
      <c r="L405" s="232"/>
      <c r="M405" s="232"/>
      <c r="N405" s="232"/>
      <c r="O405" s="232"/>
      <c r="P405" s="232"/>
      <c r="Q405" s="232"/>
      <c r="R405" s="232"/>
      <c r="S405" s="232"/>
      <c r="T405" s="232"/>
      <c r="U405" s="232"/>
      <c r="V405" s="15"/>
      <c r="W405" s="15"/>
      <c r="X405" s="15"/>
      <c r="Y405" s="15"/>
      <c r="Z405" s="15"/>
      <c r="AA405" s="15"/>
    </row>
    <row r="406" spans="1:27" s="25" customFormat="1" ht="12" customHeight="1" x14ac:dyDescent="0.2">
      <c r="A406" s="232"/>
      <c r="B406" s="250"/>
      <c r="C406" s="286"/>
      <c r="D406" s="232"/>
      <c r="E406" s="232"/>
      <c r="F406" s="232"/>
      <c r="G406" s="232"/>
      <c r="H406" s="232"/>
      <c r="I406" s="232"/>
      <c r="J406" s="232"/>
      <c r="K406" s="232"/>
      <c r="L406" s="232"/>
      <c r="M406" s="232"/>
      <c r="N406" s="232"/>
      <c r="O406" s="232"/>
      <c r="P406" s="232"/>
      <c r="Q406" s="232"/>
      <c r="R406" s="232"/>
      <c r="S406" s="232"/>
      <c r="T406" s="232"/>
      <c r="U406" s="232"/>
      <c r="V406" s="15"/>
      <c r="W406" s="15"/>
      <c r="X406" s="15"/>
      <c r="Y406" s="15"/>
      <c r="Z406" s="15"/>
      <c r="AA406" s="15"/>
    </row>
    <row r="407" spans="1:27" s="25" customFormat="1" ht="12" customHeight="1" x14ac:dyDescent="0.2">
      <c r="A407" s="232"/>
      <c r="B407" s="250"/>
      <c r="C407" s="286"/>
      <c r="D407" s="232"/>
      <c r="E407" s="232"/>
      <c r="F407" s="232"/>
      <c r="G407" s="232"/>
      <c r="H407" s="232"/>
      <c r="I407" s="232"/>
      <c r="J407" s="232"/>
      <c r="K407" s="232"/>
      <c r="L407" s="232"/>
      <c r="M407" s="232"/>
      <c r="N407" s="232"/>
      <c r="O407" s="232"/>
      <c r="P407" s="232"/>
      <c r="Q407" s="232"/>
      <c r="R407" s="232"/>
      <c r="S407" s="232"/>
      <c r="T407" s="232"/>
      <c r="U407" s="232"/>
      <c r="V407" s="15"/>
      <c r="W407" s="15"/>
      <c r="X407" s="15"/>
      <c r="Y407" s="15"/>
      <c r="Z407" s="15"/>
      <c r="AA407" s="15"/>
    </row>
    <row r="408" spans="1:27" s="25" customFormat="1" ht="12" customHeight="1" x14ac:dyDescent="0.2">
      <c r="A408" s="232"/>
      <c r="B408" s="250"/>
      <c r="C408" s="286"/>
      <c r="D408" s="232"/>
      <c r="E408" s="232"/>
      <c r="F408" s="232"/>
      <c r="G408" s="232"/>
      <c r="H408" s="232"/>
      <c r="I408" s="232"/>
      <c r="J408" s="232"/>
      <c r="K408" s="232"/>
      <c r="L408" s="232"/>
      <c r="M408" s="232"/>
      <c r="N408" s="232"/>
      <c r="O408" s="232"/>
      <c r="P408" s="232"/>
      <c r="Q408" s="232"/>
      <c r="R408" s="232"/>
      <c r="S408" s="232"/>
      <c r="T408" s="232"/>
      <c r="U408" s="232"/>
      <c r="V408" s="15"/>
      <c r="W408" s="15"/>
      <c r="X408" s="15"/>
      <c r="Y408" s="15"/>
      <c r="Z408" s="15"/>
      <c r="AA408" s="15"/>
    </row>
    <row r="409" spans="1:27" s="25" customFormat="1" ht="12" customHeight="1" x14ac:dyDescent="0.2">
      <c r="A409" s="232"/>
      <c r="B409" s="250"/>
      <c r="C409" s="286"/>
      <c r="D409" s="232"/>
      <c r="E409" s="232"/>
      <c r="F409" s="232"/>
      <c r="G409" s="232"/>
      <c r="H409" s="232"/>
      <c r="I409" s="232"/>
      <c r="J409" s="232"/>
      <c r="K409" s="232"/>
      <c r="L409" s="232"/>
      <c r="M409" s="232"/>
      <c r="N409" s="232"/>
      <c r="O409" s="232"/>
      <c r="P409" s="232"/>
      <c r="Q409" s="232"/>
      <c r="R409" s="232"/>
      <c r="S409" s="232"/>
      <c r="T409" s="232"/>
      <c r="U409" s="232"/>
      <c r="V409" s="15"/>
      <c r="W409" s="15"/>
      <c r="X409" s="15"/>
      <c r="Y409" s="15"/>
      <c r="Z409" s="15"/>
      <c r="AA409" s="15"/>
    </row>
    <row r="410" spans="1:27" s="25" customFormat="1" ht="12" customHeight="1" x14ac:dyDescent="0.2">
      <c r="A410" s="232"/>
      <c r="B410" s="250"/>
      <c r="C410" s="286"/>
      <c r="D410" s="232"/>
      <c r="E410" s="232"/>
      <c r="F410" s="232"/>
      <c r="G410" s="232"/>
      <c r="H410" s="232"/>
      <c r="I410" s="232"/>
      <c r="J410" s="232"/>
      <c r="K410" s="232"/>
      <c r="L410" s="232"/>
      <c r="M410" s="232"/>
      <c r="N410" s="232"/>
      <c r="O410" s="232"/>
      <c r="P410" s="232"/>
      <c r="Q410" s="232"/>
      <c r="R410" s="232"/>
      <c r="S410" s="232"/>
      <c r="T410" s="232"/>
      <c r="U410" s="232"/>
      <c r="V410" s="15"/>
      <c r="W410" s="15"/>
      <c r="X410" s="15"/>
      <c r="Y410" s="15"/>
      <c r="Z410" s="15"/>
      <c r="AA410" s="15"/>
    </row>
    <row r="411" spans="1:27" s="25" customFormat="1" ht="12" customHeight="1" x14ac:dyDescent="0.2">
      <c r="A411" s="232"/>
      <c r="B411" s="250"/>
      <c r="C411" s="286"/>
      <c r="D411" s="232"/>
      <c r="E411" s="232"/>
      <c r="F411" s="232"/>
      <c r="G411" s="232"/>
      <c r="H411" s="232"/>
      <c r="I411" s="232"/>
      <c r="J411" s="232"/>
      <c r="K411" s="232"/>
      <c r="L411" s="232"/>
      <c r="M411" s="232"/>
      <c r="N411" s="232"/>
      <c r="O411" s="232"/>
      <c r="P411" s="232"/>
      <c r="Q411" s="232"/>
      <c r="R411" s="232"/>
      <c r="S411" s="232"/>
      <c r="T411" s="232"/>
      <c r="U411" s="232"/>
      <c r="V411" s="15"/>
      <c r="W411" s="15"/>
      <c r="X411" s="15"/>
      <c r="Y411" s="15"/>
      <c r="Z411" s="15"/>
      <c r="AA411" s="15"/>
    </row>
    <row r="412" spans="1:27" s="25" customFormat="1" ht="12" customHeight="1" x14ac:dyDescent="0.2">
      <c r="A412" s="232"/>
      <c r="B412" s="250"/>
      <c r="C412" s="286"/>
      <c r="D412" s="232"/>
      <c r="E412" s="232"/>
      <c r="F412" s="232"/>
      <c r="G412" s="232"/>
      <c r="H412" s="232"/>
      <c r="I412" s="232"/>
      <c r="J412" s="232"/>
      <c r="K412" s="232"/>
      <c r="L412" s="232"/>
      <c r="M412" s="232"/>
      <c r="N412" s="232"/>
      <c r="O412" s="232"/>
      <c r="P412" s="232"/>
      <c r="Q412" s="232"/>
      <c r="R412" s="232"/>
      <c r="S412" s="232"/>
      <c r="T412" s="232"/>
      <c r="U412" s="232"/>
      <c r="V412" s="15"/>
      <c r="W412" s="15"/>
      <c r="X412" s="15"/>
      <c r="Y412" s="15"/>
      <c r="Z412" s="15"/>
      <c r="AA412" s="15"/>
    </row>
    <row r="413" spans="1:27" s="25" customFormat="1" ht="12" customHeight="1" x14ac:dyDescent="0.2">
      <c r="A413" s="232"/>
      <c r="B413" s="250"/>
      <c r="C413" s="286"/>
      <c r="D413" s="232"/>
      <c r="E413" s="232"/>
      <c r="F413" s="232"/>
      <c r="G413" s="232"/>
      <c r="H413" s="232"/>
      <c r="I413" s="232"/>
      <c r="J413" s="232"/>
      <c r="K413" s="232"/>
      <c r="L413" s="232"/>
      <c r="M413" s="232"/>
      <c r="N413" s="232"/>
      <c r="O413" s="232"/>
      <c r="P413" s="232"/>
      <c r="Q413" s="232"/>
      <c r="R413" s="232"/>
      <c r="S413" s="232"/>
      <c r="T413" s="232"/>
      <c r="U413" s="232"/>
      <c r="V413" s="15"/>
      <c r="W413" s="15"/>
      <c r="X413" s="15"/>
      <c r="Y413" s="15"/>
      <c r="Z413" s="15"/>
      <c r="AA413" s="15"/>
    </row>
    <row r="414" spans="1:27" s="25" customFormat="1" ht="12" customHeight="1" x14ac:dyDescent="0.2">
      <c r="A414" s="232"/>
      <c r="B414" s="250"/>
      <c r="C414" s="286"/>
      <c r="D414" s="232"/>
      <c r="E414" s="232"/>
      <c r="F414" s="232"/>
      <c r="G414" s="232"/>
      <c r="H414" s="232"/>
      <c r="I414" s="232"/>
      <c r="J414" s="232"/>
      <c r="K414" s="232"/>
      <c r="L414" s="232"/>
      <c r="M414" s="232"/>
      <c r="N414" s="232"/>
      <c r="O414" s="232"/>
      <c r="P414" s="232"/>
      <c r="Q414" s="232"/>
      <c r="R414" s="232"/>
      <c r="S414" s="232"/>
      <c r="T414" s="232"/>
      <c r="U414" s="232"/>
      <c r="V414" s="15"/>
      <c r="W414" s="15"/>
      <c r="X414" s="15"/>
      <c r="Y414" s="15"/>
      <c r="Z414" s="15"/>
      <c r="AA414" s="15"/>
    </row>
    <row r="415" spans="1:27" s="25" customFormat="1" ht="12" customHeight="1" x14ac:dyDescent="0.2">
      <c r="A415" s="232"/>
      <c r="B415" s="250"/>
      <c r="C415" s="286"/>
      <c r="D415" s="232"/>
      <c r="E415" s="232"/>
      <c r="F415" s="232"/>
      <c r="G415" s="232"/>
      <c r="H415" s="232"/>
      <c r="I415" s="232"/>
      <c r="J415" s="232"/>
      <c r="K415" s="232"/>
      <c r="L415" s="232"/>
      <c r="M415" s="232"/>
      <c r="N415" s="232"/>
      <c r="O415" s="232"/>
      <c r="P415" s="232"/>
      <c r="Q415" s="232"/>
      <c r="R415" s="232"/>
      <c r="S415" s="232"/>
      <c r="T415" s="232"/>
      <c r="U415" s="232"/>
      <c r="V415" s="15"/>
      <c r="W415" s="15"/>
      <c r="X415" s="15"/>
      <c r="Y415" s="15"/>
      <c r="Z415" s="15"/>
      <c r="AA415" s="15"/>
    </row>
    <row r="416" spans="1:27" s="25" customFormat="1" ht="12" customHeight="1" x14ac:dyDescent="0.2">
      <c r="A416" s="232"/>
      <c r="B416" s="250"/>
      <c r="C416" s="286"/>
      <c r="D416" s="232"/>
      <c r="E416" s="232"/>
      <c r="F416" s="232"/>
      <c r="G416" s="232"/>
      <c r="H416" s="232"/>
      <c r="I416" s="232"/>
      <c r="J416" s="232"/>
      <c r="K416" s="232"/>
      <c r="L416" s="232"/>
      <c r="M416" s="232"/>
      <c r="N416" s="232"/>
      <c r="O416" s="232"/>
      <c r="P416" s="232"/>
      <c r="Q416" s="232"/>
      <c r="R416" s="232"/>
      <c r="S416" s="232"/>
      <c r="T416" s="232"/>
      <c r="U416" s="232"/>
      <c r="V416" s="15"/>
      <c r="W416" s="15"/>
      <c r="X416" s="15"/>
      <c r="Y416" s="15"/>
      <c r="Z416" s="15"/>
      <c r="AA416" s="15"/>
    </row>
    <row r="417" spans="1:27" s="25" customFormat="1" ht="12" customHeight="1" x14ac:dyDescent="0.2">
      <c r="A417" s="232"/>
      <c r="B417" s="250"/>
      <c r="C417" s="286"/>
      <c r="D417" s="232"/>
      <c r="E417" s="232"/>
      <c r="F417" s="232"/>
      <c r="G417" s="232"/>
      <c r="H417" s="232"/>
      <c r="I417" s="232"/>
      <c r="J417" s="232"/>
      <c r="K417" s="232"/>
      <c r="L417" s="232"/>
      <c r="M417" s="232"/>
      <c r="N417" s="232"/>
      <c r="O417" s="232"/>
      <c r="P417" s="232"/>
      <c r="Q417" s="232"/>
      <c r="R417" s="232"/>
      <c r="S417" s="232"/>
      <c r="T417" s="232"/>
      <c r="U417" s="232"/>
      <c r="V417" s="15"/>
      <c r="W417" s="15"/>
      <c r="X417" s="15"/>
      <c r="Y417" s="15"/>
      <c r="Z417" s="15"/>
      <c r="AA417" s="15"/>
    </row>
    <row r="418" spans="1:27" s="25" customFormat="1" ht="12" customHeight="1" x14ac:dyDescent="0.2">
      <c r="A418" s="232"/>
      <c r="B418" s="250"/>
      <c r="C418" s="286"/>
      <c r="D418" s="232"/>
      <c r="E418" s="232"/>
      <c r="F418" s="232"/>
      <c r="G418" s="232"/>
      <c r="H418" s="232"/>
      <c r="I418" s="232"/>
      <c r="J418" s="232"/>
      <c r="K418" s="232"/>
      <c r="L418" s="232"/>
      <c r="M418" s="232"/>
      <c r="N418" s="232"/>
      <c r="O418" s="232"/>
      <c r="P418" s="232"/>
      <c r="Q418" s="232"/>
      <c r="R418" s="232"/>
      <c r="S418" s="232"/>
      <c r="T418" s="232"/>
      <c r="U418" s="232"/>
      <c r="V418" s="15"/>
      <c r="W418" s="15"/>
      <c r="X418" s="15"/>
      <c r="Y418" s="15"/>
      <c r="Z418" s="15"/>
      <c r="AA418" s="15"/>
    </row>
    <row r="419" spans="1:27" s="25" customFormat="1" ht="12" customHeight="1" x14ac:dyDescent="0.2">
      <c r="A419" s="232"/>
      <c r="B419" s="250"/>
      <c r="C419" s="286"/>
      <c r="D419" s="232"/>
      <c r="E419" s="232"/>
      <c r="F419" s="232"/>
      <c r="G419" s="232"/>
      <c r="H419" s="232"/>
      <c r="I419" s="232"/>
      <c r="J419" s="232"/>
      <c r="K419" s="232"/>
      <c r="L419" s="232"/>
      <c r="M419" s="232"/>
      <c r="N419" s="232"/>
      <c r="O419" s="232"/>
      <c r="P419" s="232"/>
      <c r="Q419" s="232"/>
      <c r="R419" s="232"/>
      <c r="S419" s="232"/>
      <c r="T419" s="232"/>
      <c r="U419" s="232"/>
      <c r="V419" s="15"/>
      <c r="W419" s="15"/>
      <c r="X419" s="15"/>
      <c r="Y419" s="15"/>
      <c r="Z419" s="15"/>
      <c r="AA419" s="15"/>
    </row>
    <row r="420" spans="1:27" s="25" customFormat="1" ht="12" customHeight="1" x14ac:dyDescent="0.2">
      <c r="A420" s="232"/>
      <c r="B420" s="250"/>
      <c r="C420" s="286"/>
      <c r="D420" s="232"/>
      <c r="E420" s="232"/>
      <c r="F420" s="232"/>
      <c r="G420" s="232"/>
      <c r="H420" s="232"/>
      <c r="I420" s="232"/>
      <c r="J420" s="232"/>
      <c r="K420" s="232"/>
      <c r="L420" s="232"/>
      <c r="M420" s="232"/>
      <c r="N420" s="232"/>
      <c r="O420" s="232"/>
      <c r="P420" s="232"/>
      <c r="Q420" s="232"/>
      <c r="R420" s="232"/>
      <c r="S420" s="232"/>
      <c r="T420" s="232"/>
      <c r="U420" s="232"/>
      <c r="V420" s="15"/>
      <c r="W420" s="15"/>
      <c r="X420" s="15"/>
      <c r="Y420" s="15"/>
      <c r="Z420" s="15"/>
      <c r="AA420" s="15"/>
    </row>
    <row r="421" spans="1:27" s="25" customFormat="1" ht="12" customHeight="1" x14ac:dyDescent="0.2">
      <c r="A421" s="232"/>
      <c r="B421" s="250"/>
      <c r="C421" s="286"/>
      <c r="D421" s="232"/>
      <c r="E421" s="232"/>
      <c r="F421" s="232"/>
      <c r="G421" s="232"/>
      <c r="H421" s="232"/>
      <c r="I421" s="232"/>
      <c r="J421" s="232"/>
      <c r="K421" s="232"/>
      <c r="L421" s="232"/>
      <c r="M421" s="232"/>
      <c r="N421" s="232"/>
      <c r="O421" s="232"/>
      <c r="P421" s="232"/>
      <c r="Q421" s="232"/>
      <c r="R421" s="232"/>
      <c r="S421" s="232"/>
      <c r="T421" s="232"/>
      <c r="U421" s="232"/>
      <c r="V421" s="15"/>
      <c r="W421" s="15"/>
      <c r="X421" s="15"/>
      <c r="Y421" s="15"/>
      <c r="Z421" s="15"/>
      <c r="AA421" s="15"/>
    </row>
    <row r="422" spans="1:27" s="25" customFormat="1" ht="12" customHeight="1" x14ac:dyDescent="0.2">
      <c r="A422" s="232"/>
      <c r="B422" s="250"/>
      <c r="C422" s="286"/>
      <c r="D422" s="232"/>
      <c r="E422" s="232"/>
      <c r="F422" s="232"/>
      <c r="G422" s="232"/>
      <c r="H422" s="232"/>
      <c r="I422" s="232"/>
      <c r="J422" s="232"/>
      <c r="K422" s="232"/>
      <c r="L422" s="232"/>
      <c r="M422" s="232"/>
      <c r="N422" s="232"/>
      <c r="O422" s="232"/>
      <c r="P422" s="232"/>
      <c r="Q422" s="232"/>
      <c r="R422" s="232"/>
      <c r="S422" s="232"/>
      <c r="T422" s="232"/>
      <c r="U422" s="232"/>
      <c r="V422" s="15"/>
      <c r="W422" s="15"/>
      <c r="X422" s="15"/>
      <c r="Y422" s="15"/>
      <c r="Z422" s="15"/>
      <c r="AA422" s="15"/>
    </row>
    <row r="423" spans="1:27" s="25" customFormat="1" ht="12" customHeight="1" x14ac:dyDescent="0.2">
      <c r="A423" s="232"/>
      <c r="B423" s="250"/>
      <c r="C423" s="286"/>
      <c r="D423" s="232"/>
      <c r="E423" s="232"/>
      <c r="F423" s="232"/>
      <c r="G423" s="232"/>
      <c r="H423" s="232"/>
      <c r="I423" s="232"/>
      <c r="J423" s="232"/>
      <c r="K423" s="232"/>
      <c r="L423" s="232"/>
      <c r="M423" s="232"/>
      <c r="N423" s="232"/>
      <c r="O423" s="232"/>
      <c r="P423" s="232"/>
      <c r="Q423" s="232"/>
      <c r="R423" s="232"/>
      <c r="S423" s="232"/>
      <c r="T423" s="232"/>
      <c r="U423" s="232"/>
      <c r="V423" s="15"/>
      <c r="W423" s="15"/>
      <c r="X423" s="15"/>
      <c r="Y423" s="15"/>
      <c r="Z423" s="15"/>
      <c r="AA423" s="15"/>
    </row>
    <row r="424" spans="1:27" s="25" customFormat="1" ht="12" customHeight="1" x14ac:dyDescent="0.2">
      <c r="A424" s="232"/>
      <c r="B424" s="250"/>
      <c r="C424" s="286"/>
      <c r="D424" s="232"/>
      <c r="E424" s="232"/>
      <c r="F424" s="232"/>
      <c r="G424" s="232"/>
      <c r="H424" s="232"/>
      <c r="I424" s="232"/>
      <c r="J424" s="232"/>
      <c r="K424" s="232"/>
      <c r="L424" s="232"/>
      <c r="M424" s="232"/>
      <c r="N424" s="232"/>
      <c r="O424" s="232"/>
      <c r="P424" s="232"/>
      <c r="Q424" s="232"/>
      <c r="R424" s="232"/>
      <c r="S424" s="232"/>
      <c r="T424" s="232"/>
      <c r="U424" s="232"/>
      <c r="V424" s="15"/>
      <c r="W424" s="15"/>
      <c r="X424" s="15"/>
      <c r="Y424" s="15"/>
      <c r="Z424" s="15"/>
      <c r="AA424" s="15"/>
    </row>
    <row r="425" spans="1:27" s="25" customFormat="1" ht="12" customHeight="1" x14ac:dyDescent="0.2">
      <c r="A425" s="232"/>
      <c r="B425" s="250"/>
      <c r="C425" s="286"/>
      <c r="D425" s="232"/>
      <c r="E425" s="232"/>
      <c r="F425" s="232"/>
      <c r="G425" s="232"/>
      <c r="H425" s="232"/>
      <c r="I425" s="232"/>
      <c r="J425" s="232"/>
      <c r="K425" s="232"/>
      <c r="L425" s="232"/>
      <c r="M425" s="232"/>
      <c r="N425" s="232"/>
      <c r="O425" s="232"/>
      <c r="P425" s="232"/>
      <c r="Q425" s="232"/>
      <c r="R425" s="232"/>
      <c r="S425" s="232"/>
      <c r="T425" s="232"/>
      <c r="U425" s="232"/>
      <c r="V425" s="15"/>
      <c r="W425" s="15"/>
      <c r="X425" s="15"/>
      <c r="Y425" s="15"/>
      <c r="Z425" s="15"/>
      <c r="AA425" s="15"/>
    </row>
    <row r="426" spans="1:27" s="25" customFormat="1" ht="12" customHeight="1" x14ac:dyDescent="0.2">
      <c r="A426" s="232"/>
      <c r="B426" s="250"/>
      <c r="C426" s="286"/>
      <c r="D426" s="232"/>
      <c r="E426" s="232"/>
      <c r="F426" s="232"/>
      <c r="G426" s="232"/>
      <c r="H426" s="232"/>
      <c r="I426" s="232"/>
      <c r="J426" s="232"/>
      <c r="K426" s="232"/>
      <c r="L426" s="232"/>
      <c r="M426" s="232"/>
      <c r="N426" s="232"/>
      <c r="O426" s="232"/>
      <c r="P426" s="232"/>
      <c r="Q426" s="232"/>
      <c r="R426" s="232"/>
      <c r="S426" s="232"/>
      <c r="T426" s="232"/>
      <c r="U426" s="232"/>
      <c r="V426" s="15"/>
      <c r="W426" s="15"/>
      <c r="X426" s="15"/>
      <c r="Y426" s="15"/>
      <c r="Z426" s="15"/>
      <c r="AA426" s="15"/>
    </row>
    <row r="427" spans="1:27" s="25" customFormat="1" ht="12" customHeight="1" x14ac:dyDescent="0.2">
      <c r="A427" s="232"/>
      <c r="B427" s="250"/>
      <c r="C427" s="286"/>
      <c r="D427" s="232"/>
      <c r="E427" s="232"/>
      <c r="F427" s="232"/>
      <c r="G427" s="232"/>
      <c r="H427" s="232"/>
      <c r="I427" s="232"/>
      <c r="J427" s="232"/>
      <c r="K427" s="232"/>
      <c r="L427" s="232"/>
      <c r="M427" s="232"/>
      <c r="N427" s="232"/>
      <c r="O427" s="232"/>
      <c r="P427" s="232"/>
      <c r="Q427" s="232"/>
      <c r="R427" s="232"/>
      <c r="S427" s="232"/>
      <c r="T427" s="232"/>
      <c r="U427" s="232"/>
      <c r="V427" s="15"/>
      <c r="W427" s="15"/>
      <c r="X427" s="15"/>
      <c r="Y427" s="15"/>
      <c r="Z427" s="15"/>
      <c r="AA427" s="15"/>
    </row>
    <row r="428" spans="1:27" s="25" customFormat="1" ht="12" customHeight="1" x14ac:dyDescent="0.2">
      <c r="A428" s="232"/>
      <c r="B428" s="250"/>
      <c r="C428" s="286"/>
      <c r="D428" s="232"/>
      <c r="E428" s="232"/>
      <c r="F428" s="232"/>
      <c r="G428" s="232"/>
      <c r="H428" s="232"/>
      <c r="I428" s="232"/>
      <c r="J428" s="232"/>
      <c r="K428" s="232"/>
      <c r="L428" s="232"/>
      <c r="M428" s="232"/>
      <c r="N428" s="232"/>
      <c r="O428" s="232"/>
      <c r="P428" s="232"/>
      <c r="Q428" s="232"/>
      <c r="R428" s="232"/>
      <c r="S428" s="232"/>
      <c r="T428" s="232"/>
      <c r="U428" s="232"/>
      <c r="V428" s="15"/>
      <c r="W428" s="15"/>
      <c r="X428" s="15"/>
      <c r="Y428" s="15"/>
      <c r="Z428" s="15"/>
      <c r="AA428" s="15"/>
    </row>
    <row r="429" spans="1:27" s="25" customFormat="1" ht="12" customHeight="1" x14ac:dyDescent="0.2">
      <c r="A429" s="232"/>
      <c r="B429" s="250"/>
      <c r="C429" s="286"/>
      <c r="D429" s="232"/>
      <c r="E429" s="232"/>
      <c r="F429" s="232"/>
      <c r="G429" s="232"/>
      <c r="H429" s="232"/>
      <c r="I429" s="232"/>
      <c r="J429" s="232"/>
      <c r="K429" s="232"/>
      <c r="L429" s="232"/>
      <c r="M429" s="232"/>
      <c r="N429" s="232"/>
      <c r="O429" s="232"/>
      <c r="P429" s="232"/>
      <c r="Q429" s="232"/>
      <c r="R429" s="232"/>
      <c r="S429" s="232"/>
      <c r="T429" s="232"/>
      <c r="U429" s="232"/>
      <c r="V429" s="15"/>
      <c r="W429" s="15"/>
      <c r="X429" s="15"/>
      <c r="Y429" s="15"/>
      <c r="Z429" s="15"/>
      <c r="AA429" s="15"/>
    </row>
    <row r="430" spans="1:27" s="25" customFormat="1" ht="12" customHeight="1" x14ac:dyDescent="0.2">
      <c r="A430" s="232"/>
      <c r="B430" s="250"/>
      <c r="C430" s="286"/>
      <c r="D430" s="232"/>
      <c r="E430" s="232"/>
      <c r="F430" s="232"/>
      <c r="G430" s="232"/>
      <c r="H430" s="232"/>
      <c r="I430" s="232"/>
      <c r="J430" s="232"/>
      <c r="K430" s="232"/>
      <c r="L430" s="232"/>
      <c r="M430" s="232"/>
      <c r="N430" s="232"/>
      <c r="O430" s="232"/>
      <c r="P430" s="232"/>
      <c r="Q430" s="232"/>
      <c r="R430" s="232"/>
      <c r="S430" s="232"/>
      <c r="T430" s="232"/>
      <c r="U430" s="232"/>
      <c r="V430" s="15"/>
      <c r="W430" s="15"/>
      <c r="X430" s="15"/>
      <c r="Y430" s="15"/>
      <c r="Z430" s="15"/>
      <c r="AA430" s="15"/>
    </row>
    <row r="431" spans="1:27" s="25" customFormat="1" ht="12" customHeight="1" x14ac:dyDescent="0.2">
      <c r="A431" s="232"/>
      <c r="B431" s="250"/>
      <c r="C431" s="286"/>
      <c r="D431" s="232"/>
      <c r="E431" s="232"/>
      <c r="F431" s="232"/>
      <c r="G431" s="232"/>
      <c r="H431" s="232"/>
      <c r="I431" s="232"/>
      <c r="J431" s="232"/>
      <c r="K431" s="232"/>
      <c r="L431" s="232"/>
      <c r="M431" s="232"/>
      <c r="N431" s="232"/>
      <c r="O431" s="232"/>
      <c r="P431" s="232"/>
      <c r="Q431" s="232"/>
      <c r="R431" s="232"/>
      <c r="S431" s="232"/>
      <c r="T431" s="232"/>
      <c r="U431" s="232"/>
      <c r="V431" s="15"/>
      <c r="W431" s="15"/>
      <c r="X431" s="15"/>
      <c r="Y431" s="15"/>
      <c r="Z431" s="15"/>
      <c r="AA431" s="15"/>
    </row>
    <row r="432" spans="1:27" s="25" customFormat="1" ht="12" customHeight="1" x14ac:dyDescent="0.2">
      <c r="A432" s="232"/>
      <c r="B432" s="250"/>
      <c r="C432" s="286"/>
      <c r="D432" s="232"/>
      <c r="E432" s="232"/>
      <c r="F432" s="232"/>
      <c r="G432" s="232"/>
      <c r="H432" s="232"/>
      <c r="I432" s="232"/>
      <c r="J432" s="232"/>
      <c r="K432" s="232"/>
      <c r="L432" s="232"/>
      <c r="M432" s="232"/>
      <c r="N432" s="232"/>
      <c r="O432" s="232"/>
      <c r="P432" s="232"/>
      <c r="Q432" s="232"/>
      <c r="R432" s="232"/>
      <c r="S432" s="232"/>
      <c r="T432" s="232"/>
      <c r="U432" s="232"/>
      <c r="V432" s="15"/>
      <c r="W432" s="15"/>
      <c r="X432" s="15"/>
      <c r="Y432" s="15"/>
      <c r="Z432" s="15"/>
      <c r="AA432" s="15"/>
    </row>
    <row r="433" spans="1:27" s="25" customFormat="1" ht="12" customHeight="1" x14ac:dyDescent="0.2">
      <c r="A433" s="232"/>
      <c r="B433" s="250"/>
      <c r="C433" s="286"/>
      <c r="D433" s="232"/>
      <c r="E433" s="232"/>
      <c r="F433" s="232"/>
      <c r="G433" s="232"/>
      <c r="H433" s="232"/>
      <c r="I433" s="232"/>
      <c r="J433" s="232"/>
      <c r="K433" s="232"/>
      <c r="L433" s="232"/>
      <c r="M433" s="232"/>
      <c r="N433" s="232"/>
      <c r="O433" s="232"/>
      <c r="P433" s="232"/>
      <c r="Q433" s="232"/>
      <c r="R433" s="232"/>
      <c r="S433" s="232"/>
      <c r="T433" s="232"/>
      <c r="U433" s="232"/>
      <c r="V433" s="15"/>
      <c r="W433" s="15"/>
      <c r="X433" s="15"/>
      <c r="Y433" s="15"/>
      <c r="Z433" s="15"/>
      <c r="AA433" s="15"/>
    </row>
    <row r="434" spans="1:27" s="25" customFormat="1" ht="12" customHeight="1" x14ac:dyDescent="0.2">
      <c r="A434" s="232"/>
      <c r="B434" s="250"/>
      <c r="C434" s="286"/>
      <c r="D434" s="232"/>
      <c r="E434" s="232"/>
      <c r="F434" s="232"/>
      <c r="G434" s="232"/>
      <c r="H434" s="232"/>
      <c r="I434" s="232"/>
      <c r="J434" s="232"/>
      <c r="K434" s="232"/>
      <c r="L434" s="232"/>
      <c r="M434" s="232"/>
      <c r="N434" s="232"/>
      <c r="O434" s="232"/>
      <c r="P434" s="232"/>
      <c r="Q434" s="232"/>
      <c r="R434" s="232"/>
      <c r="S434" s="232"/>
      <c r="T434" s="232"/>
      <c r="U434" s="232"/>
      <c r="V434" s="15"/>
      <c r="W434" s="15"/>
      <c r="X434" s="15"/>
      <c r="Y434" s="15"/>
      <c r="Z434" s="15"/>
      <c r="AA434" s="15"/>
    </row>
    <row r="435" spans="1:27" s="25" customFormat="1" ht="12" customHeight="1" x14ac:dyDescent="0.2">
      <c r="A435" s="232"/>
      <c r="B435" s="250"/>
      <c r="C435" s="286"/>
      <c r="D435" s="232"/>
      <c r="E435" s="232"/>
      <c r="F435" s="232"/>
      <c r="G435" s="232"/>
      <c r="H435" s="232"/>
      <c r="I435" s="232"/>
      <c r="J435" s="232"/>
      <c r="K435" s="232"/>
      <c r="L435" s="232"/>
      <c r="M435" s="232"/>
      <c r="N435" s="232"/>
      <c r="O435" s="232"/>
      <c r="P435" s="232"/>
      <c r="Q435" s="232"/>
      <c r="R435" s="232"/>
      <c r="S435" s="232"/>
      <c r="T435" s="232"/>
      <c r="U435" s="232"/>
      <c r="V435" s="15"/>
      <c r="W435" s="15"/>
      <c r="X435" s="15"/>
      <c r="Y435" s="15"/>
      <c r="Z435" s="15"/>
      <c r="AA435" s="15"/>
    </row>
    <row r="436" spans="1:27" s="25" customFormat="1" ht="12" customHeight="1" x14ac:dyDescent="0.2">
      <c r="A436" s="232"/>
      <c r="B436" s="250"/>
      <c r="C436" s="286"/>
      <c r="D436" s="232"/>
      <c r="E436" s="232"/>
      <c r="F436" s="232"/>
      <c r="G436" s="232"/>
      <c r="H436" s="232"/>
      <c r="I436" s="232"/>
      <c r="J436" s="232"/>
      <c r="K436" s="232"/>
      <c r="L436" s="232"/>
      <c r="M436" s="232"/>
      <c r="N436" s="232"/>
      <c r="O436" s="232"/>
      <c r="P436" s="232"/>
      <c r="Q436" s="232"/>
      <c r="R436" s="232"/>
      <c r="S436" s="232"/>
      <c r="T436" s="232"/>
      <c r="U436" s="232"/>
      <c r="V436" s="15"/>
      <c r="W436" s="15"/>
      <c r="X436" s="15"/>
      <c r="Y436" s="15"/>
      <c r="Z436" s="15"/>
      <c r="AA436" s="15"/>
    </row>
    <row r="437" spans="1:27" s="25" customFormat="1" ht="12" customHeight="1" x14ac:dyDescent="0.2">
      <c r="A437" s="232"/>
      <c r="B437" s="250"/>
      <c r="C437" s="286"/>
      <c r="D437" s="232"/>
      <c r="E437" s="232"/>
      <c r="F437" s="232"/>
      <c r="G437" s="232"/>
      <c r="H437" s="232"/>
      <c r="I437" s="232"/>
      <c r="J437" s="232"/>
      <c r="K437" s="232"/>
      <c r="L437" s="232"/>
      <c r="M437" s="232"/>
      <c r="N437" s="232"/>
      <c r="O437" s="232"/>
      <c r="P437" s="232"/>
      <c r="Q437" s="232"/>
      <c r="R437" s="232"/>
      <c r="S437" s="232"/>
      <c r="T437" s="232"/>
      <c r="U437" s="232"/>
      <c r="V437" s="15"/>
      <c r="W437" s="15"/>
      <c r="X437" s="15"/>
      <c r="Y437" s="15"/>
      <c r="Z437" s="15"/>
      <c r="AA437" s="15"/>
    </row>
    <row r="438" spans="1:27" s="25" customFormat="1" ht="12" customHeight="1" x14ac:dyDescent="0.2">
      <c r="A438" s="232"/>
      <c r="B438" s="250"/>
      <c r="C438" s="286"/>
      <c r="D438" s="232"/>
      <c r="E438" s="232"/>
      <c r="F438" s="232"/>
      <c r="G438" s="232"/>
      <c r="H438" s="232"/>
      <c r="I438" s="232"/>
      <c r="J438" s="232"/>
      <c r="K438" s="232"/>
      <c r="L438" s="232"/>
      <c r="M438" s="232"/>
      <c r="N438" s="232"/>
      <c r="O438" s="232"/>
      <c r="P438" s="232"/>
      <c r="Q438" s="232"/>
      <c r="R438" s="232"/>
      <c r="S438" s="232"/>
      <c r="T438" s="232"/>
      <c r="U438" s="232"/>
      <c r="V438" s="15"/>
      <c r="W438" s="15"/>
      <c r="X438" s="15"/>
      <c r="Y438" s="15"/>
      <c r="Z438" s="15"/>
      <c r="AA438" s="15"/>
    </row>
    <row r="439" spans="1:27" s="25" customFormat="1" ht="12" customHeight="1" x14ac:dyDescent="0.2">
      <c r="A439" s="232"/>
      <c r="B439" s="250"/>
      <c r="C439" s="286"/>
      <c r="D439" s="232"/>
      <c r="E439" s="232"/>
      <c r="F439" s="232"/>
      <c r="G439" s="232"/>
      <c r="H439" s="232"/>
      <c r="I439" s="232"/>
      <c r="J439" s="232"/>
      <c r="K439" s="232"/>
      <c r="L439" s="232"/>
      <c r="M439" s="232"/>
      <c r="N439" s="232"/>
      <c r="O439" s="232"/>
      <c r="P439" s="232"/>
      <c r="Q439" s="232"/>
      <c r="R439" s="232"/>
      <c r="S439" s="232"/>
      <c r="T439" s="232"/>
      <c r="U439" s="232"/>
      <c r="V439" s="15"/>
      <c r="W439" s="15"/>
      <c r="X439" s="15"/>
      <c r="Y439" s="15"/>
      <c r="Z439" s="15"/>
      <c r="AA439" s="15"/>
    </row>
    <row r="440" spans="1:27" s="25" customFormat="1" ht="12" customHeight="1" x14ac:dyDescent="0.2">
      <c r="A440" s="232"/>
      <c r="B440" s="250"/>
      <c r="C440" s="286"/>
      <c r="D440" s="232"/>
      <c r="E440" s="232"/>
      <c r="F440" s="232"/>
      <c r="G440" s="232"/>
      <c r="H440" s="232"/>
      <c r="I440" s="232"/>
      <c r="J440" s="232"/>
      <c r="K440" s="232"/>
      <c r="L440" s="232"/>
      <c r="M440" s="232"/>
      <c r="N440" s="232"/>
      <c r="O440" s="232"/>
      <c r="P440" s="232"/>
      <c r="Q440" s="232"/>
      <c r="R440" s="232"/>
      <c r="S440" s="232"/>
      <c r="T440" s="232"/>
      <c r="U440" s="232"/>
      <c r="V440" s="15"/>
      <c r="W440" s="15"/>
      <c r="X440" s="15"/>
      <c r="Y440" s="15"/>
      <c r="Z440" s="15"/>
      <c r="AA440" s="15"/>
    </row>
    <row r="441" spans="1:27" s="25" customFormat="1" ht="12" customHeight="1" x14ac:dyDescent="0.2">
      <c r="A441" s="232"/>
      <c r="B441" s="250"/>
      <c r="C441" s="286"/>
      <c r="D441" s="232"/>
      <c r="E441" s="232"/>
      <c r="F441" s="232"/>
      <c r="G441" s="232"/>
      <c r="H441" s="232"/>
      <c r="I441" s="232"/>
      <c r="J441" s="232"/>
      <c r="K441" s="232"/>
      <c r="L441" s="232"/>
      <c r="M441" s="232"/>
      <c r="N441" s="232"/>
      <c r="O441" s="232"/>
      <c r="P441" s="232"/>
      <c r="Q441" s="232"/>
      <c r="R441" s="232"/>
      <c r="S441" s="232"/>
      <c r="T441" s="232"/>
      <c r="U441" s="232"/>
      <c r="V441" s="15"/>
      <c r="W441" s="15"/>
      <c r="X441" s="15"/>
      <c r="Y441" s="15"/>
      <c r="Z441" s="15"/>
      <c r="AA441" s="15"/>
    </row>
    <row r="442" spans="1:27" s="25" customFormat="1" ht="12" customHeight="1" x14ac:dyDescent="0.2">
      <c r="A442" s="232"/>
      <c r="B442" s="250"/>
      <c r="C442" s="286"/>
      <c r="D442" s="232"/>
      <c r="E442" s="232"/>
      <c r="F442" s="232"/>
      <c r="G442" s="232"/>
      <c r="H442" s="232"/>
      <c r="I442" s="232"/>
      <c r="J442" s="232"/>
      <c r="K442" s="232"/>
      <c r="L442" s="232"/>
      <c r="M442" s="232"/>
      <c r="N442" s="232"/>
      <c r="O442" s="232"/>
      <c r="P442" s="232"/>
      <c r="Q442" s="232"/>
      <c r="R442" s="232"/>
      <c r="S442" s="232"/>
      <c r="T442" s="232"/>
      <c r="U442" s="232"/>
      <c r="V442" s="15"/>
      <c r="W442" s="15"/>
      <c r="X442" s="15"/>
      <c r="Y442" s="15"/>
      <c r="Z442" s="15"/>
      <c r="AA442" s="15"/>
    </row>
    <row r="443" spans="1:27" s="25" customFormat="1" ht="12" customHeight="1" x14ac:dyDescent="0.2">
      <c r="A443" s="232"/>
      <c r="B443" s="250"/>
      <c r="C443" s="286"/>
      <c r="D443" s="232"/>
      <c r="E443" s="232"/>
      <c r="F443" s="232"/>
      <c r="G443" s="232"/>
      <c r="H443" s="232"/>
      <c r="I443" s="232"/>
      <c r="J443" s="232"/>
      <c r="K443" s="232"/>
      <c r="L443" s="232"/>
      <c r="M443" s="232"/>
      <c r="N443" s="232"/>
      <c r="O443" s="232"/>
      <c r="P443" s="232"/>
      <c r="Q443" s="232"/>
      <c r="R443" s="232"/>
      <c r="S443" s="232"/>
      <c r="T443" s="232"/>
      <c r="U443" s="232"/>
      <c r="V443" s="15"/>
      <c r="W443" s="15"/>
      <c r="X443" s="15"/>
      <c r="Y443" s="15"/>
      <c r="Z443" s="15"/>
      <c r="AA443" s="15"/>
    </row>
    <row r="444" spans="1:27" s="25" customFormat="1" ht="12" customHeight="1" x14ac:dyDescent="0.2">
      <c r="A444" s="232"/>
      <c r="B444" s="250"/>
      <c r="C444" s="286"/>
      <c r="D444" s="232"/>
      <c r="E444" s="232"/>
      <c r="F444" s="232"/>
      <c r="G444" s="232"/>
      <c r="H444" s="232"/>
      <c r="I444" s="232"/>
      <c r="J444" s="232"/>
      <c r="K444" s="232"/>
      <c r="L444" s="232"/>
      <c r="M444" s="232"/>
      <c r="N444" s="232"/>
      <c r="O444" s="232"/>
      <c r="P444" s="232"/>
      <c r="Q444" s="232"/>
      <c r="R444" s="232"/>
      <c r="S444" s="232"/>
      <c r="T444" s="232"/>
      <c r="U444" s="232"/>
      <c r="V444" s="15"/>
      <c r="W444" s="15"/>
      <c r="X444" s="15"/>
      <c r="Y444" s="15"/>
      <c r="Z444" s="15"/>
      <c r="AA444" s="15"/>
    </row>
    <row r="445" spans="1:27" s="25" customFormat="1" ht="12" customHeight="1" x14ac:dyDescent="0.2">
      <c r="A445" s="232"/>
      <c r="B445" s="250"/>
      <c r="C445" s="286"/>
      <c r="D445" s="232"/>
      <c r="E445" s="232"/>
      <c r="F445" s="232"/>
      <c r="G445" s="232"/>
      <c r="H445" s="232"/>
      <c r="I445" s="232"/>
      <c r="J445" s="232"/>
      <c r="K445" s="232"/>
      <c r="L445" s="232"/>
      <c r="M445" s="232"/>
      <c r="N445" s="232"/>
      <c r="O445" s="232"/>
      <c r="P445" s="232"/>
      <c r="Q445" s="232"/>
      <c r="R445" s="232"/>
      <c r="S445" s="232"/>
      <c r="T445" s="232"/>
      <c r="U445" s="232"/>
      <c r="V445" s="15"/>
      <c r="W445" s="15"/>
      <c r="X445" s="15"/>
      <c r="Y445" s="15"/>
      <c r="Z445" s="15"/>
      <c r="AA445" s="15"/>
    </row>
    <row r="446" spans="1:27" s="25" customFormat="1" ht="12" customHeight="1" x14ac:dyDescent="0.2">
      <c r="A446" s="232"/>
      <c r="B446" s="250"/>
      <c r="C446" s="286"/>
      <c r="D446" s="232"/>
      <c r="E446" s="232"/>
      <c r="F446" s="232"/>
      <c r="G446" s="232"/>
      <c r="H446" s="232"/>
      <c r="I446" s="232"/>
      <c r="J446" s="232"/>
      <c r="K446" s="232"/>
      <c r="L446" s="232"/>
      <c r="M446" s="232"/>
      <c r="N446" s="232"/>
      <c r="O446" s="232"/>
      <c r="P446" s="232"/>
      <c r="Q446" s="232"/>
      <c r="R446" s="232"/>
      <c r="S446" s="232"/>
      <c r="T446" s="232"/>
      <c r="U446" s="232"/>
      <c r="V446" s="15"/>
      <c r="W446" s="15"/>
      <c r="X446" s="15"/>
      <c r="Y446" s="15"/>
      <c r="Z446" s="15"/>
      <c r="AA446" s="15"/>
    </row>
    <row r="447" spans="1:27" s="25" customFormat="1" ht="12" customHeight="1" x14ac:dyDescent="0.2">
      <c r="A447" s="232"/>
      <c r="B447" s="250"/>
      <c r="C447" s="286"/>
      <c r="D447" s="232"/>
      <c r="E447" s="232"/>
      <c r="F447" s="232"/>
      <c r="G447" s="232"/>
      <c r="H447" s="232"/>
      <c r="I447" s="232"/>
      <c r="J447" s="232"/>
      <c r="K447" s="232"/>
      <c r="L447" s="232"/>
      <c r="M447" s="232"/>
      <c r="N447" s="232"/>
      <c r="O447" s="232"/>
      <c r="P447" s="232"/>
      <c r="Q447" s="232"/>
      <c r="R447" s="232"/>
      <c r="S447" s="232"/>
      <c r="T447" s="232"/>
      <c r="U447" s="232"/>
      <c r="V447" s="15"/>
      <c r="W447" s="15"/>
      <c r="X447" s="15"/>
      <c r="Y447" s="15"/>
      <c r="Z447" s="15"/>
      <c r="AA447" s="15"/>
    </row>
    <row r="448" spans="1:27" s="25" customFormat="1" ht="12" customHeight="1" x14ac:dyDescent="0.2">
      <c r="A448" s="232"/>
      <c r="B448" s="250"/>
      <c r="C448" s="286"/>
      <c r="D448" s="232"/>
      <c r="E448" s="232"/>
      <c r="F448" s="232"/>
      <c r="G448" s="232"/>
      <c r="H448" s="232"/>
      <c r="I448" s="232"/>
      <c r="J448" s="232"/>
      <c r="K448" s="232"/>
      <c r="L448" s="232"/>
      <c r="M448" s="232"/>
      <c r="N448" s="232"/>
      <c r="O448" s="232"/>
      <c r="P448" s="232"/>
      <c r="Q448" s="232"/>
      <c r="R448" s="232"/>
      <c r="S448" s="232"/>
      <c r="T448" s="232"/>
      <c r="U448" s="232"/>
      <c r="V448" s="15"/>
      <c r="W448" s="15"/>
      <c r="X448" s="15"/>
      <c r="Y448" s="15"/>
      <c r="Z448" s="15"/>
      <c r="AA448" s="15"/>
    </row>
    <row r="449" spans="1:27" s="25" customFormat="1" ht="12" customHeight="1" x14ac:dyDescent="0.2">
      <c r="A449" s="232"/>
      <c r="B449" s="250"/>
      <c r="C449" s="286"/>
      <c r="D449" s="232"/>
      <c r="E449" s="232"/>
      <c r="F449" s="232"/>
      <c r="G449" s="232"/>
      <c r="H449" s="232"/>
      <c r="I449" s="232"/>
      <c r="J449" s="232"/>
      <c r="K449" s="232"/>
      <c r="L449" s="232"/>
      <c r="M449" s="232"/>
      <c r="N449" s="232"/>
      <c r="O449" s="232"/>
      <c r="P449" s="232"/>
      <c r="Q449" s="232"/>
      <c r="R449" s="232"/>
      <c r="S449" s="232"/>
      <c r="T449" s="232"/>
      <c r="U449" s="232"/>
      <c r="V449" s="15"/>
      <c r="W449" s="15"/>
      <c r="X449" s="15"/>
      <c r="Y449" s="15"/>
      <c r="Z449" s="15"/>
      <c r="AA449" s="15"/>
    </row>
    <row r="450" spans="1:27" s="25" customFormat="1" ht="12" customHeight="1" x14ac:dyDescent="0.2">
      <c r="A450" s="232"/>
      <c r="B450" s="250"/>
      <c r="C450" s="286"/>
      <c r="D450" s="232"/>
      <c r="E450" s="232"/>
      <c r="F450" s="232"/>
      <c r="G450" s="232"/>
      <c r="H450" s="232"/>
      <c r="I450" s="232"/>
      <c r="J450" s="232"/>
      <c r="K450" s="232"/>
      <c r="L450" s="232"/>
      <c r="M450" s="232"/>
      <c r="N450" s="232"/>
      <c r="O450" s="232"/>
      <c r="P450" s="232"/>
      <c r="Q450" s="232"/>
      <c r="R450" s="232"/>
      <c r="S450" s="232"/>
      <c r="T450" s="232"/>
      <c r="U450" s="232"/>
      <c r="V450" s="15"/>
      <c r="W450" s="15"/>
      <c r="X450" s="15"/>
      <c r="Y450" s="15"/>
      <c r="Z450" s="15"/>
      <c r="AA450" s="15"/>
    </row>
    <row r="451" spans="1:27" s="25" customFormat="1" ht="12" customHeight="1" x14ac:dyDescent="0.2">
      <c r="A451" s="232"/>
      <c r="B451" s="250"/>
      <c r="C451" s="286"/>
      <c r="D451" s="232"/>
      <c r="E451" s="232"/>
      <c r="F451" s="232"/>
      <c r="G451" s="232"/>
      <c r="H451" s="232"/>
      <c r="I451" s="232"/>
      <c r="J451" s="232"/>
      <c r="K451" s="232"/>
      <c r="L451" s="232"/>
      <c r="M451" s="232"/>
      <c r="N451" s="232"/>
      <c r="O451" s="232"/>
      <c r="P451" s="232"/>
      <c r="Q451" s="232"/>
      <c r="R451" s="232"/>
      <c r="S451" s="232"/>
      <c r="T451" s="232"/>
      <c r="U451" s="232"/>
      <c r="V451" s="15"/>
      <c r="W451" s="15"/>
      <c r="X451" s="15"/>
      <c r="Y451" s="15"/>
      <c r="Z451" s="15"/>
      <c r="AA451" s="15"/>
    </row>
    <row r="452" spans="1:27" s="25" customFormat="1" ht="12" customHeight="1" x14ac:dyDescent="0.2">
      <c r="A452" s="232"/>
      <c r="B452" s="250"/>
      <c r="C452" s="286"/>
      <c r="D452" s="232"/>
      <c r="E452" s="232"/>
      <c r="F452" s="232"/>
      <c r="G452" s="232"/>
      <c r="H452" s="232"/>
      <c r="I452" s="232"/>
      <c r="J452" s="232"/>
      <c r="K452" s="232"/>
      <c r="L452" s="232"/>
      <c r="M452" s="232"/>
      <c r="N452" s="232"/>
      <c r="O452" s="232"/>
      <c r="P452" s="232"/>
      <c r="Q452" s="232"/>
      <c r="R452" s="232"/>
      <c r="S452" s="232"/>
      <c r="T452" s="232"/>
      <c r="U452" s="232"/>
      <c r="V452" s="15"/>
      <c r="W452" s="15"/>
      <c r="X452" s="15"/>
      <c r="Y452" s="15"/>
      <c r="Z452" s="15"/>
      <c r="AA452" s="15"/>
    </row>
    <row r="453" spans="1:27" s="25" customFormat="1" ht="12" customHeight="1" x14ac:dyDescent="0.2">
      <c r="A453" s="232"/>
      <c r="B453" s="250"/>
      <c r="C453" s="286"/>
      <c r="D453" s="232"/>
      <c r="E453" s="232"/>
      <c r="F453" s="232"/>
      <c r="G453" s="232"/>
      <c r="H453" s="232"/>
      <c r="I453" s="232"/>
      <c r="J453" s="232"/>
      <c r="K453" s="232"/>
      <c r="L453" s="232"/>
      <c r="M453" s="232"/>
      <c r="N453" s="232"/>
      <c r="O453" s="232"/>
      <c r="P453" s="232"/>
      <c r="Q453" s="232"/>
      <c r="R453" s="232"/>
      <c r="S453" s="232"/>
      <c r="T453" s="232"/>
      <c r="U453" s="232"/>
      <c r="V453" s="15"/>
      <c r="W453" s="15"/>
      <c r="X453" s="15"/>
      <c r="Y453" s="15"/>
      <c r="Z453" s="15"/>
      <c r="AA453" s="15"/>
    </row>
    <row r="454" spans="1:27" s="25" customFormat="1" ht="12" customHeight="1" x14ac:dyDescent="0.2">
      <c r="A454" s="232"/>
      <c r="B454" s="250"/>
      <c r="C454" s="286"/>
      <c r="D454" s="232"/>
      <c r="E454" s="232"/>
      <c r="F454" s="232"/>
      <c r="G454" s="232"/>
      <c r="H454" s="232"/>
      <c r="I454" s="232"/>
      <c r="J454" s="232"/>
      <c r="K454" s="232"/>
      <c r="L454" s="232"/>
      <c r="M454" s="232"/>
      <c r="N454" s="232"/>
      <c r="O454" s="232"/>
      <c r="P454" s="232"/>
      <c r="Q454" s="232"/>
      <c r="R454" s="232"/>
      <c r="S454" s="232"/>
      <c r="T454" s="232"/>
      <c r="U454" s="232"/>
      <c r="V454" s="15"/>
      <c r="W454" s="15"/>
      <c r="X454" s="15"/>
      <c r="Y454" s="15"/>
      <c r="Z454" s="15"/>
      <c r="AA454" s="15"/>
    </row>
    <row r="455" spans="1:27" s="25" customFormat="1" ht="12" customHeight="1" x14ac:dyDescent="0.2">
      <c r="A455" s="232"/>
      <c r="B455" s="250"/>
      <c r="C455" s="286"/>
      <c r="D455" s="232"/>
      <c r="E455" s="232"/>
      <c r="F455" s="232"/>
      <c r="G455" s="232"/>
      <c r="H455" s="232"/>
      <c r="I455" s="232"/>
      <c r="J455" s="232"/>
      <c r="K455" s="232"/>
      <c r="L455" s="232"/>
      <c r="M455" s="232"/>
      <c r="N455" s="232"/>
      <c r="O455" s="232"/>
      <c r="P455" s="232"/>
      <c r="Q455" s="232"/>
      <c r="R455" s="232"/>
      <c r="S455" s="232"/>
      <c r="T455" s="232"/>
      <c r="U455" s="232"/>
      <c r="V455" s="15"/>
      <c r="W455" s="15"/>
      <c r="X455" s="15"/>
      <c r="Y455" s="15"/>
      <c r="Z455" s="15"/>
      <c r="AA455" s="15"/>
    </row>
    <row r="456" spans="1:27" s="25" customFormat="1" ht="12" customHeight="1" x14ac:dyDescent="0.2">
      <c r="A456" s="232"/>
      <c r="B456" s="250"/>
      <c r="C456" s="286"/>
      <c r="D456" s="232"/>
      <c r="E456" s="232"/>
      <c r="F456" s="232"/>
      <c r="G456" s="232"/>
      <c r="H456" s="232"/>
      <c r="I456" s="232"/>
      <c r="J456" s="232"/>
      <c r="K456" s="232"/>
      <c r="L456" s="232"/>
      <c r="M456" s="232"/>
      <c r="N456" s="232"/>
      <c r="O456" s="232"/>
      <c r="P456" s="232"/>
      <c r="Q456" s="232"/>
      <c r="R456" s="232"/>
      <c r="S456" s="232"/>
      <c r="T456" s="232"/>
      <c r="U456" s="232"/>
      <c r="V456" s="15"/>
      <c r="W456" s="15"/>
      <c r="X456" s="15"/>
      <c r="Y456" s="15"/>
      <c r="Z456" s="15"/>
      <c r="AA456" s="15"/>
    </row>
    <row r="457" spans="1:27" s="25" customFormat="1" ht="12" customHeight="1" x14ac:dyDescent="0.2">
      <c r="A457" s="232"/>
      <c r="B457" s="250"/>
      <c r="C457" s="286"/>
      <c r="D457" s="232"/>
      <c r="E457" s="232"/>
      <c r="F457" s="232"/>
      <c r="G457" s="232"/>
      <c r="H457" s="232"/>
      <c r="I457" s="232"/>
      <c r="J457" s="232"/>
      <c r="K457" s="232"/>
      <c r="L457" s="232"/>
      <c r="M457" s="232"/>
      <c r="N457" s="232"/>
      <c r="O457" s="232"/>
      <c r="P457" s="232"/>
      <c r="Q457" s="232"/>
      <c r="R457" s="232"/>
      <c r="S457" s="232"/>
      <c r="T457" s="232"/>
      <c r="U457" s="232"/>
      <c r="V457" s="15"/>
      <c r="W457" s="15"/>
      <c r="X457" s="15"/>
      <c r="Y457" s="15"/>
      <c r="Z457" s="15"/>
      <c r="AA457" s="15"/>
    </row>
    <row r="458" spans="1:27" s="25" customFormat="1" ht="12" customHeight="1" x14ac:dyDescent="0.2">
      <c r="A458" s="232"/>
      <c r="B458" s="250"/>
      <c r="C458" s="286"/>
      <c r="D458" s="232"/>
      <c r="E458" s="232"/>
      <c r="F458" s="232"/>
      <c r="G458" s="232"/>
      <c r="H458" s="232"/>
      <c r="I458" s="232"/>
      <c r="J458" s="232"/>
      <c r="K458" s="232"/>
      <c r="L458" s="232"/>
      <c r="M458" s="232"/>
      <c r="N458" s="232"/>
      <c r="O458" s="232"/>
      <c r="P458" s="232"/>
      <c r="Q458" s="232"/>
      <c r="R458" s="232"/>
      <c r="S458" s="232"/>
      <c r="T458" s="232"/>
      <c r="U458" s="232"/>
      <c r="V458" s="15"/>
      <c r="W458" s="15"/>
      <c r="X458" s="15"/>
      <c r="Y458" s="15"/>
      <c r="Z458" s="15"/>
      <c r="AA458" s="15"/>
    </row>
    <row r="459" spans="1:27" s="25" customFormat="1" ht="12" customHeight="1" x14ac:dyDescent="0.2">
      <c r="A459" s="232"/>
      <c r="B459" s="250"/>
      <c r="C459" s="286"/>
      <c r="D459" s="232"/>
      <c r="E459" s="232"/>
      <c r="F459" s="232"/>
      <c r="G459" s="232"/>
      <c r="H459" s="232"/>
      <c r="I459" s="232"/>
      <c r="J459" s="232"/>
      <c r="K459" s="232"/>
      <c r="L459" s="232"/>
      <c r="M459" s="232"/>
      <c r="N459" s="232"/>
      <c r="O459" s="232"/>
      <c r="P459" s="232"/>
      <c r="Q459" s="232"/>
      <c r="R459" s="232"/>
      <c r="S459" s="232"/>
      <c r="T459" s="232"/>
      <c r="U459" s="232"/>
      <c r="V459" s="15"/>
      <c r="W459" s="15"/>
      <c r="X459" s="15"/>
      <c r="Y459" s="15"/>
      <c r="Z459" s="15"/>
      <c r="AA459" s="15"/>
    </row>
    <row r="460" spans="1:27" s="25" customFormat="1" ht="12" customHeight="1" x14ac:dyDescent="0.2">
      <c r="A460" s="232"/>
      <c r="B460" s="250"/>
      <c r="C460" s="286"/>
      <c r="D460" s="232"/>
      <c r="E460" s="232"/>
      <c r="F460" s="232"/>
      <c r="G460" s="232"/>
      <c r="H460" s="232"/>
      <c r="I460" s="232"/>
      <c r="J460" s="232"/>
      <c r="K460" s="232"/>
      <c r="L460" s="232"/>
      <c r="M460" s="232"/>
      <c r="N460" s="232"/>
      <c r="O460" s="232"/>
      <c r="P460" s="232"/>
      <c r="Q460" s="232"/>
      <c r="R460" s="232"/>
      <c r="S460" s="232"/>
      <c r="T460" s="232"/>
      <c r="U460" s="232"/>
      <c r="V460" s="15"/>
      <c r="W460" s="15"/>
      <c r="X460" s="15"/>
      <c r="Y460" s="15"/>
      <c r="Z460" s="15"/>
      <c r="AA460" s="15"/>
    </row>
    <row r="461" spans="1:27" s="25" customFormat="1" ht="12" customHeight="1" x14ac:dyDescent="0.2">
      <c r="A461" s="232"/>
      <c r="B461" s="250"/>
      <c r="C461" s="286"/>
      <c r="D461" s="232"/>
      <c r="E461" s="232"/>
      <c r="F461" s="232"/>
      <c r="G461" s="232"/>
      <c r="H461" s="232"/>
      <c r="I461" s="232"/>
      <c r="J461" s="232"/>
      <c r="K461" s="232"/>
      <c r="L461" s="232"/>
      <c r="M461" s="232"/>
      <c r="N461" s="232"/>
      <c r="O461" s="232"/>
      <c r="P461" s="232"/>
      <c r="Q461" s="232"/>
      <c r="R461" s="232"/>
      <c r="S461" s="232"/>
      <c r="T461" s="232"/>
      <c r="U461" s="232"/>
      <c r="V461" s="15"/>
      <c r="W461" s="15"/>
      <c r="X461" s="15"/>
      <c r="Y461" s="15"/>
      <c r="Z461" s="15"/>
      <c r="AA461" s="15"/>
    </row>
    <row r="462" spans="1:27" s="25" customFormat="1" ht="12" customHeight="1" x14ac:dyDescent="0.2">
      <c r="A462" s="232"/>
      <c r="B462" s="250"/>
      <c r="C462" s="286"/>
      <c r="D462" s="232"/>
      <c r="E462" s="232"/>
      <c r="F462" s="232"/>
      <c r="G462" s="232"/>
      <c r="H462" s="232"/>
      <c r="I462" s="232"/>
      <c r="J462" s="232"/>
      <c r="K462" s="232"/>
      <c r="L462" s="232"/>
      <c r="M462" s="232"/>
      <c r="N462" s="232"/>
      <c r="O462" s="232"/>
      <c r="P462" s="232"/>
      <c r="Q462" s="232"/>
      <c r="R462" s="232"/>
      <c r="S462" s="232"/>
      <c r="T462" s="232"/>
      <c r="U462" s="232"/>
      <c r="V462" s="15"/>
      <c r="W462" s="15"/>
      <c r="X462" s="15"/>
      <c r="Y462" s="15"/>
      <c r="Z462" s="15"/>
      <c r="AA462" s="15"/>
    </row>
    <row r="463" spans="1:27" s="25" customFormat="1" ht="12" customHeight="1" x14ac:dyDescent="0.2">
      <c r="A463" s="232"/>
      <c r="B463" s="250"/>
      <c r="C463" s="286"/>
      <c r="D463" s="232"/>
      <c r="E463" s="232"/>
      <c r="F463" s="232"/>
      <c r="G463" s="232"/>
      <c r="H463" s="232"/>
      <c r="I463" s="232"/>
      <c r="J463" s="232"/>
      <c r="K463" s="232"/>
      <c r="L463" s="232"/>
      <c r="M463" s="232"/>
      <c r="N463" s="232"/>
      <c r="O463" s="232"/>
      <c r="P463" s="232"/>
      <c r="Q463" s="232"/>
      <c r="R463" s="232"/>
      <c r="S463" s="232"/>
      <c r="T463" s="232"/>
      <c r="U463" s="232"/>
      <c r="V463" s="15"/>
      <c r="W463" s="15"/>
      <c r="X463" s="15"/>
      <c r="Y463" s="15"/>
      <c r="Z463" s="15"/>
      <c r="AA463" s="15"/>
    </row>
    <row r="464" spans="1:27" s="25" customFormat="1" ht="12" customHeight="1" x14ac:dyDescent="0.2">
      <c r="A464" s="232"/>
      <c r="B464" s="250"/>
      <c r="C464" s="286"/>
      <c r="D464" s="232"/>
      <c r="E464" s="232"/>
      <c r="F464" s="232"/>
      <c r="G464" s="232"/>
      <c r="H464" s="232"/>
      <c r="I464" s="232"/>
      <c r="J464" s="232"/>
      <c r="K464" s="232"/>
      <c r="L464" s="232"/>
      <c r="M464" s="232"/>
      <c r="N464" s="232"/>
      <c r="O464" s="232"/>
      <c r="P464" s="232"/>
      <c r="Q464" s="232"/>
      <c r="R464" s="232"/>
      <c r="S464" s="232"/>
      <c r="T464" s="232"/>
      <c r="U464" s="232"/>
      <c r="V464" s="15"/>
      <c r="W464" s="15"/>
      <c r="X464" s="15"/>
      <c r="Y464" s="15"/>
      <c r="Z464" s="15"/>
      <c r="AA464" s="15"/>
    </row>
    <row r="465" spans="1:27" s="25" customFormat="1" ht="12" customHeight="1" x14ac:dyDescent="0.2">
      <c r="A465" s="232"/>
      <c r="B465" s="250"/>
      <c r="C465" s="286"/>
      <c r="D465" s="232"/>
      <c r="E465" s="232"/>
      <c r="F465" s="232"/>
      <c r="G465" s="232"/>
      <c r="H465" s="232"/>
      <c r="I465" s="232"/>
      <c r="J465" s="232"/>
      <c r="K465" s="232"/>
      <c r="L465" s="232"/>
      <c r="M465" s="232"/>
      <c r="N465" s="232"/>
      <c r="O465" s="232"/>
      <c r="P465" s="232"/>
      <c r="Q465" s="232"/>
      <c r="R465" s="232"/>
      <c r="S465" s="232"/>
      <c r="T465" s="232"/>
      <c r="U465" s="232"/>
      <c r="V465" s="15"/>
      <c r="W465" s="15"/>
      <c r="X465" s="15"/>
      <c r="Y465" s="15"/>
      <c r="Z465" s="15"/>
      <c r="AA465" s="15"/>
    </row>
    <row r="466" spans="1:27" s="25" customFormat="1" ht="12" customHeight="1" x14ac:dyDescent="0.2">
      <c r="A466" s="232"/>
      <c r="B466" s="250"/>
      <c r="C466" s="286"/>
      <c r="D466" s="232"/>
      <c r="E466" s="232"/>
      <c r="F466" s="232"/>
      <c r="G466" s="232"/>
      <c r="H466" s="232"/>
      <c r="I466" s="232"/>
      <c r="J466" s="232"/>
      <c r="K466" s="232"/>
      <c r="L466" s="232"/>
      <c r="M466" s="232"/>
      <c r="N466" s="232"/>
      <c r="O466" s="232"/>
      <c r="P466" s="232"/>
      <c r="Q466" s="232"/>
      <c r="R466" s="232"/>
      <c r="S466" s="232"/>
      <c r="T466" s="232"/>
      <c r="U466" s="232"/>
      <c r="V466" s="15"/>
      <c r="W466" s="15"/>
      <c r="X466" s="15"/>
      <c r="Y466" s="15"/>
      <c r="Z466" s="15"/>
      <c r="AA466" s="15"/>
    </row>
    <row r="467" spans="1:27" s="25" customFormat="1" ht="12" customHeight="1" x14ac:dyDescent="0.2">
      <c r="A467" s="232"/>
      <c r="B467" s="250"/>
      <c r="C467" s="286"/>
      <c r="D467" s="232"/>
      <c r="E467" s="232"/>
      <c r="F467" s="232"/>
      <c r="G467" s="232"/>
      <c r="H467" s="232"/>
      <c r="I467" s="232"/>
      <c r="J467" s="232"/>
      <c r="K467" s="232"/>
      <c r="L467" s="232"/>
      <c r="M467" s="232"/>
      <c r="N467" s="232"/>
      <c r="O467" s="232"/>
      <c r="P467" s="232"/>
      <c r="Q467" s="232"/>
      <c r="R467" s="232"/>
      <c r="S467" s="232"/>
      <c r="T467" s="232"/>
      <c r="U467" s="232"/>
      <c r="V467" s="15"/>
      <c r="W467" s="15"/>
      <c r="X467" s="15"/>
      <c r="Y467" s="15"/>
      <c r="Z467" s="15"/>
      <c r="AA467" s="15"/>
    </row>
    <row r="468" spans="1:27" s="25" customFormat="1" ht="12" customHeight="1" x14ac:dyDescent="0.2">
      <c r="A468" s="232"/>
      <c r="B468" s="250"/>
      <c r="C468" s="286"/>
      <c r="D468" s="232"/>
      <c r="E468" s="232"/>
      <c r="F468" s="232"/>
      <c r="G468" s="232"/>
      <c r="H468" s="232"/>
      <c r="I468" s="232"/>
      <c r="J468" s="232"/>
      <c r="K468" s="232"/>
      <c r="L468" s="232"/>
      <c r="M468" s="232"/>
      <c r="N468" s="232"/>
      <c r="O468" s="232"/>
      <c r="P468" s="232"/>
      <c r="Q468" s="232"/>
      <c r="R468" s="232"/>
      <c r="S468" s="232"/>
      <c r="T468" s="232"/>
      <c r="U468" s="232"/>
      <c r="V468" s="15"/>
      <c r="W468" s="15"/>
      <c r="X468" s="15"/>
      <c r="Y468" s="15"/>
      <c r="Z468" s="15"/>
      <c r="AA468" s="15"/>
    </row>
    <row r="469" spans="1:27" s="25" customFormat="1" ht="12" customHeight="1" x14ac:dyDescent="0.2">
      <c r="A469" s="232"/>
      <c r="B469" s="250"/>
      <c r="C469" s="286"/>
      <c r="D469" s="232"/>
      <c r="E469" s="232"/>
      <c r="F469" s="232"/>
      <c r="G469" s="232"/>
      <c r="H469" s="232"/>
      <c r="I469" s="232"/>
      <c r="J469" s="232"/>
      <c r="K469" s="232"/>
      <c r="L469" s="232"/>
      <c r="M469" s="232"/>
      <c r="N469" s="232"/>
      <c r="O469" s="232"/>
      <c r="P469" s="232"/>
      <c r="Q469" s="232"/>
      <c r="R469" s="232"/>
      <c r="S469" s="232"/>
      <c r="T469" s="232"/>
      <c r="U469" s="232"/>
      <c r="V469" s="15"/>
      <c r="W469" s="15"/>
      <c r="X469" s="15"/>
      <c r="Y469" s="15"/>
      <c r="Z469" s="15"/>
      <c r="AA469" s="15"/>
    </row>
    <row r="470" spans="1:27" s="25" customFormat="1" ht="12" customHeight="1" x14ac:dyDescent="0.2">
      <c r="A470" s="232"/>
      <c r="B470" s="250"/>
      <c r="C470" s="286"/>
      <c r="D470" s="232"/>
      <c r="E470" s="232"/>
      <c r="F470" s="232"/>
      <c r="G470" s="232"/>
      <c r="H470" s="232"/>
      <c r="I470" s="232"/>
      <c r="J470" s="232"/>
      <c r="K470" s="232"/>
      <c r="L470" s="232"/>
      <c r="M470" s="232"/>
      <c r="N470" s="232"/>
      <c r="O470" s="232"/>
      <c r="P470" s="232"/>
      <c r="Q470" s="232"/>
      <c r="R470" s="232"/>
      <c r="S470" s="232"/>
      <c r="T470" s="232"/>
      <c r="U470" s="232"/>
      <c r="V470" s="15"/>
      <c r="W470" s="15"/>
      <c r="X470" s="15"/>
      <c r="Y470" s="15"/>
      <c r="Z470" s="15"/>
      <c r="AA470" s="15"/>
    </row>
    <row r="471" spans="1:27" s="25" customFormat="1" ht="12" customHeight="1" x14ac:dyDescent="0.2">
      <c r="A471" s="232"/>
      <c r="B471" s="250"/>
      <c r="C471" s="286"/>
      <c r="D471" s="232"/>
      <c r="E471" s="232"/>
      <c r="F471" s="232"/>
      <c r="G471" s="232"/>
      <c r="H471" s="232"/>
      <c r="I471" s="232"/>
      <c r="J471" s="232"/>
      <c r="K471" s="232"/>
      <c r="L471" s="232"/>
      <c r="M471" s="232"/>
      <c r="N471" s="232"/>
      <c r="O471" s="232"/>
      <c r="P471" s="232"/>
      <c r="Q471" s="232"/>
      <c r="R471" s="232"/>
      <c r="S471" s="232"/>
      <c r="T471" s="232"/>
      <c r="U471" s="232"/>
      <c r="V471" s="15"/>
      <c r="W471" s="15"/>
      <c r="X471" s="15"/>
      <c r="Y471" s="15"/>
      <c r="Z471" s="15"/>
      <c r="AA471" s="15"/>
    </row>
    <row r="472" spans="1:27" s="25" customFormat="1" ht="12" customHeight="1" x14ac:dyDescent="0.2">
      <c r="A472" s="232"/>
      <c r="B472" s="250"/>
      <c r="C472" s="286"/>
      <c r="D472" s="232"/>
      <c r="E472" s="232"/>
      <c r="F472" s="232"/>
      <c r="G472" s="232"/>
      <c r="H472" s="232"/>
      <c r="I472" s="232"/>
      <c r="J472" s="232"/>
      <c r="K472" s="232"/>
      <c r="L472" s="232"/>
      <c r="M472" s="232"/>
      <c r="N472" s="232"/>
      <c r="O472" s="232"/>
      <c r="P472" s="232"/>
      <c r="Q472" s="232"/>
      <c r="R472" s="232"/>
      <c r="S472" s="232"/>
      <c r="T472" s="232"/>
      <c r="U472" s="232"/>
      <c r="V472" s="15"/>
      <c r="W472" s="15"/>
      <c r="X472" s="15"/>
      <c r="Y472" s="15"/>
      <c r="Z472" s="15"/>
      <c r="AA472" s="15"/>
    </row>
    <row r="473" spans="1:27" s="25" customFormat="1" ht="12" customHeight="1" x14ac:dyDescent="0.2">
      <c r="A473" s="232"/>
      <c r="B473" s="250"/>
      <c r="C473" s="286"/>
      <c r="D473" s="232"/>
      <c r="E473" s="232"/>
      <c r="F473" s="232"/>
      <c r="G473" s="232"/>
      <c r="H473" s="232"/>
      <c r="I473" s="232"/>
      <c r="J473" s="232"/>
      <c r="K473" s="232"/>
      <c r="L473" s="232"/>
      <c r="M473" s="232"/>
      <c r="N473" s="232"/>
      <c r="O473" s="232"/>
      <c r="P473" s="232"/>
      <c r="Q473" s="232"/>
      <c r="R473" s="232"/>
      <c r="S473" s="232"/>
      <c r="T473" s="232"/>
      <c r="U473" s="232"/>
      <c r="V473" s="15"/>
      <c r="W473" s="15"/>
      <c r="X473" s="15"/>
      <c r="Y473" s="15"/>
      <c r="Z473" s="15"/>
      <c r="AA473" s="15"/>
    </row>
    <row r="474" spans="1:27" s="25" customFormat="1" ht="12" customHeight="1" x14ac:dyDescent="0.2">
      <c r="A474" s="232"/>
      <c r="B474" s="250"/>
      <c r="C474" s="286"/>
      <c r="D474" s="232"/>
      <c r="E474" s="232"/>
      <c r="F474" s="232"/>
      <c r="G474" s="232"/>
      <c r="H474" s="232"/>
      <c r="I474" s="232"/>
      <c r="J474" s="232"/>
      <c r="K474" s="232"/>
      <c r="L474" s="232"/>
      <c r="M474" s="232"/>
      <c r="N474" s="232"/>
      <c r="O474" s="232"/>
      <c r="P474" s="232"/>
      <c r="Q474" s="232"/>
      <c r="R474" s="232"/>
      <c r="S474" s="232"/>
      <c r="T474" s="232"/>
      <c r="U474" s="232"/>
      <c r="V474" s="15"/>
      <c r="W474" s="15"/>
      <c r="X474" s="15"/>
      <c r="Y474" s="15"/>
      <c r="Z474" s="15"/>
      <c r="AA474" s="15"/>
    </row>
    <row r="475" spans="1:27" s="25" customFormat="1" ht="12" customHeight="1" x14ac:dyDescent="0.2">
      <c r="A475" s="232"/>
      <c r="B475" s="250"/>
      <c r="C475" s="286"/>
      <c r="D475" s="232"/>
      <c r="E475" s="232"/>
      <c r="F475" s="232"/>
      <c r="G475" s="232"/>
      <c r="H475" s="232"/>
      <c r="I475" s="232"/>
      <c r="J475" s="232"/>
      <c r="K475" s="232"/>
      <c r="L475" s="232"/>
      <c r="M475" s="232"/>
      <c r="N475" s="232"/>
      <c r="O475" s="232"/>
      <c r="P475" s="232"/>
      <c r="Q475" s="232"/>
      <c r="R475" s="232"/>
      <c r="S475" s="232"/>
      <c r="T475" s="232"/>
      <c r="U475" s="232"/>
      <c r="V475" s="15"/>
      <c r="W475" s="15"/>
      <c r="X475" s="15"/>
      <c r="Y475" s="15"/>
      <c r="Z475" s="15"/>
      <c r="AA475" s="15"/>
    </row>
    <row r="476" spans="1:27" s="25" customFormat="1" ht="12" customHeight="1" x14ac:dyDescent="0.2">
      <c r="A476" s="232"/>
      <c r="B476" s="250"/>
      <c r="C476" s="286"/>
      <c r="D476" s="232"/>
      <c r="E476" s="232"/>
      <c r="F476" s="232"/>
      <c r="G476" s="232"/>
      <c r="H476" s="232"/>
      <c r="I476" s="232"/>
      <c r="J476" s="232"/>
      <c r="K476" s="232"/>
      <c r="L476" s="232"/>
      <c r="M476" s="232"/>
      <c r="N476" s="232"/>
      <c r="O476" s="232"/>
      <c r="P476" s="232"/>
      <c r="Q476" s="232"/>
      <c r="R476" s="232"/>
      <c r="S476" s="232"/>
      <c r="T476" s="232"/>
      <c r="U476" s="232"/>
      <c r="V476" s="15"/>
      <c r="W476" s="15"/>
      <c r="X476" s="15"/>
      <c r="Y476" s="15"/>
      <c r="Z476" s="15"/>
      <c r="AA476" s="15"/>
    </row>
    <row r="477" spans="1:27" s="25" customFormat="1" ht="12" customHeight="1" x14ac:dyDescent="0.2">
      <c r="A477" s="232"/>
      <c r="B477" s="250"/>
      <c r="C477" s="286"/>
      <c r="D477" s="232"/>
      <c r="E477" s="232"/>
      <c r="F477" s="232"/>
      <c r="G477" s="232"/>
      <c r="H477" s="232"/>
      <c r="I477" s="232"/>
      <c r="J477" s="232"/>
      <c r="K477" s="232"/>
      <c r="L477" s="232"/>
      <c r="M477" s="232"/>
      <c r="N477" s="232"/>
      <c r="O477" s="232"/>
      <c r="P477" s="232"/>
      <c r="Q477" s="232"/>
      <c r="R477" s="232"/>
      <c r="S477" s="232"/>
      <c r="T477" s="232"/>
      <c r="U477" s="232"/>
      <c r="V477" s="15"/>
      <c r="W477" s="15"/>
      <c r="X477" s="15"/>
      <c r="Y477" s="15"/>
      <c r="Z477" s="15"/>
      <c r="AA477" s="15"/>
    </row>
    <row r="478" spans="1:27" s="25" customFormat="1" ht="12" customHeight="1" x14ac:dyDescent="0.2">
      <c r="A478" s="232"/>
      <c r="B478" s="250"/>
      <c r="C478" s="286"/>
      <c r="D478" s="232"/>
      <c r="E478" s="232"/>
      <c r="F478" s="232"/>
      <c r="G478" s="232"/>
      <c r="H478" s="232"/>
      <c r="I478" s="232"/>
      <c r="J478" s="232"/>
      <c r="K478" s="232"/>
      <c r="L478" s="232"/>
      <c r="M478" s="232"/>
      <c r="N478" s="232"/>
      <c r="O478" s="232"/>
      <c r="P478" s="232"/>
      <c r="Q478" s="232"/>
      <c r="R478" s="232"/>
      <c r="S478" s="232"/>
      <c r="T478" s="232"/>
      <c r="U478" s="232"/>
      <c r="V478" s="15"/>
      <c r="W478" s="15"/>
      <c r="X478" s="15"/>
      <c r="Y478" s="15"/>
      <c r="Z478" s="15"/>
      <c r="AA478" s="15"/>
    </row>
    <row r="479" spans="1:27" s="25" customFormat="1" ht="12" customHeight="1" x14ac:dyDescent="0.2">
      <c r="A479" s="232"/>
      <c r="B479" s="250"/>
      <c r="C479" s="286"/>
      <c r="D479" s="232"/>
      <c r="E479" s="232"/>
      <c r="F479" s="232"/>
      <c r="G479" s="232"/>
      <c r="H479" s="232"/>
      <c r="I479" s="232"/>
      <c r="J479" s="232"/>
      <c r="K479" s="232"/>
      <c r="L479" s="232"/>
      <c r="M479" s="232"/>
      <c r="N479" s="232"/>
      <c r="O479" s="232"/>
      <c r="P479" s="232"/>
      <c r="Q479" s="232"/>
      <c r="R479" s="232"/>
      <c r="S479" s="232"/>
      <c r="T479" s="232"/>
      <c r="U479" s="232"/>
      <c r="V479" s="15"/>
      <c r="W479" s="15"/>
      <c r="X479" s="15"/>
      <c r="Y479" s="15"/>
      <c r="Z479" s="15"/>
      <c r="AA479" s="15"/>
    </row>
    <row r="480" spans="1:27" s="25" customFormat="1" ht="12" customHeight="1" x14ac:dyDescent="0.2">
      <c r="A480" s="232"/>
      <c r="B480" s="250"/>
      <c r="C480" s="286"/>
      <c r="D480" s="232"/>
      <c r="E480" s="232"/>
      <c r="F480" s="232"/>
      <c r="G480" s="232"/>
      <c r="H480" s="232"/>
      <c r="I480" s="232"/>
      <c r="J480" s="232"/>
      <c r="K480" s="232"/>
      <c r="L480" s="232"/>
      <c r="M480" s="232"/>
      <c r="N480" s="232"/>
      <c r="O480" s="232"/>
      <c r="P480" s="232"/>
      <c r="Q480" s="232"/>
      <c r="R480" s="232"/>
      <c r="S480" s="232"/>
      <c r="T480" s="232"/>
      <c r="U480" s="232"/>
      <c r="V480" s="15"/>
      <c r="W480" s="15"/>
      <c r="X480" s="15"/>
      <c r="Y480" s="15"/>
      <c r="Z480" s="15"/>
      <c r="AA480" s="15"/>
    </row>
    <row r="481" spans="1:27" s="25" customFormat="1" ht="12" customHeight="1" x14ac:dyDescent="0.2">
      <c r="A481" s="232"/>
      <c r="B481" s="250"/>
      <c r="C481" s="286"/>
      <c r="D481" s="232"/>
      <c r="E481" s="232"/>
      <c r="F481" s="232"/>
      <c r="G481" s="232"/>
      <c r="H481" s="232"/>
      <c r="I481" s="232"/>
      <c r="J481" s="232"/>
      <c r="K481" s="232"/>
      <c r="L481" s="232"/>
      <c r="M481" s="232"/>
      <c r="N481" s="232"/>
      <c r="O481" s="232"/>
      <c r="P481" s="232"/>
      <c r="Q481" s="232"/>
      <c r="R481" s="232"/>
      <c r="S481" s="232"/>
      <c r="T481" s="232"/>
      <c r="U481" s="232"/>
      <c r="V481" s="15"/>
      <c r="W481" s="15"/>
      <c r="X481" s="15"/>
      <c r="Y481" s="15"/>
      <c r="Z481" s="15"/>
      <c r="AA481" s="15"/>
    </row>
    <row r="482" spans="1:27" s="25" customFormat="1" ht="12" customHeight="1" x14ac:dyDescent="0.2">
      <c r="A482" s="232"/>
      <c r="B482" s="250"/>
      <c r="C482" s="286"/>
      <c r="D482" s="232"/>
      <c r="E482" s="232"/>
      <c r="F482" s="232"/>
      <c r="G482" s="232"/>
      <c r="H482" s="232"/>
      <c r="I482" s="232"/>
      <c r="J482" s="232"/>
      <c r="K482" s="232"/>
      <c r="L482" s="232"/>
      <c r="M482" s="232"/>
      <c r="N482" s="232"/>
      <c r="O482" s="232"/>
      <c r="P482" s="232"/>
      <c r="Q482" s="232"/>
      <c r="R482" s="232"/>
      <c r="S482" s="232"/>
      <c r="T482" s="232"/>
      <c r="U482" s="232"/>
      <c r="V482" s="15"/>
      <c r="W482" s="15"/>
      <c r="X482" s="15"/>
      <c r="Y482" s="15"/>
      <c r="Z482" s="15"/>
      <c r="AA482" s="15"/>
    </row>
    <row r="483" spans="1:27" s="25" customFormat="1" ht="12" customHeight="1" x14ac:dyDescent="0.2">
      <c r="A483" s="232"/>
      <c r="B483" s="250"/>
      <c r="C483" s="286"/>
      <c r="D483" s="232"/>
      <c r="E483" s="232"/>
      <c r="F483" s="232"/>
      <c r="G483" s="232"/>
      <c r="H483" s="232"/>
      <c r="I483" s="232"/>
      <c r="J483" s="232"/>
      <c r="K483" s="232"/>
      <c r="L483" s="232"/>
      <c r="M483" s="232"/>
      <c r="N483" s="232"/>
      <c r="O483" s="232"/>
      <c r="P483" s="232"/>
      <c r="Q483" s="232"/>
      <c r="R483" s="232"/>
      <c r="S483" s="232"/>
      <c r="T483" s="232"/>
      <c r="U483" s="232"/>
      <c r="V483" s="15"/>
      <c r="W483" s="15"/>
      <c r="X483" s="15"/>
      <c r="Y483" s="15"/>
      <c r="Z483" s="15"/>
      <c r="AA483" s="15"/>
    </row>
    <row r="484" spans="1:27" s="25" customFormat="1" ht="12" customHeight="1" x14ac:dyDescent="0.2">
      <c r="A484" s="232"/>
      <c r="B484" s="250"/>
      <c r="C484" s="286"/>
      <c r="D484" s="232"/>
      <c r="E484" s="232"/>
      <c r="F484" s="232"/>
      <c r="G484" s="232"/>
      <c r="H484" s="232"/>
      <c r="I484" s="232"/>
      <c r="J484" s="232"/>
      <c r="K484" s="232"/>
      <c r="L484" s="232"/>
      <c r="M484" s="232"/>
      <c r="N484" s="232"/>
      <c r="O484" s="232"/>
      <c r="P484" s="232"/>
      <c r="Q484" s="232"/>
      <c r="R484" s="232"/>
      <c r="S484" s="232"/>
      <c r="T484" s="232"/>
      <c r="U484" s="232"/>
      <c r="V484" s="15"/>
      <c r="W484" s="15"/>
      <c r="X484" s="15"/>
      <c r="Y484" s="15"/>
      <c r="Z484" s="15"/>
      <c r="AA484" s="15"/>
    </row>
    <row r="485" spans="1:27" s="25" customFormat="1" ht="12" customHeight="1" x14ac:dyDescent="0.2">
      <c r="A485" s="232"/>
      <c r="B485" s="250"/>
      <c r="C485" s="286"/>
      <c r="D485" s="232"/>
      <c r="E485" s="232"/>
      <c r="F485" s="232"/>
      <c r="G485" s="232"/>
      <c r="H485" s="232"/>
      <c r="I485" s="232"/>
      <c r="J485" s="232"/>
      <c r="K485" s="232"/>
      <c r="L485" s="232"/>
      <c r="M485" s="232"/>
      <c r="N485" s="232"/>
      <c r="O485" s="232"/>
      <c r="P485" s="232"/>
      <c r="Q485" s="232"/>
      <c r="R485" s="232"/>
      <c r="S485" s="232"/>
      <c r="T485" s="232"/>
      <c r="U485" s="232"/>
      <c r="V485" s="15"/>
      <c r="W485" s="15"/>
      <c r="X485" s="15"/>
      <c r="Y485" s="15"/>
      <c r="Z485" s="15"/>
      <c r="AA485" s="15"/>
    </row>
    <row r="486" spans="1:27" s="25" customFormat="1" ht="12" customHeight="1" x14ac:dyDescent="0.2">
      <c r="A486" s="232"/>
      <c r="B486" s="250"/>
      <c r="C486" s="286"/>
      <c r="D486" s="232"/>
      <c r="E486" s="232"/>
      <c r="F486" s="232"/>
      <c r="G486" s="232"/>
      <c r="H486" s="232"/>
      <c r="I486" s="232"/>
      <c r="J486" s="232"/>
      <c r="K486" s="232"/>
      <c r="L486" s="232"/>
      <c r="M486" s="232"/>
      <c r="N486" s="232"/>
      <c r="O486" s="232"/>
      <c r="P486" s="232"/>
      <c r="Q486" s="232"/>
      <c r="R486" s="232"/>
      <c r="S486" s="232"/>
      <c r="T486" s="232"/>
      <c r="U486" s="232"/>
      <c r="V486" s="15"/>
      <c r="W486" s="15"/>
      <c r="X486" s="15"/>
      <c r="Y486" s="15"/>
      <c r="Z486" s="15"/>
      <c r="AA486" s="15"/>
    </row>
    <row r="487" spans="1:27" s="25" customFormat="1" ht="12" customHeight="1" x14ac:dyDescent="0.2">
      <c r="A487" s="232"/>
      <c r="B487" s="250"/>
      <c r="C487" s="286"/>
      <c r="D487" s="232"/>
      <c r="E487" s="232"/>
      <c r="F487" s="232"/>
      <c r="G487" s="232"/>
      <c r="H487" s="232"/>
      <c r="I487" s="232"/>
      <c r="J487" s="232"/>
      <c r="K487" s="232"/>
      <c r="L487" s="232"/>
      <c r="M487" s="232"/>
      <c r="N487" s="232"/>
      <c r="O487" s="232"/>
      <c r="P487" s="232"/>
      <c r="Q487" s="232"/>
      <c r="R487" s="232"/>
      <c r="S487" s="232"/>
      <c r="T487" s="232"/>
      <c r="U487" s="232"/>
      <c r="V487" s="15"/>
      <c r="W487" s="15"/>
      <c r="X487" s="15"/>
      <c r="Y487" s="15"/>
      <c r="Z487" s="15"/>
      <c r="AA487" s="15"/>
    </row>
    <row r="488" spans="1:27" s="25" customFormat="1" ht="12" customHeight="1" x14ac:dyDescent="0.2">
      <c r="A488" s="232"/>
      <c r="B488" s="250"/>
      <c r="C488" s="286"/>
      <c r="D488" s="232"/>
      <c r="E488" s="232"/>
      <c r="F488" s="232"/>
      <c r="G488" s="232"/>
      <c r="H488" s="232"/>
      <c r="I488" s="232"/>
      <c r="J488" s="232"/>
      <c r="K488" s="232"/>
      <c r="L488" s="232"/>
      <c r="M488" s="232"/>
      <c r="N488" s="232"/>
      <c r="O488" s="232"/>
      <c r="P488" s="232"/>
      <c r="Q488" s="232"/>
      <c r="R488" s="232"/>
      <c r="S488" s="232"/>
      <c r="T488" s="232"/>
      <c r="U488" s="232"/>
      <c r="V488" s="15"/>
      <c r="W488" s="15"/>
      <c r="X488" s="15"/>
      <c r="Y488" s="15"/>
      <c r="Z488" s="15"/>
      <c r="AA488" s="15"/>
    </row>
    <row r="489" spans="1:27" s="25" customFormat="1" ht="12" customHeight="1" x14ac:dyDescent="0.2">
      <c r="A489" s="232"/>
      <c r="B489" s="250"/>
      <c r="C489" s="286"/>
      <c r="D489" s="232"/>
      <c r="E489" s="232"/>
      <c r="F489" s="232"/>
      <c r="G489" s="232"/>
      <c r="H489" s="232"/>
      <c r="I489" s="232"/>
      <c r="J489" s="232"/>
      <c r="K489" s="232"/>
      <c r="L489" s="232"/>
      <c r="M489" s="232"/>
      <c r="N489" s="232"/>
      <c r="O489" s="232"/>
      <c r="P489" s="232"/>
      <c r="Q489" s="232"/>
      <c r="R489" s="232"/>
      <c r="S489" s="232"/>
      <c r="T489" s="232"/>
      <c r="U489" s="232"/>
      <c r="V489" s="15"/>
      <c r="W489" s="15"/>
      <c r="X489" s="15"/>
      <c r="Y489" s="15"/>
      <c r="Z489" s="15"/>
      <c r="AA489" s="15"/>
    </row>
    <row r="490" spans="1:27" s="25" customFormat="1" ht="12" customHeight="1" x14ac:dyDescent="0.2">
      <c r="A490" s="232"/>
      <c r="B490" s="250"/>
      <c r="C490" s="286"/>
      <c r="D490" s="232"/>
      <c r="E490" s="232"/>
      <c r="F490" s="232"/>
      <c r="G490" s="232"/>
      <c r="H490" s="232"/>
      <c r="I490" s="232"/>
      <c r="J490" s="232"/>
      <c r="K490" s="232"/>
      <c r="L490" s="232"/>
      <c r="M490" s="232"/>
      <c r="N490" s="232"/>
      <c r="O490" s="232"/>
      <c r="P490" s="232"/>
      <c r="Q490" s="232"/>
      <c r="R490" s="232"/>
      <c r="S490" s="232"/>
      <c r="T490" s="232"/>
      <c r="U490" s="232"/>
      <c r="V490" s="15"/>
      <c r="W490" s="15"/>
      <c r="X490" s="15"/>
      <c r="Y490" s="15"/>
      <c r="Z490" s="15"/>
      <c r="AA490" s="15"/>
    </row>
    <row r="491" spans="1:27" s="25" customFormat="1" ht="12" customHeight="1" x14ac:dyDescent="0.2">
      <c r="A491" s="232"/>
      <c r="B491" s="250"/>
      <c r="C491" s="286"/>
      <c r="D491" s="232"/>
      <c r="E491" s="232"/>
      <c r="F491" s="232"/>
      <c r="G491" s="232"/>
      <c r="H491" s="232"/>
      <c r="I491" s="232"/>
      <c r="J491" s="232"/>
      <c r="K491" s="232"/>
      <c r="L491" s="232"/>
      <c r="M491" s="232"/>
      <c r="N491" s="232"/>
      <c r="O491" s="232"/>
      <c r="P491" s="232"/>
      <c r="Q491" s="232"/>
      <c r="R491" s="232"/>
      <c r="S491" s="232"/>
      <c r="T491" s="232"/>
      <c r="U491" s="232"/>
      <c r="V491" s="15"/>
      <c r="W491" s="15"/>
      <c r="X491" s="15"/>
      <c r="Y491" s="15"/>
      <c r="Z491" s="15"/>
      <c r="AA491" s="15"/>
    </row>
    <row r="492" spans="1:27" s="25" customFormat="1" ht="12" customHeight="1" x14ac:dyDescent="0.2">
      <c r="A492" s="232"/>
      <c r="B492" s="250"/>
      <c r="C492" s="286"/>
      <c r="D492" s="232"/>
      <c r="E492" s="232"/>
      <c r="F492" s="232"/>
      <c r="G492" s="232"/>
      <c r="H492" s="232"/>
      <c r="I492" s="232"/>
      <c r="J492" s="232"/>
      <c r="K492" s="232"/>
      <c r="L492" s="232"/>
      <c r="M492" s="232"/>
      <c r="N492" s="232"/>
      <c r="O492" s="232"/>
      <c r="P492" s="232"/>
      <c r="Q492" s="232"/>
      <c r="R492" s="232"/>
      <c r="S492" s="232"/>
      <c r="T492" s="232"/>
      <c r="U492" s="232"/>
      <c r="V492" s="15"/>
      <c r="W492" s="15"/>
      <c r="X492" s="15"/>
      <c r="Y492" s="15"/>
      <c r="Z492" s="15"/>
      <c r="AA492" s="15"/>
    </row>
    <row r="493" spans="1:27" s="25" customFormat="1" ht="12" customHeight="1" x14ac:dyDescent="0.2">
      <c r="A493" s="232"/>
      <c r="B493" s="250"/>
      <c r="C493" s="286"/>
      <c r="D493" s="232"/>
      <c r="E493" s="232"/>
      <c r="F493" s="232"/>
      <c r="G493" s="232"/>
      <c r="H493" s="232"/>
      <c r="I493" s="232"/>
      <c r="J493" s="232"/>
      <c r="K493" s="232"/>
      <c r="L493" s="232"/>
      <c r="M493" s="232"/>
      <c r="N493" s="232"/>
      <c r="O493" s="232"/>
      <c r="P493" s="232"/>
      <c r="Q493" s="232"/>
      <c r="R493" s="232"/>
      <c r="S493" s="232"/>
      <c r="T493" s="232"/>
      <c r="U493" s="232"/>
      <c r="V493" s="15"/>
      <c r="W493" s="15"/>
      <c r="X493" s="15"/>
      <c r="Y493" s="15"/>
      <c r="Z493" s="15"/>
      <c r="AA493" s="15"/>
    </row>
    <row r="494" spans="1:27" s="25" customFormat="1" ht="12" customHeight="1" x14ac:dyDescent="0.2">
      <c r="A494" s="232"/>
      <c r="B494" s="250"/>
      <c r="C494" s="286"/>
      <c r="D494" s="232"/>
      <c r="E494" s="232"/>
      <c r="F494" s="232"/>
      <c r="G494" s="232"/>
      <c r="H494" s="232"/>
      <c r="I494" s="232"/>
      <c r="J494" s="232"/>
      <c r="K494" s="232"/>
      <c r="L494" s="232"/>
      <c r="M494" s="232"/>
      <c r="N494" s="232"/>
      <c r="O494" s="232"/>
      <c r="P494" s="232"/>
      <c r="Q494" s="232"/>
      <c r="R494" s="232"/>
      <c r="S494" s="232"/>
      <c r="T494" s="232"/>
      <c r="U494" s="232"/>
      <c r="V494" s="15"/>
      <c r="W494" s="15"/>
      <c r="X494" s="15"/>
      <c r="Y494" s="15"/>
      <c r="Z494" s="15"/>
      <c r="AA494" s="15"/>
    </row>
    <row r="495" spans="1:27" s="25" customFormat="1" ht="12" customHeight="1" x14ac:dyDescent="0.2">
      <c r="A495" s="232"/>
      <c r="B495" s="250"/>
      <c r="C495" s="286"/>
      <c r="D495" s="232"/>
      <c r="E495" s="232"/>
      <c r="F495" s="232"/>
      <c r="G495" s="232"/>
      <c r="H495" s="232"/>
      <c r="I495" s="232"/>
      <c r="J495" s="232"/>
      <c r="K495" s="232"/>
      <c r="L495" s="232"/>
      <c r="M495" s="232"/>
      <c r="N495" s="232"/>
      <c r="O495" s="232"/>
      <c r="P495" s="232"/>
      <c r="Q495" s="232"/>
      <c r="R495" s="232"/>
      <c r="S495" s="232"/>
      <c r="T495" s="232"/>
      <c r="U495" s="232"/>
      <c r="V495" s="15"/>
      <c r="W495" s="15"/>
      <c r="X495" s="15"/>
      <c r="Y495" s="15"/>
      <c r="Z495" s="15"/>
      <c r="AA495" s="15"/>
    </row>
    <row r="496" spans="1:27" s="25" customFormat="1" ht="12" customHeight="1" x14ac:dyDescent="0.2">
      <c r="A496" s="232"/>
      <c r="B496" s="250"/>
      <c r="C496" s="286"/>
      <c r="D496" s="232"/>
      <c r="E496" s="232"/>
      <c r="F496" s="232"/>
      <c r="G496" s="232"/>
      <c r="H496" s="232"/>
      <c r="I496" s="232"/>
      <c r="J496" s="232"/>
      <c r="K496" s="232"/>
      <c r="L496" s="232"/>
      <c r="M496" s="232"/>
      <c r="N496" s="232"/>
      <c r="O496" s="232"/>
      <c r="P496" s="232"/>
      <c r="Q496" s="232"/>
      <c r="R496" s="232"/>
      <c r="S496" s="232"/>
      <c r="T496" s="232"/>
      <c r="U496" s="232"/>
      <c r="V496" s="15"/>
      <c r="W496" s="15"/>
      <c r="X496" s="15"/>
      <c r="Y496" s="15"/>
      <c r="Z496" s="15"/>
      <c r="AA496" s="15"/>
    </row>
    <row r="497" spans="1:27" s="25" customFormat="1" ht="12" customHeight="1" x14ac:dyDescent="0.2">
      <c r="A497" s="232"/>
      <c r="B497" s="250"/>
      <c r="C497" s="286"/>
      <c r="D497" s="232"/>
      <c r="E497" s="232"/>
      <c r="F497" s="232"/>
      <c r="G497" s="232"/>
      <c r="H497" s="232"/>
      <c r="I497" s="232"/>
      <c r="J497" s="232"/>
      <c r="K497" s="232"/>
      <c r="L497" s="232"/>
      <c r="M497" s="232"/>
      <c r="N497" s="232"/>
      <c r="O497" s="232"/>
      <c r="P497" s="232"/>
      <c r="Q497" s="232"/>
      <c r="R497" s="232"/>
      <c r="S497" s="232"/>
      <c r="T497" s="232"/>
      <c r="U497" s="232"/>
      <c r="V497" s="15"/>
      <c r="W497" s="15"/>
      <c r="X497" s="15"/>
      <c r="Y497" s="15"/>
      <c r="Z497" s="15"/>
      <c r="AA497" s="15"/>
    </row>
    <row r="498" spans="1:27" s="25" customFormat="1" ht="12" customHeight="1" x14ac:dyDescent="0.2">
      <c r="A498" s="232"/>
      <c r="B498" s="250"/>
      <c r="C498" s="286"/>
      <c r="D498" s="232"/>
      <c r="E498" s="232"/>
      <c r="F498" s="232"/>
      <c r="G498" s="232"/>
      <c r="H498" s="232"/>
      <c r="I498" s="232"/>
      <c r="J498" s="232"/>
      <c r="K498" s="232"/>
      <c r="L498" s="232"/>
      <c r="M498" s="232"/>
      <c r="N498" s="232"/>
      <c r="O498" s="232"/>
      <c r="P498" s="232"/>
      <c r="Q498" s="232"/>
      <c r="R498" s="232"/>
      <c r="S498" s="232"/>
      <c r="T498" s="232"/>
      <c r="U498" s="232"/>
      <c r="V498" s="15"/>
      <c r="W498" s="15"/>
      <c r="X498" s="15"/>
      <c r="Y498" s="15"/>
      <c r="Z498" s="15"/>
      <c r="AA498" s="15"/>
    </row>
    <row r="499" spans="1:27" s="25" customFormat="1" ht="12" customHeight="1" x14ac:dyDescent="0.2">
      <c r="A499" s="232"/>
      <c r="B499" s="250"/>
      <c r="C499" s="286"/>
      <c r="D499" s="232"/>
      <c r="E499" s="232"/>
      <c r="F499" s="232"/>
      <c r="G499" s="232"/>
      <c r="H499" s="232"/>
      <c r="I499" s="232"/>
      <c r="J499" s="232"/>
      <c r="K499" s="232"/>
      <c r="L499" s="232"/>
      <c r="M499" s="232"/>
      <c r="N499" s="232"/>
      <c r="O499" s="232"/>
      <c r="P499" s="232"/>
      <c r="Q499" s="232"/>
      <c r="R499" s="232"/>
      <c r="S499" s="232"/>
      <c r="T499" s="232"/>
      <c r="U499" s="232"/>
      <c r="V499" s="15"/>
      <c r="W499" s="15"/>
      <c r="X499" s="15"/>
      <c r="Y499" s="15"/>
      <c r="Z499" s="15"/>
      <c r="AA499" s="15"/>
    </row>
    <row r="500" spans="1:27" s="25" customFormat="1" ht="12" customHeight="1" x14ac:dyDescent="0.2">
      <c r="A500" s="232"/>
      <c r="B500" s="250"/>
      <c r="C500" s="286"/>
      <c r="D500" s="232"/>
      <c r="E500" s="232"/>
      <c r="F500" s="232"/>
      <c r="G500" s="232"/>
      <c r="H500" s="232"/>
      <c r="I500" s="232"/>
      <c r="J500" s="232"/>
      <c r="K500" s="232"/>
      <c r="L500" s="232"/>
      <c r="M500" s="232"/>
      <c r="N500" s="232"/>
      <c r="O500" s="232"/>
      <c r="P500" s="232"/>
      <c r="Q500" s="232"/>
      <c r="R500" s="232"/>
      <c r="S500" s="232"/>
      <c r="T500" s="232"/>
      <c r="U500" s="232"/>
      <c r="V500" s="15"/>
      <c r="W500" s="15"/>
      <c r="X500" s="15"/>
      <c r="Y500" s="15"/>
      <c r="Z500" s="15"/>
      <c r="AA500" s="15"/>
    </row>
    <row r="501" spans="1:27" s="25" customFormat="1" ht="12" customHeight="1" x14ac:dyDescent="0.2">
      <c r="A501" s="232"/>
      <c r="B501" s="250"/>
      <c r="C501" s="286"/>
      <c r="D501" s="232"/>
      <c r="E501" s="232"/>
      <c r="F501" s="232"/>
      <c r="G501" s="232"/>
      <c r="H501" s="232"/>
      <c r="I501" s="232"/>
      <c r="J501" s="232"/>
      <c r="K501" s="232"/>
      <c r="L501" s="232"/>
      <c r="M501" s="232"/>
      <c r="N501" s="232"/>
      <c r="O501" s="232"/>
      <c r="P501" s="232"/>
      <c r="Q501" s="232"/>
      <c r="R501" s="232"/>
      <c r="S501" s="232"/>
      <c r="T501" s="232"/>
      <c r="U501" s="232"/>
      <c r="V501" s="15"/>
      <c r="W501" s="15"/>
      <c r="X501" s="15"/>
      <c r="Y501" s="15"/>
      <c r="Z501" s="15"/>
      <c r="AA501" s="15"/>
    </row>
    <row r="502" spans="1:27" s="25" customFormat="1" ht="12" customHeight="1" x14ac:dyDescent="0.2">
      <c r="A502" s="232"/>
      <c r="B502" s="250"/>
      <c r="C502" s="286"/>
      <c r="D502" s="232"/>
      <c r="E502" s="232"/>
      <c r="F502" s="232"/>
      <c r="G502" s="232"/>
      <c r="H502" s="232"/>
      <c r="I502" s="232"/>
      <c r="J502" s="232"/>
      <c r="K502" s="232"/>
      <c r="L502" s="232"/>
      <c r="M502" s="232"/>
      <c r="N502" s="232"/>
      <c r="O502" s="232"/>
      <c r="P502" s="232"/>
      <c r="Q502" s="232"/>
      <c r="R502" s="232"/>
      <c r="S502" s="232"/>
      <c r="T502" s="232"/>
      <c r="U502" s="232"/>
      <c r="V502" s="15"/>
      <c r="W502" s="15"/>
      <c r="X502" s="15"/>
      <c r="Y502" s="15"/>
      <c r="Z502" s="15"/>
      <c r="AA502" s="15"/>
    </row>
    <row r="503" spans="1:27" s="25" customFormat="1" ht="12" customHeight="1" x14ac:dyDescent="0.2">
      <c r="A503" s="232"/>
      <c r="B503" s="250"/>
      <c r="C503" s="286"/>
      <c r="D503" s="232"/>
      <c r="E503" s="232"/>
      <c r="F503" s="232"/>
      <c r="G503" s="232"/>
      <c r="H503" s="232"/>
      <c r="I503" s="232"/>
      <c r="J503" s="232"/>
      <c r="K503" s="232"/>
      <c r="L503" s="232"/>
      <c r="M503" s="232"/>
      <c r="N503" s="232"/>
      <c r="O503" s="232"/>
      <c r="P503" s="232"/>
      <c r="Q503" s="232"/>
      <c r="R503" s="232"/>
      <c r="S503" s="232"/>
      <c r="T503" s="232"/>
      <c r="U503" s="232"/>
      <c r="V503" s="15"/>
      <c r="W503" s="15"/>
      <c r="X503" s="15"/>
      <c r="Y503" s="15"/>
      <c r="Z503" s="15"/>
      <c r="AA503" s="15"/>
    </row>
    <row r="504" spans="1:27" s="25" customFormat="1" ht="12" customHeight="1" x14ac:dyDescent="0.2">
      <c r="A504" s="232"/>
      <c r="B504" s="250"/>
      <c r="C504" s="286"/>
      <c r="D504" s="232"/>
      <c r="E504" s="232"/>
      <c r="F504" s="232"/>
      <c r="G504" s="232"/>
      <c r="H504" s="232"/>
      <c r="I504" s="232"/>
      <c r="J504" s="232"/>
      <c r="K504" s="232"/>
      <c r="L504" s="232"/>
      <c r="M504" s="232"/>
      <c r="N504" s="232"/>
      <c r="O504" s="232"/>
      <c r="P504" s="232"/>
      <c r="Q504" s="232"/>
      <c r="R504" s="232"/>
      <c r="S504" s="232"/>
      <c r="T504" s="232"/>
      <c r="U504" s="232"/>
      <c r="V504" s="15"/>
      <c r="W504" s="15"/>
      <c r="X504" s="15"/>
      <c r="Y504" s="15"/>
      <c r="Z504" s="15"/>
      <c r="AA504" s="15"/>
    </row>
    <row r="505" spans="1:27" s="25" customFormat="1" ht="12" customHeight="1" x14ac:dyDescent="0.2">
      <c r="A505" s="232"/>
      <c r="B505" s="250"/>
      <c r="C505" s="286"/>
      <c r="D505" s="232"/>
      <c r="E505" s="232"/>
      <c r="F505" s="232"/>
      <c r="G505" s="232"/>
      <c r="H505" s="232"/>
      <c r="I505" s="232"/>
      <c r="J505" s="232"/>
      <c r="K505" s="232"/>
      <c r="L505" s="232"/>
      <c r="M505" s="232"/>
      <c r="N505" s="232"/>
      <c r="O505" s="232"/>
      <c r="P505" s="232"/>
      <c r="Q505" s="232"/>
      <c r="R505" s="232"/>
      <c r="S505" s="232"/>
      <c r="T505" s="232"/>
      <c r="U505" s="232"/>
      <c r="V505" s="15"/>
      <c r="W505" s="15"/>
      <c r="X505" s="15"/>
      <c r="Y505" s="15"/>
      <c r="Z505" s="15"/>
      <c r="AA505" s="15"/>
    </row>
    <row r="506" spans="1:27" s="25" customFormat="1" ht="12" customHeight="1" x14ac:dyDescent="0.2">
      <c r="A506" s="232"/>
      <c r="B506" s="250"/>
      <c r="C506" s="286"/>
      <c r="D506" s="232"/>
      <c r="E506" s="232"/>
      <c r="F506" s="232"/>
      <c r="G506" s="232"/>
      <c r="H506" s="232"/>
      <c r="I506" s="232"/>
      <c r="J506" s="232"/>
      <c r="K506" s="232"/>
      <c r="L506" s="232"/>
      <c r="M506" s="232"/>
      <c r="N506" s="232"/>
      <c r="O506" s="232"/>
      <c r="P506" s="232"/>
      <c r="Q506" s="232"/>
      <c r="R506" s="232"/>
      <c r="S506" s="232"/>
      <c r="T506" s="232"/>
      <c r="U506" s="232"/>
      <c r="V506" s="15"/>
      <c r="W506" s="15"/>
      <c r="X506" s="15"/>
      <c r="Y506" s="15"/>
      <c r="Z506" s="15"/>
      <c r="AA506" s="15"/>
    </row>
    <row r="507" spans="1:27" s="25" customFormat="1" ht="12" customHeight="1" x14ac:dyDescent="0.2">
      <c r="A507" s="232"/>
      <c r="B507" s="250"/>
      <c r="C507" s="286"/>
      <c r="D507" s="232"/>
      <c r="E507" s="232"/>
      <c r="F507" s="232"/>
      <c r="G507" s="232"/>
      <c r="H507" s="232"/>
      <c r="I507" s="232"/>
      <c r="J507" s="232"/>
      <c r="K507" s="232"/>
      <c r="L507" s="232"/>
      <c r="M507" s="232"/>
      <c r="N507" s="232"/>
      <c r="O507" s="232"/>
      <c r="P507" s="232"/>
      <c r="Q507" s="232"/>
      <c r="R507" s="232"/>
      <c r="S507" s="232"/>
      <c r="T507" s="232"/>
      <c r="U507" s="232"/>
      <c r="V507" s="15"/>
      <c r="W507" s="15"/>
      <c r="X507" s="15"/>
      <c r="Y507" s="15"/>
      <c r="Z507" s="15"/>
      <c r="AA507" s="15"/>
    </row>
    <row r="508" spans="1:27" s="25" customFormat="1" ht="12" customHeight="1" x14ac:dyDescent="0.2">
      <c r="A508" s="232"/>
      <c r="B508" s="250"/>
      <c r="C508" s="286"/>
      <c r="D508" s="232"/>
      <c r="E508" s="232"/>
      <c r="F508" s="232"/>
      <c r="G508" s="232"/>
      <c r="H508" s="232"/>
      <c r="I508" s="232"/>
      <c r="J508" s="232"/>
      <c r="K508" s="232"/>
      <c r="L508" s="232"/>
      <c r="M508" s="232"/>
      <c r="N508" s="232"/>
      <c r="O508" s="232"/>
      <c r="P508" s="232"/>
      <c r="Q508" s="232"/>
      <c r="R508" s="232"/>
      <c r="S508" s="232"/>
      <c r="T508" s="232"/>
      <c r="U508" s="232"/>
      <c r="V508" s="15"/>
      <c r="W508" s="15"/>
      <c r="X508" s="15"/>
      <c r="Y508" s="15"/>
      <c r="Z508" s="15"/>
      <c r="AA508" s="15"/>
    </row>
    <row r="509" spans="1:27" s="25" customFormat="1" ht="12" customHeight="1" x14ac:dyDescent="0.2">
      <c r="A509" s="232"/>
      <c r="B509" s="250"/>
      <c r="C509" s="286"/>
      <c r="D509" s="232"/>
      <c r="E509" s="232"/>
      <c r="F509" s="232"/>
      <c r="G509" s="232"/>
      <c r="H509" s="232"/>
      <c r="I509" s="232"/>
      <c r="J509" s="232"/>
      <c r="K509" s="232"/>
      <c r="L509" s="232"/>
      <c r="M509" s="232"/>
      <c r="N509" s="232"/>
      <c r="O509" s="232"/>
      <c r="P509" s="232"/>
      <c r="Q509" s="232"/>
      <c r="R509" s="232"/>
      <c r="S509" s="232"/>
      <c r="T509" s="232"/>
      <c r="U509" s="232"/>
      <c r="V509" s="15"/>
      <c r="W509" s="15"/>
      <c r="X509" s="15"/>
      <c r="Y509" s="15"/>
      <c r="Z509" s="15"/>
      <c r="AA509" s="15"/>
    </row>
    <row r="510" spans="1:27" s="25" customFormat="1" ht="12" customHeight="1" x14ac:dyDescent="0.2">
      <c r="A510" s="232"/>
      <c r="B510" s="250"/>
      <c r="C510" s="286"/>
      <c r="D510" s="232"/>
      <c r="E510" s="232"/>
      <c r="F510" s="232"/>
      <c r="G510" s="232"/>
      <c r="H510" s="232"/>
      <c r="I510" s="232"/>
      <c r="J510" s="232"/>
      <c r="K510" s="232"/>
      <c r="L510" s="232"/>
      <c r="M510" s="232"/>
      <c r="N510" s="232"/>
      <c r="O510" s="232"/>
      <c r="P510" s="232"/>
      <c r="Q510" s="232"/>
      <c r="R510" s="232"/>
      <c r="S510" s="232"/>
      <c r="T510" s="232"/>
      <c r="U510" s="232"/>
      <c r="V510" s="15"/>
      <c r="W510" s="15"/>
      <c r="X510" s="15"/>
      <c r="Y510" s="15"/>
      <c r="Z510" s="15"/>
      <c r="AA510" s="15"/>
    </row>
    <row r="511" spans="1:27" s="25" customFormat="1" ht="12" customHeight="1" x14ac:dyDescent="0.2">
      <c r="A511" s="232"/>
      <c r="B511" s="250"/>
      <c r="C511" s="286"/>
      <c r="D511" s="232"/>
      <c r="E511" s="232"/>
      <c r="F511" s="232"/>
      <c r="G511" s="232"/>
      <c r="H511" s="232"/>
      <c r="I511" s="232"/>
      <c r="J511" s="232"/>
      <c r="K511" s="232"/>
      <c r="L511" s="232"/>
      <c r="M511" s="232"/>
      <c r="N511" s="232"/>
      <c r="O511" s="232"/>
      <c r="P511" s="232"/>
      <c r="Q511" s="232"/>
      <c r="R511" s="232"/>
      <c r="S511" s="232"/>
      <c r="T511" s="232"/>
      <c r="U511" s="232"/>
      <c r="V511" s="15"/>
      <c r="W511" s="15"/>
      <c r="X511" s="15"/>
      <c r="Y511" s="15"/>
      <c r="Z511" s="15"/>
      <c r="AA511" s="15"/>
    </row>
    <row r="512" spans="1:27" s="25" customFormat="1" ht="12" customHeight="1" x14ac:dyDescent="0.2">
      <c r="A512" s="232"/>
      <c r="B512" s="250"/>
      <c r="C512" s="286"/>
      <c r="D512" s="232"/>
      <c r="E512" s="232"/>
      <c r="F512" s="232"/>
      <c r="G512" s="232"/>
      <c r="H512" s="232"/>
      <c r="I512" s="232"/>
      <c r="J512" s="232"/>
      <c r="K512" s="232"/>
      <c r="L512" s="232"/>
      <c r="M512" s="232"/>
      <c r="N512" s="232"/>
      <c r="O512" s="232"/>
      <c r="P512" s="232"/>
      <c r="Q512" s="232"/>
      <c r="R512" s="232"/>
      <c r="S512" s="232"/>
      <c r="T512" s="232"/>
      <c r="U512" s="232"/>
      <c r="V512" s="15"/>
      <c r="W512" s="15"/>
      <c r="X512" s="15"/>
      <c r="Y512" s="15"/>
      <c r="Z512" s="15"/>
      <c r="AA512" s="15"/>
    </row>
    <row r="513" spans="1:27" s="25" customFormat="1" ht="12" customHeight="1" x14ac:dyDescent="0.2">
      <c r="A513" s="232"/>
      <c r="B513" s="250"/>
      <c r="C513" s="286"/>
      <c r="D513" s="232"/>
      <c r="E513" s="232"/>
      <c r="F513" s="232"/>
      <c r="G513" s="232"/>
      <c r="H513" s="232"/>
      <c r="I513" s="232"/>
      <c r="J513" s="232"/>
      <c r="K513" s="232"/>
      <c r="L513" s="232"/>
      <c r="M513" s="232"/>
      <c r="N513" s="232"/>
      <c r="O513" s="232"/>
      <c r="P513" s="232"/>
      <c r="Q513" s="232"/>
      <c r="R513" s="232"/>
      <c r="S513" s="232"/>
      <c r="T513" s="232"/>
      <c r="U513" s="232"/>
      <c r="V513" s="15"/>
      <c r="W513" s="15"/>
      <c r="X513" s="15"/>
      <c r="Y513" s="15"/>
      <c r="Z513" s="15"/>
      <c r="AA513" s="15"/>
    </row>
    <row r="514" spans="1:27" s="25" customFormat="1" ht="12" customHeight="1" x14ac:dyDescent="0.2">
      <c r="A514" s="232"/>
      <c r="B514" s="250"/>
      <c r="C514" s="286"/>
      <c r="D514" s="232"/>
      <c r="E514" s="232"/>
      <c r="F514" s="232"/>
      <c r="G514" s="232"/>
      <c r="H514" s="232"/>
      <c r="I514" s="232"/>
      <c r="J514" s="232"/>
      <c r="K514" s="232"/>
      <c r="L514" s="232"/>
      <c r="M514" s="232"/>
      <c r="N514" s="232"/>
      <c r="O514" s="232"/>
      <c r="P514" s="232"/>
      <c r="Q514" s="232"/>
      <c r="R514" s="232"/>
      <c r="S514" s="232"/>
      <c r="T514" s="232"/>
      <c r="U514" s="232"/>
      <c r="V514" s="15"/>
      <c r="W514" s="15"/>
      <c r="X514" s="15"/>
      <c r="Y514" s="15"/>
      <c r="Z514" s="15"/>
      <c r="AA514" s="15"/>
    </row>
    <row r="515" spans="1:27" s="25" customFormat="1" ht="12" customHeight="1" x14ac:dyDescent="0.2">
      <c r="A515" s="232"/>
      <c r="B515" s="250"/>
      <c r="C515" s="286"/>
      <c r="D515" s="232"/>
      <c r="E515" s="232"/>
      <c r="F515" s="232"/>
      <c r="G515" s="232"/>
      <c r="H515" s="232"/>
      <c r="I515" s="232"/>
      <c r="J515" s="232"/>
      <c r="K515" s="232"/>
      <c r="L515" s="232"/>
      <c r="M515" s="232"/>
      <c r="N515" s="232"/>
      <c r="O515" s="232"/>
      <c r="P515" s="232"/>
      <c r="Q515" s="232"/>
      <c r="R515" s="232"/>
      <c r="S515" s="232"/>
      <c r="T515" s="232"/>
      <c r="U515" s="232"/>
      <c r="V515" s="15"/>
      <c r="W515" s="15"/>
      <c r="X515" s="15"/>
      <c r="Y515" s="15"/>
      <c r="Z515" s="15"/>
      <c r="AA515" s="15"/>
    </row>
    <row r="516" spans="1:27" s="25" customFormat="1" ht="12" customHeight="1" x14ac:dyDescent="0.2">
      <c r="A516" s="232"/>
      <c r="B516" s="250"/>
      <c r="C516" s="286"/>
      <c r="D516" s="232"/>
      <c r="E516" s="232"/>
      <c r="F516" s="232"/>
      <c r="G516" s="232"/>
      <c r="H516" s="232"/>
      <c r="I516" s="232"/>
      <c r="J516" s="232"/>
      <c r="K516" s="232"/>
      <c r="L516" s="232"/>
      <c r="M516" s="232"/>
      <c r="N516" s="232"/>
      <c r="O516" s="232"/>
      <c r="P516" s="232"/>
      <c r="Q516" s="232"/>
      <c r="R516" s="232"/>
      <c r="S516" s="232"/>
      <c r="T516" s="232"/>
      <c r="U516" s="232"/>
      <c r="V516" s="15"/>
      <c r="W516" s="15"/>
      <c r="X516" s="15"/>
      <c r="Y516" s="15"/>
      <c r="Z516" s="15"/>
      <c r="AA516" s="15"/>
    </row>
    <row r="517" spans="1:27" s="25" customFormat="1" ht="12" customHeight="1" x14ac:dyDescent="0.2">
      <c r="A517" s="232"/>
      <c r="B517" s="250"/>
      <c r="C517" s="286"/>
      <c r="D517" s="232"/>
      <c r="E517" s="232"/>
      <c r="F517" s="232"/>
      <c r="G517" s="232"/>
      <c r="H517" s="232"/>
      <c r="I517" s="232"/>
      <c r="J517" s="232"/>
      <c r="K517" s="232"/>
      <c r="L517" s="232"/>
      <c r="M517" s="232"/>
      <c r="N517" s="232"/>
      <c r="O517" s="232"/>
      <c r="P517" s="232"/>
      <c r="Q517" s="232"/>
      <c r="R517" s="232"/>
      <c r="S517" s="232"/>
      <c r="T517" s="232"/>
      <c r="U517" s="232"/>
      <c r="V517" s="15"/>
      <c r="W517" s="15"/>
      <c r="X517" s="15"/>
      <c r="Y517" s="15"/>
      <c r="Z517" s="15"/>
      <c r="AA517" s="15"/>
    </row>
    <row r="518" spans="1:27" s="25" customFormat="1" ht="12" customHeight="1" x14ac:dyDescent="0.2">
      <c r="A518" s="232"/>
      <c r="B518" s="250"/>
      <c r="C518" s="286"/>
      <c r="D518" s="232"/>
      <c r="E518" s="232"/>
      <c r="F518" s="232"/>
      <c r="G518" s="232"/>
      <c r="H518" s="232"/>
      <c r="I518" s="232"/>
      <c r="J518" s="232"/>
      <c r="K518" s="232"/>
      <c r="L518" s="232"/>
      <c r="M518" s="232"/>
      <c r="N518" s="232"/>
      <c r="O518" s="232"/>
      <c r="P518" s="232"/>
      <c r="Q518" s="232"/>
      <c r="R518" s="232"/>
      <c r="S518" s="232"/>
      <c r="T518" s="232"/>
      <c r="U518" s="232"/>
      <c r="V518" s="15"/>
      <c r="W518" s="15"/>
      <c r="X518" s="15"/>
      <c r="Y518" s="15"/>
      <c r="Z518" s="15"/>
      <c r="AA518" s="15"/>
    </row>
    <row r="519" spans="1:27" s="25" customFormat="1" ht="12" customHeight="1" x14ac:dyDescent="0.2">
      <c r="A519" s="232"/>
      <c r="B519" s="250"/>
      <c r="C519" s="286"/>
      <c r="D519" s="232"/>
      <c r="E519" s="232"/>
      <c r="F519" s="232"/>
      <c r="G519" s="232"/>
      <c r="H519" s="232"/>
      <c r="I519" s="232"/>
      <c r="J519" s="232"/>
      <c r="K519" s="232"/>
      <c r="L519" s="232"/>
      <c r="M519" s="232"/>
      <c r="N519" s="232"/>
      <c r="O519" s="232"/>
      <c r="P519" s="232"/>
      <c r="Q519" s="232"/>
      <c r="R519" s="232"/>
      <c r="S519" s="232"/>
      <c r="T519" s="232"/>
      <c r="U519" s="232"/>
      <c r="V519" s="15"/>
      <c r="W519" s="15"/>
      <c r="X519" s="15"/>
      <c r="Y519" s="15"/>
      <c r="Z519" s="15"/>
      <c r="AA519" s="15"/>
    </row>
    <row r="520" spans="1:27" s="25" customFormat="1" ht="12" customHeight="1" x14ac:dyDescent="0.2">
      <c r="A520" s="232"/>
      <c r="B520" s="250"/>
      <c r="C520" s="286"/>
      <c r="D520" s="232"/>
      <c r="E520" s="232"/>
      <c r="F520" s="232"/>
      <c r="G520" s="232"/>
      <c r="H520" s="232"/>
      <c r="I520" s="232"/>
      <c r="J520" s="232"/>
      <c r="K520" s="232"/>
      <c r="L520" s="232"/>
      <c r="M520" s="232"/>
      <c r="N520" s="232"/>
      <c r="O520" s="232"/>
      <c r="P520" s="232"/>
      <c r="Q520" s="232"/>
      <c r="R520" s="232"/>
      <c r="S520" s="232"/>
      <c r="T520" s="232"/>
      <c r="U520" s="232"/>
      <c r="V520" s="15"/>
      <c r="W520" s="15"/>
      <c r="X520" s="15"/>
      <c r="Y520" s="15"/>
      <c r="Z520" s="15"/>
      <c r="AA520" s="15"/>
    </row>
    <row r="521" spans="1:27" s="25" customFormat="1" ht="12" customHeight="1" x14ac:dyDescent="0.2">
      <c r="A521" s="232"/>
      <c r="B521" s="250"/>
      <c r="C521" s="286"/>
      <c r="D521" s="232"/>
      <c r="E521" s="232"/>
      <c r="F521" s="232"/>
      <c r="G521" s="232"/>
      <c r="H521" s="232"/>
      <c r="I521" s="232"/>
      <c r="J521" s="232"/>
      <c r="K521" s="232"/>
      <c r="L521" s="232"/>
      <c r="M521" s="232"/>
      <c r="N521" s="232"/>
      <c r="O521" s="232"/>
      <c r="P521" s="232"/>
      <c r="Q521" s="232"/>
      <c r="R521" s="232"/>
      <c r="S521" s="232"/>
      <c r="T521" s="232"/>
      <c r="U521" s="232"/>
      <c r="V521" s="15"/>
      <c r="W521" s="15"/>
      <c r="X521" s="15"/>
      <c r="Y521" s="15"/>
      <c r="Z521" s="15"/>
      <c r="AA521" s="15"/>
    </row>
    <row r="522" spans="1:27" s="25" customFormat="1" ht="12" customHeight="1" x14ac:dyDescent="0.2">
      <c r="A522" s="232"/>
      <c r="B522" s="250"/>
      <c r="C522" s="286"/>
      <c r="D522" s="232"/>
      <c r="E522" s="232"/>
      <c r="F522" s="232"/>
      <c r="G522" s="232"/>
      <c r="H522" s="232"/>
      <c r="I522" s="232"/>
      <c r="J522" s="232"/>
      <c r="K522" s="232"/>
      <c r="L522" s="232"/>
      <c r="M522" s="232"/>
      <c r="N522" s="232"/>
      <c r="O522" s="232"/>
      <c r="P522" s="232"/>
      <c r="Q522" s="232"/>
      <c r="R522" s="232"/>
      <c r="S522" s="232"/>
      <c r="T522" s="232"/>
      <c r="U522" s="232"/>
      <c r="V522" s="15"/>
      <c r="W522" s="15"/>
      <c r="X522" s="15"/>
      <c r="Y522" s="15"/>
      <c r="Z522" s="15"/>
      <c r="AA522" s="15"/>
    </row>
    <row r="523" spans="1:27" s="25" customFormat="1" ht="12" customHeight="1" x14ac:dyDescent="0.2">
      <c r="A523" s="232"/>
      <c r="B523" s="250"/>
      <c r="C523" s="286"/>
      <c r="D523" s="232"/>
      <c r="E523" s="232"/>
      <c r="F523" s="232"/>
      <c r="G523" s="232"/>
      <c r="H523" s="232"/>
      <c r="I523" s="232"/>
      <c r="J523" s="232"/>
      <c r="K523" s="232"/>
      <c r="L523" s="232"/>
      <c r="M523" s="232"/>
      <c r="N523" s="232"/>
      <c r="O523" s="232"/>
      <c r="P523" s="232"/>
      <c r="Q523" s="232"/>
      <c r="R523" s="232"/>
      <c r="S523" s="232"/>
      <c r="T523" s="232"/>
      <c r="U523" s="232"/>
      <c r="V523" s="15"/>
      <c r="W523" s="15"/>
      <c r="X523" s="15"/>
      <c r="Y523" s="15"/>
      <c r="Z523" s="15"/>
      <c r="AA523" s="15"/>
    </row>
    <row r="524" spans="1:27" s="25" customFormat="1" ht="12" customHeight="1" x14ac:dyDescent="0.2">
      <c r="A524" s="232"/>
      <c r="B524" s="250"/>
      <c r="C524" s="286"/>
      <c r="D524" s="232"/>
      <c r="E524" s="232"/>
      <c r="F524" s="232"/>
      <c r="G524" s="232"/>
      <c r="H524" s="232"/>
      <c r="I524" s="232"/>
      <c r="J524" s="232"/>
      <c r="K524" s="232"/>
      <c r="L524" s="232"/>
      <c r="M524" s="232"/>
      <c r="N524" s="232"/>
      <c r="O524" s="232"/>
      <c r="P524" s="232"/>
      <c r="Q524" s="232"/>
      <c r="R524" s="232"/>
      <c r="S524" s="232"/>
      <c r="T524" s="232"/>
      <c r="U524" s="232"/>
      <c r="V524" s="15"/>
      <c r="W524" s="15"/>
      <c r="X524" s="15"/>
      <c r="Y524" s="15"/>
      <c r="Z524" s="15"/>
      <c r="AA524" s="15"/>
    </row>
    <row r="525" spans="1:27" s="25" customFormat="1" ht="12" customHeight="1" x14ac:dyDescent="0.2">
      <c r="A525" s="232"/>
      <c r="B525" s="250"/>
      <c r="C525" s="286"/>
      <c r="D525" s="232"/>
      <c r="E525" s="232"/>
      <c r="F525" s="232"/>
      <c r="G525" s="232"/>
      <c r="H525" s="232"/>
      <c r="I525" s="232"/>
      <c r="J525" s="232"/>
      <c r="K525" s="232"/>
      <c r="L525" s="232"/>
      <c r="M525" s="232"/>
      <c r="N525" s="232"/>
      <c r="O525" s="232"/>
      <c r="P525" s="232"/>
      <c r="Q525" s="232"/>
      <c r="R525" s="232"/>
      <c r="S525" s="232"/>
      <c r="T525" s="232"/>
      <c r="U525" s="232"/>
      <c r="V525" s="15"/>
      <c r="W525" s="15"/>
      <c r="X525" s="15"/>
      <c r="Y525" s="15"/>
      <c r="Z525" s="15"/>
      <c r="AA525" s="15"/>
    </row>
    <row r="526" spans="1:27" s="25" customFormat="1" ht="12" customHeight="1" x14ac:dyDescent="0.2">
      <c r="A526" s="232"/>
      <c r="B526" s="250"/>
      <c r="C526" s="286"/>
      <c r="D526" s="232"/>
      <c r="E526" s="232"/>
      <c r="F526" s="232"/>
      <c r="G526" s="232"/>
      <c r="H526" s="232"/>
      <c r="I526" s="232"/>
      <c r="J526" s="232"/>
      <c r="K526" s="232"/>
      <c r="L526" s="232"/>
      <c r="M526" s="232"/>
      <c r="N526" s="232"/>
      <c r="O526" s="232"/>
      <c r="P526" s="232"/>
      <c r="Q526" s="232"/>
      <c r="R526" s="232"/>
      <c r="S526" s="232"/>
      <c r="T526" s="232"/>
      <c r="U526" s="232"/>
      <c r="V526" s="15"/>
      <c r="W526" s="15"/>
      <c r="X526" s="15"/>
      <c r="Y526" s="15"/>
      <c r="Z526" s="15"/>
      <c r="AA526" s="15"/>
    </row>
    <row r="527" spans="1:27" s="25" customFormat="1" ht="12" customHeight="1" x14ac:dyDescent="0.2">
      <c r="A527" s="232"/>
      <c r="B527" s="250"/>
      <c r="C527" s="286"/>
      <c r="D527" s="232"/>
      <c r="E527" s="232"/>
      <c r="F527" s="232"/>
      <c r="G527" s="232"/>
      <c r="H527" s="232"/>
      <c r="I527" s="232"/>
      <c r="J527" s="232"/>
      <c r="K527" s="232"/>
      <c r="L527" s="232"/>
      <c r="M527" s="232"/>
      <c r="N527" s="232"/>
      <c r="O527" s="232"/>
      <c r="P527" s="232"/>
      <c r="Q527" s="232"/>
      <c r="R527" s="232"/>
      <c r="S527" s="232"/>
      <c r="T527" s="232"/>
      <c r="U527" s="232"/>
      <c r="V527" s="15"/>
      <c r="W527" s="15"/>
      <c r="X527" s="15"/>
      <c r="Y527" s="15"/>
      <c r="Z527" s="15"/>
      <c r="AA527" s="15"/>
    </row>
    <row r="528" spans="1:27" s="25" customFormat="1" ht="12" customHeight="1" x14ac:dyDescent="0.2">
      <c r="A528" s="232"/>
      <c r="B528" s="250"/>
      <c r="C528" s="286"/>
      <c r="D528" s="232"/>
      <c r="E528" s="232"/>
      <c r="F528" s="232"/>
      <c r="G528" s="232"/>
      <c r="H528" s="232"/>
      <c r="I528" s="232"/>
      <c r="J528" s="232"/>
      <c r="K528" s="232"/>
      <c r="L528" s="232"/>
      <c r="M528" s="232"/>
      <c r="N528" s="232"/>
      <c r="O528" s="232"/>
      <c r="P528" s="232"/>
      <c r="Q528" s="232"/>
      <c r="R528" s="232"/>
      <c r="S528" s="232"/>
      <c r="T528" s="232"/>
      <c r="U528" s="232"/>
      <c r="V528" s="15"/>
      <c r="W528" s="15"/>
      <c r="X528" s="15"/>
      <c r="Y528" s="15"/>
      <c r="Z528" s="15"/>
      <c r="AA528" s="15"/>
    </row>
    <row r="529" spans="1:27" s="25" customFormat="1" ht="12" customHeight="1" x14ac:dyDescent="0.2">
      <c r="A529" s="232"/>
      <c r="B529" s="250"/>
      <c r="C529" s="286"/>
      <c r="D529" s="232"/>
      <c r="E529" s="232"/>
      <c r="F529" s="232"/>
      <c r="G529" s="232"/>
      <c r="H529" s="232"/>
      <c r="I529" s="232"/>
      <c r="J529" s="232"/>
      <c r="K529" s="232"/>
      <c r="L529" s="232"/>
      <c r="M529" s="232"/>
      <c r="N529" s="232"/>
      <c r="O529" s="232"/>
      <c r="P529" s="232"/>
      <c r="Q529" s="232"/>
      <c r="R529" s="232"/>
      <c r="S529" s="232"/>
      <c r="T529" s="232"/>
      <c r="U529" s="232"/>
      <c r="V529" s="15"/>
      <c r="W529" s="15"/>
      <c r="X529" s="15"/>
      <c r="Y529" s="15"/>
      <c r="Z529" s="15"/>
      <c r="AA529" s="15"/>
    </row>
    <row r="530" spans="1:27" s="25" customFormat="1" ht="12" customHeight="1" x14ac:dyDescent="0.2">
      <c r="A530" s="232"/>
      <c r="B530" s="250"/>
      <c r="C530" s="286"/>
      <c r="D530" s="232"/>
      <c r="E530" s="232"/>
      <c r="F530" s="232"/>
      <c r="G530" s="232"/>
      <c r="H530" s="232"/>
      <c r="I530" s="232"/>
      <c r="J530" s="232"/>
      <c r="K530" s="232"/>
      <c r="L530" s="232"/>
      <c r="M530" s="232"/>
      <c r="N530" s="232"/>
      <c r="O530" s="232"/>
      <c r="P530" s="232"/>
      <c r="Q530" s="232"/>
      <c r="R530" s="232"/>
      <c r="S530" s="232"/>
      <c r="T530" s="232"/>
      <c r="U530" s="232"/>
      <c r="V530" s="15"/>
      <c r="W530" s="15"/>
      <c r="X530" s="15"/>
      <c r="Y530" s="15"/>
      <c r="Z530" s="15"/>
      <c r="AA530" s="15"/>
    </row>
    <row r="531" spans="1:27" s="25" customFormat="1" ht="12" customHeight="1" x14ac:dyDescent="0.2">
      <c r="A531" s="232"/>
      <c r="B531" s="250"/>
      <c r="C531" s="286"/>
      <c r="D531" s="232"/>
      <c r="E531" s="232"/>
      <c r="F531" s="232"/>
      <c r="G531" s="232"/>
      <c r="H531" s="232"/>
      <c r="I531" s="232"/>
      <c r="J531" s="232"/>
      <c r="K531" s="232"/>
      <c r="L531" s="232"/>
      <c r="M531" s="232"/>
      <c r="N531" s="232"/>
      <c r="O531" s="232"/>
      <c r="P531" s="232"/>
      <c r="Q531" s="232"/>
      <c r="R531" s="232"/>
      <c r="S531" s="232"/>
      <c r="T531" s="232"/>
      <c r="U531" s="232"/>
      <c r="V531" s="15"/>
      <c r="W531" s="15"/>
      <c r="X531" s="15"/>
      <c r="Y531" s="15"/>
      <c r="Z531" s="15"/>
      <c r="AA531" s="15"/>
    </row>
    <row r="532" spans="1:27" s="25" customFormat="1" ht="12" customHeight="1" x14ac:dyDescent="0.2">
      <c r="A532" s="232"/>
      <c r="B532" s="250"/>
      <c r="C532" s="286"/>
      <c r="D532" s="232"/>
      <c r="E532" s="232"/>
      <c r="F532" s="232"/>
      <c r="G532" s="232"/>
      <c r="H532" s="232"/>
      <c r="I532" s="232"/>
      <c r="J532" s="232"/>
      <c r="K532" s="232"/>
      <c r="L532" s="232"/>
      <c r="M532" s="232"/>
      <c r="N532" s="232"/>
      <c r="O532" s="232"/>
      <c r="P532" s="232"/>
      <c r="Q532" s="232"/>
      <c r="R532" s="232"/>
      <c r="S532" s="232"/>
      <c r="T532" s="232"/>
      <c r="U532" s="232"/>
      <c r="V532" s="15"/>
      <c r="W532" s="15"/>
      <c r="X532" s="15"/>
      <c r="Y532" s="15"/>
      <c r="Z532" s="15"/>
      <c r="AA532" s="15"/>
    </row>
    <row r="533" spans="1:27" s="25" customFormat="1" ht="12" customHeight="1" x14ac:dyDescent="0.2">
      <c r="A533" s="232"/>
      <c r="B533" s="250"/>
      <c r="C533" s="286"/>
      <c r="D533" s="232"/>
      <c r="E533" s="232"/>
      <c r="F533" s="232"/>
      <c r="G533" s="232"/>
      <c r="H533" s="232"/>
      <c r="I533" s="232"/>
      <c r="J533" s="232"/>
      <c r="K533" s="232"/>
      <c r="L533" s="232"/>
      <c r="M533" s="232"/>
      <c r="N533" s="232"/>
      <c r="O533" s="232"/>
      <c r="P533" s="232"/>
      <c r="Q533" s="232"/>
      <c r="R533" s="232"/>
      <c r="S533" s="232"/>
      <c r="T533" s="232"/>
      <c r="U533" s="232"/>
      <c r="V533" s="15"/>
      <c r="W533" s="15"/>
      <c r="X533" s="15"/>
      <c r="Y533" s="15"/>
      <c r="Z533" s="15"/>
      <c r="AA533" s="15"/>
    </row>
    <row r="534" spans="1:27" s="25" customFormat="1" ht="12" customHeight="1" x14ac:dyDescent="0.2">
      <c r="A534" s="232"/>
      <c r="B534" s="250"/>
      <c r="C534" s="286"/>
      <c r="D534" s="232"/>
      <c r="E534" s="232"/>
      <c r="F534" s="232"/>
      <c r="G534" s="232"/>
      <c r="H534" s="232"/>
      <c r="I534" s="232"/>
      <c r="J534" s="232"/>
      <c r="K534" s="232"/>
      <c r="L534" s="232"/>
      <c r="M534" s="232"/>
      <c r="N534" s="232"/>
      <c r="O534" s="232"/>
      <c r="P534" s="232"/>
      <c r="Q534" s="232"/>
      <c r="R534" s="232"/>
      <c r="S534" s="232"/>
      <c r="T534" s="232"/>
      <c r="U534" s="232"/>
      <c r="V534" s="15"/>
      <c r="W534" s="15"/>
      <c r="X534" s="15"/>
      <c r="Y534" s="15"/>
      <c r="Z534" s="15"/>
      <c r="AA534" s="15"/>
    </row>
    <row r="535" spans="1:27" s="25" customFormat="1" ht="12" customHeight="1" x14ac:dyDescent="0.2">
      <c r="A535" s="232"/>
      <c r="B535" s="250"/>
      <c r="C535" s="286"/>
      <c r="D535" s="232"/>
      <c r="E535" s="232"/>
      <c r="F535" s="232"/>
      <c r="G535" s="232"/>
      <c r="H535" s="232"/>
      <c r="I535" s="232"/>
      <c r="J535" s="232"/>
      <c r="K535" s="232"/>
      <c r="L535" s="232"/>
      <c r="M535" s="232"/>
      <c r="N535" s="232"/>
      <c r="O535" s="232"/>
      <c r="P535" s="232"/>
      <c r="Q535" s="232"/>
      <c r="R535" s="232"/>
      <c r="S535" s="232"/>
      <c r="T535" s="232"/>
      <c r="U535" s="232"/>
      <c r="V535" s="15"/>
      <c r="W535" s="15"/>
      <c r="X535" s="15"/>
      <c r="Y535" s="15"/>
      <c r="Z535" s="15"/>
      <c r="AA535" s="15"/>
    </row>
    <row r="536" spans="1:27" s="25" customFormat="1" ht="12" customHeight="1" x14ac:dyDescent="0.2">
      <c r="A536" s="232"/>
      <c r="B536" s="250"/>
      <c r="C536" s="286"/>
      <c r="D536" s="232"/>
      <c r="E536" s="232"/>
      <c r="F536" s="232"/>
      <c r="G536" s="232"/>
      <c r="H536" s="232"/>
      <c r="I536" s="232"/>
      <c r="J536" s="232"/>
      <c r="K536" s="232"/>
      <c r="L536" s="232"/>
      <c r="M536" s="232"/>
      <c r="N536" s="232"/>
      <c r="O536" s="232"/>
      <c r="P536" s="232"/>
      <c r="Q536" s="232"/>
      <c r="R536" s="232"/>
      <c r="S536" s="232"/>
      <c r="T536" s="232"/>
      <c r="U536" s="232"/>
      <c r="V536" s="15"/>
      <c r="W536" s="15"/>
      <c r="X536" s="15"/>
      <c r="Y536" s="15"/>
      <c r="Z536" s="15"/>
      <c r="AA536" s="15"/>
    </row>
    <row r="537" spans="1:27" s="25" customFormat="1" ht="12" customHeight="1" x14ac:dyDescent="0.2">
      <c r="A537" s="232"/>
      <c r="B537" s="250"/>
      <c r="C537" s="286"/>
      <c r="D537" s="232"/>
      <c r="E537" s="232"/>
      <c r="F537" s="232"/>
      <c r="G537" s="232"/>
      <c r="H537" s="232"/>
      <c r="I537" s="232"/>
      <c r="J537" s="232"/>
      <c r="K537" s="232"/>
      <c r="L537" s="232"/>
      <c r="M537" s="232"/>
      <c r="N537" s="232"/>
      <c r="O537" s="232"/>
      <c r="P537" s="232"/>
      <c r="Q537" s="232"/>
      <c r="R537" s="232"/>
      <c r="S537" s="232"/>
      <c r="T537" s="232"/>
      <c r="U537" s="232"/>
      <c r="V537" s="15"/>
      <c r="W537" s="15"/>
      <c r="X537" s="15"/>
      <c r="Y537" s="15"/>
      <c r="Z537" s="15"/>
      <c r="AA537" s="15"/>
    </row>
    <row r="538" spans="1:27" s="25" customFormat="1" ht="12" customHeight="1" x14ac:dyDescent="0.2">
      <c r="A538" s="232"/>
      <c r="B538" s="250"/>
      <c r="C538" s="286"/>
      <c r="D538" s="232"/>
      <c r="E538" s="232"/>
      <c r="F538" s="232"/>
      <c r="G538" s="232"/>
      <c r="H538" s="232"/>
      <c r="I538" s="232"/>
      <c r="J538" s="232"/>
      <c r="K538" s="232"/>
      <c r="L538" s="232"/>
      <c r="M538" s="232"/>
      <c r="N538" s="232"/>
      <c r="O538" s="232"/>
      <c r="P538" s="232"/>
      <c r="Q538" s="232"/>
      <c r="R538" s="232"/>
      <c r="S538" s="232"/>
      <c r="T538" s="232"/>
      <c r="U538" s="232"/>
      <c r="V538" s="15"/>
      <c r="W538" s="15"/>
      <c r="X538" s="15"/>
      <c r="Y538" s="15"/>
      <c r="Z538" s="15"/>
      <c r="AA538" s="15"/>
    </row>
    <row r="539" spans="1:27" s="25" customFormat="1" ht="12" customHeight="1" x14ac:dyDescent="0.2">
      <c r="A539" s="232"/>
      <c r="B539" s="250"/>
      <c r="C539" s="286"/>
      <c r="D539" s="232"/>
      <c r="E539" s="232"/>
      <c r="F539" s="232"/>
      <c r="G539" s="232"/>
      <c r="H539" s="232"/>
      <c r="I539" s="232"/>
      <c r="J539" s="232"/>
      <c r="K539" s="232"/>
      <c r="L539" s="232"/>
      <c r="M539" s="232"/>
      <c r="N539" s="232"/>
      <c r="O539" s="232"/>
      <c r="P539" s="232"/>
      <c r="Q539" s="232"/>
      <c r="R539" s="232"/>
      <c r="S539" s="232"/>
      <c r="T539" s="232"/>
      <c r="U539" s="232"/>
      <c r="V539" s="15"/>
      <c r="W539" s="15"/>
      <c r="X539" s="15"/>
      <c r="Y539" s="15"/>
      <c r="Z539" s="15"/>
      <c r="AA539" s="15"/>
    </row>
    <row r="540" spans="1:27" s="25" customFormat="1" ht="12" customHeight="1" x14ac:dyDescent="0.2">
      <c r="A540" s="232"/>
      <c r="B540" s="250"/>
      <c r="C540" s="286"/>
      <c r="D540" s="232"/>
      <c r="E540" s="232"/>
      <c r="F540" s="232"/>
      <c r="G540" s="232"/>
      <c r="H540" s="232"/>
      <c r="I540" s="232"/>
      <c r="J540" s="232"/>
      <c r="K540" s="232"/>
      <c r="L540" s="232"/>
      <c r="M540" s="232"/>
      <c r="N540" s="232"/>
      <c r="O540" s="232"/>
      <c r="P540" s="232"/>
      <c r="Q540" s="232"/>
      <c r="R540" s="232"/>
      <c r="S540" s="232"/>
      <c r="T540" s="232"/>
      <c r="U540" s="232"/>
      <c r="V540" s="15"/>
      <c r="W540" s="15"/>
      <c r="X540" s="15"/>
      <c r="Y540" s="15"/>
      <c r="Z540" s="15"/>
      <c r="AA540" s="15"/>
    </row>
    <row r="541" spans="1:27" s="25" customFormat="1" ht="12" customHeight="1" x14ac:dyDescent="0.2">
      <c r="A541" s="232"/>
      <c r="B541" s="250"/>
      <c r="C541" s="286"/>
      <c r="D541" s="232"/>
      <c r="E541" s="232"/>
      <c r="F541" s="232"/>
      <c r="G541" s="232"/>
      <c r="H541" s="232"/>
      <c r="I541" s="232"/>
      <c r="J541" s="232"/>
      <c r="K541" s="232"/>
      <c r="L541" s="232"/>
      <c r="M541" s="232"/>
      <c r="N541" s="232"/>
      <c r="O541" s="232"/>
      <c r="P541" s="232"/>
      <c r="Q541" s="232"/>
      <c r="R541" s="232"/>
      <c r="S541" s="232"/>
      <c r="T541" s="232"/>
      <c r="U541" s="232"/>
      <c r="V541" s="15"/>
      <c r="W541" s="15"/>
      <c r="X541" s="15"/>
      <c r="Y541" s="15"/>
      <c r="Z541" s="15"/>
      <c r="AA541" s="15"/>
    </row>
    <row r="542" spans="1:27" s="25" customFormat="1" ht="12" customHeight="1" x14ac:dyDescent="0.2">
      <c r="A542" s="232"/>
      <c r="B542" s="250"/>
      <c r="C542" s="286"/>
      <c r="D542" s="232"/>
      <c r="E542" s="232"/>
      <c r="F542" s="232"/>
      <c r="G542" s="232"/>
      <c r="H542" s="232"/>
      <c r="I542" s="232"/>
      <c r="J542" s="232"/>
      <c r="K542" s="232"/>
      <c r="L542" s="232"/>
      <c r="M542" s="232"/>
      <c r="N542" s="232"/>
      <c r="O542" s="232"/>
      <c r="P542" s="232"/>
      <c r="Q542" s="232"/>
      <c r="R542" s="232"/>
      <c r="S542" s="232"/>
      <c r="T542" s="232"/>
      <c r="U542" s="232"/>
      <c r="V542" s="15"/>
      <c r="W542" s="15"/>
      <c r="X542" s="15"/>
      <c r="Y542" s="15"/>
      <c r="Z542" s="15"/>
      <c r="AA542" s="15"/>
    </row>
    <row r="543" spans="1:27" s="25" customFormat="1" ht="12" customHeight="1" x14ac:dyDescent="0.2">
      <c r="A543" s="232"/>
      <c r="B543" s="250"/>
      <c r="C543" s="286"/>
      <c r="D543" s="232"/>
      <c r="E543" s="232"/>
      <c r="F543" s="232"/>
      <c r="G543" s="232"/>
      <c r="H543" s="232"/>
      <c r="I543" s="232"/>
      <c r="J543" s="232"/>
      <c r="K543" s="232"/>
      <c r="L543" s="232"/>
      <c r="M543" s="232"/>
      <c r="N543" s="232"/>
      <c r="O543" s="232"/>
      <c r="P543" s="232"/>
      <c r="Q543" s="232"/>
      <c r="R543" s="232"/>
      <c r="S543" s="232"/>
      <c r="T543" s="232"/>
      <c r="U543" s="232"/>
      <c r="V543" s="15"/>
      <c r="W543" s="15"/>
      <c r="X543" s="15"/>
      <c r="Y543" s="15"/>
      <c r="Z543" s="15"/>
      <c r="AA543" s="15"/>
    </row>
    <row r="544" spans="1:27" s="25" customFormat="1" ht="12" customHeight="1" x14ac:dyDescent="0.2">
      <c r="A544" s="232"/>
      <c r="B544" s="250"/>
      <c r="C544" s="286"/>
      <c r="D544" s="232"/>
      <c r="E544" s="232"/>
      <c r="F544" s="232"/>
      <c r="G544" s="232"/>
      <c r="H544" s="232"/>
      <c r="I544" s="232"/>
      <c r="J544" s="232"/>
      <c r="K544" s="232"/>
      <c r="L544" s="232"/>
      <c r="M544" s="232"/>
      <c r="N544" s="232"/>
      <c r="O544" s="232"/>
      <c r="P544" s="232"/>
      <c r="Q544" s="232"/>
      <c r="R544" s="232"/>
      <c r="S544" s="232"/>
      <c r="T544" s="232"/>
      <c r="U544" s="232"/>
      <c r="V544" s="15"/>
      <c r="W544" s="15"/>
      <c r="X544" s="15"/>
      <c r="Y544" s="15"/>
      <c r="Z544" s="15"/>
      <c r="AA544" s="15"/>
    </row>
    <row r="545" spans="1:27" s="25" customFormat="1" ht="12" customHeight="1" x14ac:dyDescent="0.2">
      <c r="A545" s="232"/>
      <c r="B545" s="250"/>
      <c r="C545" s="286"/>
      <c r="D545" s="232"/>
      <c r="E545" s="232"/>
      <c r="F545" s="232"/>
      <c r="G545" s="232"/>
      <c r="H545" s="232"/>
      <c r="I545" s="232"/>
      <c r="J545" s="232"/>
      <c r="K545" s="232"/>
      <c r="L545" s="232"/>
      <c r="M545" s="232"/>
      <c r="N545" s="232"/>
      <c r="O545" s="232"/>
      <c r="P545" s="232"/>
      <c r="Q545" s="232"/>
      <c r="R545" s="232"/>
      <c r="S545" s="232"/>
      <c r="T545" s="232"/>
      <c r="U545" s="232"/>
      <c r="V545" s="15"/>
      <c r="W545" s="15"/>
      <c r="X545" s="15"/>
      <c r="Y545" s="15"/>
      <c r="Z545" s="15"/>
      <c r="AA545" s="15"/>
    </row>
    <row r="546" spans="1:27" s="25" customFormat="1" ht="12" customHeight="1" x14ac:dyDescent="0.2">
      <c r="A546" s="232"/>
      <c r="B546" s="250"/>
      <c r="C546" s="286"/>
      <c r="D546" s="232"/>
      <c r="E546" s="232"/>
      <c r="F546" s="232"/>
      <c r="G546" s="232"/>
      <c r="H546" s="232"/>
      <c r="I546" s="232"/>
      <c r="J546" s="232"/>
      <c r="K546" s="232"/>
      <c r="L546" s="232"/>
      <c r="M546" s="232"/>
      <c r="N546" s="232"/>
      <c r="O546" s="232"/>
      <c r="P546" s="232"/>
      <c r="Q546" s="232"/>
      <c r="R546" s="232"/>
      <c r="S546" s="232"/>
      <c r="T546" s="232"/>
      <c r="U546" s="232"/>
      <c r="V546" s="15"/>
      <c r="W546" s="15"/>
      <c r="X546" s="15"/>
      <c r="Y546" s="15"/>
      <c r="Z546" s="15"/>
      <c r="AA546" s="15"/>
    </row>
    <row r="547" spans="1:27" s="25" customFormat="1" ht="12" customHeight="1" x14ac:dyDescent="0.2">
      <c r="A547" s="232"/>
      <c r="B547" s="250"/>
      <c r="C547" s="286"/>
      <c r="D547" s="232"/>
      <c r="E547" s="232"/>
      <c r="F547" s="232"/>
      <c r="G547" s="232"/>
      <c r="H547" s="232"/>
      <c r="I547" s="232"/>
      <c r="J547" s="232"/>
      <c r="K547" s="232"/>
      <c r="L547" s="232"/>
      <c r="M547" s="232"/>
      <c r="N547" s="232"/>
      <c r="O547" s="232"/>
      <c r="P547" s="232"/>
      <c r="Q547" s="232"/>
      <c r="R547" s="232"/>
      <c r="S547" s="232"/>
      <c r="T547" s="232"/>
      <c r="U547" s="232"/>
      <c r="V547" s="15"/>
      <c r="W547" s="15"/>
      <c r="X547" s="15"/>
      <c r="Y547" s="15"/>
      <c r="Z547" s="15"/>
      <c r="AA547" s="15"/>
    </row>
    <row r="548" spans="1:27" s="25" customFormat="1" ht="12" customHeight="1" x14ac:dyDescent="0.2">
      <c r="A548" s="232"/>
      <c r="B548" s="250"/>
      <c r="C548" s="286"/>
      <c r="D548" s="232"/>
      <c r="E548" s="232"/>
      <c r="F548" s="232"/>
      <c r="G548" s="232"/>
      <c r="H548" s="232"/>
      <c r="I548" s="232"/>
      <c r="J548" s="232"/>
      <c r="K548" s="232"/>
      <c r="L548" s="232"/>
      <c r="M548" s="232"/>
      <c r="N548" s="232"/>
      <c r="O548" s="232"/>
      <c r="P548" s="232"/>
      <c r="Q548" s="232"/>
      <c r="R548" s="232"/>
      <c r="S548" s="232"/>
      <c r="T548" s="232"/>
      <c r="U548" s="232"/>
      <c r="V548" s="15"/>
      <c r="W548" s="15"/>
      <c r="X548" s="15"/>
      <c r="Y548" s="15"/>
      <c r="Z548" s="15"/>
      <c r="AA548" s="15"/>
    </row>
    <row r="549" spans="1:27" s="25" customFormat="1" ht="12" customHeight="1" x14ac:dyDescent="0.2">
      <c r="A549" s="232"/>
      <c r="B549" s="250"/>
      <c r="C549" s="286"/>
      <c r="D549" s="232"/>
      <c r="E549" s="232"/>
      <c r="F549" s="232"/>
      <c r="G549" s="232"/>
      <c r="H549" s="232"/>
      <c r="I549" s="232"/>
      <c r="J549" s="232"/>
      <c r="K549" s="232"/>
      <c r="L549" s="232"/>
      <c r="M549" s="232"/>
      <c r="N549" s="232"/>
      <c r="O549" s="232"/>
      <c r="P549" s="232"/>
      <c r="Q549" s="232"/>
      <c r="R549" s="232"/>
      <c r="S549" s="232"/>
      <c r="T549" s="232"/>
      <c r="U549" s="232"/>
      <c r="V549" s="15"/>
      <c r="W549" s="15"/>
      <c r="X549" s="15"/>
      <c r="Y549" s="15"/>
      <c r="Z549" s="15"/>
      <c r="AA549" s="15"/>
    </row>
    <row r="550" spans="1:27" s="25" customFormat="1" ht="12" customHeight="1" x14ac:dyDescent="0.2">
      <c r="A550" s="232"/>
      <c r="B550" s="250"/>
      <c r="C550" s="286"/>
      <c r="D550" s="232"/>
      <c r="E550" s="232"/>
      <c r="F550" s="232"/>
      <c r="G550" s="232"/>
      <c r="H550" s="232"/>
      <c r="I550" s="232"/>
      <c r="J550" s="232"/>
      <c r="K550" s="232"/>
      <c r="L550" s="232"/>
      <c r="M550" s="232"/>
      <c r="N550" s="232"/>
      <c r="O550" s="232"/>
      <c r="P550" s="232"/>
      <c r="Q550" s="232"/>
      <c r="R550" s="232"/>
      <c r="S550" s="232"/>
      <c r="T550" s="232"/>
      <c r="U550" s="232"/>
      <c r="V550" s="15"/>
      <c r="W550" s="15"/>
      <c r="X550" s="15"/>
      <c r="Y550" s="15"/>
      <c r="Z550" s="15"/>
      <c r="AA550" s="15"/>
    </row>
    <row r="551" spans="1:27" s="25" customFormat="1" ht="12" customHeight="1" x14ac:dyDescent="0.2">
      <c r="A551" s="232"/>
      <c r="B551" s="250"/>
      <c r="C551" s="286"/>
      <c r="D551" s="232"/>
      <c r="E551" s="232"/>
      <c r="F551" s="232"/>
      <c r="G551" s="232"/>
      <c r="H551" s="232"/>
      <c r="I551" s="232"/>
      <c r="J551" s="232"/>
      <c r="K551" s="232"/>
      <c r="L551" s="232"/>
      <c r="M551" s="232"/>
      <c r="N551" s="232"/>
      <c r="O551" s="232"/>
      <c r="P551" s="232"/>
      <c r="Q551" s="232"/>
      <c r="R551" s="232"/>
      <c r="S551" s="232"/>
      <c r="T551" s="232"/>
      <c r="U551" s="232"/>
      <c r="V551" s="15"/>
      <c r="W551" s="15"/>
      <c r="X551" s="15"/>
      <c r="Y551" s="15"/>
      <c r="Z551" s="15"/>
      <c r="AA551" s="15"/>
    </row>
    <row r="552" spans="1:27" s="25" customFormat="1" ht="12" customHeight="1" x14ac:dyDescent="0.2">
      <c r="A552" s="232"/>
      <c r="B552" s="250"/>
      <c r="C552" s="286"/>
      <c r="D552" s="232"/>
      <c r="E552" s="232"/>
      <c r="F552" s="232"/>
      <c r="G552" s="232"/>
      <c r="H552" s="232"/>
      <c r="I552" s="232"/>
      <c r="J552" s="232"/>
      <c r="K552" s="232"/>
      <c r="L552" s="232"/>
      <c r="M552" s="232"/>
      <c r="N552" s="232"/>
      <c r="O552" s="232"/>
      <c r="P552" s="232"/>
      <c r="Q552" s="232"/>
      <c r="R552" s="232"/>
      <c r="S552" s="232"/>
      <c r="T552" s="232"/>
      <c r="U552" s="232"/>
      <c r="V552" s="15"/>
      <c r="W552" s="15"/>
      <c r="X552" s="15"/>
      <c r="Y552" s="15"/>
      <c r="Z552" s="15"/>
      <c r="AA552" s="15"/>
    </row>
    <row r="553" spans="1:27" s="25" customFormat="1" ht="12" customHeight="1" x14ac:dyDescent="0.2">
      <c r="A553" s="232"/>
      <c r="B553" s="250"/>
      <c r="C553" s="286"/>
      <c r="D553" s="232"/>
      <c r="E553" s="232"/>
      <c r="F553" s="232"/>
      <c r="G553" s="232"/>
      <c r="H553" s="232"/>
      <c r="I553" s="232"/>
      <c r="J553" s="232"/>
      <c r="K553" s="232"/>
      <c r="L553" s="232"/>
      <c r="M553" s="232"/>
      <c r="N553" s="232"/>
      <c r="O553" s="232"/>
      <c r="P553" s="232"/>
      <c r="Q553" s="232"/>
      <c r="R553" s="232"/>
      <c r="S553" s="232"/>
      <c r="T553" s="232"/>
      <c r="U553" s="232"/>
      <c r="V553" s="15"/>
      <c r="W553" s="15"/>
      <c r="X553" s="15"/>
      <c r="Y553" s="15"/>
      <c r="Z553" s="15"/>
      <c r="AA553" s="15"/>
    </row>
    <row r="554" spans="1:27" s="25" customFormat="1" ht="12" customHeight="1" x14ac:dyDescent="0.2">
      <c r="A554" s="232"/>
      <c r="B554" s="250"/>
      <c r="C554" s="286"/>
      <c r="D554" s="232"/>
      <c r="E554" s="232"/>
      <c r="F554" s="232"/>
      <c r="G554" s="232"/>
      <c r="H554" s="232"/>
      <c r="I554" s="232"/>
      <c r="J554" s="232"/>
      <c r="K554" s="232"/>
      <c r="L554" s="232"/>
      <c r="M554" s="232"/>
      <c r="N554" s="232"/>
      <c r="O554" s="232"/>
      <c r="P554" s="232"/>
      <c r="Q554" s="232"/>
      <c r="R554" s="232"/>
      <c r="S554" s="232"/>
      <c r="T554" s="232"/>
      <c r="U554" s="232"/>
      <c r="V554" s="15"/>
      <c r="W554" s="15"/>
      <c r="X554" s="15"/>
      <c r="Y554" s="15"/>
      <c r="Z554" s="15"/>
      <c r="AA554" s="15"/>
    </row>
    <row r="555" spans="1:27" s="25" customFormat="1" ht="12" customHeight="1" x14ac:dyDescent="0.2">
      <c r="A555" s="232"/>
      <c r="B555" s="250"/>
      <c r="C555" s="286"/>
      <c r="D555" s="232"/>
      <c r="E555" s="232"/>
      <c r="F555" s="232"/>
      <c r="G555" s="232"/>
      <c r="H555" s="232"/>
      <c r="I555" s="232"/>
      <c r="J555" s="232"/>
      <c r="K555" s="232"/>
      <c r="L555" s="232"/>
      <c r="M555" s="232"/>
      <c r="N555" s="232"/>
      <c r="O555" s="232"/>
      <c r="P555" s="232"/>
      <c r="Q555" s="232"/>
      <c r="R555" s="232"/>
      <c r="S555" s="232"/>
      <c r="T555" s="232"/>
      <c r="U555" s="232"/>
      <c r="V555" s="15"/>
      <c r="W555" s="15"/>
      <c r="X555" s="15"/>
      <c r="Y555" s="15"/>
      <c r="Z555" s="15"/>
      <c r="AA555" s="15"/>
    </row>
    <row r="556" spans="1:27" s="25" customFormat="1" ht="12" customHeight="1" x14ac:dyDescent="0.2">
      <c r="A556" s="232"/>
      <c r="B556" s="250"/>
      <c r="C556" s="286"/>
      <c r="D556" s="232"/>
      <c r="E556" s="232"/>
      <c r="F556" s="232"/>
      <c r="G556" s="232"/>
      <c r="H556" s="232"/>
      <c r="I556" s="232"/>
      <c r="J556" s="232"/>
      <c r="K556" s="232"/>
      <c r="L556" s="232"/>
      <c r="M556" s="232"/>
      <c r="N556" s="232"/>
      <c r="O556" s="232"/>
      <c r="P556" s="232"/>
      <c r="Q556" s="232"/>
      <c r="R556" s="232"/>
      <c r="S556" s="232"/>
      <c r="T556" s="232"/>
      <c r="U556" s="232"/>
      <c r="V556" s="15"/>
      <c r="W556" s="15"/>
      <c r="X556" s="15"/>
      <c r="Y556" s="15"/>
      <c r="Z556" s="15"/>
      <c r="AA556" s="15"/>
    </row>
    <row r="557" spans="1:27" s="25" customFormat="1" ht="12" customHeight="1" x14ac:dyDescent="0.2">
      <c r="A557" s="232"/>
      <c r="B557" s="250"/>
      <c r="C557" s="286"/>
      <c r="D557" s="232"/>
      <c r="E557" s="232"/>
      <c r="F557" s="232"/>
      <c r="G557" s="232"/>
      <c r="H557" s="232"/>
      <c r="I557" s="232"/>
      <c r="J557" s="232"/>
      <c r="K557" s="232"/>
      <c r="L557" s="232"/>
      <c r="M557" s="232"/>
      <c r="N557" s="232"/>
      <c r="O557" s="232"/>
      <c r="P557" s="232"/>
      <c r="Q557" s="232"/>
      <c r="R557" s="232"/>
      <c r="S557" s="232"/>
      <c r="T557" s="232"/>
      <c r="U557" s="232"/>
      <c r="V557" s="15"/>
      <c r="W557" s="15"/>
      <c r="X557" s="15"/>
      <c r="Y557" s="15"/>
      <c r="Z557" s="15"/>
      <c r="AA557" s="15"/>
    </row>
    <row r="558" spans="1:27" s="25" customFormat="1" ht="12" customHeight="1" x14ac:dyDescent="0.2">
      <c r="A558" s="232"/>
      <c r="B558" s="250"/>
      <c r="C558" s="286"/>
      <c r="D558" s="232"/>
      <c r="E558" s="232"/>
      <c r="F558" s="232"/>
      <c r="G558" s="232"/>
      <c r="H558" s="232"/>
      <c r="I558" s="232"/>
      <c r="J558" s="232"/>
      <c r="K558" s="232"/>
      <c r="L558" s="232"/>
      <c r="M558" s="232"/>
      <c r="N558" s="232"/>
      <c r="O558" s="232"/>
      <c r="P558" s="232"/>
      <c r="Q558" s="232"/>
      <c r="R558" s="232"/>
      <c r="S558" s="232"/>
      <c r="T558" s="232"/>
      <c r="U558" s="232"/>
      <c r="V558" s="15"/>
      <c r="W558" s="15"/>
      <c r="X558" s="15"/>
      <c r="Y558" s="15"/>
      <c r="Z558" s="15"/>
      <c r="AA558" s="15"/>
    </row>
    <row r="559" spans="1:27" s="25" customFormat="1" ht="12" customHeight="1" x14ac:dyDescent="0.2">
      <c r="A559" s="232"/>
      <c r="B559" s="250"/>
      <c r="C559" s="286"/>
      <c r="D559" s="232"/>
      <c r="E559" s="232"/>
      <c r="F559" s="232"/>
      <c r="G559" s="232"/>
      <c r="H559" s="232"/>
      <c r="I559" s="232"/>
      <c r="J559" s="232"/>
      <c r="K559" s="232"/>
      <c r="L559" s="232"/>
      <c r="M559" s="232"/>
      <c r="N559" s="232"/>
      <c r="O559" s="232"/>
      <c r="P559" s="232"/>
      <c r="Q559" s="232"/>
      <c r="R559" s="232"/>
      <c r="S559" s="232"/>
      <c r="T559" s="232"/>
      <c r="U559" s="232"/>
      <c r="V559" s="15"/>
      <c r="W559" s="15"/>
      <c r="X559" s="15"/>
      <c r="Y559" s="15"/>
      <c r="Z559" s="15"/>
      <c r="AA559" s="15"/>
    </row>
    <row r="560" spans="1:27" s="25" customFormat="1" ht="12" customHeight="1" x14ac:dyDescent="0.2">
      <c r="A560" s="232"/>
      <c r="B560" s="250"/>
      <c r="C560" s="286"/>
      <c r="D560" s="232"/>
      <c r="E560" s="232"/>
      <c r="F560" s="232"/>
      <c r="G560" s="232"/>
      <c r="H560" s="232"/>
      <c r="I560" s="232"/>
      <c r="J560" s="232"/>
      <c r="K560" s="232"/>
      <c r="L560" s="232"/>
      <c r="M560" s="232"/>
      <c r="N560" s="232"/>
      <c r="O560" s="232"/>
      <c r="P560" s="232"/>
      <c r="Q560" s="232"/>
      <c r="R560" s="232"/>
      <c r="S560" s="232"/>
      <c r="T560" s="232"/>
      <c r="U560" s="232"/>
      <c r="V560" s="15"/>
      <c r="W560" s="15"/>
      <c r="X560" s="15"/>
      <c r="Y560" s="15"/>
      <c r="Z560" s="15"/>
      <c r="AA560" s="15"/>
    </row>
    <row r="561" spans="1:27" s="25" customFormat="1" ht="12" customHeight="1" x14ac:dyDescent="0.2">
      <c r="A561" s="232"/>
      <c r="B561" s="250"/>
      <c r="C561" s="286"/>
      <c r="D561" s="232"/>
      <c r="E561" s="232"/>
      <c r="F561" s="232"/>
      <c r="G561" s="232"/>
      <c r="H561" s="232"/>
      <c r="I561" s="232"/>
      <c r="J561" s="232"/>
      <c r="K561" s="232"/>
      <c r="L561" s="232"/>
      <c r="M561" s="232"/>
      <c r="N561" s="232"/>
      <c r="O561" s="232"/>
      <c r="P561" s="232"/>
      <c r="Q561" s="232"/>
      <c r="R561" s="232"/>
      <c r="S561" s="232"/>
      <c r="T561" s="232"/>
      <c r="U561" s="232"/>
      <c r="V561" s="15"/>
      <c r="W561" s="15"/>
      <c r="X561" s="15"/>
      <c r="Y561" s="15"/>
      <c r="Z561" s="15"/>
      <c r="AA561" s="15"/>
    </row>
    <row r="562" spans="1:27" s="25" customFormat="1" ht="12" customHeight="1" x14ac:dyDescent="0.2">
      <c r="A562" s="232"/>
      <c r="B562" s="250"/>
      <c r="C562" s="286"/>
      <c r="D562" s="232"/>
      <c r="E562" s="232"/>
      <c r="F562" s="232"/>
      <c r="G562" s="232"/>
      <c r="H562" s="232"/>
      <c r="I562" s="232"/>
      <c r="J562" s="232"/>
      <c r="K562" s="232"/>
      <c r="L562" s="232"/>
      <c r="M562" s="232"/>
      <c r="N562" s="232"/>
      <c r="O562" s="232"/>
      <c r="P562" s="232"/>
      <c r="Q562" s="232"/>
      <c r="R562" s="232"/>
      <c r="S562" s="232"/>
      <c r="T562" s="232"/>
      <c r="U562" s="232"/>
      <c r="V562" s="15"/>
      <c r="W562" s="15"/>
      <c r="X562" s="15"/>
      <c r="Y562" s="15"/>
      <c r="Z562" s="15"/>
      <c r="AA562" s="15"/>
    </row>
    <row r="563" spans="1:27" s="25" customFormat="1" ht="12" customHeight="1" x14ac:dyDescent="0.2">
      <c r="A563" s="232"/>
      <c r="B563" s="250"/>
      <c r="C563" s="286"/>
      <c r="D563" s="232"/>
      <c r="E563" s="232"/>
      <c r="F563" s="232"/>
      <c r="G563" s="232"/>
      <c r="H563" s="232"/>
      <c r="I563" s="232"/>
      <c r="J563" s="232"/>
      <c r="K563" s="232"/>
      <c r="L563" s="232"/>
      <c r="M563" s="232"/>
      <c r="N563" s="232"/>
      <c r="O563" s="232"/>
      <c r="P563" s="232"/>
      <c r="Q563" s="232"/>
      <c r="R563" s="232"/>
      <c r="S563" s="232"/>
      <c r="T563" s="232"/>
      <c r="U563" s="232"/>
      <c r="V563" s="15"/>
      <c r="W563" s="15"/>
      <c r="X563" s="15"/>
      <c r="Y563" s="15"/>
      <c r="Z563" s="15"/>
      <c r="AA563" s="15"/>
    </row>
    <row r="564" spans="1:27" s="25" customFormat="1" ht="12" customHeight="1" x14ac:dyDescent="0.2">
      <c r="A564" s="232"/>
      <c r="B564" s="250"/>
      <c r="C564" s="286"/>
      <c r="D564" s="232"/>
      <c r="E564" s="232"/>
      <c r="F564" s="232"/>
      <c r="G564" s="232"/>
      <c r="H564" s="232"/>
      <c r="I564" s="232"/>
      <c r="J564" s="232"/>
      <c r="K564" s="232"/>
      <c r="L564" s="232"/>
      <c r="M564" s="232"/>
      <c r="N564" s="232"/>
      <c r="O564" s="232"/>
      <c r="P564" s="232"/>
      <c r="Q564" s="232"/>
      <c r="R564" s="232"/>
      <c r="S564" s="232"/>
      <c r="T564" s="232"/>
      <c r="U564" s="232"/>
      <c r="V564" s="15"/>
      <c r="W564" s="15"/>
      <c r="X564" s="15"/>
      <c r="Y564" s="15"/>
      <c r="Z564" s="15"/>
      <c r="AA564" s="15"/>
    </row>
    <row r="565" spans="1:27" s="25" customFormat="1" ht="12" customHeight="1" x14ac:dyDescent="0.2">
      <c r="A565" s="232"/>
      <c r="B565" s="250"/>
      <c r="C565" s="286"/>
      <c r="D565" s="232"/>
      <c r="E565" s="232"/>
      <c r="F565" s="232"/>
      <c r="G565" s="232"/>
      <c r="H565" s="232"/>
      <c r="I565" s="232"/>
      <c r="J565" s="232"/>
      <c r="K565" s="232"/>
      <c r="L565" s="232"/>
      <c r="M565" s="232"/>
      <c r="N565" s="232"/>
      <c r="O565" s="232"/>
      <c r="P565" s="232"/>
      <c r="Q565" s="232"/>
      <c r="R565" s="232"/>
      <c r="S565" s="232"/>
      <c r="T565" s="232"/>
      <c r="U565" s="232"/>
      <c r="V565" s="15"/>
      <c r="W565" s="15"/>
      <c r="X565" s="15"/>
      <c r="Y565" s="15"/>
      <c r="Z565" s="15"/>
      <c r="AA565" s="15"/>
    </row>
    <row r="566" spans="1:27" s="25" customFormat="1" ht="12" customHeight="1" x14ac:dyDescent="0.2">
      <c r="A566" s="232"/>
      <c r="B566" s="250"/>
      <c r="C566" s="286"/>
      <c r="D566" s="232"/>
      <c r="E566" s="232"/>
      <c r="F566" s="232"/>
      <c r="G566" s="232"/>
      <c r="H566" s="232"/>
      <c r="I566" s="232"/>
      <c r="J566" s="232"/>
      <c r="K566" s="232"/>
      <c r="L566" s="232"/>
      <c r="M566" s="232"/>
      <c r="N566" s="232"/>
      <c r="O566" s="232"/>
      <c r="P566" s="232"/>
      <c r="Q566" s="232"/>
      <c r="R566" s="232"/>
      <c r="S566" s="232"/>
      <c r="T566" s="232"/>
      <c r="U566" s="232"/>
      <c r="V566" s="15"/>
      <c r="W566" s="15"/>
      <c r="X566" s="15"/>
      <c r="Y566" s="15"/>
      <c r="Z566" s="15"/>
      <c r="AA566" s="15"/>
    </row>
    <row r="567" spans="1:27" s="25" customFormat="1" ht="12" customHeight="1" x14ac:dyDescent="0.2">
      <c r="A567" s="232"/>
      <c r="B567" s="250"/>
      <c r="C567" s="286"/>
      <c r="D567" s="232"/>
      <c r="E567" s="232"/>
      <c r="F567" s="232"/>
      <c r="G567" s="232"/>
      <c r="H567" s="232"/>
      <c r="I567" s="232"/>
      <c r="J567" s="232"/>
      <c r="K567" s="232"/>
      <c r="L567" s="232"/>
      <c r="M567" s="232"/>
      <c r="N567" s="232"/>
      <c r="O567" s="232"/>
      <c r="P567" s="232"/>
      <c r="Q567" s="232"/>
      <c r="R567" s="232"/>
      <c r="S567" s="232"/>
      <c r="T567" s="232"/>
      <c r="U567" s="232"/>
      <c r="V567" s="15"/>
      <c r="W567" s="15"/>
      <c r="X567" s="15"/>
      <c r="Y567" s="15"/>
      <c r="Z567" s="15"/>
      <c r="AA567" s="15"/>
    </row>
    <row r="568" spans="1:27" s="25" customFormat="1" ht="12" customHeight="1" x14ac:dyDescent="0.2">
      <c r="A568" s="232"/>
      <c r="B568" s="250"/>
      <c r="C568" s="286"/>
      <c r="D568" s="232"/>
      <c r="E568" s="232"/>
      <c r="F568" s="232"/>
      <c r="G568" s="232"/>
      <c r="H568" s="232"/>
      <c r="I568" s="232"/>
      <c r="J568" s="232"/>
      <c r="K568" s="232"/>
      <c r="L568" s="232"/>
      <c r="M568" s="232"/>
      <c r="N568" s="232"/>
      <c r="O568" s="232"/>
      <c r="P568" s="232"/>
      <c r="Q568" s="232"/>
      <c r="R568" s="232"/>
      <c r="S568" s="232"/>
      <c r="T568" s="232"/>
      <c r="U568" s="232"/>
      <c r="V568" s="15"/>
      <c r="W568" s="15"/>
      <c r="X568" s="15"/>
      <c r="Y568" s="15"/>
      <c r="Z568" s="15"/>
      <c r="AA568" s="15"/>
    </row>
    <row r="569" spans="1:27" s="25" customFormat="1" ht="12" customHeight="1" x14ac:dyDescent="0.2">
      <c r="A569" s="232"/>
      <c r="B569" s="250"/>
      <c r="C569" s="286"/>
      <c r="D569" s="232"/>
      <c r="E569" s="232"/>
      <c r="F569" s="232"/>
      <c r="G569" s="232"/>
      <c r="H569" s="232"/>
      <c r="I569" s="232"/>
      <c r="J569" s="232"/>
      <c r="K569" s="232"/>
      <c r="L569" s="232"/>
      <c r="M569" s="232"/>
      <c r="N569" s="232"/>
      <c r="O569" s="232"/>
      <c r="P569" s="232"/>
      <c r="Q569" s="232"/>
      <c r="R569" s="232"/>
      <c r="S569" s="232"/>
      <c r="T569" s="232"/>
      <c r="U569" s="232"/>
      <c r="V569" s="15"/>
      <c r="W569" s="15"/>
      <c r="X569" s="15"/>
      <c r="Y569" s="15"/>
      <c r="Z569" s="15"/>
      <c r="AA569" s="15"/>
    </row>
    <row r="570" spans="1:27" s="25" customFormat="1" ht="12" customHeight="1" x14ac:dyDescent="0.2">
      <c r="A570" s="232"/>
      <c r="B570" s="250"/>
      <c r="C570" s="286"/>
      <c r="D570" s="232"/>
      <c r="E570" s="232"/>
      <c r="F570" s="232"/>
      <c r="G570" s="232"/>
      <c r="H570" s="232"/>
      <c r="I570" s="232"/>
      <c r="J570" s="232"/>
      <c r="K570" s="232"/>
      <c r="L570" s="232"/>
      <c r="M570" s="232"/>
      <c r="N570" s="232"/>
      <c r="O570" s="232"/>
      <c r="P570" s="232"/>
      <c r="Q570" s="232"/>
      <c r="R570" s="232"/>
      <c r="S570" s="232"/>
      <c r="T570" s="232"/>
      <c r="U570" s="232"/>
      <c r="V570" s="15"/>
      <c r="W570" s="15"/>
      <c r="X570" s="15"/>
      <c r="Y570" s="15"/>
      <c r="Z570" s="15"/>
      <c r="AA570" s="15"/>
    </row>
    <row r="571" spans="1:27" s="25" customFormat="1" ht="12" customHeight="1" x14ac:dyDescent="0.2">
      <c r="A571" s="232"/>
      <c r="B571" s="250"/>
      <c r="C571" s="286"/>
      <c r="D571" s="232"/>
      <c r="E571" s="232"/>
      <c r="F571" s="232"/>
      <c r="G571" s="232"/>
      <c r="H571" s="232"/>
      <c r="I571" s="232"/>
      <c r="J571" s="232"/>
      <c r="K571" s="232"/>
      <c r="L571" s="232"/>
      <c r="M571" s="232"/>
      <c r="N571" s="232"/>
      <c r="O571" s="232"/>
      <c r="P571" s="232"/>
      <c r="Q571" s="232"/>
      <c r="R571" s="232"/>
      <c r="S571" s="232"/>
      <c r="T571" s="232"/>
      <c r="U571" s="232"/>
      <c r="V571" s="15"/>
      <c r="W571" s="15"/>
      <c r="X571" s="15"/>
      <c r="Y571" s="15"/>
      <c r="Z571" s="15"/>
      <c r="AA571" s="15"/>
    </row>
    <row r="572" spans="1:27" s="25" customFormat="1" ht="12" customHeight="1" x14ac:dyDescent="0.2">
      <c r="A572" s="232"/>
      <c r="B572" s="250"/>
      <c r="C572" s="286"/>
      <c r="D572" s="232"/>
      <c r="E572" s="232"/>
      <c r="F572" s="232"/>
      <c r="G572" s="232"/>
      <c r="H572" s="232"/>
      <c r="I572" s="232"/>
      <c r="J572" s="232"/>
      <c r="K572" s="232"/>
      <c r="L572" s="232"/>
      <c r="M572" s="232"/>
      <c r="N572" s="232"/>
      <c r="O572" s="232"/>
      <c r="P572" s="232"/>
      <c r="Q572" s="232"/>
      <c r="R572" s="232"/>
      <c r="S572" s="232"/>
      <c r="T572" s="232"/>
      <c r="U572" s="232"/>
      <c r="V572" s="15"/>
      <c r="W572" s="15"/>
      <c r="X572" s="15"/>
      <c r="Y572" s="15"/>
      <c r="Z572" s="15"/>
      <c r="AA572" s="15"/>
    </row>
    <row r="573" spans="1:27" s="25" customFormat="1" ht="12" customHeight="1" x14ac:dyDescent="0.2">
      <c r="A573" s="232"/>
      <c r="B573" s="250"/>
      <c r="C573" s="286"/>
      <c r="D573" s="232"/>
      <c r="E573" s="232"/>
      <c r="F573" s="232"/>
      <c r="G573" s="232"/>
      <c r="H573" s="232"/>
      <c r="I573" s="232"/>
      <c r="J573" s="232"/>
      <c r="K573" s="232"/>
      <c r="L573" s="232"/>
      <c r="M573" s="232"/>
      <c r="N573" s="232"/>
      <c r="O573" s="232"/>
      <c r="P573" s="232"/>
      <c r="Q573" s="232"/>
      <c r="R573" s="232"/>
      <c r="S573" s="232"/>
      <c r="T573" s="232"/>
      <c r="U573" s="232"/>
      <c r="V573" s="15"/>
      <c r="W573" s="15"/>
      <c r="X573" s="15"/>
      <c r="Y573" s="15"/>
      <c r="Z573" s="15"/>
      <c r="AA573" s="15"/>
    </row>
    <row r="574" spans="1:27" s="25" customFormat="1" ht="12" customHeight="1" x14ac:dyDescent="0.2">
      <c r="A574" s="232"/>
      <c r="B574" s="250"/>
      <c r="C574" s="286"/>
      <c r="D574" s="232"/>
      <c r="E574" s="232"/>
      <c r="F574" s="232"/>
      <c r="G574" s="232"/>
      <c r="H574" s="232"/>
      <c r="I574" s="232"/>
      <c r="J574" s="232"/>
      <c r="K574" s="232"/>
      <c r="L574" s="232"/>
      <c r="M574" s="232"/>
      <c r="N574" s="232"/>
      <c r="O574" s="232"/>
      <c r="P574" s="232"/>
      <c r="Q574" s="232"/>
      <c r="R574" s="232"/>
      <c r="S574" s="232"/>
      <c r="T574" s="232"/>
      <c r="U574" s="232"/>
      <c r="V574" s="15"/>
      <c r="W574" s="15"/>
      <c r="X574" s="15"/>
      <c r="Y574" s="15"/>
      <c r="Z574" s="15"/>
      <c r="AA574" s="15"/>
    </row>
    <row r="575" spans="1:27" s="25" customFormat="1" ht="12" customHeight="1" x14ac:dyDescent="0.2">
      <c r="A575" s="232"/>
      <c r="B575" s="250"/>
      <c r="C575" s="286"/>
      <c r="D575" s="232"/>
      <c r="E575" s="232"/>
      <c r="F575" s="232"/>
      <c r="G575" s="232"/>
      <c r="H575" s="232"/>
      <c r="I575" s="232"/>
      <c r="J575" s="232"/>
      <c r="K575" s="232"/>
      <c r="L575" s="232"/>
      <c r="M575" s="232"/>
      <c r="N575" s="232"/>
      <c r="O575" s="232"/>
      <c r="P575" s="232"/>
      <c r="Q575" s="232"/>
      <c r="R575" s="232"/>
      <c r="S575" s="232"/>
      <c r="T575" s="232"/>
      <c r="U575" s="232"/>
      <c r="V575" s="15"/>
      <c r="W575" s="15"/>
      <c r="X575" s="15"/>
      <c r="Y575" s="15"/>
      <c r="Z575" s="15"/>
      <c r="AA575" s="15"/>
    </row>
    <row r="576" spans="1:27" s="25" customFormat="1" ht="12" customHeight="1" x14ac:dyDescent="0.2">
      <c r="A576" s="232"/>
      <c r="B576" s="250"/>
      <c r="C576" s="286"/>
      <c r="D576" s="232"/>
      <c r="E576" s="232"/>
      <c r="F576" s="232"/>
      <c r="G576" s="232"/>
      <c r="H576" s="232"/>
      <c r="I576" s="232"/>
      <c r="J576" s="232"/>
      <c r="K576" s="232"/>
      <c r="L576" s="232"/>
      <c r="M576" s="232"/>
      <c r="N576" s="232"/>
      <c r="O576" s="232"/>
      <c r="P576" s="232"/>
      <c r="Q576" s="232"/>
      <c r="R576" s="232"/>
      <c r="S576" s="232"/>
      <c r="T576" s="232"/>
      <c r="U576" s="232"/>
      <c r="V576" s="15"/>
      <c r="W576" s="15"/>
      <c r="X576" s="15"/>
      <c r="Y576" s="15"/>
      <c r="Z576" s="15"/>
      <c r="AA576" s="15"/>
    </row>
    <row r="577" spans="1:27" s="25" customFormat="1" ht="12" customHeight="1" x14ac:dyDescent="0.2">
      <c r="A577" s="232"/>
      <c r="B577" s="250"/>
      <c r="C577" s="286"/>
      <c r="D577" s="232"/>
      <c r="E577" s="232"/>
      <c r="F577" s="232"/>
      <c r="G577" s="232"/>
      <c r="H577" s="232"/>
      <c r="I577" s="232"/>
      <c r="J577" s="232"/>
      <c r="K577" s="232"/>
      <c r="L577" s="232"/>
      <c r="M577" s="232"/>
      <c r="N577" s="232"/>
      <c r="O577" s="232"/>
      <c r="P577" s="232"/>
      <c r="Q577" s="232"/>
      <c r="R577" s="232"/>
      <c r="S577" s="232"/>
      <c r="T577" s="232"/>
      <c r="U577" s="232"/>
      <c r="V577" s="15"/>
      <c r="W577" s="15"/>
      <c r="X577" s="15"/>
      <c r="Y577" s="15"/>
      <c r="Z577" s="15"/>
      <c r="AA577" s="15"/>
    </row>
    <row r="578" spans="1:27" s="25" customFormat="1" ht="12" customHeight="1" x14ac:dyDescent="0.2">
      <c r="A578" s="232"/>
      <c r="B578" s="250"/>
      <c r="C578" s="286"/>
      <c r="D578" s="232"/>
      <c r="E578" s="232"/>
      <c r="F578" s="232"/>
      <c r="G578" s="232"/>
      <c r="H578" s="232"/>
      <c r="I578" s="232"/>
      <c r="J578" s="232"/>
      <c r="K578" s="232"/>
      <c r="L578" s="232"/>
      <c r="M578" s="232"/>
      <c r="N578" s="232"/>
      <c r="O578" s="232"/>
      <c r="P578" s="232"/>
      <c r="Q578" s="232"/>
      <c r="R578" s="232"/>
      <c r="S578" s="232"/>
      <c r="T578" s="232"/>
      <c r="U578" s="232"/>
      <c r="V578" s="15"/>
      <c r="W578" s="15"/>
      <c r="X578" s="15"/>
      <c r="Y578" s="15"/>
      <c r="Z578" s="15"/>
      <c r="AA578" s="15"/>
    </row>
    <row r="579" spans="1:27" s="25" customFormat="1" ht="12" customHeight="1" x14ac:dyDescent="0.2">
      <c r="A579" s="232"/>
      <c r="B579" s="250"/>
      <c r="C579" s="286"/>
      <c r="D579" s="232"/>
      <c r="E579" s="232"/>
      <c r="F579" s="232"/>
      <c r="G579" s="232"/>
      <c r="H579" s="232"/>
      <c r="I579" s="232"/>
      <c r="J579" s="232"/>
      <c r="K579" s="232"/>
      <c r="L579" s="232"/>
      <c r="M579" s="232"/>
      <c r="N579" s="232"/>
      <c r="O579" s="232"/>
      <c r="P579" s="232"/>
      <c r="Q579" s="232"/>
      <c r="R579" s="232"/>
      <c r="S579" s="232"/>
      <c r="T579" s="232"/>
      <c r="U579" s="232"/>
      <c r="V579" s="15"/>
      <c r="W579" s="15"/>
      <c r="X579" s="15"/>
      <c r="Y579" s="15"/>
      <c r="Z579" s="15"/>
      <c r="AA579" s="15"/>
    </row>
    <row r="580" spans="1:27" s="25" customFormat="1" ht="12" customHeight="1" x14ac:dyDescent="0.2">
      <c r="A580" s="232"/>
      <c r="B580" s="250"/>
      <c r="C580" s="286"/>
      <c r="D580" s="232"/>
      <c r="E580" s="232"/>
      <c r="F580" s="232"/>
      <c r="G580" s="232"/>
      <c r="H580" s="232"/>
      <c r="I580" s="232"/>
      <c r="J580" s="232"/>
      <c r="K580" s="232"/>
      <c r="L580" s="232"/>
      <c r="M580" s="232"/>
      <c r="N580" s="232"/>
      <c r="O580" s="232"/>
      <c r="P580" s="232"/>
      <c r="Q580" s="232"/>
      <c r="R580" s="232"/>
      <c r="S580" s="232"/>
      <c r="T580" s="232"/>
      <c r="U580" s="232"/>
      <c r="V580" s="15"/>
      <c r="W580" s="15"/>
      <c r="X580" s="15"/>
      <c r="Y580" s="15"/>
      <c r="Z580" s="15"/>
      <c r="AA580" s="15"/>
    </row>
    <row r="581" spans="1:27" s="25" customFormat="1" ht="12" customHeight="1" x14ac:dyDescent="0.2">
      <c r="A581" s="232"/>
      <c r="B581" s="250"/>
      <c r="C581" s="286"/>
      <c r="D581" s="232"/>
      <c r="E581" s="232"/>
      <c r="F581" s="232"/>
      <c r="G581" s="232"/>
      <c r="H581" s="232"/>
      <c r="I581" s="232"/>
      <c r="J581" s="232"/>
      <c r="K581" s="232"/>
      <c r="L581" s="232"/>
      <c r="M581" s="232"/>
      <c r="N581" s="232"/>
      <c r="O581" s="232"/>
      <c r="P581" s="232"/>
      <c r="Q581" s="232"/>
      <c r="R581" s="232"/>
      <c r="S581" s="232"/>
      <c r="T581" s="232"/>
      <c r="U581" s="232"/>
      <c r="V581" s="15"/>
      <c r="W581" s="15"/>
      <c r="X581" s="15"/>
      <c r="Y581" s="15"/>
      <c r="Z581" s="15"/>
      <c r="AA581" s="15"/>
    </row>
    <row r="582" spans="1:27" s="25" customFormat="1" ht="12" customHeight="1" x14ac:dyDescent="0.2">
      <c r="A582" s="232"/>
      <c r="B582" s="250"/>
      <c r="C582" s="286"/>
      <c r="D582" s="232"/>
      <c r="E582" s="232"/>
      <c r="F582" s="232"/>
      <c r="G582" s="232"/>
      <c r="H582" s="232"/>
      <c r="I582" s="232"/>
      <c r="J582" s="232"/>
      <c r="K582" s="232"/>
      <c r="L582" s="232"/>
      <c r="M582" s="232"/>
      <c r="N582" s="232"/>
      <c r="O582" s="232"/>
      <c r="P582" s="232"/>
      <c r="Q582" s="232"/>
      <c r="R582" s="232"/>
      <c r="S582" s="232"/>
      <c r="T582" s="232"/>
      <c r="U582" s="232"/>
      <c r="V582" s="15"/>
      <c r="W582" s="15"/>
      <c r="X582" s="15"/>
      <c r="Y582" s="15"/>
      <c r="Z582" s="15"/>
      <c r="AA582" s="15"/>
    </row>
    <row r="583" spans="1:27" s="25" customFormat="1" ht="12" customHeight="1" x14ac:dyDescent="0.2">
      <c r="A583" s="232"/>
      <c r="B583" s="250"/>
      <c r="C583" s="286"/>
      <c r="D583" s="232"/>
      <c r="E583" s="232"/>
      <c r="F583" s="232"/>
      <c r="G583" s="232"/>
      <c r="H583" s="232"/>
      <c r="I583" s="232"/>
      <c r="J583" s="232"/>
      <c r="K583" s="232"/>
      <c r="L583" s="232"/>
      <c r="M583" s="232"/>
      <c r="N583" s="232"/>
      <c r="O583" s="232"/>
      <c r="P583" s="232"/>
      <c r="Q583" s="232"/>
      <c r="R583" s="232"/>
      <c r="S583" s="232"/>
      <c r="T583" s="232"/>
      <c r="U583" s="232"/>
      <c r="V583" s="15"/>
      <c r="W583" s="15"/>
      <c r="X583" s="15"/>
      <c r="Y583" s="15"/>
      <c r="Z583" s="15"/>
      <c r="AA583" s="15"/>
    </row>
    <row r="584" spans="1:27" s="25" customFormat="1" ht="12" customHeight="1" x14ac:dyDescent="0.2">
      <c r="A584" s="232"/>
      <c r="B584" s="250"/>
      <c r="C584" s="286"/>
      <c r="D584" s="232"/>
      <c r="E584" s="232"/>
      <c r="F584" s="232"/>
      <c r="G584" s="232"/>
      <c r="H584" s="232"/>
      <c r="I584" s="232"/>
      <c r="J584" s="232"/>
      <c r="K584" s="232"/>
      <c r="L584" s="232"/>
      <c r="M584" s="232"/>
      <c r="N584" s="232"/>
      <c r="O584" s="232"/>
      <c r="P584" s="232"/>
      <c r="Q584" s="232"/>
      <c r="R584" s="232"/>
      <c r="S584" s="232"/>
      <c r="T584" s="232"/>
      <c r="U584" s="232"/>
      <c r="V584" s="15"/>
      <c r="W584" s="15"/>
      <c r="X584" s="15"/>
      <c r="Y584" s="15"/>
      <c r="Z584" s="15"/>
      <c r="AA584" s="15"/>
    </row>
    <row r="585" spans="1:27" s="25" customFormat="1" ht="12" customHeight="1" x14ac:dyDescent="0.2">
      <c r="A585" s="232"/>
      <c r="B585" s="250"/>
      <c r="C585" s="286"/>
      <c r="D585" s="232"/>
      <c r="E585" s="232"/>
      <c r="F585" s="232"/>
      <c r="G585" s="232"/>
      <c r="H585" s="232"/>
      <c r="I585" s="232"/>
      <c r="J585" s="232"/>
      <c r="K585" s="232"/>
      <c r="L585" s="232"/>
      <c r="M585" s="232"/>
      <c r="N585" s="232"/>
      <c r="O585" s="232"/>
      <c r="P585" s="232"/>
      <c r="Q585" s="232"/>
      <c r="R585" s="232"/>
      <c r="S585" s="232"/>
      <c r="T585" s="232"/>
      <c r="U585" s="232"/>
      <c r="V585" s="15"/>
      <c r="W585" s="15"/>
      <c r="X585" s="15"/>
      <c r="Y585" s="15"/>
      <c r="Z585" s="15"/>
      <c r="AA585" s="15"/>
    </row>
    <row r="586" spans="1:27" s="25" customFormat="1" ht="12" customHeight="1" x14ac:dyDescent="0.2">
      <c r="A586" s="232"/>
      <c r="B586" s="250"/>
      <c r="C586" s="286"/>
      <c r="D586" s="232"/>
      <c r="E586" s="232"/>
      <c r="F586" s="232"/>
      <c r="G586" s="232"/>
      <c r="H586" s="232"/>
      <c r="I586" s="232"/>
      <c r="J586" s="232"/>
      <c r="K586" s="232"/>
      <c r="L586" s="232"/>
      <c r="M586" s="232"/>
      <c r="N586" s="232"/>
      <c r="O586" s="232"/>
      <c r="P586" s="232"/>
      <c r="Q586" s="232"/>
      <c r="R586" s="232"/>
      <c r="S586" s="232"/>
      <c r="T586" s="232"/>
      <c r="U586" s="232"/>
      <c r="V586" s="15"/>
      <c r="W586" s="15"/>
      <c r="X586" s="15"/>
      <c r="Y586" s="15"/>
      <c r="Z586" s="15"/>
      <c r="AA586" s="15"/>
    </row>
    <row r="587" spans="1:27" s="25" customFormat="1" ht="12" customHeight="1" x14ac:dyDescent="0.2">
      <c r="A587" s="232"/>
      <c r="B587" s="250"/>
      <c r="C587" s="286"/>
      <c r="D587" s="232"/>
      <c r="E587" s="232"/>
      <c r="F587" s="232"/>
      <c r="G587" s="232"/>
      <c r="H587" s="232"/>
      <c r="I587" s="232"/>
      <c r="J587" s="232"/>
      <c r="K587" s="232"/>
      <c r="L587" s="232"/>
      <c r="M587" s="232"/>
      <c r="N587" s="232"/>
      <c r="O587" s="232"/>
      <c r="P587" s="232"/>
      <c r="Q587" s="232"/>
      <c r="R587" s="232"/>
      <c r="S587" s="232"/>
      <c r="T587" s="232"/>
      <c r="U587" s="232"/>
      <c r="V587" s="15"/>
      <c r="W587" s="15"/>
      <c r="X587" s="15"/>
      <c r="Y587" s="15"/>
      <c r="Z587" s="15"/>
      <c r="AA587" s="15"/>
    </row>
    <row r="588" spans="1:27" s="25" customFormat="1" ht="12" customHeight="1" x14ac:dyDescent="0.2">
      <c r="A588" s="232"/>
      <c r="B588" s="250"/>
      <c r="C588" s="286"/>
      <c r="D588" s="232"/>
      <c r="E588" s="232"/>
      <c r="F588" s="232"/>
      <c r="G588" s="232"/>
      <c r="H588" s="232"/>
      <c r="I588" s="232"/>
      <c r="J588" s="232"/>
      <c r="K588" s="232"/>
      <c r="L588" s="232"/>
      <c r="M588" s="232"/>
      <c r="N588" s="232"/>
      <c r="O588" s="232"/>
      <c r="P588" s="232"/>
      <c r="Q588" s="232"/>
      <c r="R588" s="232"/>
      <c r="S588" s="232"/>
      <c r="T588" s="232"/>
      <c r="U588" s="232"/>
      <c r="V588" s="15"/>
      <c r="W588" s="15"/>
      <c r="X588" s="15"/>
      <c r="Y588" s="15"/>
      <c r="Z588" s="15"/>
      <c r="AA588" s="15"/>
    </row>
    <row r="589" spans="1:27" s="25" customFormat="1" ht="12" customHeight="1" x14ac:dyDescent="0.2">
      <c r="A589" s="232"/>
      <c r="B589" s="250"/>
      <c r="C589" s="286"/>
      <c r="D589" s="232"/>
      <c r="E589" s="232"/>
      <c r="F589" s="232"/>
      <c r="G589" s="232"/>
      <c r="H589" s="232"/>
      <c r="I589" s="232"/>
      <c r="J589" s="232"/>
      <c r="K589" s="232"/>
      <c r="L589" s="232"/>
      <c r="M589" s="232"/>
      <c r="N589" s="232"/>
      <c r="O589" s="232"/>
      <c r="P589" s="232"/>
      <c r="Q589" s="232"/>
      <c r="R589" s="232"/>
      <c r="S589" s="232"/>
      <c r="T589" s="232"/>
      <c r="U589" s="232"/>
      <c r="V589" s="15"/>
      <c r="W589" s="15"/>
      <c r="X589" s="15"/>
      <c r="Y589" s="15"/>
      <c r="Z589" s="15"/>
      <c r="AA589" s="15"/>
    </row>
    <row r="590" spans="1:27" s="25" customFormat="1" ht="12" customHeight="1" x14ac:dyDescent="0.2">
      <c r="A590" s="232"/>
      <c r="B590" s="250"/>
      <c r="C590" s="286"/>
      <c r="D590" s="232"/>
      <c r="E590" s="232"/>
      <c r="F590" s="232"/>
      <c r="G590" s="232"/>
      <c r="H590" s="232"/>
      <c r="I590" s="232"/>
      <c r="J590" s="232"/>
      <c r="K590" s="232"/>
      <c r="L590" s="232"/>
      <c r="M590" s="232"/>
      <c r="N590" s="232"/>
      <c r="O590" s="232"/>
      <c r="P590" s="232"/>
      <c r="Q590" s="232"/>
      <c r="R590" s="232"/>
      <c r="S590" s="232"/>
      <c r="T590" s="232"/>
      <c r="U590" s="232"/>
      <c r="V590" s="15"/>
      <c r="W590" s="15"/>
      <c r="X590" s="15"/>
      <c r="Y590" s="15"/>
      <c r="Z590" s="15"/>
      <c r="AA590" s="15"/>
    </row>
    <row r="591" spans="1:27" s="25" customFormat="1" ht="12" customHeight="1" x14ac:dyDescent="0.2">
      <c r="A591" s="232"/>
      <c r="B591" s="250"/>
      <c r="C591" s="286"/>
      <c r="D591" s="232"/>
      <c r="E591" s="232"/>
      <c r="F591" s="232"/>
      <c r="G591" s="232"/>
      <c r="H591" s="232"/>
      <c r="I591" s="232"/>
      <c r="J591" s="232"/>
      <c r="K591" s="232"/>
      <c r="L591" s="232"/>
      <c r="M591" s="232"/>
      <c r="N591" s="232"/>
      <c r="O591" s="232"/>
      <c r="P591" s="232"/>
      <c r="Q591" s="232"/>
      <c r="R591" s="232"/>
      <c r="S591" s="232"/>
      <c r="T591" s="232"/>
      <c r="U591" s="232"/>
      <c r="V591" s="15"/>
      <c r="W591" s="15"/>
      <c r="X591" s="15"/>
      <c r="Y591" s="15"/>
      <c r="Z591" s="15"/>
      <c r="AA591" s="15"/>
    </row>
    <row r="592" spans="1:27" s="25" customFormat="1" ht="12" customHeight="1" x14ac:dyDescent="0.2">
      <c r="A592" s="232"/>
      <c r="B592" s="250"/>
      <c r="C592" s="286"/>
      <c r="D592" s="232"/>
      <c r="E592" s="232"/>
      <c r="F592" s="232"/>
      <c r="G592" s="232"/>
      <c r="H592" s="232"/>
      <c r="I592" s="232"/>
      <c r="J592" s="232"/>
      <c r="K592" s="232"/>
      <c r="L592" s="232"/>
      <c r="M592" s="232"/>
      <c r="N592" s="232"/>
      <c r="O592" s="232"/>
      <c r="P592" s="232"/>
      <c r="Q592" s="232"/>
      <c r="R592" s="232"/>
      <c r="S592" s="232"/>
      <c r="T592" s="232"/>
      <c r="U592" s="232"/>
      <c r="V592" s="15"/>
      <c r="W592" s="15"/>
      <c r="X592" s="15"/>
      <c r="Y592" s="15"/>
      <c r="Z592" s="15"/>
      <c r="AA592" s="15"/>
    </row>
    <row r="593" spans="1:27" s="25" customFormat="1" ht="12" customHeight="1" x14ac:dyDescent="0.2">
      <c r="A593" s="232"/>
      <c r="B593" s="250"/>
      <c r="C593" s="286"/>
      <c r="D593" s="232"/>
      <c r="E593" s="232"/>
      <c r="F593" s="232"/>
      <c r="G593" s="232"/>
      <c r="H593" s="232"/>
      <c r="I593" s="232"/>
      <c r="J593" s="232"/>
      <c r="K593" s="232"/>
      <c r="L593" s="232"/>
      <c r="M593" s="232"/>
      <c r="N593" s="232"/>
      <c r="O593" s="232"/>
      <c r="P593" s="232"/>
      <c r="Q593" s="232"/>
      <c r="R593" s="232"/>
      <c r="S593" s="232"/>
      <c r="T593" s="232"/>
      <c r="U593" s="232"/>
      <c r="V593" s="15"/>
      <c r="W593" s="15"/>
      <c r="X593" s="15"/>
      <c r="Y593" s="15"/>
      <c r="Z593" s="15"/>
      <c r="AA593" s="15"/>
    </row>
    <row r="594" spans="1:27" s="25" customFormat="1" ht="12" customHeight="1" x14ac:dyDescent="0.2">
      <c r="A594" s="232"/>
      <c r="B594" s="250"/>
      <c r="C594" s="286"/>
      <c r="D594" s="232"/>
      <c r="E594" s="232"/>
      <c r="F594" s="232"/>
      <c r="G594" s="232"/>
      <c r="H594" s="232"/>
      <c r="I594" s="232"/>
      <c r="J594" s="232"/>
      <c r="K594" s="232"/>
      <c r="L594" s="232"/>
      <c r="M594" s="232"/>
      <c r="N594" s="232"/>
      <c r="O594" s="232"/>
      <c r="P594" s="232"/>
      <c r="Q594" s="232"/>
      <c r="R594" s="232"/>
      <c r="S594" s="232"/>
      <c r="T594" s="232"/>
      <c r="U594" s="232"/>
      <c r="V594" s="15"/>
      <c r="W594" s="15"/>
      <c r="X594" s="15"/>
      <c r="Y594" s="15"/>
      <c r="Z594" s="15"/>
      <c r="AA594" s="15"/>
    </row>
    <row r="595" spans="1:27" s="25" customFormat="1" ht="12" customHeight="1" x14ac:dyDescent="0.2">
      <c r="A595" s="232"/>
      <c r="B595" s="250"/>
      <c r="C595" s="286"/>
      <c r="D595" s="232"/>
      <c r="E595" s="232"/>
      <c r="F595" s="232"/>
      <c r="G595" s="232"/>
      <c r="H595" s="232"/>
      <c r="I595" s="232"/>
      <c r="J595" s="232"/>
      <c r="K595" s="232"/>
      <c r="L595" s="232"/>
      <c r="M595" s="232"/>
      <c r="N595" s="232"/>
      <c r="O595" s="232"/>
      <c r="P595" s="232"/>
      <c r="Q595" s="232"/>
      <c r="R595" s="232"/>
      <c r="S595" s="232"/>
      <c r="T595" s="232"/>
      <c r="U595" s="232"/>
      <c r="V595" s="15"/>
      <c r="W595" s="15"/>
      <c r="X595" s="15"/>
      <c r="Y595" s="15"/>
      <c r="Z595" s="15"/>
      <c r="AA595" s="15"/>
    </row>
    <row r="596" spans="1:27" s="25" customFormat="1" ht="12" customHeight="1" x14ac:dyDescent="0.2">
      <c r="A596" s="232"/>
      <c r="B596" s="250"/>
      <c r="C596" s="286"/>
      <c r="D596" s="232"/>
      <c r="E596" s="232"/>
      <c r="F596" s="232"/>
      <c r="G596" s="232"/>
      <c r="H596" s="232"/>
      <c r="I596" s="232"/>
      <c r="J596" s="232"/>
      <c r="K596" s="232"/>
      <c r="L596" s="232"/>
      <c r="M596" s="232"/>
      <c r="N596" s="232"/>
      <c r="O596" s="232"/>
      <c r="P596" s="232"/>
      <c r="Q596" s="232"/>
      <c r="R596" s="232"/>
      <c r="S596" s="232"/>
      <c r="T596" s="232"/>
      <c r="U596" s="232"/>
      <c r="V596" s="15"/>
      <c r="W596" s="15"/>
      <c r="X596" s="15"/>
      <c r="Y596" s="15"/>
      <c r="Z596" s="15"/>
      <c r="AA596" s="15"/>
    </row>
    <row r="597" spans="1:27" s="25" customFormat="1" ht="12" customHeight="1" x14ac:dyDescent="0.2">
      <c r="A597" s="232"/>
      <c r="B597" s="250"/>
      <c r="C597" s="286"/>
      <c r="D597" s="232"/>
      <c r="E597" s="232"/>
      <c r="F597" s="232"/>
      <c r="G597" s="232"/>
      <c r="H597" s="232"/>
      <c r="I597" s="232"/>
      <c r="J597" s="232"/>
      <c r="K597" s="232"/>
      <c r="L597" s="232"/>
      <c r="M597" s="232"/>
      <c r="N597" s="232"/>
      <c r="O597" s="232"/>
      <c r="P597" s="232"/>
      <c r="Q597" s="232"/>
      <c r="R597" s="232"/>
      <c r="S597" s="232"/>
      <c r="T597" s="232"/>
      <c r="U597" s="232"/>
      <c r="V597" s="15"/>
      <c r="W597" s="15"/>
      <c r="X597" s="15"/>
      <c r="Y597" s="15"/>
      <c r="Z597" s="15"/>
      <c r="AA597" s="15"/>
    </row>
    <row r="598" spans="1:27" s="25" customFormat="1" ht="12" customHeight="1" x14ac:dyDescent="0.2">
      <c r="A598" s="232"/>
      <c r="B598" s="250"/>
      <c r="C598" s="286"/>
      <c r="D598" s="232"/>
      <c r="E598" s="232"/>
      <c r="F598" s="232"/>
      <c r="G598" s="232"/>
      <c r="H598" s="232"/>
      <c r="I598" s="232"/>
      <c r="J598" s="232"/>
      <c r="K598" s="232"/>
      <c r="L598" s="232"/>
      <c r="M598" s="232"/>
      <c r="N598" s="232"/>
      <c r="O598" s="232"/>
      <c r="P598" s="232"/>
      <c r="Q598" s="232"/>
      <c r="R598" s="232"/>
      <c r="S598" s="232"/>
      <c r="T598" s="232"/>
      <c r="U598" s="232"/>
      <c r="V598" s="15"/>
      <c r="W598" s="15"/>
      <c r="X598" s="15"/>
      <c r="Y598" s="15"/>
      <c r="Z598" s="15"/>
      <c r="AA598" s="15"/>
    </row>
    <row r="599" spans="1:27" s="25" customFormat="1" ht="12" customHeight="1" x14ac:dyDescent="0.2">
      <c r="A599" s="232"/>
      <c r="B599" s="250"/>
      <c r="C599" s="286"/>
      <c r="D599" s="232"/>
      <c r="E599" s="232"/>
      <c r="F599" s="232"/>
      <c r="G599" s="232"/>
      <c r="H599" s="232"/>
      <c r="I599" s="232"/>
      <c r="J599" s="232"/>
      <c r="K599" s="232"/>
      <c r="L599" s="232"/>
      <c r="M599" s="232"/>
      <c r="N599" s="232"/>
      <c r="O599" s="232"/>
      <c r="P599" s="232"/>
      <c r="Q599" s="232"/>
      <c r="R599" s="232"/>
      <c r="S599" s="232"/>
      <c r="T599" s="232"/>
      <c r="U599" s="232"/>
      <c r="V599" s="15"/>
      <c r="W599" s="15"/>
      <c r="X599" s="15"/>
      <c r="Y599" s="15"/>
      <c r="Z599" s="15"/>
      <c r="AA599" s="15"/>
    </row>
    <row r="600" spans="1:27" s="25" customFormat="1" ht="12" customHeight="1" x14ac:dyDescent="0.2">
      <c r="A600" s="232"/>
      <c r="B600" s="250"/>
      <c r="C600" s="286"/>
      <c r="D600" s="232"/>
      <c r="E600" s="232"/>
      <c r="F600" s="232"/>
      <c r="G600" s="232"/>
      <c r="H600" s="232"/>
      <c r="I600" s="232"/>
      <c r="J600" s="232"/>
      <c r="K600" s="232"/>
      <c r="L600" s="232"/>
      <c r="M600" s="232"/>
      <c r="N600" s="232"/>
      <c r="O600" s="232"/>
      <c r="P600" s="232"/>
      <c r="Q600" s="232"/>
      <c r="R600" s="232"/>
      <c r="S600" s="232"/>
      <c r="T600" s="232"/>
      <c r="U600" s="232"/>
      <c r="V600" s="15"/>
      <c r="W600" s="15"/>
      <c r="X600" s="15"/>
      <c r="Y600" s="15"/>
      <c r="Z600" s="15"/>
      <c r="AA600" s="15"/>
    </row>
    <row r="601" spans="1:27" s="25" customFormat="1" ht="12" customHeight="1" x14ac:dyDescent="0.2">
      <c r="A601" s="232"/>
      <c r="B601" s="250"/>
      <c r="C601" s="286"/>
      <c r="D601" s="232"/>
      <c r="E601" s="232"/>
      <c r="F601" s="232"/>
      <c r="G601" s="232"/>
      <c r="H601" s="232"/>
      <c r="I601" s="232"/>
      <c r="J601" s="232"/>
      <c r="K601" s="232"/>
      <c r="L601" s="232"/>
      <c r="M601" s="232"/>
      <c r="N601" s="232"/>
      <c r="O601" s="232"/>
      <c r="P601" s="232"/>
      <c r="Q601" s="232"/>
      <c r="R601" s="232"/>
      <c r="S601" s="232"/>
      <c r="T601" s="232"/>
      <c r="U601" s="232"/>
      <c r="V601" s="15"/>
      <c r="W601" s="15"/>
      <c r="X601" s="15"/>
      <c r="Y601" s="15"/>
      <c r="Z601" s="15"/>
      <c r="AA601" s="15"/>
    </row>
    <row r="602" spans="1:27" s="25" customFormat="1" ht="12" customHeight="1" x14ac:dyDescent="0.2">
      <c r="A602" s="232"/>
      <c r="B602" s="250"/>
      <c r="C602" s="286"/>
      <c r="D602" s="232"/>
      <c r="E602" s="232"/>
      <c r="F602" s="232"/>
      <c r="G602" s="232"/>
      <c r="H602" s="232"/>
      <c r="I602" s="232"/>
      <c r="J602" s="232"/>
      <c r="K602" s="232"/>
      <c r="L602" s="232"/>
      <c r="M602" s="232"/>
      <c r="N602" s="232"/>
      <c r="O602" s="232"/>
      <c r="P602" s="232"/>
      <c r="Q602" s="232"/>
      <c r="R602" s="232"/>
      <c r="S602" s="232"/>
      <c r="T602" s="232"/>
      <c r="U602" s="232"/>
      <c r="V602" s="15"/>
      <c r="W602" s="15"/>
      <c r="X602" s="15"/>
      <c r="Y602" s="15"/>
      <c r="Z602" s="15"/>
      <c r="AA602" s="15"/>
    </row>
    <row r="603" spans="1:27" s="25" customFormat="1" ht="12" customHeight="1" x14ac:dyDescent="0.2">
      <c r="A603" s="232"/>
      <c r="B603" s="250"/>
      <c r="C603" s="286"/>
      <c r="D603" s="232"/>
      <c r="E603" s="232"/>
      <c r="F603" s="232"/>
      <c r="G603" s="232"/>
      <c r="H603" s="232"/>
      <c r="I603" s="232"/>
      <c r="J603" s="232"/>
      <c r="K603" s="232"/>
      <c r="L603" s="232"/>
      <c r="M603" s="232"/>
      <c r="N603" s="232"/>
      <c r="O603" s="232"/>
      <c r="P603" s="232"/>
      <c r="Q603" s="232"/>
      <c r="R603" s="232"/>
      <c r="S603" s="232"/>
      <c r="T603" s="232"/>
      <c r="U603" s="232"/>
      <c r="V603" s="15"/>
      <c r="W603" s="15"/>
      <c r="X603" s="15"/>
      <c r="Y603" s="15"/>
      <c r="Z603" s="15"/>
      <c r="AA603" s="15"/>
    </row>
    <row r="604" spans="1:27" s="25" customFormat="1" ht="12" customHeight="1" x14ac:dyDescent="0.2">
      <c r="A604" s="232"/>
      <c r="B604" s="250"/>
      <c r="C604" s="286"/>
      <c r="D604" s="232"/>
      <c r="E604" s="232"/>
      <c r="F604" s="232"/>
      <c r="G604" s="232"/>
      <c r="H604" s="232"/>
      <c r="I604" s="232"/>
      <c r="J604" s="232"/>
      <c r="K604" s="232"/>
      <c r="L604" s="232"/>
      <c r="M604" s="232"/>
      <c r="N604" s="232"/>
      <c r="O604" s="232"/>
      <c r="P604" s="232"/>
      <c r="Q604" s="232"/>
      <c r="R604" s="232"/>
      <c r="S604" s="232"/>
      <c r="T604" s="232"/>
      <c r="U604" s="232"/>
      <c r="V604" s="15"/>
      <c r="W604" s="15"/>
      <c r="X604" s="15"/>
      <c r="Y604" s="15"/>
      <c r="Z604" s="15"/>
      <c r="AA604" s="15"/>
    </row>
    <row r="605" spans="1:27" s="25" customFormat="1" ht="12" customHeight="1" x14ac:dyDescent="0.2">
      <c r="A605" s="232"/>
      <c r="B605" s="250"/>
      <c r="C605" s="286"/>
      <c r="D605" s="232"/>
      <c r="E605" s="232"/>
      <c r="F605" s="232"/>
      <c r="G605" s="232"/>
      <c r="H605" s="232"/>
      <c r="I605" s="232"/>
      <c r="J605" s="232"/>
      <c r="K605" s="232"/>
      <c r="L605" s="232"/>
      <c r="M605" s="232"/>
      <c r="N605" s="232"/>
      <c r="O605" s="232"/>
      <c r="P605" s="232"/>
      <c r="Q605" s="232"/>
      <c r="R605" s="232"/>
      <c r="S605" s="232"/>
      <c r="T605" s="232"/>
      <c r="U605" s="232"/>
      <c r="V605" s="15"/>
      <c r="W605" s="15"/>
      <c r="X605" s="15"/>
      <c r="Y605" s="15"/>
      <c r="Z605" s="15"/>
      <c r="AA605" s="15"/>
    </row>
    <row r="606" spans="1:27" s="25" customFormat="1" ht="12" customHeight="1" x14ac:dyDescent="0.2">
      <c r="A606" s="232"/>
      <c r="B606" s="250"/>
      <c r="C606" s="286"/>
      <c r="D606" s="232"/>
      <c r="E606" s="232"/>
      <c r="F606" s="232"/>
      <c r="G606" s="232"/>
      <c r="H606" s="232"/>
      <c r="I606" s="232"/>
      <c r="J606" s="232"/>
      <c r="K606" s="232"/>
      <c r="L606" s="232"/>
      <c r="M606" s="232"/>
      <c r="N606" s="232"/>
      <c r="O606" s="232"/>
      <c r="P606" s="232"/>
      <c r="Q606" s="232"/>
      <c r="R606" s="232"/>
      <c r="S606" s="232"/>
      <c r="T606" s="232"/>
      <c r="U606" s="232"/>
      <c r="V606" s="15"/>
      <c r="W606" s="15"/>
      <c r="X606" s="15"/>
      <c r="Y606" s="15"/>
      <c r="Z606" s="15"/>
      <c r="AA606" s="15"/>
    </row>
    <row r="607" spans="1:27" s="25" customFormat="1" ht="12" customHeight="1" x14ac:dyDescent="0.2">
      <c r="A607" s="232"/>
      <c r="B607" s="250"/>
      <c r="C607" s="286"/>
      <c r="D607" s="232"/>
      <c r="E607" s="232"/>
      <c r="F607" s="232"/>
      <c r="G607" s="232"/>
      <c r="H607" s="232"/>
      <c r="I607" s="232"/>
      <c r="J607" s="232"/>
      <c r="K607" s="232"/>
      <c r="L607" s="232"/>
      <c r="M607" s="232"/>
      <c r="N607" s="232"/>
      <c r="O607" s="232"/>
      <c r="P607" s="232"/>
      <c r="Q607" s="232"/>
      <c r="R607" s="232"/>
      <c r="S607" s="232"/>
      <c r="T607" s="232"/>
      <c r="U607" s="232"/>
      <c r="V607" s="15"/>
      <c r="W607" s="15"/>
      <c r="X607" s="15"/>
      <c r="Y607" s="15"/>
      <c r="Z607" s="15"/>
      <c r="AA607" s="15"/>
    </row>
    <row r="608" spans="1:27" s="25" customFormat="1" ht="12" customHeight="1" x14ac:dyDescent="0.2">
      <c r="A608" s="232"/>
      <c r="B608" s="250"/>
      <c r="C608" s="286"/>
      <c r="D608" s="232"/>
      <c r="E608" s="232"/>
      <c r="F608" s="232"/>
      <c r="G608" s="232"/>
      <c r="H608" s="232"/>
      <c r="I608" s="232"/>
      <c r="J608" s="232"/>
      <c r="K608" s="232"/>
      <c r="L608" s="232"/>
      <c r="M608" s="232"/>
      <c r="N608" s="232"/>
      <c r="O608" s="232"/>
      <c r="P608" s="232"/>
      <c r="Q608" s="232"/>
      <c r="R608" s="232"/>
      <c r="S608" s="232"/>
      <c r="T608" s="232"/>
      <c r="U608" s="232"/>
      <c r="V608" s="15"/>
      <c r="W608" s="15"/>
      <c r="X608" s="15"/>
      <c r="Y608" s="15"/>
      <c r="Z608" s="15"/>
      <c r="AA608" s="15"/>
    </row>
    <row r="609" spans="1:27" s="25" customFormat="1" ht="12" customHeight="1" x14ac:dyDescent="0.2">
      <c r="A609" s="232"/>
      <c r="B609" s="250"/>
      <c r="C609" s="286"/>
      <c r="D609" s="232"/>
      <c r="E609" s="232"/>
      <c r="F609" s="232"/>
      <c r="G609" s="232"/>
      <c r="H609" s="232"/>
      <c r="I609" s="232"/>
      <c r="J609" s="232"/>
      <c r="K609" s="232"/>
      <c r="L609" s="232"/>
      <c r="M609" s="232"/>
      <c r="N609" s="232"/>
      <c r="O609" s="232"/>
      <c r="P609" s="232"/>
      <c r="Q609" s="232"/>
      <c r="R609" s="232"/>
      <c r="S609" s="232"/>
      <c r="T609" s="232"/>
      <c r="U609" s="232"/>
      <c r="V609" s="15"/>
      <c r="W609" s="15"/>
      <c r="X609" s="15"/>
      <c r="Y609" s="15"/>
      <c r="Z609" s="15"/>
      <c r="AA609" s="15"/>
    </row>
    <row r="610" spans="1:27" s="25" customFormat="1" ht="12" customHeight="1" x14ac:dyDescent="0.2">
      <c r="A610" s="232"/>
      <c r="B610" s="250"/>
      <c r="C610" s="286"/>
      <c r="D610" s="232"/>
      <c r="E610" s="232"/>
      <c r="F610" s="232"/>
      <c r="G610" s="232"/>
      <c r="H610" s="232"/>
      <c r="I610" s="232"/>
      <c r="J610" s="232"/>
      <c r="K610" s="232"/>
      <c r="L610" s="232"/>
      <c r="M610" s="232"/>
      <c r="N610" s="232"/>
      <c r="O610" s="232"/>
      <c r="P610" s="232"/>
      <c r="Q610" s="232"/>
      <c r="R610" s="232"/>
      <c r="S610" s="232"/>
      <c r="T610" s="232"/>
      <c r="U610" s="232"/>
      <c r="V610" s="15"/>
      <c r="W610" s="15"/>
      <c r="X610" s="15"/>
      <c r="Y610" s="15"/>
      <c r="Z610" s="15"/>
      <c r="AA610" s="15"/>
    </row>
    <row r="611" spans="1:27" s="25" customFormat="1" ht="12" customHeight="1" x14ac:dyDescent="0.2">
      <c r="A611" s="232"/>
      <c r="B611" s="250"/>
      <c r="C611" s="286"/>
      <c r="D611" s="232"/>
      <c r="E611" s="232"/>
      <c r="F611" s="232"/>
      <c r="G611" s="232"/>
      <c r="H611" s="232"/>
      <c r="I611" s="232"/>
      <c r="J611" s="232"/>
      <c r="K611" s="232"/>
      <c r="L611" s="232"/>
      <c r="M611" s="232"/>
      <c r="N611" s="232"/>
      <c r="O611" s="232"/>
      <c r="P611" s="232"/>
      <c r="Q611" s="232"/>
      <c r="R611" s="232"/>
      <c r="S611" s="232"/>
      <c r="T611" s="232"/>
      <c r="U611" s="232"/>
      <c r="V611" s="15"/>
      <c r="W611" s="15"/>
      <c r="X611" s="15"/>
      <c r="Y611" s="15"/>
      <c r="Z611" s="15"/>
      <c r="AA611" s="15"/>
    </row>
    <row r="612" spans="1:27" s="25" customFormat="1" ht="12" customHeight="1" x14ac:dyDescent="0.2">
      <c r="A612" s="232"/>
      <c r="B612" s="250"/>
      <c r="C612" s="286"/>
      <c r="D612" s="232"/>
      <c r="E612" s="232"/>
      <c r="F612" s="232"/>
      <c r="G612" s="232"/>
      <c r="H612" s="232"/>
      <c r="I612" s="232"/>
      <c r="J612" s="232"/>
      <c r="K612" s="232"/>
      <c r="L612" s="232"/>
      <c r="M612" s="232"/>
      <c r="N612" s="232"/>
      <c r="O612" s="232"/>
      <c r="P612" s="232"/>
      <c r="Q612" s="232"/>
      <c r="R612" s="232"/>
      <c r="S612" s="232"/>
      <c r="T612" s="232"/>
      <c r="U612" s="232"/>
      <c r="V612" s="15"/>
      <c r="W612" s="15"/>
      <c r="X612" s="15"/>
      <c r="Y612" s="15"/>
      <c r="Z612" s="15"/>
      <c r="AA612" s="15"/>
    </row>
    <row r="613" spans="1:27" s="25" customFormat="1" ht="12" customHeight="1" x14ac:dyDescent="0.2">
      <c r="A613" s="232"/>
      <c r="B613" s="250"/>
      <c r="C613" s="286"/>
      <c r="D613" s="232"/>
      <c r="E613" s="232"/>
      <c r="F613" s="232"/>
      <c r="G613" s="232"/>
      <c r="H613" s="232"/>
      <c r="I613" s="232"/>
      <c r="J613" s="232"/>
      <c r="K613" s="232"/>
      <c r="L613" s="232"/>
      <c r="M613" s="232"/>
      <c r="N613" s="232"/>
      <c r="O613" s="232"/>
      <c r="P613" s="232"/>
      <c r="Q613" s="232"/>
      <c r="R613" s="232"/>
      <c r="S613" s="232"/>
      <c r="T613" s="232"/>
      <c r="U613" s="232"/>
      <c r="V613" s="15"/>
      <c r="W613" s="15"/>
      <c r="X613" s="15"/>
      <c r="Y613" s="15"/>
      <c r="Z613" s="15"/>
      <c r="AA613" s="15"/>
    </row>
    <row r="614" spans="1:27" s="25" customFormat="1" ht="12" customHeight="1" x14ac:dyDescent="0.2">
      <c r="A614" s="232"/>
      <c r="B614" s="250"/>
      <c r="C614" s="286"/>
      <c r="D614" s="232"/>
      <c r="E614" s="232"/>
      <c r="F614" s="232"/>
      <c r="G614" s="232"/>
      <c r="H614" s="232"/>
      <c r="I614" s="232"/>
      <c r="J614" s="232"/>
      <c r="K614" s="232"/>
      <c r="L614" s="232"/>
      <c r="M614" s="232"/>
      <c r="N614" s="232"/>
      <c r="O614" s="232"/>
      <c r="P614" s="232"/>
      <c r="Q614" s="232"/>
      <c r="R614" s="232"/>
      <c r="S614" s="232"/>
      <c r="T614" s="232"/>
      <c r="U614" s="232"/>
      <c r="V614" s="15"/>
      <c r="W614" s="15"/>
      <c r="X614" s="15"/>
      <c r="Y614" s="15"/>
      <c r="Z614" s="15"/>
      <c r="AA614" s="15"/>
    </row>
    <row r="615" spans="1:27" s="25" customFormat="1" ht="12" customHeight="1" x14ac:dyDescent="0.2">
      <c r="A615" s="232"/>
      <c r="B615" s="250"/>
      <c r="C615" s="286"/>
      <c r="D615" s="232"/>
      <c r="E615" s="232"/>
      <c r="F615" s="232"/>
      <c r="G615" s="232"/>
      <c r="H615" s="232"/>
      <c r="I615" s="232"/>
      <c r="J615" s="232"/>
      <c r="K615" s="232"/>
      <c r="L615" s="232"/>
      <c r="M615" s="232"/>
      <c r="N615" s="232"/>
      <c r="O615" s="232"/>
      <c r="P615" s="232"/>
      <c r="Q615" s="232"/>
      <c r="R615" s="232"/>
      <c r="S615" s="232"/>
      <c r="T615" s="232"/>
      <c r="U615" s="232"/>
      <c r="V615" s="15"/>
      <c r="W615" s="15"/>
      <c r="X615" s="15"/>
      <c r="Y615" s="15"/>
      <c r="Z615" s="15"/>
      <c r="AA615" s="15"/>
    </row>
    <row r="616" spans="1:27" s="25" customFormat="1" ht="12" customHeight="1" x14ac:dyDescent="0.2">
      <c r="A616" s="232"/>
      <c r="B616" s="250"/>
      <c r="C616" s="286"/>
      <c r="D616" s="232"/>
      <c r="E616" s="232"/>
      <c r="F616" s="232"/>
      <c r="G616" s="232"/>
      <c r="H616" s="232"/>
      <c r="I616" s="232"/>
      <c r="J616" s="232"/>
      <c r="K616" s="232"/>
      <c r="L616" s="232"/>
      <c r="M616" s="232"/>
      <c r="N616" s="232"/>
      <c r="O616" s="232"/>
      <c r="P616" s="232"/>
      <c r="Q616" s="232"/>
      <c r="R616" s="232"/>
      <c r="S616" s="232"/>
      <c r="T616" s="232"/>
      <c r="U616" s="232"/>
      <c r="V616" s="15"/>
      <c r="W616" s="15"/>
      <c r="X616" s="15"/>
      <c r="Y616" s="15"/>
      <c r="Z616" s="15"/>
      <c r="AA616" s="15"/>
    </row>
    <row r="617" spans="1:27" s="25" customFormat="1" ht="12" customHeight="1" x14ac:dyDescent="0.2">
      <c r="A617" s="232"/>
      <c r="B617" s="250"/>
      <c r="C617" s="286"/>
      <c r="D617" s="232"/>
      <c r="E617" s="232"/>
      <c r="F617" s="232"/>
      <c r="G617" s="232"/>
      <c r="H617" s="232"/>
      <c r="I617" s="232"/>
      <c r="J617" s="232"/>
      <c r="K617" s="232"/>
      <c r="L617" s="232"/>
      <c r="M617" s="232"/>
      <c r="N617" s="232"/>
      <c r="O617" s="232"/>
      <c r="P617" s="232"/>
      <c r="Q617" s="232"/>
      <c r="R617" s="232"/>
      <c r="S617" s="232"/>
      <c r="T617" s="232"/>
      <c r="U617" s="232"/>
      <c r="V617" s="15"/>
      <c r="W617" s="15"/>
      <c r="X617" s="15"/>
      <c r="Y617" s="15"/>
      <c r="Z617" s="15"/>
      <c r="AA617" s="15"/>
    </row>
    <row r="618" spans="1:27" s="25" customFormat="1" ht="12" customHeight="1" x14ac:dyDescent="0.2">
      <c r="A618" s="232"/>
      <c r="B618" s="250"/>
      <c r="C618" s="286"/>
      <c r="D618" s="232"/>
      <c r="E618" s="232"/>
      <c r="F618" s="232"/>
      <c r="G618" s="232"/>
      <c r="H618" s="232"/>
      <c r="I618" s="232"/>
      <c r="J618" s="232"/>
      <c r="K618" s="232"/>
      <c r="L618" s="232"/>
      <c r="M618" s="232"/>
      <c r="N618" s="232"/>
      <c r="O618" s="232"/>
      <c r="P618" s="232"/>
      <c r="Q618" s="232"/>
      <c r="R618" s="232"/>
      <c r="S618" s="232"/>
      <c r="T618" s="232"/>
      <c r="U618" s="232"/>
      <c r="V618" s="15"/>
      <c r="W618" s="15"/>
      <c r="X618" s="15"/>
      <c r="Y618" s="15"/>
      <c r="Z618" s="15"/>
      <c r="AA618" s="15"/>
    </row>
    <row r="619" spans="1:27" s="25" customFormat="1" ht="12" customHeight="1" x14ac:dyDescent="0.2">
      <c r="A619" s="232"/>
      <c r="B619" s="250"/>
      <c r="C619" s="286"/>
      <c r="D619" s="232"/>
      <c r="E619" s="232"/>
      <c r="F619" s="232"/>
      <c r="G619" s="232"/>
      <c r="H619" s="232"/>
      <c r="I619" s="232"/>
      <c r="J619" s="232"/>
      <c r="K619" s="232"/>
      <c r="L619" s="232"/>
      <c r="M619" s="232"/>
      <c r="N619" s="232"/>
      <c r="O619" s="232"/>
      <c r="P619" s="232"/>
      <c r="Q619" s="232"/>
      <c r="R619" s="232"/>
      <c r="S619" s="232"/>
      <c r="T619" s="232"/>
      <c r="U619" s="232"/>
      <c r="V619" s="15"/>
      <c r="W619" s="15"/>
      <c r="X619" s="15"/>
      <c r="Y619" s="15"/>
      <c r="Z619" s="15"/>
      <c r="AA619" s="15"/>
    </row>
    <row r="620" spans="1:27" s="25" customFormat="1" ht="12" customHeight="1" x14ac:dyDescent="0.2">
      <c r="A620" s="232"/>
      <c r="B620" s="250"/>
      <c r="C620" s="286"/>
      <c r="D620" s="232"/>
      <c r="E620" s="232"/>
      <c r="F620" s="232"/>
      <c r="G620" s="232"/>
      <c r="H620" s="232"/>
      <c r="I620" s="232"/>
      <c r="J620" s="232"/>
      <c r="K620" s="232"/>
      <c r="L620" s="232"/>
      <c r="M620" s="232"/>
      <c r="N620" s="232"/>
      <c r="O620" s="232"/>
      <c r="P620" s="232"/>
      <c r="Q620" s="232"/>
      <c r="R620" s="232"/>
      <c r="S620" s="232"/>
      <c r="T620" s="232"/>
      <c r="U620" s="232"/>
      <c r="V620" s="15"/>
      <c r="W620" s="15"/>
      <c r="X620" s="15"/>
      <c r="Y620" s="15"/>
      <c r="Z620" s="15"/>
      <c r="AA620" s="15"/>
    </row>
    <row r="621" spans="1:27" s="25" customFormat="1" ht="12" customHeight="1" x14ac:dyDescent="0.2">
      <c r="A621" s="232"/>
      <c r="B621" s="250"/>
      <c r="C621" s="286"/>
      <c r="D621" s="232"/>
      <c r="E621" s="232"/>
      <c r="F621" s="232"/>
      <c r="G621" s="232"/>
      <c r="H621" s="232"/>
      <c r="I621" s="232"/>
      <c r="J621" s="232"/>
      <c r="K621" s="232"/>
      <c r="L621" s="232"/>
      <c r="M621" s="232"/>
      <c r="N621" s="232"/>
      <c r="O621" s="232"/>
      <c r="P621" s="232"/>
      <c r="Q621" s="232"/>
      <c r="R621" s="232"/>
      <c r="S621" s="232"/>
      <c r="T621" s="232"/>
      <c r="U621" s="232"/>
      <c r="V621" s="15"/>
      <c r="W621" s="15"/>
      <c r="X621" s="15"/>
      <c r="Y621" s="15"/>
      <c r="Z621" s="15"/>
      <c r="AA621" s="15"/>
    </row>
    <row r="622" spans="1:27" s="25" customFormat="1" ht="12" customHeight="1" x14ac:dyDescent="0.2">
      <c r="A622" s="232"/>
      <c r="B622" s="250"/>
      <c r="C622" s="286"/>
      <c r="D622" s="232"/>
      <c r="E622" s="232"/>
      <c r="F622" s="232"/>
      <c r="G622" s="232"/>
      <c r="H622" s="232"/>
      <c r="I622" s="232"/>
      <c r="J622" s="232"/>
      <c r="K622" s="232"/>
      <c r="L622" s="232"/>
      <c r="M622" s="232"/>
      <c r="N622" s="232"/>
      <c r="O622" s="232"/>
      <c r="P622" s="232"/>
      <c r="Q622" s="232"/>
      <c r="R622" s="232"/>
      <c r="S622" s="232"/>
      <c r="T622" s="232"/>
      <c r="U622" s="232"/>
      <c r="V622" s="15"/>
      <c r="W622" s="15"/>
      <c r="X622" s="15"/>
      <c r="Y622" s="15"/>
      <c r="Z622" s="15"/>
      <c r="AA622" s="15"/>
    </row>
    <row r="623" spans="1:27" s="25" customFormat="1" ht="12" customHeight="1" x14ac:dyDescent="0.2">
      <c r="A623" s="232"/>
      <c r="B623" s="250"/>
      <c r="C623" s="286"/>
      <c r="D623" s="232"/>
      <c r="E623" s="232"/>
      <c r="F623" s="232"/>
      <c r="G623" s="232"/>
      <c r="H623" s="232"/>
      <c r="I623" s="232"/>
      <c r="J623" s="232"/>
      <c r="K623" s="232"/>
      <c r="L623" s="232"/>
      <c r="M623" s="232"/>
      <c r="N623" s="232"/>
      <c r="O623" s="232"/>
      <c r="P623" s="232"/>
      <c r="Q623" s="232"/>
      <c r="R623" s="232"/>
      <c r="S623" s="232"/>
      <c r="T623" s="232"/>
      <c r="U623" s="232"/>
      <c r="V623" s="15"/>
      <c r="W623" s="15"/>
      <c r="X623" s="15"/>
      <c r="Y623" s="15"/>
      <c r="Z623" s="15"/>
      <c r="AA623" s="15"/>
    </row>
    <row r="624" spans="1:27" s="25" customFormat="1" ht="12" customHeight="1" x14ac:dyDescent="0.2">
      <c r="A624" s="232"/>
      <c r="B624" s="250"/>
      <c r="C624" s="286"/>
      <c r="D624" s="232"/>
      <c r="E624" s="232"/>
      <c r="F624" s="232"/>
      <c r="G624" s="232"/>
      <c r="H624" s="232"/>
      <c r="I624" s="232"/>
      <c r="J624" s="232"/>
      <c r="K624" s="232"/>
      <c r="L624" s="232"/>
      <c r="M624" s="232"/>
      <c r="N624" s="232"/>
      <c r="O624" s="232"/>
      <c r="P624" s="232"/>
      <c r="Q624" s="232"/>
      <c r="R624" s="232"/>
      <c r="S624" s="232"/>
      <c r="T624" s="232"/>
      <c r="U624" s="232"/>
      <c r="V624" s="15"/>
      <c r="W624" s="15"/>
      <c r="X624" s="15"/>
      <c r="Y624" s="15"/>
      <c r="Z624" s="15"/>
      <c r="AA624" s="15"/>
    </row>
    <row r="625" spans="1:27" s="25" customFormat="1" ht="12" customHeight="1" x14ac:dyDescent="0.2">
      <c r="A625" s="232"/>
      <c r="B625" s="250"/>
      <c r="C625" s="286"/>
      <c r="D625" s="232"/>
      <c r="E625" s="232"/>
      <c r="F625" s="232"/>
      <c r="G625" s="232"/>
      <c r="H625" s="232"/>
      <c r="I625" s="232"/>
      <c r="J625" s="232"/>
      <c r="K625" s="232"/>
      <c r="L625" s="232"/>
      <c r="M625" s="232"/>
      <c r="N625" s="232"/>
      <c r="O625" s="232"/>
      <c r="P625" s="232"/>
      <c r="Q625" s="232"/>
      <c r="R625" s="232"/>
      <c r="S625" s="232"/>
      <c r="T625" s="232"/>
      <c r="U625" s="232"/>
      <c r="V625" s="15"/>
      <c r="W625" s="15"/>
      <c r="X625" s="15"/>
      <c r="Y625" s="15"/>
      <c r="Z625" s="15"/>
      <c r="AA625" s="15"/>
    </row>
    <row r="626" spans="1:27" s="25" customFormat="1" ht="12" customHeight="1" x14ac:dyDescent="0.2">
      <c r="A626" s="232"/>
      <c r="B626" s="250"/>
      <c r="C626" s="286"/>
      <c r="D626" s="232"/>
      <c r="E626" s="232"/>
      <c r="F626" s="232"/>
      <c r="G626" s="232"/>
      <c r="H626" s="232"/>
      <c r="I626" s="232"/>
      <c r="J626" s="232"/>
      <c r="K626" s="232"/>
      <c r="L626" s="232"/>
      <c r="M626" s="232"/>
      <c r="N626" s="232"/>
      <c r="O626" s="232"/>
      <c r="P626" s="232"/>
      <c r="Q626" s="232"/>
      <c r="R626" s="232"/>
      <c r="S626" s="232"/>
      <c r="T626" s="232"/>
      <c r="U626" s="232"/>
      <c r="V626" s="15"/>
      <c r="W626" s="15"/>
      <c r="X626" s="15"/>
      <c r="Y626" s="15"/>
      <c r="Z626" s="15"/>
      <c r="AA626" s="15"/>
    </row>
    <row r="627" spans="1:27" s="25" customFormat="1" ht="12" customHeight="1" x14ac:dyDescent="0.2">
      <c r="A627" s="232"/>
      <c r="B627" s="250"/>
      <c r="C627" s="286"/>
      <c r="D627" s="232"/>
      <c r="E627" s="232"/>
      <c r="F627" s="232"/>
      <c r="G627" s="232"/>
      <c r="H627" s="232"/>
      <c r="I627" s="232"/>
      <c r="J627" s="232"/>
      <c r="K627" s="232"/>
      <c r="L627" s="232"/>
      <c r="M627" s="232"/>
      <c r="N627" s="232"/>
      <c r="O627" s="232"/>
      <c r="P627" s="232"/>
      <c r="Q627" s="232"/>
      <c r="R627" s="232"/>
      <c r="S627" s="232"/>
      <c r="T627" s="232"/>
      <c r="U627" s="232"/>
      <c r="V627" s="15"/>
      <c r="W627" s="15"/>
      <c r="X627" s="15"/>
      <c r="Y627" s="15"/>
      <c r="Z627" s="15"/>
      <c r="AA627" s="15"/>
    </row>
    <row r="628" spans="1:27" s="25" customFormat="1" ht="12" customHeight="1" x14ac:dyDescent="0.2">
      <c r="A628" s="232"/>
      <c r="B628" s="250"/>
      <c r="C628" s="286"/>
      <c r="D628" s="232"/>
      <c r="E628" s="232"/>
      <c r="F628" s="232"/>
      <c r="G628" s="232"/>
      <c r="H628" s="232"/>
      <c r="I628" s="232"/>
      <c r="J628" s="232"/>
      <c r="K628" s="232"/>
      <c r="L628" s="232"/>
      <c r="M628" s="232"/>
      <c r="N628" s="232"/>
      <c r="O628" s="232"/>
      <c r="P628" s="232"/>
      <c r="Q628" s="232"/>
      <c r="R628" s="232"/>
      <c r="S628" s="232"/>
      <c r="T628" s="232"/>
      <c r="U628" s="232"/>
      <c r="V628" s="15"/>
      <c r="W628" s="15"/>
      <c r="X628" s="15"/>
      <c r="Y628" s="15"/>
      <c r="Z628" s="15"/>
      <c r="AA628" s="15"/>
    </row>
    <row r="629" spans="1:27" s="25" customFormat="1" ht="12" customHeight="1" x14ac:dyDescent="0.2">
      <c r="A629" s="232"/>
      <c r="B629" s="250"/>
      <c r="C629" s="286"/>
      <c r="D629" s="232"/>
      <c r="E629" s="232"/>
      <c r="F629" s="232"/>
      <c r="G629" s="232"/>
      <c r="H629" s="232"/>
      <c r="I629" s="232"/>
      <c r="J629" s="232"/>
      <c r="K629" s="232"/>
      <c r="L629" s="232"/>
      <c r="M629" s="232"/>
      <c r="N629" s="232"/>
      <c r="O629" s="232"/>
      <c r="P629" s="232"/>
      <c r="Q629" s="232"/>
      <c r="R629" s="232"/>
      <c r="S629" s="232"/>
      <c r="T629" s="232"/>
      <c r="U629" s="232"/>
      <c r="V629" s="15"/>
      <c r="W629" s="15"/>
      <c r="X629" s="15"/>
      <c r="Y629" s="15"/>
      <c r="Z629" s="15"/>
      <c r="AA629" s="15"/>
    </row>
    <row r="630" spans="1:27" s="25" customFormat="1" ht="12" customHeight="1" x14ac:dyDescent="0.2">
      <c r="A630" s="232"/>
      <c r="B630" s="250"/>
      <c r="C630" s="286"/>
      <c r="D630" s="232"/>
      <c r="E630" s="232"/>
      <c r="F630" s="232"/>
      <c r="G630" s="232"/>
      <c r="H630" s="232"/>
      <c r="I630" s="232"/>
      <c r="J630" s="232"/>
      <c r="K630" s="232"/>
      <c r="L630" s="232"/>
      <c r="M630" s="232"/>
      <c r="N630" s="232"/>
      <c r="O630" s="232"/>
      <c r="P630" s="232"/>
      <c r="Q630" s="232"/>
      <c r="R630" s="232"/>
      <c r="S630" s="232"/>
      <c r="T630" s="232"/>
      <c r="U630" s="232"/>
      <c r="V630" s="15"/>
      <c r="W630" s="15"/>
      <c r="X630" s="15"/>
      <c r="Y630" s="15"/>
      <c r="Z630" s="15"/>
      <c r="AA630" s="15"/>
    </row>
    <row r="631" spans="1:27" s="25" customFormat="1" ht="12" customHeight="1" x14ac:dyDescent="0.2">
      <c r="A631" s="232"/>
      <c r="B631" s="250"/>
      <c r="C631" s="286"/>
      <c r="D631" s="232"/>
      <c r="E631" s="232"/>
      <c r="F631" s="232"/>
      <c r="G631" s="232"/>
      <c r="H631" s="232"/>
      <c r="I631" s="232"/>
      <c r="J631" s="232"/>
      <c r="K631" s="232"/>
      <c r="L631" s="232"/>
      <c r="M631" s="232"/>
      <c r="N631" s="232"/>
      <c r="O631" s="232"/>
      <c r="P631" s="232"/>
      <c r="Q631" s="232"/>
      <c r="R631" s="232"/>
      <c r="S631" s="232"/>
      <c r="T631" s="232"/>
      <c r="U631" s="232"/>
      <c r="V631" s="15"/>
      <c r="W631" s="15"/>
      <c r="X631" s="15"/>
      <c r="Y631" s="15"/>
      <c r="Z631" s="15"/>
      <c r="AA631" s="15"/>
    </row>
    <row r="632" spans="1:27" s="25" customFormat="1" ht="12" customHeight="1" x14ac:dyDescent="0.2">
      <c r="A632" s="232"/>
      <c r="B632" s="250"/>
      <c r="C632" s="286"/>
      <c r="D632" s="232"/>
      <c r="E632" s="232"/>
      <c r="F632" s="232"/>
      <c r="G632" s="232"/>
      <c r="H632" s="232"/>
      <c r="I632" s="232"/>
      <c r="J632" s="232"/>
      <c r="K632" s="232"/>
      <c r="L632" s="232"/>
      <c r="M632" s="232"/>
      <c r="N632" s="232"/>
      <c r="O632" s="232"/>
      <c r="P632" s="232"/>
      <c r="Q632" s="232"/>
      <c r="R632" s="232"/>
      <c r="S632" s="232"/>
      <c r="T632" s="232"/>
      <c r="U632" s="232"/>
      <c r="V632" s="15"/>
      <c r="W632" s="15"/>
      <c r="X632" s="15"/>
      <c r="Y632" s="15"/>
      <c r="Z632" s="15"/>
      <c r="AA632" s="15"/>
    </row>
    <row r="633" spans="1:27" s="25" customFormat="1" ht="12" customHeight="1" x14ac:dyDescent="0.2">
      <c r="A633" s="232"/>
      <c r="B633" s="250"/>
      <c r="C633" s="286"/>
      <c r="D633" s="232"/>
      <c r="E633" s="232"/>
      <c r="F633" s="232"/>
      <c r="G633" s="232"/>
      <c r="H633" s="232"/>
      <c r="I633" s="232"/>
      <c r="J633" s="232"/>
      <c r="K633" s="232"/>
      <c r="L633" s="232"/>
      <c r="M633" s="232"/>
      <c r="N633" s="232"/>
      <c r="O633" s="232"/>
      <c r="P633" s="232"/>
      <c r="Q633" s="232"/>
      <c r="R633" s="232"/>
      <c r="S633" s="232"/>
      <c r="T633" s="232"/>
      <c r="U633" s="232"/>
      <c r="V633" s="15"/>
      <c r="W633" s="15"/>
      <c r="X633" s="15"/>
      <c r="Y633" s="15"/>
      <c r="Z633" s="15"/>
      <c r="AA633" s="15"/>
    </row>
    <row r="634" spans="1:27" s="25" customFormat="1" ht="12" customHeight="1" x14ac:dyDescent="0.2">
      <c r="A634" s="232"/>
      <c r="B634" s="250"/>
      <c r="C634" s="286"/>
      <c r="D634" s="232"/>
      <c r="E634" s="232"/>
      <c r="F634" s="232"/>
      <c r="G634" s="232"/>
      <c r="H634" s="232"/>
      <c r="I634" s="232"/>
      <c r="J634" s="232"/>
      <c r="K634" s="232"/>
      <c r="L634" s="232"/>
      <c r="M634" s="232"/>
      <c r="N634" s="232"/>
      <c r="O634" s="232"/>
      <c r="P634" s="232"/>
      <c r="Q634" s="232"/>
      <c r="R634" s="232"/>
      <c r="S634" s="232"/>
      <c r="T634" s="232"/>
      <c r="U634" s="232"/>
      <c r="V634" s="15"/>
      <c r="W634" s="15"/>
      <c r="X634" s="15"/>
      <c r="Y634" s="15"/>
      <c r="Z634" s="15"/>
      <c r="AA634" s="15"/>
    </row>
    <row r="635" spans="1:27" s="25" customFormat="1" ht="12" customHeight="1" x14ac:dyDescent="0.2">
      <c r="A635" s="232"/>
      <c r="B635" s="250"/>
      <c r="C635" s="286"/>
      <c r="D635" s="232"/>
      <c r="E635" s="232"/>
      <c r="F635" s="232"/>
      <c r="G635" s="232"/>
      <c r="H635" s="232"/>
      <c r="I635" s="232"/>
      <c r="J635" s="232"/>
      <c r="K635" s="232"/>
      <c r="L635" s="232"/>
      <c r="M635" s="232"/>
      <c r="N635" s="232"/>
      <c r="O635" s="232"/>
      <c r="P635" s="232"/>
      <c r="Q635" s="232"/>
      <c r="R635" s="232"/>
      <c r="S635" s="232"/>
      <c r="T635" s="232"/>
      <c r="U635" s="232"/>
      <c r="V635" s="15"/>
      <c r="W635" s="15"/>
      <c r="X635" s="15"/>
      <c r="Y635" s="15"/>
      <c r="Z635" s="15"/>
      <c r="AA635" s="15"/>
    </row>
    <row r="636" spans="1:27" s="25" customFormat="1" ht="12" customHeight="1" x14ac:dyDescent="0.2">
      <c r="A636" s="232"/>
      <c r="B636" s="250"/>
      <c r="C636" s="286"/>
      <c r="D636" s="232"/>
      <c r="E636" s="232"/>
      <c r="F636" s="232"/>
      <c r="G636" s="232"/>
      <c r="H636" s="232"/>
      <c r="I636" s="232"/>
      <c r="J636" s="232"/>
      <c r="K636" s="232"/>
      <c r="L636" s="232"/>
      <c r="M636" s="232"/>
      <c r="N636" s="232"/>
      <c r="O636" s="232"/>
      <c r="P636" s="232"/>
      <c r="Q636" s="232"/>
      <c r="R636" s="232"/>
      <c r="S636" s="232"/>
      <c r="T636" s="232"/>
      <c r="U636" s="232"/>
      <c r="V636" s="15"/>
      <c r="W636" s="15"/>
      <c r="X636" s="15"/>
      <c r="Y636" s="15"/>
      <c r="Z636" s="15"/>
      <c r="AA636" s="15"/>
    </row>
    <row r="637" spans="1:27" s="25" customFormat="1" ht="12" customHeight="1" x14ac:dyDescent="0.2">
      <c r="A637" s="232"/>
      <c r="B637" s="250"/>
      <c r="C637" s="286"/>
      <c r="D637" s="232"/>
      <c r="E637" s="232"/>
      <c r="F637" s="232"/>
      <c r="G637" s="232"/>
      <c r="H637" s="232"/>
      <c r="I637" s="232"/>
      <c r="J637" s="232"/>
      <c r="K637" s="232"/>
      <c r="L637" s="232"/>
      <c r="M637" s="232"/>
      <c r="N637" s="232"/>
      <c r="O637" s="232"/>
      <c r="P637" s="232"/>
      <c r="Q637" s="232"/>
      <c r="R637" s="232"/>
      <c r="S637" s="232"/>
      <c r="T637" s="232"/>
      <c r="U637" s="232"/>
      <c r="V637" s="15"/>
      <c r="W637" s="15"/>
      <c r="X637" s="15"/>
      <c r="Y637" s="15"/>
      <c r="Z637" s="15"/>
      <c r="AA637" s="15"/>
    </row>
    <row r="638" spans="1:27" s="25" customFormat="1" ht="12" customHeight="1" x14ac:dyDescent="0.2">
      <c r="A638" s="232"/>
      <c r="B638" s="250"/>
      <c r="C638" s="286"/>
      <c r="D638" s="232"/>
      <c r="E638" s="232"/>
      <c r="F638" s="232"/>
      <c r="G638" s="232"/>
      <c r="H638" s="232"/>
      <c r="I638" s="232"/>
      <c r="J638" s="232"/>
      <c r="K638" s="232"/>
      <c r="L638" s="232"/>
      <c r="M638" s="232"/>
      <c r="N638" s="232"/>
      <c r="O638" s="232"/>
      <c r="P638" s="232"/>
      <c r="Q638" s="232"/>
      <c r="R638" s="232"/>
      <c r="S638" s="232"/>
      <c r="T638" s="232"/>
      <c r="U638" s="232"/>
      <c r="V638" s="15"/>
      <c r="W638" s="15"/>
      <c r="X638" s="15"/>
      <c r="Y638" s="15"/>
      <c r="Z638" s="15"/>
      <c r="AA638" s="15"/>
    </row>
    <row r="639" spans="1:27" s="25" customFormat="1" ht="12" customHeight="1" x14ac:dyDescent="0.2">
      <c r="A639" s="232"/>
      <c r="B639" s="250"/>
      <c r="C639" s="286"/>
      <c r="D639" s="232"/>
      <c r="E639" s="232"/>
      <c r="F639" s="232"/>
      <c r="G639" s="232"/>
      <c r="H639" s="232"/>
      <c r="I639" s="232"/>
      <c r="J639" s="232"/>
      <c r="K639" s="232"/>
      <c r="L639" s="232"/>
      <c r="M639" s="232"/>
      <c r="N639" s="232"/>
      <c r="O639" s="232"/>
      <c r="P639" s="232"/>
      <c r="Q639" s="232"/>
      <c r="R639" s="232"/>
      <c r="S639" s="232"/>
      <c r="T639" s="232"/>
      <c r="U639" s="232"/>
      <c r="V639" s="15"/>
      <c r="W639" s="15"/>
      <c r="X639" s="15"/>
      <c r="Y639" s="15"/>
      <c r="Z639" s="15"/>
      <c r="AA639" s="15"/>
    </row>
    <row r="640" spans="1:27" s="25" customFormat="1" ht="12" customHeight="1" x14ac:dyDescent="0.2">
      <c r="A640" s="232"/>
      <c r="B640" s="250"/>
      <c r="C640" s="286"/>
      <c r="D640" s="232"/>
      <c r="E640" s="232"/>
      <c r="F640" s="232"/>
      <c r="G640" s="232"/>
      <c r="H640" s="232"/>
      <c r="I640" s="232"/>
      <c r="J640" s="232"/>
      <c r="K640" s="232"/>
      <c r="L640" s="232"/>
      <c r="M640" s="232"/>
      <c r="N640" s="232"/>
      <c r="O640" s="232"/>
      <c r="P640" s="232"/>
      <c r="Q640" s="232"/>
      <c r="R640" s="232"/>
      <c r="S640" s="232"/>
      <c r="T640" s="232"/>
      <c r="U640" s="232"/>
      <c r="V640" s="15"/>
      <c r="W640" s="15"/>
      <c r="X640" s="15"/>
      <c r="Y640" s="15"/>
      <c r="Z640" s="15"/>
      <c r="AA640" s="15"/>
    </row>
    <row r="641" spans="1:27" s="25" customFormat="1" ht="12" customHeight="1" x14ac:dyDescent="0.2">
      <c r="A641" s="232"/>
      <c r="B641" s="250"/>
      <c r="C641" s="286"/>
      <c r="D641" s="232"/>
      <c r="E641" s="232"/>
      <c r="F641" s="232"/>
      <c r="G641" s="232"/>
      <c r="H641" s="232"/>
      <c r="I641" s="232"/>
      <c r="J641" s="232"/>
      <c r="K641" s="232"/>
      <c r="L641" s="232"/>
      <c r="M641" s="232"/>
      <c r="N641" s="232"/>
      <c r="O641" s="232"/>
      <c r="P641" s="232"/>
      <c r="Q641" s="232"/>
      <c r="R641" s="232"/>
      <c r="S641" s="232"/>
      <c r="T641" s="232"/>
      <c r="U641" s="232"/>
      <c r="V641" s="15"/>
      <c r="W641" s="15"/>
      <c r="X641" s="15"/>
      <c r="Y641" s="15"/>
      <c r="Z641" s="15"/>
      <c r="AA641" s="15"/>
    </row>
    <row r="642" spans="1:27" s="25" customFormat="1" ht="12" customHeight="1" x14ac:dyDescent="0.2">
      <c r="A642" s="232"/>
      <c r="B642" s="250"/>
      <c r="C642" s="286"/>
      <c r="D642" s="232"/>
      <c r="E642" s="232"/>
      <c r="F642" s="232"/>
      <c r="G642" s="232"/>
      <c r="H642" s="232"/>
      <c r="I642" s="232"/>
      <c r="J642" s="232"/>
      <c r="K642" s="232"/>
      <c r="L642" s="232"/>
      <c r="M642" s="232"/>
      <c r="N642" s="232"/>
      <c r="O642" s="232"/>
      <c r="P642" s="232"/>
      <c r="Q642" s="232"/>
      <c r="R642" s="232"/>
      <c r="S642" s="232"/>
      <c r="T642" s="232"/>
      <c r="U642" s="232"/>
      <c r="V642" s="15"/>
      <c r="W642" s="15"/>
      <c r="X642" s="15"/>
      <c r="Y642" s="15"/>
      <c r="Z642" s="15"/>
      <c r="AA642" s="15"/>
    </row>
    <row r="643" spans="1:27" s="25" customFormat="1" ht="12" customHeight="1" x14ac:dyDescent="0.2">
      <c r="A643" s="232"/>
      <c r="B643" s="250"/>
      <c r="C643" s="286"/>
      <c r="D643" s="232"/>
      <c r="E643" s="232"/>
      <c r="F643" s="232"/>
      <c r="G643" s="232"/>
      <c r="H643" s="232"/>
      <c r="I643" s="232"/>
      <c r="J643" s="232"/>
      <c r="K643" s="232"/>
      <c r="L643" s="232"/>
      <c r="M643" s="232"/>
      <c r="N643" s="232"/>
      <c r="O643" s="232"/>
      <c r="P643" s="232"/>
      <c r="Q643" s="232"/>
      <c r="R643" s="232"/>
      <c r="S643" s="232"/>
      <c r="T643" s="232"/>
      <c r="U643" s="232"/>
      <c r="V643" s="15"/>
      <c r="W643" s="15"/>
      <c r="X643" s="15"/>
      <c r="Y643" s="15"/>
      <c r="Z643" s="15"/>
      <c r="AA643" s="15"/>
    </row>
    <row r="644" spans="1:27" s="25" customFormat="1" ht="12" customHeight="1" x14ac:dyDescent="0.2">
      <c r="A644" s="232"/>
      <c r="B644" s="250"/>
      <c r="C644" s="286"/>
      <c r="D644" s="232"/>
      <c r="E644" s="232"/>
      <c r="F644" s="232"/>
      <c r="G644" s="232"/>
      <c r="H644" s="232"/>
      <c r="I644" s="232"/>
      <c r="J644" s="232"/>
      <c r="K644" s="232"/>
      <c r="L644" s="232"/>
      <c r="M644" s="232"/>
      <c r="N644" s="232"/>
      <c r="O644" s="232"/>
      <c r="P644" s="232"/>
      <c r="Q644" s="232"/>
      <c r="R644" s="232"/>
      <c r="S644" s="232"/>
      <c r="T644" s="232"/>
      <c r="U644" s="232"/>
      <c r="V644" s="15"/>
      <c r="W644" s="15"/>
      <c r="X644" s="15"/>
      <c r="Y644" s="15"/>
      <c r="Z644" s="15"/>
      <c r="AA644" s="15"/>
    </row>
    <row r="645" spans="1:27" s="25" customFormat="1" ht="12" customHeight="1" x14ac:dyDescent="0.2">
      <c r="A645" s="232"/>
      <c r="B645" s="250"/>
      <c r="C645" s="286"/>
      <c r="D645" s="232"/>
      <c r="E645" s="232"/>
      <c r="F645" s="232"/>
      <c r="G645" s="232"/>
      <c r="H645" s="232"/>
      <c r="I645" s="232"/>
      <c r="J645" s="232"/>
      <c r="K645" s="232"/>
      <c r="L645" s="232"/>
      <c r="M645" s="232"/>
      <c r="N645" s="232"/>
      <c r="O645" s="232"/>
      <c r="P645" s="232"/>
      <c r="Q645" s="232"/>
      <c r="R645" s="232"/>
      <c r="S645" s="232"/>
      <c r="T645" s="232"/>
      <c r="U645" s="232"/>
      <c r="V645" s="15"/>
      <c r="W645" s="15"/>
      <c r="X645" s="15"/>
      <c r="Y645" s="15"/>
      <c r="Z645" s="15"/>
      <c r="AA645" s="15"/>
    </row>
    <row r="646" spans="1:27" s="25" customFormat="1" ht="12" customHeight="1" x14ac:dyDescent="0.2">
      <c r="A646" s="232"/>
      <c r="B646" s="250"/>
      <c r="C646" s="286"/>
      <c r="D646" s="232"/>
      <c r="E646" s="232"/>
      <c r="F646" s="232"/>
      <c r="G646" s="232"/>
      <c r="H646" s="232"/>
      <c r="I646" s="232"/>
      <c r="J646" s="232"/>
      <c r="K646" s="232"/>
      <c r="L646" s="232"/>
      <c r="M646" s="232"/>
      <c r="N646" s="232"/>
      <c r="O646" s="232"/>
      <c r="P646" s="232"/>
      <c r="Q646" s="232"/>
      <c r="R646" s="232"/>
      <c r="S646" s="232"/>
      <c r="T646" s="232"/>
      <c r="U646" s="232"/>
      <c r="V646" s="15"/>
      <c r="W646" s="15"/>
      <c r="X646" s="15"/>
      <c r="Y646" s="15"/>
      <c r="Z646" s="15"/>
      <c r="AA646" s="15"/>
    </row>
    <row r="647" spans="1:27" s="25" customFormat="1" ht="12" customHeight="1" x14ac:dyDescent="0.2">
      <c r="A647" s="232"/>
      <c r="B647" s="250"/>
      <c r="C647" s="286"/>
      <c r="D647" s="232"/>
      <c r="E647" s="232"/>
      <c r="F647" s="232"/>
      <c r="G647" s="232"/>
      <c r="H647" s="232"/>
      <c r="I647" s="232"/>
      <c r="J647" s="232"/>
      <c r="K647" s="232"/>
      <c r="L647" s="232"/>
      <c r="M647" s="232"/>
      <c r="N647" s="232"/>
      <c r="O647" s="232"/>
      <c r="P647" s="232"/>
      <c r="Q647" s="232"/>
      <c r="R647" s="232"/>
      <c r="S647" s="232"/>
      <c r="T647" s="232"/>
      <c r="U647" s="232"/>
      <c r="V647" s="15"/>
      <c r="W647" s="15"/>
      <c r="X647" s="15"/>
      <c r="Y647" s="15"/>
      <c r="Z647" s="15"/>
      <c r="AA647" s="15"/>
    </row>
    <row r="648" spans="1:27" s="25" customFormat="1" ht="12" customHeight="1" x14ac:dyDescent="0.2">
      <c r="A648" s="232"/>
      <c r="B648" s="250"/>
      <c r="C648" s="286"/>
      <c r="D648" s="232"/>
      <c r="E648" s="232"/>
      <c r="F648" s="232"/>
      <c r="G648" s="232"/>
      <c r="H648" s="232"/>
      <c r="I648" s="232"/>
      <c r="J648" s="232"/>
      <c r="K648" s="232"/>
      <c r="L648" s="232"/>
      <c r="M648" s="232"/>
      <c r="N648" s="232"/>
      <c r="O648" s="232"/>
      <c r="P648" s="232"/>
      <c r="Q648" s="232"/>
      <c r="R648" s="232"/>
      <c r="S648" s="232"/>
      <c r="T648" s="232"/>
      <c r="U648" s="232"/>
      <c r="V648" s="15"/>
      <c r="W648" s="15"/>
      <c r="X648" s="15"/>
      <c r="Y648" s="15"/>
      <c r="Z648" s="15"/>
      <c r="AA648" s="15"/>
    </row>
    <row r="649" spans="1:27" s="25" customFormat="1" ht="12" customHeight="1" x14ac:dyDescent="0.2">
      <c r="A649" s="232"/>
      <c r="B649" s="250"/>
      <c r="C649" s="286"/>
      <c r="D649" s="232"/>
      <c r="E649" s="232"/>
      <c r="F649" s="232"/>
      <c r="G649" s="232"/>
      <c r="H649" s="232"/>
      <c r="I649" s="232"/>
      <c r="J649" s="232"/>
      <c r="K649" s="232"/>
      <c r="L649" s="232"/>
      <c r="M649" s="232"/>
      <c r="N649" s="232"/>
      <c r="O649" s="232"/>
      <c r="P649" s="232"/>
      <c r="Q649" s="232"/>
      <c r="R649" s="232"/>
      <c r="S649" s="232"/>
      <c r="T649" s="232"/>
      <c r="U649" s="232"/>
      <c r="V649" s="15"/>
      <c r="W649" s="15"/>
      <c r="X649" s="15"/>
      <c r="Y649" s="15"/>
      <c r="Z649" s="15"/>
      <c r="AA649" s="15"/>
    </row>
    <row r="650" spans="1:27" s="25" customFormat="1" ht="12" customHeight="1" x14ac:dyDescent="0.2">
      <c r="A650" s="232"/>
      <c r="B650" s="250"/>
      <c r="C650" s="286"/>
      <c r="D650" s="232"/>
      <c r="E650" s="232"/>
      <c r="F650" s="232"/>
      <c r="G650" s="232"/>
      <c r="H650" s="232"/>
      <c r="I650" s="232"/>
      <c r="J650" s="232"/>
      <c r="K650" s="232"/>
      <c r="L650" s="232"/>
      <c r="M650" s="232"/>
      <c r="N650" s="232"/>
      <c r="O650" s="232"/>
      <c r="P650" s="232"/>
      <c r="Q650" s="232"/>
      <c r="R650" s="232"/>
      <c r="S650" s="232"/>
      <c r="T650" s="232"/>
      <c r="U650" s="232"/>
      <c r="V650" s="15"/>
      <c r="W650" s="15"/>
      <c r="X650" s="15"/>
      <c r="Y650" s="15"/>
      <c r="Z650" s="15"/>
      <c r="AA650" s="15"/>
    </row>
    <row r="651" spans="1:27" s="25" customFormat="1" ht="12" customHeight="1" x14ac:dyDescent="0.2">
      <c r="A651" s="232"/>
      <c r="B651" s="250"/>
      <c r="C651" s="286"/>
      <c r="D651" s="232"/>
      <c r="E651" s="232"/>
      <c r="F651" s="232"/>
      <c r="G651" s="232"/>
      <c r="H651" s="232"/>
      <c r="I651" s="232"/>
      <c r="J651" s="232"/>
      <c r="K651" s="232"/>
      <c r="L651" s="232"/>
      <c r="M651" s="232"/>
      <c r="N651" s="232"/>
      <c r="O651" s="232"/>
      <c r="P651" s="232"/>
      <c r="Q651" s="232"/>
      <c r="R651" s="232"/>
      <c r="S651" s="232"/>
      <c r="T651" s="232"/>
      <c r="U651" s="232"/>
      <c r="V651" s="15"/>
      <c r="W651" s="15"/>
      <c r="X651" s="15"/>
      <c r="Y651" s="15"/>
      <c r="Z651" s="15"/>
      <c r="AA651" s="15"/>
    </row>
    <row r="652" spans="1:27" s="25" customFormat="1" ht="12" customHeight="1" x14ac:dyDescent="0.2">
      <c r="A652" s="232"/>
      <c r="B652" s="250"/>
      <c r="C652" s="286"/>
      <c r="D652" s="232"/>
      <c r="E652" s="232"/>
      <c r="F652" s="232"/>
      <c r="G652" s="232"/>
      <c r="H652" s="232"/>
      <c r="I652" s="232"/>
      <c r="J652" s="232"/>
      <c r="K652" s="232"/>
      <c r="L652" s="232"/>
      <c r="M652" s="232"/>
      <c r="N652" s="232"/>
      <c r="O652" s="232"/>
      <c r="P652" s="232"/>
      <c r="Q652" s="232"/>
      <c r="R652" s="232"/>
      <c r="S652" s="232"/>
      <c r="T652" s="232"/>
      <c r="U652" s="232"/>
      <c r="V652" s="15"/>
      <c r="W652" s="15"/>
      <c r="X652" s="15"/>
      <c r="Y652" s="15"/>
      <c r="Z652" s="15"/>
      <c r="AA652" s="15"/>
    </row>
    <row r="653" spans="1:27" s="25" customFormat="1" ht="12" customHeight="1" x14ac:dyDescent="0.2">
      <c r="A653" s="232"/>
      <c r="B653" s="250"/>
      <c r="C653" s="286"/>
      <c r="D653" s="232"/>
      <c r="E653" s="232"/>
      <c r="F653" s="232"/>
      <c r="G653" s="232"/>
      <c r="H653" s="232"/>
      <c r="I653" s="232"/>
      <c r="J653" s="232"/>
      <c r="K653" s="232"/>
      <c r="L653" s="232"/>
      <c r="M653" s="232"/>
      <c r="N653" s="232"/>
      <c r="O653" s="232"/>
      <c r="P653" s="232"/>
      <c r="Q653" s="232"/>
      <c r="R653" s="232"/>
      <c r="S653" s="232"/>
      <c r="T653" s="232"/>
      <c r="U653" s="232"/>
      <c r="V653" s="15"/>
      <c r="W653" s="15"/>
      <c r="X653" s="15"/>
      <c r="Y653" s="15"/>
      <c r="Z653" s="15"/>
      <c r="AA653" s="15"/>
    </row>
    <row r="654" spans="1:27" s="25" customFormat="1" ht="12" customHeight="1" x14ac:dyDescent="0.2">
      <c r="A654" s="232"/>
      <c r="B654" s="250"/>
      <c r="C654" s="286"/>
      <c r="D654" s="232"/>
      <c r="E654" s="232"/>
      <c r="F654" s="232"/>
      <c r="G654" s="232"/>
      <c r="H654" s="232"/>
      <c r="I654" s="232"/>
      <c r="J654" s="232"/>
      <c r="K654" s="232"/>
      <c r="L654" s="232"/>
      <c r="M654" s="232"/>
      <c r="N654" s="232"/>
      <c r="O654" s="232"/>
      <c r="P654" s="232"/>
      <c r="Q654" s="232"/>
      <c r="R654" s="232"/>
      <c r="S654" s="232"/>
      <c r="T654" s="232"/>
      <c r="U654" s="232"/>
      <c r="V654" s="15"/>
      <c r="W654" s="15"/>
      <c r="X654" s="15"/>
      <c r="Y654" s="15"/>
      <c r="Z654" s="15"/>
      <c r="AA654" s="15"/>
    </row>
    <row r="655" spans="1:27" s="25" customFormat="1" ht="12" customHeight="1" x14ac:dyDescent="0.2">
      <c r="A655" s="232"/>
      <c r="B655" s="250"/>
      <c r="C655" s="286"/>
      <c r="D655" s="232"/>
      <c r="E655" s="232"/>
      <c r="F655" s="232"/>
      <c r="G655" s="232"/>
      <c r="H655" s="232"/>
      <c r="I655" s="232"/>
      <c r="J655" s="232"/>
      <c r="K655" s="232"/>
      <c r="L655" s="232"/>
      <c r="M655" s="232"/>
      <c r="N655" s="232"/>
      <c r="O655" s="232"/>
      <c r="P655" s="232"/>
      <c r="Q655" s="232"/>
      <c r="R655" s="232"/>
      <c r="S655" s="232"/>
      <c r="T655" s="232"/>
      <c r="U655" s="232"/>
      <c r="V655" s="15"/>
      <c r="W655" s="15"/>
      <c r="X655" s="15"/>
      <c r="Y655" s="15"/>
      <c r="Z655" s="15"/>
      <c r="AA655" s="15"/>
    </row>
    <row r="656" spans="1:27" s="25" customFormat="1" ht="12" customHeight="1" x14ac:dyDescent="0.2">
      <c r="A656" s="232"/>
      <c r="B656" s="250"/>
      <c r="C656" s="286"/>
      <c r="D656" s="232"/>
      <c r="E656" s="232"/>
      <c r="F656" s="232"/>
      <c r="G656" s="232"/>
      <c r="H656" s="232"/>
      <c r="I656" s="232"/>
      <c r="J656" s="232"/>
      <c r="K656" s="232"/>
      <c r="L656" s="232"/>
      <c r="M656" s="232"/>
      <c r="N656" s="232"/>
      <c r="O656" s="232"/>
      <c r="P656" s="232"/>
      <c r="Q656" s="232"/>
      <c r="R656" s="232"/>
      <c r="S656" s="232"/>
      <c r="T656" s="232"/>
      <c r="U656" s="232"/>
      <c r="V656" s="15"/>
      <c r="W656" s="15"/>
      <c r="X656" s="15"/>
      <c r="Y656" s="15"/>
      <c r="Z656" s="15"/>
      <c r="AA656" s="15"/>
    </row>
    <row r="657" spans="1:27" s="25" customFormat="1" ht="12" customHeight="1" x14ac:dyDescent="0.2">
      <c r="A657" s="232"/>
      <c r="B657" s="250"/>
      <c r="C657" s="286"/>
      <c r="D657" s="232"/>
      <c r="E657" s="232"/>
      <c r="F657" s="232"/>
      <c r="G657" s="232"/>
      <c r="H657" s="232"/>
      <c r="I657" s="232"/>
      <c r="J657" s="232"/>
      <c r="K657" s="232"/>
      <c r="L657" s="232"/>
      <c r="M657" s="232"/>
      <c r="N657" s="232"/>
      <c r="O657" s="232"/>
      <c r="P657" s="232"/>
      <c r="Q657" s="232"/>
      <c r="R657" s="232"/>
      <c r="S657" s="232"/>
      <c r="T657" s="232"/>
      <c r="U657" s="232"/>
      <c r="V657" s="15"/>
      <c r="W657" s="15"/>
      <c r="X657" s="15"/>
      <c r="Y657" s="15"/>
      <c r="Z657" s="15"/>
      <c r="AA657" s="15"/>
    </row>
    <row r="658" spans="1:27" s="25" customFormat="1" ht="12" customHeight="1" x14ac:dyDescent="0.2">
      <c r="A658" s="232"/>
      <c r="B658" s="250"/>
      <c r="C658" s="286"/>
      <c r="D658" s="232"/>
      <c r="E658" s="232"/>
      <c r="F658" s="232"/>
      <c r="G658" s="232"/>
      <c r="H658" s="232"/>
      <c r="I658" s="232"/>
      <c r="J658" s="232"/>
      <c r="K658" s="232"/>
      <c r="L658" s="232"/>
      <c r="M658" s="232"/>
      <c r="N658" s="232"/>
      <c r="O658" s="232"/>
      <c r="P658" s="232"/>
      <c r="Q658" s="232"/>
      <c r="R658" s="232"/>
      <c r="S658" s="232"/>
      <c r="T658" s="232"/>
      <c r="U658" s="232"/>
      <c r="V658" s="15"/>
      <c r="W658" s="15"/>
      <c r="X658" s="15"/>
      <c r="Y658" s="15"/>
      <c r="Z658" s="15"/>
      <c r="AA658" s="15"/>
    </row>
    <row r="659" spans="1:27" s="25" customFormat="1" ht="12" customHeight="1" x14ac:dyDescent="0.2">
      <c r="A659" s="232"/>
      <c r="B659" s="250"/>
      <c r="C659" s="286"/>
      <c r="D659" s="232"/>
      <c r="E659" s="232"/>
      <c r="F659" s="232"/>
      <c r="G659" s="232"/>
      <c r="H659" s="232"/>
      <c r="I659" s="232"/>
      <c r="J659" s="232"/>
      <c r="K659" s="232"/>
      <c r="L659" s="232"/>
      <c r="M659" s="232"/>
      <c r="N659" s="232"/>
      <c r="O659" s="232"/>
      <c r="P659" s="232"/>
      <c r="Q659" s="232"/>
      <c r="R659" s="232"/>
      <c r="S659" s="232"/>
      <c r="T659" s="232"/>
      <c r="U659" s="232"/>
      <c r="V659" s="15"/>
      <c r="W659" s="15"/>
      <c r="X659" s="15"/>
      <c r="Y659" s="15"/>
      <c r="Z659" s="15"/>
      <c r="AA659" s="15"/>
    </row>
    <row r="660" spans="1:27" s="25" customFormat="1" ht="12" customHeight="1" x14ac:dyDescent="0.2">
      <c r="A660" s="232"/>
      <c r="B660" s="250"/>
      <c r="C660" s="286"/>
      <c r="D660" s="232"/>
      <c r="E660" s="232"/>
      <c r="F660" s="232"/>
      <c r="G660" s="232"/>
      <c r="H660" s="232"/>
      <c r="I660" s="232"/>
      <c r="J660" s="232"/>
      <c r="K660" s="232"/>
      <c r="L660" s="232"/>
      <c r="M660" s="232"/>
      <c r="N660" s="232"/>
      <c r="O660" s="232"/>
      <c r="P660" s="232"/>
      <c r="Q660" s="232"/>
      <c r="R660" s="232"/>
      <c r="S660" s="232"/>
      <c r="T660" s="232"/>
      <c r="U660" s="232"/>
      <c r="V660" s="15"/>
      <c r="W660" s="15"/>
      <c r="X660" s="15"/>
      <c r="Y660" s="15"/>
      <c r="Z660" s="15"/>
      <c r="AA660" s="15"/>
    </row>
    <row r="661" spans="1:27" s="25" customFormat="1" ht="12" customHeight="1" x14ac:dyDescent="0.2">
      <c r="A661" s="232"/>
      <c r="B661" s="250"/>
      <c r="C661" s="286"/>
      <c r="D661" s="232"/>
      <c r="E661" s="232"/>
      <c r="F661" s="232"/>
      <c r="G661" s="232"/>
      <c r="H661" s="232"/>
      <c r="I661" s="232"/>
      <c r="J661" s="232"/>
      <c r="K661" s="232"/>
      <c r="L661" s="232"/>
      <c r="M661" s="232"/>
      <c r="N661" s="232"/>
      <c r="O661" s="232"/>
      <c r="P661" s="232"/>
      <c r="Q661" s="232"/>
      <c r="R661" s="232"/>
      <c r="S661" s="232"/>
      <c r="T661" s="232"/>
      <c r="U661" s="232"/>
      <c r="V661" s="15"/>
      <c r="W661" s="15"/>
      <c r="X661" s="15"/>
      <c r="Y661" s="15"/>
      <c r="Z661" s="15"/>
      <c r="AA661" s="15"/>
    </row>
    <row r="662" spans="1:27" s="25" customFormat="1" ht="12" customHeight="1" x14ac:dyDescent="0.2">
      <c r="A662" s="232"/>
      <c r="B662" s="250"/>
      <c r="C662" s="286"/>
      <c r="D662" s="232"/>
      <c r="E662" s="232"/>
      <c r="F662" s="232"/>
      <c r="G662" s="232"/>
      <c r="H662" s="232"/>
      <c r="I662" s="232"/>
      <c r="J662" s="232"/>
      <c r="K662" s="232"/>
      <c r="L662" s="232"/>
      <c r="M662" s="232"/>
      <c r="N662" s="232"/>
      <c r="O662" s="232"/>
      <c r="P662" s="232"/>
      <c r="Q662" s="232"/>
      <c r="R662" s="232"/>
      <c r="S662" s="232"/>
      <c r="T662" s="232"/>
      <c r="U662" s="232"/>
      <c r="V662" s="15"/>
      <c r="W662" s="15"/>
      <c r="X662" s="15"/>
      <c r="Y662" s="15"/>
      <c r="Z662" s="15"/>
      <c r="AA662" s="15"/>
    </row>
    <row r="663" spans="1:27" s="25" customFormat="1" ht="12" customHeight="1" x14ac:dyDescent="0.2">
      <c r="A663" s="232"/>
      <c r="B663" s="250"/>
      <c r="C663" s="286"/>
      <c r="D663" s="232"/>
      <c r="E663" s="232"/>
      <c r="F663" s="232"/>
      <c r="G663" s="232"/>
      <c r="H663" s="232"/>
      <c r="I663" s="232"/>
      <c r="J663" s="232"/>
      <c r="K663" s="232"/>
      <c r="L663" s="232"/>
      <c r="M663" s="232"/>
      <c r="N663" s="232"/>
      <c r="O663" s="232"/>
      <c r="P663" s="232"/>
      <c r="Q663" s="232"/>
      <c r="R663" s="232"/>
      <c r="S663" s="232"/>
      <c r="T663" s="232"/>
      <c r="U663" s="232"/>
      <c r="V663" s="15"/>
      <c r="W663" s="15"/>
      <c r="X663" s="15"/>
      <c r="Y663" s="15"/>
      <c r="Z663" s="15"/>
      <c r="AA663" s="15"/>
    </row>
    <row r="664" spans="1:27" s="25" customFormat="1" ht="12" customHeight="1" x14ac:dyDescent="0.2">
      <c r="A664" s="232"/>
      <c r="B664" s="250"/>
      <c r="C664" s="286"/>
      <c r="D664" s="232"/>
      <c r="E664" s="232"/>
      <c r="F664" s="232"/>
      <c r="G664" s="232"/>
      <c r="H664" s="232"/>
      <c r="I664" s="232"/>
      <c r="J664" s="232"/>
      <c r="K664" s="232"/>
      <c r="L664" s="232"/>
      <c r="M664" s="232"/>
      <c r="N664" s="232"/>
      <c r="O664" s="232"/>
      <c r="P664" s="232"/>
      <c r="Q664" s="232"/>
      <c r="R664" s="232"/>
      <c r="S664" s="232"/>
      <c r="T664" s="232"/>
      <c r="U664" s="232"/>
      <c r="V664" s="15"/>
      <c r="W664" s="15"/>
      <c r="X664" s="15"/>
      <c r="Y664" s="15"/>
      <c r="Z664" s="15"/>
      <c r="AA664" s="15"/>
    </row>
    <row r="665" spans="1:27" s="25" customFormat="1" ht="12" customHeight="1" x14ac:dyDescent="0.2">
      <c r="A665" s="232"/>
      <c r="B665" s="250"/>
      <c r="C665" s="286"/>
      <c r="D665" s="232"/>
      <c r="E665" s="232"/>
      <c r="F665" s="232"/>
      <c r="G665" s="232"/>
      <c r="H665" s="232"/>
      <c r="I665" s="232"/>
      <c r="J665" s="232"/>
      <c r="K665" s="232"/>
      <c r="L665" s="232"/>
      <c r="M665" s="232"/>
      <c r="N665" s="232"/>
      <c r="O665" s="232"/>
      <c r="P665" s="232"/>
      <c r="Q665" s="232"/>
      <c r="R665" s="232"/>
      <c r="S665" s="232"/>
      <c r="T665" s="232"/>
      <c r="U665" s="232"/>
      <c r="V665" s="15"/>
      <c r="W665" s="15"/>
      <c r="X665" s="15"/>
      <c r="Y665" s="15"/>
      <c r="Z665" s="15"/>
      <c r="AA665" s="15"/>
    </row>
    <row r="666" spans="1:27" s="25" customFormat="1" ht="12" customHeight="1" x14ac:dyDescent="0.2">
      <c r="A666" s="232"/>
      <c r="B666" s="250"/>
      <c r="C666" s="286"/>
      <c r="D666" s="232"/>
      <c r="E666" s="232"/>
      <c r="F666" s="232"/>
      <c r="G666" s="232"/>
      <c r="H666" s="232"/>
      <c r="I666" s="232"/>
      <c r="J666" s="232"/>
      <c r="K666" s="232"/>
      <c r="L666" s="232"/>
      <c r="M666" s="232"/>
      <c r="N666" s="232"/>
      <c r="O666" s="232"/>
      <c r="P666" s="232"/>
      <c r="Q666" s="232"/>
      <c r="R666" s="232"/>
      <c r="S666" s="232"/>
      <c r="T666" s="232"/>
      <c r="U666" s="232"/>
      <c r="V666" s="15"/>
      <c r="W666" s="15"/>
      <c r="X666" s="15"/>
      <c r="Y666" s="15"/>
      <c r="Z666" s="15"/>
      <c r="AA666" s="15"/>
    </row>
    <row r="667" spans="1:27" s="25" customFormat="1" ht="12" customHeight="1" x14ac:dyDescent="0.2">
      <c r="A667" s="232"/>
      <c r="B667" s="250"/>
      <c r="C667" s="286"/>
      <c r="D667" s="232"/>
      <c r="E667" s="232"/>
      <c r="F667" s="232"/>
      <c r="G667" s="232"/>
      <c r="H667" s="232"/>
      <c r="I667" s="232"/>
      <c r="J667" s="232"/>
      <c r="K667" s="232"/>
      <c r="L667" s="232"/>
      <c r="M667" s="232"/>
      <c r="N667" s="232"/>
      <c r="O667" s="232"/>
      <c r="P667" s="232"/>
      <c r="Q667" s="232"/>
      <c r="R667" s="232"/>
      <c r="S667" s="232"/>
      <c r="T667" s="232"/>
      <c r="U667" s="232"/>
      <c r="V667" s="15"/>
      <c r="W667" s="15"/>
      <c r="X667" s="15"/>
      <c r="Y667" s="15"/>
      <c r="Z667" s="15"/>
      <c r="AA667" s="15"/>
    </row>
    <row r="668" spans="1:27" s="25" customFormat="1" ht="12" customHeight="1" x14ac:dyDescent="0.2">
      <c r="A668" s="232"/>
      <c r="B668" s="250"/>
      <c r="C668" s="286"/>
      <c r="D668" s="232"/>
      <c r="E668" s="232"/>
      <c r="F668" s="232"/>
      <c r="G668" s="232"/>
      <c r="H668" s="232"/>
      <c r="I668" s="232"/>
      <c r="J668" s="232"/>
      <c r="K668" s="232"/>
      <c r="L668" s="232"/>
      <c r="M668" s="232"/>
      <c r="N668" s="232"/>
      <c r="O668" s="232"/>
      <c r="P668" s="232"/>
      <c r="Q668" s="232"/>
      <c r="R668" s="232"/>
      <c r="S668" s="232"/>
      <c r="T668" s="232"/>
      <c r="U668" s="232"/>
      <c r="V668" s="15"/>
      <c r="W668" s="15"/>
      <c r="X668" s="15"/>
      <c r="Y668" s="15"/>
      <c r="Z668" s="15"/>
      <c r="AA668" s="15"/>
    </row>
    <row r="669" spans="1:27" s="25" customFormat="1" ht="12" customHeight="1" x14ac:dyDescent="0.2">
      <c r="A669" s="232"/>
      <c r="B669" s="250"/>
      <c r="C669" s="286"/>
      <c r="D669" s="232"/>
      <c r="E669" s="232"/>
      <c r="F669" s="232"/>
      <c r="G669" s="232"/>
      <c r="H669" s="232"/>
      <c r="I669" s="232"/>
      <c r="J669" s="232"/>
      <c r="K669" s="232"/>
      <c r="L669" s="232"/>
      <c r="M669" s="232"/>
      <c r="N669" s="232"/>
      <c r="O669" s="232"/>
      <c r="P669" s="232"/>
      <c r="Q669" s="232"/>
      <c r="R669" s="232"/>
      <c r="S669" s="232"/>
      <c r="T669" s="232"/>
      <c r="U669" s="232"/>
      <c r="V669" s="15"/>
      <c r="W669" s="15"/>
      <c r="X669" s="15"/>
      <c r="Y669" s="15"/>
      <c r="Z669" s="15"/>
      <c r="AA669" s="15"/>
    </row>
    <row r="670" spans="1:27" s="25" customFormat="1" ht="12" customHeight="1" x14ac:dyDescent="0.2">
      <c r="A670" s="232"/>
      <c r="B670" s="250"/>
      <c r="C670" s="286"/>
      <c r="D670" s="232"/>
      <c r="E670" s="232"/>
      <c r="F670" s="232"/>
      <c r="G670" s="232"/>
      <c r="H670" s="232"/>
      <c r="I670" s="232"/>
      <c r="J670" s="232"/>
      <c r="K670" s="232"/>
      <c r="L670" s="232"/>
      <c r="M670" s="232"/>
      <c r="N670" s="232"/>
      <c r="O670" s="232"/>
      <c r="P670" s="232"/>
      <c r="Q670" s="232"/>
      <c r="R670" s="232"/>
      <c r="S670" s="232"/>
      <c r="T670" s="232"/>
      <c r="U670" s="232"/>
      <c r="V670" s="15"/>
      <c r="W670" s="15"/>
      <c r="X670" s="15"/>
      <c r="Y670" s="15"/>
      <c r="Z670" s="15"/>
      <c r="AA670" s="15"/>
    </row>
    <row r="671" spans="1:27" s="25" customFormat="1" ht="12" customHeight="1" x14ac:dyDescent="0.2">
      <c r="A671" s="232"/>
      <c r="B671" s="250"/>
      <c r="C671" s="286"/>
      <c r="D671" s="232"/>
      <c r="E671" s="232"/>
      <c r="F671" s="232"/>
      <c r="G671" s="232"/>
      <c r="H671" s="232"/>
      <c r="I671" s="232"/>
      <c r="J671" s="232"/>
      <c r="K671" s="232"/>
      <c r="L671" s="232"/>
      <c r="M671" s="232"/>
      <c r="N671" s="232"/>
      <c r="O671" s="232"/>
      <c r="P671" s="232"/>
      <c r="Q671" s="232"/>
      <c r="R671" s="232"/>
      <c r="S671" s="232"/>
      <c r="T671" s="232"/>
      <c r="U671" s="232"/>
      <c r="V671" s="15"/>
      <c r="W671" s="15"/>
      <c r="X671" s="15"/>
      <c r="Y671" s="15"/>
      <c r="Z671" s="15"/>
      <c r="AA671" s="15"/>
    </row>
    <row r="672" spans="1:27" s="25" customFormat="1" ht="12" customHeight="1" x14ac:dyDescent="0.2">
      <c r="A672" s="232"/>
      <c r="B672" s="250"/>
      <c r="C672" s="286"/>
      <c r="D672" s="232"/>
      <c r="E672" s="232"/>
      <c r="F672" s="232"/>
      <c r="G672" s="232"/>
      <c r="H672" s="232"/>
      <c r="I672" s="232"/>
      <c r="J672" s="232"/>
      <c r="K672" s="232"/>
      <c r="L672" s="232"/>
      <c r="M672" s="232"/>
      <c r="N672" s="232"/>
      <c r="O672" s="232"/>
      <c r="P672" s="232"/>
      <c r="Q672" s="232"/>
      <c r="R672" s="232"/>
      <c r="S672" s="232"/>
      <c r="T672" s="232"/>
      <c r="U672" s="232"/>
      <c r="V672" s="15"/>
      <c r="W672" s="15"/>
      <c r="X672" s="15"/>
      <c r="Y672" s="15"/>
      <c r="Z672" s="15"/>
      <c r="AA672" s="15"/>
    </row>
    <row r="673" spans="1:27" s="25" customFormat="1" ht="12" customHeight="1" x14ac:dyDescent="0.2">
      <c r="A673" s="232"/>
      <c r="B673" s="250"/>
      <c r="C673" s="286"/>
      <c r="D673" s="232"/>
      <c r="E673" s="232"/>
      <c r="F673" s="232"/>
      <c r="G673" s="232"/>
      <c r="H673" s="232"/>
      <c r="I673" s="232"/>
      <c r="J673" s="232"/>
      <c r="K673" s="232"/>
      <c r="L673" s="232"/>
      <c r="M673" s="232"/>
      <c r="N673" s="232"/>
      <c r="O673" s="232"/>
      <c r="P673" s="232"/>
      <c r="Q673" s="232"/>
      <c r="R673" s="232"/>
      <c r="S673" s="232"/>
      <c r="T673" s="232"/>
      <c r="U673" s="232"/>
      <c r="V673" s="15"/>
      <c r="W673" s="15"/>
      <c r="X673" s="15"/>
      <c r="Y673" s="15"/>
      <c r="Z673" s="15"/>
      <c r="AA673" s="15"/>
    </row>
    <row r="674" spans="1:27" s="25" customFormat="1" ht="12" customHeight="1" x14ac:dyDescent="0.2">
      <c r="A674" s="232"/>
      <c r="B674" s="250"/>
      <c r="C674" s="286"/>
      <c r="D674" s="232"/>
      <c r="E674" s="232"/>
      <c r="F674" s="232"/>
      <c r="G674" s="232"/>
      <c r="H674" s="232"/>
      <c r="I674" s="232"/>
      <c r="J674" s="232"/>
      <c r="K674" s="232"/>
      <c r="L674" s="232"/>
      <c r="M674" s="232"/>
      <c r="N674" s="232"/>
      <c r="O674" s="232"/>
      <c r="P674" s="232"/>
      <c r="Q674" s="232"/>
      <c r="R674" s="232"/>
      <c r="S674" s="232"/>
      <c r="T674" s="232"/>
      <c r="U674" s="232"/>
      <c r="V674" s="15"/>
      <c r="W674" s="15"/>
      <c r="X674" s="15"/>
      <c r="Y674" s="15"/>
      <c r="Z674" s="15"/>
      <c r="AA674" s="15"/>
    </row>
    <row r="675" spans="1:27" s="25" customFormat="1" ht="12" customHeight="1" x14ac:dyDescent="0.2">
      <c r="A675" s="232"/>
      <c r="B675" s="250"/>
      <c r="C675" s="286"/>
      <c r="D675" s="232"/>
      <c r="E675" s="232"/>
      <c r="F675" s="232"/>
      <c r="G675" s="232"/>
      <c r="H675" s="232"/>
      <c r="I675" s="232"/>
      <c r="J675" s="232"/>
      <c r="K675" s="232"/>
      <c r="L675" s="232"/>
      <c r="M675" s="232"/>
      <c r="N675" s="232"/>
      <c r="O675" s="232"/>
      <c r="P675" s="232"/>
      <c r="Q675" s="232"/>
      <c r="R675" s="232"/>
      <c r="S675" s="232"/>
      <c r="T675" s="232"/>
      <c r="U675" s="232"/>
      <c r="V675" s="15"/>
      <c r="W675" s="15"/>
      <c r="X675" s="15"/>
      <c r="Y675" s="15"/>
      <c r="Z675" s="15"/>
      <c r="AA675" s="15"/>
    </row>
    <row r="676" spans="1:27" s="25" customFormat="1" ht="12" customHeight="1" x14ac:dyDescent="0.2">
      <c r="A676" s="232"/>
      <c r="B676" s="250"/>
      <c r="C676" s="286"/>
      <c r="D676" s="232"/>
      <c r="E676" s="232"/>
      <c r="F676" s="232"/>
      <c r="G676" s="232"/>
      <c r="H676" s="232"/>
      <c r="I676" s="232"/>
      <c r="J676" s="232"/>
      <c r="K676" s="232"/>
      <c r="L676" s="232"/>
      <c r="M676" s="232"/>
      <c r="N676" s="232"/>
      <c r="O676" s="232"/>
      <c r="P676" s="232"/>
      <c r="Q676" s="232"/>
      <c r="R676" s="232"/>
      <c r="S676" s="232"/>
      <c r="T676" s="232"/>
      <c r="U676" s="232"/>
      <c r="V676" s="15"/>
      <c r="W676" s="15"/>
      <c r="X676" s="15"/>
      <c r="Y676" s="15"/>
      <c r="Z676" s="15"/>
      <c r="AA676" s="15"/>
    </row>
    <row r="677" spans="1:27" s="25" customFormat="1" ht="12" customHeight="1" x14ac:dyDescent="0.2">
      <c r="A677" s="232"/>
      <c r="B677" s="250"/>
      <c r="C677" s="286"/>
      <c r="D677" s="232"/>
      <c r="E677" s="232"/>
      <c r="F677" s="232"/>
      <c r="G677" s="232"/>
      <c r="H677" s="232"/>
      <c r="I677" s="232"/>
      <c r="J677" s="232"/>
      <c r="K677" s="232"/>
      <c r="L677" s="232"/>
      <c r="M677" s="232"/>
      <c r="N677" s="232"/>
      <c r="O677" s="232"/>
      <c r="P677" s="232"/>
      <c r="Q677" s="232"/>
      <c r="R677" s="232"/>
      <c r="S677" s="232"/>
      <c r="T677" s="232"/>
      <c r="U677" s="232"/>
      <c r="V677" s="15"/>
      <c r="W677" s="15"/>
      <c r="X677" s="15"/>
      <c r="Y677" s="15"/>
      <c r="Z677" s="15"/>
      <c r="AA677" s="15"/>
    </row>
    <row r="678" spans="1:27" s="25" customFormat="1" ht="12" customHeight="1" x14ac:dyDescent="0.2">
      <c r="A678" s="232"/>
      <c r="B678" s="250"/>
      <c r="C678" s="286"/>
      <c r="D678" s="232"/>
      <c r="E678" s="232"/>
      <c r="F678" s="232"/>
      <c r="G678" s="232"/>
      <c r="H678" s="232"/>
      <c r="I678" s="232"/>
      <c r="J678" s="232"/>
      <c r="K678" s="232"/>
      <c r="L678" s="232"/>
      <c r="M678" s="232"/>
      <c r="N678" s="232"/>
      <c r="O678" s="232"/>
      <c r="P678" s="232"/>
      <c r="Q678" s="232"/>
      <c r="R678" s="232"/>
      <c r="S678" s="232"/>
      <c r="T678" s="232"/>
      <c r="U678" s="232"/>
      <c r="V678" s="15"/>
      <c r="W678" s="15"/>
      <c r="X678" s="15"/>
      <c r="Y678" s="15"/>
      <c r="Z678" s="15"/>
      <c r="AA678" s="15"/>
    </row>
    <row r="679" spans="1:27" s="25" customFormat="1" ht="12" customHeight="1" x14ac:dyDescent="0.2">
      <c r="A679" s="232"/>
      <c r="B679" s="250"/>
      <c r="C679" s="286"/>
      <c r="D679" s="232"/>
      <c r="E679" s="232"/>
      <c r="F679" s="232"/>
      <c r="G679" s="232"/>
      <c r="H679" s="232"/>
      <c r="I679" s="232"/>
      <c r="J679" s="232"/>
      <c r="K679" s="232"/>
      <c r="L679" s="232"/>
      <c r="M679" s="232"/>
      <c r="N679" s="232"/>
      <c r="O679" s="232"/>
      <c r="P679" s="232"/>
      <c r="Q679" s="232"/>
      <c r="R679" s="232"/>
      <c r="S679" s="232"/>
      <c r="T679" s="232"/>
      <c r="U679" s="232"/>
      <c r="V679" s="15"/>
      <c r="W679" s="15"/>
      <c r="X679" s="15"/>
      <c r="Y679" s="15"/>
      <c r="Z679" s="15"/>
      <c r="AA679" s="15"/>
    </row>
    <row r="680" spans="1:27" s="25" customFormat="1" ht="12" customHeight="1" x14ac:dyDescent="0.2">
      <c r="A680" s="232"/>
      <c r="B680" s="250"/>
      <c r="C680" s="286"/>
      <c r="D680" s="232"/>
      <c r="E680" s="232"/>
      <c r="F680" s="232"/>
      <c r="G680" s="232"/>
      <c r="H680" s="232"/>
      <c r="I680" s="232"/>
      <c r="J680" s="232"/>
      <c r="K680" s="232"/>
      <c r="L680" s="232"/>
      <c r="M680" s="232"/>
      <c r="N680" s="232"/>
      <c r="O680" s="232"/>
      <c r="P680" s="232"/>
      <c r="Q680" s="232"/>
      <c r="R680" s="232"/>
      <c r="S680" s="232"/>
      <c r="T680" s="232"/>
      <c r="U680" s="232"/>
      <c r="V680" s="15"/>
      <c r="W680" s="15"/>
      <c r="X680" s="15"/>
      <c r="Y680" s="15"/>
      <c r="Z680" s="15"/>
      <c r="AA680" s="15"/>
    </row>
    <row r="681" spans="1:27" s="25" customFormat="1" ht="12" customHeight="1" x14ac:dyDescent="0.2">
      <c r="A681" s="232"/>
      <c r="B681" s="250"/>
      <c r="C681" s="286"/>
      <c r="D681" s="232"/>
      <c r="E681" s="232"/>
      <c r="F681" s="232"/>
      <c r="G681" s="232"/>
      <c r="H681" s="232"/>
      <c r="I681" s="232"/>
      <c r="J681" s="232"/>
      <c r="K681" s="232"/>
      <c r="L681" s="232"/>
      <c r="M681" s="232"/>
      <c r="N681" s="232"/>
      <c r="O681" s="232"/>
      <c r="P681" s="232"/>
      <c r="Q681" s="232"/>
      <c r="R681" s="232"/>
      <c r="S681" s="232"/>
      <c r="T681" s="232"/>
      <c r="U681" s="232"/>
      <c r="V681" s="15"/>
      <c r="W681" s="15"/>
      <c r="X681" s="15"/>
      <c r="Y681" s="15"/>
      <c r="Z681" s="15"/>
      <c r="AA681" s="15"/>
    </row>
    <row r="682" spans="1:27" s="25" customFormat="1" ht="12" customHeight="1" x14ac:dyDescent="0.2">
      <c r="A682" s="232"/>
      <c r="B682" s="250"/>
      <c r="C682" s="286"/>
      <c r="D682" s="232"/>
      <c r="E682" s="232"/>
      <c r="F682" s="232"/>
      <c r="G682" s="232"/>
      <c r="H682" s="232"/>
      <c r="I682" s="232"/>
      <c r="J682" s="232"/>
      <c r="K682" s="232"/>
      <c r="L682" s="232"/>
      <c r="M682" s="232"/>
      <c r="N682" s="232"/>
      <c r="O682" s="232"/>
      <c r="P682" s="232"/>
      <c r="Q682" s="232"/>
      <c r="R682" s="232"/>
      <c r="S682" s="232"/>
      <c r="T682" s="232"/>
      <c r="U682" s="232"/>
      <c r="V682" s="15"/>
      <c r="W682" s="15"/>
      <c r="X682" s="15"/>
      <c r="Y682" s="15"/>
      <c r="Z682" s="15"/>
      <c r="AA682" s="15"/>
    </row>
    <row r="683" spans="1:27" s="25" customFormat="1" ht="12" customHeight="1" x14ac:dyDescent="0.2">
      <c r="A683" s="232"/>
      <c r="B683" s="250"/>
      <c r="C683" s="286"/>
      <c r="D683" s="232"/>
      <c r="E683" s="232"/>
      <c r="F683" s="232"/>
      <c r="G683" s="232"/>
      <c r="H683" s="232"/>
      <c r="I683" s="232"/>
      <c r="J683" s="232"/>
      <c r="K683" s="232"/>
      <c r="L683" s="232"/>
      <c r="M683" s="232"/>
      <c r="N683" s="232"/>
      <c r="O683" s="232"/>
      <c r="P683" s="232"/>
      <c r="Q683" s="232"/>
      <c r="R683" s="232"/>
      <c r="S683" s="232"/>
      <c r="T683" s="232"/>
      <c r="U683" s="232"/>
      <c r="V683" s="15"/>
      <c r="W683" s="15"/>
      <c r="X683" s="15"/>
      <c r="Y683" s="15"/>
      <c r="Z683" s="15"/>
      <c r="AA683" s="15"/>
    </row>
    <row r="684" spans="1:27" s="25" customFormat="1" ht="12" customHeight="1" x14ac:dyDescent="0.2">
      <c r="A684" s="232"/>
      <c r="B684" s="250"/>
      <c r="C684" s="286"/>
      <c r="D684" s="232"/>
      <c r="E684" s="232"/>
      <c r="F684" s="232"/>
      <c r="G684" s="232"/>
      <c r="H684" s="232"/>
      <c r="I684" s="232"/>
      <c r="J684" s="232"/>
      <c r="K684" s="232"/>
      <c r="L684" s="232"/>
      <c r="M684" s="232"/>
      <c r="N684" s="232"/>
      <c r="O684" s="232"/>
      <c r="P684" s="232"/>
      <c r="Q684" s="232"/>
      <c r="R684" s="232"/>
      <c r="S684" s="232"/>
      <c r="T684" s="232"/>
      <c r="U684" s="232"/>
      <c r="V684" s="15"/>
      <c r="W684" s="15"/>
      <c r="X684" s="15"/>
      <c r="Y684" s="15"/>
      <c r="Z684" s="15"/>
      <c r="AA684" s="15"/>
    </row>
    <row r="685" spans="1:27" s="25" customFormat="1" ht="12" customHeight="1" x14ac:dyDescent="0.2">
      <c r="A685" s="232"/>
      <c r="B685" s="250"/>
      <c r="C685" s="286"/>
      <c r="D685" s="232"/>
      <c r="E685" s="232"/>
      <c r="F685" s="232"/>
      <c r="G685" s="232"/>
      <c r="H685" s="232"/>
      <c r="I685" s="232"/>
      <c r="J685" s="232"/>
      <c r="K685" s="232"/>
      <c r="L685" s="232"/>
      <c r="M685" s="232"/>
      <c r="N685" s="232"/>
      <c r="O685" s="232"/>
      <c r="P685" s="232"/>
      <c r="Q685" s="232"/>
      <c r="R685" s="232"/>
      <c r="S685" s="232"/>
      <c r="T685" s="232"/>
      <c r="U685" s="232"/>
      <c r="V685" s="15"/>
      <c r="W685" s="15"/>
      <c r="X685" s="15"/>
      <c r="Y685" s="15"/>
      <c r="Z685" s="15"/>
      <c r="AA685" s="15"/>
    </row>
    <row r="686" spans="1:27" s="25" customFormat="1" ht="12" customHeight="1" x14ac:dyDescent="0.2">
      <c r="A686" s="232"/>
      <c r="B686" s="250"/>
      <c r="C686" s="286"/>
      <c r="D686" s="232"/>
      <c r="E686" s="232"/>
      <c r="F686" s="232"/>
      <c r="G686" s="232"/>
      <c r="H686" s="232"/>
      <c r="I686" s="232"/>
      <c r="J686" s="232"/>
      <c r="K686" s="232"/>
      <c r="L686" s="232"/>
      <c r="M686" s="232"/>
      <c r="N686" s="232"/>
      <c r="O686" s="232"/>
      <c r="P686" s="232"/>
      <c r="Q686" s="232"/>
      <c r="R686" s="232"/>
      <c r="S686" s="232"/>
      <c r="T686" s="232"/>
      <c r="U686" s="232"/>
      <c r="V686" s="15"/>
      <c r="W686" s="15"/>
      <c r="X686" s="15"/>
      <c r="Y686" s="15"/>
      <c r="Z686" s="15"/>
      <c r="AA686" s="15"/>
    </row>
    <row r="687" spans="1:27" s="25" customFormat="1" ht="12" customHeight="1" x14ac:dyDescent="0.2">
      <c r="A687" s="232"/>
      <c r="B687" s="250"/>
      <c r="C687" s="286"/>
      <c r="D687" s="232"/>
      <c r="E687" s="232"/>
      <c r="F687" s="232"/>
      <c r="G687" s="232"/>
      <c r="H687" s="232"/>
      <c r="I687" s="232"/>
      <c r="J687" s="232"/>
      <c r="K687" s="232"/>
      <c r="L687" s="232"/>
      <c r="M687" s="232"/>
      <c r="N687" s="232"/>
      <c r="O687" s="232"/>
      <c r="P687" s="232"/>
      <c r="Q687" s="232"/>
      <c r="R687" s="232"/>
      <c r="S687" s="232"/>
      <c r="T687" s="232"/>
      <c r="U687" s="232"/>
      <c r="V687" s="15"/>
      <c r="W687" s="15"/>
      <c r="X687" s="15"/>
      <c r="Y687" s="15"/>
      <c r="Z687" s="15"/>
      <c r="AA687" s="15"/>
    </row>
    <row r="688" spans="1:27" s="25" customFormat="1" ht="12" customHeight="1" x14ac:dyDescent="0.2">
      <c r="A688" s="232"/>
      <c r="B688" s="250"/>
      <c r="C688" s="286"/>
      <c r="D688" s="232"/>
      <c r="E688" s="232"/>
      <c r="F688" s="232"/>
      <c r="G688" s="232"/>
      <c r="H688" s="232"/>
      <c r="I688" s="232"/>
      <c r="J688" s="232"/>
      <c r="K688" s="232"/>
      <c r="L688" s="232"/>
      <c r="M688" s="232"/>
      <c r="N688" s="232"/>
      <c r="O688" s="232"/>
      <c r="P688" s="232"/>
      <c r="Q688" s="232"/>
      <c r="R688" s="232"/>
      <c r="S688" s="232"/>
      <c r="T688" s="232"/>
      <c r="U688" s="232"/>
      <c r="V688" s="15"/>
      <c r="W688" s="15"/>
      <c r="X688" s="15"/>
      <c r="Y688" s="15"/>
      <c r="Z688" s="15"/>
      <c r="AA688" s="15"/>
    </row>
    <row r="689" spans="1:27" s="25" customFormat="1" ht="12" customHeight="1" x14ac:dyDescent="0.2">
      <c r="A689" s="232"/>
      <c r="B689" s="250"/>
      <c r="C689" s="286"/>
      <c r="D689" s="232"/>
      <c r="E689" s="232"/>
      <c r="F689" s="232"/>
      <c r="G689" s="232"/>
      <c r="H689" s="232"/>
      <c r="I689" s="232"/>
      <c r="J689" s="232"/>
      <c r="K689" s="232"/>
      <c r="L689" s="232"/>
      <c r="M689" s="232"/>
      <c r="N689" s="232"/>
      <c r="O689" s="232"/>
      <c r="P689" s="232"/>
      <c r="Q689" s="232"/>
      <c r="R689" s="232"/>
      <c r="S689" s="232"/>
      <c r="T689" s="232"/>
      <c r="U689" s="232"/>
      <c r="V689" s="15"/>
      <c r="W689" s="15"/>
      <c r="X689" s="15"/>
      <c r="Y689" s="15"/>
      <c r="Z689" s="15"/>
      <c r="AA689" s="15"/>
    </row>
    <row r="690" spans="1:27" s="25" customFormat="1" ht="12" customHeight="1" x14ac:dyDescent="0.2">
      <c r="A690" s="232"/>
      <c r="B690" s="250"/>
      <c r="C690" s="286"/>
      <c r="D690" s="232"/>
      <c r="E690" s="232"/>
      <c r="F690" s="232"/>
      <c r="G690" s="232"/>
      <c r="H690" s="232"/>
      <c r="I690" s="232"/>
      <c r="J690" s="232"/>
      <c r="K690" s="232"/>
      <c r="L690" s="232"/>
      <c r="M690" s="232"/>
      <c r="N690" s="232"/>
      <c r="O690" s="232"/>
      <c r="P690" s="232"/>
      <c r="Q690" s="232"/>
      <c r="R690" s="232"/>
      <c r="S690" s="232"/>
      <c r="T690" s="232"/>
      <c r="U690" s="232"/>
      <c r="V690" s="15"/>
      <c r="W690" s="15"/>
      <c r="X690" s="15"/>
      <c r="Y690" s="15"/>
      <c r="Z690" s="15"/>
      <c r="AA690" s="15"/>
    </row>
    <row r="691" spans="1:27" s="25" customFormat="1" ht="12" customHeight="1" x14ac:dyDescent="0.2">
      <c r="A691" s="232"/>
      <c r="B691" s="250"/>
      <c r="C691" s="286"/>
      <c r="D691" s="232"/>
      <c r="E691" s="232"/>
      <c r="F691" s="232"/>
      <c r="G691" s="232"/>
      <c r="H691" s="232"/>
      <c r="I691" s="232"/>
      <c r="J691" s="232"/>
      <c r="K691" s="232"/>
      <c r="L691" s="232"/>
      <c r="M691" s="232"/>
      <c r="N691" s="232"/>
      <c r="O691" s="232"/>
      <c r="P691" s="232"/>
      <c r="Q691" s="232"/>
      <c r="R691" s="232"/>
      <c r="S691" s="232"/>
      <c r="T691" s="232"/>
      <c r="U691" s="232"/>
      <c r="V691" s="15"/>
      <c r="W691" s="15"/>
      <c r="X691" s="15"/>
      <c r="Y691" s="15"/>
      <c r="Z691" s="15"/>
      <c r="AA691" s="15"/>
    </row>
    <row r="692" spans="1:27" s="25" customFormat="1" ht="12" customHeight="1" x14ac:dyDescent="0.2">
      <c r="A692" s="232"/>
      <c r="B692" s="250"/>
      <c r="C692" s="286"/>
      <c r="D692" s="232"/>
      <c r="E692" s="232"/>
      <c r="F692" s="232"/>
      <c r="G692" s="232"/>
      <c r="H692" s="232"/>
      <c r="I692" s="232"/>
      <c r="J692" s="232"/>
      <c r="K692" s="232"/>
      <c r="L692" s="232"/>
      <c r="M692" s="232"/>
      <c r="N692" s="232"/>
      <c r="O692" s="232"/>
      <c r="P692" s="232"/>
      <c r="Q692" s="232"/>
      <c r="R692" s="232"/>
      <c r="S692" s="232"/>
      <c r="T692" s="232"/>
      <c r="U692" s="232"/>
      <c r="V692" s="15"/>
      <c r="W692" s="15"/>
      <c r="X692" s="15"/>
      <c r="Y692" s="15"/>
      <c r="Z692" s="15"/>
      <c r="AA692" s="15"/>
    </row>
    <row r="693" spans="1:27" s="25" customFormat="1" ht="12" customHeight="1" x14ac:dyDescent="0.2">
      <c r="A693" s="232"/>
      <c r="B693" s="250"/>
      <c r="C693" s="286"/>
      <c r="D693" s="232"/>
      <c r="E693" s="232"/>
      <c r="F693" s="232"/>
      <c r="G693" s="232"/>
      <c r="H693" s="232"/>
      <c r="I693" s="232"/>
      <c r="J693" s="232"/>
      <c r="K693" s="232"/>
      <c r="L693" s="232"/>
      <c r="M693" s="232"/>
      <c r="N693" s="232"/>
      <c r="O693" s="232"/>
      <c r="P693" s="232"/>
      <c r="Q693" s="232"/>
      <c r="R693" s="232"/>
      <c r="S693" s="232"/>
      <c r="T693" s="232"/>
      <c r="U693" s="232"/>
      <c r="V693" s="15"/>
      <c r="W693" s="15"/>
      <c r="X693" s="15"/>
      <c r="Y693" s="15"/>
      <c r="Z693" s="15"/>
      <c r="AA693" s="15"/>
    </row>
    <row r="694" spans="1:27" s="25" customFormat="1" ht="12" customHeight="1" x14ac:dyDescent="0.2">
      <c r="A694" s="232"/>
      <c r="B694" s="250"/>
      <c r="C694" s="286"/>
      <c r="D694" s="232"/>
      <c r="E694" s="232"/>
      <c r="F694" s="232"/>
      <c r="G694" s="232"/>
      <c r="H694" s="232"/>
      <c r="I694" s="232"/>
      <c r="J694" s="232"/>
      <c r="K694" s="232"/>
      <c r="L694" s="232"/>
      <c r="M694" s="232"/>
      <c r="N694" s="232"/>
      <c r="O694" s="232"/>
      <c r="P694" s="232"/>
      <c r="Q694" s="232"/>
      <c r="R694" s="232"/>
      <c r="S694" s="232"/>
      <c r="T694" s="232"/>
      <c r="U694" s="232"/>
      <c r="V694" s="15"/>
      <c r="W694" s="15"/>
      <c r="X694" s="15"/>
      <c r="Y694" s="15"/>
      <c r="Z694" s="15"/>
      <c r="AA694" s="15"/>
    </row>
    <row r="695" spans="1:27" s="25" customFormat="1" ht="12" customHeight="1" x14ac:dyDescent="0.2">
      <c r="A695" s="232"/>
      <c r="B695" s="250"/>
      <c r="C695" s="286"/>
      <c r="D695" s="232"/>
      <c r="E695" s="232"/>
      <c r="F695" s="232"/>
      <c r="G695" s="232"/>
      <c r="H695" s="232"/>
      <c r="I695" s="232"/>
      <c r="J695" s="232"/>
      <c r="K695" s="232"/>
      <c r="L695" s="232"/>
      <c r="M695" s="232"/>
      <c r="N695" s="232"/>
      <c r="O695" s="232"/>
      <c r="P695" s="232"/>
      <c r="Q695" s="232"/>
      <c r="R695" s="232"/>
      <c r="S695" s="232"/>
      <c r="T695" s="232"/>
      <c r="U695" s="232"/>
      <c r="V695" s="15"/>
      <c r="W695" s="15"/>
      <c r="X695" s="15"/>
      <c r="Y695" s="15"/>
      <c r="Z695" s="15"/>
      <c r="AA695" s="15"/>
    </row>
    <row r="696" spans="1:27" s="25" customFormat="1" ht="12" customHeight="1" x14ac:dyDescent="0.2">
      <c r="A696" s="232"/>
      <c r="B696" s="250"/>
      <c r="C696" s="286"/>
      <c r="D696" s="232"/>
      <c r="E696" s="232"/>
      <c r="F696" s="232"/>
      <c r="G696" s="232"/>
      <c r="H696" s="232"/>
      <c r="I696" s="232"/>
      <c r="J696" s="232"/>
      <c r="K696" s="232"/>
      <c r="L696" s="232"/>
      <c r="M696" s="232"/>
      <c r="N696" s="232"/>
      <c r="O696" s="232"/>
      <c r="P696" s="232"/>
      <c r="Q696" s="232"/>
      <c r="R696" s="232"/>
      <c r="S696" s="232"/>
      <c r="T696" s="232"/>
      <c r="U696" s="232"/>
      <c r="V696" s="15"/>
      <c r="W696" s="15"/>
      <c r="X696" s="15"/>
      <c r="Y696" s="15"/>
      <c r="Z696" s="15"/>
      <c r="AA696" s="15"/>
    </row>
    <row r="697" spans="1:27" s="25" customFormat="1" ht="12" customHeight="1" x14ac:dyDescent="0.2">
      <c r="A697" s="232"/>
      <c r="B697" s="250"/>
      <c r="C697" s="286"/>
      <c r="D697" s="232"/>
      <c r="E697" s="232"/>
      <c r="F697" s="232"/>
      <c r="G697" s="232"/>
      <c r="H697" s="232"/>
      <c r="I697" s="232"/>
      <c r="J697" s="232"/>
      <c r="K697" s="232"/>
      <c r="L697" s="232"/>
      <c r="M697" s="232"/>
      <c r="N697" s="232"/>
      <c r="O697" s="232"/>
      <c r="P697" s="232"/>
      <c r="Q697" s="232"/>
      <c r="R697" s="232"/>
      <c r="S697" s="232"/>
      <c r="T697" s="232"/>
      <c r="U697" s="232"/>
      <c r="V697" s="15"/>
      <c r="W697" s="15"/>
      <c r="X697" s="15"/>
      <c r="Y697" s="15"/>
      <c r="Z697" s="15"/>
      <c r="AA697" s="15"/>
    </row>
    <row r="698" spans="1:27" s="25" customFormat="1" ht="12" customHeight="1" x14ac:dyDescent="0.2">
      <c r="A698" s="232"/>
      <c r="B698" s="250"/>
      <c r="C698" s="286"/>
      <c r="D698" s="232"/>
      <c r="E698" s="232"/>
      <c r="F698" s="232"/>
      <c r="G698" s="232"/>
      <c r="H698" s="232"/>
      <c r="I698" s="232"/>
      <c r="J698" s="232"/>
      <c r="K698" s="232"/>
      <c r="L698" s="232"/>
      <c r="M698" s="232"/>
      <c r="N698" s="232"/>
      <c r="O698" s="232"/>
      <c r="P698" s="232"/>
      <c r="Q698" s="232"/>
      <c r="R698" s="232"/>
      <c r="S698" s="232"/>
      <c r="T698" s="232"/>
      <c r="U698" s="232"/>
      <c r="V698" s="15"/>
      <c r="W698" s="15"/>
      <c r="X698" s="15"/>
      <c r="Y698" s="15"/>
      <c r="Z698" s="15"/>
      <c r="AA698" s="15"/>
    </row>
    <row r="699" spans="1:27" s="25" customFormat="1" ht="12" customHeight="1" x14ac:dyDescent="0.2">
      <c r="A699" s="232"/>
      <c r="B699" s="250"/>
      <c r="C699" s="286"/>
      <c r="D699" s="232"/>
      <c r="E699" s="232"/>
      <c r="F699" s="232"/>
      <c r="G699" s="232"/>
      <c r="H699" s="232"/>
      <c r="I699" s="232"/>
      <c r="J699" s="232"/>
      <c r="K699" s="232"/>
      <c r="L699" s="232"/>
      <c r="M699" s="232"/>
      <c r="N699" s="232"/>
      <c r="O699" s="232"/>
      <c r="P699" s="232"/>
      <c r="Q699" s="232"/>
      <c r="R699" s="232"/>
      <c r="S699" s="232"/>
      <c r="T699" s="232"/>
      <c r="U699" s="232"/>
      <c r="V699" s="15"/>
      <c r="W699" s="15"/>
      <c r="X699" s="15"/>
      <c r="Y699" s="15"/>
      <c r="Z699" s="15"/>
      <c r="AA699" s="15"/>
    </row>
    <row r="700" spans="1:27" s="25" customFormat="1" ht="12" customHeight="1" x14ac:dyDescent="0.2">
      <c r="A700" s="232"/>
      <c r="B700" s="250"/>
      <c r="C700" s="286"/>
      <c r="D700" s="232"/>
      <c r="E700" s="232"/>
      <c r="F700" s="232"/>
      <c r="G700" s="232"/>
      <c r="H700" s="232"/>
      <c r="I700" s="232"/>
      <c r="J700" s="232"/>
      <c r="K700" s="232"/>
      <c r="L700" s="232"/>
      <c r="M700" s="232"/>
      <c r="N700" s="232"/>
      <c r="O700" s="232"/>
      <c r="P700" s="232"/>
      <c r="Q700" s="232"/>
      <c r="R700" s="232"/>
      <c r="S700" s="232"/>
      <c r="T700" s="232"/>
      <c r="U700" s="232"/>
      <c r="V700" s="15"/>
      <c r="W700" s="15"/>
      <c r="X700" s="15"/>
      <c r="Y700" s="15"/>
      <c r="Z700" s="15"/>
      <c r="AA700" s="15"/>
    </row>
    <row r="701" spans="1:27" s="25" customFormat="1" ht="12" customHeight="1" x14ac:dyDescent="0.2">
      <c r="A701" s="232"/>
      <c r="B701" s="250"/>
      <c r="C701" s="286"/>
      <c r="D701" s="232"/>
      <c r="E701" s="232"/>
      <c r="F701" s="232"/>
      <c r="G701" s="232"/>
      <c r="H701" s="232"/>
      <c r="I701" s="232"/>
      <c r="J701" s="232"/>
      <c r="K701" s="232"/>
      <c r="L701" s="232"/>
      <c r="M701" s="232"/>
      <c r="N701" s="232"/>
      <c r="O701" s="232"/>
      <c r="P701" s="232"/>
      <c r="Q701" s="232"/>
      <c r="R701" s="232"/>
      <c r="S701" s="232"/>
      <c r="T701" s="232"/>
      <c r="U701" s="232"/>
      <c r="V701" s="15"/>
      <c r="W701" s="15"/>
      <c r="X701" s="15"/>
      <c r="Y701" s="15"/>
      <c r="Z701" s="15"/>
      <c r="AA701" s="15"/>
    </row>
    <row r="702" spans="1:27" s="25" customFormat="1" ht="12" customHeight="1" x14ac:dyDescent="0.2">
      <c r="A702" s="232"/>
      <c r="B702" s="250"/>
      <c r="C702" s="286"/>
      <c r="D702" s="232"/>
      <c r="E702" s="232"/>
      <c r="F702" s="232"/>
      <c r="G702" s="232"/>
      <c r="H702" s="232"/>
      <c r="I702" s="232"/>
      <c r="J702" s="232"/>
      <c r="K702" s="232"/>
      <c r="L702" s="232"/>
      <c r="M702" s="232"/>
      <c r="N702" s="232"/>
      <c r="O702" s="232"/>
      <c r="P702" s="232"/>
      <c r="Q702" s="232"/>
      <c r="R702" s="232"/>
      <c r="S702" s="232"/>
      <c r="T702" s="232"/>
      <c r="U702" s="232"/>
      <c r="V702" s="15"/>
      <c r="W702" s="15"/>
      <c r="X702" s="15"/>
      <c r="Y702" s="15"/>
      <c r="Z702" s="15"/>
      <c r="AA702" s="15"/>
    </row>
    <row r="703" spans="1:27" s="25" customFormat="1" ht="12" customHeight="1" x14ac:dyDescent="0.2">
      <c r="A703" s="232"/>
      <c r="B703" s="250"/>
      <c r="C703" s="286"/>
      <c r="D703" s="232"/>
      <c r="E703" s="232"/>
      <c r="F703" s="232"/>
      <c r="G703" s="232"/>
      <c r="H703" s="232"/>
      <c r="I703" s="232"/>
      <c r="J703" s="232"/>
      <c r="K703" s="232"/>
      <c r="L703" s="232"/>
      <c r="M703" s="232"/>
      <c r="N703" s="232"/>
      <c r="O703" s="232"/>
      <c r="P703" s="232"/>
      <c r="Q703" s="232"/>
      <c r="R703" s="232"/>
      <c r="S703" s="232"/>
      <c r="T703" s="232"/>
      <c r="U703" s="232"/>
      <c r="V703" s="15"/>
      <c r="W703" s="15"/>
      <c r="X703" s="15"/>
      <c r="Y703" s="15"/>
      <c r="Z703" s="15"/>
      <c r="AA703" s="15"/>
    </row>
    <row r="704" spans="1:27" s="25" customFormat="1" ht="12" customHeight="1" x14ac:dyDescent="0.2">
      <c r="A704" s="232"/>
      <c r="B704" s="250"/>
      <c r="C704" s="286"/>
      <c r="D704" s="232"/>
      <c r="E704" s="232"/>
      <c r="F704" s="232"/>
      <c r="G704" s="232"/>
      <c r="H704" s="232"/>
      <c r="I704" s="232"/>
      <c r="J704" s="232"/>
      <c r="K704" s="232"/>
      <c r="L704" s="232"/>
      <c r="M704" s="232"/>
      <c r="N704" s="232"/>
      <c r="O704" s="232"/>
      <c r="P704" s="232"/>
      <c r="Q704" s="232"/>
      <c r="R704" s="232"/>
      <c r="S704" s="232"/>
      <c r="T704" s="232"/>
      <c r="U704" s="232"/>
      <c r="V704" s="15"/>
      <c r="W704" s="15"/>
      <c r="X704" s="15"/>
      <c r="Y704" s="15"/>
      <c r="Z704" s="15"/>
      <c r="AA704" s="15"/>
    </row>
    <row r="705" spans="1:27" s="25" customFormat="1" ht="12" customHeight="1" x14ac:dyDescent="0.2">
      <c r="A705" s="232"/>
      <c r="B705" s="250"/>
      <c r="C705" s="286"/>
      <c r="D705" s="232"/>
      <c r="E705" s="232"/>
      <c r="F705" s="232"/>
      <c r="G705" s="232"/>
      <c r="H705" s="232"/>
      <c r="I705" s="232"/>
      <c r="J705" s="232"/>
      <c r="K705" s="232"/>
      <c r="L705" s="232"/>
      <c r="M705" s="232"/>
      <c r="N705" s="232"/>
      <c r="O705" s="232"/>
      <c r="P705" s="232"/>
      <c r="Q705" s="232"/>
      <c r="R705" s="232"/>
      <c r="S705" s="232"/>
      <c r="T705" s="232"/>
      <c r="U705" s="232"/>
      <c r="V705" s="15"/>
      <c r="W705" s="15"/>
      <c r="X705" s="15"/>
      <c r="Y705" s="15"/>
      <c r="Z705" s="15"/>
      <c r="AA705" s="15"/>
    </row>
    <row r="706" spans="1:27" s="25" customFormat="1" ht="12" customHeight="1" x14ac:dyDescent="0.2">
      <c r="A706" s="232"/>
      <c r="B706" s="250"/>
      <c r="C706" s="286"/>
      <c r="D706" s="232"/>
      <c r="E706" s="232"/>
      <c r="F706" s="232"/>
      <c r="G706" s="232"/>
      <c r="H706" s="232"/>
      <c r="I706" s="232"/>
      <c r="J706" s="232"/>
      <c r="K706" s="232"/>
      <c r="L706" s="232"/>
      <c r="M706" s="232"/>
      <c r="N706" s="232"/>
      <c r="O706" s="232"/>
      <c r="P706" s="232"/>
      <c r="Q706" s="232"/>
      <c r="R706" s="232"/>
      <c r="S706" s="232"/>
      <c r="T706" s="232"/>
      <c r="U706" s="232"/>
      <c r="V706" s="15"/>
      <c r="W706" s="15"/>
      <c r="X706" s="15"/>
      <c r="Y706" s="15"/>
      <c r="Z706" s="15"/>
      <c r="AA706" s="15"/>
    </row>
    <row r="707" spans="1:27" s="25" customFormat="1" ht="12" customHeight="1" x14ac:dyDescent="0.2">
      <c r="A707" s="232"/>
      <c r="B707" s="250"/>
      <c r="C707" s="286"/>
      <c r="D707" s="232"/>
      <c r="E707" s="232"/>
      <c r="F707" s="232"/>
      <c r="G707" s="232"/>
      <c r="H707" s="232"/>
      <c r="I707" s="232"/>
      <c r="J707" s="232"/>
      <c r="K707" s="232"/>
      <c r="L707" s="232"/>
      <c r="M707" s="232"/>
      <c r="N707" s="232"/>
      <c r="O707" s="232"/>
      <c r="P707" s="232"/>
      <c r="Q707" s="232"/>
      <c r="R707" s="232"/>
      <c r="S707" s="232"/>
      <c r="T707" s="232"/>
      <c r="U707" s="232"/>
      <c r="V707" s="15"/>
      <c r="W707" s="15"/>
      <c r="X707" s="15"/>
      <c r="Y707" s="15"/>
      <c r="Z707" s="15"/>
      <c r="AA707" s="15"/>
    </row>
    <row r="708" spans="1:27" s="25" customFormat="1" ht="12" customHeight="1" x14ac:dyDescent="0.2">
      <c r="A708" s="232"/>
      <c r="B708" s="250"/>
      <c r="C708" s="286"/>
      <c r="D708" s="232"/>
      <c r="E708" s="232"/>
      <c r="F708" s="232"/>
      <c r="G708" s="232"/>
      <c r="H708" s="232"/>
      <c r="I708" s="232"/>
      <c r="J708" s="232"/>
      <c r="K708" s="232"/>
      <c r="L708" s="232"/>
      <c r="M708" s="232"/>
      <c r="N708" s="232"/>
      <c r="O708" s="232"/>
      <c r="P708" s="232"/>
      <c r="Q708" s="232"/>
      <c r="R708" s="232"/>
      <c r="S708" s="232"/>
      <c r="T708" s="232"/>
      <c r="U708" s="232"/>
      <c r="V708" s="15"/>
      <c r="W708" s="15"/>
      <c r="X708" s="15"/>
      <c r="Y708" s="15"/>
      <c r="Z708" s="15"/>
      <c r="AA708" s="15"/>
    </row>
    <row r="709" spans="1:27" s="25" customFormat="1" ht="12" customHeight="1" x14ac:dyDescent="0.2">
      <c r="A709" s="232"/>
      <c r="B709" s="250"/>
      <c r="C709" s="286"/>
      <c r="D709" s="232"/>
      <c r="E709" s="232"/>
      <c r="F709" s="232"/>
      <c r="G709" s="232"/>
      <c r="H709" s="232"/>
      <c r="I709" s="232"/>
      <c r="J709" s="232"/>
      <c r="K709" s="232"/>
      <c r="L709" s="232"/>
      <c r="M709" s="232"/>
      <c r="N709" s="232"/>
      <c r="O709" s="232"/>
      <c r="P709" s="232"/>
      <c r="Q709" s="232"/>
      <c r="R709" s="232"/>
      <c r="S709" s="232"/>
      <c r="T709" s="232"/>
      <c r="U709" s="232"/>
      <c r="V709" s="15"/>
      <c r="W709" s="15"/>
      <c r="X709" s="15"/>
      <c r="Y709" s="15"/>
      <c r="Z709" s="15"/>
      <c r="AA709" s="15"/>
    </row>
    <row r="710" spans="1:27" s="25" customFormat="1" ht="12" customHeight="1" x14ac:dyDescent="0.2">
      <c r="A710" s="232"/>
      <c r="B710" s="250"/>
      <c r="C710" s="286"/>
      <c r="D710" s="232"/>
      <c r="E710" s="232"/>
      <c r="F710" s="232"/>
      <c r="G710" s="232"/>
      <c r="H710" s="232"/>
      <c r="I710" s="232"/>
      <c r="J710" s="232"/>
      <c r="K710" s="232"/>
      <c r="L710" s="232"/>
      <c r="M710" s="232"/>
      <c r="N710" s="232"/>
      <c r="O710" s="232"/>
      <c r="P710" s="232"/>
      <c r="Q710" s="232"/>
      <c r="R710" s="232"/>
      <c r="S710" s="232"/>
      <c r="T710" s="232"/>
      <c r="U710" s="232"/>
      <c r="V710" s="15"/>
      <c r="W710" s="15"/>
      <c r="X710" s="15"/>
      <c r="Y710" s="15"/>
      <c r="Z710" s="15"/>
      <c r="AA710" s="15"/>
    </row>
    <row r="711" spans="1:27" s="25" customFormat="1" ht="12" customHeight="1" x14ac:dyDescent="0.2">
      <c r="A711" s="232"/>
      <c r="B711" s="250"/>
      <c r="C711" s="286"/>
      <c r="D711" s="232"/>
      <c r="E711" s="232"/>
      <c r="F711" s="232"/>
      <c r="G711" s="232"/>
      <c r="H711" s="232"/>
      <c r="I711" s="232"/>
      <c r="J711" s="232"/>
      <c r="K711" s="232"/>
      <c r="L711" s="232"/>
      <c r="M711" s="232"/>
      <c r="N711" s="232"/>
      <c r="O711" s="232"/>
      <c r="P711" s="232"/>
      <c r="Q711" s="232"/>
      <c r="R711" s="232"/>
      <c r="S711" s="232"/>
      <c r="T711" s="232"/>
      <c r="U711" s="232"/>
      <c r="V711" s="15"/>
      <c r="W711" s="15"/>
      <c r="X711" s="15"/>
      <c r="Y711" s="15"/>
      <c r="Z711" s="15"/>
      <c r="AA711" s="15"/>
    </row>
    <row r="712" spans="1:27" s="25" customFormat="1" ht="12" customHeight="1" x14ac:dyDescent="0.2">
      <c r="A712" s="232"/>
      <c r="B712" s="250"/>
      <c r="C712" s="286"/>
      <c r="D712" s="232"/>
      <c r="E712" s="232"/>
      <c r="F712" s="232"/>
      <c r="G712" s="232"/>
      <c r="H712" s="232"/>
      <c r="I712" s="232"/>
      <c r="J712" s="232"/>
      <c r="K712" s="232"/>
      <c r="L712" s="232"/>
      <c r="M712" s="232"/>
      <c r="N712" s="232"/>
      <c r="O712" s="232"/>
      <c r="P712" s="232"/>
      <c r="Q712" s="232"/>
      <c r="R712" s="232"/>
      <c r="S712" s="232"/>
      <c r="T712" s="232"/>
      <c r="U712" s="232"/>
      <c r="V712" s="15"/>
      <c r="W712" s="15"/>
      <c r="X712" s="15"/>
      <c r="Y712" s="15"/>
      <c r="Z712" s="15"/>
      <c r="AA712" s="15"/>
    </row>
    <row r="713" spans="1:27" s="25" customFormat="1" ht="12" customHeight="1" x14ac:dyDescent="0.2">
      <c r="A713" s="232"/>
      <c r="B713" s="250"/>
      <c r="C713" s="286"/>
      <c r="D713" s="232"/>
      <c r="E713" s="232"/>
      <c r="F713" s="232"/>
      <c r="G713" s="232"/>
      <c r="H713" s="232"/>
      <c r="I713" s="232"/>
      <c r="J713" s="232"/>
      <c r="K713" s="232"/>
      <c r="L713" s="232"/>
      <c r="M713" s="232"/>
      <c r="N713" s="232"/>
      <c r="O713" s="232"/>
      <c r="P713" s="232"/>
      <c r="Q713" s="232"/>
      <c r="R713" s="232"/>
      <c r="S713" s="232"/>
      <c r="T713" s="232"/>
      <c r="U713" s="232"/>
      <c r="V713" s="15"/>
      <c r="W713" s="15"/>
      <c r="X713" s="15"/>
      <c r="Y713" s="15"/>
      <c r="Z713" s="15"/>
      <c r="AA713" s="15"/>
    </row>
    <row r="714" spans="1:27" s="25" customFormat="1" ht="12" customHeight="1" x14ac:dyDescent="0.2">
      <c r="A714" s="232"/>
      <c r="B714" s="250"/>
      <c r="C714" s="286"/>
      <c r="D714" s="232"/>
      <c r="E714" s="232"/>
      <c r="F714" s="232"/>
      <c r="G714" s="232"/>
      <c r="H714" s="232"/>
      <c r="I714" s="232"/>
      <c r="J714" s="232"/>
      <c r="K714" s="232"/>
      <c r="L714" s="232"/>
      <c r="M714" s="232"/>
      <c r="N714" s="232"/>
      <c r="O714" s="232"/>
      <c r="P714" s="232"/>
      <c r="Q714" s="232"/>
      <c r="R714" s="232"/>
      <c r="S714" s="232"/>
      <c r="T714" s="232"/>
      <c r="U714" s="232"/>
      <c r="V714" s="15"/>
      <c r="W714" s="15"/>
      <c r="X714" s="15"/>
      <c r="Y714" s="15"/>
      <c r="Z714" s="15"/>
      <c r="AA714" s="15"/>
    </row>
    <row r="715" spans="1:27" s="25" customFormat="1" ht="12" customHeight="1" x14ac:dyDescent="0.2">
      <c r="A715" s="232"/>
      <c r="B715" s="250"/>
      <c r="C715" s="286"/>
      <c r="D715" s="232"/>
      <c r="E715" s="232"/>
      <c r="F715" s="232"/>
      <c r="G715" s="232"/>
      <c r="H715" s="232"/>
      <c r="I715" s="232"/>
      <c r="J715" s="232"/>
      <c r="K715" s="232"/>
      <c r="L715" s="232"/>
      <c r="M715" s="232"/>
      <c r="N715" s="232"/>
      <c r="O715" s="232"/>
      <c r="P715" s="232"/>
      <c r="Q715" s="232"/>
      <c r="R715" s="232"/>
      <c r="S715" s="232"/>
      <c r="T715" s="232"/>
      <c r="U715" s="232"/>
      <c r="V715" s="15"/>
      <c r="W715" s="15"/>
      <c r="X715" s="15"/>
      <c r="Y715" s="15"/>
      <c r="Z715" s="15"/>
      <c r="AA715" s="15"/>
    </row>
    <row r="716" spans="1:27" s="25" customFormat="1" ht="12" customHeight="1" x14ac:dyDescent="0.2">
      <c r="A716" s="232"/>
      <c r="B716" s="250"/>
      <c r="C716" s="286"/>
      <c r="D716" s="232"/>
      <c r="E716" s="232"/>
      <c r="F716" s="232"/>
      <c r="G716" s="232"/>
      <c r="H716" s="232"/>
      <c r="I716" s="232"/>
      <c r="J716" s="232"/>
      <c r="K716" s="232"/>
      <c r="L716" s="232"/>
      <c r="M716" s="232"/>
      <c r="N716" s="232"/>
      <c r="O716" s="232"/>
      <c r="P716" s="232"/>
      <c r="Q716" s="232"/>
      <c r="R716" s="232"/>
      <c r="S716" s="232"/>
      <c r="T716" s="232"/>
      <c r="U716" s="232"/>
      <c r="V716" s="15"/>
      <c r="W716" s="15"/>
      <c r="X716" s="15"/>
      <c r="Y716" s="15"/>
      <c r="Z716" s="15"/>
      <c r="AA716" s="15"/>
    </row>
    <row r="717" spans="1:27" s="25" customFormat="1" ht="12" customHeight="1" x14ac:dyDescent="0.2">
      <c r="A717" s="232"/>
      <c r="B717" s="250"/>
      <c r="C717" s="286"/>
      <c r="D717" s="232"/>
      <c r="E717" s="232"/>
      <c r="F717" s="232"/>
      <c r="G717" s="232"/>
      <c r="H717" s="232"/>
      <c r="I717" s="232"/>
      <c r="J717" s="232"/>
      <c r="K717" s="232"/>
      <c r="L717" s="232"/>
      <c r="M717" s="232"/>
      <c r="N717" s="232"/>
      <c r="O717" s="232"/>
      <c r="P717" s="232"/>
      <c r="Q717" s="232"/>
      <c r="R717" s="232"/>
      <c r="S717" s="232"/>
      <c r="T717" s="232"/>
      <c r="U717" s="232"/>
      <c r="V717" s="15"/>
      <c r="W717" s="15"/>
      <c r="X717" s="15"/>
      <c r="Y717" s="15"/>
      <c r="Z717" s="15"/>
      <c r="AA717" s="15"/>
    </row>
    <row r="718" spans="1:27" s="25" customFormat="1" ht="12" customHeight="1" x14ac:dyDescent="0.2">
      <c r="A718" s="232"/>
      <c r="B718" s="250"/>
      <c r="C718" s="286"/>
      <c r="D718" s="232"/>
      <c r="E718" s="232"/>
      <c r="F718" s="232"/>
      <c r="G718" s="232"/>
      <c r="H718" s="232"/>
      <c r="I718" s="232"/>
      <c r="J718" s="232"/>
      <c r="K718" s="232"/>
      <c r="L718" s="232"/>
      <c r="M718" s="232"/>
      <c r="N718" s="232"/>
      <c r="O718" s="232"/>
      <c r="P718" s="232"/>
      <c r="Q718" s="232"/>
      <c r="R718" s="232"/>
      <c r="S718" s="232"/>
      <c r="T718" s="232"/>
      <c r="U718" s="232"/>
      <c r="V718" s="15"/>
      <c r="W718" s="15"/>
      <c r="X718" s="15"/>
      <c r="Y718" s="15"/>
      <c r="Z718" s="15"/>
      <c r="AA718" s="15"/>
    </row>
    <row r="719" spans="1:27" s="25" customFormat="1" ht="12" customHeight="1" x14ac:dyDescent="0.2">
      <c r="A719" s="232"/>
      <c r="B719" s="250"/>
      <c r="C719" s="286"/>
      <c r="D719" s="232"/>
      <c r="E719" s="232"/>
      <c r="F719" s="232"/>
      <c r="G719" s="232"/>
      <c r="H719" s="232"/>
      <c r="I719" s="232"/>
      <c r="J719" s="232"/>
      <c r="K719" s="232"/>
      <c r="L719" s="232"/>
      <c r="M719" s="232"/>
      <c r="N719" s="232"/>
      <c r="O719" s="232"/>
      <c r="P719" s="232"/>
      <c r="Q719" s="232"/>
      <c r="R719" s="232"/>
      <c r="S719" s="232"/>
      <c r="T719" s="232"/>
      <c r="U719" s="232"/>
      <c r="V719" s="15"/>
      <c r="W719" s="15"/>
      <c r="X719" s="15"/>
      <c r="Y719" s="15"/>
      <c r="Z719" s="15"/>
      <c r="AA719" s="15"/>
    </row>
    <row r="720" spans="1:27" s="25" customFormat="1" ht="12" customHeight="1" x14ac:dyDescent="0.2">
      <c r="A720" s="232"/>
      <c r="B720" s="250"/>
      <c r="C720" s="286"/>
      <c r="D720" s="232"/>
      <c r="E720" s="232"/>
      <c r="F720" s="232"/>
      <c r="G720" s="232"/>
      <c r="H720" s="232"/>
      <c r="I720" s="232"/>
      <c r="J720" s="232"/>
      <c r="K720" s="232"/>
      <c r="L720" s="232"/>
      <c r="M720" s="232"/>
      <c r="N720" s="232"/>
      <c r="O720" s="232"/>
      <c r="P720" s="232"/>
      <c r="Q720" s="232"/>
      <c r="R720" s="232"/>
      <c r="S720" s="232"/>
      <c r="T720" s="232"/>
      <c r="U720" s="232"/>
      <c r="V720" s="15"/>
      <c r="W720" s="15"/>
      <c r="X720" s="15"/>
      <c r="Y720" s="15"/>
      <c r="Z720" s="15"/>
      <c r="AA720" s="15"/>
    </row>
    <row r="721" spans="1:27" s="25" customFormat="1" ht="12" customHeight="1" x14ac:dyDescent="0.2">
      <c r="A721" s="232"/>
      <c r="B721" s="250"/>
      <c r="C721" s="286"/>
      <c r="D721" s="232"/>
      <c r="E721" s="232"/>
      <c r="F721" s="232"/>
      <c r="G721" s="232"/>
      <c r="H721" s="232"/>
      <c r="I721" s="232"/>
      <c r="J721" s="232"/>
      <c r="K721" s="232"/>
      <c r="L721" s="232"/>
      <c r="M721" s="232"/>
      <c r="N721" s="232"/>
      <c r="O721" s="232"/>
      <c r="P721" s="232"/>
      <c r="Q721" s="232"/>
      <c r="R721" s="232"/>
      <c r="S721" s="232"/>
      <c r="T721" s="232"/>
      <c r="U721" s="232"/>
      <c r="V721" s="15"/>
      <c r="W721" s="15"/>
      <c r="X721" s="15"/>
      <c r="Y721" s="15"/>
      <c r="Z721" s="15"/>
      <c r="AA721" s="15"/>
    </row>
    <row r="722" spans="1:27" s="25" customFormat="1" ht="12" customHeight="1" x14ac:dyDescent="0.2">
      <c r="A722" s="232"/>
      <c r="B722" s="250"/>
      <c r="C722" s="286"/>
      <c r="D722" s="232"/>
      <c r="E722" s="232"/>
      <c r="F722" s="232"/>
      <c r="G722" s="232"/>
      <c r="H722" s="232"/>
      <c r="I722" s="232"/>
      <c r="J722" s="232"/>
      <c r="K722" s="232"/>
      <c r="L722" s="232"/>
      <c r="M722" s="232"/>
      <c r="N722" s="232"/>
      <c r="O722" s="232"/>
      <c r="P722" s="232"/>
      <c r="Q722" s="232"/>
      <c r="R722" s="232"/>
      <c r="S722" s="232"/>
      <c r="T722" s="232"/>
      <c r="U722" s="232"/>
      <c r="V722" s="15"/>
      <c r="W722" s="15"/>
      <c r="X722" s="15"/>
      <c r="Y722" s="15"/>
      <c r="Z722" s="15"/>
      <c r="AA722" s="15"/>
    </row>
    <row r="723" spans="1:27" s="25" customFormat="1" ht="12" customHeight="1" x14ac:dyDescent="0.2">
      <c r="A723" s="232"/>
      <c r="B723" s="250"/>
      <c r="C723" s="286"/>
      <c r="D723" s="232"/>
      <c r="E723" s="232"/>
      <c r="F723" s="232"/>
      <c r="G723" s="232"/>
      <c r="H723" s="232"/>
      <c r="I723" s="232"/>
      <c r="J723" s="232"/>
      <c r="K723" s="232"/>
      <c r="L723" s="232"/>
      <c r="M723" s="232"/>
      <c r="N723" s="232"/>
      <c r="O723" s="232"/>
      <c r="P723" s="232"/>
      <c r="Q723" s="232"/>
      <c r="R723" s="232"/>
      <c r="S723" s="232"/>
      <c r="T723" s="232"/>
      <c r="U723" s="232"/>
      <c r="V723" s="15"/>
      <c r="W723" s="15"/>
      <c r="X723" s="15"/>
      <c r="Y723" s="15"/>
      <c r="Z723" s="15"/>
      <c r="AA723" s="15"/>
    </row>
    <row r="724" spans="1:27" s="25" customFormat="1" ht="12" customHeight="1" x14ac:dyDescent="0.2">
      <c r="A724" s="232"/>
      <c r="B724" s="250"/>
      <c r="C724" s="286"/>
      <c r="D724" s="232"/>
      <c r="E724" s="232"/>
      <c r="F724" s="232"/>
      <c r="G724" s="232"/>
      <c r="H724" s="232"/>
      <c r="I724" s="232"/>
      <c r="J724" s="232"/>
      <c r="K724" s="232"/>
      <c r="L724" s="232"/>
      <c r="M724" s="232"/>
      <c r="N724" s="232"/>
      <c r="O724" s="232"/>
      <c r="P724" s="232"/>
      <c r="Q724" s="232"/>
      <c r="R724" s="232"/>
      <c r="S724" s="232"/>
      <c r="T724" s="232"/>
      <c r="U724" s="232"/>
      <c r="V724" s="15"/>
      <c r="W724" s="15"/>
      <c r="X724" s="15"/>
      <c r="Y724" s="15"/>
      <c r="Z724" s="15"/>
      <c r="AA724" s="15"/>
    </row>
    <row r="725" spans="1:27" s="25" customFormat="1" ht="12" customHeight="1" x14ac:dyDescent="0.2">
      <c r="A725" s="232"/>
      <c r="B725" s="250"/>
      <c r="C725" s="286"/>
      <c r="D725" s="232"/>
      <c r="E725" s="232"/>
      <c r="F725" s="232"/>
      <c r="G725" s="232"/>
      <c r="H725" s="232"/>
      <c r="I725" s="232"/>
      <c r="J725" s="232"/>
      <c r="K725" s="232"/>
      <c r="L725" s="232"/>
      <c r="M725" s="232"/>
      <c r="N725" s="232"/>
      <c r="O725" s="232"/>
      <c r="P725" s="232"/>
      <c r="Q725" s="232"/>
      <c r="R725" s="232"/>
      <c r="S725" s="232"/>
      <c r="T725" s="232"/>
      <c r="U725" s="232"/>
      <c r="V725" s="15"/>
      <c r="W725" s="15"/>
      <c r="X725" s="15"/>
      <c r="Y725" s="15"/>
      <c r="Z725" s="15"/>
      <c r="AA725" s="15"/>
    </row>
    <row r="726" spans="1:27" s="25" customFormat="1" ht="12" customHeight="1" x14ac:dyDescent="0.2">
      <c r="A726" s="232"/>
      <c r="B726" s="250"/>
      <c r="C726" s="286"/>
      <c r="D726" s="232"/>
      <c r="E726" s="232"/>
      <c r="F726" s="232"/>
      <c r="G726" s="232"/>
      <c r="H726" s="232"/>
      <c r="I726" s="232"/>
      <c r="J726" s="232"/>
      <c r="K726" s="232"/>
      <c r="L726" s="232"/>
      <c r="M726" s="232"/>
      <c r="N726" s="232"/>
      <c r="O726" s="232"/>
      <c r="P726" s="232"/>
      <c r="Q726" s="232"/>
      <c r="R726" s="232"/>
      <c r="S726" s="232"/>
      <c r="T726" s="232"/>
      <c r="U726" s="232"/>
      <c r="V726" s="15"/>
      <c r="W726" s="15"/>
      <c r="X726" s="15"/>
      <c r="Y726" s="15"/>
      <c r="Z726" s="15"/>
      <c r="AA726" s="15"/>
    </row>
    <row r="727" spans="1:27" s="25" customFormat="1" ht="12" customHeight="1" x14ac:dyDescent="0.2">
      <c r="A727" s="232"/>
      <c r="B727" s="250"/>
      <c r="C727" s="286"/>
      <c r="D727" s="232"/>
      <c r="E727" s="232"/>
      <c r="F727" s="232"/>
      <c r="G727" s="232"/>
      <c r="H727" s="232"/>
      <c r="I727" s="232"/>
      <c r="J727" s="232"/>
      <c r="K727" s="232"/>
      <c r="L727" s="232"/>
      <c r="M727" s="232"/>
      <c r="N727" s="232"/>
      <c r="O727" s="232"/>
      <c r="P727" s="232"/>
      <c r="Q727" s="232"/>
      <c r="R727" s="232"/>
      <c r="S727" s="232"/>
      <c r="T727" s="232"/>
      <c r="U727" s="232"/>
      <c r="V727" s="15"/>
      <c r="W727" s="15"/>
      <c r="X727" s="15"/>
      <c r="Y727" s="15"/>
      <c r="Z727" s="15"/>
      <c r="AA727" s="15"/>
    </row>
    <row r="728" spans="1:27" s="25" customFormat="1" ht="12" customHeight="1" x14ac:dyDescent="0.2">
      <c r="A728" s="232"/>
      <c r="B728" s="250"/>
      <c r="C728" s="286"/>
      <c r="D728" s="232"/>
      <c r="E728" s="232"/>
      <c r="F728" s="232"/>
      <c r="G728" s="232"/>
      <c r="H728" s="232"/>
      <c r="I728" s="232"/>
      <c r="J728" s="232"/>
      <c r="K728" s="232"/>
      <c r="L728" s="232"/>
      <c r="M728" s="232"/>
      <c r="N728" s="232"/>
      <c r="O728" s="232"/>
      <c r="P728" s="232"/>
      <c r="Q728" s="232"/>
      <c r="R728" s="232"/>
      <c r="S728" s="232"/>
      <c r="T728" s="232"/>
      <c r="U728" s="232"/>
      <c r="V728" s="15"/>
      <c r="W728" s="15"/>
      <c r="X728" s="15"/>
      <c r="Y728" s="15"/>
      <c r="Z728" s="15"/>
      <c r="AA728" s="15"/>
    </row>
    <row r="729" spans="1:27" s="25" customFormat="1" ht="12" customHeight="1" x14ac:dyDescent="0.2">
      <c r="A729" s="232"/>
      <c r="B729" s="250"/>
      <c r="C729" s="286"/>
      <c r="D729" s="232"/>
      <c r="E729" s="232"/>
      <c r="F729" s="232"/>
      <c r="G729" s="232"/>
      <c r="H729" s="232"/>
      <c r="I729" s="232"/>
      <c r="J729" s="232"/>
      <c r="K729" s="232"/>
      <c r="L729" s="232"/>
      <c r="M729" s="232"/>
      <c r="N729" s="232"/>
      <c r="O729" s="232"/>
      <c r="P729" s="232"/>
      <c r="Q729" s="232"/>
      <c r="R729" s="232"/>
      <c r="S729" s="232"/>
      <c r="T729" s="232"/>
      <c r="U729" s="232"/>
      <c r="V729" s="15"/>
      <c r="W729" s="15"/>
      <c r="X729" s="15"/>
      <c r="Y729" s="15"/>
      <c r="Z729" s="15"/>
      <c r="AA729" s="15"/>
    </row>
    <row r="730" spans="1:27" s="25" customFormat="1" ht="12" customHeight="1" x14ac:dyDescent="0.2">
      <c r="A730" s="232"/>
      <c r="B730" s="250"/>
      <c r="C730" s="286"/>
      <c r="D730" s="232"/>
      <c r="E730" s="232"/>
      <c r="F730" s="232"/>
      <c r="G730" s="232"/>
      <c r="H730" s="232"/>
      <c r="I730" s="232"/>
      <c r="J730" s="232"/>
      <c r="K730" s="232"/>
      <c r="L730" s="232"/>
      <c r="M730" s="232"/>
      <c r="N730" s="232"/>
      <c r="O730" s="232"/>
      <c r="P730" s="232"/>
      <c r="Q730" s="232"/>
      <c r="R730" s="232"/>
      <c r="S730" s="232"/>
      <c r="T730" s="232"/>
      <c r="U730" s="232"/>
      <c r="V730" s="15"/>
      <c r="W730" s="15"/>
      <c r="X730" s="15"/>
      <c r="Y730" s="15"/>
      <c r="Z730" s="15"/>
      <c r="AA730" s="15"/>
    </row>
    <row r="731" spans="1:27" s="25" customFormat="1" ht="12" customHeight="1" x14ac:dyDescent="0.2">
      <c r="A731" s="232"/>
      <c r="B731" s="250"/>
      <c r="C731" s="286"/>
      <c r="D731" s="232"/>
      <c r="E731" s="232"/>
      <c r="F731" s="232"/>
      <c r="G731" s="232"/>
      <c r="H731" s="232"/>
      <c r="I731" s="232"/>
      <c r="J731" s="232"/>
      <c r="K731" s="232"/>
      <c r="L731" s="232"/>
      <c r="M731" s="232"/>
      <c r="N731" s="232"/>
      <c r="O731" s="232"/>
      <c r="P731" s="232"/>
      <c r="Q731" s="232"/>
      <c r="R731" s="232"/>
      <c r="S731" s="232"/>
      <c r="T731" s="232"/>
      <c r="U731" s="232"/>
      <c r="V731" s="15"/>
      <c r="W731" s="15"/>
      <c r="X731" s="15"/>
      <c r="Y731" s="15"/>
      <c r="Z731" s="15"/>
      <c r="AA731" s="15"/>
    </row>
    <row r="732" spans="1:27" s="25" customFormat="1" ht="12" customHeight="1" x14ac:dyDescent="0.2">
      <c r="A732" s="232"/>
      <c r="B732" s="250"/>
      <c r="C732" s="286"/>
      <c r="D732" s="232"/>
      <c r="E732" s="232"/>
      <c r="F732" s="232"/>
      <c r="G732" s="232"/>
      <c r="H732" s="232"/>
      <c r="I732" s="232"/>
      <c r="J732" s="232"/>
      <c r="K732" s="232"/>
      <c r="L732" s="232"/>
      <c r="M732" s="232"/>
      <c r="N732" s="232"/>
      <c r="O732" s="232"/>
      <c r="P732" s="232"/>
      <c r="Q732" s="232"/>
      <c r="R732" s="232"/>
      <c r="S732" s="232"/>
      <c r="T732" s="232"/>
      <c r="U732" s="232"/>
      <c r="V732" s="15"/>
      <c r="W732" s="15"/>
      <c r="X732" s="15"/>
      <c r="Y732" s="15"/>
      <c r="Z732" s="15"/>
      <c r="AA732" s="15"/>
    </row>
    <row r="733" spans="1:27" s="25" customFormat="1" ht="12" customHeight="1" x14ac:dyDescent="0.2">
      <c r="A733" s="232"/>
      <c r="B733" s="250"/>
      <c r="C733" s="286"/>
      <c r="D733" s="232"/>
      <c r="E733" s="232"/>
      <c r="F733" s="232"/>
      <c r="G733" s="232"/>
      <c r="H733" s="232"/>
      <c r="I733" s="232"/>
      <c r="J733" s="232"/>
      <c r="K733" s="232"/>
      <c r="L733" s="232"/>
      <c r="M733" s="232"/>
      <c r="N733" s="232"/>
      <c r="O733" s="232"/>
      <c r="P733" s="232"/>
      <c r="Q733" s="232"/>
      <c r="R733" s="232"/>
      <c r="S733" s="232"/>
      <c r="T733" s="232"/>
      <c r="U733" s="232"/>
      <c r="V733" s="15"/>
      <c r="W733" s="15"/>
      <c r="X733" s="15"/>
      <c r="Y733" s="15"/>
      <c r="Z733" s="15"/>
      <c r="AA733" s="15"/>
    </row>
    <row r="734" spans="1:27" s="25" customFormat="1" ht="12" customHeight="1" x14ac:dyDescent="0.2">
      <c r="A734" s="232"/>
      <c r="B734" s="250"/>
      <c r="C734" s="286"/>
      <c r="D734" s="232"/>
      <c r="E734" s="232"/>
      <c r="F734" s="232"/>
      <c r="G734" s="232"/>
      <c r="H734" s="232"/>
      <c r="I734" s="232"/>
      <c r="J734" s="232"/>
      <c r="K734" s="232"/>
      <c r="L734" s="232"/>
      <c r="M734" s="232"/>
      <c r="N734" s="232"/>
      <c r="O734" s="232"/>
      <c r="P734" s="232"/>
      <c r="Q734" s="232"/>
      <c r="R734" s="232"/>
      <c r="S734" s="232"/>
      <c r="T734" s="232"/>
      <c r="U734" s="232"/>
      <c r="V734" s="15"/>
      <c r="W734" s="15"/>
      <c r="X734" s="15"/>
      <c r="Y734" s="15"/>
      <c r="Z734" s="15"/>
      <c r="AA734" s="15"/>
    </row>
    <row r="735" spans="1:27" s="25" customFormat="1" ht="12" customHeight="1" x14ac:dyDescent="0.2">
      <c r="A735" s="232"/>
      <c r="B735" s="250"/>
      <c r="C735" s="286"/>
      <c r="D735" s="232"/>
      <c r="E735" s="232"/>
      <c r="F735" s="232"/>
      <c r="G735" s="232"/>
      <c r="H735" s="232"/>
      <c r="I735" s="232"/>
      <c r="J735" s="232"/>
      <c r="K735" s="232"/>
      <c r="L735" s="232"/>
      <c r="M735" s="232"/>
      <c r="N735" s="232"/>
      <c r="O735" s="232"/>
      <c r="P735" s="232"/>
      <c r="Q735" s="232"/>
      <c r="R735" s="232"/>
      <c r="S735" s="232"/>
      <c r="T735" s="232"/>
      <c r="U735" s="232"/>
      <c r="V735" s="15"/>
      <c r="W735" s="15"/>
      <c r="X735" s="15"/>
      <c r="Y735" s="15"/>
      <c r="Z735" s="15"/>
      <c r="AA735" s="15"/>
    </row>
    <row r="736" spans="1:27" s="25" customFormat="1" ht="12" customHeight="1" x14ac:dyDescent="0.2">
      <c r="A736" s="232"/>
      <c r="B736" s="250"/>
      <c r="C736" s="286"/>
      <c r="D736" s="232"/>
      <c r="E736" s="232"/>
      <c r="F736" s="232"/>
      <c r="G736" s="232"/>
      <c r="H736" s="232"/>
      <c r="I736" s="232"/>
      <c r="J736" s="232"/>
      <c r="K736" s="232"/>
      <c r="L736" s="232"/>
      <c r="M736" s="232"/>
      <c r="N736" s="232"/>
      <c r="O736" s="232"/>
      <c r="P736" s="232"/>
      <c r="Q736" s="232"/>
      <c r="R736" s="232"/>
      <c r="S736" s="232"/>
      <c r="T736" s="232"/>
      <c r="U736" s="232"/>
      <c r="V736" s="15"/>
      <c r="W736" s="15"/>
      <c r="X736" s="15"/>
      <c r="Y736" s="15"/>
      <c r="Z736" s="15"/>
      <c r="AA736" s="15"/>
    </row>
    <row r="737" spans="1:27" s="25" customFormat="1" ht="12" customHeight="1" x14ac:dyDescent="0.2">
      <c r="A737" s="232"/>
      <c r="B737" s="250"/>
      <c r="C737" s="286"/>
      <c r="D737" s="232"/>
      <c r="E737" s="232"/>
      <c r="F737" s="232"/>
      <c r="G737" s="232"/>
      <c r="H737" s="232"/>
      <c r="I737" s="232"/>
      <c r="J737" s="232"/>
      <c r="K737" s="232"/>
      <c r="L737" s="232"/>
      <c r="M737" s="232"/>
      <c r="N737" s="232"/>
      <c r="O737" s="232"/>
      <c r="P737" s="232"/>
      <c r="Q737" s="232"/>
      <c r="R737" s="232"/>
      <c r="S737" s="232"/>
      <c r="T737" s="232"/>
      <c r="U737" s="232"/>
      <c r="V737" s="15"/>
      <c r="W737" s="15"/>
      <c r="X737" s="15"/>
      <c r="Y737" s="15"/>
      <c r="Z737" s="15"/>
      <c r="AA737" s="15"/>
    </row>
    <row r="738" spans="1:27" s="25" customFormat="1" ht="12" customHeight="1" x14ac:dyDescent="0.2">
      <c r="A738" s="232"/>
      <c r="B738" s="250"/>
      <c r="C738" s="286"/>
      <c r="D738" s="232"/>
      <c r="E738" s="232"/>
      <c r="F738" s="232"/>
      <c r="G738" s="232"/>
      <c r="H738" s="232"/>
      <c r="I738" s="232"/>
      <c r="J738" s="232"/>
      <c r="K738" s="232"/>
      <c r="L738" s="232"/>
      <c r="M738" s="232"/>
      <c r="N738" s="232"/>
      <c r="O738" s="232"/>
      <c r="P738" s="232"/>
      <c r="Q738" s="232"/>
      <c r="R738" s="232"/>
      <c r="S738" s="232"/>
      <c r="T738" s="232"/>
      <c r="U738" s="232"/>
      <c r="V738" s="15"/>
      <c r="W738" s="15"/>
      <c r="X738" s="15"/>
      <c r="Y738" s="15"/>
      <c r="Z738" s="15"/>
      <c r="AA738" s="15"/>
    </row>
    <row r="739" spans="1:27" s="25" customFormat="1" ht="12" customHeight="1" x14ac:dyDescent="0.2">
      <c r="A739" s="232"/>
      <c r="B739" s="250"/>
      <c r="C739" s="286"/>
      <c r="D739" s="232"/>
      <c r="E739" s="232"/>
      <c r="F739" s="232"/>
      <c r="G739" s="232"/>
      <c r="H739" s="232"/>
      <c r="I739" s="232"/>
      <c r="J739" s="232"/>
      <c r="K739" s="232"/>
      <c r="L739" s="232"/>
      <c r="M739" s="232"/>
      <c r="N739" s="232"/>
      <c r="O739" s="232"/>
      <c r="P739" s="232"/>
      <c r="Q739" s="232"/>
      <c r="R739" s="232"/>
      <c r="S739" s="232"/>
      <c r="T739" s="232"/>
      <c r="U739" s="232"/>
      <c r="V739" s="15"/>
      <c r="W739" s="15"/>
      <c r="X739" s="15"/>
      <c r="Y739" s="15"/>
      <c r="Z739" s="15"/>
      <c r="AA739" s="15"/>
    </row>
    <row r="740" spans="1:27" s="25" customFormat="1" ht="12" customHeight="1" x14ac:dyDescent="0.2">
      <c r="A740" s="232"/>
      <c r="B740" s="250"/>
      <c r="C740" s="286"/>
      <c r="D740" s="232"/>
      <c r="E740" s="232"/>
      <c r="F740" s="232"/>
      <c r="G740" s="232"/>
      <c r="H740" s="232"/>
      <c r="I740" s="232"/>
      <c r="J740" s="232"/>
      <c r="K740" s="232"/>
      <c r="L740" s="232"/>
      <c r="M740" s="232"/>
      <c r="N740" s="232"/>
      <c r="O740" s="232"/>
      <c r="P740" s="232"/>
      <c r="Q740" s="232"/>
      <c r="R740" s="232"/>
      <c r="S740" s="232"/>
      <c r="T740" s="232"/>
      <c r="U740" s="232"/>
      <c r="V740" s="15"/>
      <c r="W740" s="15"/>
      <c r="X740" s="15"/>
      <c r="Y740" s="15"/>
      <c r="Z740" s="15"/>
      <c r="AA740" s="15"/>
    </row>
    <row r="741" spans="1:27" s="25" customFormat="1" ht="12" customHeight="1" x14ac:dyDescent="0.2">
      <c r="A741" s="232"/>
      <c r="B741" s="250"/>
      <c r="C741" s="286"/>
      <c r="D741" s="232"/>
      <c r="E741" s="232"/>
      <c r="F741" s="232"/>
      <c r="G741" s="232"/>
      <c r="H741" s="232"/>
      <c r="I741" s="232"/>
      <c r="J741" s="232"/>
      <c r="K741" s="232"/>
      <c r="L741" s="232"/>
      <c r="M741" s="232"/>
      <c r="N741" s="232"/>
      <c r="O741" s="232"/>
      <c r="P741" s="232"/>
      <c r="Q741" s="232"/>
      <c r="R741" s="232"/>
      <c r="S741" s="232"/>
      <c r="T741" s="232"/>
      <c r="U741" s="232"/>
      <c r="V741" s="15"/>
      <c r="W741" s="15"/>
      <c r="X741" s="15"/>
      <c r="Y741" s="15"/>
      <c r="Z741" s="15"/>
      <c r="AA741" s="15"/>
    </row>
    <row r="742" spans="1:27" s="25" customFormat="1" ht="12" customHeight="1" x14ac:dyDescent="0.2">
      <c r="A742" s="232"/>
      <c r="B742" s="250"/>
      <c r="C742" s="286"/>
      <c r="D742" s="232"/>
      <c r="E742" s="232"/>
      <c r="F742" s="232"/>
      <c r="G742" s="232"/>
      <c r="H742" s="232"/>
      <c r="I742" s="232"/>
      <c r="J742" s="232"/>
      <c r="K742" s="232"/>
      <c r="L742" s="232"/>
      <c r="M742" s="232"/>
      <c r="N742" s="232"/>
      <c r="O742" s="232"/>
      <c r="P742" s="232"/>
      <c r="Q742" s="232"/>
      <c r="R742" s="232"/>
      <c r="S742" s="232"/>
      <c r="T742" s="232"/>
      <c r="U742" s="232"/>
      <c r="V742" s="15"/>
      <c r="W742" s="15"/>
      <c r="X742" s="15"/>
      <c r="Y742" s="15"/>
      <c r="Z742" s="15"/>
      <c r="AA742" s="15"/>
    </row>
    <row r="743" spans="1:27" s="25" customFormat="1" ht="12" customHeight="1" x14ac:dyDescent="0.2">
      <c r="A743" s="232"/>
      <c r="B743" s="250"/>
      <c r="C743" s="286"/>
      <c r="D743" s="232"/>
      <c r="E743" s="232"/>
      <c r="F743" s="232"/>
      <c r="G743" s="232"/>
      <c r="H743" s="232"/>
      <c r="I743" s="232"/>
      <c r="J743" s="232"/>
      <c r="K743" s="232"/>
      <c r="L743" s="232"/>
      <c r="M743" s="232"/>
      <c r="N743" s="232"/>
      <c r="O743" s="232"/>
      <c r="P743" s="232"/>
      <c r="Q743" s="232"/>
      <c r="R743" s="232"/>
      <c r="S743" s="232"/>
      <c r="T743" s="232"/>
      <c r="U743" s="232"/>
      <c r="V743" s="15"/>
      <c r="W743" s="15"/>
      <c r="X743" s="15"/>
      <c r="Y743" s="15"/>
      <c r="Z743" s="15"/>
      <c r="AA743" s="15"/>
    </row>
    <row r="744" spans="1:27" s="25" customFormat="1" ht="12" customHeight="1" x14ac:dyDescent="0.2">
      <c r="A744" s="232"/>
      <c r="B744" s="250"/>
      <c r="C744" s="286"/>
      <c r="D744" s="232"/>
      <c r="E744" s="232"/>
      <c r="F744" s="232"/>
      <c r="G744" s="232"/>
      <c r="H744" s="232"/>
      <c r="I744" s="232"/>
      <c r="J744" s="232"/>
      <c r="K744" s="232"/>
      <c r="L744" s="232"/>
      <c r="M744" s="232"/>
      <c r="N744" s="232"/>
      <c r="O744" s="232"/>
      <c r="P744" s="232"/>
      <c r="Q744" s="232"/>
      <c r="R744" s="232"/>
      <c r="S744" s="232"/>
      <c r="T744" s="232"/>
      <c r="U744" s="232"/>
      <c r="V744" s="15"/>
      <c r="W744" s="15"/>
      <c r="X744" s="15"/>
      <c r="Y744" s="15"/>
      <c r="Z744" s="15"/>
      <c r="AA744" s="15"/>
    </row>
    <row r="745" spans="1:27" s="25" customFormat="1" ht="12" customHeight="1" x14ac:dyDescent="0.2">
      <c r="A745" s="232"/>
      <c r="B745" s="250"/>
      <c r="C745" s="286"/>
      <c r="D745" s="232"/>
      <c r="E745" s="232"/>
      <c r="F745" s="232"/>
      <c r="G745" s="232"/>
      <c r="H745" s="232"/>
      <c r="I745" s="232"/>
      <c r="J745" s="232"/>
      <c r="K745" s="232"/>
      <c r="L745" s="232"/>
      <c r="M745" s="232"/>
      <c r="N745" s="232"/>
      <c r="O745" s="232"/>
      <c r="P745" s="232"/>
      <c r="Q745" s="232"/>
      <c r="R745" s="232"/>
      <c r="S745" s="232"/>
      <c r="T745" s="232"/>
      <c r="U745" s="232"/>
      <c r="V745" s="15"/>
      <c r="W745" s="15"/>
      <c r="X745" s="15"/>
      <c r="Y745" s="15"/>
      <c r="Z745" s="15"/>
      <c r="AA745" s="15"/>
    </row>
    <row r="746" spans="1:27" s="25" customFormat="1" ht="12" customHeight="1" x14ac:dyDescent="0.2">
      <c r="A746" s="232"/>
      <c r="B746" s="250"/>
      <c r="C746" s="286"/>
      <c r="D746" s="232"/>
      <c r="E746" s="232"/>
      <c r="F746" s="232"/>
      <c r="G746" s="232"/>
      <c r="H746" s="232"/>
      <c r="I746" s="232"/>
      <c r="J746" s="232"/>
      <c r="K746" s="232"/>
      <c r="L746" s="232"/>
      <c r="M746" s="232"/>
      <c r="N746" s="232"/>
      <c r="O746" s="232"/>
      <c r="P746" s="232"/>
      <c r="Q746" s="232"/>
      <c r="R746" s="232"/>
      <c r="S746" s="232"/>
      <c r="T746" s="232"/>
      <c r="U746" s="232"/>
      <c r="V746" s="15"/>
      <c r="W746" s="15"/>
      <c r="X746" s="15"/>
      <c r="Y746" s="15"/>
      <c r="Z746" s="15"/>
      <c r="AA746" s="15"/>
    </row>
    <row r="747" spans="1:27" s="25" customFormat="1" ht="12" customHeight="1" x14ac:dyDescent="0.2">
      <c r="A747" s="232"/>
      <c r="B747" s="250"/>
      <c r="C747" s="286"/>
      <c r="D747" s="232"/>
      <c r="E747" s="232"/>
      <c r="F747" s="232"/>
      <c r="G747" s="232"/>
      <c r="H747" s="232"/>
      <c r="I747" s="232"/>
      <c r="J747" s="232"/>
      <c r="K747" s="232"/>
      <c r="L747" s="232"/>
      <c r="M747" s="232"/>
      <c r="N747" s="232"/>
      <c r="O747" s="232"/>
      <c r="P747" s="232"/>
      <c r="Q747" s="232"/>
      <c r="R747" s="232"/>
      <c r="S747" s="232"/>
      <c r="T747" s="232"/>
      <c r="U747" s="232"/>
      <c r="V747" s="15"/>
      <c r="W747" s="15"/>
      <c r="X747" s="15"/>
      <c r="Y747" s="15"/>
      <c r="Z747" s="15"/>
      <c r="AA747" s="15"/>
    </row>
    <row r="748" spans="1:27" s="25" customFormat="1" ht="12" customHeight="1" x14ac:dyDescent="0.2">
      <c r="A748" s="232"/>
      <c r="B748" s="250"/>
      <c r="C748" s="286"/>
      <c r="D748" s="232"/>
      <c r="E748" s="232"/>
      <c r="F748" s="232"/>
      <c r="G748" s="232"/>
      <c r="H748" s="232"/>
      <c r="I748" s="232"/>
      <c r="J748" s="232"/>
      <c r="K748" s="232"/>
      <c r="L748" s="232"/>
      <c r="M748" s="232"/>
      <c r="N748" s="232"/>
      <c r="O748" s="232"/>
      <c r="P748" s="232"/>
      <c r="Q748" s="232"/>
      <c r="R748" s="232"/>
      <c r="S748" s="232"/>
      <c r="T748" s="232"/>
      <c r="U748" s="232"/>
      <c r="V748" s="15"/>
      <c r="W748" s="15"/>
      <c r="X748" s="15"/>
      <c r="Y748" s="15"/>
      <c r="Z748" s="15"/>
      <c r="AA748" s="15"/>
    </row>
    <row r="749" spans="1:27" s="25" customFormat="1" ht="12" customHeight="1" x14ac:dyDescent="0.2">
      <c r="A749" s="232"/>
      <c r="B749" s="250"/>
      <c r="C749" s="286"/>
      <c r="D749" s="232"/>
      <c r="E749" s="232"/>
      <c r="F749" s="232"/>
      <c r="G749" s="232"/>
      <c r="H749" s="232"/>
      <c r="I749" s="232"/>
      <c r="J749" s="232"/>
      <c r="K749" s="232"/>
      <c r="L749" s="232"/>
      <c r="M749" s="232"/>
      <c r="N749" s="232"/>
      <c r="O749" s="232"/>
      <c r="P749" s="232"/>
      <c r="Q749" s="232"/>
      <c r="R749" s="232"/>
      <c r="S749" s="232"/>
      <c r="T749" s="232"/>
      <c r="U749" s="232"/>
      <c r="V749" s="15"/>
      <c r="W749" s="15"/>
      <c r="X749" s="15"/>
      <c r="Y749" s="15"/>
      <c r="Z749" s="15"/>
      <c r="AA749" s="15"/>
    </row>
    <row r="750" spans="1:27" s="25" customFormat="1" ht="12" customHeight="1" x14ac:dyDescent="0.2">
      <c r="A750" s="232"/>
      <c r="B750" s="250"/>
      <c r="C750" s="286"/>
      <c r="D750" s="232"/>
      <c r="E750" s="232"/>
      <c r="F750" s="232"/>
      <c r="G750" s="232"/>
      <c r="H750" s="232"/>
      <c r="I750" s="232"/>
      <c r="J750" s="232"/>
      <c r="K750" s="232"/>
      <c r="L750" s="232"/>
      <c r="M750" s="232"/>
      <c r="N750" s="232"/>
      <c r="O750" s="232"/>
      <c r="P750" s="232"/>
      <c r="Q750" s="232"/>
      <c r="R750" s="232"/>
      <c r="S750" s="232"/>
      <c r="T750" s="232"/>
      <c r="U750" s="232"/>
      <c r="V750" s="15"/>
      <c r="W750" s="15"/>
      <c r="X750" s="15"/>
      <c r="Y750" s="15"/>
      <c r="Z750" s="15"/>
      <c r="AA750" s="15"/>
    </row>
    <row r="751" spans="1:27" s="25" customFormat="1" ht="12" customHeight="1" x14ac:dyDescent="0.2">
      <c r="A751" s="232"/>
      <c r="B751" s="250"/>
      <c r="C751" s="286"/>
      <c r="D751" s="232"/>
      <c r="E751" s="232"/>
      <c r="F751" s="232"/>
      <c r="G751" s="232"/>
      <c r="H751" s="232"/>
      <c r="I751" s="232"/>
      <c r="J751" s="232"/>
      <c r="K751" s="232"/>
      <c r="L751" s="232"/>
      <c r="M751" s="232"/>
      <c r="N751" s="232"/>
      <c r="O751" s="232"/>
      <c r="P751" s="232"/>
      <c r="Q751" s="232"/>
      <c r="R751" s="232"/>
      <c r="S751" s="232"/>
      <c r="T751" s="232"/>
      <c r="U751" s="232"/>
      <c r="V751" s="15"/>
      <c r="W751" s="15"/>
      <c r="X751" s="15"/>
      <c r="Y751" s="15"/>
      <c r="Z751" s="15"/>
      <c r="AA751" s="15"/>
    </row>
    <row r="752" spans="1:27" s="25" customFormat="1" ht="12" customHeight="1" x14ac:dyDescent="0.2">
      <c r="A752" s="232"/>
      <c r="B752" s="250"/>
      <c r="C752" s="286"/>
      <c r="D752" s="232"/>
      <c r="E752" s="232"/>
      <c r="F752" s="232"/>
      <c r="G752" s="232"/>
      <c r="H752" s="232"/>
      <c r="I752" s="232"/>
      <c r="J752" s="232"/>
      <c r="K752" s="232"/>
      <c r="L752" s="232"/>
      <c r="M752" s="232"/>
      <c r="N752" s="232"/>
      <c r="O752" s="232"/>
      <c r="P752" s="232"/>
      <c r="Q752" s="232"/>
      <c r="R752" s="232"/>
      <c r="S752" s="232"/>
      <c r="T752" s="232"/>
      <c r="U752" s="232"/>
      <c r="V752" s="15"/>
      <c r="W752" s="15"/>
      <c r="X752" s="15"/>
      <c r="Y752" s="15"/>
      <c r="Z752" s="15"/>
      <c r="AA752" s="15"/>
    </row>
    <row r="753" spans="1:27" s="25" customFormat="1" ht="12" customHeight="1" x14ac:dyDescent="0.2">
      <c r="A753" s="232"/>
      <c r="B753" s="250"/>
      <c r="C753" s="286"/>
      <c r="D753" s="232"/>
      <c r="E753" s="232"/>
      <c r="F753" s="232"/>
      <c r="G753" s="232"/>
      <c r="H753" s="232"/>
      <c r="I753" s="232"/>
      <c r="J753" s="232"/>
      <c r="K753" s="232"/>
      <c r="L753" s="232"/>
      <c r="M753" s="232"/>
      <c r="N753" s="232"/>
      <c r="O753" s="232"/>
      <c r="P753" s="232"/>
      <c r="Q753" s="232"/>
      <c r="R753" s="232"/>
      <c r="S753" s="232"/>
      <c r="T753" s="232"/>
      <c r="U753" s="232"/>
      <c r="V753" s="15"/>
      <c r="W753" s="15"/>
      <c r="X753" s="15"/>
      <c r="Y753" s="15"/>
      <c r="Z753" s="15"/>
      <c r="AA753" s="15"/>
    </row>
    <row r="754" spans="1:27" s="25" customFormat="1" ht="12" customHeight="1" x14ac:dyDescent="0.2">
      <c r="A754" s="232"/>
      <c r="B754" s="250"/>
      <c r="C754" s="286"/>
      <c r="D754" s="232"/>
      <c r="E754" s="232"/>
      <c r="F754" s="232"/>
      <c r="G754" s="232"/>
      <c r="H754" s="232"/>
      <c r="I754" s="232"/>
      <c r="J754" s="232"/>
      <c r="K754" s="232"/>
      <c r="L754" s="232"/>
      <c r="M754" s="232"/>
      <c r="N754" s="232"/>
      <c r="O754" s="232"/>
      <c r="P754" s="232"/>
      <c r="Q754" s="232"/>
      <c r="R754" s="232"/>
      <c r="S754" s="232"/>
      <c r="T754" s="232"/>
      <c r="U754" s="232"/>
      <c r="V754" s="15"/>
      <c r="W754" s="15"/>
      <c r="X754" s="15"/>
      <c r="Y754" s="15"/>
      <c r="Z754" s="15"/>
      <c r="AA754" s="15"/>
    </row>
    <row r="755" spans="1:27" s="25" customFormat="1" ht="12" customHeight="1" x14ac:dyDescent="0.2">
      <c r="A755" s="232"/>
      <c r="B755" s="250"/>
      <c r="C755" s="286"/>
      <c r="D755" s="232"/>
      <c r="E755" s="232"/>
      <c r="F755" s="232"/>
      <c r="G755" s="232"/>
      <c r="H755" s="232"/>
      <c r="I755" s="232"/>
      <c r="J755" s="232"/>
      <c r="K755" s="232"/>
      <c r="L755" s="232"/>
      <c r="M755" s="232"/>
      <c r="N755" s="232"/>
      <c r="O755" s="232"/>
      <c r="P755" s="232"/>
      <c r="Q755" s="232"/>
      <c r="R755" s="232"/>
      <c r="S755" s="232"/>
      <c r="T755" s="232"/>
      <c r="U755" s="232"/>
      <c r="V755" s="15"/>
      <c r="W755" s="15"/>
      <c r="X755" s="15"/>
      <c r="Y755" s="15"/>
      <c r="Z755" s="15"/>
      <c r="AA755" s="15"/>
    </row>
    <row r="756" spans="1:27" s="25" customFormat="1" ht="12" customHeight="1" x14ac:dyDescent="0.2">
      <c r="A756" s="232"/>
      <c r="B756" s="250"/>
      <c r="C756" s="286"/>
      <c r="D756" s="232"/>
      <c r="E756" s="232"/>
      <c r="F756" s="232"/>
      <c r="G756" s="232"/>
      <c r="H756" s="232"/>
      <c r="I756" s="232"/>
      <c r="J756" s="232"/>
      <c r="K756" s="232"/>
      <c r="L756" s="232"/>
      <c r="M756" s="232"/>
      <c r="N756" s="232"/>
      <c r="O756" s="232"/>
      <c r="P756" s="232"/>
      <c r="Q756" s="232"/>
      <c r="R756" s="232"/>
      <c r="S756" s="232"/>
      <c r="T756" s="232"/>
      <c r="U756" s="232"/>
      <c r="V756" s="15"/>
      <c r="W756" s="15"/>
      <c r="X756" s="15"/>
      <c r="Y756" s="15"/>
      <c r="Z756" s="15"/>
      <c r="AA756" s="15"/>
    </row>
    <row r="757" spans="1:27" s="25" customFormat="1" ht="12" customHeight="1" x14ac:dyDescent="0.2">
      <c r="A757" s="232"/>
      <c r="B757" s="250"/>
      <c r="C757" s="286"/>
      <c r="D757" s="232"/>
      <c r="E757" s="232"/>
      <c r="F757" s="232"/>
      <c r="G757" s="232"/>
      <c r="H757" s="232"/>
      <c r="I757" s="232"/>
      <c r="J757" s="232"/>
      <c r="K757" s="232"/>
      <c r="L757" s="232"/>
      <c r="M757" s="232"/>
      <c r="N757" s="232"/>
      <c r="O757" s="232"/>
      <c r="P757" s="232"/>
      <c r="Q757" s="232"/>
      <c r="R757" s="232"/>
      <c r="S757" s="232"/>
      <c r="T757" s="232"/>
      <c r="U757" s="232"/>
      <c r="V757" s="15"/>
      <c r="W757" s="15"/>
      <c r="X757" s="15"/>
      <c r="Y757" s="15"/>
      <c r="Z757" s="15"/>
      <c r="AA757" s="15"/>
    </row>
    <row r="758" spans="1:27" s="25" customFormat="1" ht="12" customHeight="1" x14ac:dyDescent="0.2">
      <c r="A758" s="232"/>
      <c r="B758" s="250"/>
      <c r="C758" s="286"/>
      <c r="D758" s="232"/>
      <c r="E758" s="232"/>
      <c r="F758" s="232"/>
      <c r="G758" s="232"/>
      <c r="H758" s="232"/>
      <c r="I758" s="232"/>
      <c r="J758" s="232"/>
      <c r="K758" s="232"/>
      <c r="L758" s="232"/>
      <c r="M758" s="232"/>
      <c r="N758" s="232"/>
      <c r="O758" s="232"/>
      <c r="P758" s="232"/>
      <c r="Q758" s="232"/>
      <c r="R758" s="232"/>
      <c r="S758" s="232"/>
      <c r="T758" s="232"/>
      <c r="U758" s="232"/>
      <c r="V758" s="15"/>
      <c r="W758" s="15"/>
      <c r="X758" s="15"/>
      <c r="Y758" s="15"/>
      <c r="Z758" s="15"/>
      <c r="AA758" s="15"/>
    </row>
    <row r="759" spans="1:27" s="25" customFormat="1" ht="12" customHeight="1" x14ac:dyDescent="0.2">
      <c r="A759" s="232"/>
      <c r="B759" s="250"/>
      <c r="C759" s="286"/>
      <c r="D759" s="232"/>
      <c r="E759" s="232"/>
      <c r="F759" s="232"/>
      <c r="G759" s="232"/>
      <c r="H759" s="232"/>
      <c r="I759" s="232"/>
      <c r="J759" s="232"/>
      <c r="K759" s="232"/>
      <c r="L759" s="232"/>
      <c r="M759" s="232"/>
      <c r="N759" s="232"/>
      <c r="O759" s="232"/>
      <c r="P759" s="232"/>
      <c r="Q759" s="232"/>
      <c r="R759" s="232"/>
      <c r="S759" s="232"/>
      <c r="T759" s="232"/>
      <c r="U759" s="232"/>
      <c r="V759" s="15"/>
      <c r="W759" s="15"/>
      <c r="X759" s="15"/>
      <c r="Y759" s="15"/>
      <c r="Z759" s="15"/>
      <c r="AA759" s="15"/>
    </row>
    <row r="760" spans="1:27" s="25" customFormat="1" ht="12" customHeight="1" x14ac:dyDescent="0.2">
      <c r="A760" s="232"/>
      <c r="B760" s="250"/>
      <c r="C760" s="286"/>
      <c r="D760" s="232"/>
      <c r="E760" s="232"/>
      <c r="F760" s="232"/>
      <c r="G760" s="232"/>
      <c r="H760" s="232"/>
      <c r="I760" s="232"/>
      <c r="J760" s="232"/>
      <c r="K760" s="232"/>
      <c r="L760" s="232"/>
      <c r="M760" s="232"/>
      <c r="N760" s="232"/>
      <c r="O760" s="232"/>
      <c r="P760" s="232"/>
      <c r="Q760" s="232"/>
      <c r="R760" s="232"/>
      <c r="S760" s="232"/>
      <c r="T760" s="232"/>
      <c r="U760" s="232"/>
      <c r="V760" s="15"/>
      <c r="W760" s="15"/>
      <c r="X760" s="15"/>
      <c r="Y760" s="15"/>
      <c r="Z760" s="15"/>
      <c r="AA760" s="15"/>
    </row>
    <row r="761" spans="1:27" s="25" customFormat="1" ht="12" customHeight="1" x14ac:dyDescent="0.2">
      <c r="A761" s="232"/>
      <c r="B761" s="250"/>
      <c r="C761" s="286"/>
      <c r="D761" s="232"/>
      <c r="E761" s="232"/>
      <c r="F761" s="232"/>
      <c r="G761" s="232"/>
      <c r="H761" s="232"/>
      <c r="I761" s="232"/>
      <c r="J761" s="232"/>
      <c r="K761" s="232"/>
      <c r="L761" s="232"/>
      <c r="M761" s="232"/>
      <c r="N761" s="232"/>
      <c r="O761" s="232"/>
      <c r="P761" s="232"/>
      <c r="Q761" s="232"/>
      <c r="R761" s="232"/>
      <c r="S761" s="232"/>
      <c r="T761" s="232"/>
      <c r="U761" s="232"/>
      <c r="V761" s="15"/>
      <c r="W761" s="15"/>
      <c r="X761" s="15"/>
      <c r="Y761" s="15"/>
      <c r="Z761" s="15"/>
      <c r="AA761" s="15"/>
    </row>
    <row r="762" spans="1:27" s="25" customFormat="1" ht="12" customHeight="1" x14ac:dyDescent="0.2">
      <c r="A762" s="232"/>
      <c r="B762" s="250"/>
      <c r="C762" s="286"/>
      <c r="D762" s="232"/>
      <c r="E762" s="232"/>
      <c r="F762" s="232"/>
      <c r="G762" s="232"/>
      <c r="H762" s="232"/>
      <c r="I762" s="232"/>
      <c r="J762" s="232"/>
      <c r="K762" s="232"/>
      <c r="L762" s="232"/>
      <c r="M762" s="232"/>
      <c r="N762" s="232"/>
      <c r="O762" s="232"/>
      <c r="P762" s="232"/>
      <c r="Q762" s="232"/>
      <c r="R762" s="232"/>
      <c r="S762" s="232"/>
      <c r="T762" s="232"/>
      <c r="U762" s="232"/>
      <c r="V762" s="15"/>
      <c r="W762" s="15"/>
      <c r="X762" s="15"/>
      <c r="Y762" s="15"/>
      <c r="Z762" s="15"/>
      <c r="AA762" s="15"/>
    </row>
    <row r="763" spans="1:27" s="25" customFormat="1" ht="12" customHeight="1" x14ac:dyDescent="0.2">
      <c r="A763" s="232"/>
      <c r="B763" s="250"/>
      <c r="C763" s="286"/>
      <c r="D763" s="232"/>
      <c r="E763" s="232"/>
      <c r="F763" s="232"/>
      <c r="G763" s="232"/>
      <c r="H763" s="232"/>
      <c r="I763" s="232"/>
      <c r="J763" s="232"/>
      <c r="K763" s="232"/>
      <c r="L763" s="232"/>
      <c r="M763" s="232"/>
      <c r="N763" s="232"/>
      <c r="O763" s="232"/>
      <c r="P763" s="232"/>
      <c r="Q763" s="232"/>
      <c r="R763" s="232"/>
      <c r="S763" s="232"/>
      <c r="T763" s="232"/>
      <c r="U763" s="232"/>
      <c r="V763" s="15"/>
      <c r="W763" s="15"/>
      <c r="X763" s="15"/>
      <c r="Y763" s="15"/>
      <c r="Z763" s="15"/>
      <c r="AA763" s="15"/>
    </row>
    <row r="764" spans="1:27" s="25" customFormat="1" ht="12" customHeight="1" x14ac:dyDescent="0.2">
      <c r="A764" s="232"/>
      <c r="B764" s="250"/>
      <c r="C764" s="286"/>
      <c r="D764" s="232"/>
      <c r="E764" s="232"/>
      <c r="F764" s="232"/>
      <c r="G764" s="232"/>
      <c r="H764" s="232"/>
      <c r="I764" s="232"/>
      <c r="J764" s="232"/>
      <c r="K764" s="232"/>
      <c r="L764" s="232"/>
      <c r="M764" s="232"/>
      <c r="N764" s="232"/>
      <c r="O764" s="232"/>
      <c r="P764" s="232"/>
      <c r="Q764" s="232"/>
      <c r="R764" s="232"/>
      <c r="S764" s="232"/>
      <c r="T764" s="232"/>
      <c r="U764" s="232"/>
      <c r="V764" s="15"/>
      <c r="W764" s="15"/>
      <c r="X764" s="15"/>
      <c r="Y764" s="15"/>
      <c r="Z764" s="15"/>
      <c r="AA764" s="15"/>
    </row>
    <row r="765" spans="1:27" s="25" customFormat="1" ht="12" customHeight="1" x14ac:dyDescent="0.2">
      <c r="A765" s="232"/>
      <c r="B765" s="250"/>
      <c r="C765" s="286"/>
      <c r="D765" s="232"/>
      <c r="E765" s="232"/>
      <c r="F765" s="232"/>
      <c r="G765" s="232"/>
      <c r="H765" s="232"/>
      <c r="I765" s="232"/>
      <c r="J765" s="232"/>
      <c r="K765" s="232"/>
      <c r="L765" s="232"/>
      <c r="M765" s="232"/>
      <c r="N765" s="232"/>
      <c r="O765" s="232"/>
      <c r="P765" s="232"/>
      <c r="Q765" s="232"/>
      <c r="R765" s="232"/>
      <c r="S765" s="232"/>
      <c r="T765" s="232"/>
      <c r="U765" s="232"/>
      <c r="V765" s="15"/>
      <c r="W765" s="15"/>
      <c r="X765" s="15"/>
      <c r="Y765" s="15"/>
      <c r="Z765" s="15"/>
      <c r="AA765" s="15"/>
    </row>
    <row r="766" spans="1:27" s="25" customFormat="1" ht="12" customHeight="1" x14ac:dyDescent="0.2">
      <c r="A766" s="232"/>
      <c r="B766" s="250"/>
      <c r="C766" s="286"/>
      <c r="D766" s="232"/>
      <c r="E766" s="232"/>
      <c r="F766" s="232"/>
      <c r="G766" s="232"/>
      <c r="H766" s="232"/>
      <c r="I766" s="232"/>
      <c r="J766" s="232"/>
      <c r="K766" s="232"/>
      <c r="L766" s="232"/>
      <c r="M766" s="232"/>
      <c r="N766" s="232"/>
      <c r="O766" s="232"/>
      <c r="P766" s="232"/>
      <c r="Q766" s="232"/>
      <c r="R766" s="232"/>
      <c r="S766" s="232"/>
      <c r="T766" s="232"/>
      <c r="U766" s="232"/>
      <c r="V766" s="15"/>
      <c r="W766" s="15"/>
      <c r="X766" s="15"/>
      <c r="Y766" s="15"/>
      <c r="Z766" s="15"/>
      <c r="AA766" s="15"/>
    </row>
    <row r="767" spans="1:27" s="25" customFormat="1" ht="12" customHeight="1" x14ac:dyDescent="0.2">
      <c r="A767" s="232"/>
      <c r="B767" s="250"/>
      <c r="C767" s="286"/>
      <c r="D767" s="232"/>
      <c r="E767" s="232"/>
      <c r="F767" s="232"/>
      <c r="G767" s="232"/>
      <c r="H767" s="232"/>
      <c r="I767" s="232"/>
      <c r="J767" s="232"/>
      <c r="K767" s="232"/>
      <c r="L767" s="232"/>
      <c r="M767" s="232"/>
      <c r="N767" s="232"/>
      <c r="O767" s="232"/>
      <c r="P767" s="232"/>
      <c r="Q767" s="232"/>
      <c r="R767" s="232"/>
      <c r="S767" s="232"/>
      <c r="T767" s="232"/>
      <c r="U767" s="232"/>
      <c r="V767" s="15"/>
      <c r="W767" s="15"/>
      <c r="X767" s="15"/>
      <c r="Y767" s="15"/>
      <c r="Z767" s="15"/>
      <c r="AA767" s="15"/>
    </row>
    <row r="768" spans="1:27" s="25" customFormat="1" ht="12" customHeight="1" x14ac:dyDescent="0.2">
      <c r="A768" s="232"/>
      <c r="B768" s="250"/>
      <c r="C768" s="286"/>
      <c r="D768" s="232"/>
      <c r="E768" s="232"/>
      <c r="F768" s="232"/>
      <c r="G768" s="232"/>
      <c r="H768" s="232"/>
      <c r="I768" s="232"/>
      <c r="J768" s="232"/>
      <c r="K768" s="232"/>
      <c r="L768" s="232"/>
      <c r="M768" s="232"/>
      <c r="N768" s="232"/>
      <c r="O768" s="232"/>
      <c r="P768" s="232"/>
      <c r="Q768" s="232"/>
      <c r="R768" s="232"/>
      <c r="S768" s="232"/>
      <c r="T768" s="232"/>
      <c r="U768" s="232"/>
      <c r="V768" s="15"/>
      <c r="W768" s="15"/>
      <c r="X768" s="15"/>
      <c r="Y768" s="15"/>
      <c r="Z768" s="15"/>
      <c r="AA768" s="15"/>
    </row>
    <row r="769" spans="1:27" s="25" customFormat="1" ht="12" customHeight="1" x14ac:dyDescent="0.2">
      <c r="A769" s="232"/>
      <c r="B769" s="250"/>
      <c r="C769" s="286"/>
      <c r="D769" s="232"/>
      <c r="E769" s="232"/>
      <c r="F769" s="232"/>
      <c r="G769" s="232"/>
      <c r="H769" s="232"/>
      <c r="I769" s="232"/>
      <c r="J769" s="232"/>
      <c r="K769" s="232"/>
      <c r="L769" s="232"/>
      <c r="M769" s="232"/>
      <c r="N769" s="232"/>
      <c r="O769" s="232"/>
      <c r="P769" s="232"/>
      <c r="Q769" s="232"/>
      <c r="R769" s="232"/>
      <c r="S769" s="232"/>
      <c r="T769" s="232"/>
      <c r="U769" s="232"/>
      <c r="V769" s="15"/>
      <c r="W769" s="15"/>
      <c r="X769" s="15"/>
      <c r="Y769" s="15"/>
      <c r="Z769" s="15"/>
      <c r="AA769" s="15"/>
    </row>
    <row r="770" spans="1:27" s="25" customFormat="1" ht="12" customHeight="1" x14ac:dyDescent="0.2">
      <c r="A770" s="232"/>
      <c r="B770" s="250"/>
      <c r="C770" s="286"/>
      <c r="D770" s="232"/>
      <c r="E770" s="232"/>
      <c r="F770" s="232"/>
      <c r="G770" s="232"/>
      <c r="H770" s="232"/>
      <c r="I770" s="232"/>
      <c r="J770" s="232"/>
      <c r="K770" s="232"/>
      <c r="L770" s="232"/>
      <c r="M770" s="232"/>
      <c r="N770" s="232"/>
      <c r="O770" s="232"/>
      <c r="P770" s="232"/>
      <c r="Q770" s="232"/>
      <c r="R770" s="232"/>
      <c r="S770" s="232"/>
      <c r="T770" s="232"/>
      <c r="U770" s="232"/>
      <c r="V770" s="15"/>
      <c r="W770" s="15"/>
      <c r="X770" s="15"/>
      <c r="Y770" s="15"/>
      <c r="Z770" s="15"/>
      <c r="AA770" s="15"/>
    </row>
    <row r="771" spans="1:27" s="25" customFormat="1" ht="12" customHeight="1" x14ac:dyDescent="0.2">
      <c r="A771" s="232"/>
      <c r="B771" s="250"/>
      <c r="C771" s="286"/>
      <c r="D771" s="232"/>
      <c r="E771" s="232"/>
      <c r="F771" s="232"/>
      <c r="G771" s="232"/>
      <c r="H771" s="232"/>
      <c r="I771" s="232"/>
      <c r="J771" s="232"/>
      <c r="K771" s="232"/>
      <c r="L771" s="232"/>
      <c r="M771" s="232"/>
      <c r="N771" s="232"/>
      <c r="O771" s="232"/>
      <c r="P771" s="232"/>
      <c r="Q771" s="232"/>
      <c r="R771" s="232"/>
      <c r="S771" s="232"/>
      <c r="T771" s="232"/>
      <c r="U771" s="232"/>
      <c r="V771" s="15"/>
      <c r="W771" s="15"/>
      <c r="X771" s="15"/>
      <c r="Y771" s="15"/>
      <c r="Z771" s="15"/>
      <c r="AA771" s="15"/>
    </row>
    <row r="772" spans="1:27" s="25" customFormat="1" ht="12" customHeight="1" x14ac:dyDescent="0.2">
      <c r="A772" s="232"/>
      <c r="B772" s="250"/>
      <c r="C772" s="286"/>
      <c r="D772" s="232"/>
      <c r="E772" s="232"/>
      <c r="F772" s="232"/>
      <c r="G772" s="232"/>
      <c r="H772" s="232"/>
      <c r="I772" s="232"/>
      <c r="J772" s="232"/>
      <c r="K772" s="232"/>
      <c r="L772" s="232"/>
      <c r="M772" s="232"/>
      <c r="N772" s="232"/>
      <c r="O772" s="232"/>
      <c r="P772" s="232"/>
      <c r="Q772" s="232"/>
      <c r="R772" s="232"/>
      <c r="S772" s="232"/>
      <c r="T772" s="232"/>
      <c r="U772" s="232"/>
      <c r="V772" s="15"/>
      <c r="W772" s="15"/>
      <c r="X772" s="15"/>
      <c r="Y772" s="15"/>
      <c r="Z772" s="15"/>
      <c r="AA772" s="15"/>
    </row>
    <row r="773" spans="1:27" s="25" customFormat="1" ht="12" customHeight="1" x14ac:dyDescent="0.2">
      <c r="A773" s="232"/>
      <c r="B773" s="250"/>
      <c r="C773" s="286"/>
      <c r="D773" s="232"/>
      <c r="E773" s="232"/>
      <c r="F773" s="232"/>
      <c r="G773" s="232"/>
      <c r="H773" s="232"/>
      <c r="I773" s="232"/>
      <c r="J773" s="232"/>
      <c r="K773" s="232"/>
      <c r="L773" s="232"/>
      <c r="M773" s="232"/>
      <c r="N773" s="232"/>
      <c r="O773" s="232"/>
      <c r="P773" s="232"/>
      <c r="Q773" s="232"/>
      <c r="R773" s="232"/>
      <c r="S773" s="232"/>
      <c r="T773" s="232"/>
      <c r="U773" s="232"/>
      <c r="V773" s="15"/>
      <c r="W773" s="15"/>
      <c r="X773" s="15"/>
      <c r="Y773" s="15"/>
      <c r="Z773" s="15"/>
      <c r="AA773" s="15"/>
    </row>
    <row r="774" spans="1:27" s="25" customFormat="1" ht="12" customHeight="1" x14ac:dyDescent="0.2">
      <c r="A774" s="232"/>
      <c r="B774" s="250"/>
      <c r="C774" s="286"/>
      <c r="D774" s="232"/>
      <c r="E774" s="232"/>
      <c r="F774" s="232"/>
      <c r="G774" s="232"/>
      <c r="H774" s="232"/>
      <c r="I774" s="232"/>
      <c r="J774" s="232"/>
      <c r="K774" s="232"/>
      <c r="L774" s="232"/>
      <c r="M774" s="232"/>
      <c r="N774" s="232"/>
      <c r="O774" s="232"/>
      <c r="P774" s="232"/>
      <c r="Q774" s="232"/>
      <c r="R774" s="232"/>
      <c r="S774" s="232"/>
      <c r="T774" s="232"/>
      <c r="U774" s="232"/>
      <c r="V774" s="15"/>
      <c r="W774" s="15"/>
      <c r="X774" s="15"/>
      <c r="Y774" s="15"/>
      <c r="Z774" s="15"/>
      <c r="AA774" s="15"/>
    </row>
    <row r="775" spans="1:27" s="25" customFormat="1" ht="12" customHeight="1" x14ac:dyDescent="0.2">
      <c r="A775" s="232"/>
      <c r="B775" s="250"/>
      <c r="C775" s="286"/>
      <c r="D775" s="232"/>
      <c r="E775" s="232"/>
      <c r="F775" s="232"/>
      <c r="G775" s="232"/>
      <c r="H775" s="232"/>
      <c r="I775" s="232"/>
      <c r="J775" s="232"/>
      <c r="K775" s="232"/>
      <c r="L775" s="232"/>
      <c r="M775" s="232"/>
      <c r="N775" s="232"/>
      <c r="O775" s="232"/>
      <c r="P775" s="232"/>
      <c r="Q775" s="232"/>
      <c r="R775" s="232"/>
      <c r="S775" s="232"/>
      <c r="T775" s="232"/>
      <c r="U775" s="232"/>
      <c r="V775" s="15"/>
      <c r="W775" s="15"/>
      <c r="X775" s="15"/>
      <c r="Y775" s="15"/>
      <c r="Z775" s="15"/>
      <c r="AA775" s="15"/>
    </row>
    <row r="776" spans="1:27" s="25" customFormat="1" ht="12" customHeight="1" x14ac:dyDescent="0.2">
      <c r="A776" s="232"/>
      <c r="B776" s="250"/>
      <c r="C776" s="286"/>
      <c r="D776" s="232"/>
      <c r="E776" s="232"/>
      <c r="F776" s="232"/>
      <c r="G776" s="232"/>
      <c r="H776" s="232"/>
      <c r="I776" s="232"/>
      <c r="J776" s="232"/>
      <c r="K776" s="232"/>
      <c r="L776" s="232"/>
      <c r="M776" s="232"/>
      <c r="N776" s="232"/>
      <c r="O776" s="232"/>
      <c r="P776" s="232"/>
      <c r="Q776" s="232"/>
      <c r="R776" s="232"/>
      <c r="S776" s="232"/>
      <c r="T776" s="232"/>
      <c r="U776" s="232"/>
      <c r="V776" s="15"/>
      <c r="W776" s="15"/>
      <c r="X776" s="15"/>
      <c r="Y776" s="15"/>
      <c r="Z776" s="15"/>
      <c r="AA776" s="15"/>
    </row>
    <row r="777" spans="1:27" s="25" customFormat="1" ht="12" customHeight="1" x14ac:dyDescent="0.2">
      <c r="A777" s="232"/>
      <c r="B777" s="250"/>
      <c r="C777" s="286"/>
      <c r="D777" s="232"/>
      <c r="E777" s="232"/>
      <c r="F777" s="232"/>
      <c r="G777" s="232"/>
      <c r="H777" s="232"/>
      <c r="I777" s="232"/>
      <c r="J777" s="232"/>
      <c r="K777" s="232"/>
      <c r="L777" s="232"/>
      <c r="M777" s="232"/>
      <c r="N777" s="232"/>
      <c r="O777" s="232"/>
      <c r="P777" s="232"/>
      <c r="Q777" s="232"/>
      <c r="R777" s="232"/>
      <c r="S777" s="232"/>
      <c r="T777" s="232"/>
      <c r="U777" s="232"/>
      <c r="V777" s="15"/>
      <c r="W777" s="15"/>
      <c r="X777" s="15"/>
      <c r="Y777" s="15"/>
      <c r="Z777" s="15"/>
      <c r="AA777" s="15"/>
    </row>
    <row r="778" spans="1:27" s="25" customFormat="1" ht="12" customHeight="1" x14ac:dyDescent="0.2">
      <c r="A778" s="232"/>
      <c r="B778" s="250"/>
      <c r="C778" s="286"/>
      <c r="D778" s="232"/>
      <c r="E778" s="232"/>
      <c r="F778" s="232"/>
      <c r="G778" s="232"/>
      <c r="H778" s="232"/>
      <c r="I778" s="232"/>
      <c r="J778" s="232"/>
      <c r="K778" s="232"/>
      <c r="L778" s="232"/>
      <c r="M778" s="232"/>
      <c r="N778" s="232"/>
      <c r="O778" s="232"/>
      <c r="P778" s="232"/>
      <c r="Q778" s="232"/>
      <c r="R778" s="232"/>
      <c r="S778" s="232"/>
      <c r="T778" s="232"/>
      <c r="U778" s="232"/>
      <c r="V778" s="15"/>
      <c r="W778" s="15"/>
      <c r="X778" s="15"/>
      <c r="Y778" s="15"/>
      <c r="Z778" s="15"/>
      <c r="AA778" s="15"/>
    </row>
    <row r="779" spans="1:27" s="25" customFormat="1" ht="12" customHeight="1" x14ac:dyDescent="0.2">
      <c r="A779" s="232"/>
      <c r="B779" s="250"/>
      <c r="C779" s="286"/>
      <c r="D779" s="232"/>
      <c r="E779" s="232"/>
      <c r="F779" s="232"/>
      <c r="G779" s="232"/>
      <c r="H779" s="232"/>
      <c r="I779" s="232"/>
      <c r="J779" s="232"/>
      <c r="K779" s="232"/>
      <c r="L779" s="232"/>
      <c r="M779" s="232"/>
      <c r="N779" s="232"/>
      <c r="O779" s="232"/>
      <c r="P779" s="232"/>
      <c r="Q779" s="232"/>
      <c r="R779" s="232"/>
      <c r="S779" s="232"/>
      <c r="T779" s="232"/>
      <c r="U779" s="232"/>
      <c r="V779" s="15"/>
      <c r="W779" s="15"/>
      <c r="X779" s="15"/>
      <c r="Y779" s="15"/>
      <c r="Z779" s="15"/>
      <c r="AA779" s="15"/>
    </row>
    <row r="780" spans="1:27" s="25" customFormat="1" ht="12" customHeight="1" x14ac:dyDescent="0.2">
      <c r="A780" s="232"/>
      <c r="B780" s="250"/>
      <c r="C780" s="286"/>
      <c r="D780" s="232"/>
      <c r="E780" s="232"/>
      <c r="F780" s="232"/>
      <c r="G780" s="232"/>
      <c r="H780" s="232"/>
      <c r="I780" s="232"/>
      <c r="J780" s="232"/>
      <c r="K780" s="232"/>
      <c r="L780" s="232"/>
      <c r="M780" s="232"/>
      <c r="N780" s="232"/>
      <c r="O780" s="232"/>
      <c r="P780" s="232"/>
      <c r="Q780" s="232"/>
      <c r="R780" s="232"/>
      <c r="S780" s="232"/>
      <c r="T780" s="232"/>
      <c r="U780" s="232"/>
      <c r="V780" s="15"/>
      <c r="W780" s="15"/>
      <c r="X780" s="15"/>
      <c r="Y780" s="15"/>
      <c r="Z780" s="15"/>
      <c r="AA780" s="15"/>
    </row>
    <row r="781" spans="1:27" s="25" customFormat="1" ht="12" customHeight="1" x14ac:dyDescent="0.2">
      <c r="A781" s="232"/>
      <c r="B781" s="250"/>
      <c r="C781" s="286"/>
      <c r="D781" s="232"/>
      <c r="E781" s="232"/>
      <c r="F781" s="232"/>
      <c r="G781" s="232"/>
      <c r="H781" s="232"/>
      <c r="I781" s="232"/>
      <c r="J781" s="232"/>
      <c r="K781" s="232"/>
      <c r="L781" s="232"/>
      <c r="M781" s="232"/>
      <c r="N781" s="232"/>
      <c r="O781" s="232"/>
      <c r="P781" s="232"/>
      <c r="Q781" s="232"/>
      <c r="R781" s="232"/>
      <c r="S781" s="232"/>
      <c r="T781" s="232"/>
      <c r="U781" s="232"/>
      <c r="V781" s="15"/>
      <c r="W781" s="15"/>
      <c r="X781" s="15"/>
      <c r="Y781" s="15"/>
      <c r="Z781" s="15"/>
      <c r="AA781" s="15"/>
    </row>
    <row r="782" spans="1:27" s="25" customFormat="1" ht="12" customHeight="1" x14ac:dyDescent="0.2">
      <c r="A782" s="232"/>
      <c r="B782" s="250"/>
      <c r="C782" s="286"/>
      <c r="D782" s="232"/>
      <c r="E782" s="232"/>
      <c r="F782" s="232"/>
      <c r="G782" s="232"/>
      <c r="H782" s="232"/>
      <c r="I782" s="232"/>
      <c r="J782" s="232"/>
      <c r="K782" s="232"/>
      <c r="L782" s="232"/>
      <c r="M782" s="232"/>
      <c r="N782" s="232"/>
      <c r="O782" s="232"/>
      <c r="P782" s="232"/>
      <c r="Q782" s="232"/>
      <c r="R782" s="232"/>
      <c r="S782" s="232"/>
      <c r="T782" s="232"/>
      <c r="U782" s="232"/>
      <c r="V782" s="15"/>
      <c r="W782" s="15"/>
      <c r="X782" s="15"/>
      <c r="Y782" s="15"/>
      <c r="Z782" s="15"/>
      <c r="AA782" s="15"/>
    </row>
    <row r="783" spans="1:27" s="25" customFormat="1" ht="12" customHeight="1" x14ac:dyDescent="0.2">
      <c r="A783" s="232"/>
      <c r="B783" s="250"/>
      <c r="C783" s="286"/>
      <c r="D783" s="232"/>
      <c r="E783" s="232"/>
      <c r="F783" s="232"/>
      <c r="G783" s="232"/>
      <c r="H783" s="232"/>
      <c r="I783" s="232"/>
      <c r="J783" s="232"/>
      <c r="K783" s="232"/>
      <c r="L783" s="232"/>
      <c r="M783" s="232"/>
      <c r="N783" s="232"/>
      <c r="O783" s="232"/>
      <c r="P783" s="232"/>
      <c r="Q783" s="232"/>
      <c r="R783" s="232"/>
      <c r="S783" s="232"/>
      <c r="T783" s="232"/>
      <c r="U783" s="232"/>
      <c r="V783" s="15"/>
      <c r="W783" s="15"/>
      <c r="X783" s="15"/>
      <c r="Y783" s="15"/>
      <c r="Z783" s="15"/>
      <c r="AA783" s="15"/>
    </row>
    <row r="784" spans="1:27" s="25" customFormat="1" ht="12" customHeight="1" x14ac:dyDescent="0.2">
      <c r="A784" s="232"/>
      <c r="B784" s="250"/>
      <c r="C784" s="286"/>
      <c r="D784" s="232"/>
      <c r="E784" s="232"/>
      <c r="F784" s="232"/>
      <c r="G784" s="232"/>
      <c r="H784" s="232"/>
      <c r="I784" s="232"/>
      <c r="J784" s="232"/>
      <c r="K784" s="232"/>
      <c r="L784" s="232"/>
      <c r="M784" s="232"/>
      <c r="N784" s="232"/>
      <c r="O784" s="232"/>
      <c r="P784" s="232"/>
      <c r="Q784" s="232"/>
      <c r="R784" s="232"/>
      <c r="S784" s="232"/>
      <c r="T784" s="232"/>
      <c r="U784" s="232"/>
      <c r="V784" s="15"/>
      <c r="W784" s="15"/>
      <c r="X784" s="15"/>
      <c r="Y784" s="15"/>
      <c r="Z784" s="15"/>
      <c r="AA784" s="15"/>
    </row>
    <row r="785" spans="1:27" s="25" customFormat="1" ht="12" customHeight="1" x14ac:dyDescent="0.2">
      <c r="A785" s="232"/>
      <c r="B785" s="250"/>
      <c r="C785" s="286"/>
      <c r="D785" s="232"/>
      <c r="E785" s="232"/>
      <c r="F785" s="232"/>
      <c r="G785" s="232"/>
      <c r="H785" s="232"/>
      <c r="I785" s="232"/>
      <c r="J785" s="232"/>
      <c r="K785" s="232"/>
      <c r="L785" s="232"/>
      <c r="M785" s="232"/>
      <c r="N785" s="232"/>
      <c r="O785" s="232"/>
      <c r="P785" s="232"/>
      <c r="Q785" s="232"/>
      <c r="R785" s="232"/>
      <c r="S785" s="232"/>
      <c r="T785" s="232"/>
      <c r="U785" s="232"/>
      <c r="V785" s="15"/>
      <c r="W785" s="15"/>
      <c r="X785" s="15"/>
      <c r="Y785" s="15"/>
      <c r="Z785" s="15"/>
      <c r="AA785" s="15"/>
    </row>
    <row r="786" spans="1:27" s="25" customFormat="1" ht="12" customHeight="1" x14ac:dyDescent="0.2">
      <c r="A786" s="232"/>
      <c r="B786" s="250"/>
      <c r="C786" s="286"/>
      <c r="D786" s="232"/>
      <c r="E786" s="232"/>
      <c r="F786" s="232"/>
      <c r="G786" s="232"/>
      <c r="H786" s="232"/>
      <c r="I786" s="232"/>
      <c r="J786" s="232"/>
      <c r="K786" s="232"/>
      <c r="L786" s="232"/>
      <c r="M786" s="232"/>
      <c r="N786" s="232"/>
      <c r="O786" s="232"/>
      <c r="P786" s="232"/>
      <c r="Q786" s="232"/>
      <c r="R786" s="232"/>
      <c r="S786" s="232"/>
      <c r="T786" s="232"/>
      <c r="U786" s="232"/>
      <c r="V786" s="15"/>
      <c r="W786" s="15"/>
      <c r="X786" s="15"/>
      <c r="Y786" s="15"/>
      <c r="Z786" s="15"/>
      <c r="AA786" s="15"/>
    </row>
    <row r="787" spans="1:27" s="25" customFormat="1" ht="12" customHeight="1" x14ac:dyDescent="0.2">
      <c r="A787" s="232"/>
      <c r="B787" s="250"/>
      <c r="C787" s="286"/>
      <c r="D787" s="232"/>
      <c r="E787" s="232"/>
      <c r="F787" s="232"/>
      <c r="G787" s="232"/>
      <c r="H787" s="232"/>
      <c r="I787" s="232"/>
      <c r="J787" s="232"/>
      <c r="K787" s="232"/>
      <c r="L787" s="232"/>
      <c r="M787" s="232"/>
      <c r="N787" s="232"/>
      <c r="O787" s="232"/>
      <c r="P787" s="232"/>
      <c r="Q787" s="232"/>
      <c r="R787" s="232"/>
      <c r="S787" s="232"/>
      <c r="T787" s="232"/>
      <c r="U787" s="232"/>
      <c r="V787" s="15"/>
      <c r="W787" s="15"/>
      <c r="X787" s="15"/>
      <c r="Y787" s="15"/>
      <c r="Z787" s="15"/>
      <c r="AA787" s="15"/>
    </row>
    <row r="788" spans="1:27" s="25" customFormat="1" ht="12" customHeight="1" x14ac:dyDescent="0.2">
      <c r="A788" s="232"/>
      <c r="B788" s="250"/>
      <c r="C788" s="286"/>
      <c r="D788" s="232"/>
      <c r="E788" s="232"/>
      <c r="F788" s="232"/>
      <c r="G788" s="232"/>
      <c r="H788" s="232"/>
      <c r="I788" s="232"/>
      <c r="J788" s="232"/>
      <c r="K788" s="232"/>
      <c r="L788" s="232"/>
      <c r="M788" s="232"/>
      <c r="N788" s="232"/>
      <c r="O788" s="232"/>
      <c r="P788" s="232"/>
      <c r="Q788" s="232"/>
      <c r="R788" s="232"/>
      <c r="S788" s="232"/>
      <c r="T788" s="232"/>
      <c r="U788" s="232"/>
      <c r="V788" s="15"/>
      <c r="W788" s="15"/>
      <c r="X788" s="15"/>
      <c r="Y788" s="15"/>
      <c r="Z788" s="15"/>
      <c r="AA788" s="15"/>
    </row>
    <row r="789" spans="1:27" s="25" customFormat="1" ht="12" customHeight="1" x14ac:dyDescent="0.2">
      <c r="A789" s="232"/>
      <c r="B789" s="250"/>
      <c r="C789" s="286"/>
      <c r="D789" s="232"/>
      <c r="E789" s="232"/>
      <c r="F789" s="232"/>
      <c r="G789" s="232"/>
      <c r="H789" s="232"/>
      <c r="I789" s="232"/>
      <c r="J789" s="232"/>
      <c r="K789" s="232"/>
      <c r="L789" s="232"/>
      <c r="M789" s="232"/>
      <c r="N789" s="232"/>
      <c r="O789" s="232"/>
      <c r="P789" s="232"/>
      <c r="Q789" s="232"/>
      <c r="R789" s="232"/>
      <c r="S789" s="232"/>
      <c r="T789" s="232"/>
      <c r="U789" s="232"/>
      <c r="V789" s="15"/>
      <c r="W789" s="15"/>
      <c r="X789" s="15"/>
      <c r="Y789" s="15"/>
      <c r="Z789" s="15"/>
      <c r="AA789" s="15"/>
    </row>
    <row r="790" spans="1:27" s="25" customFormat="1" ht="12" customHeight="1" x14ac:dyDescent="0.2">
      <c r="A790" s="232"/>
      <c r="B790" s="250"/>
      <c r="C790" s="286"/>
      <c r="D790" s="232"/>
      <c r="E790" s="232"/>
      <c r="F790" s="232"/>
      <c r="G790" s="232"/>
      <c r="H790" s="232"/>
      <c r="I790" s="232"/>
      <c r="J790" s="232"/>
      <c r="K790" s="232"/>
      <c r="L790" s="232"/>
      <c r="M790" s="232"/>
      <c r="N790" s="232"/>
      <c r="O790" s="232"/>
      <c r="P790" s="232"/>
      <c r="Q790" s="232"/>
      <c r="R790" s="232"/>
      <c r="S790" s="232"/>
      <c r="T790" s="232"/>
      <c r="U790" s="232"/>
      <c r="V790" s="15"/>
      <c r="W790" s="15"/>
      <c r="X790" s="15"/>
      <c r="Y790" s="15"/>
      <c r="Z790" s="15"/>
      <c r="AA790" s="15"/>
    </row>
    <row r="791" spans="1:27" s="25" customFormat="1" ht="12" customHeight="1" x14ac:dyDescent="0.2">
      <c r="A791" s="232"/>
      <c r="B791" s="250"/>
      <c r="C791" s="286"/>
      <c r="D791" s="232"/>
      <c r="E791" s="232"/>
      <c r="F791" s="232"/>
      <c r="G791" s="232"/>
      <c r="H791" s="232"/>
      <c r="I791" s="232"/>
      <c r="J791" s="232"/>
      <c r="K791" s="232"/>
      <c r="L791" s="232"/>
      <c r="M791" s="232"/>
      <c r="N791" s="232"/>
      <c r="O791" s="232"/>
      <c r="P791" s="232"/>
      <c r="Q791" s="232"/>
      <c r="R791" s="232"/>
      <c r="S791" s="232"/>
      <c r="T791" s="232"/>
      <c r="U791" s="232"/>
      <c r="V791" s="15"/>
      <c r="W791" s="15"/>
      <c r="X791" s="15"/>
      <c r="Y791" s="15"/>
      <c r="Z791" s="15"/>
      <c r="AA791" s="15"/>
    </row>
    <row r="792" spans="1:27" s="25" customFormat="1" ht="12" customHeight="1" x14ac:dyDescent="0.2">
      <c r="A792" s="232"/>
      <c r="B792" s="250"/>
      <c r="C792" s="286"/>
      <c r="D792" s="232"/>
      <c r="E792" s="232"/>
      <c r="F792" s="232"/>
      <c r="G792" s="232"/>
      <c r="H792" s="232"/>
      <c r="I792" s="232"/>
      <c r="J792" s="232"/>
      <c r="K792" s="232"/>
      <c r="L792" s="232"/>
      <c r="M792" s="232"/>
      <c r="N792" s="232"/>
      <c r="O792" s="232"/>
      <c r="P792" s="232"/>
      <c r="Q792" s="232"/>
      <c r="R792" s="232"/>
      <c r="S792" s="232"/>
      <c r="T792" s="232"/>
      <c r="U792" s="232"/>
      <c r="V792" s="15"/>
      <c r="W792" s="15"/>
      <c r="X792" s="15"/>
      <c r="Y792" s="15"/>
      <c r="Z792" s="15"/>
      <c r="AA792" s="15"/>
    </row>
    <row r="793" spans="1:27" s="25" customFormat="1" ht="12" customHeight="1" x14ac:dyDescent="0.2">
      <c r="A793" s="232"/>
      <c r="B793" s="250"/>
      <c r="C793" s="286"/>
      <c r="D793" s="232"/>
      <c r="E793" s="232"/>
      <c r="F793" s="232"/>
      <c r="G793" s="232"/>
      <c r="H793" s="232"/>
      <c r="I793" s="232"/>
      <c r="J793" s="232"/>
      <c r="K793" s="232"/>
      <c r="L793" s="232"/>
      <c r="M793" s="232"/>
      <c r="N793" s="232"/>
      <c r="O793" s="232"/>
      <c r="P793" s="232"/>
      <c r="Q793" s="232"/>
      <c r="R793" s="232"/>
      <c r="S793" s="232"/>
      <c r="T793" s="232"/>
      <c r="U793" s="232"/>
      <c r="V793" s="15"/>
      <c r="W793" s="15"/>
      <c r="X793" s="15"/>
      <c r="Y793" s="15"/>
      <c r="Z793" s="15"/>
      <c r="AA793" s="15"/>
    </row>
    <row r="794" spans="1:27" s="25" customFormat="1" ht="12" customHeight="1" x14ac:dyDescent="0.2">
      <c r="A794" s="232"/>
      <c r="B794" s="250"/>
      <c r="C794" s="286"/>
      <c r="D794" s="232"/>
      <c r="E794" s="232"/>
      <c r="F794" s="232"/>
      <c r="G794" s="232"/>
      <c r="H794" s="232"/>
      <c r="I794" s="232"/>
      <c r="J794" s="232"/>
      <c r="K794" s="232"/>
      <c r="L794" s="232"/>
      <c r="M794" s="232"/>
      <c r="N794" s="232"/>
      <c r="O794" s="232"/>
      <c r="P794" s="232"/>
      <c r="Q794" s="232"/>
      <c r="R794" s="232"/>
      <c r="S794" s="232"/>
      <c r="T794" s="232"/>
      <c r="U794" s="232"/>
      <c r="V794" s="15"/>
      <c r="W794" s="15"/>
      <c r="X794" s="15"/>
      <c r="Y794" s="15"/>
      <c r="Z794" s="15"/>
      <c r="AA794" s="15"/>
    </row>
    <row r="795" spans="1:27" s="25" customFormat="1" ht="12" customHeight="1" x14ac:dyDescent="0.2">
      <c r="A795" s="232"/>
      <c r="B795" s="250"/>
      <c r="C795" s="286"/>
      <c r="D795" s="232"/>
      <c r="E795" s="232"/>
      <c r="F795" s="232"/>
      <c r="G795" s="232"/>
      <c r="H795" s="232"/>
      <c r="I795" s="232"/>
      <c r="J795" s="232"/>
      <c r="K795" s="232"/>
      <c r="L795" s="232"/>
      <c r="M795" s="232"/>
      <c r="N795" s="232"/>
      <c r="O795" s="232"/>
      <c r="P795" s="232"/>
      <c r="Q795" s="232"/>
      <c r="R795" s="232"/>
      <c r="S795" s="232"/>
      <c r="T795" s="232"/>
      <c r="U795" s="232"/>
      <c r="V795" s="15"/>
      <c r="W795" s="15"/>
      <c r="X795" s="15"/>
      <c r="Y795" s="15"/>
      <c r="Z795" s="15"/>
      <c r="AA795" s="15"/>
    </row>
    <row r="796" spans="1:27" s="25" customFormat="1" ht="12" customHeight="1" x14ac:dyDescent="0.2">
      <c r="A796" s="232"/>
      <c r="B796" s="250"/>
      <c r="C796" s="286"/>
      <c r="D796" s="232"/>
      <c r="E796" s="232"/>
      <c r="F796" s="232"/>
      <c r="G796" s="232"/>
      <c r="H796" s="232"/>
      <c r="I796" s="232"/>
      <c r="J796" s="232"/>
      <c r="K796" s="232"/>
      <c r="L796" s="232"/>
      <c r="M796" s="232"/>
      <c r="N796" s="232"/>
      <c r="O796" s="232"/>
      <c r="P796" s="232"/>
      <c r="Q796" s="232"/>
      <c r="R796" s="232"/>
      <c r="S796" s="232"/>
      <c r="T796" s="232"/>
      <c r="U796" s="232"/>
      <c r="V796" s="15"/>
      <c r="W796" s="15"/>
      <c r="X796" s="15"/>
      <c r="Y796" s="15"/>
      <c r="Z796" s="15"/>
      <c r="AA796" s="15"/>
    </row>
    <row r="797" spans="1:27" s="25" customFormat="1" ht="12" customHeight="1" x14ac:dyDescent="0.2">
      <c r="A797" s="232"/>
      <c r="B797" s="250"/>
      <c r="C797" s="286"/>
      <c r="D797" s="232"/>
      <c r="E797" s="232"/>
      <c r="F797" s="232"/>
      <c r="G797" s="232"/>
      <c r="H797" s="232"/>
      <c r="I797" s="232"/>
      <c r="J797" s="232"/>
      <c r="K797" s="232"/>
      <c r="L797" s="232"/>
      <c r="M797" s="232"/>
      <c r="N797" s="232"/>
      <c r="O797" s="232"/>
      <c r="P797" s="232"/>
      <c r="Q797" s="232"/>
      <c r="R797" s="232"/>
      <c r="S797" s="232"/>
      <c r="T797" s="232"/>
      <c r="U797" s="232"/>
      <c r="V797" s="15"/>
      <c r="W797" s="15"/>
      <c r="X797" s="15"/>
      <c r="Y797" s="15"/>
      <c r="Z797" s="15"/>
      <c r="AA797" s="15"/>
    </row>
    <row r="798" spans="1:27" s="25" customFormat="1" ht="12" customHeight="1" x14ac:dyDescent="0.2">
      <c r="A798" s="232"/>
      <c r="B798" s="250"/>
      <c r="C798" s="286"/>
      <c r="D798" s="232"/>
      <c r="E798" s="232"/>
      <c r="F798" s="232"/>
      <c r="G798" s="232"/>
      <c r="H798" s="232"/>
      <c r="I798" s="232"/>
      <c r="J798" s="232"/>
      <c r="K798" s="232"/>
      <c r="L798" s="232"/>
      <c r="M798" s="232"/>
      <c r="N798" s="232"/>
      <c r="O798" s="232"/>
      <c r="P798" s="232"/>
      <c r="Q798" s="232"/>
      <c r="R798" s="232"/>
      <c r="S798" s="232"/>
      <c r="T798" s="232"/>
      <c r="U798" s="232"/>
      <c r="V798" s="15"/>
      <c r="W798" s="15"/>
      <c r="X798" s="15"/>
      <c r="Y798" s="15"/>
      <c r="Z798" s="15"/>
      <c r="AA798" s="15"/>
    </row>
    <row r="799" spans="1:27" s="25" customFormat="1" ht="12" customHeight="1" x14ac:dyDescent="0.2">
      <c r="A799" s="232"/>
      <c r="B799" s="250"/>
      <c r="C799" s="286"/>
      <c r="D799" s="232"/>
      <c r="E799" s="232"/>
      <c r="F799" s="232"/>
      <c r="G799" s="232"/>
      <c r="H799" s="232"/>
      <c r="I799" s="232"/>
      <c r="J799" s="232"/>
      <c r="K799" s="232"/>
      <c r="L799" s="232"/>
      <c r="M799" s="232"/>
      <c r="N799" s="232"/>
      <c r="O799" s="232"/>
      <c r="P799" s="232"/>
      <c r="Q799" s="232"/>
      <c r="R799" s="232"/>
      <c r="S799" s="232"/>
      <c r="T799" s="232"/>
      <c r="U799" s="232"/>
      <c r="V799" s="15"/>
      <c r="W799" s="15"/>
      <c r="X799" s="15"/>
      <c r="Y799" s="15"/>
      <c r="Z799" s="15"/>
      <c r="AA799" s="15"/>
    </row>
    <row r="800" spans="1:27" s="25" customFormat="1" ht="12" customHeight="1" x14ac:dyDescent="0.2">
      <c r="A800" s="232"/>
      <c r="B800" s="250"/>
      <c r="C800" s="286"/>
      <c r="D800" s="232"/>
      <c r="E800" s="232"/>
      <c r="F800" s="232"/>
      <c r="G800" s="232"/>
      <c r="H800" s="232"/>
      <c r="I800" s="232"/>
      <c r="J800" s="232"/>
      <c r="K800" s="232"/>
      <c r="L800" s="232"/>
      <c r="M800" s="232"/>
      <c r="N800" s="232"/>
      <c r="O800" s="232"/>
      <c r="P800" s="232"/>
      <c r="Q800" s="232"/>
      <c r="R800" s="232"/>
      <c r="S800" s="232"/>
      <c r="T800" s="232"/>
      <c r="U800" s="232"/>
      <c r="V800" s="15"/>
      <c r="W800" s="15"/>
      <c r="X800" s="15"/>
      <c r="Y800" s="15"/>
      <c r="Z800" s="15"/>
      <c r="AA800" s="15"/>
    </row>
    <row r="801" spans="1:27" s="25" customFormat="1" ht="12" customHeight="1" x14ac:dyDescent="0.2">
      <c r="A801" s="232"/>
      <c r="B801" s="250"/>
      <c r="C801" s="286"/>
      <c r="D801" s="232"/>
      <c r="E801" s="232"/>
      <c r="F801" s="232"/>
      <c r="G801" s="232"/>
      <c r="H801" s="232"/>
      <c r="I801" s="232"/>
      <c r="J801" s="232"/>
      <c r="K801" s="232"/>
      <c r="L801" s="232"/>
      <c r="M801" s="232"/>
      <c r="N801" s="232"/>
      <c r="O801" s="232"/>
      <c r="P801" s="232"/>
      <c r="Q801" s="232"/>
      <c r="R801" s="232"/>
      <c r="S801" s="232"/>
      <c r="T801" s="232"/>
      <c r="U801" s="232"/>
      <c r="V801" s="15"/>
      <c r="W801" s="15"/>
      <c r="X801" s="15"/>
      <c r="Y801" s="15"/>
      <c r="Z801" s="15"/>
      <c r="AA801" s="15"/>
    </row>
    <row r="802" spans="1:27" s="25" customFormat="1" ht="12" customHeight="1" x14ac:dyDescent="0.2">
      <c r="A802" s="232"/>
      <c r="B802" s="250"/>
      <c r="C802" s="286"/>
      <c r="D802" s="232"/>
      <c r="E802" s="232"/>
      <c r="F802" s="232"/>
      <c r="G802" s="232"/>
      <c r="H802" s="232"/>
      <c r="I802" s="232"/>
      <c r="J802" s="232"/>
      <c r="K802" s="232"/>
      <c r="L802" s="232"/>
      <c r="M802" s="232"/>
      <c r="N802" s="232"/>
      <c r="O802" s="232"/>
      <c r="P802" s="232"/>
      <c r="Q802" s="232"/>
      <c r="R802" s="232"/>
      <c r="S802" s="232"/>
      <c r="T802" s="232"/>
      <c r="U802" s="232"/>
      <c r="V802" s="15"/>
      <c r="W802" s="15"/>
      <c r="X802" s="15"/>
      <c r="Y802" s="15"/>
      <c r="Z802" s="15"/>
      <c r="AA802" s="15"/>
    </row>
    <row r="803" spans="1:27" s="25" customFormat="1" ht="12" customHeight="1" x14ac:dyDescent="0.2">
      <c r="A803" s="232"/>
      <c r="B803" s="250"/>
      <c r="C803" s="286"/>
      <c r="D803" s="232"/>
      <c r="E803" s="232"/>
      <c r="F803" s="232"/>
      <c r="G803" s="232"/>
      <c r="H803" s="232"/>
      <c r="I803" s="232"/>
      <c r="J803" s="232"/>
      <c r="K803" s="232"/>
      <c r="L803" s="232"/>
      <c r="M803" s="232"/>
      <c r="N803" s="232"/>
      <c r="O803" s="232"/>
      <c r="P803" s="232"/>
      <c r="Q803" s="232"/>
      <c r="R803" s="232"/>
      <c r="S803" s="232"/>
      <c r="T803" s="232"/>
      <c r="U803" s="232"/>
      <c r="V803" s="15"/>
      <c r="W803" s="15"/>
      <c r="X803" s="15"/>
      <c r="Y803" s="15"/>
      <c r="Z803" s="15"/>
      <c r="AA803" s="15"/>
    </row>
    <row r="804" spans="1:27" s="25" customFormat="1" ht="12" customHeight="1" x14ac:dyDescent="0.2">
      <c r="A804" s="232"/>
      <c r="B804" s="250"/>
      <c r="C804" s="286"/>
      <c r="D804" s="232"/>
      <c r="E804" s="232"/>
      <c r="F804" s="232"/>
      <c r="G804" s="232"/>
      <c r="H804" s="232"/>
      <c r="I804" s="232"/>
      <c r="J804" s="232"/>
      <c r="K804" s="232"/>
      <c r="L804" s="232"/>
      <c r="M804" s="232"/>
      <c r="N804" s="232"/>
      <c r="O804" s="232"/>
      <c r="P804" s="232"/>
      <c r="Q804" s="232"/>
      <c r="R804" s="232"/>
      <c r="S804" s="232"/>
      <c r="T804" s="232"/>
      <c r="U804" s="232"/>
      <c r="V804" s="15"/>
      <c r="W804" s="15"/>
      <c r="X804" s="15"/>
      <c r="Y804" s="15"/>
      <c r="Z804" s="15"/>
      <c r="AA804" s="15"/>
    </row>
    <row r="805" spans="1:27" s="25" customFormat="1" ht="12" customHeight="1" x14ac:dyDescent="0.2">
      <c r="A805" s="232"/>
      <c r="B805" s="250"/>
      <c r="C805" s="286"/>
      <c r="D805" s="232"/>
      <c r="E805" s="232"/>
      <c r="F805" s="232"/>
      <c r="G805" s="232"/>
      <c r="H805" s="232"/>
      <c r="I805" s="232"/>
      <c r="J805" s="232"/>
      <c r="K805" s="232"/>
      <c r="L805" s="232"/>
      <c r="M805" s="232"/>
      <c r="N805" s="232"/>
      <c r="O805" s="232"/>
      <c r="P805" s="232"/>
      <c r="Q805" s="232"/>
      <c r="R805" s="232"/>
      <c r="S805" s="232"/>
      <c r="T805" s="232"/>
      <c r="U805" s="232"/>
      <c r="V805" s="15"/>
      <c r="W805" s="15"/>
      <c r="X805" s="15"/>
      <c r="Y805" s="15"/>
      <c r="Z805" s="15"/>
      <c r="AA805" s="15"/>
    </row>
    <row r="806" spans="1:27" s="25" customFormat="1" ht="12" customHeight="1" x14ac:dyDescent="0.2">
      <c r="A806" s="232"/>
      <c r="B806" s="250"/>
      <c r="C806" s="286"/>
      <c r="D806" s="232"/>
      <c r="E806" s="232"/>
      <c r="F806" s="232"/>
      <c r="G806" s="232"/>
      <c r="H806" s="232"/>
      <c r="I806" s="232"/>
      <c r="J806" s="232"/>
      <c r="K806" s="232"/>
      <c r="L806" s="232"/>
      <c r="M806" s="232"/>
      <c r="N806" s="232"/>
      <c r="O806" s="232"/>
      <c r="P806" s="232"/>
      <c r="Q806" s="232"/>
      <c r="R806" s="232"/>
      <c r="S806" s="232"/>
      <c r="T806" s="232"/>
      <c r="U806" s="232"/>
      <c r="V806" s="15"/>
      <c r="W806" s="15"/>
      <c r="X806" s="15"/>
      <c r="Y806" s="15"/>
      <c r="Z806" s="15"/>
      <c r="AA806" s="15"/>
    </row>
    <row r="807" spans="1:27" s="25" customFormat="1" ht="12" customHeight="1" x14ac:dyDescent="0.2">
      <c r="A807" s="232"/>
      <c r="B807" s="250"/>
      <c r="C807" s="286"/>
      <c r="D807" s="232"/>
      <c r="E807" s="232"/>
      <c r="F807" s="232"/>
      <c r="G807" s="232"/>
      <c r="H807" s="232"/>
      <c r="I807" s="232"/>
      <c r="J807" s="232"/>
      <c r="K807" s="232"/>
      <c r="L807" s="232"/>
      <c r="M807" s="232"/>
      <c r="N807" s="232"/>
      <c r="O807" s="232"/>
      <c r="P807" s="232"/>
      <c r="Q807" s="232"/>
      <c r="R807" s="232"/>
      <c r="S807" s="232"/>
      <c r="T807" s="232"/>
      <c r="U807" s="232"/>
      <c r="V807" s="15"/>
      <c r="W807" s="15"/>
      <c r="X807" s="15"/>
      <c r="Y807" s="15"/>
      <c r="Z807" s="15"/>
      <c r="AA807" s="15"/>
    </row>
    <row r="808" spans="1:27" s="25" customFormat="1" ht="12" customHeight="1" x14ac:dyDescent="0.2">
      <c r="A808" s="232"/>
      <c r="B808" s="250"/>
      <c r="C808" s="286"/>
      <c r="D808" s="232"/>
      <c r="E808" s="232"/>
      <c r="F808" s="232"/>
      <c r="G808" s="232"/>
      <c r="H808" s="232"/>
      <c r="I808" s="232"/>
      <c r="J808" s="232"/>
      <c r="K808" s="232"/>
      <c r="L808" s="232"/>
      <c r="M808" s="232"/>
      <c r="N808" s="232"/>
      <c r="O808" s="232"/>
      <c r="P808" s="232"/>
      <c r="Q808" s="232"/>
      <c r="R808" s="232"/>
      <c r="S808" s="232"/>
      <c r="T808" s="232"/>
      <c r="U808" s="232"/>
      <c r="V808" s="15"/>
      <c r="W808" s="15"/>
      <c r="X808" s="15"/>
      <c r="Y808" s="15"/>
      <c r="Z808" s="15"/>
      <c r="AA808" s="15"/>
    </row>
    <row r="809" spans="1:27" s="25" customFormat="1" ht="12" customHeight="1" x14ac:dyDescent="0.2">
      <c r="A809" s="232"/>
      <c r="B809" s="250"/>
      <c r="C809" s="286"/>
      <c r="D809" s="232"/>
      <c r="E809" s="232"/>
      <c r="F809" s="232"/>
      <c r="G809" s="232"/>
      <c r="H809" s="232"/>
      <c r="I809" s="232"/>
      <c r="J809" s="232"/>
      <c r="K809" s="232"/>
      <c r="L809" s="232"/>
      <c r="M809" s="232"/>
      <c r="N809" s="232"/>
      <c r="O809" s="232"/>
      <c r="P809" s="232"/>
      <c r="Q809" s="232"/>
      <c r="R809" s="232"/>
      <c r="S809" s="232"/>
      <c r="T809" s="232"/>
      <c r="U809" s="232"/>
      <c r="V809" s="15"/>
      <c r="W809" s="15"/>
      <c r="X809" s="15"/>
      <c r="Y809" s="15"/>
      <c r="Z809" s="15"/>
      <c r="AA809" s="15"/>
    </row>
    <row r="810" spans="1:27" s="25" customFormat="1" ht="12" customHeight="1" x14ac:dyDescent="0.2">
      <c r="A810" s="232"/>
      <c r="B810" s="250"/>
      <c r="C810" s="286"/>
      <c r="D810" s="232"/>
      <c r="E810" s="232"/>
      <c r="F810" s="232"/>
      <c r="G810" s="232"/>
      <c r="H810" s="232"/>
      <c r="I810" s="232"/>
      <c r="J810" s="232"/>
      <c r="K810" s="232"/>
      <c r="L810" s="232"/>
      <c r="M810" s="232"/>
      <c r="N810" s="232"/>
      <c r="O810" s="232"/>
      <c r="P810" s="232"/>
      <c r="Q810" s="232"/>
      <c r="R810" s="232"/>
      <c r="S810" s="232"/>
      <c r="T810" s="232"/>
      <c r="U810" s="232"/>
      <c r="V810" s="15"/>
      <c r="W810" s="15"/>
      <c r="X810" s="15"/>
      <c r="Y810" s="15"/>
      <c r="Z810" s="15"/>
      <c r="AA810" s="15"/>
    </row>
    <row r="811" spans="1:27" s="25" customFormat="1" ht="12" customHeight="1" x14ac:dyDescent="0.2">
      <c r="A811" s="232"/>
      <c r="B811" s="250"/>
      <c r="C811" s="286"/>
      <c r="D811" s="232"/>
      <c r="E811" s="232"/>
      <c r="F811" s="232"/>
      <c r="G811" s="232"/>
      <c r="H811" s="232"/>
      <c r="I811" s="232"/>
      <c r="J811" s="232"/>
      <c r="K811" s="232"/>
      <c r="L811" s="232"/>
      <c r="M811" s="232"/>
      <c r="N811" s="232"/>
      <c r="O811" s="232"/>
      <c r="P811" s="232"/>
      <c r="Q811" s="232"/>
      <c r="R811" s="232"/>
      <c r="S811" s="232"/>
      <c r="T811" s="232"/>
      <c r="U811" s="232"/>
      <c r="V811" s="15"/>
      <c r="W811" s="15"/>
      <c r="X811" s="15"/>
      <c r="Y811" s="15"/>
      <c r="Z811" s="15"/>
      <c r="AA811" s="15"/>
    </row>
    <row r="812" spans="1:27" s="25" customFormat="1" ht="12" customHeight="1" x14ac:dyDescent="0.2">
      <c r="A812" s="232"/>
      <c r="B812" s="250"/>
      <c r="C812" s="286"/>
      <c r="D812" s="232"/>
      <c r="E812" s="232"/>
      <c r="F812" s="232"/>
      <c r="G812" s="232"/>
      <c r="H812" s="232"/>
      <c r="I812" s="232"/>
      <c r="J812" s="232"/>
      <c r="K812" s="232"/>
      <c r="L812" s="232"/>
      <c r="M812" s="232"/>
      <c r="N812" s="232"/>
      <c r="O812" s="232"/>
      <c r="P812" s="232"/>
      <c r="Q812" s="232"/>
      <c r="R812" s="232"/>
      <c r="S812" s="232"/>
      <c r="T812" s="232"/>
      <c r="U812" s="232"/>
      <c r="V812" s="15"/>
      <c r="W812" s="15"/>
      <c r="X812" s="15"/>
      <c r="Y812" s="15"/>
      <c r="Z812" s="15"/>
      <c r="AA812" s="15"/>
    </row>
    <row r="813" spans="1:27" s="25" customFormat="1" ht="12" customHeight="1" x14ac:dyDescent="0.2">
      <c r="A813" s="232"/>
      <c r="B813" s="250"/>
      <c r="C813" s="286"/>
      <c r="D813" s="232"/>
      <c r="E813" s="232"/>
      <c r="F813" s="232"/>
      <c r="G813" s="232"/>
      <c r="H813" s="232"/>
      <c r="I813" s="232"/>
      <c r="J813" s="232"/>
      <c r="K813" s="232"/>
      <c r="L813" s="232"/>
      <c r="M813" s="232"/>
      <c r="N813" s="232"/>
      <c r="O813" s="232"/>
      <c r="P813" s="232"/>
      <c r="Q813" s="232"/>
      <c r="R813" s="232"/>
      <c r="S813" s="232"/>
      <c r="T813" s="232"/>
      <c r="U813" s="232"/>
      <c r="V813" s="15"/>
      <c r="W813" s="15"/>
      <c r="X813" s="15"/>
      <c r="Y813" s="15"/>
      <c r="Z813" s="15"/>
      <c r="AA813" s="15"/>
    </row>
    <row r="814" spans="1:27" s="25" customFormat="1" ht="12" customHeight="1" x14ac:dyDescent="0.2">
      <c r="A814" s="232"/>
      <c r="B814" s="250"/>
      <c r="C814" s="286"/>
      <c r="D814" s="232"/>
      <c r="E814" s="232"/>
      <c r="F814" s="232"/>
      <c r="G814" s="232"/>
      <c r="H814" s="232"/>
      <c r="I814" s="232"/>
      <c r="J814" s="232"/>
      <c r="K814" s="232"/>
      <c r="L814" s="232"/>
      <c r="M814" s="232"/>
      <c r="N814" s="232"/>
      <c r="O814" s="232"/>
      <c r="P814" s="232"/>
      <c r="Q814" s="232"/>
      <c r="R814" s="232"/>
      <c r="S814" s="232"/>
      <c r="T814" s="232"/>
      <c r="U814" s="232"/>
      <c r="V814" s="15"/>
      <c r="W814" s="15"/>
      <c r="X814" s="15"/>
      <c r="Y814" s="15"/>
      <c r="Z814" s="15"/>
      <c r="AA814" s="15"/>
    </row>
    <row r="815" spans="1:27" s="25" customFormat="1" ht="12" customHeight="1" x14ac:dyDescent="0.2">
      <c r="A815" s="232"/>
      <c r="B815" s="250"/>
      <c r="C815" s="286"/>
      <c r="D815" s="232"/>
      <c r="E815" s="232"/>
      <c r="F815" s="232"/>
      <c r="G815" s="232"/>
      <c r="H815" s="232"/>
      <c r="I815" s="232"/>
      <c r="J815" s="232"/>
      <c r="K815" s="232"/>
      <c r="L815" s="232"/>
      <c r="M815" s="232"/>
      <c r="N815" s="232"/>
      <c r="O815" s="232"/>
      <c r="P815" s="232"/>
      <c r="Q815" s="232"/>
      <c r="R815" s="232"/>
      <c r="S815" s="232"/>
      <c r="T815" s="232"/>
      <c r="U815" s="232"/>
      <c r="V815" s="15"/>
      <c r="W815" s="15"/>
      <c r="X815" s="15"/>
      <c r="Y815" s="15"/>
      <c r="Z815" s="15"/>
      <c r="AA815" s="15"/>
    </row>
    <row r="816" spans="1:27" s="25" customFormat="1" ht="12" customHeight="1" x14ac:dyDescent="0.2">
      <c r="A816" s="232"/>
      <c r="B816" s="250"/>
      <c r="C816" s="286"/>
      <c r="D816" s="232"/>
      <c r="E816" s="232"/>
      <c r="F816" s="232"/>
      <c r="G816" s="232"/>
      <c r="H816" s="232"/>
      <c r="I816" s="232"/>
      <c r="J816" s="232"/>
      <c r="K816" s="232"/>
      <c r="L816" s="232"/>
      <c r="M816" s="232"/>
      <c r="N816" s="232"/>
      <c r="O816" s="232"/>
      <c r="P816" s="232"/>
      <c r="Q816" s="232"/>
      <c r="R816" s="232"/>
      <c r="S816" s="232"/>
      <c r="T816" s="232"/>
      <c r="U816" s="232"/>
      <c r="V816" s="15"/>
      <c r="W816" s="15"/>
      <c r="X816" s="15"/>
      <c r="Y816" s="15"/>
      <c r="Z816" s="15"/>
      <c r="AA816" s="15"/>
    </row>
    <row r="817" spans="1:27" s="25" customFormat="1" ht="12" customHeight="1" x14ac:dyDescent="0.2">
      <c r="A817" s="232"/>
      <c r="B817" s="250"/>
      <c r="C817" s="286"/>
      <c r="D817" s="232"/>
      <c r="E817" s="232"/>
      <c r="F817" s="232"/>
      <c r="G817" s="232"/>
      <c r="H817" s="232"/>
      <c r="I817" s="232"/>
      <c r="J817" s="232"/>
      <c r="K817" s="232"/>
      <c r="L817" s="232"/>
      <c r="M817" s="232"/>
      <c r="N817" s="232"/>
      <c r="O817" s="232"/>
      <c r="P817" s="232"/>
      <c r="Q817" s="232"/>
      <c r="R817" s="232"/>
      <c r="S817" s="232"/>
      <c r="T817" s="232"/>
      <c r="U817" s="232"/>
      <c r="V817" s="15"/>
      <c r="W817" s="15"/>
      <c r="X817" s="15"/>
      <c r="Y817" s="15"/>
      <c r="Z817" s="15"/>
      <c r="AA817" s="15"/>
    </row>
    <row r="818" spans="1:27" s="25" customFormat="1" ht="12" customHeight="1" x14ac:dyDescent="0.2">
      <c r="A818" s="232"/>
      <c r="B818" s="250"/>
      <c r="C818" s="286"/>
      <c r="D818" s="232"/>
      <c r="E818" s="232"/>
      <c r="F818" s="232"/>
      <c r="G818" s="232"/>
      <c r="H818" s="232"/>
      <c r="I818" s="232"/>
      <c r="J818" s="232"/>
      <c r="K818" s="232"/>
      <c r="L818" s="232"/>
      <c r="M818" s="232"/>
      <c r="N818" s="232"/>
      <c r="O818" s="232"/>
      <c r="P818" s="232"/>
      <c r="Q818" s="232"/>
      <c r="R818" s="232"/>
      <c r="S818" s="232"/>
      <c r="T818" s="232"/>
      <c r="U818" s="232"/>
      <c r="V818" s="15"/>
      <c r="W818" s="15"/>
      <c r="X818" s="15"/>
      <c r="Y818" s="15"/>
      <c r="Z818" s="15"/>
      <c r="AA818" s="15"/>
    </row>
    <row r="819" spans="1:27" s="25" customFormat="1" ht="12" customHeight="1" x14ac:dyDescent="0.2">
      <c r="A819" s="232"/>
      <c r="B819" s="250"/>
      <c r="C819" s="286"/>
      <c r="D819" s="232"/>
      <c r="E819" s="232"/>
      <c r="F819" s="232"/>
      <c r="G819" s="232"/>
      <c r="H819" s="232"/>
      <c r="I819" s="232"/>
      <c r="J819" s="232"/>
      <c r="K819" s="232"/>
      <c r="L819" s="232"/>
      <c r="M819" s="232"/>
      <c r="N819" s="232"/>
      <c r="O819" s="232"/>
      <c r="P819" s="232"/>
      <c r="Q819" s="232"/>
      <c r="R819" s="232"/>
      <c r="S819" s="232"/>
      <c r="T819" s="232"/>
      <c r="U819" s="232"/>
      <c r="V819" s="15"/>
      <c r="W819" s="15"/>
      <c r="X819" s="15"/>
      <c r="Y819" s="15"/>
      <c r="Z819" s="15"/>
      <c r="AA819" s="15"/>
    </row>
    <row r="820" spans="1:27" s="25" customFormat="1" ht="12" customHeight="1" x14ac:dyDescent="0.2">
      <c r="A820" s="232"/>
      <c r="B820" s="250"/>
      <c r="C820" s="286"/>
      <c r="D820" s="232"/>
      <c r="E820" s="232"/>
      <c r="F820" s="232"/>
      <c r="G820" s="232"/>
      <c r="H820" s="232"/>
      <c r="I820" s="232"/>
      <c r="J820" s="232"/>
      <c r="K820" s="232"/>
      <c r="L820" s="232"/>
      <c r="M820" s="232"/>
      <c r="N820" s="232"/>
      <c r="O820" s="232"/>
      <c r="P820" s="232"/>
      <c r="Q820" s="232"/>
      <c r="R820" s="232"/>
      <c r="S820" s="232"/>
      <c r="T820" s="232"/>
      <c r="U820" s="232"/>
      <c r="V820" s="15"/>
      <c r="W820" s="15"/>
      <c r="X820" s="15"/>
      <c r="Y820" s="15"/>
      <c r="Z820" s="15"/>
      <c r="AA820" s="15"/>
    </row>
    <row r="821" spans="1:27" s="25" customFormat="1" ht="12" customHeight="1" x14ac:dyDescent="0.2">
      <c r="A821" s="232"/>
      <c r="B821" s="250"/>
      <c r="C821" s="286"/>
      <c r="D821" s="232"/>
      <c r="E821" s="232"/>
      <c r="F821" s="232"/>
      <c r="G821" s="232"/>
      <c r="H821" s="232"/>
      <c r="I821" s="232"/>
      <c r="J821" s="232"/>
      <c r="K821" s="232"/>
      <c r="L821" s="232"/>
      <c r="M821" s="232"/>
      <c r="N821" s="232"/>
      <c r="O821" s="232"/>
      <c r="P821" s="232"/>
      <c r="Q821" s="232"/>
      <c r="R821" s="232"/>
      <c r="S821" s="232"/>
      <c r="T821" s="232"/>
      <c r="U821" s="232"/>
      <c r="V821" s="15"/>
      <c r="W821" s="15"/>
      <c r="X821" s="15"/>
      <c r="Y821" s="15"/>
      <c r="Z821" s="15"/>
      <c r="AA821" s="15"/>
    </row>
    <row r="822" spans="1:27" s="25" customFormat="1" ht="12" customHeight="1" x14ac:dyDescent="0.2">
      <c r="A822" s="232"/>
      <c r="B822" s="250"/>
      <c r="C822" s="286"/>
      <c r="D822" s="232"/>
      <c r="E822" s="232"/>
      <c r="F822" s="232"/>
      <c r="G822" s="232"/>
      <c r="H822" s="232"/>
      <c r="I822" s="232"/>
      <c r="J822" s="232"/>
      <c r="K822" s="232"/>
      <c r="L822" s="232"/>
      <c r="M822" s="232"/>
      <c r="N822" s="232"/>
      <c r="O822" s="232"/>
      <c r="P822" s="232"/>
      <c r="Q822" s="232"/>
      <c r="R822" s="232"/>
      <c r="S822" s="232"/>
      <c r="T822" s="232"/>
      <c r="U822" s="232"/>
      <c r="V822" s="15"/>
      <c r="W822" s="15"/>
      <c r="X822" s="15"/>
      <c r="Y822" s="15"/>
      <c r="Z822" s="15"/>
      <c r="AA822" s="15"/>
    </row>
    <row r="823" spans="1:27" s="25" customFormat="1" ht="12" customHeight="1" x14ac:dyDescent="0.2">
      <c r="A823" s="232"/>
      <c r="B823" s="250"/>
      <c r="C823" s="286"/>
      <c r="D823" s="232"/>
      <c r="E823" s="232"/>
      <c r="F823" s="232"/>
      <c r="G823" s="232"/>
      <c r="H823" s="232"/>
      <c r="I823" s="232"/>
      <c r="J823" s="232"/>
      <c r="K823" s="232"/>
      <c r="L823" s="232"/>
      <c r="M823" s="232"/>
      <c r="N823" s="232"/>
      <c r="O823" s="232"/>
      <c r="P823" s="232"/>
      <c r="Q823" s="232"/>
      <c r="R823" s="232"/>
      <c r="S823" s="232"/>
      <c r="T823" s="232"/>
      <c r="U823" s="232"/>
      <c r="V823" s="15"/>
      <c r="W823" s="15"/>
      <c r="X823" s="15"/>
      <c r="Y823" s="15"/>
      <c r="Z823" s="15"/>
      <c r="AA823" s="15"/>
    </row>
    <row r="824" spans="1:27" s="25" customFormat="1" ht="12" customHeight="1" x14ac:dyDescent="0.2">
      <c r="A824" s="232"/>
      <c r="B824" s="250"/>
      <c r="C824" s="286"/>
      <c r="D824" s="232"/>
      <c r="E824" s="232"/>
      <c r="F824" s="232"/>
      <c r="G824" s="232"/>
      <c r="H824" s="232"/>
      <c r="I824" s="232"/>
      <c r="J824" s="232"/>
      <c r="K824" s="232"/>
      <c r="L824" s="232"/>
      <c r="M824" s="232"/>
      <c r="N824" s="232"/>
      <c r="O824" s="232"/>
      <c r="P824" s="232"/>
      <c r="Q824" s="232"/>
      <c r="R824" s="232"/>
      <c r="S824" s="232"/>
      <c r="T824" s="232"/>
      <c r="U824" s="232"/>
      <c r="V824" s="15"/>
      <c r="W824" s="15"/>
      <c r="X824" s="15"/>
      <c r="Y824" s="15"/>
      <c r="Z824" s="15"/>
      <c r="AA824" s="15"/>
    </row>
    <row r="825" spans="1:27" s="25" customFormat="1" ht="12" customHeight="1" x14ac:dyDescent="0.2">
      <c r="A825" s="232"/>
      <c r="B825" s="250"/>
      <c r="C825" s="286"/>
      <c r="D825" s="232"/>
      <c r="E825" s="232"/>
      <c r="F825" s="232"/>
      <c r="G825" s="232"/>
      <c r="H825" s="232"/>
      <c r="I825" s="232"/>
      <c r="J825" s="232"/>
      <c r="K825" s="232"/>
      <c r="L825" s="232"/>
      <c r="M825" s="232"/>
      <c r="N825" s="232"/>
      <c r="O825" s="232"/>
      <c r="P825" s="232"/>
      <c r="Q825" s="232"/>
      <c r="R825" s="232"/>
      <c r="S825" s="232"/>
      <c r="T825" s="232"/>
      <c r="U825" s="232"/>
      <c r="V825" s="15"/>
      <c r="W825" s="15"/>
      <c r="X825" s="15"/>
      <c r="Y825" s="15"/>
      <c r="Z825" s="15"/>
      <c r="AA825" s="15"/>
    </row>
    <row r="826" spans="1:27" s="25" customFormat="1" ht="12" customHeight="1" x14ac:dyDescent="0.2">
      <c r="A826" s="232"/>
      <c r="B826" s="250"/>
      <c r="C826" s="286"/>
      <c r="D826" s="232"/>
      <c r="E826" s="232"/>
      <c r="F826" s="232"/>
      <c r="G826" s="232"/>
      <c r="H826" s="232"/>
      <c r="I826" s="232"/>
      <c r="J826" s="232"/>
      <c r="K826" s="232"/>
      <c r="L826" s="232"/>
      <c r="M826" s="232"/>
      <c r="N826" s="232"/>
      <c r="O826" s="232"/>
      <c r="P826" s="232"/>
      <c r="Q826" s="232"/>
      <c r="R826" s="232"/>
      <c r="S826" s="232"/>
      <c r="T826" s="232"/>
      <c r="U826" s="232"/>
      <c r="V826" s="15"/>
      <c r="W826" s="15"/>
      <c r="X826" s="15"/>
      <c r="Y826" s="15"/>
      <c r="Z826" s="15"/>
      <c r="AA826" s="15"/>
    </row>
    <row r="827" spans="1:27" s="25" customFormat="1" ht="12" customHeight="1" x14ac:dyDescent="0.2">
      <c r="A827" s="232"/>
      <c r="B827" s="250"/>
      <c r="C827" s="286"/>
      <c r="D827" s="232"/>
      <c r="E827" s="232"/>
      <c r="F827" s="232"/>
      <c r="G827" s="232"/>
      <c r="H827" s="232"/>
      <c r="I827" s="232"/>
      <c r="J827" s="232"/>
      <c r="K827" s="232"/>
      <c r="L827" s="232"/>
      <c r="M827" s="232"/>
      <c r="N827" s="232"/>
      <c r="O827" s="232"/>
      <c r="P827" s="232"/>
      <c r="Q827" s="232"/>
      <c r="R827" s="232"/>
      <c r="S827" s="232"/>
      <c r="T827" s="232"/>
      <c r="U827" s="232"/>
      <c r="V827" s="15"/>
      <c r="W827" s="15"/>
      <c r="X827" s="15"/>
      <c r="Y827" s="15"/>
      <c r="Z827" s="15"/>
      <c r="AA827" s="15"/>
    </row>
    <row r="828" spans="1:27" s="25" customFormat="1" ht="12" customHeight="1" x14ac:dyDescent="0.2">
      <c r="A828" s="232"/>
      <c r="B828" s="250"/>
      <c r="C828" s="286"/>
      <c r="D828" s="232"/>
      <c r="E828" s="232"/>
      <c r="F828" s="232"/>
      <c r="G828" s="232"/>
      <c r="H828" s="232"/>
      <c r="I828" s="232"/>
      <c r="J828" s="232"/>
      <c r="K828" s="232"/>
      <c r="L828" s="232"/>
      <c r="M828" s="232"/>
      <c r="N828" s="232"/>
      <c r="O828" s="232"/>
      <c r="P828" s="232"/>
      <c r="Q828" s="232"/>
      <c r="R828" s="232"/>
      <c r="S828" s="232"/>
      <c r="T828" s="232"/>
      <c r="U828" s="232"/>
      <c r="V828" s="15"/>
      <c r="W828" s="15"/>
      <c r="X828" s="15"/>
      <c r="Y828" s="15"/>
      <c r="Z828" s="15"/>
      <c r="AA828" s="15"/>
    </row>
    <row r="829" spans="1:27" s="25" customFormat="1" ht="12" customHeight="1" x14ac:dyDescent="0.2">
      <c r="A829" s="232"/>
      <c r="B829" s="250"/>
      <c r="C829" s="286"/>
      <c r="D829" s="232"/>
      <c r="E829" s="232"/>
      <c r="F829" s="232"/>
      <c r="G829" s="232"/>
      <c r="H829" s="232"/>
      <c r="I829" s="232"/>
      <c r="J829" s="232"/>
      <c r="K829" s="232"/>
      <c r="L829" s="232"/>
      <c r="M829" s="232"/>
      <c r="N829" s="232"/>
      <c r="O829" s="232"/>
      <c r="P829" s="232"/>
      <c r="Q829" s="232"/>
      <c r="R829" s="232"/>
      <c r="S829" s="232"/>
      <c r="T829" s="232"/>
      <c r="U829" s="232"/>
      <c r="V829" s="15"/>
      <c r="W829" s="15"/>
      <c r="X829" s="15"/>
      <c r="Y829" s="15"/>
      <c r="Z829" s="15"/>
      <c r="AA829" s="15"/>
    </row>
    <row r="830" spans="1:27" s="25" customFormat="1" ht="12" customHeight="1" x14ac:dyDescent="0.2">
      <c r="A830" s="232"/>
      <c r="B830" s="250"/>
      <c r="C830" s="286"/>
      <c r="D830" s="232"/>
      <c r="E830" s="232"/>
      <c r="F830" s="232"/>
      <c r="G830" s="232"/>
      <c r="H830" s="232"/>
      <c r="I830" s="232"/>
      <c r="J830" s="232"/>
      <c r="K830" s="232"/>
      <c r="L830" s="232"/>
      <c r="M830" s="232"/>
      <c r="N830" s="232"/>
      <c r="O830" s="232"/>
      <c r="P830" s="232"/>
      <c r="Q830" s="232"/>
      <c r="R830" s="232"/>
      <c r="S830" s="232"/>
      <c r="T830" s="232"/>
      <c r="U830" s="232"/>
      <c r="V830" s="15"/>
      <c r="W830" s="15"/>
      <c r="X830" s="15"/>
      <c r="Y830" s="15"/>
      <c r="Z830" s="15"/>
      <c r="AA830" s="15"/>
    </row>
    <row r="831" spans="1:27" s="25" customFormat="1" ht="12" customHeight="1" x14ac:dyDescent="0.2">
      <c r="A831" s="232"/>
      <c r="B831" s="250"/>
      <c r="C831" s="286"/>
      <c r="D831" s="232"/>
      <c r="E831" s="232"/>
      <c r="F831" s="232"/>
      <c r="G831" s="232"/>
      <c r="H831" s="232"/>
      <c r="I831" s="232"/>
      <c r="J831" s="232"/>
      <c r="K831" s="232"/>
      <c r="L831" s="232"/>
      <c r="M831" s="232"/>
      <c r="N831" s="232"/>
      <c r="O831" s="232"/>
      <c r="P831" s="232"/>
      <c r="Q831" s="232"/>
      <c r="R831" s="232"/>
      <c r="S831" s="232"/>
      <c r="T831" s="232"/>
      <c r="U831" s="232"/>
      <c r="V831" s="15"/>
      <c r="W831" s="15"/>
      <c r="X831" s="15"/>
      <c r="Y831" s="15"/>
      <c r="Z831" s="15"/>
      <c r="AA831" s="15"/>
    </row>
    <row r="832" spans="1:27" s="25" customFormat="1" ht="12" customHeight="1" x14ac:dyDescent="0.2">
      <c r="A832" s="232"/>
      <c r="B832" s="250"/>
      <c r="C832" s="286"/>
      <c r="D832" s="232"/>
      <c r="E832" s="232"/>
      <c r="F832" s="232"/>
      <c r="G832" s="232"/>
      <c r="H832" s="232"/>
      <c r="I832" s="232"/>
      <c r="J832" s="232"/>
      <c r="K832" s="232"/>
      <c r="L832" s="232"/>
      <c r="M832" s="232"/>
      <c r="N832" s="232"/>
      <c r="O832" s="232"/>
      <c r="P832" s="232"/>
      <c r="Q832" s="232"/>
      <c r="R832" s="232"/>
      <c r="S832" s="232"/>
      <c r="T832" s="232"/>
      <c r="U832" s="232"/>
      <c r="V832" s="15"/>
      <c r="W832" s="15"/>
      <c r="X832" s="15"/>
      <c r="Y832" s="15"/>
      <c r="Z832" s="15"/>
      <c r="AA832" s="15"/>
    </row>
    <row r="833" spans="1:27" s="25" customFormat="1" ht="12" customHeight="1" x14ac:dyDescent="0.2">
      <c r="A833" s="232"/>
      <c r="B833" s="250"/>
      <c r="C833" s="286"/>
      <c r="D833" s="232"/>
      <c r="E833" s="232"/>
      <c r="F833" s="232"/>
      <c r="G833" s="232"/>
      <c r="H833" s="232"/>
      <c r="I833" s="232"/>
      <c r="J833" s="232"/>
      <c r="K833" s="232"/>
      <c r="L833" s="232"/>
      <c r="M833" s="232"/>
      <c r="N833" s="232"/>
      <c r="O833" s="232"/>
      <c r="P833" s="232"/>
      <c r="Q833" s="232"/>
      <c r="R833" s="232"/>
      <c r="S833" s="232"/>
      <c r="T833" s="232"/>
      <c r="U833" s="232"/>
      <c r="V833" s="15"/>
      <c r="W833" s="15"/>
      <c r="X833" s="15"/>
      <c r="Y833" s="15"/>
      <c r="Z833" s="15"/>
      <c r="AA833" s="15"/>
    </row>
    <row r="834" spans="1:27" s="25" customFormat="1" ht="12" customHeight="1" x14ac:dyDescent="0.2">
      <c r="A834" s="232"/>
      <c r="B834" s="250"/>
      <c r="C834" s="286"/>
      <c r="D834" s="232"/>
      <c r="E834" s="232"/>
      <c r="F834" s="232"/>
      <c r="G834" s="232"/>
      <c r="H834" s="232"/>
      <c r="I834" s="232"/>
      <c r="J834" s="232"/>
      <c r="K834" s="232"/>
      <c r="L834" s="232"/>
      <c r="M834" s="232"/>
      <c r="N834" s="232"/>
      <c r="O834" s="232"/>
      <c r="P834" s="232"/>
      <c r="Q834" s="232"/>
      <c r="R834" s="232"/>
      <c r="S834" s="232"/>
      <c r="T834" s="232"/>
      <c r="U834" s="232"/>
      <c r="V834" s="15"/>
      <c r="W834" s="15"/>
      <c r="X834" s="15"/>
      <c r="Y834" s="15"/>
      <c r="Z834" s="15"/>
      <c r="AA834" s="15"/>
    </row>
    <row r="835" spans="1:27" s="25" customFormat="1" ht="12" customHeight="1" x14ac:dyDescent="0.2">
      <c r="A835" s="232"/>
      <c r="B835" s="250"/>
      <c r="C835" s="286"/>
      <c r="D835" s="232"/>
      <c r="E835" s="232"/>
      <c r="F835" s="232"/>
      <c r="G835" s="232"/>
      <c r="H835" s="232"/>
      <c r="I835" s="232"/>
      <c r="J835" s="232"/>
      <c r="K835" s="232"/>
      <c r="L835" s="232"/>
      <c r="M835" s="232"/>
      <c r="N835" s="232"/>
      <c r="O835" s="232"/>
      <c r="P835" s="232"/>
      <c r="Q835" s="232"/>
      <c r="R835" s="232"/>
      <c r="S835" s="232"/>
      <c r="T835" s="232"/>
      <c r="U835" s="232"/>
      <c r="V835" s="15"/>
      <c r="W835" s="15"/>
      <c r="X835" s="15"/>
      <c r="Y835" s="15"/>
      <c r="Z835" s="15"/>
      <c r="AA835" s="15"/>
    </row>
    <row r="836" spans="1:27" s="25" customFormat="1" ht="12" customHeight="1" x14ac:dyDescent="0.2">
      <c r="A836" s="232"/>
      <c r="B836" s="250"/>
      <c r="C836" s="286"/>
      <c r="D836" s="232"/>
      <c r="E836" s="232"/>
      <c r="F836" s="232"/>
      <c r="G836" s="232"/>
      <c r="H836" s="232"/>
      <c r="I836" s="232"/>
      <c r="J836" s="232"/>
      <c r="K836" s="232"/>
      <c r="L836" s="232"/>
      <c r="M836" s="232"/>
      <c r="N836" s="232"/>
      <c r="O836" s="232"/>
      <c r="P836" s="232"/>
      <c r="Q836" s="232"/>
      <c r="R836" s="232"/>
      <c r="S836" s="232"/>
      <c r="T836" s="232"/>
      <c r="U836" s="232"/>
      <c r="V836" s="15"/>
      <c r="W836" s="15"/>
      <c r="X836" s="15"/>
      <c r="Y836" s="15"/>
      <c r="Z836" s="15"/>
      <c r="AA836" s="15"/>
    </row>
    <row r="837" spans="1:27" s="25" customFormat="1" ht="12" customHeight="1" x14ac:dyDescent="0.2">
      <c r="A837" s="232"/>
      <c r="B837" s="250"/>
      <c r="C837" s="286"/>
      <c r="D837" s="232"/>
      <c r="E837" s="232"/>
      <c r="F837" s="232"/>
      <c r="G837" s="232"/>
      <c r="H837" s="232"/>
      <c r="I837" s="232"/>
      <c r="J837" s="232"/>
      <c r="K837" s="232"/>
      <c r="L837" s="232"/>
      <c r="M837" s="232"/>
      <c r="N837" s="232"/>
      <c r="O837" s="232"/>
      <c r="P837" s="232"/>
      <c r="Q837" s="232"/>
      <c r="R837" s="232"/>
      <c r="S837" s="232"/>
      <c r="T837" s="232"/>
      <c r="U837" s="232"/>
      <c r="V837" s="15"/>
      <c r="W837" s="15"/>
      <c r="X837" s="15"/>
      <c r="Y837" s="15"/>
      <c r="Z837" s="15"/>
      <c r="AA837" s="15"/>
    </row>
    <row r="838" spans="1:27" s="25" customFormat="1" ht="12" customHeight="1" x14ac:dyDescent="0.2">
      <c r="A838" s="232"/>
      <c r="B838" s="250"/>
      <c r="C838" s="286"/>
      <c r="D838" s="232"/>
      <c r="E838" s="232"/>
      <c r="F838" s="232"/>
      <c r="G838" s="232"/>
      <c r="H838" s="232"/>
      <c r="I838" s="232"/>
      <c r="J838" s="232"/>
      <c r="K838" s="232"/>
      <c r="L838" s="232"/>
      <c r="M838" s="232"/>
      <c r="N838" s="232"/>
      <c r="O838" s="232"/>
      <c r="P838" s="232"/>
      <c r="Q838" s="232"/>
      <c r="R838" s="232"/>
      <c r="S838" s="232"/>
      <c r="T838" s="232"/>
      <c r="U838" s="232"/>
      <c r="V838" s="15"/>
      <c r="W838" s="15"/>
      <c r="X838" s="15"/>
      <c r="Y838" s="15"/>
      <c r="Z838" s="15"/>
      <c r="AA838" s="15"/>
    </row>
    <row r="839" spans="1:27" s="25" customFormat="1" ht="12" customHeight="1" x14ac:dyDescent="0.2">
      <c r="A839" s="232"/>
      <c r="B839" s="250"/>
      <c r="C839" s="286"/>
      <c r="D839" s="232"/>
      <c r="E839" s="232"/>
      <c r="F839" s="232"/>
      <c r="G839" s="232"/>
      <c r="H839" s="232"/>
      <c r="I839" s="232"/>
      <c r="J839" s="232"/>
      <c r="K839" s="232"/>
      <c r="L839" s="232"/>
      <c r="M839" s="232"/>
      <c r="N839" s="232"/>
      <c r="O839" s="232"/>
      <c r="P839" s="232"/>
      <c r="Q839" s="232"/>
      <c r="R839" s="232"/>
      <c r="S839" s="232"/>
      <c r="T839" s="232"/>
      <c r="U839" s="232"/>
      <c r="V839" s="15"/>
      <c r="W839" s="15"/>
      <c r="X839" s="15"/>
      <c r="Y839" s="15"/>
      <c r="Z839" s="15"/>
      <c r="AA839" s="15"/>
    </row>
    <row r="840" spans="1:27" s="25" customFormat="1" ht="12" customHeight="1" x14ac:dyDescent="0.2">
      <c r="A840" s="232"/>
      <c r="B840" s="250"/>
      <c r="C840" s="286"/>
      <c r="D840" s="232"/>
      <c r="E840" s="232"/>
      <c r="F840" s="232"/>
      <c r="G840" s="232"/>
      <c r="H840" s="232"/>
      <c r="I840" s="232"/>
      <c r="J840" s="232"/>
      <c r="K840" s="232"/>
      <c r="L840" s="232"/>
      <c r="M840" s="232"/>
      <c r="N840" s="232"/>
      <c r="O840" s="232"/>
      <c r="P840" s="232"/>
      <c r="Q840" s="232"/>
      <c r="R840" s="232"/>
      <c r="S840" s="232"/>
      <c r="T840" s="232"/>
      <c r="U840" s="232"/>
      <c r="V840" s="15"/>
      <c r="W840" s="15"/>
      <c r="X840" s="15"/>
      <c r="Y840" s="15"/>
      <c r="Z840" s="15"/>
      <c r="AA840" s="15"/>
    </row>
    <row r="841" spans="1:27" s="25" customFormat="1" ht="12" customHeight="1" x14ac:dyDescent="0.2">
      <c r="A841" s="232"/>
      <c r="B841" s="250"/>
      <c r="C841" s="286"/>
      <c r="D841" s="232"/>
      <c r="E841" s="232"/>
      <c r="F841" s="232"/>
      <c r="G841" s="232"/>
      <c r="H841" s="232"/>
      <c r="I841" s="232"/>
      <c r="J841" s="232"/>
      <c r="K841" s="232"/>
      <c r="L841" s="232"/>
      <c r="M841" s="232"/>
      <c r="N841" s="232"/>
      <c r="O841" s="232"/>
      <c r="P841" s="232"/>
      <c r="Q841" s="232"/>
      <c r="R841" s="232"/>
      <c r="S841" s="232"/>
      <c r="T841" s="232"/>
      <c r="U841" s="232"/>
      <c r="V841" s="15"/>
      <c r="W841" s="15"/>
      <c r="X841" s="15"/>
      <c r="Y841" s="15"/>
      <c r="Z841" s="15"/>
      <c r="AA841" s="15"/>
    </row>
    <row r="842" spans="1:27" s="25" customFormat="1" ht="12" customHeight="1" x14ac:dyDescent="0.2">
      <c r="A842" s="232"/>
      <c r="B842" s="250"/>
      <c r="C842" s="286"/>
      <c r="D842" s="232"/>
      <c r="E842" s="232"/>
      <c r="F842" s="232"/>
      <c r="G842" s="232"/>
      <c r="H842" s="232"/>
      <c r="I842" s="232"/>
      <c r="J842" s="232"/>
      <c r="K842" s="232"/>
      <c r="L842" s="232"/>
      <c r="M842" s="232"/>
      <c r="N842" s="232"/>
      <c r="O842" s="232"/>
      <c r="P842" s="232"/>
      <c r="Q842" s="232"/>
      <c r="R842" s="232"/>
      <c r="S842" s="232"/>
      <c r="T842" s="232"/>
      <c r="U842" s="232"/>
      <c r="V842" s="15"/>
      <c r="W842" s="15"/>
      <c r="X842" s="15"/>
      <c r="Y842" s="15"/>
      <c r="Z842" s="15"/>
      <c r="AA842" s="15"/>
    </row>
    <row r="843" spans="1:27" s="25" customFormat="1" ht="12" customHeight="1" x14ac:dyDescent="0.2">
      <c r="A843" s="232"/>
      <c r="B843" s="250"/>
      <c r="C843" s="286"/>
      <c r="D843" s="232"/>
      <c r="E843" s="232"/>
      <c r="F843" s="232"/>
      <c r="G843" s="232"/>
      <c r="H843" s="232"/>
      <c r="I843" s="232"/>
      <c r="J843" s="232"/>
      <c r="K843" s="232"/>
      <c r="L843" s="232"/>
      <c r="M843" s="232"/>
      <c r="N843" s="232"/>
      <c r="O843" s="232"/>
      <c r="P843" s="232"/>
      <c r="Q843" s="232"/>
      <c r="R843" s="232"/>
      <c r="S843" s="232"/>
      <c r="T843" s="232"/>
      <c r="U843" s="232"/>
      <c r="V843" s="15"/>
      <c r="W843" s="15"/>
      <c r="X843" s="15"/>
      <c r="Y843" s="15"/>
      <c r="Z843" s="15"/>
      <c r="AA843" s="15"/>
    </row>
    <row r="844" spans="1:27" s="25" customFormat="1" ht="12" customHeight="1" x14ac:dyDescent="0.2">
      <c r="A844" s="232"/>
      <c r="B844" s="250"/>
      <c r="C844" s="286"/>
      <c r="D844" s="232"/>
      <c r="E844" s="232"/>
      <c r="F844" s="232"/>
      <c r="G844" s="232"/>
      <c r="H844" s="232"/>
      <c r="I844" s="232"/>
      <c r="J844" s="232"/>
      <c r="K844" s="232"/>
      <c r="L844" s="232"/>
      <c r="M844" s="232"/>
      <c r="N844" s="232"/>
      <c r="O844" s="232"/>
      <c r="P844" s="232"/>
      <c r="Q844" s="232"/>
      <c r="R844" s="232"/>
      <c r="S844" s="232"/>
      <c r="T844" s="232"/>
      <c r="U844" s="232"/>
      <c r="V844" s="15"/>
      <c r="W844" s="15"/>
      <c r="X844" s="15"/>
      <c r="Y844" s="15"/>
      <c r="Z844" s="15"/>
      <c r="AA844" s="15"/>
    </row>
    <row r="845" spans="1:27" s="25" customFormat="1" ht="12" customHeight="1" x14ac:dyDescent="0.2">
      <c r="A845" s="232"/>
      <c r="B845" s="250"/>
      <c r="C845" s="286"/>
      <c r="D845" s="232"/>
      <c r="E845" s="232"/>
      <c r="F845" s="232"/>
      <c r="G845" s="232"/>
      <c r="H845" s="232"/>
      <c r="I845" s="232"/>
      <c r="J845" s="232"/>
      <c r="K845" s="232"/>
      <c r="L845" s="232"/>
      <c r="M845" s="232"/>
      <c r="N845" s="232"/>
      <c r="O845" s="232"/>
      <c r="P845" s="232"/>
      <c r="Q845" s="232"/>
      <c r="R845" s="232"/>
      <c r="S845" s="232"/>
      <c r="T845" s="232"/>
      <c r="U845" s="232"/>
      <c r="V845" s="15"/>
      <c r="W845" s="15"/>
      <c r="X845" s="15"/>
      <c r="Y845" s="15"/>
      <c r="Z845" s="15"/>
      <c r="AA845" s="15"/>
    </row>
    <row r="846" spans="1:27" s="25" customFormat="1" ht="12" customHeight="1" x14ac:dyDescent="0.2">
      <c r="A846" s="232"/>
      <c r="B846" s="250"/>
      <c r="C846" s="286"/>
      <c r="D846" s="232"/>
      <c r="E846" s="232"/>
      <c r="F846" s="232"/>
      <c r="G846" s="232"/>
      <c r="H846" s="232"/>
      <c r="I846" s="232"/>
      <c r="J846" s="232"/>
      <c r="K846" s="232"/>
      <c r="L846" s="232"/>
      <c r="M846" s="232"/>
      <c r="N846" s="232"/>
      <c r="O846" s="232"/>
      <c r="P846" s="232"/>
      <c r="Q846" s="232"/>
      <c r="R846" s="232"/>
      <c r="S846" s="232"/>
      <c r="T846" s="232"/>
      <c r="U846" s="232"/>
      <c r="V846" s="15"/>
      <c r="W846" s="15"/>
      <c r="X846" s="15"/>
      <c r="Y846" s="15"/>
      <c r="Z846" s="15"/>
      <c r="AA846" s="15"/>
    </row>
    <row r="847" spans="1:27" s="25" customFormat="1" ht="12" customHeight="1" x14ac:dyDescent="0.2">
      <c r="A847" s="232"/>
      <c r="B847" s="250"/>
      <c r="C847" s="286"/>
      <c r="D847" s="232"/>
      <c r="E847" s="232"/>
      <c r="F847" s="232"/>
      <c r="G847" s="232"/>
      <c r="H847" s="232"/>
      <c r="I847" s="232"/>
      <c r="J847" s="232"/>
      <c r="K847" s="232"/>
      <c r="L847" s="232"/>
      <c r="M847" s="232"/>
      <c r="N847" s="232"/>
      <c r="O847" s="232"/>
      <c r="P847" s="232"/>
      <c r="Q847" s="232"/>
      <c r="R847" s="232"/>
      <c r="S847" s="232"/>
      <c r="T847" s="232"/>
      <c r="U847" s="232"/>
      <c r="V847" s="15"/>
      <c r="W847" s="15"/>
      <c r="X847" s="15"/>
      <c r="Y847" s="15"/>
      <c r="Z847" s="15"/>
      <c r="AA847" s="15"/>
    </row>
    <row r="848" spans="1:27" s="25" customFormat="1" ht="12" customHeight="1" x14ac:dyDescent="0.2">
      <c r="A848" s="232"/>
      <c r="B848" s="250"/>
      <c r="C848" s="286"/>
      <c r="D848" s="232"/>
      <c r="E848" s="232"/>
      <c r="F848" s="232"/>
      <c r="G848" s="232"/>
      <c r="H848" s="232"/>
      <c r="I848" s="232"/>
      <c r="J848" s="232"/>
      <c r="K848" s="232"/>
      <c r="L848" s="232"/>
      <c r="M848" s="232"/>
      <c r="N848" s="232"/>
      <c r="O848" s="232"/>
      <c r="P848" s="232"/>
      <c r="Q848" s="232"/>
      <c r="R848" s="232"/>
      <c r="S848" s="232"/>
      <c r="T848" s="232"/>
      <c r="U848" s="232"/>
      <c r="V848" s="15"/>
      <c r="W848" s="15"/>
      <c r="X848" s="15"/>
      <c r="Y848" s="15"/>
      <c r="Z848" s="15"/>
      <c r="AA848" s="15"/>
    </row>
    <row r="849" spans="1:27" s="25" customFormat="1" ht="12" customHeight="1" x14ac:dyDescent="0.2">
      <c r="A849" s="232"/>
      <c r="B849" s="250"/>
      <c r="C849" s="286"/>
      <c r="D849" s="232"/>
      <c r="E849" s="232"/>
      <c r="F849" s="232"/>
      <c r="G849" s="232"/>
      <c r="H849" s="232"/>
      <c r="I849" s="232"/>
      <c r="J849" s="232"/>
      <c r="K849" s="232"/>
      <c r="L849" s="232"/>
      <c r="M849" s="232"/>
      <c r="N849" s="232"/>
      <c r="O849" s="232"/>
      <c r="P849" s="232"/>
      <c r="Q849" s="232"/>
      <c r="R849" s="232"/>
      <c r="S849" s="232"/>
      <c r="T849" s="232"/>
      <c r="U849" s="232"/>
      <c r="V849" s="15"/>
      <c r="W849" s="15"/>
      <c r="X849" s="15"/>
      <c r="Y849" s="15"/>
      <c r="Z849" s="15"/>
      <c r="AA849" s="15"/>
    </row>
    <row r="850" spans="1:27" s="25" customFormat="1" ht="12" customHeight="1" x14ac:dyDescent="0.2">
      <c r="A850" s="232"/>
      <c r="B850" s="250"/>
      <c r="C850" s="286"/>
      <c r="D850" s="232"/>
      <c r="E850" s="232"/>
      <c r="F850" s="232"/>
      <c r="G850" s="232"/>
      <c r="H850" s="232"/>
      <c r="I850" s="232"/>
      <c r="J850" s="232"/>
      <c r="K850" s="232"/>
      <c r="L850" s="232"/>
      <c r="M850" s="232"/>
      <c r="N850" s="232"/>
      <c r="O850" s="232"/>
      <c r="P850" s="232"/>
      <c r="Q850" s="232"/>
      <c r="R850" s="232"/>
      <c r="S850" s="232"/>
      <c r="T850" s="232"/>
      <c r="U850" s="232"/>
      <c r="V850" s="15"/>
      <c r="W850" s="15"/>
      <c r="X850" s="15"/>
      <c r="Y850" s="15"/>
      <c r="Z850" s="15"/>
      <c r="AA850" s="15"/>
    </row>
    <row r="851" spans="1:27" s="25" customFormat="1" ht="12" customHeight="1" x14ac:dyDescent="0.2">
      <c r="A851" s="232"/>
      <c r="B851" s="250"/>
      <c r="C851" s="286"/>
      <c r="D851" s="232"/>
      <c r="E851" s="232"/>
      <c r="F851" s="232"/>
      <c r="G851" s="232"/>
      <c r="H851" s="232"/>
      <c r="I851" s="232"/>
      <c r="J851" s="232"/>
      <c r="K851" s="232"/>
      <c r="L851" s="232"/>
      <c r="M851" s="232"/>
      <c r="N851" s="232"/>
      <c r="O851" s="232"/>
      <c r="P851" s="232"/>
      <c r="Q851" s="232"/>
      <c r="R851" s="232"/>
      <c r="S851" s="232"/>
      <c r="T851" s="232"/>
      <c r="U851" s="232"/>
      <c r="V851" s="15"/>
      <c r="W851" s="15"/>
      <c r="X851" s="15"/>
      <c r="Y851" s="15"/>
      <c r="Z851" s="15"/>
      <c r="AA851" s="15"/>
    </row>
    <row r="852" spans="1:27" s="25" customFormat="1" ht="12" customHeight="1" x14ac:dyDescent="0.2">
      <c r="A852" s="232"/>
      <c r="B852" s="250"/>
      <c r="C852" s="286"/>
      <c r="D852" s="232"/>
      <c r="E852" s="232"/>
      <c r="F852" s="232"/>
      <c r="G852" s="232"/>
      <c r="H852" s="232"/>
      <c r="I852" s="232"/>
      <c r="J852" s="232"/>
      <c r="K852" s="232"/>
      <c r="L852" s="232"/>
      <c r="M852" s="232"/>
      <c r="N852" s="232"/>
      <c r="O852" s="232"/>
      <c r="P852" s="232"/>
      <c r="Q852" s="232"/>
      <c r="R852" s="232"/>
      <c r="S852" s="232"/>
      <c r="T852" s="232"/>
      <c r="U852" s="232"/>
      <c r="V852" s="15"/>
      <c r="W852" s="15"/>
      <c r="X852" s="15"/>
      <c r="Y852" s="15"/>
      <c r="Z852" s="15"/>
      <c r="AA852" s="15"/>
    </row>
    <row r="853" spans="1:27" s="25" customFormat="1" ht="12" customHeight="1" x14ac:dyDescent="0.2">
      <c r="A853" s="232"/>
      <c r="B853" s="250"/>
      <c r="C853" s="286"/>
      <c r="D853" s="232"/>
      <c r="E853" s="232"/>
      <c r="F853" s="232"/>
      <c r="G853" s="232"/>
      <c r="H853" s="232"/>
      <c r="I853" s="232"/>
      <c r="J853" s="232"/>
      <c r="K853" s="232"/>
      <c r="L853" s="232"/>
      <c r="M853" s="232"/>
      <c r="N853" s="232"/>
      <c r="O853" s="232"/>
      <c r="P853" s="232"/>
      <c r="Q853" s="232"/>
      <c r="R853" s="232"/>
      <c r="S853" s="232"/>
      <c r="T853" s="232"/>
      <c r="U853" s="232"/>
      <c r="V853" s="15"/>
      <c r="W853" s="15"/>
      <c r="X853" s="15"/>
      <c r="Y853" s="15"/>
      <c r="Z853" s="15"/>
      <c r="AA853" s="15"/>
    </row>
    <row r="854" spans="1:27" s="25" customFormat="1" ht="12" customHeight="1" x14ac:dyDescent="0.2">
      <c r="A854" s="232"/>
      <c r="B854" s="250"/>
      <c r="C854" s="286"/>
      <c r="D854" s="232"/>
      <c r="E854" s="232"/>
      <c r="F854" s="232"/>
      <c r="G854" s="232"/>
      <c r="H854" s="232"/>
      <c r="I854" s="232"/>
      <c r="J854" s="232"/>
      <c r="K854" s="232"/>
      <c r="L854" s="232"/>
      <c r="M854" s="232"/>
      <c r="N854" s="232"/>
      <c r="O854" s="232"/>
      <c r="P854" s="232"/>
      <c r="Q854" s="232"/>
      <c r="R854" s="232"/>
      <c r="S854" s="232"/>
      <c r="T854" s="232"/>
      <c r="U854" s="232"/>
      <c r="V854" s="15"/>
      <c r="W854" s="15"/>
      <c r="X854" s="15"/>
      <c r="Y854" s="15"/>
      <c r="Z854" s="15"/>
      <c r="AA854" s="15"/>
    </row>
    <row r="855" spans="1:27" s="25" customFormat="1" ht="12" customHeight="1" x14ac:dyDescent="0.2">
      <c r="A855" s="232"/>
      <c r="B855" s="250"/>
      <c r="C855" s="286"/>
      <c r="D855" s="232"/>
      <c r="E855" s="232"/>
      <c r="F855" s="232"/>
      <c r="G855" s="232"/>
      <c r="H855" s="232"/>
      <c r="I855" s="232"/>
      <c r="J855" s="232"/>
      <c r="K855" s="232"/>
      <c r="L855" s="232"/>
      <c r="M855" s="232"/>
      <c r="N855" s="232"/>
      <c r="O855" s="232"/>
      <c r="P855" s="232"/>
      <c r="Q855" s="232"/>
      <c r="R855" s="232"/>
      <c r="S855" s="232"/>
      <c r="T855" s="232"/>
      <c r="U855" s="232"/>
      <c r="V855" s="15"/>
      <c r="W855" s="15"/>
      <c r="X855" s="15"/>
      <c r="Y855" s="15"/>
      <c r="Z855" s="15"/>
      <c r="AA855" s="15"/>
    </row>
    <row r="856" spans="1:27" s="25" customFormat="1" ht="12" customHeight="1" x14ac:dyDescent="0.2">
      <c r="A856" s="232"/>
      <c r="B856" s="250"/>
      <c r="C856" s="286"/>
      <c r="D856" s="232"/>
      <c r="E856" s="232"/>
      <c r="F856" s="232"/>
      <c r="G856" s="232"/>
      <c r="H856" s="232"/>
      <c r="I856" s="232"/>
      <c r="J856" s="232"/>
      <c r="K856" s="232"/>
      <c r="L856" s="232"/>
      <c r="M856" s="232"/>
      <c r="N856" s="232"/>
      <c r="O856" s="232"/>
      <c r="P856" s="232"/>
      <c r="Q856" s="232"/>
      <c r="R856" s="232"/>
      <c r="S856" s="232"/>
      <c r="T856" s="232"/>
      <c r="U856" s="232"/>
      <c r="V856" s="15"/>
      <c r="W856" s="15"/>
      <c r="X856" s="15"/>
      <c r="Y856" s="15"/>
      <c r="Z856" s="15"/>
      <c r="AA856" s="15"/>
    </row>
    <row r="857" spans="1:27" s="25" customFormat="1" ht="12" customHeight="1" x14ac:dyDescent="0.2">
      <c r="A857" s="232"/>
      <c r="B857" s="250"/>
      <c r="C857" s="286"/>
      <c r="D857" s="232"/>
      <c r="E857" s="232"/>
      <c r="F857" s="232"/>
      <c r="G857" s="232"/>
      <c r="H857" s="232"/>
      <c r="I857" s="232"/>
      <c r="J857" s="232"/>
      <c r="K857" s="232"/>
      <c r="L857" s="232"/>
      <c r="M857" s="232"/>
      <c r="N857" s="232"/>
      <c r="O857" s="232"/>
      <c r="P857" s="232"/>
      <c r="Q857" s="232"/>
      <c r="R857" s="232"/>
      <c r="S857" s="232"/>
      <c r="T857" s="232"/>
      <c r="U857" s="232"/>
      <c r="V857" s="15"/>
      <c r="W857" s="15"/>
      <c r="X857" s="15"/>
      <c r="Y857" s="15"/>
      <c r="Z857" s="15"/>
      <c r="AA857" s="15"/>
    </row>
    <row r="858" spans="1:27" s="25" customFormat="1" ht="12" customHeight="1" x14ac:dyDescent="0.2">
      <c r="A858" s="232"/>
      <c r="B858" s="250"/>
      <c r="C858" s="286"/>
      <c r="D858" s="232"/>
      <c r="E858" s="232"/>
      <c r="F858" s="232"/>
      <c r="G858" s="232"/>
      <c r="H858" s="232"/>
      <c r="I858" s="232"/>
      <c r="J858" s="232"/>
      <c r="K858" s="232"/>
      <c r="L858" s="232"/>
      <c r="M858" s="232"/>
      <c r="N858" s="232"/>
      <c r="O858" s="232"/>
      <c r="P858" s="232"/>
      <c r="Q858" s="232"/>
      <c r="R858" s="232"/>
      <c r="S858" s="232"/>
      <c r="T858" s="232"/>
      <c r="U858" s="232"/>
      <c r="V858" s="15"/>
      <c r="W858" s="15"/>
      <c r="X858" s="15"/>
      <c r="Y858" s="15"/>
      <c r="Z858" s="15"/>
      <c r="AA858" s="15"/>
    </row>
    <row r="859" spans="1:27" s="25" customFormat="1" ht="12" customHeight="1" x14ac:dyDescent="0.2">
      <c r="A859" s="232"/>
      <c r="B859" s="250"/>
      <c r="C859" s="286"/>
      <c r="D859" s="232"/>
      <c r="E859" s="232"/>
      <c r="F859" s="232"/>
      <c r="G859" s="232"/>
      <c r="H859" s="232"/>
      <c r="I859" s="232"/>
      <c r="J859" s="232"/>
      <c r="K859" s="232"/>
      <c r="L859" s="232"/>
      <c r="M859" s="232"/>
      <c r="N859" s="232"/>
      <c r="O859" s="232"/>
      <c r="P859" s="232"/>
      <c r="Q859" s="232"/>
      <c r="R859" s="232"/>
      <c r="S859" s="232"/>
      <c r="T859" s="232"/>
      <c r="U859" s="232"/>
      <c r="V859" s="15"/>
      <c r="W859" s="15"/>
      <c r="X859" s="15"/>
      <c r="Y859" s="15"/>
      <c r="Z859" s="15"/>
      <c r="AA859" s="15"/>
    </row>
    <row r="860" spans="1:27" s="25" customFormat="1" ht="12" customHeight="1" x14ac:dyDescent="0.2">
      <c r="A860" s="232"/>
      <c r="B860" s="250"/>
      <c r="C860" s="286"/>
      <c r="D860" s="232"/>
      <c r="E860" s="232"/>
      <c r="F860" s="232"/>
      <c r="G860" s="232"/>
      <c r="H860" s="232"/>
      <c r="I860" s="232"/>
      <c r="J860" s="232"/>
      <c r="K860" s="232"/>
      <c r="L860" s="232"/>
      <c r="M860" s="232"/>
      <c r="N860" s="232"/>
      <c r="O860" s="232"/>
      <c r="P860" s="232"/>
      <c r="Q860" s="232"/>
      <c r="R860" s="232"/>
      <c r="S860" s="232"/>
      <c r="T860" s="232"/>
      <c r="U860" s="232"/>
      <c r="V860" s="15"/>
      <c r="W860" s="15"/>
      <c r="X860" s="15"/>
      <c r="Y860" s="15"/>
      <c r="Z860" s="15"/>
      <c r="AA860" s="15"/>
    </row>
    <row r="861" spans="1:27" s="25" customFormat="1" ht="12" customHeight="1" x14ac:dyDescent="0.2">
      <c r="A861" s="232"/>
      <c r="B861" s="250"/>
      <c r="C861" s="286"/>
      <c r="D861" s="232"/>
      <c r="E861" s="232"/>
      <c r="F861" s="232"/>
      <c r="G861" s="232"/>
      <c r="H861" s="232"/>
      <c r="I861" s="232"/>
      <c r="J861" s="232"/>
      <c r="K861" s="232"/>
      <c r="L861" s="232"/>
      <c r="M861" s="232"/>
      <c r="N861" s="232"/>
      <c r="O861" s="232"/>
      <c r="P861" s="232"/>
      <c r="Q861" s="232"/>
      <c r="R861" s="232"/>
      <c r="S861" s="232"/>
      <c r="T861" s="232"/>
      <c r="U861" s="232"/>
      <c r="V861" s="15"/>
      <c r="W861" s="15"/>
      <c r="X861" s="15"/>
      <c r="Y861" s="15"/>
      <c r="Z861" s="15"/>
      <c r="AA861" s="15"/>
    </row>
    <row r="862" spans="1:27" s="25" customFormat="1" ht="12" customHeight="1" x14ac:dyDescent="0.2">
      <c r="A862" s="232"/>
      <c r="B862" s="250"/>
      <c r="C862" s="286"/>
      <c r="D862" s="232"/>
      <c r="E862" s="232"/>
      <c r="F862" s="232"/>
      <c r="G862" s="232"/>
      <c r="H862" s="232"/>
      <c r="I862" s="232"/>
      <c r="J862" s="232"/>
      <c r="K862" s="232"/>
      <c r="L862" s="232"/>
      <c r="M862" s="232"/>
      <c r="N862" s="232"/>
      <c r="O862" s="232"/>
      <c r="P862" s="232"/>
      <c r="Q862" s="232"/>
      <c r="R862" s="232"/>
      <c r="S862" s="232"/>
      <c r="T862" s="232"/>
      <c r="U862" s="232"/>
      <c r="V862" s="15"/>
      <c r="W862" s="15"/>
      <c r="X862" s="15"/>
      <c r="Y862" s="15"/>
      <c r="Z862" s="15"/>
      <c r="AA862" s="15"/>
    </row>
    <row r="863" spans="1:27" s="25" customFormat="1" ht="12" customHeight="1" x14ac:dyDescent="0.2">
      <c r="A863" s="232"/>
      <c r="B863" s="250"/>
      <c r="C863" s="286"/>
      <c r="D863" s="232"/>
      <c r="E863" s="232"/>
      <c r="F863" s="232"/>
      <c r="G863" s="232"/>
      <c r="H863" s="232"/>
      <c r="I863" s="232"/>
      <c r="J863" s="232"/>
      <c r="K863" s="232"/>
      <c r="L863" s="232"/>
      <c r="M863" s="232"/>
      <c r="N863" s="232"/>
      <c r="O863" s="232"/>
      <c r="P863" s="232"/>
      <c r="Q863" s="232"/>
      <c r="R863" s="232"/>
      <c r="S863" s="232"/>
      <c r="T863" s="232"/>
      <c r="U863" s="232"/>
      <c r="V863" s="15"/>
      <c r="W863" s="15"/>
      <c r="X863" s="15"/>
      <c r="Y863" s="15"/>
      <c r="Z863" s="15"/>
      <c r="AA863" s="15"/>
    </row>
    <row r="864" spans="1:27" s="25" customFormat="1" ht="12" customHeight="1" x14ac:dyDescent="0.2">
      <c r="A864" s="232"/>
      <c r="B864" s="250"/>
      <c r="C864" s="286"/>
      <c r="D864" s="232"/>
      <c r="E864" s="232"/>
      <c r="F864" s="232"/>
      <c r="G864" s="232"/>
      <c r="H864" s="232"/>
      <c r="I864" s="232"/>
      <c r="J864" s="232"/>
      <c r="K864" s="232"/>
      <c r="L864" s="232"/>
      <c r="M864" s="232"/>
      <c r="N864" s="232"/>
      <c r="O864" s="232"/>
      <c r="P864" s="232"/>
      <c r="Q864" s="232"/>
      <c r="R864" s="232"/>
      <c r="S864" s="232"/>
      <c r="T864" s="232"/>
      <c r="U864" s="232"/>
      <c r="V864" s="15"/>
      <c r="W864" s="15"/>
      <c r="X864" s="15"/>
      <c r="Y864" s="15"/>
      <c r="Z864" s="15"/>
      <c r="AA864" s="15"/>
    </row>
    <row r="865" spans="1:27" s="25" customFormat="1" ht="12" customHeight="1" x14ac:dyDescent="0.2">
      <c r="A865" s="232"/>
      <c r="B865" s="250"/>
      <c r="C865" s="286"/>
      <c r="D865" s="232"/>
      <c r="E865" s="232"/>
      <c r="F865" s="232"/>
      <c r="G865" s="232"/>
      <c r="H865" s="232"/>
      <c r="I865" s="232"/>
      <c r="J865" s="232"/>
      <c r="K865" s="232"/>
      <c r="L865" s="232"/>
      <c r="M865" s="232"/>
      <c r="N865" s="232"/>
      <c r="O865" s="232"/>
      <c r="P865" s="232"/>
      <c r="Q865" s="232"/>
      <c r="R865" s="232"/>
      <c r="S865" s="232"/>
      <c r="T865" s="232"/>
      <c r="U865" s="232"/>
      <c r="V865" s="15"/>
      <c r="W865" s="15"/>
      <c r="X865" s="15"/>
      <c r="Y865" s="15"/>
      <c r="Z865" s="15"/>
      <c r="AA865" s="15"/>
    </row>
    <row r="866" spans="1:27" s="25" customFormat="1" ht="12" customHeight="1" x14ac:dyDescent="0.2">
      <c r="A866" s="232"/>
      <c r="B866" s="250"/>
      <c r="C866" s="286"/>
      <c r="D866" s="232"/>
      <c r="E866" s="232"/>
      <c r="F866" s="232"/>
      <c r="G866" s="232"/>
      <c r="H866" s="232"/>
      <c r="I866" s="232"/>
      <c r="J866" s="232"/>
      <c r="K866" s="232"/>
      <c r="L866" s="232"/>
      <c r="M866" s="232"/>
      <c r="N866" s="232"/>
      <c r="O866" s="232"/>
      <c r="P866" s="232"/>
      <c r="Q866" s="232"/>
      <c r="R866" s="232"/>
      <c r="S866" s="232"/>
      <c r="T866" s="232"/>
      <c r="U866" s="232"/>
      <c r="V866" s="15"/>
      <c r="W866" s="15"/>
      <c r="X866" s="15"/>
      <c r="Y866" s="15"/>
      <c r="Z866" s="15"/>
      <c r="AA866" s="15"/>
    </row>
    <row r="867" spans="1:27" s="25" customFormat="1" ht="12" customHeight="1" x14ac:dyDescent="0.2">
      <c r="A867" s="232"/>
      <c r="B867" s="250"/>
      <c r="C867" s="286"/>
      <c r="D867" s="232"/>
      <c r="E867" s="232"/>
      <c r="F867" s="232"/>
      <c r="G867" s="232"/>
      <c r="H867" s="232"/>
      <c r="I867" s="232"/>
      <c r="J867" s="232"/>
      <c r="K867" s="232"/>
      <c r="L867" s="232"/>
      <c r="M867" s="232"/>
      <c r="N867" s="232"/>
      <c r="O867" s="232"/>
      <c r="P867" s="232"/>
      <c r="Q867" s="232"/>
      <c r="R867" s="232"/>
      <c r="S867" s="232"/>
      <c r="T867" s="232"/>
      <c r="U867" s="232"/>
      <c r="V867" s="15"/>
      <c r="W867" s="15"/>
      <c r="X867" s="15"/>
      <c r="Y867" s="15"/>
      <c r="Z867" s="15"/>
      <c r="AA867" s="15"/>
    </row>
    <row r="868" spans="1:27" s="25" customFormat="1" ht="12" customHeight="1" x14ac:dyDescent="0.2">
      <c r="A868" s="232"/>
      <c r="B868" s="250"/>
      <c r="C868" s="286"/>
      <c r="D868" s="232"/>
      <c r="E868" s="232"/>
      <c r="F868" s="232"/>
      <c r="G868" s="232"/>
      <c r="H868" s="232"/>
      <c r="I868" s="232"/>
      <c r="J868" s="232"/>
      <c r="K868" s="232"/>
      <c r="L868" s="232"/>
      <c r="M868" s="232"/>
      <c r="N868" s="232"/>
      <c r="O868" s="232"/>
      <c r="P868" s="232"/>
      <c r="Q868" s="232"/>
      <c r="R868" s="232"/>
      <c r="S868" s="232"/>
      <c r="T868" s="232"/>
      <c r="U868" s="232"/>
      <c r="V868" s="15"/>
      <c r="W868" s="15"/>
      <c r="X868" s="15"/>
      <c r="Y868" s="15"/>
      <c r="Z868" s="15"/>
      <c r="AA868" s="15"/>
    </row>
    <row r="869" spans="1:27" s="25" customFormat="1" ht="12" customHeight="1" x14ac:dyDescent="0.2">
      <c r="A869" s="232"/>
      <c r="B869" s="250"/>
      <c r="C869" s="286"/>
      <c r="D869" s="232"/>
      <c r="E869" s="232"/>
      <c r="F869" s="232"/>
      <c r="G869" s="232"/>
      <c r="H869" s="232"/>
      <c r="I869" s="232"/>
      <c r="J869" s="232"/>
      <c r="K869" s="232"/>
      <c r="L869" s="232"/>
      <c r="M869" s="232"/>
      <c r="N869" s="232"/>
      <c r="O869" s="232"/>
      <c r="P869" s="232"/>
      <c r="Q869" s="232"/>
      <c r="R869" s="232"/>
      <c r="S869" s="232"/>
      <c r="T869" s="232"/>
      <c r="U869" s="232"/>
      <c r="V869" s="15"/>
      <c r="W869" s="15"/>
      <c r="X869" s="15"/>
      <c r="Y869" s="15"/>
      <c r="Z869" s="15"/>
      <c r="AA869" s="15"/>
    </row>
    <row r="870" spans="1:27" s="25" customFormat="1" ht="12" customHeight="1" x14ac:dyDescent="0.2">
      <c r="A870" s="232"/>
      <c r="B870" s="250"/>
      <c r="C870" s="286"/>
      <c r="D870" s="232"/>
      <c r="E870" s="232"/>
      <c r="F870" s="232"/>
      <c r="G870" s="232"/>
      <c r="H870" s="232"/>
      <c r="I870" s="232"/>
      <c r="J870" s="232"/>
      <c r="K870" s="232"/>
      <c r="L870" s="232"/>
      <c r="M870" s="232"/>
      <c r="N870" s="232"/>
      <c r="O870" s="232"/>
      <c r="P870" s="232"/>
      <c r="Q870" s="232"/>
      <c r="R870" s="232"/>
      <c r="S870" s="232"/>
      <c r="T870" s="232"/>
      <c r="U870" s="232"/>
      <c r="V870" s="15"/>
      <c r="W870" s="15"/>
      <c r="X870" s="15"/>
      <c r="Y870" s="15"/>
      <c r="Z870" s="15"/>
      <c r="AA870" s="15"/>
    </row>
    <row r="871" spans="1:27" s="25" customFormat="1" ht="12" customHeight="1" x14ac:dyDescent="0.2">
      <c r="A871" s="232"/>
      <c r="B871" s="250"/>
      <c r="C871" s="286"/>
      <c r="D871" s="232"/>
      <c r="E871" s="232"/>
      <c r="F871" s="232"/>
      <c r="G871" s="232"/>
      <c r="H871" s="232"/>
      <c r="I871" s="232"/>
      <c r="J871" s="232"/>
      <c r="K871" s="232"/>
      <c r="L871" s="232"/>
      <c r="M871" s="232"/>
      <c r="N871" s="232"/>
      <c r="O871" s="232"/>
      <c r="P871" s="232"/>
      <c r="Q871" s="232"/>
      <c r="R871" s="232"/>
      <c r="S871" s="232"/>
      <c r="T871" s="232"/>
      <c r="U871" s="232"/>
      <c r="V871" s="15"/>
      <c r="W871" s="15"/>
      <c r="X871" s="15"/>
      <c r="Y871" s="15"/>
      <c r="Z871" s="15"/>
      <c r="AA871" s="15"/>
    </row>
    <row r="872" spans="1:27" s="25" customFormat="1" ht="12" customHeight="1" x14ac:dyDescent="0.2">
      <c r="A872" s="232"/>
      <c r="B872" s="250"/>
      <c r="C872" s="286"/>
      <c r="D872" s="232"/>
      <c r="E872" s="232"/>
      <c r="F872" s="232"/>
      <c r="G872" s="232"/>
      <c r="H872" s="232"/>
      <c r="I872" s="232"/>
      <c r="J872" s="232"/>
      <c r="K872" s="232"/>
      <c r="L872" s="232"/>
      <c r="M872" s="232"/>
      <c r="N872" s="232"/>
      <c r="O872" s="232"/>
      <c r="P872" s="232"/>
      <c r="Q872" s="232"/>
      <c r="R872" s="232"/>
      <c r="S872" s="232"/>
      <c r="T872" s="232"/>
      <c r="U872" s="232"/>
      <c r="V872" s="15"/>
      <c r="W872" s="15"/>
      <c r="X872" s="15"/>
      <c r="Y872" s="15"/>
      <c r="Z872" s="15"/>
      <c r="AA872" s="15"/>
    </row>
    <row r="873" spans="1:27" s="25" customFormat="1" ht="12" customHeight="1" x14ac:dyDescent="0.2">
      <c r="A873" s="232"/>
      <c r="B873" s="250"/>
      <c r="C873" s="286"/>
      <c r="D873" s="232"/>
      <c r="E873" s="232"/>
      <c r="F873" s="232"/>
      <c r="G873" s="232"/>
      <c r="H873" s="232"/>
      <c r="I873" s="232"/>
      <c r="J873" s="232"/>
      <c r="K873" s="232"/>
      <c r="L873" s="232"/>
      <c r="M873" s="232"/>
      <c r="N873" s="232"/>
      <c r="O873" s="232"/>
      <c r="P873" s="232"/>
      <c r="Q873" s="232"/>
      <c r="R873" s="232"/>
      <c r="S873" s="232"/>
      <c r="T873" s="232"/>
      <c r="U873" s="232"/>
      <c r="V873" s="15"/>
      <c r="W873" s="15"/>
      <c r="X873" s="15"/>
      <c r="Y873" s="15"/>
      <c r="Z873" s="15"/>
      <c r="AA873" s="15"/>
    </row>
    <row r="874" spans="1:27" s="25" customFormat="1" ht="12" customHeight="1" x14ac:dyDescent="0.2">
      <c r="A874" s="232"/>
      <c r="B874" s="250"/>
      <c r="C874" s="286"/>
      <c r="D874" s="232"/>
      <c r="E874" s="232"/>
      <c r="F874" s="232"/>
      <c r="G874" s="232"/>
      <c r="H874" s="232"/>
      <c r="I874" s="232"/>
      <c r="J874" s="232"/>
      <c r="K874" s="232"/>
      <c r="L874" s="232"/>
      <c r="M874" s="232"/>
      <c r="N874" s="232"/>
      <c r="O874" s="232"/>
      <c r="P874" s="232"/>
      <c r="Q874" s="232"/>
      <c r="R874" s="232"/>
      <c r="S874" s="232"/>
      <c r="T874" s="232"/>
      <c r="U874" s="232"/>
      <c r="V874" s="15"/>
      <c r="W874" s="15"/>
      <c r="X874" s="15"/>
      <c r="Y874" s="15"/>
      <c r="Z874" s="15"/>
      <c r="AA874" s="15"/>
    </row>
    <row r="875" spans="1:27" s="25" customFormat="1" ht="12" customHeight="1" x14ac:dyDescent="0.2">
      <c r="A875" s="232"/>
      <c r="B875" s="250"/>
      <c r="C875" s="286"/>
      <c r="D875" s="232"/>
      <c r="E875" s="232"/>
      <c r="F875" s="232"/>
      <c r="G875" s="232"/>
      <c r="H875" s="232"/>
      <c r="I875" s="232"/>
      <c r="J875" s="232"/>
      <c r="K875" s="232"/>
      <c r="L875" s="232"/>
      <c r="M875" s="232"/>
      <c r="N875" s="232"/>
      <c r="O875" s="232"/>
      <c r="P875" s="232"/>
      <c r="Q875" s="232"/>
      <c r="R875" s="232"/>
      <c r="S875" s="232"/>
      <c r="T875" s="232"/>
      <c r="U875" s="232"/>
      <c r="V875" s="15"/>
      <c r="W875" s="15"/>
      <c r="X875" s="15"/>
      <c r="Y875" s="15"/>
      <c r="Z875" s="15"/>
      <c r="AA875" s="15"/>
    </row>
    <row r="876" spans="1:27" s="25" customFormat="1" ht="12" customHeight="1" x14ac:dyDescent="0.2">
      <c r="A876" s="232"/>
      <c r="B876" s="250"/>
      <c r="C876" s="286"/>
      <c r="D876" s="232"/>
      <c r="E876" s="232"/>
      <c r="F876" s="232"/>
      <c r="G876" s="232"/>
      <c r="H876" s="232"/>
      <c r="I876" s="232"/>
      <c r="J876" s="232"/>
      <c r="K876" s="232"/>
      <c r="L876" s="232"/>
      <c r="M876" s="232"/>
      <c r="N876" s="232"/>
      <c r="O876" s="232"/>
      <c r="P876" s="232"/>
      <c r="Q876" s="232"/>
      <c r="R876" s="232"/>
      <c r="S876" s="232"/>
      <c r="T876" s="232"/>
      <c r="U876" s="232"/>
      <c r="V876" s="15"/>
      <c r="W876" s="15"/>
      <c r="X876" s="15"/>
      <c r="Y876" s="15"/>
      <c r="Z876" s="15"/>
      <c r="AA876" s="15"/>
    </row>
    <row r="877" spans="1:27" s="25" customFormat="1" ht="12" customHeight="1" x14ac:dyDescent="0.2">
      <c r="A877" s="232"/>
      <c r="B877" s="250"/>
      <c r="C877" s="286"/>
      <c r="D877" s="232"/>
      <c r="E877" s="232"/>
      <c r="F877" s="232"/>
      <c r="G877" s="232"/>
      <c r="H877" s="232"/>
      <c r="I877" s="232"/>
      <c r="J877" s="232"/>
      <c r="K877" s="232"/>
      <c r="L877" s="232"/>
      <c r="M877" s="232"/>
      <c r="N877" s="232"/>
      <c r="O877" s="232"/>
      <c r="P877" s="232"/>
      <c r="Q877" s="232"/>
      <c r="R877" s="232"/>
      <c r="S877" s="232"/>
      <c r="T877" s="232"/>
      <c r="U877" s="232"/>
      <c r="V877" s="15"/>
      <c r="W877" s="15"/>
      <c r="X877" s="15"/>
      <c r="Y877" s="15"/>
      <c r="Z877" s="15"/>
      <c r="AA877" s="15"/>
    </row>
    <row r="878" spans="1:27" s="25" customFormat="1" ht="12" customHeight="1" x14ac:dyDescent="0.2">
      <c r="A878" s="232"/>
      <c r="B878" s="250"/>
      <c r="C878" s="286"/>
      <c r="D878" s="232"/>
      <c r="E878" s="232"/>
      <c r="F878" s="232"/>
      <c r="G878" s="232"/>
      <c r="H878" s="232"/>
      <c r="I878" s="232"/>
      <c r="J878" s="232"/>
      <c r="K878" s="232"/>
      <c r="L878" s="232"/>
      <c r="M878" s="232"/>
      <c r="N878" s="232"/>
      <c r="O878" s="232"/>
      <c r="P878" s="232"/>
      <c r="Q878" s="232"/>
      <c r="R878" s="232"/>
      <c r="S878" s="232"/>
      <c r="T878" s="232"/>
      <c r="U878" s="232"/>
      <c r="V878" s="15"/>
      <c r="W878" s="15"/>
      <c r="X878" s="15"/>
      <c r="Y878" s="15"/>
      <c r="Z878" s="15"/>
      <c r="AA878" s="15"/>
    </row>
    <row r="879" spans="1:27" s="25" customFormat="1" ht="12" customHeight="1" x14ac:dyDescent="0.2">
      <c r="A879" s="232"/>
      <c r="B879" s="250"/>
      <c r="C879" s="286"/>
      <c r="D879" s="232"/>
      <c r="E879" s="232"/>
      <c r="F879" s="232"/>
      <c r="G879" s="232"/>
      <c r="H879" s="232"/>
      <c r="I879" s="232"/>
      <c r="J879" s="232"/>
      <c r="K879" s="232"/>
      <c r="L879" s="232"/>
      <c r="M879" s="232"/>
      <c r="N879" s="232"/>
      <c r="O879" s="232"/>
      <c r="P879" s="232"/>
      <c r="Q879" s="232"/>
      <c r="R879" s="232"/>
      <c r="S879" s="232"/>
      <c r="T879" s="232"/>
      <c r="U879" s="232"/>
      <c r="V879" s="15"/>
      <c r="W879" s="15"/>
      <c r="X879" s="15"/>
      <c r="Y879" s="15"/>
      <c r="Z879" s="15"/>
      <c r="AA879" s="15"/>
    </row>
    <row r="880" spans="1:27" s="25" customFormat="1" ht="12" customHeight="1" x14ac:dyDescent="0.2">
      <c r="A880" s="232"/>
      <c r="B880" s="250"/>
      <c r="C880" s="286"/>
      <c r="D880" s="232"/>
      <c r="E880" s="232"/>
      <c r="F880" s="232"/>
      <c r="G880" s="232"/>
      <c r="H880" s="232"/>
      <c r="I880" s="232"/>
      <c r="J880" s="232"/>
      <c r="K880" s="232"/>
      <c r="L880" s="232"/>
      <c r="M880" s="232"/>
      <c r="N880" s="232"/>
      <c r="O880" s="232"/>
      <c r="P880" s="232"/>
      <c r="Q880" s="232"/>
      <c r="R880" s="232"/>
      <c r="S880" s="232"/>
      <c r="T880" s="232"/>
      <c r="U880" s="232"/>
      <c r="V880" s="15"/>
      <c r="W880" s="15"/>
      <c r="X880" s="15"/>
      <c r="Y880" s="15"/>
      <c r="Z880" s="15"/>
      <c r="AA880" s="15"/>
    </row>
    <row r="881" spans="1:27" s="25" customFormat="1" ht="12" customHeight="1" x14ac:dyDescent="0.2">
      <c r="A881" s="232"/>
      <c r="B881" s="250"/>
      <c r="C881" s="286"/>
      <c r="D881" s="232"/>
      <c r="E881" s="232"/>
      <c r="F881" s="232"/>
      <c r="G881" s="232"/>
      <c r="H881" s="232"/>
      <c r="I881" s="232"/>
      <c r="J881" s="232"/>
      <c r="K881" s="232"/>
      <c r="L881" s="232"/>
      <c r="M881" s="232"/>
      <c r="N881" s="232"/>
      <c r="O881" s="232"/>
      <c r="P881" s="232"/>
      <c r="Q881" s="232"/>
      <c r="R881" s="232"/>
      <c r="S881" s="232"/>
      <c r="T881" s="232"/>
      <c r="U881" s="232"/>
      <c r="V881" s="15"/>
      <c r="W881" s="15"/>
      <c r="X881" s="15"/>
      <c r="Y881" s="15"/>
      <c r="Z881" s="15"/>
      <c r="AA881" s="15"/>
    </row>
    <row r="882" spans="1:27" s="25" customFormat="1" ht="12" customHeight="1" x14ac:dyDescent="0.2">
      <c r="A882" s="232"/>
      <c r="B882" s="250"/>
      <c r="C882" s="286"/>
      <c r="D882" s="232"/>
      <c r="E882" s="232"/>
      <c r="F882" s="232"/>
      <c r="G882" s="232"/>
      <c r="H882" s="232"/>
      <c r="I882" s="232"/>
      <c r="J882" s="232"/>
      <c r="K882" s="232"/>
      <c r="L882" s="232"/>
      <c r="M882" s="232"/>
      <c r="N882" s="232"/>
      <c r="O882" s="232"/>
      <c r="P882" s="232"/>
      <c r="Q882" s="232"/>
      <c r="R882" s="232"/>
      <c r="S882" s="232"/>
      <c r="T882" s="232"/>
      <c r="U882" s="232"/>
      <c r="V882" s="15"/>
      <c r="W882" s="15"/>
      <c r="X882" s="15"/>
      <c r="Y882" s="15"/>
      <c r="Z882" s="15"/>
      <c r="AA882" s="15"/>
    </row>
    <row r="883" spans="1:27" s="25" customFormat="1" ht="12" customHeight="1" x14ac:dyDescent="0.2">
      <c r="A883" s="232"/>
      <c r="B883" s="250"/>
      <c r="C883" s="286"/>
      <c r="D883" s="232"/>
      <c r="E883" s="232"/>
      <c r="F883" s="232"/>
      <c r="G883" s="232"/>
      <c r="H883" s="232"/>
      <c r="I883" s="232"/>
      <c r="J883" s="232"/>
      <c r="K883" s="232"/>
      <c r="L883" s="232"/>
      <c r="M883" s="232"/>
      <c r="N883" s="232"/>
      <c r="O883" s="232"/>
      <c r="P883" s="232"/>
      <c r="Q883" s="232"/>
      <c r="R883" s="232"/>
      <c r="S883" s="232"/>
      <c r="T883" s="232"/>
      <c r="U883" s="232"/>
      <c r="V883" s="15"/>
      <c r="W883" s="15"/>
      <c r="X883" s="15"/>
      <c r="Y883" s="15"/>
      <c r="Z883" s="15"/>
      <c r="AA883" s="15"/>
    </row>
    <row r="884" spans="1:27" s="25" customFormat="1" ht="12" customHeight="1" x14ac:dyDescent="0.2">
      <c r="A884" s="232"/>
      <c r="B884" s="250"/>
      <c r="C884" s="286"/>
      <c r="D884" s="232"/>
      <c r="E884" s="232"/>
      <c r="F884" s="232"/>
      <c r="G884" s="232"/>
      <c r="H884" s="232"/>
      <c r="I884" s="232"/>
      <c r="J884" s="232"/>
      <c r="K884" s="232"/>
      <c r="L884" s="232"/>
      <c r="M884" s="232"/>
      <c r="N884" s="232"/>
      <c r="O884" s="232"/>
      <c r="P884" s="232"/>
      <c r="Q884" s="232"/>
      <c r="R884" s="232"/>
      <c r="S884" s="232"/>
      <c r="T884" s="232"/>
      <c r="U884" s="232"/>
      <c r="V884" s="15"/>
      <c r="W884" s="15"/>
      <c r="X884" s="15"/>
      <c r="Y884" s="15"/>
      <c r="Z884" s="15"/>
      <c r="AA884" s="15"/>
    </row>
    <row r="885" spans="1:27" s="25" customFormat="1" ht="12" customHeight="1" x14ac:dyDescent="0.2">
      <c r="A885" s="232"/>
      <c r="B885" s="250"/>
      <c r="C885" s="286"/>
      <c r="D885" s="232"/>
      <c r="E885" s="232"/>
      <c r="F885" s="232"/>
      <c r="G885" s="232"/>
      <c r="H885" s="232"/>
      <c r="I885" s="232"/>
      <c r="J885" s="232"/>
      <c r="K885" s="232"/>
      <c r="L885" s="232"/>
      <c r="M885" s="232"/>
      <c r="N885" s="232"/>
      <c r="O885" s="232"/>
      <c r="P885" s="232"/>
      <c r="Q885" s="232"/>
      <c r="R885" s="232"/>
      <c r="S885" s="232"/>
      <c r="T885" s="232"/>
      <c r="U885" s="232"/>
      <c r="V885" s="15"/>
      <c r="W885" s="15"/>
      <c r="X885" s="15"/>
      <c r="Y885" s="15"/>
      <c r="Z885" s="15"/>
      <c r="AA885" s="15"/>
    </row>
    <row r="886" spans="1:27" s="25" customFormat="1" ht="12" customHeight="1" x14ac:dyDescent="0.2">
      <c r="A886" s="232"/>
      <c r="B886" s="250"/>
      <c r="C886" s="286"/>
      <c r="D886" s="232"/>
      <c r="E886" s="232"/>
      <c r="F886" s="232"/>
      <c r="G886" s="232"/>
      <c r="H886" s="232"/>
      <c r="I886" s="232"/>
      <c r="J886" s="232"/>
      <c r="K886" s="232"/>
      <c r="L886" s="232"/>
      <c r="M886" s="232"/>
      <c r="N886" s="232"/>
      <c r="O886" s="232"/>
      <c r="P886" s="232"/>
      <c r="Q886" s="232"/>
      <c r="R886" s="232"/>
      <c r="S886" s="232"/>
      <c r="T886" s="232"/>
      <c r="U886" s="232"/>
      <c r="V886" s="15"/>
      <c r="W886" s="15"/>
      <c r="X886" s="15"/>
      <c r="Y886" s="15"/>
      <c r="Z886" s="15"/>
      <c r="AA886" s="15"/>
    </row>
    <row r="887" spans="1:27" s="25" customFormat="1" ht="12" customHeight="1" x14ac:dyDescent="0.2">
      <c r="A887" s="232"/>
      <c r="B887" s="250"/>
      <c r="C887" s="286"/>
      <c r="D887" s="232"/>
      <c r="E887" s="232"/>
      <c r="F887" s="232"/>
      <c r="G887" s="232"/>
      <c r="H887" s="232"/>
      <c r="I887" s="232"/>
      <c r="J887" s="232"/>
      <c r="K887" s="232"/>
      <c r="L887" s="232"/>
      <c r="M887" s="232"/>
      <c r="N887" s="232"/>
      <c r="O887" s="232"/>
      <c r="P887" s="232"/>
      <c r="Q887" s="232"/>
      <c r="R887" s="232"/>
      <c r="S887" s="232"/>
      <c r="T887" s="232"/>
      <c r="U887" s="232"/>
      <c r="V887" s="15"/>
      <c r="W887" s="15"/>
      <c r="X887" s="15"/>
      <c r="Y887" s="15"/>
      <c r="Z887" s="15"/>
      <c r="AA887" s="15"/>
    </row>
    <row r="888" spans="1:27" s="25" customFormat="1" ht="12" customHeight="1" x14ac:dyDescent="0.2">
      <c r="A888" s="232"/>
      <c r="B888" s="250"/>
      <c r="C888" s="286"/>
      <c r="D888" s="232"/>
      <c r="E888" s="232"/>
      <c r="F888" s="232"/>
      <c r="G888" s="232"/>
      <c r="H888" s="232"/>
      <c r="I888" s="232"/>
      <c r="J888" s="232"/>
      <c r="K888" s="232"/>
      <c r="L888" s="232"/>
      <c r="M888" s="232"/>
      <c r="N888" s="232"/>
      <c r="O888" s="232"/>
      <c r="P888" s="232"/>
      <c r="Q888" s="232"/>
      <c r="R888" s="232"/>
      <c r="S888" s="232"/>
      <c r="T888" s="232"/>
      <c r="U888" s="232"/>
      <c r="V888" s="15"/>
      <c r="W888" s="15"/>
      <c r="X888" s="15"/>
      <c r="Y888" s="15"/>
      <c r="Z888" s="15"/>
      <c r="AA888" s="15"/>
    </row>
    <row r="889" spans="1:27" s="25" customFormat="1" ht="12" customHeight="1" x14ac:dyDescent="0.2">
      <c r="A889" s="232"/>
      <c r="B889" s="250"/>
      <c r="C889" s="286"/>
      <c r="D889" s="232"/>
      <c r="E889" s="232"/>
      <c r="F889" s="232"/>
      <c r="G889" s="232"/>
      <c r="H889" s="232"/>
      <c r="I889" s="232"/>
      <c r="J889" s="232"/>
      <c r="K889" s="232"/>
      <c r="L889" s="232"/>
      <c r="M889" s="232"/>
      <c r="N889" s="232"/>
      <c r="O889" s="232"/>
      <c r="P889" s="232"/>
      <c r="Q889" s="232"/>
      <c r="R889" s="232"/>
      <c r="S889" s="232"/>
      <c r="T889" s="232"/>
      <c r="U889" s="232"/>
      <c r="V889" s="15"/>
      <c r="W889" s="15"/>
      <c r="X889" s="15"/>
      <c r="Y889" s="15"/>
      <c r="Z889" s="15"/>
      <c r="AA889" s="15"/>
    </row>
    <row r="890" spans="1:27" s="25" customFormat="1" ht="12" customHeight="1" x14ac:dyDescent="0.2">
      <c r="A890" s="232"/>
      <c r="B890" s="250"/>
      <c r="C890" s="286"/>
      <c r="D890" s="232"/>
      <c r="E890" s="232"/>
      <c r="F890" s="232"/>
      <c r="G890" s="232"/>
      <c r="H890" s="232"/>
      <c r="I890" s="232"/>
      <c r="J890" s="232"/>
      <c r="K890" s="232"/>
      <c r="L890" s="232"/>
      <c r="M890" s="232"/>
      <c r="N890" s="232"/>
      <c r="O890" s="232"/>
      <c r="P890" s="232"/>
      <c r="Q890" s="232"/>
      <c r="R890" s="232"/>
      <c r="S890" s="232"/>
      <c r="T890" s="232"/>
      <c r="U890" s="232"/>
      <c r="V890" s="15"/>
      <c r="W890" s="15"/>
      <c r="X890" s="15"/>
      <c r="Y890" s="15"/>
      <c r="Z890" s="15"/>
      <c r="AA890" s="15"/>
    </row>
    <row r="891" spans="1:27" s="25" customFormat="1" ht="12" customHeight="1" x14ac:dyDescent="0.2">
      <c r="A891" s="232"/>
      <c r="B891" s="250"/>
      <c r="C891" s="286"/>
      <c r="D891" s="232"/>
      <c r="E891" s="232"/>
      <c r="F891" s="232"/>
      <c r="G891" s="232"/>
      <c r="H891" s="232"/>
      <c r="I891" s="232"/>
      <c r="J891" s="232"/>
      <c r="K891" s="232"/>
      <c r="L891" s="232"/>
      <c r="M891" s="232"/>
      <c r="N891" s="232"/>
      <c r="O891" s="232"/>
      <c r="P891" s="232"/>
      <c r="Q891" s="232"/>
      <c r="R891" s="232"/>
      <c r="S891" s="232"/>
      <c r="T891" s="232"/>
      <c r="U891" s="232"/>
      <c r="V891" s="15"/>
      <c r="W891" s="15"/>
      <c r="X891" s="15"/>
      <c r="Y891" s="15"/>
      <c r="Z891" s="15"/>
      <c r="AA891" s="15"/>
    </row>
    <row r="892" spans="1:27" s="25" customFormat="1" ht="12" customHeight="1" x14ac:dyDescent="0.2">
      <c r="A892" s="232"/>
      <c r="B892" s="250"/>
      <c r="C892" s="286"/>
      <c r="D892" s="232"/>
      <c r="E892" s="232"/>
      <c r="F892" s="232"/>
      <c r="G892" s="232"/>
      <c r="H892" s="232"/>
      <c r="I892" s="232"/>
      <c r="J892" s="232"/>
      <c r="K892" s="232"/>
      <c r="L892" s="232"/>
      <c r="M892" s="232"/>
      <c r="N892" s="232"/>
      <c r="O892" s="232"/>
      <c r="P892" s="232"/>
      <c r="Q892" s="232"/>
      <c r="R892" s="232"/>
      <c r="S892" s="232"/>
      <c r="T892" s="232"/>
      <c r="U892" s="232"/>
      <c r="V892" s="15"/>
      <c r="W892" s="15"/>
      <c r="X892" s="15"/>
      <c r="Y892" s="15"/>
      <c r="Z892" s="15"/>
      <c r="AA892" s="15"/>
    </row>
    <row r="893" spans="1:27" s="25" customFormat="1" ht="12" customHeight="1" x14ac:dyDescent="0.2">
      <c r="A893" s="232"/>
      <c r="B893" s="250"/>
      <c r="C893" s="286"/>
      <c r="D893" s="232"/>
      <c r="E893" s="232"/>
      <c r="F893" s="232"/>
      <c r="G893" s="232"/>
      <c r="H893" s="232"/>
      <c r="I893" s="232"/>
      <c r="J893" s="232"/>
      <c r="K893" s="232"/>
      <c r="L893" s="232"/>
      <c r="M893" s="232"/>
      <c r="N893" s="232"/>
      <c r="O893" s="232"/>
      <c r="P893" s="232"/>
      <c r="Q893" s="232"/>
      <c r="R893" s="232"/>
      <c r="S893" s="232"/>
      <c r="T893" s="232"/>
      <c r="U893" s="232"/>
      <c r="V893" s="15"/>
      <c r="W893" s="15"/>
      <c r="X893" s="15"/>
      <c r="Y893" s="15"/>
      <c r="Z893" s="15"/>
      <c r="AA893" s="15"/>
    </row>
    <row r="894" spans="1:27" s="25" customFormat="1" ht="12" customHeight="1" x14ac:dyDescent="0.2">
      <c r="A894" s="232"/>
      <c r="B894" s="250"/>
      <c r="C894" s="286"/>
      <c r="D894" s="232"/>
      <c r="E894" s="232"/>
      <c r="F894" s="232"/>
      <c r="G894" s="232"/>
      <c r="H894" s="232"/>
      <c r="I894" s="232"/>
      <c r="J894" s="232"/>
      <c r="K894" s="232"/>
      <c r="L894" s="232"/>
      <c r="M894" s="232"/>
      <c r="N894" s="232"/>
      <c r="O894" s="232"/>
      <c r="P894" s="232"/>
      <c r="Q894" s="232"/>
      <c r="R894" s="232"/>
      <c r="S894" s="232"/>
      <c r="T894" s="232"/>
      <c r="U894" s="232"/>
      <c r="V894" s="15"/>
      <c r="W894" s="15"/>
      <c r="X894" s="15"/>
      <c r="Y894" s="15"/>
      <c r="Z894" s="15"/>
      <c r="AA894" s="15"/>
    </row>
    <row r="895" spans="1:27" s="25" customFormat="1" ht="12" customHeight="1" x14ac:dyDescent="0.2">
      <c r="A895" s="232"/>
      <c r="B895" s="250"/>
      <c r="C895" s="286"/>
      <c r="D895" s="232"/>
      <c r="E895" s="232"/>
      <c r="F895" s="232"/>
      <c r="G895" s="232"/>
      <c r="H895" s="232"/>
      <c r="I895" s="232"/>
      <c r="J895" s="232"/>
      <c r="K895" s="232"/>
      <c r="L895" s="232"/>
      <c r="M895" s="232"/>
      <c r="N895" s="232"/>
      <c r="O895" s="232"/>
      <c r="P895" s="232"/>
      <c r="Q895" s="232"/>
      <c r="R895" s="232"/>
      <c r="S895" s="232"/>
      <c r="T895" s="232"/>
      <c r="U895" s="232"/>
      <c r="V895" s="15"/>
      <c r="W895" s="15"/>
      <c r="X895" s="15"/>
      <c r="Y895" s="15"/>
      <c r="Z895" s="15"/>
      <c r="AA895" s="15"/>
    </row>
    <row r="896" spans="1:27" s="25" customFormat="1" ht="12" customHeight="1" x14ac:dyDescent="0.2">
      <c r="A896" s="232"/>
      <c r="B896" s="250"/>
      <c r="C896" s="286"/>
      <c r="D896" s="232"/>
      <c r="E896" s="232"/>
      <c r="F896" s="232"/>
      <c r="G896" s="232"/>
      <c r="H896" s="232"/>
      <c r="I896" s="232"/>
      <c r="J896" s="232"/>
      <c r="K896" s="232"/>
      <c r="L896" s="232"/>
      <c r="M896" s="232"/>
      <c r="N896" s="232"/>
      <c r="O896" s="232"/>
      <c r="P896" s="232"/>
      <c r="Q896" s="232"/>
      <c r="R896" s="232"/>
      <c r="S896" s="232"/>
      <c r="T896" s="232"/>
      <c r="U896" s="232"/>
      <c r="V896" s="15"/>
      <c r="W896" s="15"/>
      <c r="X896" s="15"/>
      <c r="Y896" s="15"/>
      <c r="Z896" s="15"/>
      <c r="AA896" s="15"/>
    </row>
    <row r="897" spans="1:27" s="25" customFormat="1" ht="12" customHeight="1" x14ac:dyDescent="0.2">
      <c r="A897" s="232"/>
      <c r="B897" s="250"/>
      <c r="C897" s="286"/>
      <c r="D897" s="232"/>
      <c r="E897" s="232"/>
      <c r="F897" s="232"/>
      <c r="G897" s="232"/>
      <c r="H897" s="232"/>
      <c r="I897" s="232"/>
      <c r="J897" s="232"/>
      <c r="K897" s="232"/>
      <c r="L897" s="232"/>
      <c r="M897" s="232"/>
      <c r="N897" s="232"/>
      <c r="O897" s="232"/>
      <c r="P897" s="232"/>
      <c r="Q897" s="232"/>
      <c r="R897" s="232"/>
      <c r="S897" s="232"/>
      <c r="T897" s="232"/>
      <c r="U897" s="232"/>
      <c r="V897" s="15"/>
      <c r="W897" s="15"/>
      <c r="X897" s="15"/>
      <c r="Y897" s="15"/>
      <c r="Z897" s="15"/>
      <c r="AA897" s="15"/>
    </row>
    <row r="898" spans="1:27" s="25" customFormat="1" ht="12" customHeight="1" x14ac:dyDescent="0.2">
      <c r="A898" s="232"/>
      <c r="B898" s="250"/>
      <c r="C898" s="286"/>
      <c r="D898" s="232"/>
      <c r="E898" s="232"/>
      <c r="F898" s="232"/>
      <c r="G898" s="232"/>
      <c r="H898" s="232"/>
      <c r="I898" s="232"/>
      <c r="J898" s="232"/>
      <c r="K898" s="232"/>
      <c r="L898" s="232"/>
      <c r="M898" s="232"/>
      <c r="N898" s="232"/>
      <c r="O898" s="232"/>
      <c r="P898" s="232"/>
      <c r="Q898" s="232"/>
      <c r="R898" s="232"/>
      <c r="S898" s="232"/>
      <c r="T898" s="232"/>
      <c r="U898" s="232"/>
      <c r="V898" s="15"/>
      <c r="W898" s="15"/>
      <c r="X898" s="15"/>
      <c r="Y898" s="15"/>
      <c r="Z898" s="15"/>
      <c r="AA898" s="15"/>
    </row>
    <row r="899" spans="1:27" s="25" customFormat="1" ht="12" customHeight="1" x14ac:dyDescent="0.2">
      <c r="A899" s="232"/>
      <c r="B899" s="250"/>
      <c r="C899" s="286"/>
      <c r="D899" s="232"/>
      <c r="E899" s="232"/>
      <c r="F899" s="232"/>
      <c r="G899" s="232"/>
      <c r="H899" s="232"/>
      <c r="I899" s="232"/>
      <c r="J899" s="232"/>
      <c r="K899" s="232"/>
      <c r="L899" s="232"/>
      <c r="M899" s="232"/>
      <c r="N899" s="232"/>
      <c r="O899" s="232"/>
      <c r="P899" s="232"/>
      <c r="Q899" s="232"/>
      <c r="R899" s="232"/>
      <c r="S899" s="232"/>
      <c r="T899" s="232"/>
      <c r="U899" s="232"/>
      <c r="V899" s="15"/>
      <c r="W899" s="15"/>
      <c r="X899" s="15"/>
      <c r="Y899" s="15"/>
      <c r="Z899" s="15"/>
      <c r="AA899" s="15"/>
    </row>
    <row r="900" spans="1:27" s="25" customFormat="1" ht="12" customHeight="1" x14ac:dyDescent="0.2">
      <c r="A900" s="232"/>
      <c r="B900" s="250"/>
      <c r="C900" s="286"/>
      <c r="D900" s="232"/>
      <c r="E900" s="232"/>
      <c r="F900" s="232"/>
      <c r="G900" s="232"/>
      <c r="H900" s="232"/>
      <c r="I900" s="232"/>
      <c r="J900" s="232"/>
      <c r="K900" s="232"/>
      <c r="L900" s="232"/>
      <c r="M900" s="232"/>
      <c r="N900" s="232"/>
      <c r="O900" s="232"/>
      <c r="P900" s="232"/>
      <c r="Q900" s="232"/>
      <c r="R900" s="232"/>
      <c r="S900" s="232"/>
      <c r="T900" s="232"/>
      <c r="U900" s="232"/>
      <c r="V900" s="15"/>
      <c r="W900" s="15"/>
      <c r="X900" s="15"/>
      <c r="Y900" s="15"/>
      <c r="Z900" s="15"/>
      <c r="AA900" s="15"/>
    </row>
    <row r="901" spans="1:27" s="25" customFormat="1" ht="12" customHeight="1" x14ac:dyDescent="0.2">
      <c r="A901" s="232"/>
      <c r="B901" s="250"/>
      <c r="C901" s="286"/>
      <c r="D901" s="232"/>
      <c r="E901" s="232"/>
      <c r="F901" s="232"/>
      <c r="G901" s="232"/>
      <c r="H901" s="232"/>
      <c r="I901" s="232"/>
      <c r="J901" s="232"/>
      <c r="K901" s="232"/>
      <c r="L901" s="232"/>
      <c r="M901" s="232"/>
      <c r="N901" s="232"/>
      <c r="O901" s="232"/>
      <c r="P901" s="232"/>
      <c r="Q901" s="232"/>
      <c r="R901" s="232"/>
      <c r="S901" s="232"/>
      <c r="T901" s="232"/>
      <c r="U901" s="232"/>
      <c r="V901" s="15"/>
      <c r="W901" s="15"/>
      <c r="X901" s="15"/>
      <c r="Y901" s="15"/>
      <c r="Z901" s="15"/>
      <c r="AA901" s="15"/>
    </row>
    <row r="902" spans="1:27" s="25" customFormat="1" ht="12" customHeight="1" x14ac:dyDescent="0.2">
      <c r="A902" s="232"/>
      <c r="B902" s="250"/>
      <c r="C902" s="286"/>
      <c r="D902" s="232"/>
      <c r="E902" s="232"/>
      <c r="F902" s="232"/>
      <c r="G902" s="232"/>
      <c r="H902" s="232"/>
      <c r="I902" s="232"/>
      <c r="J902" s="232"/>
      <c r="K902" s="232"/>
      <c r="L902" s="232"/>
      <c r="M902" s="232"/>
      <c r="N902" s="232"/>
      <c r="O902" s="232"/>
      <c r="P902" s="232"/>
      <c r="Q902" s="232"/>
      <c r="R902" s="232"/>
      <c r="S902" s="232"/>
      <c r="T902" s="232"/>
      <c r="U902" s="232"/>
      <c r="V902" s="15"/>
      <c r="W902" s="15"/>
      <c r="X902" s="15"/>
      <c r="Y902" s="15"/>
      <c r="Z902" s="15"/>
      <c r="AA902" s="15"/>
    </row>
    <row r="903" spans="1:27" s="25" customFormat="1" ht="12" customHeight="1" x14ac:dyDescent="0.2">
      <c r="A903" s="232"/>
      <c r="B903" s="250"/>
      <c r="C903" s="286"/>
      <c r="D903" s="232"/>
      <c r="E903" s="232"/>
      <c r="F903" s="232"/>
      <c r="G903" s="232"/>
      <c r="H903" s="232"/>
      <c r="I903" s="232"/>
      <c r="J903" s="232"/>
      <c r="K903" s="232"/>
      <c r="L903" s="232"/>
      <c r="M903" s="232"/>
      <c r="N903" s="232"/>
      <c r="O903" s="232"/>
      <c r="P903" s="232"/>
      <c r="Q903" s="232"/>
      <c r="R903" s="232"/>
      <c r="S903" s="232"/>
      <c r="T903" s="232"/>
      <c r="U903" s="232"/>
      <c r="V903" s="15"/>
      <c r="W903" s="15"/>
      <c r="X903" s="15"/>
      <c r="Y903" s="15"/>
      <c r="Z903" s="15"/>
      <c r="AA903" s="15"/>
    </row>
    <row r="904" spans="1:27" s="25" customFormat="1" ht="12" customHeight="1" x14ac:dyDescent="0.2">
      <c r="A904" s="232"/>
      <c r="B904" s="250"/>
      <c r="C904" s="286"/>
      <c r="D904" s="232"/>
      <c r="E904" s="232"/>
      <c r="F904" s="232"/>
      <c r="G904" s="232"/>
      <c r="H904" s="232"/>
      <c r="I904" s="232"/>
      <c r="J904" s="232"/>
      <c r="K904" s="232"/>
      <c r="L904" s="232"/>
      <c r="M904" s="232"/>
      <c r="N904" s="232"/>
      <c r="O904" s="232"/>
      <c r="P904" s="232"/>
      <c r="Q904" s="232"/>
      <c r="R904" s="232"/>
      <c r="S904" s="232"/>
      <c r="T904" s="232"/>
      <c r="U904" s="232"/>
      <c r="V904" s="15"/>
      <c r="W904" s="15"/>
      <c r="X904" s="15"/>
      <c r="Y904" s="15"/>
      <c r="Z904" s="15"/>
      <c r="AA904" s="15"/>
    </row>
    <row r="905" spans="1:27" s="25" customFormat="1" ht="12" customHeight="1" x14ac:dyDescent="0.2">
      <c r="A905" s="232"/>
      <c r="B905" s="250"/>
      <c r="C905" s="286"/>
      <c r="D905" s="232"/>
      <c r="E905" s="232"/>
      <c r="F905" s="232"/>
      <c r="G905" s="232"/>
      <c r="H905" s="232"/>
      <c r="I905" s="232"/>
      <c r="J905" s="232"/>
      <c r="K905" s="232"/>
      <c r="L905" s="232"/>
      <c r="M905" s="232"/>
      <c r="N905" s="232"/>
      <c r="O905" s="232"/>
      <c r="P905" s="232"/>
      <c r="Q905" s="232"/>
      <c r="R905" s="232"/>
      <c r="S905" s="232"/>
      <c r="T905" s="232"/>
      <c r="U905" s="232"/>
      <c r="V905" s="15"/>
      <c r="W905" s="15"/>
      <c r="X905" s="15"/>
      <c r="Y905" s="15"/>
      <c r="Z905" s="15"/>
      <c r="AA905" s="15"/>
    </row>
    <row r="906" spans="1:27" s="25" customFormat="1" ht="12" customHeight="1" x14ac:dyDescent="0.2">
      <c r="A906" s="232"/>
      <c r="B906" s="250"/>
      <c r="C906" s="286"/>
      <c r="D906" s="232"/>
      <c r="E906" s="232"/>
      <c r="F906" s="232"/>
      <c r="G906" s="232"/>
      <c r="H906" s="232"/>
      <c r="I906" s="232"/>
      <c r="J906" s="232"/>
      <c r="K906" s="232"/>
      <c r="L906" s="232"/>
      <c r="M906" s="232"/>
      <c r="N906" s="232"/>
      <c r="O906" s="232"/>
      <c r="P906" s="232"/>
      <c r="Q906" s="232"/>
      <c r="R906" s="232"/>
      <c r="S906" s="232"/>
      <c r="T906" s="232"/>
      <c r="U906" s="232"/>
      <c r="V906" s="15"/>
      <c r="W906" s="15"/>
      <c r="X906" s="15"/>
      <c r="Y906" s="15"/>
      <c r="Z906" s="15"/>
      <c r="AA906" s="15"/>
    </row>
    <row r="907" spans="1:27" s="25" customFormat="1" ht="12" customHeight="1" x14ac:dyDescent="0.2">
      <c r="A907" s="232"/>
      <c r="B907" s="250"/>
      <c r="C907" s="286"/>
      <c r="D907" s="232"/>
      <c r="E907" s="232"/>
      <c r="F907" s="232"/>
      <c r="G907" s="232"/>
      <c r="H907" s="232"/>
      <c r="I907" s="232"/>
      <c r="J907" s="232"/>
      <c r="K907" s="232"/>
      <c r="L907" s="232"/>
      <c r="M907" s="232"/>
      <c r="N907" s="232"/>
      <c r="O907" s="232"/>
      <c r="P907" s="232"/>
      <c r="Q907" s="232"/>
      <c r="R907" s="232"/>
      <c r="S907" s="232"/>
      <c r="T907" s="232"/>
      <c r="U907" s="232"/>
      <c r="V907" s="15"/>
      <c r="W907" s="15"/>
      <c r="X907" s="15"/>
      <c r="Y907" s="15"/>
      <c r="Z907" s="15"/>
      <c r="AA907" s="15"/>
    </row>
    <row r="908" spans="1:27" s="25" customFormat="1" ht="12" customHeight="1" x14ac:dyDescent="0.2">
      <c r="A908" s="232"/>
      <c r="B908" s="250"/>
      <c r="C908" s="286"/>
      <c r="D908" s="232"/>
      <c r="E908" s="232"/>
      <c r="F908" s="232"/>
      <c r="G908" s="232"/>
      <c r="H908" s="232"/>
      <c r="I908" s="232"/>
      <c r="J908" s="232"/>
      <c r="K908" s="232"/>
      <c r="L908" s="232"/>
      <c r="M908" s="232"/>
      <c r="N908" s="232"/>
      <c r="O908" s="232"/>
      <c r="P908" s="232"/>
      <c r="Q908" s="232"/>
      <c r="R908" s="232"/>
      <c r="S908" s="232"/>
      <c r="T908" s="232"/>
      <c r="U908" s="232"/>
      <c r="V908" s="15"/>
      <c r="W908" s="15"/>
      <c r="X908" s="15"/>
      <c r="Y908" s="15"/>
      <c r="Z908" s="15"/>
      <c r="AA908" s="15"/>
    </row>
    <row r="909" spans="1:27" s="25" customFormat="1" ht="12" customHeight="1" x14ac:dyDescent="0.2">
      <c r="A909" s="232"/>
      <c r="B909" s="250"/>
      <c r="C909" s="286"/>
      <c r="D909" s="232"/>
      <c r="E909" s="232"/>
      <c r="F909" s="232"/>
      <c r="G909" s="232"/>
      <c r="H909" s="232"/>
      <c r="I909" s="232"/>
      <c r="J909" s="232"/>
      <c r="K909" s="232"/>
      <c r="L909" s="232"/>
      <c r="M909" s="232"/>
      <c r="N909" s="232"/>
      <c r="O909" s="232"/>
      <c r="P909" s="232"/>
      <c r="Q909" s="232"/>
      <c r="R909" s="232"/>
      <c r="S909" s="232"/>
      <c r="T909" s="232"/>
      <c r="U909" s="232"/>
      <c r="V909" s="15"/>
      <c r="W909" s="15"/>
      <c r="X909" s="15"/>
      <c r="Y909" s="15"/>
      <c r="Z909" s="15"/>
      <c r="AA909" s="15"/>
    </row>
    <row r="910" spans="1:27" s="25" customFormat="1" ht="12" customHeight="1" x14ac:dyDescent="0.2">
      <c r="A910" s="232"/>
      <c r="B910" s="250"/>
      <c r="C910" s="286"/>
      <c r="D910" s="232"/>
      <c r="E910" s="232"/>
      <c r="F910" s="232"/>
      <c r="G910" s="232"/>
      <c r="H910" s="232"/>
      <c r="I910" s="232"/>
      <c r="J910" s="232"/>
      <c r="K910" s="232"/>
      <c r="L910" s="232"/>
      <c r="M910" s="232"/>
      <c r="N910" s="232"/>
      <c r="O910" s="232"/>
      <c r="P910" s="232"/>
      <c r="Q910" s="232"/>
      <c r="R910" s="232"/>
      <c r="S910" s="232"/>
      <c r="T910" s="232"/>
      <c r="U910" s="232"/>
      <c r="V910" s="15"/>
      <c r="W910" s="15"/>
      <c r="X910" s="15"/>
      <c r="Y910" s="15"/>
      <c r="Z910" s="15"/>
      <c r="AA910" s="15"/>
    </row>
    <row r="911" spans="1:27" s="25" customFormat="1" ht="12" customHeight="1" x14ac:dyDescent="0.2">
      <c r="A911" s="232"/>
      <c r="B911" s="250"/>
      <c r="C911" s="286"/>
      <c r="D911" s="232"/>
      <c r="E911" s="232"/>
      <c r="F911" s="232"/>
      <c r="G911" s="232"/>
      <c r="H911" s="232"/>
      <c r="I911" s="232"/>
      <c r="J911" s="232"/>
      <c r="K911" s="232"/>
      <c r="L911" s="232"/>
      <c r="M911" s="232"/>
      <c r="N911" s="232"/>
      <c r="O911" s="232"/>
      <c r="P911" s="232"/>
      <c r="Q911" s="232"/>
      <c r="R911" s="232"/>
      <c r="S911" s="232"/>
      <c r="T911" s="232"/>
      <c r="U911" s="232"/>
      <c r="V911" s="15"/>
      <c r="W911" s="15"/>
      <c r="X911" s="15"/>
      <c r="Y911" s="15"/>
      <c r="Z911" s="15"/>
      <c r="AA911" s="15"/>
    </row>
    <row r="912" spans="1:27" s="25" customFormat="1" ht="12" customHeight="1" x14ac:dyDescent="0.2">
      <c r="A912" s="232"/>
      <c r="B912" s="250"/>
      <c r="C912" s="286"/>
      <c r="D912" s="232"/>
      <c r="E912" s="232"/>
      <c r="F912" s="232"/>
      <c r="G912" s="232"/>
      <c r="H912" s="232"/>
      <c r="I912" s="232"/>
      <c r="J912" s="232"/>
      <c r="K912" s="232"/>
      <c r="L912" s="232"/>
      <c r="M912" s="232"/>
      <c r="N912" s="232"/>
      <c r="O912" s="232"/>
      <c r="P912" s="232"/>
      <c r="Q912" s="232"/>
      <c r="R912" s="232"/>
      <c r="S912" s="232"/>
      <c r="T912" s="232"/>
      <c r="U912" s="232"/>
      <c r="V912" s="15"/>
      <c r="W912" s="15"/>
      <c r="X912" s="15"/>
      <c r="Y912" s="15"/>
      <c r="Z912" s="15"/>
      <c r="AA912" s="15"/>
    </row>
    <row r="913" spans="1:27" s="25" customFormat="1" ht="12" customHeight="1" x14ac:dyDescent="0.2">
      <c r="A913" s="232"/>
      <c r="B913" s="250"/>
      <c r="C913" s="286"/>
      <c r="D913" s="232"/>
      <c r="E913" s="232"/>
      <c r="F913" s="232"/>
      <c r="G913" s="232"/>
      <c r="H913" s="232"/>
      <c r="I913" s="232"/>
      <c r="J913" s="232"/>
      <c r="K913" s="232"/>
      <c r="L913" s="232"/>
      <c r="M913" s="232"/>
      <c r="N913" s="232"/>
      <c r="O913" s="232"/>
      <c r="P913" s="232"/>
      <c r="Q913" s="232"/>
      <c r="R913" s="232"/>
      <c r="S913" s="232"/>
      <c r="T913" s="232"/>
      <c r="U913" s="232"/>
      <c r="V913" s="15"/>
      <c r="W913" s="15"/>
      <c r="X913" s="15"/>
      <c r="Y913" s="15"/>
      <c r="Z913" s="15"/>
      <c r="AA913" s="15"/>
    </row>
    <row r="914" spans="1:27" s="25" customFormat="1" ht="12" customHeight="1" x14ac:dyDescent="0.2">
      <c r="A914" s="232"/>
      <c r="B914" s="250"/>
      <c r="C914" s="286"/>
      <c r="D914" s="232"/>
      <c r="E914" s="232"/>
      <c r="F914" s="232"/>
      <c r="G914" s="232"/>
      <c r="H914" s="232"/>
      <c r="I914" s="232"/>
      <c r="J914" s="232"/>
      <c r="K914" s="232"/>
      <c r="L914" s="232"/>
      <c r="M914" s="232"/>
      <c r="N914" s="232"/>
      <c r="O914" s="232"/>
      <c r="P914" s="232"/>
      <c r="Q914" s="232"/>
      <c r="R914" s="232"/>
      <c r="S914" s="232"/>
      <c r="T914" s="232"/>
      <c r="U914" s="232"/>
      <c r="V914" s="15"/>
      <c r="W914" s="15"/>
      <c r="X914" s="15"/>
      <c r="Y914" s="15"/>
      <c r="Z914" s="15"/>
      <c r="AA914" s="15"/>
    </row>
    <row r="915" spans="1:27" s="25" customFormat="1" ht="12" customHeight="1" x14ac:dyDescent="0.2">
      <c r="A915" s="232"/>
      <c r="B915" s="250"/>
      <c r="C915" s="286"/>
      <c r="D915" s="232"/>
      <c r="E915" s="232"/>
      <c r="F915" s="232"/>
      <c r="G915" s="232"/>
      <c r="H915" s="232"/>
      <c r="I915" s="232"/>
      <c r="J915" s="232"/>
      <c r="K915" s="232"/>
      <c r="L915" s="232"/>
      <c r="M915" s="232"/>
      <c r="N915" s="232"/>
      <c r="O915" s="232"/>
      <c r="P915" s="232"/>
      <c r="Q915" s="232"/>
      <c r="R915" s="232"/>
      <c r="S915" s="232"/>
      <c r="T915" s="232"/>
      <c r="U915" s="232"/>
      <c r="V915" s="15"/>
      <c r="W915" s="15"/>
      <c r="X915" s="15"/>
      <c r="Y915" s="15"/>
      <c r="Z915" s="15"/>
      <c r="AA915" s="15"/>
    </row>
    <row r="916" spans="1:27" s="25" customFormat="1" ht="12" customHeight="1" x14ac:dyDescent="0.2">
      <c r="A916" s="232"/>
      <c r="B916" s="250"/>
      <c r="C916" s="286"/>
      <c r="D916" s="232"/>
      <c r="E916" s="232"/>
      <c r="F916" s="232"/>
      <c r="G916" s="232"/>
      <c r="H916" s="232"/>
      <c r="I916" s="232"/>
      <c r="J916" s="232"/>
      <c r="K916" s="232"/>
      <c r="L916" s="232"/>
      <c r="M916" s="232"/>
      <c r="N916" s="232"/>
      <c r="O916" s="232"/>
      <c r="P916" s="232"/>
      <c r="Q916" s="232"/>
      <c r="R916" s="232"/>
      <c r="S916" s="232"/>
      <c r="T916" s="232"/>
      <c r="U916" s="232"/>
      <c r="V916" s="15"/>
      <c r="W916" s="15"/>
      <c r="X916" s="15"/>
      <c r="Y916" s="15"/>
      <c r="Z916" s="15"/>
      <c r="AA916" s="15"/>
    </row>
    <row r="917" spans="1:27" s="25" customFormat="1" ht="12" customHeight="1" x14ac:dyDescent="0.2">
      <c r="A917" s="232"/>
      <c r="B917" s="250"/>
      <c r="C917" s="286"/>
      <c r="D917" s="232"/>
      <c r="E917" s="232"/>
      <c r="F917" s="232"/>
      <c r="G917" s="232"/>
      <c r="H917" s="232"/>
      <c r="I917" s="232"/>
      <c r="J917" s="232"/>
      <c r="K917" s="232"/>
      <c r="L917" s="232"/>
      <c r="M917" s="232"/>
      <c r="N917" s="232"/>
      <c r="O917" s="232"/>
      <c r="P917" s="232"/>
      <c r="Q917" s="232"/>
      <c r="R917" s="232"/>
      <c r="S917" s="232"/>
      <c r="T917" s="232"/>
      <c r="U917" s="232"/>
      <c r="V917" s="15"/>
      <c r="W917" s="15"/>
      <c r="X917" s="15"/>
      <c r="Y917" s="15"/>
      <c r="Z917" s="15"/>
      <c r="AA917" s="15"/>
    </row>
    <row r="918" spans="1:27" s="25" customFormat="1" ht="12" customHeight="1" x14ac:dyDescent="0.2">
      <c r="A918" s="232"/>
      <c r="B918" s="250"/>
      <c r="C918" s="286"/>
      <c r="D918" s="232"/>
      <c r="E918" s="232"/>
      <c r="F918" s="232"/>
      <c r="G918" s="232"/>
      <c r="H918" s="232"/>
      <c r="I918" s="232"/>
      <c r="J918" s="232"/>
      <c r="K918" s="232"/>
      <c r="L918" s="232"/>
      <c r="M918" s="232"/>
      <c r="N918" s="232"/>
      <c r="O918" s="232"/>
      <c r="P918" s="232"/>
      <c r="Q918" s="232"/>
      <c r="R918" s="232"/>
      <c r="S918" s="232"/>
      <c r="T918" s="232"/>
      <c r="U918" s="232"/>
      <c r="V918" s="15"/>
      <c r="W918" s="15"/>
      <c r="X918" s="15"/>
      <c r="Y918" s="15"/>
      <c r="Z918" s="15"/>
      <c r="AA918" s="15"/>
    </row>
    <row r="919" spans="1:27" s="25" customFormat="1" ht="12" customHeight="1" x14ac:dyDescent="0.2">
      <c r="A919" s="232"/>
      <c r="B919" s="250"/>
      <c r="C919" s="286"/>
      <c r="D919" s="232"/>
      <c r="E919" s="232"/>
      <c r="F919" s="232"/>
      <c r="G919" s="232"/>
      <c r="H919" s="232"/>
      <c r="I919" s="232"/>
      <c r="J919" s="232"/>
      <c r="K919" s="232"/>
      <c r="L919" s="232"/>
      <c r="M919" s="232"/>
      <c r="N919" s="232"/>
      <c r="O919" s="232"/>
      <c r="P919" s="232"/>
      <c r="Q919" s="232"/>
      <c r="R919" s="232"/>
      <c r="S919" s="232"/>
      <c r="T919" s="232"/>
      <c r="U919" s="232"/>
      <c r="V919" s="15"/>
      <c r="W919" s="15"/>
      <c r="X919" s="15"/>
      <c r="Y919" s="15"/>
      <c r="Z919" s="15"/>
      <c r="AA919" s="15"/>
    </row>
    <row r="920" spans="1:27" s="25" customFormat="1" ht="12" customHeight="1" x14ac:dyDescent="0.2">
      <c r="A920" s="232"/>
      <c r="B920" s="250"/>
      <c r="C920" s="286"/>
      <c r="D920" s="232"/>
      <c r="E920" s="232"/>
      <c r="F920" s="232"/>
      <c r="G920" s="232"/>
      <c r="H920" s="232"/>
      <c r="I920" s="232"/>
      <c r="J920" s="232"/>
      <c r="K920" s="232"/>
      <c r="L920" s="232"/>
      <c r="M920" s="232"/>
      <c r="N920" s="232"/>
      <c r="O920" s="232"/>
      <c r="P920" s="232"/>
      <c r="Q920" s="232"/>
      <c r="R920" s="232"/>
      <c r="S920" s="232"/>
      <c r="T920" s="232"/>
      <c r="U920" s="232"/>
      <c r="V920" s="15"/>
      <c r="W920" s="15"/>
      <c r="X920" s="15"/>
      <c r="Y920" s="15"/>
      <c r="Z920" s="15"/>
      <c r="AA920" s="15"/>
    </row>
    <row r="921" spans="1:27" s="25" customFormat="1" ht="12" customHeight="1" x14ac:dyDescent="0.2">
      <c r="A921" s="232"/>
      <c r="B921" s="250"/>
      <c r="C921" s="286"/>
      <c r="D921" s="232"/>
      <c r="E921" s="232"/>
      <c r="F921" s="232"/>
      <c r="G921" s="232"/>
      <c r="H921" s="232"/>
      <c r="I921" s="232"/>
      <c r="J921" s="232"/>
      <c r="K921" s="232"/>
      <c r="L921" s="232"/>
      <c r="M921" s="232"/>
      <c r="N921" s="232"/>
      <c r="O921" s="232"/>
      <c r="P921" s="232"/>
      <c r="Q921" s="232"/>
      <c r="R921" s="232"/>
      <c r="S921" s="232"/>
      <c r="T921" s="232"/>
      <c r="U921" s="232"/>
      <c r="V921" s="15"/>
      <c r="W921" s="15"/>
      <c r="X921" s="15"/>
      <c r="Y921" s="15"/>
      <c r="Z921" s="15"/>
      <c r="AA921" s="15"/>
    </row>
    <row r="922" spans="1:27" s="25" customFormat="1" ht="12" customHeight="1" x14ac:dyDescent="0.2">
      <c r="A922" s="232"/>
      <c r="B922" s="250"/>
      <c r="C922" s="286"/>
      <c r="D922" s="232"/>
      <c r="E922" s="232"/>
      <c r="F922" s="232"/>
      <c r="G922" s="232"/>
      <c r="H922" s="232"/>
      <c r="I922" s="232"/>
      <c r="J922" s="232"/>
      <c r="K922" s="232"/>
      <c r="L922" s="232"/>
      <c r="M922" s="232"/>
      <c r="N922" s="232"/>
      <c r="O922" s="232"/>
      <c r="P922" s="232"/>
      <c r="Q922" s="232"/>
      <c r="R922" s="232"/>
      <c r="S922" s="232"/>
      <c r="T922" s="232"/>
      <c r="U922" s="232"/>
      <c r="V922" s="15"/>
      <c r="W922" s="15"/>
      <c r="X922" s="15"/>
      <c r="Y922" s="15"/>
      <c r="Z922" s="15"/>
      <c r="AA922" s="15"/>
    </row>
    <row r="923" spans="1:27" s="25" customFormat="1" ht="12" customHeight="1" x14ac:dyDescent="0.2">
      <c r="A923" s="232"/>
      <c r="B923" s="250"/>
      <c r="C923" s="286"/>
      <c r="D923" s="232"/>
      <c r="E923" s="232"/>
      <c r="F923" s="232"/>
      <c r="G923" s="232"/>
      <c r="H923" s="232"/>
      <c r="I923" s="232"/>
      <c r="J923" s="232"/>
      <c r="K923" s="232"/>
      <c r="L923" s="232"/>
      <c r="M923" s="232"/>
      <c r="N923" s="232"/>
      <c r="O923" s="232"/>
      <c r="P923" s="232"/>
      <c r="Q923" s="232"/>
      <c r="R923" s="232"/>
      <c r="S923" s="232"/>
      <c r="T923" s="232"/>
      <c r="U923" s="232"/>
      <c r="V923" s="15"/>
      <c r="W923" s="15"/>
      <c r="X923" s="15"/>
      <c r="Y923" s="15"/>
      <c r="Z923" s="15"/>
      <c r="AA923" s="15"/>
    </row>
    <row r="924" spans="1:27" s="25" customFormat="1" ht="12" customHeight="1" x14ac:dyDescent="0.2">
      <c r="A924" s="232"/>
      <c r="B924" s="250"/>
      <c r="C924" s="286"/>
      <c r="D924" s="232"/>
      <c r="E924" s="232"/>
      <c r="F924" s="232"/>
      <c r="G924" s="232"/>
      <c r="H924" s="232"/>
      <c r="I924" s="232"/>
      <c r="J924" s="232"/>
      <c r="K924" s="232"/>
      <c r="L924" s="232"/>
      <c r="M924" s="232"/>
      <c r="N924" s="232"/>
      <c r="O924" s="232"/>
      <c r="P924" s="232"/>
      <c r="Q924" s="232"/>
      <c r="R924" s="232"/>
      <c r="S924" s="232"/>
      <c r="T924" s="232"/>
      <c r="U924" s="232"/>
      <c r="V924" s="15"/>
      <c r="W924" s="15"/>
      <c r="X924" s="15"/>
      <c r="Y924" s="15"/>
      <c r="Z924" s="15"/>
      <c r="AA924" s="15"/>
    </row>
    <row r="925" spans="1:27" s="25" customFormat="1" ht="12" customHeight="1" x14ac:dyDescent="0.2">
      <c r="A925" s="232"/>
      <c r="B925" s="250"/>
      <c r="C925" s="286"/>
      <c r="D925" s="232"/>
      <c r="E925" s="232"/>
      <c r="F925" s="232"/>
      <c r="G925" s="232"/>
      <c r="H925" s="232"/>
      <c r="I925" s="232"/>
      <c r="J925" s="232"/>
      <c r="K925" s="232"/>
      <c r="L925" s="232"/>
      <c r="M925" s="232"/>
      <c r="N925" s="232"/>
      <c r="O925" s="232"/>
      <c r="P925" s="232"/>
      <c r="Q925" s="232"/>
      <c r="R925" s="232"/>
      <c r="S925" s="232"/>
      <c r="T925" s="232"/>
      <c r="U925" s="232"/>
      <c r="V925" s="15"/>
      <c r="W925" s="15"/>
      <c r="X925" s="15"/>
      <c r="Y925" s="15"/>
      <c r="Z925" s="15"/>
      <c r="AA925" s="15"/>
    </row>
    <row r="926" spans="1:27" s="25" customFormat="1" ht="12" customHeight="1" x14ac:dyDescent="0.2">
      <c r="A926" s="232"/>
      <c r="B926" s="250"/>
      <c r="C926" s="286"/>
      <c r="D926" s="232"/>
      <c r="E926" s="232"/>
      <c r="F926" s="232"/>
      <c r="G926" s="232"/>
      <c r="H926" s="232"/>
      <c r="I926" s="232"/>
      <c r="J926" s="232"/>
      <c r="K926" s="232"/>
      <c r="L926" s="232"/>
      <c r="M926" s="232"/>
      <c r="N926" s="232"/>
      <c r="O926" s="232"/>
      <c r="P926" s="232"/>
      <c r="Q926" s="232"/>
      <c r="R926" s="232"/>
      <c r="S926" s="232"/>
      <c r="T926" s="232"/>
      <c r="U926" s="232"/>
      <c r="V926" s="15"/>
      <c r="W926" s="15"/>
      <c r="X926" s="15"/>
      <c r="Y926" s="15"/>
      <c r="Z926" s="15"/>
      <c r="AA926" s="15"/>
    </row>
    <row r="927" spans="1:27" s="25" customFormat="1" ht="12" customHeight="1" x14ac:dyDescent="0.2">
      <c r="A927" s="232"/>
      <c r="B927" s="250"/>
      <c r="C927" s="286"/>
      <c r="D927" s="232"/>
      <c r="E927" s="232"/>
      <c r="F927" s="232"/>
      <c r="G927" s="232"/>
      <c r="H927" s="232"/>
      <c r="I927" s="232"/>
      <c r="J927" s="232"/>
      <c r="K927" s="232"/>
      <c r="L927" s="232"/>
      <c r="M927" s="232"/>
      <c r="N927" s="232"/>
      <c r="O927" s="232"/>
      <c r="P927" s="232"/>
      <c r="Q927" s="232"/>
      <c r="R927" s="232"/>
      <c r="S927" s="232"/>
      <c r="T927" s="232"/>
      <c r="U927" s="232"/>
      <c r="V927" s="15"/>
      <c r="W927" s="15"/>
      <c r="X927" s="15"/>
      <c r="Y927" s="15"/>
      <c r="Z927" s="15"/>
      <c r="AA927" s="15"/>
    </row>
    <row r="928" spans="1:27" s="25" customFormat="1" ht="12" customHeight="1" x14ac:dyDescent="0.2">
      <c r="A928" s="232"/>
      <c r="B928" s="250"/>
      <c r="C928" s="286"/>
      <c r="D928" s="232"/>
      <c r="E928" s="232"/>
      <c r="F928" s="232"/>
      <c r="G928" s="232"/>
      <c r="H928" s="232"/>
      <c r="I928" s="232"/>
      <c r="J928" s="232"/>
      <c r="K928" s="232"/>
      <c r="L928" s="232"/>
      <c r="M928" s="232"/>
      <c r="N928" s="232"/>
      <c r="O928" s="232"/>
      <c r="P928" s="232"/>
      <c r="Q928" s="232"/>
      <c r="R928" s="232"/>
      <c r="S928" s="232"/>
      <c r="T928" s="232"/>
      <c r="U928" s="232"/>
      <c r="V928" s="15"/>
      <c r="W928" s="15"/>
      <c r="X928" s="15"/>
      <c r="Y928" s="15"/>
      <c r="Z928" s="15"/>
      <c r="AA928" s="15"/>
    </row>
    <row r="929" spans="1:27" s="25" customFormat="1" ht="12" customHeight="1" x14ac:dyDescent="0.2">
      <c r="A929" s="232"/>
      <c r="B929" s="250"/>
      <c r="C929" s="286"/>
      <c r="D929" s="232"/>
      <c r="E929" s="232"/>
      <c r="F929" s="232"/>
      <c r="G929" s="232"/>
      <c r="H929" s="232"/>
      <c r="I929" s="232"/>
      <c r="J929" s="232"/>
      <c r="K929" s="232"/>
      <c r="L929" s="232"/>
      <c r="M929" s="232"/>
      <c r="N929" s="232"/>
      <c r="O929" s="232"/>
      <c r="P929" s="232"/>
      <c r="Q929" s="232"/>
      <c r="R929" s="232"/>
      <c r="S929" s="232"/>
      <c r="T929" s="232"/>
      <c r="U929" s="232"/>
      <c r="V929" s="15"/>
      <c r="W929" s="15"/>
      <c r="X929" s="15"/>
      <c r="Y929" s="15"/>
      <c r="Z929" s="15"/>
      <c r="AA929" s="15"/>
    </row>
    <row r="930" spans="1:27" s="25" customFormat="1" ht="12" customHeight="1" x14ac:dyDescent="0.2">
      <c r="A930" s="232"/>
      <c r="B930" s="250"/>
      <c r="C930" s="286"/>
      <c r="D930" s="232"/>
      <c r="E930" s="232"/>
      <c r="F930" s="232"/>
      <c r="G930" s="232"/>
      <c r="H930" s="232"/>
      <c r="I930" s="232"/>
      <c r="J930" s="232"/>
      <c r="K930" s="232"/>
      <c r="L930" s="232"/>
      <c r="M930" s="232"/>
      <c r="N930" s="232"/>
      <c r="O930" s="232"/>
      <c r="P930" s="232"/>
      <c r="Q930" s="232"/>
      <c r="R930" s="232"/>
      <c r="S930" s="232"/>
      <c r="T930" s="232"/>
      <c r="U930" s="232"/>
      <c r="V930" s="15"/>
      <c r="W930" s="15"/>
      <c r="X930" s="15"/>
      <c r="Y930" s="15"/>
      <c r="Z930" s="15"/>
      <c r="AA930" s="15"/>
    </row>
    <row r="931" spans="1:27" s="25" customFormat="1" ht="12" customHeight="1" x14ac:dyDescent="0.2">
      <c r="A931" s="232"/>
      <c r="B931" s="250"/>
      <c r="C931" s="286"/>
      <c r="D931" s="232"/>
      <c r="E931" s="232"/>
      <c r="F931" s="232"/>
      <c r="G931" s="232"/>
      <c r="H931" s="232"/>
      <c r="I931" s="232"/>
      <c r="J931" s="232"/>
      <c r="K931" s="232"/>
      <c r="L931" s="232"/>
      <c r="M931" s="232"/>
      <c r="N931" s="232"/>
      <c r="O931" s="232"/>
      <c r="P931" s="232"/>
      <c r="Q931" s="232"/>
      <c r="R931" s="232"/>
      <c r="S931" s="232"/>
      <c r="T931" s="232"/>
      <c r="U931" s="232"/>
      <c r="V931" s="15"/>
      <c r="W931" s="15"/>
      <c r="X931" s="15"/>
      <c r="Y931" s="15"/>
      <c r="Z931" s="15"/>
      <c r="AA931" s="15"/>
    </row>
    <row r="932" spans="1:27" s="25" customFormat="1" ht="12" customHeight="1" x14ac:dyDescent="0.2">
      <c r="A932" s="232"/>
      <c r="B932" s="250"/>
      <c r="C932" s="286"/>
      <c r="D932" s="232"/>
      <c r="E932" s="232"/>
      <c r="F932" s="232"/>
      <c r="G932" s="232"/>
      <c r="H932" s="232"/>
      <c r="I932" s="232"/>
      <c r="J932" s="232"/>
      <c r="K932" s="232"/>
      <c r="L932" s="232"/>
      <c r="M932" s="232"/>
      <c r="N932" s="232"/>
      <c r="O932" s="232"/>
      <c r="P932" s="232"/>
      <c r="Q932" s="232"/>
      <c r="R932" s="232"/>
      <c r="S932" s="232"/>
      <c r="T932" s="232"/>
      <c r="U932" s="232"/>
      <c r="V932" s="15"/>
      <c r="W932" s="15"/>
      <c r="X932" s="15"/>
      <c r="Y932" s="15"/>
      <c r="Z932" s="15"/>
      <c r="AA932" s="15"/>
    </row>
    <row r="933" spans="1:27" s="25" customFormat="1" ht="12" customHeight="1" x14ac:dyDescent="0.2">
      <c r="A933" s="232"/>
      <c r="B933" s="250"/>
      <c r="C933" s="286"/>
      <c r="D933" s="232"/>
      <c r="E933" s="232"/>
      <c r="F933" s="232"/>
      <c r="G933" s="232"/>
      <c r="H933" s="232"/>
      <c r="I933" s="232"/>
      <c r="J933" s="232"/>
      <c r="K933" s="232"/>
      <c r="L933" s="232"/>
      <c r="M933" s="232"/>
      <c r="N933" s="232"/>
      <c r="O933" s="232"/>
      <c r="P933" s="232"/>
      <c r="Q933" s="232"/>
      <c r="R933" s="232"/>
      <c r="S933" s="232"/>
      <c r="T933" s="232"/>
      <c r="U933" s="232"/>
      <c r="V933" s="15"/>
      <c r="W933" s="15"/>
      <c r="X933" s="15"/>
      <c r="Y933" s="15"/>
      <c r="Z933" s="15"/>
      <c r="AA933" s="15"/>
    </row>
    <row r="934" spans="1:27" s="25" customFormat="1" ht="12" customHeight="1" x14ac:dyDescent="0.2">
      <c r="A934" s="232"/>
      <c r="B934" s="250"/>
      <c r="C934" s="286"/>
      <c r="D934" s="232"/>
      <c r="E934" s="232"/>
      <c r="F934" s="232"/>
      <c r="G934" s="232"/>
      <c r="H934" s="232"/>
      <c r="I934" s="232"/>
      <c r="J934" s="232"/>
      <c r="K934" s="232"/>
      <c r="L934" s="232"/>
      <c r="M934" s="232"/>
      <c r="N934" s="232"/>
      <c r="O934" s="232"/>
      <c r="P934" s="232"/>
      <c r="Q934" s="232"/>
      <c r="R934" s="232"/>
      <c r="S934" s="232"/>
      <c r="T934" s="232"/>
      <c r="U934" s="232"/>
      <c r="V934" s="15"/>
      <c r="W934" s="15"/>
      <c r="X934" s="15"/>
      <c r="Y934" s="15"/>
      <c r="Z934" s="15"/>
      <c r="AA934" s="15"/>
    </row>
    <row r="935" spans="1:27" s="25" customFormat="1" ht="12" customHeight="1" x14ac:dyDescent="0.2">
      <c r="A935" s="232"/>
      <c r="B935" s="250"/>
      <c r="C935" s="286"/>
      <c r="D935" s="232"/>
      <c r="E935" s="232"/>
      <c r="F935" s="232"/>
      <c r="G935" s="232"/>
      <c r="H935" s="232"/>
      <c r="I935" s="232"/>
      <c r="J935" s="232"/>
      <c r="K935" s="232"/>
      <c r="L935" s="232"/>
      <c r="M935" s="232"/>
      <c r="N935" s="232"/>
      <c r="O935" s="232"/>
      <c r="P935" s="232"/>
      <c r="Q935" s="232"/>
      <c r="R935" s="232"/>
      <c r="S935" s="232"/>
      <c r="T935" s="232"/>
      <c r="U935" s="232"/>
      <c r="V935" s="15"/>
      <c r="W935" s="15"/>
      <c r="X935" s="15"/>
      <c r="Y935" s="15"/>
      <c r="Z935" s="15"/>
      <c r="AA935" s="15"/>
    </row>
    <row r="936" spans="1:27" s="25" customFormat="1" ht="12" customHeight="1" x14ac:dyDescent="0.2">
      <c r="A936" s="232"/>
      <c r="B936" s="250"/>
      <c r="C936" s="286"/>
      <c r="D936" s="232"/>
      <c r="E936" s="232"/>
      <c r="F936" s="232"/>
      <c r="G936" s="232"/>
      <c r="H936" s="232"/>
      <c r="I936" s="232"/>
      <c r="J936" s="232"/>
      <c r="K936" s="232"/>
      <c r="L936" s="232"/>
      <c r="M936" s="232"/>
      <c r="N936" s="232"/>
      <c r="O936" s="232"/>
      <c r="P936" s="232"/>
      <c r="Q936" s="232"/>
      <c r="R936" s="232"/>
      <c r="S936" s="232"/>
      <c r="T936" s="232"/>
      <c r="U936" s="232"/>
      <c r="V936" s="15"/>
      <c r="W936" s="15"/>
      <c r="X936" s="15"/>
      <c r="Y936" s="15"/>
      <c r="Z936" s="15"/>
      <c r="AA936" s="15"/>
    </row>
    <row r="937" spans="1:27" s="25" customFormat="1" ht="12" customHeight="1" x14ac:dyDescent="0.2">
      <c r="A937" s="232"/>
      <c r="B937" s="250"/>
      <c r="C937" s="286"/>
      <c r="D937" s="232"/>
      <c r="E937" s="232"/>
      <c r="F937" s="232"/>
      <c r="G937" s="232"/>
      <c r="H937" s="232"/>
      <c r="I937" s="232"/>
      <c r="J937" s="232"/>
      <c r="K937" s="232"/>
      <c r="L937" s="232"/>
      <c r="M937" s="232"/>
      <c r="N937" s="232"/>
      <c r="O937" s="232"/>
      <c r="P937" s="232"/>
      <c r="Q937" s="232"/>
      <c r="R937" s="232"/>
      <c r="S937" s="232"/>
      <c r="T937" s="232"/>
      <c r="U937" s="232"/>
      <c r="V937" s="15"/>
      <c r="W937" s="15"/>
      <c r="X937" s="15"/>
      <c r="Y937" s="15"/>
      <c r="Z937" s="15"/>
      <c r="AA937" s="15"/>
    </row>
    <row r="938" spans="1:27" s="25" customFormat="1" ht="12" customHeight="1" x14ac:dyDescent="0.2">
      <c r="A938" s="232"/>
      <c r="B938" s="250"/>
      <c r="C938" s="286"/>
      <c r="D938" s="232"/>
      <c r="E938" s="232"/>
      <c r="F938" s="232"/>
      <c r="G938" s="232"/>
      <c r="H938" s="232"/>
      <c r="I938" s="232"/>
      <c r="J938" s="232"/>
      <c r="K938" s="232"/>
      <c r="L938" s="232"/>
      <c r="M938" s="232"/>
      <c r="N938" s="232"/>
      <c r="O938" s="232"/>
      <c r="P938" s="232"/>
      <c r="Q938" s="232"/>
      <c r="R938" s="232"/>
      <c r="S938" s="232"/>
      <c r="T938" s="232"/>
      <c r="U938" s="232"/>
      <c r="V938" s="15"/>
      <c r="W938" s="15"/>
      <c r="X938" s="15"/>
      <c r="Y938" s="15"/>
      <c r="Z938" s="15"/>
      <c r="AA938" s="15"/>
    </row>
    <row r="939" spans="1:27" s="25" customFormat="1" ht="12" customHeight="1" x14ac:dyDescent="0.2">
      <c r="A939" s="232"/>
      <c r="B939" s="250"/>
      <c r="C939" s="286"/>
      <c r="D939" s="232"/>
      <c r="E939" s="232"/>
      <c r="F939" s="232"/>
      <c r="G939" s="232"/>
      <c r="H939" s="232"/>
      <c r="I939" s="232"/>
      <c r="J939" s="232"/>
      <c r="K939" s="232"/>
      <c r="L939" s="232"/>
      <c r="M939" s="232"/>
      <c r="N939" s="232"/>
      <c r="O939" s="232"/>
      <c r="P939" s="232"/>
      <c r="Q939" s="232"/>
      <c r="R939" s="232"/>
      <c r="S939" s="232"/>
      <c r="T939" s="232"/>
      <c r="U939" s="232"/>
      <c r="V939" s="15"/>
      <c r="W939" s="15"/>
      <c r="X939" s="15"/>
      <c r="Y939" s="15"/>
      <c r="Z939" s="15"/>
      <c r="AA939" s="15"/>
    </row>
    <row r="940" spans="1:27" s="25" customFormat="1" ht="12" customHeight="1" x14ac:dyDescent="0.2">
      <c r="A940" s="232"/>
      <c r="B940" s="250"/>
      <c r="C940" s="286"/>
      <c r="D940" s="232"/>
      <c r="E940" s="232"/>
      <c r="F940" s="232"/>
      <c r="G940" s="232"/>
      <c r="H940" s="232"/>
      <c r="I940" s="232"/>
      <c r="J940" s="232"/>
      <c r="K940" s="232"/>
      <c r="L940" s="232"/>
      <c r="M940" s="232"/>
      <c r="N940" s="232"/>
      <c r="O940" s="232"/>
      <c r="P940" s="232"/>
      <c r="Q940" s="232"/>
      <c r="R940" s="232"/>
      <c r="S940" s="232"/>
      <c r="T940" s="232"/>
      <c r="U940" s="232"/>
      <c r="V940" s="15"/>
      <c r="W940" s="15"/>
      <c r="X940" s="15"/>
      <c r="Y940" s="15"/>
      <c r="Z940" s="15"/>
      <c r="AA940" s="15"/>
    </row>
    <row r="941" spans="1:27" s="25" customFormat="1" ht="12" customHeight="1" x14ac:dyDescent="0.2">
      <c r="A941" s="232"/>
      <c r="B941" s="250"/>
      <c r="C941" s="286"/>
      <c r="D941" s="232"/>
      <c r="E941" s="232"/>
      <c r="F941" s="232"/>
      <c r="G941" s="232"/>
      <c r="H941" s="232"/>
      <c r="I941" s="232"/>
      <c r="J941" s="232"/>
      <c r="K941" s="232"/>
      <c r="L941" s="232"/>
      <c r="M941" s="232"/>
      <c r="N941" s="232"/>
      <c r="O941" s="232"/>
      <c r="P941" s="232"/>
      <c r="Q941" s="232"/>
      <c r="R941" s="232"/>
      <c r="S941" s="232"/>
      <c r="T941" s="232"/>
      <c r="U941" s="232"/>
      <c r="V941" s="15"/>
      <c r="W941" s="15"/>
      <c r="X941" s="15"/>
      <c r="Y941" s="15"/>
      <c r="Z941" s="15"/>
      <c r="AA941" s="15"/>
    </row>
    <row r="942" spans="1:27" s="25" customFormat="1" ht="12" customHeight="1" x14ac:dyDescent="0.2">
      <c r="A942" s="232"/>
      <c r="B942" s="250"/>
      <c r="C942" s="286"/>
      <c r="D942" s="232"/>
      <c r="E942" s="232"/>
      <c r="F942" s="232"/>
      <c r="G942" s="232"/>
      <c r="H942" s="232"/>
      <c r="I942" s="232"/>
      <c r="J942" s="232"/>
      <c r="K942" s="232"/>
      <c r="L942" s="232"/>
      <c r="M942" s="232"/>
      <c r="N942" s="232"/>
      <c r="O942" s="232"/>
      <c r="P942" s="232"/>
      <c r="Q942" s="232"/>
      <c r="R942" s="232"/>
      <c r="S942" s="232"/>
      <c r="T942" s="232"/>
      <c r="U942" s="232"/>
      <c r="V942" s="15"/>
      <c r="W942" s="15"/>
      <c r="X942" s="15"/>
      <c r="Y942" s="15"/>
      <c r="Z942" s="15"/>
      <c r="AA942" s="15"/>
    </row>
    <row r="943" spans="1:27" s="25" customFormat="1" ht="12" customHeight="1" x14ac:dyDescent="0.2">
      <c r="A943" s="232"/>
      <c r="B943" s="250"/>
      <c r="C943" s="286"/>
      <c r="D943" s="232"/>
      <c r="E943" s="232"/>
      <c r="F943" s="232"/>
      <c r="G943" s="232"/>
      <c r="H943" s="232"/>
      <c r="I943" s="232"/>
      <c r="J943" s="232"/>
      <c r="K943" s="232"/>
      <c r="L943" s="232"/>
      <c r="M943" s="232"/>
      <c r="N943" s="232"/>
      <c r="O943" s="232"/>
      <c r="P943" s="232"/>
      <c r="Q943" s="232"/>
      <c r="R943" s="232"/>
      <c r="S943" s="232"/>
      <c r="T943" s="232"/>
      <c r="U943" s="232"/>
      <c r="V943" s="15"/>
      <c r="W943" s="15"/>
      <c r="X943" s="15"/>
      <c r="Y943" s="15"/>
      <c r="Z943" s="15"/>
      <c r="AA943" s="15"/>
    </row>
    <row r="944" spans="1:27" s="25" customFormat="1" ht="12" customHeight="1" x14ac:dyDescent="0.2">
      <c r="A944" s="232"/>
      <c r="B944" s="250"/>
      <c r="C944" s="286"/>
      <c r="D944" s="232"/>
      <c r="E944" s="232"/>
      <c r="F944" s="232"/>
      <c r="G944" s="232"/>
      <c r="H944" s="232"/>
      <c r="I944" s="232"/>
      <c r="J944" s="232"/>
      <c r="K944" s="232"/>
      <c r="L944" s="232"/>
      <c r="M944" s="232"/>
      <c r="N944" s="232"/>
      <c r="O944" s="232"/>
      <c r="P944" s="232"/>
      <c r="Q944" s="232"/>
      <c r="R944" s="232"/>
      <c r="S944" s="232"/>
      <c r="T944" s="232"/>
      <c r="U944" s="232"/>
      <c r="V944" s="15"/>
      <c r="W944" s="15"/>
      <c r="X944" s="15"/>
      <c r="Y944" s="15"/>
      <c r="Z944" s="15"/>
      <c r="AA944" s="15"/>
    </row>
    <row r="945" spans="1:27" s="25" customFormat="1" ht="12" customHeight="1" x14ac:dyDescent="0.2">
      <c r="A945" s="232"/>
      <c r="B945" s="250"/>
      <c r="C945" s="286"/>
      <c r="D945" s="232"/>
      <c r="E945" s="232"/>
      <c r="F945" s="232"/>
      <c r="G945" s="232"/>
      <c r="H945" s="232"/>
      <c r="I945" s="232"/>
      <c r="J945" s="232"/>
      <c r="K945" s="232"/>
      <c r="L945" s="232"/>
      <c r="M945" s="232"/>
      <c r="N945" s="232"/>
      <c r="O945" s="232"/>
      <c r="P945" s="232"/>
      <c r="Q945" s="232"/>
      <c r="R945" s="232"/>
      <c r="S945" s="232"/>
      <c r="T945" s="232"/>
      <c r="U945" s="232"/>
      <c r="V945" s="15"/>
      <c r="W945" s="15"/>
      <c r="X945" s="15"/>
      <c r="Y945" s="15"/>
      <c r="Z945" s="15"/>
      <c r="AA945" s="15"/>
    </row>
    <row r="946" spans="1:27" s="25" customFormat="1" ht="12" customHeight="1" x14ac:dyDescent="0.2">
      <c r="A946" s="232"/>
      <c r="B946" s="250"/>
      <c r="C946" s="286"/>
      <c r="D946" s="232"/>
      <c r="E946" s="232"/>
      <c r="F946" s="232"/>
      <c r="G946" s="232"/>
      <c r="H946" s="232"/>
      <c r="I946" s="232"/>
      <c r="J946" s="232"/>
      <c r="K946" s="232"/>
      <c r="L946" s="232"/>
      <c r="M946" s="232"/>
      <c r="N946" s="232"/>
      <c r="O946" s="232"/>
      <c r="P946" s="232"/>
      <c r="Q946" s="232"/>
      <c r="R946" s="232"/>
      <c r="S946" s="232"/>
      <c r="T946" s="232"/>
      <c r="U946" s="232"/>
      <c r="V946" s="15"/>
      <c r="W946" s="15"/>
      <c r="X946" s="15"/>
      <c r="Y946" s="15"/>
      <c r="Z946" s="15"/>
      <c r="AA946" s="15"/>
    </row>
    <row r="947" spans="1:27" s="25" customFormat="1" ht="12" customHeight="1" x14ac:dyDescent="0.2">
      <c r="A947" s="232"/>
      <c r="B947" s="250"/>
      <c r="C947" s="286"/>
      <c r="D947" s="232"/>
      <c r="E947" s="232"/>
      <c r="F947" s="232"/>
      <c r="G947" s="232"/>
      <c r="H947" s="232"/>
      <c r="I947" s="232"/>
      <c r="J947" s="232"/>
      <c r="K947" s="232"/>
      <c r="L947" s="232"/>
      <c r="M947" s="232"/>
      <c r="N947" s="232"/>
      <c r="O947" s="232"/>
      <c r="P947" s="232"/>
      <c r="Q947" s="232"/>
      <c r="R947" s="232"/>
      <c r="S947" s="232"/>
      <c r="T947" s="232"/>
      <c r="U947" s="232"/>
      <c r="V947" s="15"/>
      <c r="W947" s="15"/>
      <c r="X947" s="15"/>
      <c r="Y947" s="15"/>
      <c r="Z947" s="15"/>
      <c r="AA947" s="15"/>
    </row>
    <row r="948" spans="1:27" s="25" customFormat="1" ht="12" customHeight="1" x14ac:dyDescent="0.2">
      <c r="A948" s="232"/>
      <c r="B948" s="250"/>
      <c r="C948" s="286"/>
      <c r="D948" s="232"/>
      <c r="E948" s="232"/>
      <c r="F948" s="232"/>
      <c r="G948" s="232"/>
      <c r="H948" s="232"/>
      <c r="I948" s="232"/>
      <c r="J948" s="232"/>
      <c r="K948" s="232"/>
      <c r="L948" s="232"/>
      <c r="M948" s="232"/>
      <c r="N948" s="232"/>
      <c r="O948" s="232"/>
      <c r="P948" s="232"/>
      <c r="Q948" s="232"/>
      <c r="R948" s="232"/>
      <c r="S948" s="232"/>
      <c r="T948" s="232"/>
      <c r="U948" s="232"/>
      <c r="V948" s="15"/>
      <c r="W948" s="15"/>
      <c r="X948" s="15"/>
      <c r="Y948" s="15"/>
      <c r="Z948" s="15"/>
      <c r="AA948" s="15"/>
    </row>
    <row r="949" spans="1:27" s="25" customFormat="1" ht="12" customHeight="1" x14ac:dyDescent="0.2">
      <c r="A949" s="232"/>
      <c r="B949" s="250"/>
      <c r="C949" s="286"/>
      <c r="D949" s="232"/>
      <c r="E949" s="232"/>
      <c r="F949" s="232"/>
      <c r="G949" s="232"/>
      <c r="H949" s="232"/>
      <c r="I949" s="232"/>
      <c r="J949" s="232"/>
      <c r="K949" s="232"/>
      <c r="L949" s="232"/>
      <c r="M949" s="232"/>
      <c r="N949" s="232"/>
      <c r="O949" s="232"/>
      <c r="P949" s="232"/>
      <c r="Q949" s="232"/>
      <c r="R949" s="232"/>
      <c r="S949" s="232"/>
      <c r="T949" s="232"/>
      <c r="U949" s="232"/>
      <c r="V949" s="15"/>
      <c r="W949" s="15"/>
      <c r="X949" s="15"/>
      <c r="Y949" s="15"/>
      <c r="Z949" s="15"/>
      <c r="AA949" s="15"/>
    </row>
    <row r="950" spans="1:27" s="25" customFormat="1" ht="12" customHeight="1" x14ac:dyDescent="0.2">
      <c r="A950" s="232"/>
      <c r="B950" s="250"/>
      <c r="C950" s="286"/>
      <c r="D950" s="232"/>
      <c r="E950" s="232"/>
      <c r="F950" s="232"/>
      <c r="G950" s="232"/>
      <c r="H950" s="232"/>
      <c r="I950" s="232"/>
      <c r="J950" s="232"/>
      <c r="K950" s="232"/>
      <c r="L950" s="232"/>
      <c r="M950" s="232"/>
      <c r="N950" s="232"/>
      <c r="O950" s="232"/>
      <c r="P950" s="232"/>
      <c r="Q950" s="232"/>
      <c r="R950" s="232"/>
      <c r="S950" s="232"/>
      <c r="T950" s="232"/>
      <c r="U950" s="232"/>
      <c r="V950" s="15"/>
      <c r="W950" s="15"/>
      <c r="X950" s="15"/>
      <c r="Y950" s="15"/>
      <c r="Z950" s="15"/>
      <c r="AA950" s="15"/>
    </row>
    <row r="951" spans="1:27" s="25" customFormat="1" ht="12" customHeight="1" x14ac:dyDescent="0.2">
      <c r="A951" s="232"/>
      <c r="B951" s="250"/>
      <c r="C951" s="286"/>
      <c r="D951" s="232"/>
      <c r="E951" s="232"/>
      <c r="F951" s="232"/>
      <c r="G951" s="232"/>
      <c r="H951" s="232"/>
      <c r="I951" s="232"/>
      <c r="J951" s="232"/>
      <c r="K951" s="232"/>
      <c r="L951" s="232"/>
      <c r="M951" s="232"/>
      <c r="N951" s="232"/>
      <c r="O951" s="232"/>
      <c r="P951" s="232"/>
      <c r="Q951" s="232"/>
      <c r="R951" s="232"/>
      <c r="S951" s="232"/>
      <c r="T951" s="232"/>
      <c r="U951" s="232"/>
      <c r="V951" s="15"/>
      <c r="W951" s="15"/>
      <c r="X951" s="15"/>
      <c r="Y951" s="15"/>
      <c r="Z951" s="15"/>
      <c r="AA951" s="15"/>
    </row>
    <row r="952" spans="1:27" s="25" customFormat="1" ht="12" customHeight="1" x14ac:dyDescent="0.2">
      <c r="A952" s="232"/>
      <c r="B952" s="250"/>
      <c r="C952" s="286"/>
      <c r="D952" s="232"/>
      <c r="E952" s="232"/>
      <c r="F952" s="232"/>
      <c r="G952" s="232"/>
      <c r="H952" s="232"/>
      <c r="I952" s="232"/>
      <c r="J952" s="232"/>
      <c r="K952" s="232"/>
      <c r="L952" s="232"/>
      <c r="M952" s="232"/>
      <c r="N952" s="232"/>
      <c r="O952" s="232"/>
      <c r="P952" s="232"/>
      <c r="Q952" s="232"/>
      <c r="R952" s="232"/>
      <c r="S952" s="232"/>
      <c r="T952" s="232"/>
      <c r="U952" s="232"/>
      <c r="V952" s="15"/>
      <c r="W952" s="15"/>
      <c r="X952" s="15"/>
      <c r="Y952" s="15"/>
      <c r="Z952" s="15"/>
      <c r="AA952" s="15"/>
    </row>
    <row r="953" spans="1:27" s="25" customFormat="1" ht="12" customHeight="1" x14ac:dyDescent="0.2">
      <c r="A953" s="232"/>
      <c r="B953" s="250"/>
      <c r="C953" s="286"/>
      <c r="D953" s="232"/>
      <c r="E953" s="232"/>
      <c r="F953" s="232"/>
      <c r="G953" s="232"/>
      <c r="H953" s="232"/>
      <c r="I953" s="232"/>
      <c r="J953" s="232"/>
      <c r="K953" s="232"/>
      <c r="L953" s="232"/>
      <c r="M953" s="232"/>
      <c r="N953" s="232"/>
      <c r="O953" s="232"/>
      <c r="P953" s="232"/>
      <c r="Q953" s="232"/>
      <c r="R953" s="232"/>
      <c r="S953" s="232"/>
      <c r="T953" s="232"/>
      <c r="U953" s="232"/>
      <c r="V953" s="15"/>
      <c r="W953" s="15"/>
      <c r="X953" s="15"/>
      <c r="Y953" s="15"/>
      <c r="Z953" s="15"/>
      <c r="AA953" s="15"/>
    </row>
    <row r="954" spans="1:27" s="25" customFormat="1" ht="12" customHeight="1" x14ac:dyDescent="0.2">
      <c r="A954" s="232"/>
      <c r="B954" s="250"/>
      <c r="C954" s="286"/>
      <c r="D954" s="232"/>
      <c r="E954" s="232"/>
      <c r="F954" s="232"/>
      <c r="G954" s="232"/>
      <c r="H954" s="232"/>
      <c r="I954" s="232"/>
      <c r="J954" s="232"/>
      <c r="K954" s="232"/>
      <c r="L954" s="232"/>
      <c r="M954" s="232"/>
      <c r="N954" s="232"/>
      <c r="O954" s="232"/>
      <c r="P954" s="232"/>
      <c r="Q954" s="232"/>
      <c r="R954" s="232"/>
      <c r="S954" s="232"/>
      <c r="T954" s="232"/>
      <c r="U954" s="232"/>
      <c r="V954" s="15"/>
      <c r="W954" s="15"/>
      <c r="X954" s="15"/>
      <c r="Y954" s="15"/>
      <c r="Z954" s="15"/>
      <c r="AA954" s="15"/>
    </row>
    <row r="955" spans="1:27" s="25" customFormat="1" ht="12" customHeight="1" x14ac:dyDescent="0.2">
      <c r="A955" s="232"/>
      <c r="B955" s="250"/>
      <c r="C955" s="286"/>
      <c r="D955" s="232"/>
      <c r="E955" s="232"/>
      <c r="F955" s="232"/>
      <c r="G955" s="232"/>
      <c r="H955" s="232"/>
      <c r="I955" s="232"/>
      <c r="J955" s="232"/>
      <c r="K955" s="232"/>
      <c r="L955" s="232"/>
      <c r="M955" s="232"/>
      <c r="N955" s="232"/>
      <c r="O955" s="232"/>
      <c r="P955" s="232"/>
      <c r="Q955" s="232"/>
      <c r="R955" s="232"/>
      <c r="S955" s="232"/>
      <c r="T955" s="232"/>
      <c r="U955" s="232"/>
      <c r="V955" s="15"/>
      <c r="W955" s="15"/>
      <c r="X955" s="15"/>
      <c r="Y955" s="15"/>
      <c r="Z955" s="15"/>
      <c r="AA955" s="15"/>
    </row>
    <row r="956" spans="1:27" s="25" customFormat="1" ht="12" customHeight="1" x14ac:dyDescent="0.2">
      <c r="A956" s="232"/>
      <c r="B956" s="250"/>
      <c r="C956" s="286"/>
      <c r="D956" s="232"/>
      <c r="E956" s="232"/>
      <c r="F956" s="232"/>
      <c r="G956" s="232"/>
      <c r="H956" s="232"/>
      <c r="I956" s="232"/>
      <c r="J956" s="232"/>
      <c r="K956" s="232"/>
      <c r="L956" s="232"/>
      <c r="M956" s="232"/>
      <c r="N956" s="232"/>
      <c r="O956" s="232"/>
      <c r="P956" s="232"/>
      <c r="Q956" s="232"/>
      <c r="R956" s="232"/>
      <c r="S956" s="232"/>
      <c r="T956" s="232"/>
      <c r="U956" s="232"/>
      <c r="V956" s="15"/>
      <c r="W956" s="15"/>
      <c r="X956" s="15"/>
      <c r="Y956" s="15"/>
      <c r="Z956" s="15"/>
      <c r="AA956" s="15"/>
    </row>
    <row r="957" spans="1:27" s="25" customFormat="1" ht="12" customHeight="1" x14ac:dyDescent="0.2">
      <c r="A957" s="232"/>
      <c r="B957" s="250"/>
      <c r="C957" s="286"/>
      <c r="D957" s="232"/>
      <c r="E957" s="232"/>
      <c r="F957" s="232"/>
      <c r="G957" s="232"/>
      <c r="H957" s="232"/>
      <c r="I957" s="232"/>
      <c r="J957" s="232"/>
      <c r="K957" s="232"/>
      <c r="L957" s="232"/>
      <c r="M957" s="232"/>
      <c r="N957" s="232"/>
      <c r="O957" s="232"/>
      <c r="P957" s="232"/>
      <c r="Q957" s="232"/>
      <c r="R957" s="232"/>
      <c r="S957" s="232"/>
      <c r="T957" s="232"/>
      <c r="U957" s="232"/>
      <c r="V957" s="15"/>
      <c r="W957" s="15"/>
      <c r="X957" s="15"/>
      <c r="Y957" s="15"/>
      <c r="Z957" s="15"/>
      <c r="AA957" s="15"/>
    </row>
    <row r="958" spans="1:27" s="25" customFormat="1" ht="12" customHeight="1" x14ac:dyDescent="0.2">
      <c r="A958" s="232"/>
      <c r="B958" s="250"/>
      <c r="C958" s="286"/>
      <c r="D958" s="232"/>
      <c r="E958" s="232"/>
      <c r="F958" s="232"/>
      <c r="G958" s="232"/>
      <c r="H958" s="232"/>
      <c r="I958" s="232"/>
      <c r="J958" s="232"/>
      <c r="K958" s="232"/>
      <c r="L958" s="232"/>
      <c r="M958" s="232"/>
      <c r="N958" s="232"/>
      <c r="O958" s="232"/>
      <c r="P958" s="232"/>
      <c r="Q958" s="232"/>
      <c r="R958" s="232"/>
      <c r="S958" s="232"/>
      <c r="T958" s="232"/>
      <c r="U958" s="232"/>
      <c r="V958" s="15"/>
      <c r="W958" s="15"/>
      <c r="X958" s="15"/>
      <c r="Y958" s="15"/>
      <c r="Z958" s="15"/>
      <c r="AA958" s="15"/>
    </row>
    <row r="959" spans="1:27" s="25" customFormat="1" ht="12" customHeight="1" x14ac:dyDescent="0.2">
      <c r="A959" s="232"/>
      <c r="B959" s="250"/>
      <c r="C959" s="286"/>
      <c r="D959" s="232"/>
      <c r="E959" s="232"/>
      <c r="F959" s="232"/>
      <c r="G959" s="232"/>
      <c r="H959" s="232"/>
      <c r="I959" s="232"/>
      <c r="J959" s="232"/>
      <c r="K959" s="232"/>
      <c r="L959" s="232"/>
      <c r="M959" s="232"/>
      <c r="N959" s="232"/>
      <c r="O959" s="232"/>
      <c r="P959" s="232"/>
      <c r="Q959" s="232"/>
      <c r="R959" s="232"/>
      <c r="S959" s="232"/>
      <c r="T959" s="232"/>
      <c r="U959" s="232"/>
      <c r="V959" s="15"/>
      <c r="W959" s="15"/>
      <c r="X959" s="15"/>
      <c r="Y959" s="15"/>
      <c r="Z959" s="15"/>
      <c r="AA959" s="15"/>
    </row>
    <row r="960" spans="1:27" s="25" customFormat="1" ht="12" customHeight="1" x14ac:dyDescent="0.2">
      <c r="A960" s="232"/>
      <c r="B960" s="250"/>
      <c r="C960" s="286"/>
      <c r="D960" s="232"/>
      <c r="E960" s="232"/>
      <c r="F960" s="232"/>
      <c r="G960" s="232"/>
      <c r="H960" s="232"/>
      <c r="I960" s="232"/>
      <c r="J960" s="232"/>
      <c r="K960" s="232"/>
      <c r="L960" s="232"/>
      <c r="M960" s="232"/>
      <c r="N960" s="232"/>
      <c r="O960" s="232"/>
      <c r="P960" s="232"/>
      <c r="Q960" s="232"/>
      <c r="R960" s="232"/>
      <c r="S960" s="232"/>
      <c r="T960" s="232"/>
      <c r="U960" s="232"/>
      <c r="V960" s="15"/>
      <c r="W960" s="15"/>
      <c r="X960" s="15"/>
      <c r="Y960" s="15"/>
      <c r="Z960" s="15"/>
      <c r="AA960" s="15"/>
    </row>
    <row r="961" spans="1:27" s="25" customFormat="1" ht="12" customHeight="1" x14ac:dyDescent="0.2">
      <c r="A961" s="232"/>
      <c r="B961" s="250"/>
      <c r="C961" s="286"/>
      <c r="D961" s="232"/>
      <c r="E961" s="232"/>
      <c r="F961" s="232"/>
      <c r="G961" s="232"/>
      <c r="H961" s="232"/>
      <c r="I961" s="232"/>
      <c r="J961" s="232"/>
      <c r="K961" s="232"/>
      <c r="L961" s="232"/>
      <c r="M961" s="232"/>
      <c r="N961" s="232"/>
      <c r="O961" s="232"/>
      <c r="P961" s="232"/>
      <c r="Q961" s="232"/>
      <c r="R961" s="232"/>
      <c r="S961" s="232"/>
      <c r="T961" s="232"/>
      <c r="U961" s="232"/>
      <c r="V961" s="15"/>
      <c r="W961" s="15"/>
      <c r="X961" s="15"/>
      <c r="Y961" s="15"/>
      <c r="Z961" s="15"/>
      <c r="AA961" s="15"/>
    </row>
    <row r="962" spans="1:27" s="25" customFormat="1" ht="12" customHeight="1" x14ac:dyDescent="0.2">
      <c r="A962" s="232"/>
      <c r="B962" s="250"/>
      <c r="C962" s="286"/>
      <c r="D962" s="232"/>
      <c r="E962" s="232"/>
      <c r="F962" s="232"/>
      <c r="G962" s="232"/>
      <c r="H962" s="232"/>
      <c r="I962" s="232"/>
      <c r="J962" s="232"/>
      <c r="K962" s="232"/>
      <c r="L962" s="232"/>
      <c r="M962" s="232"/>
      <c r="N962" s="232"/>
      <c r="O962" s="232"/>
      <c r="P962" s="232"/>
      <c r="Q962" s="232"/>
      <c r="R962" s="232"/>
      <c r="S962" s="232"/>
      <c r="T962" s="232"/>
      <c r="U962" s="232"/>
      <c r="V962" s="15"/>
      <c r="W962" s="15"/>
      <c r="X962" s="15"/>
      <c r="Y962" s="15"/>
      <c r="Z962" s="15"/>
      <c r="AA962" s="15"/>
    </row>
    <row r="963" spans="1:27" s="25" customFormat="1" ht="12" customHeight="1" x14ac:dyDescent="0.2">
      <c r="A963" s="232"/>
      <c r="B963" s="250"/>
      <c r="C963" s="286"/>
      <c r="D963" s="232"/>
      <c r="E963" s="232"/>
      <c r="F963" s="232"/>
      <c r="G963" s="232"/>
      <c r="H963" s="232"/>
      <c r="I963" s="232"/>
      <c r="J963" s="232"/>
      <c r="K963" s="232"/>
      <c r="L963" s="232"/>
      <c r="M963" s="232"/>
      <c r="N963" s="232"/>
      <c r="O963" s="232"/>
      <c r="P963" s="232"/>
      <c r="Q963" s="232"/>
      <c r="R963" s="232"/>
      <c r="S963" s="232"/>
      <c r="T963" s="232"/>
      <c r="U963" s="232"/>
      <c r="V963" s="15"/>
      <c r="W963" s="15"/>
      <c r="X963" s="15"/>
      <c r="Y963" s="15"/>
      <c r="Z963" s="15"/>
      <c r="AA963" s="15"/>
    </row>
    <row r="964" spans="1:27" s="25" customFormat="1" ht="12" customHeight="1" x14ac:dyDescent="0.2">
      <c r="A964" s="232"/>
      <c r="B964" s="250"/>
      <c r="C964" s="286"/>
      <c r="D964" s="232"/>
      <c r="E964" s="232"/>
      <c r="F964" s="232"/>
      <c r="G964" s="232"/>
      <c r="H964" s="232"/>
      <c r="I964" s="232"/>
      <c r="J964" s="232"/>
      <c r="K964" s="232"/>
      <c r="L964" s="232"/>
      <c r="M964" s="232"/>
      <c r="N964" s="232"/>
      <c r="O964" s="232"/>
      <c r="P964" s="232"/>
      <c r="Q964" s="232"/>
      <c r="R964" s="232"/>
      <c r="S964" s="232"/>
      <c r="T964" s="232"/>
      <c r="U964" s="232"/>
      <c r="V964" s="15"/>
      <c r="W964" s="15"/>
      <c r="X964" s="15"/>
      <c r="Y964" s="15"/>
      <c r="Z964" s="15"/>
      <c r="AA964" s="15"/>
    </row>
    <row r="965" spans="1:27" s="25" customFormat="1" ht="12" customHeight="1" x14ac:dyDescent="0.2">
      <c r="A965" s="232"/>
      <c r="B965" s="250"/>
      <c r="C965" s="286"/>
      <c r="D965" s="232"/>
      <c r="E965" s="232"/>
      <c r="F965" s="232"/>
      <c r="G965" s="232"/>
      <c r="H965" s="232"/>
      <c r="I965" s="232"/>
      <c r="J965" s="232"/>
      <c r="K965" s="232"/>
      <c r="L965" s="232"/>
      <c r="M965" s="232"/>
      <c r="N965" s="232"/>
      <c r="O965" s="232"/>
      <c r="P965" s="232"/>
      <c r="Q965" s="232"/>
      <c r="R965" s="232"/>
      <c r="S965" s="232"/>
      <c r="T965" s="232"/>
      <c r="U965" s="232"/>
      <c r="V965" s="15"/>
      <c r="W965" s="15"/>
      <c r="X965" s="15"/>
      <c r="Y965" s="15"/>
      <c r="Z965" s="15"/>
      <c r="AA965" s="15"/>
    </row>
    <row r="966" spans="1:27" s="25" customFormat="1" ht="12" customHeight="1" x14ac:dyDescent="0.2">
      <c r="A966" s="232"/>
      <c r="B966" s="250"/>
      <c r="C966" s="286"/>
      <c r="D966" s="232"/>
      <c r="E966" s="232"/>
      <c r="F966" s="232"/>
      <c r="G966" s="232"/>
      <c r="H966" s="232"/>
      <c r="I966" s="232"/>
      <c r="J966" s="232"/>
      <c r="K966" s="232"/>
      <c r="L966" s="232"/>
      <c r="M966" s="232"/>
      <c r="N966" s="232"/>
      <c r="O966" s="232"/>
      <c r="P966" s="232"/>
      <c r="Q966" s="232"/>
      <c r="R966" s="232"/>
      <c r="S966" s="232"/>
      <c r="T966" s="232"/>
      <c r="U966" s="232"/>
      <c r="V966" s="15"/>
      <c r="W966" s="15"/>
      <c r="X966" s="15"/>
      <c r="Y966" s="15"/>
      <c r="Z966" s="15"/>
      <c r="AA966" s="15"/>
    </row>
    <row r="967" spans="1:27" s="25" customFormat="1" ht="12" customHeight="1" x14ac:dyDescent="0.2">
      <c r="A967" s="232"/>
      <c r="B967" s="250"/>
      <c r="C967" s="286"/>
      <c r="D967" s="232"/>
      <c r="E967" s="232"/>
      <c r="F967" s="232"/>
      <c r="G967" s="232"/>
      <c r="H967" s="232"/>
      <c r="I967" s="232"/>
      <c r="J967" s="232"/>
      <c r="K967" s="232"/>
      <c r="L967" s="232"/>
      <c r="M967" s="232"/>
      <c r="N967" s="232"/>
      <c r="O967" s="232"/>
      <c r="P967" s="232"/>
      <c r="Q967" s="232"/>
      <c r="R967" s="232"/>
      <c r="S967" s="232"/>
      <c r="T967" s="232"/>
      <c r="U967" s="232"/>
      <c r="V967" s="15"/>
      <c r="W967" s="15"/>
      <c r="X967" s="15"/>
      <c r="Y967" s="15"/>
      <c r="Z967" s="15"/>
      <c r="AA967" s="15"/>
    </row>
    <row r="968" spans="1:27" s="25" customFormat="1" ht="12" customHeight="1" x14ac:dyDescent="0.2">
      <c r="A968" s="232"/>
      <c r="B968" s="250"/>
      <c r="C968" s="286"/>
      <c r="D968" s="232"/>
      <c r="E968" s="232"/>
      <c r="F968" s="232"/>
      <c r="G968" s="232"/>
      <c r="H968" s="232"/>
      <c r="I968" s="232"/>
      <c r="J968" s="232"/>
      <c r="K968" s="232"/>
      <c r="L968" s="232"/>
      <c r="M968" s="232"/>
      <c r="N968" s="232"/>
      <c r="O968" s="232"/>
      <c r="P968" s="232"/>
      <c r="Q968" s="232"/>
      <c r="R968" s="232"/>
      <c r="S968" s="232"/>
      <c r="T968" s="232"/>
      <c r="U968" s="232"/>
      <c r="V968" s="15"/>
      <c r="W968" s="15"/>
      <c r="X968" s="15"/>
      <c r="Y968" s="15"/>
      <c r="Z968" s="15"/>
      <c r="AA968" s="15"/>
    </row>
    <row r="969" spans="1:27" s="25" customFormat="1" ht="12" customHeight="1" x14ac:dyDescent="0.2">
      <c r="A969" s="232"/>
      <c r="B969" s="250"/>
      <c r="C969" s="286"/>
      <c r="D969" s="232"/>
      <c r="E969" s="232"/>
      <c r="F969" s="232"/>
      <c r="G969" s="232"/>
      <c r="H969" s="232"/>
      <c r="I969" s="232"/>
      <c r="J969" s="232"/>
      <c r="K969" s="232"/>
      <c r="L969" s="232"/>
      <c r="M969" s="232"/>
      <c r="N969" s="232"/>
      <c r="O969" s="232"/>
      <c r="P969" s="232"/>
      <c r="Q969" s="232"/>
      <c r="R969" s="232"/>
      <c r="S969" s="232"/>
      <c r="T969" s="232"/>
      <c r="U969" s="232"/>
      <c r="V969" s="15"/>
      <c r="W969" s="15"/>
      <c r="X969" s="15"/>
      <c r="Y969" s="15"/>
      <c r="Z969" s="15"/>
      <c r="AA969" s="15"/>
    </row>
    <row r="970" spans="1:27" s="25" customFormat="1" ht="12" customHeight="1" x14ac:dyDescent="0.2">
      <c r="A970" s="232"/>
      <c r="B970" s="250"/>
      <c r="C970" s="286"/>
      <c r="D970" s="232"/>
      <c r="E970" s="232"/>
      <c r="F970" s="232"/>
      <c r="G970" s="232"/>
      <c r="H970" s="232"/>
      <c r="I970" s="232"/>
      <c r="J970" s="232"/>
      <c r="K970" s="232"/>
      <c r="L970" s="232"/>
      <c r="M970" s="232"/>
      <c r="N970" s="232"/>
      <c r="O970" s="232"/>
      <c r="P970" s="232"/>
      <c r="Q970" s="232"/>
      <c r="R970" s="232"/>
      <c r="S970" s="232"/>
      <c r="T970" s="232"/>
      <c r="U970" s="232"/>
      <c r="V970" s="15"/>
      <c r="W970" s="15"/>
      <c r="X970" s="15"/>
      <c r="Y970" s="15"/>
      <c r="Z970" s="15"/>
      <c r="AA970" s="15"/>
    </row>
    <row r="971" spans="1:27" s="25" customFormat="1" ht="12" customHeight="1" x14ac:dyDescent="0.2">
      <c r="A971" s="232"/>
      <c r="B971" s="250"/>
      <c r="C971" s="286"/>
      <c r="D971" s="232"/>
      <c r="E971" s="232"/>
      <c r="F971" s="232"/>
      <c r="G971" s="232"/>
      <c r="H971" s="232"/>
      <c r="I971" s="232"/>
      <c r="J971" s="232"/>
      <c r="K971" s="232"/>
      <c r="L971" s="232"/>
      <c r="M971" s="232"/>
      <c r="N971" s="232"/>
      <c r="O971" s="232"/>
      <c r="P971" s="232"/>
      <c r="Q971" s="232"/>
      <c r="R971" s="232"/>
      <c r="S971" s="232"/>
      <c r="T971" s="232"/>
      <c r="U971" s="232"/>
      <c r="V971" s="15"/>
      <c r="W971" s="15"/>
      <c r="X971" s="15"/>
      <c r="Y971" s="15"/>
      <c r="Z971" s="15"/>
      <c r="AA971" s="15"/>
    </row>
    <row r="972" spans="1:27" s="25" customFormat="1" ht="12" customHeight="1" x14ac:dyDescent="0.2">
      <c r="A972" s="232"/>
      <c r="B972" s="250"/>
      <c r="C972" s="286"/>
      <c r="D972" s="232"/>
      <c r="E972" s="232"/>
      <c r="F972" s="232"/>
      <c r="G972" s="232"/>
      <c r="H972" s="232"/>
      <c r="I972" s="232"/>
      <c r="J972" s="232"/>
      <c r="K972" s="232"/>
      <c r="L972" s="232"/>
      <c r="M972" s="232"/>
      <c r="N972" s="232"/>
      <c r="O972" s="232"/>
      <c r="P972" s="232"/>
      <c r="Q972" s="232"/>
      <c r="R972" s="232"/>
      <c r="S972" s="232"/>
      <c r="T972" s="232"/>
      <c r="U972" s="232"/>
      <c r="V972" s="15"/>
      <c r="W972" s="15"/>
      <c r="X972" s="15"/>
      <c r="Y972" s="15"/>
      <c r="Z972" s="15"/>
      <c r="AA972" s="15"/>
    </row>
    <row r="973" spans="1:27" s="25" customFormat="1" ht="12" customHeight="1" x14ac:dyDescent="0.2">
      <c r="A973" s="232"/>
      <c r="B973" s="250"/>
      <c r="C973" s="286"/>
      <c r="D973" s="232"/>
      <c r="E973" s="232"/>
      <c r="F973" s="232"/>
      <c r="G973" s="232"/>
      <c r="H973" s="232"/>
      <c r="I973" s="232"/>
      <c r="J973" s="232"/>
      <c r="K973" s="232"/>
      <c r="L973" s="232"/>
      <c r="M973" s="232"/>
      <c r="N973" s="232"/>
      <c r="O973" s="232"/>
      <c r="P973" s="232"/>
      <c r="Q973" s="232"/>
      <c r="R973" s="232"/>
      <c r="S973" s="232"/>
      <c r="T973" s="232"/>
      <c r="U973" s="232"/>
      <c r="V973" s="15"/>
      <c r="W973" s="15"/>
      <c r="X973" s="15"/>
      <c r="Y973" s="15"/>
      <c r="Z973" s="15"/>
      <c r="AA973" s="15"/>
    </row>
    <row r="974" spans="1:27" s="25" customFormat="1" ht="12" customHeight="1" x14ac:dyDescent="0.2">
      <c r="A974" s="232"/>
      <c r="B974" s="250"/>
      <c r="C974" s="286"/>
      <c r="D974" s="232"/>
      <c r="E974" s="232"/>
      <c r="F974" s="232"/>
      <c r="G974" s="232"/>
      <c r="H974" s="232"/>
      <c r="I974" s="232"/>
      <c r="J974" s="232"/>
      <c r="K974" s="232"/>
      <c r="L974" s="232"/>
      <c r="M974" s="232"/>
      <c r="N974" s="232"/>
      <c r="O974" s="232"/>
      <c r="P974" s="232"/>
      <c r="Q974" s="232"/>
      <c r="R974" s="232"/>
      <c r="S974" s="232"/>
      <c r="T974" s="232"/>
      <c r="U974" s="232"/>
      <c r="V974" s="15"/>
      <c r="W974" s="15"/>
      <c r="X974" s="15"/>
      <c r="Y974" s="15"/>
      <c r="Z974" s="15"/>
      <c r="AA974" s="15"/>
    </row>
    <row r="975" spans="1:27" s="25" customFormat="1" ht="12" customHeight="1" x14ac:dyDescent="0.2">
      <c r="A975" s="232"/>
      <c r="B975" s="250"/>
      <c r="C975" s="286"/>
      <c r="D975" s="232"/>
      <c r="E975" s="232"/>
      <c r="F975" s="232"/>
      <c r="G975" s="232"/>
      <c r="H975" s="232"/>
      <c r="I975" s="232"/>
      <c r="J975" s="232"/>
      <c r="K975" s="232"/>
      <c r="L975" s="232"/>
      <c r="M975" s="232"/>
      <c r="N975" s="232"/>
      <c r="O975" s="232"/>
      <c r="P975" s="232"/>
      <c r="Q975" s="232"/>
      <c r="R975" s="232"/>
      <c r="S975" s="232"/>
      <c r="T975" s="232"/>
      <c r="U975" s="232"/>
      <c r="V975" s="15"/>
      <c r="W975" s="15"/>
      <c r="X975" s="15"/>
      <c r="Y975" s="15"/>
      <c r="Z975" s="15"/>
      <c r="AA975" s="15"/>
    </row>
    <row r="976" spans="1:27" s="25" customFormat="1" ht="12" customHeight="1" x14ac:dyDescent="0.2">
      <c r="A976" s="232"/>
      <c r="B976" s="250"/>
      <c r="C976" s="286"/>
      <c r="D976" s="232"/>
      <c r="E976" s="232"/>
      <c r="F976" s="232"/>
      <c r="G976" s="232"/>
      <c r="H976" s="232"/>
      <c r="I976" s="232"/>
      <c r="J976" s="232"/>
      <c r="K976" s="232"/>
      <c r="L976" s="232"/>
      <c r="M976" s="232"/>
      <c r="N976" s="232"/>
      <c r="O976" s="232"/>
      <c r="P976" s="232"/>
      <c r="Q976" s="232"/>
      <c r="R976" s="232"/>
      <c r="S976" s="232"/>
      <c r="T976" s="232"/>
      <c r="U976" s="232"/>
      <c r="V976" s="15"/>
      <c r="W976" s="15"/>
      <c r="X976" s="15"/>
      <c r="Y976" s="15"/>
      <c r="Z976" s="15"/>
      <c r="AA976" s="15"/>
    </row>
    <row r="977" spans="1:27" s="25" customFormat="1" ht="12" customHeight="1" x14ac:dyDescent="0.2">
      <c r="A977" s="232"/>
      <c r="B977" s="250"/>
      <c r="C977" s="286"/>
      <c r="D977" s="232"/>
      <c r="E977" s="232"/>
      <c r="F977" s="232"/>
      <c r="G977" s="232"/>
      <c r="H977" s="232"/>
      <c r="I977" s="232"/>
      <c r="J977" s="232"/>
      <c r="K977" s="232"/>
      <c r="L977" s="232"/>
      <c r="M977" s="232"/>
      <c r="N977" s="232"/>
      <c r="O977" s="232"/>
      <c r="P977" s="232"/>
      <c r="Q977" s="232"/>
      <c r="R977" s="232"/>
      <c r="S977" s="232"/>
      <c r="T977" s="232"/>
      <c r="U977" s="232"/>
      <c r="V977" s="15"/>
      <c r="W977" s="15"/>
      <c r="X977" s="15"/>
      <c r="Y977" s="15"/>
      <c r="Z977" s="15"/>
      <c r="AA977" s="15"/>
    </row>
    <row r="978" spans="1:27" s="25" customFormat="1" ht="12" customHeight="1" x14ac:dyDescent="0.2">
      <c r="A978" s="232"/>
      <c r="B978" s="250"/>
      <c r="C978" s="286"/>
      <c r="D978" s="232"/>
      <c r="E978" s="232"/>
      <c r="F978" s="232"/>
      <c r="G978" s="232"/>
      <c r="H978" s="232"/>
      <c r="I978" s="232"/>
      <c r="J978" s="232"/>
      <c r="K978" s="232"/>
      <c r="L978" s="232"/>
      <c r="M978" s="232"/>
      <c r="N978" s="232"/>
      <c r="O978" s="232"/>
      <c r="P978" s="232"/>
      <c r="Q978" s="232"/>
      <c r="R978" s="232"/>
      <c r="S978" s="232"/>
      <c r="T978" s="232"/>
      <c r="U978" s="232"/>
      <c r="V978" s="15"/>
      <c r="W978" s="15"/>
      <c r="X978" s="15"/>
      <c r="Y978" s="15"/>
      <c r="Z978" s="15"/>
      <c r="AA978" s="15"/>
    </row>
    <row r="979" spans="1:27" s="25" customFormat="1" ht="12" customHeight="1" x14ac:dyDescent="0.2">
      <c r="A979" s="232"/>
      <c r="B979" s="250"/>
      <c r="C979" s="286"/>
      <c r="D979" s="232"/>
      <c r="E979" s="232"/>
      <c r="F979" s="232"/>
      <c r="G979" s="232"/>
      <c r="H979" s="232"/>
      <c r="I979" s="232"/>
      <c r="J979" s="232"/>
      <c r="K979" s="232"/>
      <c r="L979" s="232"/>
      <c r="M979" s="232"/>
      <c r="N979" s="232"/>
      <c r="O979" s="232"/>
      <c r="P979" s="232"/>
      <c r="Q979" s="232"/>
      <c r="R979" s="232"/>
      <c r="S979" s="232"/>
      <c r="T979" s="232"/>
      <c r="U979" s="232"/>
      <c r="V979" s="15"/>
      <c r="W979" s="15"/>
      <c r="X979" s="15"/>
      <c r="Y979" s="15"/>
      <c r="Z979" s="15"/>
      <c r="AA979" s="15"/>
    </row>
    <row r="980" spans="1:27" s="25" customFormat="1" ht="12" customHeight="1" x14ac:dyDescent="0.2">
      <c r="A980" s="232"/>
      <c r="B980" s="250"/>
      <c r="C980" s="286"/>
      <c r="D980" s="232"/>
      <c r="E980" s="232"/>
      <c r="F980" s="232"/>
      <c r="G980" s="232"/>
      <c r="H980" s="232"/>
      <c r="I980" s="232"/>
      <c r="J980" s="232"/>
      <c r="K980" s="232"/>
      <c r="L980" s="232"/>
      <c r="M980" s="232"/>
      <c r="N980" s="232"/>
      <c r="O980" s="232"/>
      <c r="P980" s="232"/>
      <c r="Q980" s="232"/>
      <c r="R980" s="232"/>
      <c r="S980" s="232"/>
      <c r="T980" s="232"/>
      <c r="U980" s="232"/>
      <c r="V980" s="15"/>
      <c r="W980" s="15"/>
      <c r="X980" s="15"/>
      <c r="Y980" s="15"/>
      <c r="Z980" s="15"/>
      <c r="AA980" s="15"/>
    </row>
    <row r="981" spans="1:27" s="25" customFormat="1" ht="12" customHeight="1" x14ac:dyDescent="0.2">
      <c r="A981" s="232"/>
      <c r="B981" s="250"/>
      <c r="C981" s="286"/>
      <c r="D981" s="232"/>
      <c r="E981" s="232"/>
      <c r="F981" s="232"/>
      <c r="G981" s="232"/>
      <c r="H981" s="232"/>
      <c r="I981" s="232"/>
      <c r="J981" s="232"/>
      <c r="K981" s="232"/>
      <c r="L981" s="232"/>
      <c r="M981" s="232"/>
      <c r="N981" s="232"/>
      <c r="O981" s="232"/>
      <c r="P981" s="232"/>
      <c r="Q981" s="232"/>
      <c r="R981" s="232"/>
      <c r="S981" s="232"/>
      <c r="T981" s="232"/>
      <c r="U981" s="232"/>
      <c r="V981" s="15"/>
      <c r="W981" s="15"/>
      <c r="X981" s="15"/>
      <c r="Y981" s="15"/>
      <c r="Z981" s="15"/>
      <c r="AA981" s="15"/>
    </row>
    <row r="982" spans="1:27" s="25" customFormat="1" ht="12" customHeight="1" x14ac:dyDescent="0.2">
      <c r="A982" s="232"/>
      <c r="B982" s="250"/>
      <c r="C982" s="286"/>
      <c r="D982" s="232"/>
      <c r="E982" s="232"/>
      <c r="F982" s="232"/>
      <c r="G982" s="232"/>
      <c r="H982" s="232"/>
      <c r="I982" s="232"/>
      <c r="J982" s="232"/>
      <c r="K982" s="232"/>
      <c r="L982" s="232"/>
      <c r="M982" s="232"/>
      <c r="N982" s="232"/>
      <c r="O982" s="232"/>
      <c r="P982" s="232"/>
      <c r="Q982" s="232"/>
      <c r="R982" s="232"/>
      <c r="S982" s="232"/>
      <c r="T982" s="232"/>
      <c r="U982" s="232"/>
      <c r="V982" s="15"/>
      <c r="W982" s="15"/>
      <c r="X982" s="15"/>
      <c r="Y982" s="15"/>
      <c r="Z982" s="15"/>
      <c r="AA982" s="15"/>
    </row>
    <row r="983" spans="1:27" s="25" customFormat="1" ht="12" customHeight="1" x14ac:dyDescent="0.2">
      <c r="A983" s="232"/>
      <c r="B983" s="250"/>
      <c r="C983" s="286"/>
      <c r="D983" s="232"/>
      <c r="E983" s="232"/>
      <c r="F983" s="232"/>
      <c r="G983" s="232"/>
      <c r="H983" s="232"/>
      <c r="I983" s="232"/>
      <c r="J983" s="232"/>
      <c r="K983" s="232"/>
      <c r="L983" s="232"/>
      <c r="M983" s="232"/>
      <c r="N983" s="232"/>
      <c r="O983" s="232"/>
      <c r="P983" s="232"/>
      <c r="Q983" s="232"/>
      <c r="R983" s="232"/>
      <c r="S983" s="232"/>
      <c r="T983" s="232"/>
      <c r="U983" s="232"/>
      <c r="V983" s="15"/>
      <c r="W983" s="15"/>
      <c r="X983" s="15"/>
      <c r="Y983" s="15"/>
      <c r="Z983" s="15"/>
      <c r="AA983" s="15"/>
    </row>
    <row r="984" spans="1:27" s="25" customFormat="1" ht="12" customHeight="1" x14ac:dyDescent="0.2">
      <c r="A984" s="232"/>
      <c r="B984" s="250"/>
      <c r="C984" s="286"/>
      <c r="D984" s="232"/>
      <c r="E984" s="232"/>
      <c r="F984" s="232"/>
      <c r="G984" s="232"/>
      <c r="H984" s="232"/>
      <c r="I984" s="232"/>
      <c r="J984" s="232"/>
      <c r="K984" s="232"/>
      <c r="L984" s="232"/>
      <c r="M984" s="232"/>
      <c r="N984" s="232"/>
      <c r="O984" s="232"/>
      <c r="P984" s="232"/>
      <c r="Q984" s="232"/>
      <c r="R984" s="232"/>
      <c r="S984" s="232"/>
      <c r="T984" s="232"/>
      <c r="U984" s="232"/>
      <c r="V984" s="15"/>
      <c r="W984" s="15"/>
      <c r="X984" s="15"/>
      <c r="Y984" s="15"/>
      <c r="Z984" s="15"/>
      <c r="AA984" s="15"/>
    </row>
    <row r="985" spans="1:27" s="25" customFormat="1" ht="12" customHeight="1" x14ac:dyDescent="0.2">
      <c r="A985" s="232"/>
      <c r="B985" s="250"/>
      <c r="C985" s="286"/>
      <c r="D985" s="232"/>
      <c r="E985" s="232"/>
      <c r="F985" s="232"/>
      <c r="G985" s="232"/>
      <c r="H985" s="232"/>
      <c r="I985" s="232"/>
      <c r="J985" s="232"/>
      <c r="K985" s="232"/>
      <c r="L985" s="232"/>
      <c r="M985" s="232"/>
      <c r="N985" s="232"/>
      <c r="O985" s="232"/>
      <c r="P985" s="232"/>
      <c r="Q985" s="232"/>
      <c r="R985" s="232"/>
      <c r="S985" s="232"/>
      <c r="T985" s="232"/>
      <c r="U985" s="232"/>
      <c r="V985" s="15"/>
      <c r="W985" s="15"/>
      <c r="X985" s="15"/>
      <c r="Y985" s="15"/>
      <c r="Z985" s="15"/>
      <c r="AA985" s="15"/>
    </row>
    <row r="986" spans="1:27" s="25" customFormat="1" ht="12" customHeight="1" x14ac:dyDescent="0.2">
      <c r="A986" s="232"/>
      <c r="B986" s="250"/>
      <c r="C986" s="286"/>
      <c r="D986" s="232"/>
      <c r="E986" s="232"/>
      <c r="F986" s="232"/>
      <c r="G986" s="232"/>
      <c r="H986" s="232"/>
      <c r="I986" s="232"/>
      <c r="J986" s="232"/>
      <c r="K986" s="232"/>
      <c r="L986" s="232"/>
      <c r="M986" s="232"/>
      <c r="N986" s="232"/>
      <c r="O986" s="232"/>
      <c r="P986" s="232"/>
      <c r="Q986" s="232"/>
      <c r="R986" s="232"/>
      <c r="S986" s="232"/>
      <c r="T986" s="232"/>
      <c r="U986" s="232"/>
      <c r="V986" s="15"/>
      <c r="W986" s="15"/>
      <c r="X986" s="15"/>
      <c r="Y986" s="15"/>
      <c r="Z986" s="15"/>
      <c r="AA986" s="15"/>
    </row>
    <row r="987" spans="1:27" s="25" customFormat="1" ht="12" customHeight="1" x14ac:dyDescent="0.2">
      <c r="A987" s="232"/>
      <c r="B987" s="250"/>
      <c r="C987" s="286"/>
      <c r="D987" s="232"/>
      <c r="E987" s="232"/>
      <c r="F987" s="232"/>
      <c r="G987" s="232"/>
      <c r="H987" s="232"/>
      <c r="I987" s="232"/>
      <c r="J987" s="232"/>
      <c r="K987" s="232"/>
      <c r="L987" s="232"/>
      <c r="M987" s="232"/>
      <c r="N987" s="232"/>
      <c r="O987" s="232"/>
      <c r="P987" s="232"/>
      <c r="Q987" s="232"/>
      <c r="R987" s="232"/>
      <c r="S987" s="232"/>
      <c r="T987" s="232"/>
      <c r="U987" s="232"/>
      <c r="V987" s="15"/>
      <c r="W987" s="15"/>
      <c r="X987" s="15"/>
      <c r="Y987" s="15"/>
      <c r="Z987" s="15"/>
      <c r="AA987" s="15"/>
    </row>
    <row r="988" spans="1:27" s="25" customFormat="1" ht="12" customHeight="1" x14ac:dyDescent="0.2">
      <c r="A988" s="232"/>
      <c r="B988" s="250"/>
      <c r="C988" s="286"/>
      <c r="D988" s="232"/>
      <c r="E988" s="232"/>
      <c r="F988" s="232"/>
      <c r="G988" s="232"/>
      <c r="H988" s="232"/>
      <c r="I988" s="232"/>
      <c r="J988" s="232"/>
      <c r="K988" s="232"/>
      <c r="L988" s="232"/>
      <c r="M988" s="232"/>
      <c r="N988" s="232"/>
      <c r="O988" s="232"/>
      <c r="P988" s="232"/>
      <c r="Q988" s="232"/>
      <c r="R988" s="232"/>
      <c r="S988" s="232"/>
      <c r="T988" s="232"/>
      <c r="U988" s="232"/>
      <c r="V988" s="15"/>
      <c r="W988" s="15"/>
      <c r="X988" s="15"/>
      <c r="Y988" s="15"/>
      <c r="Z988" s="15"/>
      <c r="AA988" s="15"/>
    </row>
    <row r="989" spans="1:27" s="25" customFormat="1" ht="12" customHeight="1" x14ac:dyDescent="0.2">
      <c r="A989" s="232"/>
      <c r="B989" s="250"/>
      <c r="C989" s="286"/>
      <c r="D989" s="232"/>
      <c r="E989" s="232"/>
      <c r="F989" s="232"/>
      <c r="G989" s="232"/>
      <c r="H989" s="232"/>
      <c r="I989" s="232"/>
      <c r="J989" s="232"/>
      <c r="K989" s="232"/>
      <c r="L989" s="232"/>
      <c r="M989" s="232"/>
      <c r="N989" s="232"/>
      <c r="O989" s="232"/>
      <c r="P989" s="232"/>
      <c r="Q989" s="232"/>
      <c r="R989" s="232"/>
      <c r="S989" s="232"/>
      <c r="T989" s="232"/>
      <c r="U989" s="232"/>
      <c r="V989" s="15"/>
      <c r="W989" s="15"/>
      <c r="X989" s="15"/>
      <c r="Y989" s="15"/>
      <c r="Z989" s="15"/>
      <c r="AA989" s="15"/>
    </row>
    <row r="990" spans="1:27" s="25" customFormat="1" ht="12" customHeight="1" x14ac:dyDescent="0.2">
      <c r="A990" s="232"/>
      <c r="B990" s="250"/>
      <c r="C990" s="286"/>
      <c r="D990" s="232"/>
      <c r="E990" s="232"/>
      <c r="F990" s="232"/>
      <c r="G990" s="232"/>
      <c r="H990" s="232"/>
      <c r="I990" s="232"/>
      <c r="J990" s="232"/>
      <c r="K990" s="232"/>
      <c r="L990" s="232"/>
      <c r="M990" s="232"/>
      <c r="N990" s="232"/>
      <c r="O990" s="232"/>
      <c r="P990" s="232"/>
      <c r="Q990" s="232"/>
      <c r="R990" s="232"/>
      <c r="S990" s="232"/>
      <c r="T990" s="232"/>
      <c r="U990" s="232"/>
      <c r="V990" s="15"/>
      <c r="W990" s="15"/>
      <c r="X990" s="15"/>
      <c r="Y990" s="15"/>
      <c r="Z990" s="15"/>
      <c r="AA990" s="15"/>
    </row>
    <row r="991" spans="1:27" s="25" customFormat="1" ht="12" customHeight="1" x14ac:dyDescent="0.2">
      <c r="A991" s="232"/>
      <c r="B991" s="250"/>
      <c r="C991" s="286"/>
      <c r="D991" s="232"/>
      <c r="E991" s="232"/>
      <c r="F991" s="232"/>
      <c r="G991" s="232"/>
      <c r="H991" s="232"/>
      <c r="I991" s="232"/>
      <c r="J991" s="232"/>
      <c r="K991" s="232"/>
      <c r="L991" s="232"/>
      <c r="M991" s="232"/>
      <c r="N991" s="232"/>
      <c r="O991" s="232"/>
      <c r="P991" s="232"/>
      <c r="Q991" s="232"/>
      <c r="R991" s="232"/>
      <c r="S991" s="232"/>
      <c r="T991" s="232"/>
      <c r="U991" s="232"/>
      <c r="V991" s="15"/>
      <c r="W991" s="15"/>
      <c r="X991" s="15"/>
      <c r="Y991" s="15"/>
      <c r="Z991" s="15"/>
      <c r="AA991" s="15"/>
    </row>
    <row r="992" spans="1:27" s="25" customFormat="1" ht="12" customHeight="1" x14ac:dyDescent="0.2">
      <c r="A992" s="232"/>
      <c r="B992" s="250"/>
      <c r="C992" s="286"/>
      <c r="D992" s="232"/>
      <c r="E992" s="232"/>
      <c r="F992" s="232"/>
      <c r="G992" s="232"/>
      <c r="H992" s="232"/>
      <c r="I992" s="232"/>
      <c r="J992" s="232"/>
      <c r="K992" s="232"/>
      <c r="L992" s="232"/>
      <c r="M992" s="232"/>
      <c r="N992" s="232"/>
      <c r="O992" s="232"/>
      <c r="P992" s="232"/>
      <c r="Q992" s="232"/>
      <c r="R992" s="232"/>
      <c r="S992" s="232"/>
      <c r="T992" s="232"/>
      <c r="U992" s="232"/>
      <c r="V992" s="15"/>
      <c r="W992" s="15"/>
      <c r="X992" s="15"/>
      <c r="Y992" s="15"/>
      <c r="Z992" s="15"/>
      <c r="AA992" s="15"/>
    </row>
    <row r="993" spans="1:27" s="25" customFormat="1" ht="12" customHeight="1" x14ac:dyDescent="0.2">
      <c r="A993" s="232"/>
      <c r="B993" s="250"/>
      <c r="C993" s="286"/>
      <c r="D993" s="232"/>
      <c r="E993" s="232"/>
      <c r="F993" s="232"/>
      <c r="G993" s="232"/>
      <c r="H993" s="232"/>
      <c r="I993" s="232"/>
      <c r="J993" s="232"/>
      <c r="K993" s="232"/>
      <c r="L993" s="232"/>
      <c r="M993" s="232"/>
      <c r="N993" s="232"/>
      <c r="O993" s="232"/>
      <c r="P993" s="232"/>
      <c r="Q993" s="232"/>
      <c r="R993" s="232"/>
      <c r="S993" s="232"/>
      <c r="T993" s="232"/>
      <c r="U993" s="232"/>
      <c r="V993" s="15"/>
      <c r="W993" s="15"/>
      <c r="X993" s="15"/>
      <c r="Y993" s="15"/>
      <c r="Z993" s="15"/>
      <c r="AA993" s="15"/>
    </row>
    <row r="994" spans="1:27" s="25" customFormat="1" ht="12" customHeight="1" x14ac:dyDescent="0.2">
      <c r="A994" s="232"/>
      <c r="B994" s="250"/>
      <c r="C994" s="286"/>
      <c r="D994" s="232"/>
      <c r="E994" s="232"/>
      <c r="F994" s="232"/>
      <c r="G994" s="232"/>
      <c r="H994" s="232"/>
      <c r="I994" s="232"/>
      <c r="J994" s="232"/>
      <c r="K994" s="232"/>
      <c r="L994" s="232"/>
      <c r="M994" s="232"/>
      <c r="N994" s="232"/>
      <c r="O994" s="232"/>
      <c r="P994" s="232"/>
      <c r="Q994" s="232"/>
      <c r="R994" s="232"/>
      <c r="S994" s="232"/>
      <c r="T994" s="232"/>
      <c r="U994" s="232"/>
      <c r="V994" s="15"/>
      <c r="W994" s="15"/>
      <c r="X994" s="15"/>
      <c r="Y994" s="15"/>
      <c r="Z994" s="15"/>
      <c r="AA994" s="15"/>
    </row>
    <row r="995" spans="1:27" s="25" customFormat="1" ht="12" customHeight="1" x14ac:dyDescent="0.2">
      <c r="A995" s="232"/>
      <c r="B995" s="250"/>
      <c r="C995" s="286"/>
      <c r="D995" s="232"/>
      <c r="E995" s="232"/>
      <c r="F995" s="232"/>
      <c r="G995" s="232"/>
      <c r="H995" s="232"/>
      <c r="I995" s="232"/>
      <c r="J995" s="232"/>
      <c r="K995" s="232"/>
      <c r="L995" s="232"/>
      <c r="M995" s="232"/>
      <c r="N995" s="232"/>
      <c r="O995" s="232"/>
      <c r="P995" s="232"/>
      <c r="Q995" s="232"/>
      <c r="R995" s="232"/>
      <c r="S995" s="232"/>
      <c r="T995" s="232"/>
      <c r="U995" s="232"/>
      <c r="V995" s="15"/>
      <c r="W995" s="15"/>
      <c r="X995" s="15"/>
      <c r="Y995" s="15"/>
      <c r="Z995" s="15"/>
      <c r="AA995" s="15"/>
    </row>
    <row r="996" spans="1:27" s="25" customFormat="1" ht="12" customHeight="1" x14ac:dyDescent="0.2">
      <c r="A996" s="232"/>
      <c r="B996" s="250"/>
      <c r="C996" s="286"/>
      <c r="D996" s="232"/>
      <c r="E996" s="232"/>
      <c r="F996" s="232"/>
      <c r="G996" s="232"/>
      <c r="H996" s="232"/>
      <c r="I996" s="232"/>
      <c r="J996" s="232"/>
      <c r="K996" s="232"/>
      <c r="L996" s="232"/>
      <c r="M996" s="232"/>
      <c r="N996" s="232"/>
      <c r="O996" s="232"/>
      <c r="P996" s="232"/>
      <c r="Q996" s="232"/>
      <c r="R996" s="232"/>
      <c r="S996" s="232"/>
      <c r="T996" s="232"/>
      <c r="U996" s="232"/>
      <c r="V996" s="15"/>
      <c r="W996" s="15"/>
      <c r="X996" s="15"/>
      <c r="Y996" s="15"/>
      <c r="Z996" s="15"/>
      <c r="AA996" s="15"/>
    </row>
    <row r="997" spans="1:27" s="25" customFormat="1" ht="12" customHeight="1" x14ac:dyDescent="0.2">
      <c r="A997" s="232"/>
      <c r="B997" s="250"/>
      <c r="C997" s="286"/>
      <c r="D997" s="232"/>
      <c r="E997" s="232"/>
      <c r="F997" s="232"/>
      <c r="G997" s="232"/>
      <c r="H997" s="232"/>
      <c r="I997" s="232"/>
      <c r="J997" s="232"/>
      <c r="K997" s="232"/>
      <c r="L997" s="232"/>
      <c r="M997" s="232"/>
      <c r="N997" s="232"/>
      <c r="O997" s="232"/>
      <c r="P997" s="232"/>
      <c r="Q997" s="232"/>
      <c r="R997" s="232"/>
      <c r="S997" s="232"/>
      <c r="T997" s="232"/>
      <c r="U997" s="232"/>
      <c r="V997" s="15"/>
      <c r="W997" s="15"/>
      <c r="X997" s="15"/>
      <c r="Y997" s="15"/>
      <c r="Z997" s="15"/>
      <c r="AA997" s="15"/>
    </row>
    <row r="998" spans="1:27" s="25" customFormat="1" ht="12" customHeight="1" x14ac:dyDescent="0.2">
      <c r="A998" s="232"/>
      <c r="B998" s="250"/>
      <c r="C998" s="286"/>
      <c r="D998" s="232"/>
      <c r="E998" s="232"/>
      <c r="F998" s="232"/>
      <c r="G998" s="232"/>
      <c r="H998" s="232"/>
      <c r="I998" s="232"/>
      <c r="J998" s="232"/>
      <c r="K998" s="232"/>
      <c r="L998" s="232"/>
      <c r="M998" s="232"/>
      <c r="N998" s="232"/>
      <c r="O998" s="232"/>
      <c r="P998" s="232"/>
      <c r="Q998" s="232"/>
      <c r="R998" s="232"/>
      <c r="S998" s="232"/>
      <c r="T998" s="232"/>
      <c r="U998" s="232"/>
      <c r="V998" s="15"/>
      <c r="W998" s="15"/>
      <c r="X998" s="15"/>
      <c r="Y998" s="15"/>
      <c r="Z998" s="15"/>
      <c r="AA998" s="15"/>
    </row>
    <row r="999" spans="1:27" s="25" customFormat="1" ht="12" customHeight="1" x14ac:dyDescent="0.2">
      <c r="A999" s="232"/>
      <c r="B999" s="250"/>
      <c r="C999" s="286"/>
      <c r="D999" s="232"/>
      <c r="E999" s="232"/>
      <c r="F999" s="232"/>
      <c r="G999" s="232"/>
      <c r="H999" s="232"/>
      <c r="I999" s="232"/>
      <c r="J999" s="232"/>
      <c r="K999" s="232"/>
      <c r="L999" s="232"/>
      <c r="M999" s="232"/>
      <c r="N999" s="232"/>
      <c r="O999" s="232"/>
      <c r="P999" s="232"/>
      <c r="Q999" s="232"/>
      <c r="R999" s="232"/>
      <c r="S999" s="232"/>
      <c r="T999" s="232"/>
      <c r="U999" s="232"/>
      <c r="V999" s="15"/>
      <c r="W999" s="15"/>
      <c r="X999" s="15"/>
      <c r="Y999" s="15"/>
      <c r="Z999" s="15"/>
      <c r="AA999" s="15"/>
    </row>
    <row r="1000" spans="1:27" s="25" customFormat="1" ht="12" customHeight="1" x14ac:dyDescent="0.2">
      <c r="A1000" s="232"/>
      <c r="B1000" s="250"/>
      <c r="C1000" s="286"/>
      <c r="D1000" s="232"/>
      <c r="E1000" s="232"/>
      <c r="F1000" s="232"/>
      <c r="G1000" s="232"/>
      <c r="H1000" s="232"/>
      <c r="I1000" s="232"/>
      <c r="J1000" s="232"/>
      <c r="K1000" s="232"/>
      <c r="L1000" s="232"/>
      <c r="M1000" s="232"/>
      <c r="N1000" s="232"/>
      <c r="O1000" s="232"/>
      <c r="P1000" s="232"/>
      <c r="Q1000" s="232"/>
      <c r="R1000" s="232"/>
      <c r="S1000" s="232"/>
      <c r="T1000" s="232"/>
      <c r="U1000" s="232"/>
      <c r="V1000" s="15"/>
      <c r="W1000" s="15"/>
      <c r="X1000" s="15"/>
      <c r="Y1000" s="15"/>
      <c r="Z1000" s="15"/>
      <c r="AA1000" s="15"/>
    </row>
    <row r="1001" spans="1:27" s="25" customFormat="1" ht="12" customHeight="1" x14ac:dyDescent="0.2">
      <c r="A1001" s="232"/>
      <c r="B1001" s="250"/>
      <c r="C1001" s="286"/>
      <c r="D1001" s="232"/>
      <c r="E1001" s="232"/>
      <c r="F1001" s="232"/>
      <c r="G1001" s="232"/>
      <c r="H1001" s="232"/>
      <c r="I1001" s="232"/>
      <c r="J1001" s="232"/>
      <c r="K1001" s="232"/>
      <c r="L1001" s="232"/>
      <c r="M1001" s="232"/>
      <c r="N1001" s="232"/>
      <c r="O1001" s="232"/>
      <c r="P1001" s="232"/>
      <c r="Q1001" s="232"/>
      <c r="R1001" s="232"/>
      <c r="S1001" s="232"/>
      <c r="T1001" s="232"/>
      <c r="U1001" s="232"/>
      <c r="V1001" s="15"/>
      <c r="W1001" s="15"/>
      <c r="X1001" s="15"/>
      <c r="Y1001" s="15"/>
      <c r="Z1001" s="15"/>
      <c r="AA1001" s="15"/>
    </row>
    <row r="1002" spans="1:27" s="25" customFormat="1" ht="12" customHeight="1" x14ac:dyDescent="0.2">
      <c r="A1002" s="232"/>
      <c r="B1002" s="250"/>
      <c r="C1002" s="286"/>
      <c r="D1002" s="232"/>
      <c r="E1002" s="232"/>
      <c r="F1002" s="232"/>
      <c r="G1002" s="232"/>
      <c r="H1002" s="232"/>
      <c r="I1002" s="232"/>
      <c r="J1002" s="232"/>
      <c r="K1002" s="232"/>
      <c r="L1002" s="232"/>
      <c r="M1002" s="232"/>
      <c r="N1002" s="232"/>
      <c r="O1002" s="232"/>
      <c r="P1002" s="232"/>
      <c r="Q1002" s="232"/>
      <c r="R1002" s="232"/>
      <c r="S1002" s="232"/>
      <c r="T1002" s="232"/>
      <c r="U1002" s="232"/>
      <c r="V1002" s="15"/>
      <c r="W1002" s="15"/>
      <c r="X1002" s="15"/>
      <c r="Y1002" s="15"/>
      <c r="Z1002" s="15"/>
      <c r="AA1002" s="15"/>
    </row>
    <row r="1003" spans="1:27" s="25" customFormat="1" ht="12" customHeight="1" x14ac:dyDescent="0.2">
      <c r="A1003" s="232"/>
      <c r="B1003" s="250"/>
      <c r="C1003" s="286"/>
      <c r="D1003" s="232"/>
      <c r="E1003" s="232"/>
      <c r="F1003" s="232"/>
      <c r="G1003" s="232"/>
      <c r="H1003" s="232"/>
      <c r="I1003" s="232"/>
      <c r="J1003" s="232"/>
      <c r="K1003" s="232"/>
      <c r="L1003" s="232"/>
      <c r="M1003" s="232"/>
      <c r="N1003" s="232"/>
      <c r="O1003" s="232"/>
      <c r="P1003" s="232"/>
      <c r="Q1003" s="232"/>
      <c r="R1003" s="232"/>
      <c r="S1003" s="232"/>
      <c r="T1003" s="232"/>
      <c r="U1003" s="232"/>
      <c r="V1003" s="15"/>
      <c r="W1003" s="15"/>
      <c r="X1003" s="15"/>
      <c r="Y1003" s="15"/>
      <c r="Z1003" s="15"/>
      <c r="AA1003" s="15"/>
    </row>
    <row r="1004" spans="1:27" s="25" customFormat="1" ht="12" customHeight="1" x14ac:dyDescent="0.2">
      <c r="A1004" s="232"/>
      <c r="B1004" s="250"/>
      <c r="C1004" s="286"/>
      <c r="D1004" s="232"/>
      <c r="E1004" s="232"/>
      <c r="F1004" s="232"/>
      <c r="G1004" s="232"/>
      <c r="H1004" s="232"/>
      <c r="I1004" s="232"/>
      <c r="J1004" s="232"/>
      <c r="K1004" s="232"/>
      <c r="L1004" s="232"/>
      <c r="M1004" s="232"/>
      <c r="N1004" s="232"/>
      <c r="O1004" s="232"/>
      <c r="P1004" s="232"/>
      <c r="Q1004" s="232"/>
      <c r="R1004" s="232"/>
      <c r="S1004" s="232"/>
      <c r="T1004" s="232"/>
      <c r="U1004" s="232"/>
      <c r="V1004" s="15"/>
      <c r="W1004" s="15"/>
      <c r="X1004" s="15"/>
      <c r="Y1004" s="15"/>
      <c r="Z1004" s="15"/>
      <c r="AA1004" s="15"/>
    </row>
    <row r="1005" spans="1:27" s="25" customFormat="1" ht="12" customHeight="1" x14ac:dyDescent="0.2">
      <c r="A1005" s="232"/>
      <c r="B1005" s="250"/>
      <c r="C1005" s="286"/>
      <c r="D1005" s="232"/>
      <c r="E1005" s="232"/>
      <c r="F1005" s="232"/>
      <c r="G1005" s="232"/>
      <c r="H1005" s="232"/>
      <c r="I1005" s="232"/>
      <c r="J1005" s="232"/>
      <c r="K1005" s="232"/>
      <c r="L1005" s="232"/>
      <c r="M1005" s="232"/>
      <c r="N1005" s="232"/>
      <c r="O1005" s="232"/>
      <c r="P1005" s="232"/>
      <c r="Q1005" s="232"/>
      <c r="R1005" s="232"/>
      <c r="S1005" s="232"/>
      <c r="T1005" s="232"/>
      <c r="U1005" s="232"/>
      <c r="V1005" s="15"/>
      <c r="W1005" s="15"/>
      <c r="X1005" s="15"/>
      <c r="Y1005" s="15"/>
      <c r="Z1005" s="15"/>
      <c r="AA1005" s="15"/>
    </row>
    <row r="1006" spans="1:27" s="25" customFormat="1" ht="12" customHeight="1" x14ac:dyDescent="0.2">
      <c r="A1006" s="232"/>
      <c r="B1006" s="250"/>
      <c r="C1006" s="286"/>
      <c r="D1006" s="232"/>
      <c r="E1006" s="232"/>
      <c r="F1006" s="232"/>
      <c r="G1006" s="232"/>
      <c r="H1006" s="232"/>
      <c r="I1006" s="232"/>
      <c r="J1006" s="232"/>
      <c r="K1006" s="232"/>
      <c r="L1006" s="232"/>
      <c r="M1006" s="232"/>
      <c r="N1006" s="232"/>
      <c r="O1006" s="232"/>
      <c r="P1006" s="232"/>
      <c r="Q1006" s="232"/>
      <c r="R1006" s="232"/>
      <c r="S1006" s="232"/>
      <c r="T1006" s="232"/>
      <c r="U1006" s="232"/>
      <c r="V1006" s="15"/>
      <c r="W1006" s="15"/>
      <c r="X1006" s="15"/>
      <c r="Y1006" s="15"/>
      <c r="Z1006" s="15"/>
      <c r="AA1006" s="15"/>
    </row>
    <row r="1007" spans="1:27" s="25" customFormat="1" ht="12" customHeight="1" x14ac:dyDescent="0.2">
      <c r="A1007" s="232"/>
      <c r="B1007" s="250"/>
      <c r="C1007" s="286"/>
      <c r="D1007" s="232"/>
      <c r="E1007" s="232"/>
      <c r="F1007" s="232"/>
      <c r="G1007" s="232"/>
      <c r="H1007" s="232"/>
      <c r="I1007" s="232"/>
      <c r="J1007" s="232"/>
      <c r="K1007" s="232"/>
      <c r="L1007" s="232"/>
      <c r="M1007" s="232"/>
      <c r="N1007" s="232"/>
      <c r="O1007" s="232"/>
      <c r="P1007" s="232"/>
      <c r="Q1007" s="232"/>
      <c r="R1007" s="232"/>
      <c r="S1007" s="232"/>
      <c r="T1007" s="232"/>
      <c r="U1007" s="232"/>
      <c r="V1007" s="15"/>
      <c r="W1007" s="15"/>
      <c r="X1007" s="15"/>
      <c r="Y1007" s="15"/>
      <c r="Z1007" s="15"/>
      <c r="AA1007" s="15"/>
    </row>
    <row r="1008" spans="1:27" s="25" customFormat="1" ht="12" customHeight="1" x14ac:dyDescent="0.2">
      <c r="A1008" s="232"/>
      <c r="B1008" s="250"/>
      <c r="C1008" s="286"/>
      <c r="D1008" s="232"/>
      <c r="E1008" s="232"/>
      <c r="F1008" s="232"/>
      <c r="G1008" s="232"/>
      <c r="H1008" s="232"/>
      <c r="I1008" s="232"/>
      <c r="J1008" s="232"/>
      <c r="K1008" s="232"/>
      <c r="L1008" s="232"/>
      <c r="M1008" s="232"/>
      <c r="N1008" s="232"/>
      <c r="O1008" s="232"/>
      <c r="P1008" s="232"/>
      <c r="Q1008" s="232"/>
      <c r="R1008" s="232"/>
      <c r="S1008" s="232"/>
      <c r="T1008" s="232"/>
      <c r="U1008" s="232"/>
      <c r="V1008" s="15"/>
      <c r="W1008" s="15"/>
      <c r="X1008" s="15"/>
      <c r="Y1008" s="15"/>
      <c r="Z1008" s="15"/>
      <c r="AA1008" s="15"/>
    </row>
    <row r="1009" spans="1:27" s="25" customFormat="1" ht="12" customHeight="1" x14ac:dyDescent="0.2">
      <c r="A1009" s="232"/>
      <c r="B1009" s="250"/>
      <c r="C1009" s="286"/>
      <c r="D1009" s="232"/>
      <c r="E1009" s="232"/>
      <c r="F1009" s="232"/>
      <c r="G1009" s="232"/>
      <c r="H1009" s="232"/>
      <c r="I1009" s="232"/>
      <c r="J1009" s="232"/>
      <c r="K1009" s="232"/>
      <c r="L1009" s="232"/>
      <c r="M1009" s="232"/>
      <c r="N1009" s="232"/>
      <c r="O1009" s="232"/>
      <c r="P1009" s="232"/>
      <c r="Q1009" s="232"/>
      <c r="R1009" s="232"/>
      <c r="S1009" s="232"/>
      <c r="T1009" s="232"/>
      <c r="U1009" s="232"/>
      <c r="V1009" s="15"/>
      <c r="W1009" s="15"/>
      <c r="X1009" s="15"/>
      <c r="Y1009" s="15"/>
      <c r="Z1009" s="15"/>
      <c r="AA1009" s="15"/>
    </row>
    <row r="1010" spans="1:27" s="25" customFormat="1" ht="12" customHeight="1" x14ac:dyDescent="0.2">
      <c r="A1010" s="232"/>
      <c r="B1010" s="250"/>
      <c r="C1010" s="286"/>
      <c r="D1010" s="232"/>
      <c r="E1010" s="232"/>
      <c r="F1010" s="232"/>
      <c r="G1010" s="232"/>
      <c r="H1010" s="232"/>
      <c r="I1010" s="232"/>
      <c r="J1010" s="232"/>
      <c r="K1010" s="232"/>
      <c r="L1010" s="232"/>
      <c r="M1010" s="232"/>
      <c r="N1010" s="232"/>
      <c r="O1010" s="232"/>
      <c r="P1010" s="232"/>
      <c r="Q1010" s="232"/>
      <c r="R1010" s="232"/>
      <c r="S1010" s="232"/>
      <c r="T1010" s="232"/>
      <c r="U1010" s="232"/>
      <c r="V1010" s="15"/>
      <c r="W1010" s="15"/>
      <c r="X1010" s="15"/>
      <c r="Y1010" s="15"/>
      <c r="Z1010" s="15"/>
      <c r="AA1010" s="15"/>
    </row>
    <row r="1011" spans="1:27" s="25" customFormat="1" ht="12" customHeight="1" x14ac:dyDescent="0.2">
      <c r="A1011" s="232"/>
      <c r="B1011" s="250"/>
      <c r="C1011" s="286"/>
      <c r="D1011" s="232"/>
      <c r="E1011" s="232"/>
      <c r="F1011" s="232"/>
      <c r="G1011" s="232"/>
      <c r="H1011" s="232"/>
      <c r="I1011" s="232"/>
      <c r="J1011" s="232"/>
      <c r="K1011" s="232"/>
      <c r="L1011" s="232"/>
      <c r="M1011" s="232"/>
      <c r="N1011" s="232"/>
      <c r="O1011" s="232"/>
      <c r="P1011" s="232"/>
      <c r="Q1011" s="232"/>
      <c r="R1011" s="232"/>
      <c r="S1011" s="232"/>
      <c r="T1011" s="232"/>
      <c r="U1011" s="232"/>
      <c r="V1011" s="15"/>
      <c r="W1011" s="15"/>
      <c r="X1011" s="15"/>
      <c r="Y1011" s="15"/>
      <c r="Z1011" s="15"/>
      <c r="AA1011" s="15"/>
    </row>
    <row r="1012" spans="1:27" s="25" customFormat="1" ht="12" customHeight="1" x14ac:dyDescent="0.2">
      <c r="A1012" s="232"/>
      <c r="B1012" s="250"/>
      <c r="C1012" s="286"/>
      <c r="D1012" s="232"/>
      <c r="E1012" s="232"/>
      <c r="F1012" s="232"/>
      <c r="G1012" s="232"/>
      <c r="H1012" s="232"/>
      <c r="I1012" s="232"/>
      <c r="J1012" s="232"/>
      <c r="K1012" s="232"/>
      <c r="L1012" s="232"/>
      <c r="M1012" s="232"/>
      <c r="N1012" s="232"/>
      <c r="O1012" s="232"/>
      <c r="P1012" s="232"/>
      <c r="Q1012" s="232"/>
      <c r="R1012" s="232"/>
      <c r="S1012" s="232"/>
      <c r="T1012" s="232"/>
      <c r="U1012" s="232"/>
      <c r="V1012" s="15"/>
      <c r="W1012" s="15"/>
      <c r="X1012" s="15"/>
      <c r="Y1012" s="15"/>
      <c r="Z1012" s="15"/>
      <c r="AA1012" s="15"/>
    </row>
    <row r="1013" spans="1:27" s="25" customFormat="1" ht="12" customHeight="1" x14ac:dyDescent="0.2">
      <c r="A1013" s="232"/>
      <c r="B1013" s="250"/>
      <c r="C1013" s="286"/>
      <c r="D1013" s="232"/>
      <c r="E1013" s="232"/>
      <c r="F1013" s="232"/>
      <c r="G1013" s="232"/>
      <c r="H1013" s="232"/>
      <c r="I1013" s="232"/>
      <c r="J1013" s="232"/>
      <c r="K1013" s="232"/>
      <c r="L1013" s="232"/>
      <c r="M1013" s="232"/>
      <c r="N1013" s="232"/>
      <c r="O1013" s="232"/>
      <c r="P1013" s="232"/>
      <c r="Q1013" s="232"/>
      <c r="R1013" s="232"/>
      <c r="S1013" s="232"/>
      <c r="T1013" s="232"/>
      <c r="U1013" s="232"/>
      <c r="V1013" s="15"/>
      <c r="W1013" s="15"/>
      <c r="X1013" s="15"/>
      <c r="Y1013" s="15"/>
      <c r="Z1013" s="15"/>
      <c r="AA1013" s="15"/>
    </row>
    <row r="1014" spans="1:27" s="25" customFormat="1" ht="12" customHeight="1" x14ac:dyDescent="0.2">
      <c r="A1014" s="232"/>
      <c r="B1014" s="250"/>
      <c r="C1014" s="286"/>
      <c r="D1014" s="232"/>
      <c r="E1014" s="232"/>
      <c r="F1014" s="232"/>
      <c r="G1014" s="232"/>
      <c r="H1014" s="232"/>
      <c r="I1014" s="232"/>
      <c r="J1014" s="232"/>
      <c r="K1014" s="232"/>
      <c r="L1014" s="232"/>
      <c r="M1014" s="232"/>
      <c r="N1014" s="232"/>
      <c r="O1014" s="232"/>
      <c r="P1014" s="232"/>
      <c r="Q1014" s="232"/>
      <c r="R1014" s="232"/>
      <c r="S1014" s="232"/>
      <c r="T1014" s="232"/>
      <c r="U1014" s="232"/>
      <c r="V1014" s="15"/>
      <c r="W1014" s="15"/>
      <c r="X1014" s="15"/>
      <c r="Y1014" s="15"/>
      <c r="Z1014" s="15"/>
      <c r="AA1014" s="15"/>
    </row>
    <row r="1015" spans="1:27" s="25" customFormat="1" ht="12" customHeight="1" x14ac:dyDescent="0.2">
      <c r="A1015" s="232"/>
      <c r="B1015" s="250"/>
      <c r="C1015" s="286"/>
      <c r="D1015" s="232"/>
      <c r="E1015" s="232"/>
      <c r="F1015" s="232"/>
      <c r="G1015" s="232"/>
      <c r="H1015" s="232"/>
      <c r="I1015" s="232"/>
      <c r="J1015" s="232"/>
      <c r="K1015" s="232"/>
      <c r="L1015" s="232"/>
      <c r="M1015" s="232"/>
      <c r="N1015" s="232"/>
      <c r="O1015" s="232"/>
      <c r="P1015" s="232"/>
      <c r="Q1015" s="232"/>
      <c r="R1015" s="232"/>
      <c r="S1015" s="232"/>
      <c r="T1015" s="232"/>
      <c r="U1015" s="232"/>
      <c r="V1015" s="15"/>
      <c r="W1015" s="15"/>
      <c r="X1015" s="15"/>
      <c r="Y1015" s="15"/>
      <c r="Z1015" s="15"/>
      <c r="AA1015" s="15"/>
    </row>
    <row r="1016" spans="1:27" s="25" customFormat="1" ht="12" customHeight="1" x14ac:dyDescent="0.2">
      <c r="A1016" s="232"/>
      <c r="B1016" s="250"/>
      <c r="C1016" s="286"/>
      <c r="D1016" s="232"/>
      <c r="E1016" s="232"/>
      <c r="F1016" s="232"/>
      <c r="G1016" s="232"/>
      <c r="H1016" s="232"/>
      <c r="I1016" s="232"/>
      <c r="J1016" s="232"/>
      <c r="K1016" s="232"/>
      <c r="L1016" s="232"/>
      <c r="M1016" s="232"/>
      <c r="N1016" s="232"/>
      <c r="O1016" s="232"/>
      <c r="P1016" s="232"/>
      <c r="Q1016" s="232"/>
      <c r="R1016" s="232"/>
      <c r="S1016" s="232"/>
      <c r="T1016" s="232"/>
      <c r="U1016" s="232"/>
      <c r="V1016" s="15"/>
      <c r="W1016" s="15"/>
      <c r="X1016" s="15"/>
      <c r="Y1016" s="15"/>
      <c r="Z1016" s="15"/>
      <c r="AA1016" s="15"/>
    </row>
    <row r="1017" spans="1:27" s="25" customFormat="1" ht="12" customHeight="1" x14ac:dyDescent="0.2">
      <c r="A1017" s="232"/>
      <c r="B1017" s="250"/>
      <c r="C1017" s="286"/>
      <c r="D1017" s="232"/>
      <c r="E1017" s="232"/>
      <c r="F1017" s="232"/>
      <c r="G1017" s="232"/>
      <c r="H1017" s="232"/>
      <c r="I1017" s="232"/>
      <c r="J1017" s="232"/>
      <c r="K1017" s="232"/>
      <c r="L1017" s="232"/>
      <c r="M1017" s="232"/>
      <c r="N1017" s="232"/>
      <c r="O1017" s="232"/>
      <c r="P1017" s="232"/>
      <c r="Q1017" s="232"/>
      <c r="R1017" s="232"/>
      <c r="S1017" s="232"/>
      <c r="T1017" s="232"/>
      <c r="U1017" s="232"/>
      <c r="V1017" s="15"/>
      <c r="W1017" s="15"/>
      <c r="X1017" s="15"/>
      <c r="Y1017" s="15"/>
      <c r="Z1017" s="15"/>
      <c r="AA1017" s="15"/>
    </row>
    <row r="1018" spans="1:27" s="25" customFormat="1" ht="12" customHeight="1" x14ac:dyDescent="0.2">
      <c r="A1018" s="232"/>
      <c r="B1018" s="250"/>
      <c r="C1018" s="286"/>
      <c r="D1018" s="232"/>
      <c r="E1018" s="232"/>
      <c r="F1018" s="232"/>
      <c r="G1018" s="232"/>
      <c r="H1018" s="232"/>
      <c r="I1018" s="232"/>
      <c r="J1018" s="232"/>
      <c r="K1018" s="232"/>
      <c r="L1018" s="232"/>
      <c r="M1018" s="232"/>
      <c r="N1018" s="232"/>
      <c r="O1018" s="232"/>
      <c r="P1018" s="232"/>
      <c r="Q1018" s="232"/>
      <c r="R1018" s="232"/>
      <c r="S1018" s="232"/>
      <c r="T1018" s="232"/>
      <c r="U1018" s="232"/>
      <c r="V1018" s="15"/>
      <c r="W1018" s="15"/>
      <c r="X1018" s="15"/>
      <c r="Y1018" s="15"/>
      <c r="Z1018" s="15"/>
      <c r="AA1018" s="15"/>
    </row>
    <row r="1019" spans="1:27" s="25" customFormat="1" ht="12" customHeight="1" x14ac:dyDescent="0.2">
      <c r="A1019" s="232"/>
      <c r="B1019" s="250"/>
      <c r="C1019" s="286"/>
      <c r="D1019" s="232"/>
      <c r="E1019" s="232"/>
      <c r="F1019" s="232"/>
      <c r="G1019" s="232"/>
      <c r="H1019" s="232"/>
      <c r="I1019" s="232"/>
      <c r="J1019" s="232"/>
      <c r="K1019" s="232"/>
      <c r="L1019" s="232"/>
      <c r="M1019" s="232"/>
      <c r="N1019" s="232"/>
      <c r="O1019" s="232"/>
      <c r="P1019" s="232"/>
      <c r="Q1019" s="232"/>
      <c r="R1019" s="232"/>
      <c r="S1019" s="232"/>
      <c r="T1019" s="232"/>
      <c r="U1019" s="232"/>
      <c r="V1019" s="15"/>
      <c r="W1019" s="15"/>
      <c r="X1019" s="15"/>
      <c r="Y1019" s="15"/>
      <c r="Z1019" s="15"/>
      <c r="AA1019" s="15"/>
    </row>
    <row r="1020" spans="1:27" s="25" customFormat="1" ht="12" customHeight="1" x14ac:dyDescent="0.2">
      <c r="A1020" s="232"/>
      <c r="B1020" s="250"/>
      <c r="C1020" s="286"/>
      <c r="D1020" s="232"/>
      <c r="E1020" s="232"/>
      <c r="F1020" s="232"/>
      <c r="G1020" s="232"/>
      <c r="H1020" s="232"/>
      <c r="I1020" s="232"/>
      <c r="J1020" s="232"/>
      <c r="K1020" s="232"/>
      <c r="L1020" s="232"/>
      <c r="M1020" s="232"/>
      <c r="N1020" s="232"/>
      <c r="O1020" s="232"/>
      <c r="P1020" s="232"/>
      <c r="Q1020" s="232"/>
      <c r="R1020" s="232"/>
      <c r="S1020" s="232"/>
      <c r="T1020" s="232"/>
      <c r="U1020" s="232"/>
      <c r="V1020" s="15"/>
      <c r="W1020" s="15"/>
      <c r="X1020" s="15"/>
      <c r="Y1020" s="15"/>
      <c r="Z1020" s="15"/>
      <c r="AA1020" s="15"/>
    </row>
    <row r="1021" spans="1:27" s="25" customFormat="1" ht="12" customHeight="1" x14ac:dyDescent="0.2">
      <c r="A1021" s="232"/>
      <c r="B1021" s="250"/>
      <c r="C1021" s="286"/>
      <c r="D1021" s="232"/>
      <c r="E1021" s="232"/>
      <c r="F1021" s="232"/>
      <c r="G1021" s="232"/>
      <c r="H1021" s="232"/>
      <c r="I1021" s="232"/>
      <c r="J1021" s="232"/>
      <c r="K1021" s="232"/>
      <c r="L1021" s="232"/>
      <c r="M1021" s="232"/>
      <c r="N1021" s="232"/>
      <c r="O1021" s="232"/>
      <c r="P1021" s="232"/>
      <c r="Q1021" s="232"/>
      <c r="R1021" s="232"/>
      <c r="S1021" s="232"/>
      <c r="T1021" s="232"/>
      <c r="U1021" s="232"/>
      <c r="V1021" s="15"/>
      <c r="W1021" s="15"/>
      <c r="X1021" s="15"/>
      <c r="Y1021" s="15"/>
      <c r="Z1021" s="15"/>
      <c r="AA1021" s="15"/>
    </row>
    <row r="1022" spans="1:27" s="25" customFormat="1" ht="12" customHeight="1" x14ac:dyDescent="0.2">
      <c r="A1022" s="232"/>
      <c r="B1022" s="250"/>
      <c r="C1022" s="286"/>
      <c r="D1022" s="232"/>
      <c r="E1022" s="232"/>
      <c r="F1022" s="232"/>
      <c r="G1022" s="232"/>
      <c r="H1022" s="232"/>
      <c r="I1022" s="232"/>
      <c r="J1022" s="232"/>
      <c r="K1022" s="232"/>
      <c r="L1022" s="232"/>
      <c r="M1022" s="232"/>
      <c r="N1022" s="232"/>
      <c r="O1022" s="232"/>
      <c r="P1022" s="232"/>
      <c r="Q1022" s="232"/>
      <c r="R1022" s="232"/>
      <c r="S1022" s="232"/>
      <c r="T1022" s="232"/>
      <c r="U1022" s="232"/>
      <c r="V1022" s="15"/>
      <c r="W1022" s="15"/>
      <c r="X1022" s="15"/>
      <c r="Y1022" s="15"/>
      <c r="Z1022" s="15"/>
      <c r="AA1022" s="15"/>
    </row>
    <row r="1023" spans="1:27" s="25" customFormat="1" ht="12" customHeight="1" x14ac:dyDescent="0.2">
      <c r="A1023" s="232"/>
      <c r="B1023" s="250"/>
      <c r="C1023" s="286"/>
      <c r="D1023" s="232"/>
      <c r="E1023" s="232"/>
      <c r="F1023" s="232"/>
      <c r="G1023" s="232"/>
      <c r="H1023" s="232"/>
      <c r="I1023" s="232"/>
      <c r="J1023" s="232"/>
      <c r="K1023" s="232"/>
      <c r="L1023" s="232"/>
      <c r="M1023" s="232"/>
      <c r="N1023" s="232"/>
      <c r="O1023" s="232"/>
      <c r="P1023" s="232"/>
      <c r="Q1023" s="232"/>
      <c r="R1023" s="232"/>
      <c r="S1023" s="232"/>
      <c r="T1023" s="232"/>
      <c r="U1023" s="232"/>
      <c r="V1023" s="15"/>
      <c r="W1023" s="15"/>
      <c r="X1023" s="15"/>
      <c r="Y1023" s="15"/>
      <c r="Z1023" s="15"/>
      <c r="AA1023" s="15"/>
    </row>
    <row r="1024" spans="1:27" s="25" customFormat="1" ht="12" customHeight="1" x14ac:dyDescent="0.2">
      <c r="A1024" s="232"/>
      <c r="B1024" s="250"/>
      <c r="C1024" s="286"/>
      <c r="D1024" s="232"/>
      <c r="E1024" s="232"/>
      <c r="F1024" s="232"/>
      <c r="G1024" s="232"/>
      <c r="H1024" s="232"/>
      <c r="I1024" s="232"/>
      <c r="J1024" s="232"/>
      <c r="K1024" s="232"/>
      <c r="L1024" s="232"/>
      <c r="M1024" s="232"/>
      <c r="N1024" s="232"/>
      <c r="O1024" s="232"/>
      <c r="P1024" s="232"/>
      <c r="Q1024" s="232"/>
      <c r="R1024" s="232"/>
      <c r="S1024" s="232"/>
      <c r="T1024" s="232"/>
      <c r="U1024" s="232"/>
      <c r="V1024" s="15"/>
      <c r="W1024" s="15"/>
      <c r="X1024" s="15"/>
      <c r="Y1024" s="15"/>
      <c r="Z1024" s="15"/>
      <c r="AA1024" s="15"/>
    </row>
    <row r="1025" spans="1:27" s="25" customFormat="1" ht="12" customHeight="1" x14ac:dyDescent="0.2">
      <c r="A1025" s="232"/>
      <c r="B1025" s="250"/>
      <c r="C1025" s="286"/>
      <c r="D1025" s="232"/>
      <c r="E1025" s="232"/>
      <c r="F1025" s="232"/>
      <c r="G1025" s="232"/>
      <c r="H1025" s="232"/>
      <c r="I1025" s="232"/>
      <c r="J1025" s="232"/>
      <c r="K1025" s="232"/>
      <c r="L1025" s="232"/>
      <c r="M1025" s="232"/>
      <c r="N1025" s="232"/>
      <c r="O1025" s="232"/>
      <c r="P1025" s="232"/>
      <c r="Q1025" s="232"/>
      <c r="R1025" s="232"/>
      <c r="S1025" s="232"/>
      <c r="T1025" s="232"/>
      <c r="U1025" s="232"/>
      <c r="V1025" s="15"/>
      <c r="W1025" s="15"/>
      <c r="X1025" s="15"/>
      <c r="Y1025" s="15"/>
      <c r="Z1025" s="15"/>
      <c r="AA1025" s="15"/>
    </row>
    <row r="1026" spans="1:27" s="25" customFormat="1" ht="12" customHeight="1" x14ac:dyDescent="0.2">
      <c r="A1026" s="232"/>
      <c r="B1026" s="250"/>
      <c r="C1026" s="286"/>
      <c r="D1026" s="232"/>
      <c r="E1026" s="232"/>
      <c r="F1026" s="232"/>
      <c r="G1026" s="232"/>
      <c r="H1026" s="232"/>
      <c r="I1026" s="232"/>
      <c r="J1026" s="232"/>
      <c r="K1026" s="232"/>
      <c r="L1026" s="232"/>
      <c r="M1026" s="232"/>
      <c r="N1026" s="232"/>
      <c r="O1026" s="232"/>
      <c r="P1026" s="232"/>
      <c r="Q1026" s="232"/>
      <c r="R1026" s="232"/>
      <c r="S1026" s="232"/>
      <c r="T1026" s="232"/>
      <c r="U1026" s="232"/>
      <c r="V1026" s="15"/>
      <c r="W1026" s="15"/>
      <c r="X1026" s="15"/>
      <c r="Y1026" s="15"/>
      <c r="Z1026" s="15"/>
      <c r="AA1026" s="15"/>
    </row>
    <row r="1027" spans="1:27" s="25" customFormat="1" ht="12" customHeight="1" x14ac:dyDescent="0.2">
      <c r="A1027" s="232"/>
      <c r="B1027" s="250"/>
      <c r="C1027" s="286"/>
      <c r="D1027" s="232"/>
      <c r="E1027" s="232"/>
      <c r="F1027" s="232"/>
      <c r="G1027" s="232"/>
      <c r="H1027" s="232"/>
      <c r="I1027" s="232"/>
      <c r="J1027" s="232"/>
      <c r="K1027" s="232"/>
      <c r="L1027" s="232"/>
      <c r="M1027" s="232"/>
      <c r="N1027" s="232"/>
      <c r="O1027" s="232"/>
      <c r="P1027" s="232"/>
      <c r="Q1027" s="232"/>
      <c r="R1027" s="232"/>
      <c r="S1027" s="232"/>
      <c r="T1027" s="232"/>
      <c r="U1027" s="232"/>
      <c r="V1027" s="15"/>
      <c r="W1027" s="15"/>
      <c r="X1027" s="15"/>
      <c r="Y1027" s="15"/>
      <c r="Z1027" s="15"/>
      <c r="AA1027" s="15"/>
    </row>
    <row r="1028" spans="1:27" s="25" customFormat="1" ht="12" customHeight="1" x14ac:dyDescent="0.2">
      <c r="A1028" s="232"/>
      <c r="B1028" s="250"/>
      <c r="C1028" s="286"/>
      <c r="D1028" s="232"/>
      <c r="E1028" s="232"/>
      <c r="F1028" s="232"/>
      <c r="G1028" s="232"/>
      <c r="H1028" s="232"/>
      <c r="I1028" s="232"/>
      <c r="J1028" s="232"/>
      <c r="K1028" s="232"/>
      <c r="L1028" s="232"/>
      <c r="M1028" s="232"/>
      <c r="N1028" s="232"/>
      <c r="O1028" s="232"/>
      <c r="P1028" s="232"/>
      <c r="Q1028" s="232"/>
      <c r="R1028" s="232"/>
      <c r="S1028" s="232"/>
      <c r="T1028" s="232"/>
      <c r="U1028" s="232"/>
      <c r="V1028" s="15"/>
      <c r="W1028" s="15"/>
      <c r="X1028" s="15"/>
      <c r="Y1028" s="15"/>
      <c r="Z1028" s="15"/>
      <c r="AA1028" s="15"/>
    </row>
    <row r="1029" spans="1:27" s="25" customFormat="1" ht="12" customHeight="1" x14ac:dyDescent="0.2">
      <c r="A1029" s="232"/>
      <c r="B1029" s="250"/>
      <c r="C1029" s="286"/>
      <c r="D1029" s="232"/>
      <c r="E1029" s="232"/>
      <c r="F1029" s="232"/>
      <c r="G1029" s="232"/>
      <c r="H1029" s="232"/>
      <c r="I1029" s="232"/>
      <c r="J1029" s="232"/>
      <c r="K1029" s="232"/>
      <c r="L1029" s="232"/>
      <c r="M1029" s="232"/>
      <c r="N1029" s="232"/>
      <c r="O1029" s="232"/>
      <c r="P1029" s="232"/>
      <c r="Q1029" s="232"/>
      <c r="R1029" s="232"/>
      <c r="S1029" s="232"/>
      <c r="T1029" s="232"/>
      <c r="U1029" s="232"/>
      <c r="V1029" s="15"/>
      <c r="W1029" s="15"/>
      <c r="X1029" s="15"/>
      <c r="Y1029" s="15"/>
      <c r="Z1029" s="15"/>
      <c r="AA1029" s="15"/>
    </row>
    <row r="1030" spans="1:27" s="25" customFormat="1" ht="12" customHeight="1" x14ac:dyDescent="0.2">
      <c r="A1030" s="232"/>
      <c r="B1030" s="250"/>
      <c r="C1030" s="286"/>
      <c r="D1030" s="232"/>
      <c r="E1030" s="232"/>
      <c r="F1030" s="232"/>
      <c r="G1030" s="232"/>
      <c r="H1030" s="232"/>
      <c r="I1030" s="232"/>
      <c r="J1030" s="232"/>
      <c r="K1030" s="232"/>
      <c r="L1030" s="232"/>
      <c r="M1030" s="232"/>
      <c r="N1030" s="232"/>
      <c r="O1030" s="232"/>
      <c r="P1030" s="232"/>
      <c r="Q1030" s="232"/>
      <c r="R1030" s="232"/>
      <c r="S1030" s="232"/>
      <c r="T1030" s="232"/>
      <c r="U1030" s="232"/>
      <c r="V1030" s="15"/>
      <c r="W1030" s="15"/>
      <c r="X1030" s="15"/>
      <c r="Y1030" s="15"/>
      <c r="Z1030" s="15"/>
      <c r="AA1030" s="15"/>
    </row>
    <row r="1031" spans="1:27" s="25" customFormat="1" ht="12" customHeight="1" x14ac:dyDescent="0.2">
      <c r="A1031" s="232"/>
      <c r="B1031" s="250"/>
      <c r="C1031" s="286"/>
      <c r="D1031" s="232"/>
      <c r="E1031" s="232"/>
      <c r="F1031" s="232"/>
      <c r="G1031" s="232"/>
      <c r="H1031" s="232"/>
      <c r="I1031" s="232"/>
      <c r="J1031" s="232"/>
      <c r="K1031" s="232"/>
      <c r="L1031" s="232"/>
      <c r="M1031" s="232"/>
      <c r="N1031" s="232"/>
      <c r="O1031" s="232"/>
      <c r="P1031" s="232"/>
      <c r="Q1031" s="232"/>
      <c r="R1031" s="232"/>
      <c r="S1031" s="232"/>
      <c r="T1031" s="232"/>
      <c r="U1031" s="232"/>
      <c r="V1031" s="15"/>
      <c r="W1031" s="15"/>
      <c r="X1031" s="15"/>
      <c r="Y1031" s="15"/>
      <c r="Z1031" s="15"/>
      <c r="AA1031" s="15"/>
    </row>
    <row r="1032" spans="1:27" s="25" customFormat="1" ht="12" customHeight="1" x14ac:dyDescent="0.2">
      <c r="A1032" s="232"/>
      <c r="B1032" s="250"/>
      <c r="C1032" s="286"/>
      <c r="D1032" s="232"/>
      <c r="E1032" s="232"/>
      <c r="F1032" s="232"/>
      <c r="G1032" s="232"/>
      <c r="H1032" s="232"/>
      <c r="I1032" s="232"/>
      <c r="J1032" s="232"/>
      <c r="K1032" s="232"/>
      <c r="L1032" s="232"/>
      <c r="M1032" s="232"/>
      <c r="N1032" s="232"/>
      <c r="O1032" s="232"/>
      <c r="P1032" s="232"/>
      <c r="Q1032" s="232"/>
      <c r="R1032" s="232"/>
      <c r="S1032" s="232"/>
      <c r="T1032" s="232"/>
      <c r="U1032" s="232"/>
      <c r="V1032" s="15"/>
      <c r="W1032" s="15"/>
      <c r="X1032" s="15"/>
      <c r="Y1032" s="15"/>
      <c r="Z1032" s="15"/>
      <c r="AA1032" s="15"/>
    </row>
    <row r="1033" spans="1:27" s="25" customFormat="1" ht="12" customHeight="1" x14ac:dyDescent="0.2">
      <c r="A1033" s="232"/>
      <c r="B1033" s="250"/>
      <c r="C1033" s="286"/>
      <c r="D1033" s="232"/>
      <c r="E1033" s="232"/>
      <c r="F1033" s="232"/>
      <c r="G1033" s="232"/>
      <c r="H1033" s="232"/>
      <c r="I1033" s="232"/>
      <c r="J1033" s="232"/>
      <c r="K1033" s="232"/>
      <c r="L1033" s="232"/>
      <c r="M1033" s="232"/>
      <c r="N1033" s="232"/>
      <c r="O1033" s="232"/>
      <c r="P1033" s="232"/>
      <c r="Q1033" s="232"/>
      <c r="R1033" s="232"/>
      <c r="S1033" s="232"/>
      <c r="T1033" s="232"/>
      <c r="U1033" s="232"/>
      <c r="V1033" s="15"/>
      <c r="W1033" s="15"/>
      <c r="X1033" s="15"/>
      <c r="Y1033" s="15"/>
      <c r="Z1033" s="15"/>
      <c r="AA1033" s="15"/>
    </row>
    <row r="1034" spans="1:27" s="25" customFormat="1" ht="12" customHeight="1" x14ac:dyDescent="0.2">
      <c r="A1034" s="232"/>
      <c r="B1034" s="250"/>
      <c r="C1034" s="286"/>
      <c r="D1034" s="232"/>
      <c r="E1034" s="232"/>
      <c r="F1034" s="232"/>
      <c r="G1034" s="232"/>
      <c r="H1034" s="232"/>
      <c r="I1034" s="232"/>
      <c r="J1034" s="232"/>
      <c r="K1034" s="232"/>
      <c r="L1034" s="232"/>
      <c r="M1034" s="232"/>
      <c r="N1034" s="232"/>
      <c r="O1034" s="232"/>
      <c r="P1034" s="232"/>
      <c r="Q1034" s="232"/>
      <c r="R1034" s="232"/>
      <c r="S1034" s="232"/>
      <c r="T1034" s="232"/>
      <c r="U1034" s="232"/>
      <c r="V1034" s="15"/>
      <c r="W1034" s="15"/>
      <c r="X1034" s="15"/>
      <c r="Y1034" s="15"/>
      <c r="Z1034" s="15"/>
      <c r="AA1034" s="15"/>
    </row>
    <row r="1035" spans="1:27" s="25" customFormat="1" ht="12" customHeight="1" x14ac:dyDescent="0.2">
      <c r="A1035" s="232"/>
      <c r="B1035" s="250"/>
      <c r="C1035" s="286"/>
      <c r="D1035" s="232"/>
      <c r="E1035" s="232"/>
      <c r="F1035" s="232"/>
      <c r="G1035" s="232"/>
      <c r="H1035" s="232"/>
      <c r="I1035" s="232"/>
      <c r="J1035" s="232"/>
      <c r="K1035" s="232"/>
      <c r="L1035" s="232"/>
      <c r="M1035" s="232"/>
      <c r="N1035" s="232"/>
      <c r="O1035" s="232"/>
      <c r="P1035" s="232"/>
      <c r="Q1035" s="232"/>
      <c r="R1035" s="232"/>
      <c r="S1035" s="232"/>
      <c r="T1035" s="232"/>
      <c r="U1035" s="232"/>
      <c r="V1035" s="15"/>
      <c r="W1035" s="15"/>
      <c r="X1035" s="15"/>
      <c r="Y1035" s="15"/>
      <c r="Z1035" s="15"/>
      <c r="AA1035" s="15"/>
    </row>
    <row r="1036" spans="1:27" s="25" customFormat="1" ht="12" customHeight="1" x14ac:dyDescent="0.2">
      <c r="A1036" s="232"/>
      <c r="B1036" s="250"/>
      <c r="C1036" s="286"/>
      <c r="D1036" s="232"/>
      <c r="E1036" s="232"/>
      <c r="F1036" s="232"/>
      <c r="G1036" s="232"/>
      <c r="H1036" s="232"/>
      <c r="I1036" s="232"/>
      <c r="J1036" s="232"/>
      <c r="K1036" s="232"/>
      <c r="L1036" s="232"/>
      <c r="M1036" s="232"/>
      <c r="N1036" s="232"/>
      <c r="O1036" s="232"/>
      <c r="P1036" s="232"/>
      <c r="Q1036" s="232"/>
      <c r="R1036" s="232"/>
      <c r="S1036" s="232"/>
      <c r="T1036" s="232"/>
      <c r="U1036" s="232"/>
      <c r="V1036" s="15"/>
      <c r="W1036" s="15"/>
      <c r="X1036" s="15"/>
      <c r="Y1036" s="15"/>
      <c r="Z1036" s="15"/>
      <c r="AA1036" s="15"/>
    </row>
    <row r="1037" spans="1:27" s="25" customFormat="1" ht="12" customHeight="1" x14ac:dyDescent="0.2">
      <c r="A1037" s="232"/>
      <c r="B1037" s="250"/>
      <c r="C1037" s="286"/>
      <c r="D1037" s="232"/>
      <c r="E1037" s="232"/>
      <c r="F1037" s="232"/>
      <c r="G1037" s="232"/>
      <c r="H1037" s="232"/>
      <c r="I1037" s="232"/>
      <c r="J1037" s="232"/>
      <c r="K1037" s="232"/>
      <c r="L1037" s="232"/>
      <c r="M1037" s="232"/>
      <c r="N1037" s="232"/>
      <c r="O1037" s="232"/>
      <c r="P1037" s="232"/>
      <c r="Q1037" s="232"/>
      <c r="R1037" s="232"/>
      <c r="S1037" s="232"/>
      <c r="T1037" s="232"/>
      <c r="U1037" s="232"/>
      <c r="V1037" s="15"/>
      <c r="W1037" s="15"/>
      <c r="X1037" s="15"/>
      <c r="Y1037" s="15"/>
      <c r="Z1037" s="15"/>
      <c r="AA1037" s="15"/>
    </row>
    <row r="1038" spans="1:27" s="25" customFormat="1" ht="12" customHeight="1" x14ac:dyDescent="0.2">
      <c r="A1038" s="232"/>
      <c r="B1038" s="250"/>
      <c r="C1038" s="286"/>
      <c r="D1038" s="232"/>
      <c r="E1038" s="232"/>
      <c r="F1038" s="232"/>
      <c r="G1038" s="232"/>
      <c r="H1038" s="232"/>
      <c r="I1038" s="232"/>
      <c r="J1038" s="232"/>
      <c r="K1038" s="232"/>
      <c r="L1038" s="232"/>
      <c r="M1038" s="232"/>
      <c r="N1038" s="232"/>
      <c r="O1038" s="232"/>
      <c r="P1038" s="232"/>
      <c r="Q1038" s="232"/>
      <c r="R1038" s="232"/>
      <c r="S1038" s="232"/>
      <c r="T1038" s="232"/>
      <c r="U1038" s="232"/>
      <c r="V1038" s="15"/>
      <c r="W1038" s="15"/>
      <c r="X1038" s="15"/>
      <c r="Y1038" s="15"/>
      <c r="Z1038" s="15"/>
      <c r="AA1038" s="15"/>
    </row>
    <row r="1039" spans="1:27" s="25" customFormat="1" ht="12" customHeight="1" x14ac:dyDescent="0.2">
      <c r="A1039" s="232"/>
      <c r="B1039" s="250"/>
      <c r="C1039" s="286"/>
      <c r="D1039" s="232"/>
      <c r="E1039" s="232"/>
      <c r="F1039" s="232"/>
      <c r="G1039" s="232"/>
      <c r="H1039" s="232"/>
      <c r="I1039" s="232"/>
      <c r="J1039" s="232"/>
      <c r="K1039" s="232"/>
      <c r="L1039" s="232"/>
      <c r="M1039" s="232"/>
      <c r="N1039" s="232"/>
      <c r="O1039" s="232"/>
      <c r="P1039" s="232"/>
      <c r="Q1039" s="232"/>
      <c r="R1039" s="232"/>
      <c r="S1039" s="232"/>
      <c r="T1039" s="232"/>
      <c r="U1039" s="232"/>
      <c r="V1039" s="15"/>
      <c r="W1039" s="15"/>
      <c r="X1039" s="15"/>
      <c r="Y1039" s="15"/>
      <c r="Z1039" s="15"/>
      <c r="AA1039" s="15"/>
    </row>
    <row r="1040" spans="1:27" s="25" customFormat="1" ht="12" customHeight="1" x14ac:dyDescent="0.2">
      <c r="A1040" s="232"/>
      <c r="B1040" s="250"/>
      <c r="C1040" s="286"/>
      <c r="D1040" s="232"/>
      <c r="E1040" s="232"/>
      <c r="F1040" s="232"/>
      <c r="G1040" s="232"/>
      <c r="H1040" s="232"/>
      <c r="I1040" s="232"/>
      <c r="J1040" s="232"/>
      <c r="K1040" s="232"/>
      <c r="L1040" s="232"/>
      <c r="M1040" s="232"/>
      <c r="N1040" s="232"/>
      <c r="O1040" s="232"/>
      <c r="P1040" s="232"/>
      <c r="Q1040" s="232"/>
      <c r="R1040" s="232"/>
      <c r="S1040" s="232"/>
      <c r="T1040" s="232"/>
      <c r="U1040" s="232"/>
      <c r="V1040" s="15"/>
      <c r="W1040" s="15"/>
      <c r="X1040" s="15"/>
      <c r="Y1040" s="15"/>
      <c r="Z1040" s="15"/>
      <c r="AA1040" s="15"/>
    </row>
    <row r="1041" spans="1:27" s="25" customFormat="1" ht="12" customHeight="1" x14ac:dyDescent="0.2">
      <c r="A1041" s="232"/>
      <c r="B1041" s="250"/>
      <c r="C1041" s="286"/>
      <c r="D1041" s="232"/>
      <c r="E1041" s="232"/>
      <c r="F1041" s="232"/>
      <c r="G1041" s="232"/>
      <c r="H1041" s="232"/>
      <c r="I1041" s="232"/>
      <c r="J1041" s="232"/>
      <c r="K1041" s="232"/>
      <c r="L1041" s="232"/>
      <c r="M1041" s="232"/>
      <c r="N1041" s="232"/>
      <c r="O1041" s="232"/>
      <c r="P1041" s="232"/>
      <c r="Q1041" s="232"/>
      <c r="R1041" s="232"/>
      <c r="S1041" s="232"/>
      <c r="T1041" s="232"/>
      <c r="U1041" s="232"/>
      <c r="V1041" s="15"/>
      <c r="W1041" s="15"/>
      <c r="X1041" s="15"/>
      <c r="Y1041" s="15"/>
      <c r="Z1041" s="15"/>
      <c r="AA1041" s="15"/>
    </row>
    <row r="1042" spans="1:27" s="25" customFormat="1" ht="12" customHeight="1" x14ac:dyDescent="0.2">
      <c r="A1042" s="232"/>
      <c r="B1042" s="250"/>
      <c r="C1042" s="286"/>
      <c r="D1042" s="232"/>
      <c r="E1042" s="232"/>
      <c r="F1042" s="232"/>
      <c r="G1042" s="232"/>
      <c r="H1042" s="232"/>
      <c r="I1042" s="232"/>
      <c r="J1042" s="232"/>
      <c r="K1042" s="232"/>
      <c r="L1042" s="232"/>
      <c r="M1042" s="232"/>
      <c r="N1042" s="232"/>
      <c r="O1042" s="232"/>
      <c r="P1042" s="232"/>
      <c r="Q1042" s="232"/>
      <c r="R1042" s="232"/>
      <c r="S1042" s="232"/>
      <c r="T1042" s="232"/>
      <c r="U1042" s="232"/>
      <c r="V1042" s="15"/>
      <c r="W1042" s="15"/>
      <c r="X1042" s="15"/>
      <c r="Y1042" s="15"/>
      <c r="Z1042" s="15"/>
      <c r="AA1042" s="15"/>
    </row>
    <row r="1043" spans="1:27" s="25" customFormat="1" ht="12" customHeight="1" x14ac:dyDescent="0.2">
      <c r="A1043" s="232"/>
      <c r="B1043" s="250"/>
      <c r="C1043" s="286"/>
      <c r="D1043" s="232"/>
      <c r="E1043" s="232"/>
      <c r="F1043" s="232"/>
      <c r="G1043" s="232"/>
      <c r="H1043" s="232"/>
      <c r="I1043" s="232"/>
      <c r="J1043" s="232"/>
      <c r="K1043" s="232"/>
      <c r="L1043" s="232"/>
      <c r="M1043" s="232"/>
      <c r="N1043" s="232"/>
      <c r="O1043" s="232"/>
      <c r="P1043" s="232"/>
      <c r="Q1043" s="232"/>
      <c r="R1043" s="232"/>
      <c r="S1043" s="232"/>
      <c r="T1043" s="232"/>
      <c r="U1043" s="232"/>
      <c r="V1043" s="15"/>
      <c r="W1043" s="15"/>
      <c r="X1043" s="15"/>
      <c r="Y1043" s="15"/>
      <c r="Z1043" s="15"/>
      <c r="AA1043" s="15"/>
    </row>
    <row r="1044" spans="1:27" s="25" customFormat="1" ht="12" customHeight="1" x14ac:dyDescent="0.2">
      <c r="A1044" s="232"/>
      <c r="B1044" s="250"/>
      <c r="C1044" s="286"/>
      <c r="D1044" s="232"/>
      <c r="E1044" s="232"/>
      <c r="F1044" s="232"/>
      <c r="G1044" s="232"/>
      <c r="H1044" s="232"/>
      <c r="I1044" s="232"/>
      <c r="J1044" s="232"/>
      <c r="K1044" s="232"/>
      <c r="L1044" s="232"/>
      <c r="M1044" s="232"/>
      <c r="N1044" s="232"/>
      <c r="O1044" s="232"/>
      <c r="P1044" s="232"/>
      <c r="Q1044" s="232"/>
      <c r="R1044" s="232"/>
      <c r="S1044" s="232"/>
      <c r="T1044" s="232"/>
      <c r="U1044" s="232"/>
      <c r="V1044" s="15"/>
      <c r="W1044" s="15"/>
      <c r="X1044" s="15"/>
      <c r="Y1044" s="15"/>
      <c r="Z1044" s="15"/>
      <c r="AA1044" s="15"/>
    </row>
    <row r="1045" spans="1:27" s="25" customFormat="1" ht="12" customHeight="1" x14ac:dyDescent="0.2">
      <c r="A1045" s="232"/>
      <c r="B1045" s="250"/>
      <c r="C1045" s="286"/>
      <c r="D1045" s="232"/>
      <c r="E1045" s="232"/>
      <c r="F1045" s="232"/>
      <c r="G1045" s="232"/>
      <c r="H1045" s="232"/>
      <c r="I1045" s="232"/>
      <c r="J1045" s="232"/>
      <c r="K1045" s="232"/>
      <c r="L1045" s="232"/>
      <c r="M1045" s="232"/>
      <c r="N1045" s="232"/>
      <c r="O1045" s="232"/>
      <c r="P1045" s="232"/>
      <c r="Q1045" s="232"/>
      <c r="R1045" s="232"/>
      <c r="S1045" s="232"/>
      <c r="T1045" s="232"/>
      <c r="U1045" s="232"/>
      <c r="V1045" s="15"/>
      <c r="W1045" s="15"/>
      <c r="X1045" s="15"/>
      <c r="Y1045" s="15"/>
      <c r="Z1045" s="15"/>
      <c r="AA1045" s="15"/>
    </row>
    <row r="1046" spans="1:27" s="25" customFormat="1" ht="12" customHeight="1" x14ac:dyDescent="0.2">
      <c r="A1046" s="232"/>
      <c r="B1046" s="250"/>
      <c r="C1046" s="286"/>
      <c r="D1046" s="232"/>
      <c r="E1046" s="232"/>
      <c r="F1046" s="232"/>
      <c r="G1046" s="232"/>
      <c r="H1046" s="232"/>
      <c r="I1046" s="232"/>
      <c r="J1046" s="232"/>
      <c r="K1046" s="232"/>
      <c r="L1046" s="232"/>
      <c r="M1046" s="232"/>
      <c r="N1046" s="232"/>
      <c r="O1046" s="232"/>
      <c r="P1046" s="232"/>
      <c r="Q1046" s="232"/>
      <c r="R1046" s="232"/>
      <c r="S1046" s="232"/>
      <c r="T1046" s="232"/>
      <c r="U1046" s="232"/>
      <c r="V1046" s="15"/>
      <c r="W1046" s="15"/>
      <c r="X1046" s="15"/>
      <c r="Y1046" s="15"/>
      <c r="Z1046" s="15"/>
      <c r="AA1046" s="15"/>
    </row>
    <row r="1047" spans="1:27" s="25" customFormat="1" ht="12" customHeight="1" x14ac:dyDescent="0.2">
      <c r="A1047" s="232"/>
      <c r="B1047" s="250"/>
      <c r="C1047" s="286"/>
      <c r="D1047" s="232"/>
      <c r="E1047" s="232"/>
      <c r="F1047" s="232"/>
      <c r="G1047" s="232"/>
      <c r="H1047" s="232"/>
      <c r="I1047" s="232"/>
      <c r="J1047" s="232"/>
      <c r="K1047" s="232"/>
      <c r="L1047" s="232"/>
      <c r="M1047" s="232"/>
      <c r="N1047" s="232"/>
      <c r="O1047" s="232"/>
      <c r="P1047" s="232"/>
      <c r="Q1047" s="232"/>
      <c r="R1047" s="232"/>
      <c r="S1047" s="232"/>
      <c r="T1047" s="232"/>
      <c r="U1047" s="232"/>
      <c r="V1047" s="15"/>
      <c r="W1047" s="15"/>
      <c r="X1047" s="15"/>
      <c r="Y1047" s="15"/>
      <c r="Z1047" s="15"/>
      <c r="AA1047" s="15"/>
    </row>
    <row r="1048" spans="1:27" s="25" customFormat="1" ht="12" customHeight="1" x14ac:dyDescent="0.2">
      <c r="A1048" s="232"/>
      <c r="B1048" s="250"/>
      <c r="C1048" s="286"/>
      <c r="D1048" s="232"/>
      <c r="E1048" s="232"/>
      <c r="F1048" s="232"/>
      <c r="G1048" s="232"/>
      <c r="H1048" s="232"/>
      <c r="I1048" s="232"/>
      <c r="J1048" s="232"/>
      <c r="K1048" s="232"/>
      <c r="L1048" s="232"/>
      <c r="M1048" s="232"/>
      <c r="N1048" s="232"/>
      <c r="O1048" s="232"/>
      <c r="P1048" s="232"/>
      <c r="Q1048" s="232"/>
      <c r="R1048" s="232"/>
      <c r="S1048" s="232"/>
      <c r="T1048" s="232"/>
      <c r="U1048" s="232"/>
      <c r="V1048" s="15"/>
      <c r="W1048" s="15"/>
      <c r="X1048" s="15"/>
      <c r="Y1048" s="15"/>
      <c r="Z1048" s="15"/>
      <c r="AA1048" s="15"/>
    </row>
    <row r="1049" spans="1:27" s="25" customFormat="1" ht="12" customHeight="1" x14ac:dyDescent="0.2">
      <c r="A1049" s="232"/>
      <c r="B1049" s="250"/>
      <c r="C1049" s="286"/>
      <c r="D1049" s="232"/>
      <c r="E1049" s="232"/>
      <c r="F1049" s="232"/>
      <c r="G1049" s="232"/>
      <c r="H1049" s="232"/>
      <c r="I1049" s="232"/>
      <c r="J1049" s="232"/>
      <c r="K1049" s="232"/>
      <c r="L1049" s="232"/>
      <c r="M1049" s="232"/>
      <c r="N1049" s="232"/>
      <c r="O1049" s="232"/>
      <c r="P1049" s="232"/>
      <c r="Q1049" s="232"/>
      <c r="R1049" s="232"/>
      <c r="S1049" s="232"/>
      <c r="T1049" s="232"/>
      <c r="U1049" s="232"/>
      <c r="V1049" s="15"/>
      <c r="W1049" s="15"/>
      <c r="X1049" s="15"/>
      <c r="Y1049" s="15"/>
      <c r="Z1049" s="15"/>
      <c r="AA1049" s="15"/>
    </row>
    <row r="1050" spans="1:27" s="25" customFormat="1" ht="12" customHeight="1" x14ac:dyDescent="0.2">
      <c r="A1050" s="232"/>
      <c r="B1050" s="250"/>
      <c r="C1050" s="286"/>
      <c r="D1050" s="232"/>
      <c r="E1050" s="232"/>
      <c r="F1050" s="232"/>
      <c r="G1050" s="232"/>
      <c r="H1050" s="232"/>
      <c r="I1050" s="232"/>
      <c r="J1050" s="232"/>
      <c r="K1050" s="232"/>
      <c r="L1050" s="232"/>
      <c r="M1050" s="232"/>
      <c r="N1050" s="232"/>
      <c r="O1050" s="232"/>
      <c r="P1050" s="232"/>
      <c r="Q1050" s="232"/>
      <c r="R1050" s="232"/>
      <c r="S1050" s="232"/>
      <c r="T1050" s="232"/>
      <c r="U1050" s="232"/>
      <c r="V1050" s="15"/>
      <c r="W1050" s="15"/>
      <c r="X1050" s="15"/>
      <c r="Y1050" s="15"/>
      <c r="Z1050" s="15"/>
      <c r="AA1050" s="15"/>
    </row>
    <row r="1051" spans="1:27" s="25" customFormat="1" ht="12" customHeight="1" x14ac:dyDescent="0.2">
      <c r="A1051" s="232"/>
      <c r="B1051" s="250"/>
      <c r="C1051" s="286"/>
      <c r="D1051" s="232"/>
      <c r="E1051" s="232"/>
      <c r="F1051" s="232"/>
      <c r="G1051" s="232"/>
      <c r="H1051" s="232"/>
      <c r="I1051" s="232"/>
      <c r="J1051" s="232"/>
      <c r="K1051" s="232"/>
      <c r="L1051" s="232"/>
      <c r="M1051" s="232"/>
      <c r="N1051" s="232"/>
      <c r="O1051" s="232"/>
      <c r="P1051" s="232"/>
      <c r="Q1051" s="232"/>
      <c r="R1051" s="232"/>
      <c r="S1051" s="232"/>
      <c r="T1051" s="232"/>
      <c r="U1051" s="232"/>
      <c r="V1051" s="15"/>
      <c r="W1051" s="15"/>
      <c r="X1051" s="15"/>
      <c r="Y1051" s="15"/>
      <c r="Z1051" s="15"/>
      <c r="AA1051" s="15"/>
    </row>
    <row r="1052" spans="1:27" s="25" customFormat="1" ht="12" customHeight="1" x14ac:dyDescent="0.2">
      <c r="A1052" s="232"/>
      <c r="B1052" s="250"/>
      <c r="C1052" s="286"/>
      <c r="D1052" s="232"/>
      <c r="E1052" s="232"/>
      <c r="F1052" s="232"/>
      <c r="G1052" s="232"/>
      <c r="H1052" s="232"/>
      <c r="I1052" s="232"/>
      <c r="J1052" s="232"/>
      <c r="K1052" s="232"/>
      <c r="L1052" s="232"/>
      <c r="M1052" s="232"/>
      <c r="N1052" s="232"/>
      <c r="O1052" s="232"/>
      <c r="P1052" s="232"/>
      <c r="Q1052" s="232"/>
      <c r="R1052" s="232"/>
      <c r="S1052" s="232"/>
      <c r="T1052" s="232"/>
      <c r="U1052" s="232"/>
      <c r="V1052" s="15"/>
      <c r="W1052" s="15"/>
      <c r="X1052" s="15"/>
      <c r="Y1052" s="15"/>
      <c r="Z1052" s="15"/>
      <c r="AA1052" s="15"/>
    </row>
    <row r="1053" spans="1:27" s="25" customFormat="1" ht="12" customHeight="1" x14ac:dyDescent="0.2">
      <c r="A1053" s="232"/>
      <c r="B1053" s="250"/>
      <c r="C1053" s="286"/>
      <c r="D1053" s="232"/>
      <c r="E1053" s="232"/>
      <c r="F1053" s="232"/>
      <c r="G1053" s="232"/>
      <c r="H1053" s="232"/>
      <c r="I1053" s="232"/>
      <c r="J1053" s="232"/>
      <c r="K1053" s="232"/>
      <c r="L1053" s="232"/>
      <c r="M1053" s="232"/>
      <c r="N1053" s="232"/>
      <c r="O1053" s="232"/>
      <c r="P1053" s="232"/>
      <c r="Q1053" s="232"/>
      <c r="R1053" s="232"/>
      <c r="S1053" s="232"/>
      <c r="T1053" s="232"/>
      <c r="U1053" s="232"/>
      <c r="V1053" s="15"/>
      <c r="W1053" s="15"/>
      <c r="X1053" s="15"/>
      <c r="Y1053" s="15"/>
      <c r="Z1053" s="15"/>
      <c r="AA1053" s="15"/>
    </row>
    <row r="1054" spans="1:27" s="25" customFormat="1" ht="12" customHeight="1" x14ac:dyDescent="0.2">
      <c r="A1054" s="232"/>
      <c r="B1054" s="250"/>
      <c r="C1054" s="286"/>
      <c r="D1054" s="232"/>
      <c r="E1054" s="232"/>
      <c r="F1054" s="232"/>
      <c r="G1054" s="232"/>
      <c r="H1054" s="232"/>
      <c r="I1054" s="232"/>
      <c r="J1054" s="232"/>
      <c r="K1054" s="232"/>
      <c r="L1054" s="232"/>
      <c r="M1054" s="232"/>
      <c r="N1054" s="232"/>
      <c r="O1054" s="232"/>
      <c r="P1054" s="232"/>
      <c r="Q1054" s="232"/>
      <c r="R1054" s="232"/>
      <c r="S1054" s="232"/>
      <c r="T1054" s="232"/>
      <c r="U1054" s="232"/>
      <c r="V1054" s="15"/>
      <c r="W1054" s="15"/>
      <c r="X1054" s="15"/>
      <c r="Y1054" s="15"/>
      <c r="Z1054" s="15"/>
      <c r="AA1054" s="15"/>
    </row>
    <row r="1055" spans="1:27" s="25" customFormat="1" ht="12" customHeight="1" x14ac:dyDescent="0.2">
      <c r="A1055" s="232"/>
      <c r="B1055" s="250"/>
      <c r="C1055" s="286"/>
      <c r="D1055" s="232"/>
      <c r="E1055" s="232"/>
      <c r="F1055" s="232"/>
      <c r="G1055" s="232"/>
      <c r="H1055" s="232"/>
      <c r="I1055" s="232"/>
      <c r="J1055" s="232"/>
      <c r="K1055" s="232"/>
      <c r="L1055" s="232"/>
      <c r="M1055" s="232"/>
      <c r="N1055" s="232"/>
      <c r="O1055" s="232"/>
      <c r="P1055" s="232"/>
      <c r="Q1055" s="232"/>
      <c r="R1055" s="232"/>
      <c r="S1055" s="232"/>
      <c r="T1055" s="232"/>
      <c r="U1055" s="232"/>
      <c r="V1055" s="15"/>
      <c r="W1055" s="15"/>
      <c r="X1055" s="15"/>
      <c r="Y1055" s="15"/>
      <c r="Z1055" s="15"/>
      <c r="AA1055" s="15"/>
    </row>
    <row r="1056" spans="1:27" s="25" customFormat="1" ht="12" customHeight="1" x14ac:dyDescent="0.2">
      <c r="A1056" s="232"/>
      <c r="B1056" s="250"/>
      <c r="C1056" s="286"/>
      <c r="D1056" s="232"/>
      <c r="E1056" s="232"/>
      <c r="F1056" s="232"/>
      <c r="G1056" s="232"/>
      <c r="H1056" s="232"/>
      <c r="I1056" s="232"/>
      <c r="J1056" s="232"/>
      <c r="K1056" s="232"/>
      <c r="L1056" s="232"/>
      <c r="M1056" s="232"/>
      <c r="N1056" s="232"/>
      <c r="O1056" s="232"/>
      <c r="P1056" s="232"/>
      <c r="Q1056" s="232"/>
      <c r="R1056" s="232"/>
      <c r="S1056" s="232"/>
      <c r="T1056" s="232"/>
      <c r="U1056" s="232"/>
      <c r="V1056" s="15"/>
      <c r="W1056" s="15"/>
      <c r="X1056" s="15"/>
      <c r="Y1056" s="15"/>
      <c r="Z1056" s="15"/>
      <c r="AA1056" s="15"/>
    </row>
    <row r="1057" spans="1:27" s="25" customFormat="1" ht="12" customHeight="1" x14ac:dyDescent="0.2">
      <c r="A1057" s="232"/>
      <c r="B1057" s="250"/>
      <c r="C1057" s="286"/>
      <c r="D1057" s="232"/>
      <c r="E1057" s="232"/>
      <c r="F1057" s="232"/>
      <c r="G1057" s="232"/>
      <c r="H1057" s="232"/>
      <c r="I1057" s="232"/>
      <c r="J1057" s="232"/>
      <c r="K1057" s="232"/>
      <c r="L1057" s="232"/>
      <c r="M1057" s="232"/>
      <c r="N1057" s="232"/>
      <c r="O1057" s="232"/>
      <c r="P1057" s="232"/>
      <c r="Q1057" s="232"/>
      <c r="R1057" s="232"/>
      <c r="S1057" s="232"/>
      <c r="T1057" s="232"/>
      <c r="U1057" s="232"/>
      <c r="V1057" s="15"/>
      <c r="W1057" s="15"/>
      <c r="X1057" s="15"/>
      <c r="Y1057" s="15"/>
      <c r="Z1057" s="15"/>
      <c r="AA1057" s="15"/>
    </row>
    <row r="1058" spans="1:27" s="25" customFormat="1" ht="12" customHeight="1" x14ac:dyDescent="0.2">
      <c r="A1058" s="232"/>
      <c r="B1058" s="250"/>
      <c r="C1058" s="286"/>
      <c r="D1058" s="232"/>
      <c r="E1058" s="232"/>
      <c r="F1058" s="232"/>
      <c r="G1058" s="232"/>
      <c r="H1058" s="232"/>
      <c r="I1058" s="232"/>
      <c r="J1058" s="232"/>
      <c r="K1058" s="232"/>
      <c r="L1058" s="232"/>
      <c r="M1058" s="232"/>
      <c r="N1058" s="232"/>
      <c r="O1058" s="232"/>
      <c r="P1058" s="232"/>
      <c r="Q1058" s="232"/>
      <c r="R1058" s="232"/>
      <c r="S1058" s="232"/>
      <c r="T1058" s="232"/>
      <c r="U1058" s="232"/>
      <c r="V1058" s="15"/>
      <c r="W1058" s="15"/>
      <c r="X1058" s="15"/>
      <c r="Y1058" s="15"/>
      <c r="Z1058" s="15"/>
      <c r="AA1058" s="15"/>
    </row>
    <row r="1059" spans="1:27" s="25" customFormat="1" ht="12" customHeight="1" x14ac:dyDescent="0.2">
      <c r="A1059" s="232"/>
      <c r="B1059" s="250"/>
      <c r="C1059" s="286"/>
      <c r="D1059" s="232"/>
      <c r="E1059" s="232"/>
      <c r="F1059" s="232"/>
      <c r="G1059" s="232"/>
      <c r="H1059" s="232"/>
      <c r="I1059" s="232"/>
      <c r="J1059" s="232"/>
      <c r="K1059" s="232"/>
      <c r="L1059" s="232"/>
      <c r="M1059" s="232"/>
      <c r="N1059" s="232"/>
      <c r="O1059" s="232"/>
      <c r="P1059" s="232"/>
      <c r="Q1059" s="232"/>
      <c r="R1059" s="232"/>
      <c r="S1059" s="232"/>
      <c r="T1059" s="232"/>
      <c r="U1059" s="232"/>
      <c r="V1059" s="15"/>
      <c r="W1059" s="15"/>
      <c r="X1059" s="15"/>
      <c r="Y1059" s="15"/>
      <c r="Z1059" s="15"/>
      <c r="AA1059" s="15"/>
    </row>
    <row r="1060" spans="1:27" s="25" customFormat="1" ht="12" customHeight="1" x14ac:dyDescent="0.2">
      <c r="A1060" s="232"/>
      <c r="B1060" s="250"/>
      <c r="C1060" s="286"/>
      <c r="D1060" s="232"/>
      <c r="E1060" s="232"/>
      <c r="F1060" s="232"/>
      <c r="G1060" s="232"/>
      <c r="H1060" s="232"/>
      <c r="I1060" s="232"/>
      <c r="J1060" s="232"/>
      <c r="K1060" s="232"/>
      <c r="L1060" s="232"/>
      <c r="M1060" s="232"/>
      <c r="N1060" s="232"/>
      <c r="O1060" s="232"/>
      <c r="P1060" s="232"/>
      <c r="Q1060" s="232"/>
      <c r="R1060" s="232"/>
      <c r="S1060" s="232"/>
      <c r="T1060" s="232"/>
      <c r="U1060" s="232"/>
      <c r="V1060" s="15"/>
      <c r="W1060" s="15"/>
      <c r="X1060" s="15"/>
      <c r="Y1060" s="15"/>
      <c r="Z1060" s="15"/>
      <c r="AA1060" s="15"/>
    </row>
    <row r="1061" spans="1:27" s="25" customFormat="1" ht="12" customHeight="1" x14ac:dyDescent="0.2">
      <c r="A1061" s="232"/>
      <c r="B1061" s="250"/>
      <c r="C1061" s="286"/>
      <c r="D1061" s="232"/>
      <c r="E1061" s="232"/>
      <c r="F1061" s="232"/>
      <c r="G1061" s="232"/>
      <c r="H1061" s="232"/>
      <c r="I1061" s="232"/>
      <c r="J1061" s="232"/>
      <c r="K1061" s="232"/>
      <c r="L1061" s="232"/>
      <c r="M1061" s="232"/>
      <c r="N1061" s="232"/>
      <c r="O1061" s="232"/>
      <c r="P1061" s="232"/>
      <c r="Q1061" s="232"/>
      <c r="R1061" s="232"/>
      <c r="S1061" s="232"/>
      <c r="T1061" s="232"/>
      <c r="U1061" s="232"/>
      <c r="V1061" s="15"/>
      <c r="W1061" s="15"/>
      <c r="X1061" s="15"/>
      <c r="Y1061" s="15"/>
      <c r="Z1061" s="15"/>
      <c r="AA1061" s="15"/>
    </row>
    <row r="1062" spans="1:27" s="25" customFormat="1" ht="12" customHeight="1" x14ac:dyDescent="0.2">
      <c r="A1062" s="232"/>
      <c r="B1062" s="250"/>
      <c r="C1062" s="286"/>
      <c r="D1062" s="232"/>
      <c r="E1062" s="232"/>
      <c r="F1062" s="232"/>
      <c r="G1062" s="232"/>
      <c r="H1062" s="232"/>
      <c r="I1062" s="232"/>
      <c r="J1062" s="232"/>
      <c r="K1062" s="232"/>
      <c r="L1062" s="232"/>
      <c r="M1062" s="232"/>
      <c r="N1062" s="232"/>
      <c r="O1062" s="232"/>
      <c r="P1062" s="232"/>
      <c r="Q1062" s="232"/>
      <c r="R1062" s="232"/>
      <c r="S1062" s="232"/>
      <c r="T1062" s="232"/>
      <c r="U1062" s="232"/>
      <c r="V1062" s="15"/>
      <c r="W1062" s="15"/>
      <c r="X1062" s="15"/>
      <c r="Y1062" s="15"/>
      <c r="Z1062" s="15"/>
      <c r="AA1062" s="15"/>
    </row>
    <row r="1063" spans="1:27" s="25" customFormat="1" ht="12" customHeight="1" x14ac:dyDescent="0.2">
      <c r="A1063" s="232"/>
      <c r="B1063" s="250"/>
      <c r="C1063" s="286"/>
      <c r="D1063" s="232"/>
      <c r="E1063" s="232"/>
      <c r="F1063" s="232"/>
      <c r="G1063" s="232"/>
      <c r="H1063" s="232"/>
      <c r="I1063" s="232"/>
      <c r="J1063" s="232"/>
      <c r="K1063" s="232"/>
      <c r="L1063" s="232"/>
      <c r="M1063" s="232"/>
      <c r="N1063" s="232"/>
      <c r="O1063" s="232"/>
      <c r="P1063" s="232"/>
      <c r="Q1063" s="232"/>
      <c r="R1063" s="232"/>
      <c r="S1063" s="232"/>
      <c r="T1063" s="232"/>
      <c r="U1063" s="232"/>
      <c r="V1063" s="15"/>
      <c r="W1063" s="15"/>
      <c r="X1063" s="15"/>
      <c r="Y1063" s="15"/>
      <c r="Z1063" s="15"/>
      <c r="AA1063" s="15"/>
    </row>
    <row r="1064" spans="1:27" s="25" customFormat="1" ht="12" customHeight="1" x14ac:dyDescent="0.2">
      <c r="A1064" s="232"/>
      <c r="B1064" s="250"/>
      <c r="C1064" s="286"/>
      <c r="D1064" s="232"/>
      <c r="E1064" s="232"/>
      <c r="F1064" s="232"/>
      <c r="G1064" s="232"/>
      <c r="H1064" s="232"/>
      <c r="I1064" s="232"/>
      <c r="J1064" s="232"/>
      <c r="K1064" s="232"/>
      <c r="L1064" s="232"/>
      <c r="M1064" s="232"/>
      <c r="N1064" s="232"/>
      <c r="O1064" s="232"/>
      <c r="P1064" s="232"/>
      <c r="Q1064" s="232"/>
      <c r="R1064" s="232"/>
      <c r="S1064" s="232"/>
      <c r="T1064" s="232"/>
      <c r="U1064" s="232"/>
      <c r="V1064" s="15"/>
      <c r="W1064" s="15"/>
      <c r="X1064" s="15"/>
      <c r="Y1064" s="15"/>
      <c r="Z1064" s="15"/>
      <c r="AA1064" s="15"/>
    </row>
    <row r="1065" spans="1:27" s="25" customFormat="1" ht="12" customHeight="1" x14ac:dyDescent="0.2">
      <c r="A1065" s="232"/>
      <c r="B1065" s="250"/>
      <c r="C1065" s="286"/>
      <c r="D1065" s="232"/>
      <c r="E1065" s="232"/>
      <c r="F1065" s="232"/>
      <c r="G1065" s="232"/>
      <c r="H1065" s="232"/>
      <c r="I1065" s="232"/>
      <c r="J1065" s="232"/>
      <c r="K1065" s="232"/>
      <c r="L1065" s="232"/>
      <c r="M1065" s="232"/>
      <c r="N1065" s="232"/>
      <c r="O1065" s="232"/>
      <c r="P1065" s="232"/>
      <c r="Q1065" s="232"/>
      <c r="R1065" s="232"/>
      <c r="S1065" s="232"/>
      <c r="T1065" s="232"/>
      <c r="U1065" s="232"/>
      <c r="V1065" s="15"/>
      <c r="W1065" s="15"/>
      <c r="X1065" s="15"/>
      <c r="Y1065" s="15"/>
      <c r="Z1065" s="15"/>
      <c r="AA1065" s="15"/>
    </row>
    <row r="1066" spans="1:27" s="25" customFormat="1" ht="12" customHeight="1" x14ac:dyDescent="0.2">
      <c r="A1066" s="232"/>
      <c r="B1066" s="250"/>
      <c r="C1066" s="286"/>
      <c r="D1066" s="232"/>
      <c r="E1066" s="232"/>
      <c r="F1066" s="232"/>
      <c r="G1066" s="232"/>
      <c r="H1066" s="232"/>
      <c r="I1066" s="232"/>
      <c r="J1066" s="232"/>
      <c r="K1066" s="232"/>
      <c r="L1066" s="232"/>
      <c r="M1066" s="232"/>
      <c r="N1066" s="232"/>
      <c r="O1066" s="232"/>
      <c r="P1066" s="232"/>
      <c r="Q1066" s="232"/>
      <c r="R1066" s="232"/>
      <c r="S1066" s="232"/>
      <c r="T1066" s="232"/>
      <c r="U1066" s="232"/>
      <c r="V1066" s="15"/>
      <c r="W1066" s="15"/>
      <c r="X1066" s="15"/>
      <c r="Y1066" s="15"/>
      <c r="Z1066" s="15"/>
      <c r="AA1066" s="15"/>
    </row>
    <row r="1067" spans="1:27" s="25" customFormat="1" ht="12" customHeight="1" x14ac:dyDescent="0.2">
      <c r="A1067" s="232"/>
      <c r="B1067" s="250"/>
      <c r="C1067" s="286"/>
      <c r="D1067" s="232"/>
      <c r="E1067" s="232"/>
      <c r="F1067" s="232"/>
      <c r="G1067" s="232"/>
      <c r="H1067" s="232"/>
      <c r="I1067" s="232"/>
      <c r="J1067" s="232"/>
      <c r="K1067" s="232"/>
      <c r="L1067" s="232"/>
      <c r="M1067" s="232"/>
      <c r="N1067" s="232"/>
      <c r="O1067" s="232"/>
      <c r="P1067" s="232"/>
      <c r="Q1067" s="232"/>
      <c r="R1067" s="232"/>
      <c r="S1067" s="232"/>
      <c r="T1067" s="232"/>
      <c r="U1067" s="232"/>
      <c r="V1067" s="15"/>
      <c r="W1067" s="15"/>
      <c r="X1067" s="15"/>
      <c r="Y1067" s="15"/>
      <c r="Z1067" s="15"/>
      <c r="AA1067" s="15"/>
    </row>
    <row r="1068" spans="1:27" s="25" customFormat="1" ht="12" customHeight="1" x14ac:dyDescent="0.2">
      <c r="A1068" s="232"/>
      <c r="B1068" s="250"/>
      <c r="C1068" s="286"/>
      <c r="D1068" s="232"/>
      <c r="E1068" s="232"/>
      <c r="F1068" s="232"/>
      <c r="G1068" s="232"/>
      <c r="H1068" s="232"/>
      <c r="I1068" s="232"/>
      <c r="J1068" s="232"/>
      <c r="K1068" s="232"/>
      <c r="L1068" s="232"/>
      <c r="M1068" s="232"/>
      <c r="N1068" s="232"/>
      <c r="O1068" s="232"/>
      <c r="P1068" s="232"/>
      <c r="Q1068" s="232"/>
      <c r="R1068" s="232"/>
      <c r="S1068" s="232"/>
      <c r="T1068" s="232"/>
      <c r="U1068" s="232"/>
      <c r="V1068" s="15"/>
      <c r="W1068" s="15"/>
      <c r="X1068" s="15"/>
      <c r="Y1068" s="15"/>
      <c r="Z1068" s="15"/>
      <c r="AA1068" s="15"/>
    </row>
    <row r="1069" spans="1:27" s="25" customFormat="1" ht="12" customHeight="1" x14ac:dyDescent="0.2">
      <c r="A1069" s="232"/>
      <c r="B1069" s="250"/>
      <c r="C1069" s="286"/>
      <c r="D1069" s="232"/>
      <c r="E1069" s="232"/>
      <c r="F1069" s="232"/>
      <c r="G1069" s="232"/>
      <c r="H1069" s="232"/>
      <c r="I1069" s="232"/>
      <c r="J1069" s="232"/>
      <c r="K1069" s="232"/>
      <c r="L1069" s="232"/>
      <c r="M1069" s="232"/>
      <c r="N1069" s="232"/>
      <c r="O1069" s="232"/>
      <c r="P1069" s="232"/>
      <c r="Q1069" s="232"/>
      <c r="R1069" s="232"/>
      <c r="S1069" s="232"/>
      <c r="T1069" s="232"/>
      <c r="U1069" s="232"/>
      <c r="V1069" s="15"/>
      <c r="W1069" s="15"/>
      <c r="X1069" s="15"/>
      <c r="Y1069" s="15"/>
      <c r="Z1069" s="15"/>
      <c r="AA1069" s="15"/>
    </row>
    <row r="1070" spans="1:27" s="25" customFormat="1" ht="12" customHeight="1" x14ac:dyDescent="0.2">
      <c r="A1070" s="232"/>
      <c r="B1070" s="250"/>
      <c r="C1070" s="286"/>
      <c r="D1070" s="232"/>
      <c r="E1070" s="232"/>
      <c r="F1070" s="232"/>
      <c r="G1070" s="232"/>
      <c r="H1070" s="232"/>
      <c r="I1070" s="232"/>
      <c r="J1070" s="232"/>
      <c r="K1070" s="232"/>
      <c r="L1070" s="232"/>
      <c r="M1070" s="232"/>
      <c r="N1070" s="232"/>
      <c r="O1070" s="232"/>
      <c r="P1070" s="232"/>
      <c r="Q1070" s="232"/>
      <c r="R1070" s="232"/>
      <c r="S1070" s="232"/>
      <c r="T1070" s="232"/>
      <c r="U1070" s="232"/>
      <c r="V1070" s="15"/>
      <c r="W1070" s="15"/>
      <c r="X1070" s="15"/>
      <c r="Y1070" s="15"/>
      <c r="Z1070" s="15"/>
      <c r="AA1070" s="15"/>
    </row>
    <row r="1071" spans="1:27" s="25" customFormat="1" ht="12" customHeight="1" x14ac:dyDescent="0.2">
      <c r="A1071" s="232"/>
      <c r="B1071" s="250"/>
      <c r="C1071" s="286"/>
      <c r="D1071" s="232"/>
      <c r="E1071" s="232"/>
      <c r="F1071" s="232"/>
      <c r="G1071" s="232"/>
      <c r="H1071" s="232"/>
      <c r="I1071" s="232"/>
      <c r="J1071" s="232"/>
      <c r="K1071" s="232"/>
      <c r="L1071" s="232"/>
      <c r="M1071" s="232"/>
      <c r="N1071" s="232"/>
      <c r="O1071" s="232"/>
      <c r="P1071" s="232"/>
      <c r="Q1071" s="232"/>
      <c r="R1071" s="232"/>
      <c r="S1071" s="232"/>
      <c r="T1071" s="232"/>
      <c r="U1071" s="232"/>
      <c r="V1071" s="15"/>
      <c r="W1071" s="15"/>
      <c r="X1071" s="15"/>
      <c r="Y1071" s="15"/>
      <c r="Z1071" s="15"/>
      <c r="AA1071" s="15"/>
    </row>
    <row r="1072" spans="1:27" s="25" customFormat="1" ht="12" customHeight="1" x14ac:dyDescent="0.2">
      <c r="A1072" s="232"/>
      <c r="B1072" s="250"/>
      <c r="C1072" s="286"/>
      <c r="D1072" s="232"/>
      <c r="E1072" s="232"/>
      <c r="F1072" s="232"/>
      <c r="G1072" s="232"/>
      <c r="H1072" s="232"/>
      <c r="I1072" s="232"/>
      <c r="J1072" s="232"/>
      <c r="K1072" s="232"/>
      <c r="L1072" s="232"/>
      <c r="M1072" s="232"/>
      <c r="N1072" s="232"/>
      <c r="O1072" s="232"/>
      <c r="P1072" s="232"/>
      <c r="Q1072" s="232"/>
      <c r="R1072" s="232"/>
      <c r="S1072" s="232"/>
      <c r="T1072" s="232"/>
      <c r="U1072" s="232"/>
      <c r="V1072" s="15"/>
      <c r="W1072" s="15"/>
      <c r="X1072" s="15"/>
      <c r="Y1072" s="15"/>
      <c r="Z1072" s="15"/>
      <c r="AA1072" s="15"/>
    </row>
    <row r="1073" spans="1:27" s="25" customFormat="1" ht="12" customHeight="1" x14ac:dyDescent="0.2">
      <c r="A1073" s="232"/>
      <c r="B1073" s="250"/>
      <c r="C1073" s="286"/>
      <c r="D1073" s="232"/>
      <c r="E1073" s="232"/>
      <c r="F1073" s="232"/>
      <c r="G1073" s="232"/>
      <c r="H1073" s="232"/>
      <c r="I1073" s="232"/>
      <c r="J1073" s="232"/>
      <c r="K1073" s="232"/>
      <c r="L1073" s="232"/>
      <c r="M1073" s="232"/>
      <c r="N1073" s="232"/>
      <c r="O1073" s="232"/>
      <c r="P1073" s="232"/>
      <c r="Q1073" s="232"/>
      <c r="R1073" s="232"/>
      <c r="S1073" s="232"/>
      <c r="T1073" s="232"/>
      <c r="U1073" s="232"/>
      <c r="V1073" s="15"/>
      <c r="W1073" s="15"/>
      <c r="X1073" s="15"/>
      <c r="Y1073" s="15"/>
      <c r="Z1073" s="15"/>
      <c r="AA1073" s="15"/>
    </row>
    <row r="1074" spans="1:27" s="25" customFormat="1" ht="12" customHeight="1" x14ac:dyDescent="0.2">
      <c r="A1074" s="232"/>
      <c r="B1074" s="250"/>
      <c r="C1074" s="286"/>
      <c r="D1074" s="232"/>
      <c r="E1074" s="232"/>
      <c r="F1074" s="232"/>
      <c r="G1074" s="232"/>
      <c r="H1074" s="232"/>
      <c r="I1074" s="232"/>
      <c r="J1074" s="232"/>
      <c r="K1074" s="232"/>
      <c r="L1074" s="232"/>
      <c r="M1074" s="232"/>
      <c r="N1074" s="232"/>
      <c r="O1074" s="232"/>
      <c r="P1074" s="232"/>
      <c r="Q1074" s="232"/>
      <c r="R1074" s="232"/>
      <c r="S1074" s="232"/>
      <c r="T1074" s="232"/>
      <c r="U1074" s="232"/>
      <c r="V1074" s="15"/>
      <c r="W1074" s="15"/>
      <c r="X1074" s="15"/>
      <c r="Y1074" s="15"/>
      <c r="Z1074" s="15"/>
      <c r="AA1074" s="15"/>
    </row>
    <row r="1075" spans="1:27" s="25" customFormat="1" ht="12" customHeight="1" x14ac:dyDescent="0.2">
      <c r="A1075" s="232"/>
      <c r="B1075" s="250"/>
      <c r="C1075" s="286"/>
      <c r="D1075" s="232"/>
      <c r="E1075" s="232"/>
      <c r="F1075" s="232"/>
      <c r="G1075" s="232"/>
      <c r="H1075" s="232"/>
      <c r="I1075" s="232"/>
      <c r="J1075" s="232"/>
      <c r="K1075" s="232"/>
      <c r="L1075" s="232"/>
      <c r="M1075" s="232"/>
      <c r="N1075" s="232"/>
      <c r="O1075" s="232"/>
      <c r="P1075" s="232"/>
      <c r="Q1075" s="232"/>
      <c r="R1075" s="232"/>
      <c r="S1075" s="232"/>
      <c r="T1075" s="232"/>
      <c r="U1075" s="232"/>
      <c r="V1075" s="15"/>
      <c r="W1075" s="15"/>
      <c r="X1075" s="15"/>
      <c r="Y1075" s="15"/>
      <c r="Z1075" s="15"/>
      <c r="AA1075" s="15"/>
    </row>
    <row r="1076" spans="1:27" s="25" customFormat="1" ht="12" customHeight="1" x14ac:dyDescent="0.2">
      <c r="A1076" s="232"/>
      <c r="B1076" s="250"/>
      <c r="C1076" s="286"/>
      <c r="D1076" s="232"/>
      <c r="E1076" s="232"/>
      <c r="F1076" s="232"/>
      <c r="G1076" s="232"/>
      <c r="H1076" s="232"/>
      <c r="I1076" s="232"/>
      <c r="J1076" s="232"/>
      <c r="K1076" s="232"/>
      <c r="L1076" s="232"/>
      <c r="M1076" s="232"/>
      <c r="N1076" s="232"/>
      <c r="O1076" s="232"/>
      <c r="P1076" s="232"/>
      <c r="Q1076" s="232"/>
      <c r="R1076" s="232"/>
      <c r="S1076" s="232"/>
      <c r="T1076" s="232"/>
      <c r="U1076" s="232"/>
      <c r="V1076" s="15"/>
      <c r="W1076" s="15"/>
      <c r="X1076" s="15"/>
      <c r="Y1076" s="15"/>
      <c r="Z1076" s="15"/>
      <c r="AA1076" s="15"/>
    </row>
    <row r="1077" spans="1:27" s="25" customFormat="1" ht="12" customHeight="1" x14ac:dyDescent="0.2">
      <c r="A1077" s="232"/>
      <c r="B1077" s="250"/>
      <c r="C1077" s="286"/>
      <c r="D1077" s="232"/>
      <c r="E1077" s="232"/>
      <c r="F1077" s="232"/>
      <c r="G1077" s="232"/>
      <c r="H1077" s="232"/>
      <c r="I1077" s="232"/>
      <c r="J1077" s="232"/>
      <c r="K1077" s="232"/>
      <c r="L1077" s="232"/>
      <c r="M1077" s="232"/>
      <c r="N1077" s="232"/>
      <c r="O1077" s="232"/>
      <c r="P1077" s="232"/>
      <c r="Q1077" s="232"/>
      <c r="R1077" s="232"/>
      <c r="S1077" s="232"/>
      <c r="T1077" s="232"/>
      <c r="U1077" s="232"/>
      <c r="V1077" s="15"/>
      <c r="W1077" s="15"/>
      <c r="X1077" s="15"/>
      <c r="Y1077" s="15"/>
      <c r="Z1077" s="15"/>
      <c r="AA1077" s="15"/>
    </row>
    <row r="1078" spans="1:27" s="25" customFormat="1" ht="12" customHeight="1" x14ac:dyDescent="0.2">
      <c r="A1078" s="232"/>
      <c r="B1078" s="250"/>
      <c r="C1078" s="286"/>
      <c r="D1078" s="232"/>
      <c r="E1078" s="232"/>
      <c r="F1078" s="232"/>
      <c r="G1078" s="232"/>
      <c r="H1078" s="232"/>
      <c r="I1078" s="232"/>
      <c r="J1078" s="232"/>
      <c r="K1078" s="232"/>
      <c r="L1078" s="232"/>
      <c r="M1078" s="232"/>
      <c r="N1078" s="232"/>
      <c r="O1078" s="232"/>
      <c r="P1078" s="232"/>
      <c r="Q1078" s="232"/>
      <c r="R1078" s="232"/>
      <c r="S1078" s="232"/>
      <c r="T1078" s="232"/>
      <c r="U1078" s="232"/>
      <c r="V1078" s="15"/>
      <c r="W1078" s="15"/>
      <c r="X1078" s="15"/>
      <c r="Y1078" s="15"/>
      <c r="Z1078" s="15"/>
      <c r="AA1078" s="15"/>
    </row>
    <row r="1079" spans="1:27" s="25" customFormat="1" ht="12" customHeight="1" x14ac:dyDescent="0.2">
      <c r="A1079" s="232"/>
      <c r="B1079" s="250"/>
      <c r="C1079" s="286"/>
      <c r="D1079" s="232"/>
      <c r="E1079" s="232"/>
      <c r="F1079" s="232"/>
      <c r="G1079" s="232"/>
      <c r="H1079" s="232"/>
      <c r="I1079" s="232"/>
      <c r="J1079" s="232"/>
      <c r="K1079" s="232"/>
      <c r="L1079" s="232"/>
      <c r="M1079" s="232"/>
      <c r="N1079" s="232"/>
      <c r="O1079" s="232"/>
      <c r="P1079" s="232"/>
      <c r="Q1079" s="232"/>
      <c r="R1079" s="232"/>
      <c r="S1079" s="232"/>
      <c r="T1079" s="232"/>
      <c r="U1079" s="232"/>
      <c r="V1079" s="15"/>
      <c r="W1079" s="15"/>
      <c r="X1079" s="15"/>
      <c r="Y1079" s="15"/>
      <c r="Z1079" s="15"/>
      <c r="AA1079" s="15"/>
    </row>
    <row r="1080" spans="1:27" s="25" customFormat="1" ht="12" customHeight="1" x14ac:dyDescent="0.2">
      <c r="A1080" s="232"/>
      <c r="B1080" s="250"/>
      <c r="C1080" s="286"/>
      <c r="D1080" s="232"/>
      <c r="E1080" s="232"/>
      <c r="F1080" s="232"/>
      <c r="G1080" s="232"/>
      <c r="H1080" s="232"/>
      <c r="I1080" s="232"/>
      <c r="J1080" s="232"/>
      <c r="K1080" s="232"/>
      <c r="L1080" s="232"/>
      <c r="M1080" s="232"/>
      <c r="N1080" s="232"/>
      <c r="O1080" s="232"/>
      <c r="P1080" s="232"/>
      <c r="Q1080" s="232"/>
      <c r="R1080" s="232"/>
      <c r="S1080" s="232"/>
      <c r="T1080" s="232"/>
      <c r="U1080" s="232"/>
      <c r="V1080" s="15"/>
      <c r="W1080" s="15"/>
      <c r="X1080" s="15"/>
      <c r="Y1080" s="15"/>
      <c r="Z1080" s="15"/>
      <c r="AA1080" s="15"/>
    </row>
    <row r="1081" spans="1:27" s="25" customFormat="1" ht="12" customHeight="1" x14ac:dyDescent="0.2">
      <c r="A1081" s="232"/>
      <c r="B1081" s="250"/>
      <c r="C1081" s="286"/>
      <c r="D1081" s="232"/>
      <c r="E1081" s="232"/>
      <c r="F1081" s="232"/>
      <c r="G1081" s="232"/>
      <c r="H1081" s="232"/>
      <c r="I1081" s="232"/>
      <c r="J1081" s="232"/>
      <c r="K1081" s="232"/>
      <c r="L1081" s="232"/>
      <c r="M1081" s="232"/>
      <c r="N1081" s="232"/>
      <c r="O1081" s="232"/>
      <c r="P1081" s="232"/>
      <c r="Q1081" s="232"/>
      <c r="R1081" s="232"/>
      <c r="S1081" s="232"/>
      <c r="T1081" s="232"/>
      <c r="U1081" s="232"/>
      <c r="V1081" s="15"/>
      <c r="W1081" s="15"/>
      <c r="X1081" s="15"/>
      <c r="Y1081" s="15"/>
      <c r="Z1081" s="15"/>
      <c r="AA1081" s="15"/>
    </row>
    <row r="1082" spans="1:27" s="25" customFormat="1" ht="12" customHeight="1" x14ac:dyDescent="0.2">
      <c r="A1082" s="232"/>
      <c r="B1082" s="250"/>
      <c r="C1082" s="286"/>
      <c r="D1082" s="232"/>
      <c r="E1082" s="232"/>
      <c r="F1082" s="232"/>
      <c r="G1082" s="232"/>
      <c r="H1082" s="232"/>
      <c r="I1082" s="232"/>
      <c r="J1082" s="232"/>
      <c r="K1082" s="232"/>
      <c r="L1082" s="232"/>
      <c r="M1082" s="232"/>
      <c r="N1082" s="232"/>
      <c r="O1082" s="232"/>
      <c r="P1082" s="232"/>
      <c r="Q1082" s="232"/>
      <c r="R1082" s="232"/>
      <c r="S1082" s="232"/>
      <c r="T1082" s="232"/>
      <c r="U1082" s="232"/>
      <c r="V1082" s="15"/>
      <c r="W1082" s="15"/>
      <c r="X1082" s="15"/>
      <c r="Y1082" s="15"/>
      <c r="Z1082" s="15"/>
      <c r="AA1082" s="15"/>
    </row>
    <row r="1083" spans="1:27" s="25" customFormat="1" ht="12" customHeight="1" x14ac:dyDescent="0.2">
      <c r="A1083" s="232"/>
      <c r="B1083" s="250"/>
      <c r="C1083" s="286"/>
      <c r="D1083" s="232"/>
      <c r="E1083" s="232"/>
      <c r="F1083" s="232"/>
      <c r="G1083" s="232"/>
      <c r="H1083" s="232"/>
      <c r="I1083" s="232"/>
      <c r="J1083" s="232"/>
      <c r="K1083" s="232"/>
      <c r="L1083" s="232"/>
      <c r="M1083" s="232"/>
      <c r="N1083" s="232"/>
      <c r="O1083" s="232"/>
      <c r="P1083" s="232"/>
      <c r="Q1083" s="232"/>
      <c r="R1083" s="232"/>
      <c r="S1083" s="232"/>
      <c r="T1083" s="232"/>
      <c r="U1083" s="232"/>
      <c r="V1083" s="15"/>
      <c r="W1083" s="15"/>
      <c r="X1083" s="15"/>
      <c r="Y1083" s="15"/>
      <c r="Z1083" s="15"/>
      <c r="AA1083" s="15"/>
    </row>
    <row r="1084" spans="1:27" s="25" customFormat="1" ht="12" customHeight="1" x14ac:dyDescent="0.2">
      <c r="A1084" s="232"/>
      <c r="B1084" s="250"/>
      <c r="C1084" s="286"/>
      <c r="D1084" s="232"/>
      <c r="E1084" s="232"/>
      <c r="F1084" s="232"/>
      <c r="G1084" s="232"/>
      <c r="H1084" s="232"/>
      <c r="I1084" s="232"/>
      <c r="J1084" s="232"/>
      <c r="K1084" s="232"/>
      <c r="L1084" s="232"/>
      <c r="M1084" s="232"/>
      <c r="N1084" s="232"/>
      <c r="O1084" s="232"/>
      <c r="P1084" s="232"/>
      <c r="Q1084" s="232"/>
      <c r="R1084" s="232"/>
      <c r="S1084" s="232"/>
      <c r="T1084" s="232"/>
      <c r="U1084" s="232"/>
      <c r="V1084" s="15"/>
      <c r="W1084" s="15"/>
      <c r="X1084" s="15"/>
      <c r="Y1084" s="15"/>
      <c r="Z1084" s="15"/>
      <c r="AA1084" s="15"/>
    </row>
    <row r="1085" spans="1:27" s="25" customFormat="1" ht="12" customHeight="1" x14ac:dyDescent="0.2">
      <c r="A1085" s="232"/>
      <c r="B1085" s="250"/>
      <c r="C1085" s="286"/>
      <c r="D1085" s="232"/>
      <c r="E1085" s="232"/>
      <c r="F1085" s="232"/>
      <c r="G1085" s="232"/>
      <c r="H1085" s="232"/>
      <c r="I1085" s="232"/>
      <c r="J1085" s="232"/>
      <c r="K1085" s="232"/>
      <c r="L1085" s="232"/>
      <c r="M1085" s="232"/>
      <c r="N1085" s="232"/>
      <c r="O1085" s="232"/>
      <c r="P1085" s="232"/>
      <c r="Q1085" s="232"/>
      <c r="R1085" s="232"/>
      <c r="S1085" s="232"/>
      <c r="T1085" s="232"/>
      <c r="U1085" s="232"/>
      <c r="V1085" s="15"/>
      <c r="W1085" s="15"/>
      <c r="X1085" s="15"/>
      <c r="Y1085" s="15"/>
      <c r="Z1085" s="15"/>
      <c r="AA1085" s="15"/>
    </row>
    <row r="1086" spans="1:27" s="25" customFormat="1" ht="12" customHeight="1" x14ac:dyDescent="0.2">
      <c r="A1086" s="232"/>
      <c r="B1086" s="250"/>
      <c r="C1086" s="286"/>
      <c r="D1086" s="232"/>
      <c r="E1086" s="232"/>
      <c r="F1086" s="232"/>
      <c r="G1086" s="232"/>
      <c r="H1086" s="232"/>
      <c r="I1086" s="232"/>
      <c r="J1086" s="232"/>
      <c r="K1086" s="232"/>
      <c r="L1086" s="232"/>
      <c r="M1086" s="232"/>
      <c r="N1086" s="232"/>
      <c r="O1086" s="232"/>
      <c r="P1086" s="232"/>
      <c r="Q1086" s="232"/>
      <c r="R1086" s="232"/>
      <c r="S1086" s="232"/>
      <c r="T1086" s="232"/>
      <c r="U1086" s="232"/>
      <c r="V1086" s="15"/>
      <c r="W1086" s="15"/>
      <c r="X1086" s="15"/>
      <c r="Y1086" s="15"/>
      <c r="Z1086" s="15"/>
      <c r="AA1086" s="15"/>
    </row>
    <row r="1087" spans="1:27" s="25" customFormat="1" ht="12" customHeight="1" x14ac:dyDescent="0.2">
      <c r="A1087" s="232"/>
      <c r="B1087" s="250"/>
      <c r="C1087" s="286"/>
      <c r="D1087" s="232"/>
      <c r="E1087" s="232"/>
      <c r="F1087" s="232"/>
      <c r="G1087" s="232"/>
      <c r="H1087" s="232"/>
      <c r="I1087" s="232"/>
      <c r="J1087" s="232"/>
      <c r="K1087" s="232"/>
      <c r="L1087" s="232"/>
      <c r="M1087" s="232"/>
      <c r="N1087" s="232"/>
      <c r="O1087" s="232"/>
      <c r="P1087" s="232"/>
      <c r="Q1087" s="232"/>
      <c r="R1087" s="232"/>
      <c r="S1087" s="232"/>
      <c r="T1087" s="232"/>
      <c r="U1087" s="232"/>
      <c r="V1087" s="15"/>
      <c r="W1087" s="15"/>
      <c r="X1087" s="15"/>
      <c r="Y1087" s="15"/>
      <c r="Z1087" s="15"/>
      <c r="AA1087" s="15"/>
    </row>
    <row r="1088" spans="1:27" s="25" customFormat="1" ht="12" customHeight="1" x14ac:dyDescent="0.2">
      <c r="A1088" s="232"/>
      <c r="B1088" s="250"/>
      <c r="C1088" s="286"/>
      <c r="D1088" s="232"/>
      <c r="E1088" s="232"/>
      <c r="F1088" s="232"/>
      <c r="G1088" s="232"/>
      <c r="H1088" s="232"/>
      <c r="I1088" s="232"/>
      <c r="J1088" s="232"/>
      <c r="K1088" s="232"/>
      <c r="L1088" s="232"/>
      <c r="M1088" s="232"/>
      <c r="N1088" s="232"/>
      <c r="O1088" s="232"/>
      <c r="P1088" s="232"/>
      <c r="Q1088" s="232"/>
      <c r="R1088" s="232"/>
      <c r="S1088" s="232"/>
      <c r="T1088" s="232"/>
      <c r="U1088" s="232"/>
      <c r="V1088" s="15"/>
      <c r="W1088" s="15"/>
      <c r="X1088" s="15"/>
      <c r="Y1088" s="15"/>
      <c r="Z1088" s="15"/>
      <c r="AA1088" s="15"/>
    </row>
    <row r="1089" spans="1:27" s="25" customFormat="1" ht="12" customHeight="1" x14ac:dyDescent="0.2">
      <c r="A1089" s="232"/>
      <c r="B1089" s="250"/>
      <c r="C1089" s="286"/>
      <c r="D1089" s="232"/>
      <c r="E1089" s="232"/>
      <c r="F1089" s="232"/>
      <c r="G1089" s="232"/>
      <c r="H1089" s="232"/>
      <c r="I1089" s="232"/>
      <c r="J1089" s="232"/>
      <c r="K1089" s="232"/>
      <c r="L1089" s="232"/>
      <c r="M1089" s="232"/>
      <c r="N1089" s="232"/>
      <c r="O1089" s="232"/>
      <c r="P1089" s="232"/>
      <c r="Q1089" s="232"/>
      <c r="R1089" s="232"/>
      <c r="S1089" s="232"/>
      <c r="T1089" s="232"/>
      <c r="U1089" s="232"/>
      <c r="V1089" s="15"/>
      <c r="W1089" s="15"/>
      <c r="X1089" s="15"/>
      <c r="Y1089" s="15"/>
      <c r="Z1089" s="15"/>
      <c r="AA1089" s="15"/>
    </row>
    <row r="1090" spans="1:27" s="25" customFormat="1" ht="12" customHeight="1" x14ac:dyDescent="0.2">
      <c r="A1090" s="232"/>
      <c r="B1090" s="250"/>
      <c r="C1090" s="286"/>
      <c r="D1090" s="232"/>
      <c r="E1090" s="232"/>
      <c r="F1090" s="232"/>
      <c r="G1090" s="232"/>
      <c r="H1090" s="232"/>
      <c r="I1090" s="232"/>
      <c r="J1090" s="232"/>
      <c r="K1090" s="232"/>
      <c r="L1090" s="232"/>
      <c r="M1090" s="232"/>
      <c r="N1090" s="232"/>
      <c r="O1090" s="232"/>
      <c r="P1090" s="232"/>
      <c r="Q1090" s="232"/>
      <c r="R1090" s="232"/>
      <c r="S1090" s="232"/>
      <c r="T1090" s="232"/>
      <c r="U1090" s="232"/>
      <c r="V1090" s="15"/>
      <c r="W1090" s="15"/>
      <c r="X1090" s="15"/>
      <c r="Y1090" s="15"/>
      <c r="Z1090" s="15"/>
      <c r="AA1090" s="15"/>
    </row>
    <row r="1091" spans="1:27" s="25" customFormat="1" ht="12" customHeight="1" x14ac:dyDescent="0.2">
      <c r="A1091" s="232"/>
      <c r="B1091" s="250"/>
      <c r="C1091" s="286"/>
      <c r="D1091" s="232"/>
      <c r="E1091" s="232"/>
      <c r="F1091" s="232"/>
      <c r="G1091" s="232"/>
      <c r="H1091" s="232"/>
      <c r="I1091" s="232"/>
      <c r="J1091" s="232"/>
      <c r="K1091" s="232"/>
      <c r="L1091" s="232"/>
      <c r="M1091" s="232"/>
      <c r="N1091" s="232"/>
      <c r="O1091" s="232"/>
      <c r="P1091" s="232"/>
      <c r="Q1091" s="232"/>
      <c r="R1091" s="232"/>
      <c r="S1091" s="232"/>
      <c r="T1091" s="232"/>
      <c r="U1091" s="232"/>
      <c r="V1091" s="15"/>
      <c r="W1091" s="15"/>
      <c r="X1091" s="15"/>
      <c r="Y1091" s="15"/>
      <c r="Z1091" s="15"/>
      <c r="AA1091" s="15"/>
    </row>
    <row r="1092" spans="1:27" s="25" customFormat="1" ht="12" customHeight="1" x14ac:dyDescent="0.2">
      <c r="A1092" s="232"/>
      <c r="B1092" s="250"/>
      <c r="C1092" s="286"/>
      <c r="D1092" s="232"/>
      <c r="E1092" s="232"/>
      <c r="F1092" s="232"/>
      <c r="G1092" s="232"/>
      <c r="H1092" s="232"/>
      <c r="I1092" s="232"/>
      <c r="J1092" s="232"/>
      <c r="K1092" s="232"/>
      <c r="L1092" s="232"/>
      <c r="M1092" s="232"/>
      <c r="N1092" s="232"/>
      <c r="O1092" s="232"/>
      <c r="P1092" s="232"/>
      <c r="Q1092" s="232"/>
      <c r="R1092" s="232"/>
      <c r="S1092" s="232"/>
      <c r="T1092" s="232"/>
      <c r="U1092" s="232"/>
      <c r="V1092" s="15"/>
      <c r="W1092" s="15"/>
      <c r="X1092" s="15"/>
      <c r="Y1092" s="15"/>
      <c r="Z1092" s="15"/>
      <c r="AA1092" s="15"/>
    </row>
    <row r="1093" spans="1:27" s="25" customFormat="1" ht="12" customHeight="1" x14ac:dyDescent="0.2">
      <c r="A1093" s="232"/>
      <c r="B1093" s="250"/>
      <c r="C1093" s="286"/>
      <c r="D1093" s="232"/>
      <c r="E1093" s="232"/>
      <c r="F1093" s="232"/>
      <c r="G1093" s="232"/>
      <c r="H1093" s="232"/>
      <c r="I1093" s="232"/>
      <c r="J1093" s="232"/>
      <c r="K1093" s="232"/>
      <c r="L1093" s="232"/>
      <c r="M1093" s="232"/>
      <c r="N1093" s="232"/>
      <c r="O1093" s="232"/>
      <c r="P1093" s="232"/>
      <c r="Q1093" s="232"/>
      <c r="R1093" s="232"/>
      <c r="S1093" s="232"/>
      <c r="T1093" s="232"/>
      <c r="U1093" s="232"/>
      <c r="V1093" s="15"/>
      <c r="W1093" s="15"/>
      <c r="X1093" s="15"/>
      <c r="Y1093" s="15"/>
      <c r="Z1093" s="15"/>
      <c r="AA1093" s="15"/>
    </row>
    <row r="1094" spans="1:27" s="25" customFormat="1" ht="12" customHeight="1" x14ac:dyDescent="0.2">
      <c r="A1094" s="232"/>
      <c r="B1094" s="250"/>
      <c r="C1094" s="286"/>
      <c r="D1094" s="232"/>
      <c r="E1094" s="232"/>
      <c r="F1094" s="232"/>
      <c r="G1094" s="232"/>
      <c r="H1094" s="232"/>
      <c r="I1094" s="232"/>
      <c r="J1094" s="232"/>
      <c r="K1094" s="232"/>
      <c r="L1094" s="232"/>
      <c r="M1094" s="232"/>
      <c r="N1094" s="232"/>
      <c r="O1094" s="232"/>
      <c r="P1094" s="232"/>
      <c r="Q1094" s="232"/>
      <c r="R1094" s="232"/>
      <c r="S1094" s="232"/>
      <c r="T1094" s="232"/>
      <c r="U1094" s="232"/>
      <c r="V1094" s="15"/>
      <c r="W1094" s="15"/>
      <c r="X1094" s="15"/>
      <c r="Y1094" s="15"/>
      <c r="Z1094" s="15"/>
      <c r="AA1094" s="15"/>
    </row>
    <row r="1095" spans="1:27" s="25" customFormat="1" ht="12" customHeight="1" x14ac:dyDescent="0.2">
      <c r="A1095" s="232"/>
      <c r="B1095" s="250"/>
      <c r="C1095" s="286"/>
      <c r="D1095" s="232"/>
      <c r="E1095" s="232"/>
      <c r="F1095" s="232"/>
      <c r="G1095" s="232"/>
      <c r="H1095" s="232"/>
      <c r="I1095" s="232"/>
      <c r="J1095" s="232"/>
      <c r="K1095" s="232"/>
      <c r="L1095" s="232"/>
      <c r="M1095" s="232"/>
      <c r="N1095" s="232"/>
      <c r="O1095" s="232"/>
      <c r="P1095" s="232"/>
      <c r="Q1095" s="232"/>
      <c r="R1095" s="232"/>
      <c r="S1095" s="232"/>
      <c r="T1095" s="232"/>
      <c r="U1095" s="232"/>
      <c r="V1095" s="15"/>
      <c r="W1095" s="15"/>
      <c r="X1095" s="15"/>
      <c r="Y1095" s="15"/>
      <c r="Z1095" s="15"/>
      <c r="AA1095" s="15"/>
    </row>
    <row r="1096" spans="1:27" s="25" customFormat="1" ht="12" customHeight="1" x14ac:dyDescent="0.2">
      <c r="A1096" s="232"/>
      <c r="B1096" s="250"/>
      <c r="C1096" s="286"/>
      <c r="D1096" s="232"/>
      <c r="E1096" s="232"/>
      <c r="F1096" s="232"/>
      <c r="G1096" s="232"/>
      <c r="H1096" s="232"/>
      <c r="I1096" s="232"/>
      <c r="J1096" s="232"/>
      <c r="K1096" s="232"/>
      <c r="L1096" s="232"/>
      <c r="M1096" s="232"/>
      <c r="N1096" s="232"/>
      <c r="O1096" s="232"/>
      <c r="P1096" s="232"/>
      <c r="Q1096" s="232"/>
      <c r="R1096" s="232"/>
      <c r="S1096" s="232"/>
      <c r="T1096" s="232"/>
      <c r="U1096" s="232"/>
      <c r="V1096" s="15"/>
      <c r="W1096" s="15"/>
      <c r="X1096" s="15"/>
      <c r="Y1096" s="15"/>
      <c r="Z1096" s="15"/>
      <c r="AA1096" s="15"/>
    </row>
    <row r="1097" spans="1:27" s="25" customFormat="1" ht="12" customHeight="1" x14ac:dyDescent="0.2">
      <c r="A1097" s="232"/>
      <c r="B1097" s="250"/>
      <c r="C1097" s="286"/>
      <c r="D1097" s="232"/>
      <c r="E1097" s="232"/>
      <c r="F1097" s="232"/>
      <c r="G1097" s="232"/>
      <c r="H1097" s="232"/>
      <c r="I1097" s="232"/>
      <c r="J1097" s="232"/>
      <c r="K1097" s="232"/>
      <c r="L1097" s="232"/>
      <c r="M1097" s="232"/>
      <c r="N1097" s="232"/>
      <c r="O1097" s="232"/>
      <c r="P1097" s="232"/>
      <c r="Q1097" s="232"/>
      <c r="R1097" s="232"/>
      <c r="S1097" s="232"/>
      <c r="T1097" s="232"/>
      <c r="U1097" s="232"/>
      <c r="V1097" s="15"/>
      <c r="W1097" s="15"/>
      <c r="X1097" s="15"/>
      <c r="Y1097" s="15"/>
      <c r="Z1097" s="15"/>
      <c r="AA1097" s="15"/>
    </row>
    <row r="1098" spans="1:27" s="25" customFormat="1" ht="12" customHeight="1" x14ac:dyDescent="0.2">
      <c r="A1098" s="232"/>
      <c r="B1098" s="250"/>
      <c r="C1098" s="286"/>
      <c r="D1098" s="232"/>
      <c r="E1098" s="232"/>
      <c r="F1098" s="232"/>
      <c r="G1098" s="232"/>
      <c r="H1098" s="232"/>
      <c r="I1098" s="232"/>
      <c r="J1098" s="232"/>
      <c r="K1098" s="232"/>
      <c r="L1098" s="232"/>
      <c r="M1098" s="232"/>
      <c r="N1098" s="232"/>
      <c r="O1098" s="232"/>
      <c r="P1098" s="232"/>
      <c r="Q1098" s="232"/>
      <c r="R1098" s="232"/>
      <c r="S1098" s="232"/>
      <c r="T1098" s="232"/>
      <c r="U1098" s="232"/>
      <c r="V1098" s="15"/>
      <c r="W1098" s="15"/>
      <c r="X1098" s="15"/>
      <c r="Y1098" s="15"/>
      <c r="Z1098" s="15"/>
      <c r="AA1098" s="15"/>
    </row>
    <row r="1099" spans="1:27" s="25" customFormat="1" ht="12" customHeight="1" x14ac:dyDescent="0.2">
      <c r="A1099" s="232"/>
      <c r="B1099" s="250"/>
      <c r="C1099" s="286"/>
      <c r="D1099" s="232"/>
      <c r="E1099" s="232"/>
      <c r="F1099" s="232"/>
      <c r="G1099" s="232"/>
      <c r="H1099" s="232"/>
      <c r="I1099" s="232"/>
      <c r="J1099" s="232"/>
      <c r="K1099" s="232"/>
      <c r="L1099" s="232"/>
      <c r="M1099" s="232"/>
      <c r="N1099" s="232"/>
      <c r="O1099" s="232"/>
      <c r="P1099" s="232"/>
      <c r="Q1099" s="232"/>
      <c r="R1099" s="232"/>
      <c r="S1099" s="232"/>
      <c r="T1099" s="232"/>
      <c r="U1099" s="232"/>
      <c r="V1099" s="15"/>
      <c r="W1099" s="15"/>
      <c r="X1099" s="15"/>
      <c r="Y1099" s="15"/>
      <c r="Z1099" s="15"/>
      <c r="AA1099" s="15"/>
    </row>
    <row r="1100" spans="1:27" s="25" customFormat="1" ht="12" customHeight="1" x14ac:dyDescent="0.2">
      <c r="A1100" s="232"/>
      <c r="B1100" s="250"/>
      <c r="C1100" s="286"/>
      <c r="D1100" s="232"/>
      <c r="E1100" s="232"/>
      <c r="F1100" s="232"/>
      <c r="G1100" s="232"/>
      <c r="H1100" s="232"/>
      <c r="I1100" s="232"/>
      <c r="J1100" s="232"/>
      <c r="K1100" s="232"/>
      <c r="L1100" s="232"/>
      <c r="M1100" s="232"/>
      <c r="N1100" s="232"/>
      <c r="O1100" s="232"/>
      <c r="P1100" s="232"/>
      <c r="Q1100" s="232"/>
      <c r="R1100" s="232"/>
      <c r="S1100" s="232"/>
      <c r="T1100" s="232"/>
      <c r="U1100" s="232"/>
      <c r="V1100" s="15"/>
      <c r="W1100" s="15"/>
      <c r="X1100" s="15"/>
      <c r="Y1100" s="15"/>
      <c r="Z1100" s="15"/>
      <c r="AA1100" s="15"/>
    </row>
    <row r="1101" spans="1:27" s="25" customFormat="1" ht="12" customHeight="1" x14ac:dyDescent="0.2">
      <c r="A1101" s="232"/>
      <c r="B1101" s="250"/>
      <c r="C1101" s="286"/>
      <c r="D1101" s="232"/>
      <c r="E1101" s="232"/>
      <c r="F1101" s="232"/>
      <c r="G1101" s="232"/>
      <c r="H1101" s="232"/>
      <c r="I1101" s="232"/>
      <c r="J1101" s="232"/>
      <c r="K1101" s="232"/>
      <c r="L1101" s="232"/>
      <c r="M1101" s="232"/>
      <c r="N1101" s="232"/>
      <c r="O1101" s="232"/>
      <c r="P1101" s="232"/>
      <c r="Q1101" s="232"/>
      <c r="R1101" s="232"/>
      <c r="S1101" s="232"/>
      <c r="T1101" s="232"/>
      <c r="U1101" s="232"/>
      <c r="V1101" s="15"/>
      <c r="W1101" s="15"/>
      <c r="X1101" s="15"/>
      <c r="Y1101" s="15"/>
      <c r="Z1101" s="15"/>
      <c r="AA1101" s="15"/>
    </row>
    <row r="1102" spans="1:27" s="25" customFormat="1" ht="12" customHeight="1" x14ac:dyDescent="0.2">
      <c r="A1102" s="232"/>
      <c r="B1102" s="250"/>
      <c r="C1102" s="286"/>
      <c r="D1102" s="232"/>
      <c r="E1102" s="232"/>
      <c r="F1102" s="232"/>
      <c r="G1102" s="232"/>
      <c r="H1102" s="232"/>
      <c r="I1102" s="232"/>
      <c r="J1102" s="232"/>
      <c r="K1102" s="232"/>
      <c r="L1102" s="232"/>
      <c r="M1102" s="232"/>
      <c r="N1102" s="232"/>
      <c r="O1102" s="232"/>
      <c r="P1102" s="232"/>
      <c r="Q1102" s="232"/>
      <c r="R1102" s="232"/>
      <c r="S1102" s="232"/>
      <c r="T1102" s="232"/>
      <c r="U1102" s="232"/>
      <c r="V1102" s="15"/>
      <c r="W1102" s="15"/>
      <c r="X1102" s="15"/>
      <c r="Y1102" s="15"/>
      <c r="Z1102" s="15"/>
      <c r="AA1102" s="15"/>
    </row>
    <row r="1103" spans="1:27" s="25" customFormat="1" ht="12" customHeight="1" x14ac:dyDescent="0.2">
      <c r="A1103" s="232"/>
      <c r="B1103" s="250"/>
      <c r="C1103" s="286"/>
      <c r="D1103" s="232"/>
      <c r="E1103" s="232"/>
      <c r="F1103" s="232"/>
      <c r="G1103" s="232"/>
      <c r="H1103" s="232"/>
      <c r="I1103" s="232"/>
      <c r="J1103" s="232"/>
      <c r="K1103" s="232"/>
      <c r="L1103" s="232"/>
      <c r="M1103" s="232"/>
      <c r="N1103" s="232"/>
      <c r="O1103" s="232"/>
      <c r="P1103" s="232"/>
      <c r="Q1103" s="232"/>
      <c r="R1103" s="232"/>
      <c r="S1103" s="232"/>
      <c r="T1103" s="232"/>
      <c r="U1103" s="232"/>
      <c r="V1103" s="15"/>
      <c r="W1103" s="15"/>
      <c r="X1103" s="15"/>
      <c r="Y1103" s="15"/>
      <c r="Z1103" s="15"/>
      <c r="AA1103" s="15"/>
    </row>
    <row r="1104" spans="1:27" s="25" customFormat="1" ht="12" customHeight="1" x14ac:dyDescent="0.2">
      <c r="A1104" s="232"/>
      <c r="B1104" s="250"/>
      <c r="C1104" s="286"/>
      <c r="D1104" s="232"/>
      <c r="E1104" s="232"/>
      <c r="F1104" s="232"/>
      <c r="G1104" s="232"/>
      <c r="H1104" s="232"/>
      <c r="I1104" s="232"/>
      <c r="J1104" s="232"/>
      <c r="K1104" s="232"/>
      <c r="L1104" s="232"/>
      <c r="M1104" s="232"/>
      <c r="N1104" s="232"/>
      <c r="O1104" s="232"/>
      <c r="P1104" s="232"/>
      <c r="Q1104" s="232"/>
      <c r="R1104" s="232"/>
      <c r="S1104" s="232"/>
      <c r="T1104" s="232"/>
      <c r="U1104" s="232"/>
      <c r="V1104" s="15"/>
      <c r="W1104" s="15"/>
      <c r="X1104" s="15"/>
      <c r="Y1104" s="15"/>
      <c r="Z1104" s="15"/>
      <c r="AA1104" s="15"/>
    </row>
    <row r="1105" spans="1:27" s="25" customFormat="1" ht="12" customHeight="1" x14ac:dyDescent="0.2">
      <c r="A1105" s="232"/>
      <c r="B1105" s="250"/>
      <c r="C1105" s="286"/>
      <c r="D1105" s="232"/>
      <c r="E1105" s="232"/>
      <c r="F1105" s="232"/>
      <c r="G1105" s="232"/>
      <c r="H1105" s="232"/>
      <c r="I1105" s="232"/>
      <c r="J1105" s="232"/>
      <c r="K1105" s="232"/>
      <c r="L1105" s="232"/>
      <c r="M1105" s="232"/>
      <c r="N1105" s="232"/>
      <c r="O1105" s="232"/>
      <c r="P1105" s="232"/>
      <c r="Q1105" s="232"/>
      <c r="R1105" s="232"/>
      <c r="S1105" s="232"/>
      <c r="T1105" s="232"/>
      <c r="U1105" s="232"/>
      <c r="V1105" s="15"/>
      <c r="W1105" s="15"/>
      <c r="X1105" s="15"/>
      <c r="Y1105" s="15"/>
      <c r="Z1105" s="15"/>
      <c r="AA1105" s="15"/>
    </row>
    <row r="1106" spans="1:27" s="25" customFormat="1" ht="12" customHeight="1" x14ac:dyDescent="0.2">
      <c r="A1106" s="232"/>
      <c r="B1106" s="250"/>
      <c r="C1106" s="286"/>
      <c r="D1106" s="232"/>
      <c r="E1106" s="232"/>
      <c r="F1106" s="232"/>
      <c r="G1106" s="232"/>
      <c r="H1106" s="232"/>
      <c r="I1106" s="232"/>
      <c r="J1106" s="232"/>
      <c r="K1106" s="232"/>
      <c r="L1106" s="232"/>
      <c r="M1106" s="232"/>
      <c r="N1106" s="232"/>
      <c r="O1106" s="232"/>
      <c r="P1106" s="232"/>
      <c r="Q1106" s="232"/>
      <c r="R1106" s="232"/>
      <c r="S1106" s="232"/>
      <c r="T1106" s="232"/>
      <c r="U1106" s="232"/>
      <c r="V1106" s="15"/>
      <c r="W1106" s="15"/>
      <c r="X1106" s="15"/>
      <c r="Y1106" s="15"/>
      <c r="Z1106" s="15"/>
      <c r="AA1106" s="15"/>
    </row>
    <row r="1107" spans="1:27" s="25" customFormat="1" ht="12" customHeight="1" x14ac:dyDescent="0.2">
      <c r="A1107" s="232"/>
      <c r="B1107" s="250"/>
      <c r="C1107" s="286"/>
      <c r="D1107" s="232"/>
      <c r="E1107" s="232"/>
      <c r="F1107" s="232"/>
      <c r="G1107" s="232"/>
      <c r="H1107" s="232"/>
      <c r="I1107" s="232"/>
      <c r="J1107" s="232"/>
      <c r="K1107" s="232"/>
      <c r="L1107" s="232"/>
      <c r="M1107" s="232"/>
      <c r="N1107" s="232"/>
      <c r="O1107" s="232"/>
      <c r="P1107" s="232"/>
      <c r="Q1107" s="232"/>
      <c r="R1107" s="232"/>
      <c r="S1107" s="232"/>
      <c r="T1107" s="232"/>
      <c r="U1107" s="232"/>
      <c r="V1107" s="15"/>
      <c r="W1107" s="15"/>
      <c r="X1107" s="15"/>
      <c r="Y1107" s="15"/>
      <c r="Z1107" s="15"/>
      <c r="AA1107" s="15"/>
    </row>
    <row r="1108" spans="1:27" s="25" customFormat="1" ht="12" customHeight="1" x14ac:dyDescent="0.2">
      <c r="A1108" s="232"/>
      <c r="B1108" s="250"/>
      <c r="C1108" s="286"/>
      <c r="D1108" s="232"/>
      <c r="E1108" s="232"/>
      <c r="F1108" s="232"/>
      <c r="G1108" s="232"/>
      <c r="H1108" s="232"/>
      <c r="I1108" s="232"/>
      <c r="J1108" s="232"/>
      <c r="K1108" s="232"/>
      <c r="L1108" s="232"/>
      <c r="M1108" s="232"/>
      <c r="N1108" s="232"/>
      <c r="O1108" s="232"/>
      <c r="P1108" s="232"/>
      <c r="Q1108" s="232"/>
      <c r="R1108" s="232"/>
      <c r="S1108" s="232"/>
      <c r="T1108" s="232"/>
      <c r="U1108" s="232"/>
      <c r="V1108" s="15"/>
      <c r="W1108" s="15"/>
      <c r="X1108" s="15"/>
      <c r="Y1108" s="15"/>
      <c r="Z1108" s="15"/>
      <c r="AA1108" s="15"/>
    </row>
    <row r="1109" spans="1:27" s="25" customFormat="1" ht="12" customHeight="1" x14ac:dyDescent="0.2">
      <c r="A1109" s="232"/>
      <c r="B1109" s="250"/>
      <c r="C1109" s="286"/>
      <c r="D1109" s="232"/>
      <c r="E1109" s="232"/>
      <c r="F1109" s="232"/>
      <c r="G1109" s="232"/>
      <c r="H1109" s="232"/>
      <c r="I1109" s="232"/>
      <c r="J1109" s="232"/>
      <c r="K1109" s="232"/>
      <c r="L1109" s="232"/>
      <c r="M1109" s="232"/>
      <c r="N1109" s="232"/>
      <c r="O1109" s="232"/>
      <c r="P1109" s="232"/>
      <c r="Q1109" s="232"/>
      <c r="R1109" s="232"/>
      <c r="S1109" s="232"/>
      <c r="T1109" s="232"/>
      <c r="U1109" s="232"/>
      <c r="V1109" s="15"/>
      <c r="W1109" s="15"/>
      <c r="X1109" s="15"/>
      <c r="Y1109" s="15"/>
      <c r="Z1109" s="15"/>
      <c r="AA1109" s="15"/>
    </row>
    <row r="1110" spans="1:27" s="25" customFormat="1" ht="12" customHeight="1" x14ac:dyDescent="0.2">
      <c r="A1110" s="232"/>
      <c r="B1110" s="250"/>
      <c r="C1110" s="286"/>
      <c r="D1110" s="232"/>
      <c r="E1110" s="232"/>
      <c r="F1110" s="232"/>
      <c r="G1110" s="232"/>
      <c r="H1110" s="232"/>
      <c r="I1110" s="232"/>
      <c r="J1110" s="232"/>
      <c r="K1110" s="232"/>
      <c r="L1110" s="232"/>
      <c r="M1110" s="232"/>
      <c r="N1110" s="232"/>
      <c r="O1110" s="232"/>
      <c r="P1110" s="232"/>
      <c r="Q1110" s="232"/>
      <c r="R1110" s="232"/>
      <c r="S1110" s="232"/>
      <c r="T1110" s="232"/>
      <c r="U1110" s="232"/>
      <c r="V1110" s="15"/>
      <c r="W1110" s="15"/>
      <c r="X1110" s="15"/>
      <c r="Y1110" s="15"/>
      <c r="Z1110" s="15"/>
      <c r="AA1110" s="15"/>
    </row>
    <row r="1111" spans="1:27" s="25" customFormat="1" ht="12" customHeight="1" x14ac:dyDescent="0.2">
      <c r="A1111" s="232"/>
      <c r="B1111" s="250"/>
      <c r="C1111" s="286"/>
      <c r="D1111" s="232"/>
      <c r="E1111" s="232"/>
      <c r="F1111" s="232"/>
      <c r="G1111" s="232"/>
      <c r="H1111" s="232"/>
      <c r="I1111" s="232"/>
      <c r="J1111" s="232"/>
      <c r="K1111" s="232"/>
      <c r="L1111" s="232"/>
      <c r="M1111" s="232"/>
      <c r="N1111" s="232"/>
      <c r="O1111" s="232"/>
      <c r="P1111" s="232"/>
      <c r="Q1111" s="232"/>
      <c r="R1111" s="232"/>
      <c r="S1111" s="232"/>
      <c r="T1111" s="232"/>
      <c r="U1111" s="232"/>
      <c r="V1111" s="15"/>
      <c r="W1111" s="15"/>
      <c r="X1111" s="15"/>
      <c r="Y1111" s="15"/>
      <c r="Z1111" s="15"/>
      <c r="AA1111" s="15"/>
    </row>
    <row r="1112" spans="1:27" s="25" customFormat="1" ht="12" customHeight="1" x14ac:dyDescent="0.2">
      <c r="A1112" s="232"/>
      <c r="B1112" s="250"/>
      <c r="C1112" s="286"/>
      <c r="D1112" s="232"/>
      <c r="E1112" s="232"/>
      <c r="F1112" s="232"/>
      <c r="G1112" s="232"/>
      <c r="H1112" s="232"/>
      <c r="I1112" s="232"/>
      <c r="J1112" s="232"/>
      <c r="K1112" s="232"/>
      <c r="L1112" s="232"/>
      <c r="M1112" s="232"/>
      <c r="N1112" s="232"/>
      <c r="O1112" s="232"/>
      <c r="P1112" s="232"/>
      <c r="Q1112" s="232"/>
      <c r="R1112" s="232"/>
      <c r="S1112" s="232"/>
      <c r="T1112" s="232"/>
      <c r="U1112" s="232"/>
      <c r="V1112" s="15"/>
      <c r="W1112" s="15"/>
      <c r="X1112" s="15"/>
      <c r="Y1112" s="15"/>
      <c r="Z1112" s="15"/>
      <c r="AA1112" s="15"/>
    </row>
    <row r="1113" spans="1:27" s="25" customFormat="1" ht="12" customHeight="1" x14ac:dyDescent="0.2">
      <c r="A1113" s="232"/>
      <c r="B1113" s="250"/>
      <c r="C1113" s="286"/>
      <c r="D1113" s="232"/>
      <c r="E1113" s="232"/>
      <c r="F1113" s="232"/>
      <c r="G1113" s="232"/>
      <c r="H1113" s="232"/>
      <c r="I1113" s="232"/>
      <c r="J1113" s="232"/>
      <c r="K1113" s="232"/>
      <c r="L1113" s="232"/>
      <c r="M1113" s="232"/>
      <c r="N1113" s="232"/>
      <c r="O1113" s="232"/>
      <c r="P1113" s="232"/>
      <c r="Q1113" s="232"/>
      <c r="R1113" s="232"/>
      <c r="S1113" s="232"/>
      <c r="T1113" s="232"/>
      <c r="U1113" s="232"/>
      <c r="V1113" s="15"/>
      <c r="W1113" s="15"/>
      <c r="X1113" s="15"/>
      <c r="Y1113" s="15"/>
      <c r="Z1113" s="15"/>
      <c r="AA1113" s="15"/>
    </row>
    <row r="1114" spans="1:27" s="25" customFormat="1" ht="12" customHeight="1" x14ac:dyDescent="0.2">
      <c r="A1114" s="232"/>
      <c r="B1114" s="250"/>
      <c r="C1114" s="286"/>
      <c r="D1114" s="232"/>
      <c r="E1114" s="232"/>
      <c r="F1114" s="232"/>
      <c r="G1114" s="232"/>
      <c r="H1114" s="232"/>
      <c r="I1114" s="232"/>
      <c r="J1114" s="232"/>
      <c r="K1114" s="232"/>
      <c r="L1114" s="232"/>
      <c r="M1114" s="232"/>
      <c r="N1114" s="232"/>
      <c r="O1114" s="232"/>
      <c r="P1114" s="232"/>
      <c r="Q1114" s="232"/>
      <c r="R1114" s="232"/>
      <c r="S1114" s="232"/>
      <c r="T1114" s="232"/>
      <c r="U1114" s="232"/>
      <c r="V1114" s="15"/>
      <c r="W1114" s="15"/>
      <c r="X1114" s="15"/>
      <c r="Y1114" s="15"/>
      <c r="Z1114" s="15"/>
      <c r="AA1114" s="15"/>
    </row>
    <row r="1115" spans="1:27" s="25" customFormat="1" ht="12" customHeight="1" x14ac:dyDescent="0.2">
      <c r="A1115" s="232"/>
      <c r="B1115" s="250"/>
      <c r="C1115" s="286"/>
      <c r="D1115" s="232"/>
      <c r="E1115" s="232"/>
      <c r="F1115" s="232"/>
      <c r="G1115" s="232"/>
      <c r="H1115" s="232"/>
      <c r="I1115" s="232"/>
      <c r="J1115" s="232"/>
      <c r="K1115" s="232"/>
      <c r="L1115" s="232"/>
      <c r="M1115" s="232"/>
      <c r="N1115" s="232"/>
      <c r="O1115" s="232"/>
      <c r="P1115" s="232"/>
      <c r="Q1115" s="232"/>
      <c r="R1115" s="232"/>
      <c r="S1115" s="232"/>
      <c r="T1115" s="232"/>
      <c r="U1115" s="232"/>
      <c r="V1115" s="15"/>
      <c r="W1115" s="15"/>
      <c r="X1115" s="15"/>
      <c r="Y1115" s="15"/>
      <c r="Z1115" s="15"/>
      <c r="AA1115" s="15"/>
    </row>
    <row r="1116" spans="1:27" s="25" customFormat="1" ht="12" customHeight="1" x14ac:dyDescent="0.2">
      <c r="A1116" s="232"/>
      <c r="B1116" s="250"/>
      <c r="C1116" s="286"/>
      <c r="D1116" s="232"/>
      <c r="E1116" s="232"/>
      <c r="F1116" s="232"/>
      <c r="G1116" s="232"/>
      <c r="H1116" s="232"/>
      <c r="I1116" s="232"/>
      <c r="J1116" s="232"/>
      <c r="K1116" s="232"/>
      <c r="L1116" s="232"/>
      <c r="M1116" s="232"/>
      <c r="N1116" s="232"/>
      <c r="O1116" s="232"/>
      <c r="P1116" s="232"/>
      <c r="Q1116" s="232"/>
      <c r="R1116" s="232"/>
      <c r="S1116" s="232"/>
      <c r="T1116" s="232"/>
      <c r="U1116" s="232"/>
      <c r="V1116" s="15"/>
      <c r="W1116" s="15"/>
      <c r="X1116" s="15"/>
      <c r="Y1116" s="15"/>
      <c r="Z1116" s="15"/>
      <c r="AA1116" s="15"/>
    </row>
    <row r="1117" spans="1:27" s="25" customFormat="1" ht="12" customHeight="1" x14ac:dyDescent="0.2">
      <c r="A1117" s="232"/>
      <c r="B1117" s="250"/>
      <c r="C1117" s="286"/>
      <c r="D1117" s="232"/>
      <c r="E1117" s="232"/>
      <c r="F1117" s="232"/>
      <c r="G1117" s="232"/>
      <c r="H1117" s="232"/>
      <c r="I1117" s="232"/>
      <c r="J1117" s="232"/>
      <c r="K1117" s="232"/>
      <c r="L1117" s="232"/>
      <c r="M1117" s="232"/>
      <c r="N1117" s="232"/>
      <c r="O1117" s="232"/>
      <c r="P1117" s="232"/>
      <c r="Q1117" s="232"/>
      <c r="R1117" s="232"/>
      <c r="S1117" s="232"/>
      <c r="T1117" s="232"/>
      <c r="U1117" s="232"/>
      <c r="V1117" s="15"/>
      <c r="W1117" s="15"/>
      <c r="X1117" s="15"/>
      <c r="Y1117" s="15"/>
      <c r="Z1117" s="15"/>
      <c r="AA1117" s="15"/>
    </row>
    <row r="1118" spans="1:27" s="25" customFormat="1" ht="12" customHeight="1" x14ac:dyDescent="0.2">
      <c r="A1118" s="232"/>
      <c r="B1118" s="250"/>
      <c r="C1118" s="286"/>
      <c r="D1118" s="232"/>
      <c r="E1118" s="232"/>
      <c r="F1118" s="232"/>
      <c r="G1118" s="232"/>
      <c r="H1118" s="232"/>
      <c r="I1118" s="232"/>
      <c r="J1118" s="232"/>
      <c r="K1118" s="232"/>
      <c r="L1118" s="232"/>
      <c r="M1118" s="232"/>
      <c r="N1118" s="232"/>
      <c r="O1118" s="232"/>
      <c r="P1118" s="232"/>
      <c r="Q1118" s="232"/>
      <c r="R1118" s="232"/>
      <c r="S1118" s="232"/>
      <c r="T1118" s="232"/>
      <c r="U1118" s="232"/>
      <c r="V1118" s="15"/>
      <c r="W1118" s="15"/>
      <c r="X1118" s="15"/>
      <c r="Y1118" s="15"/>
      <c r="Z1118" s="15"/>
      <c r="AA1118" s="15"/>
    </row>
    <row r="1119" spans="1:27" s="25" customFormat="1" ht="12" customHeight="1" x14ac:dyDescent="0.2">
      <c r="A1119" s="232"/>
      <c r="B1119" s="250"/>
      <c r="C1119" s="286"/>
      <c r="D1119" s="232"/>
      <c r="E1119" s="232"/>
      <c r="F1119" s="232"/>
      <c r="G1119" s="232"/>
      <c r="H1119" s="232"/>
      <c r="I1119" s="232"/>
      <c r="J1119" s="232"/>
      <c r="K1119" s="232"/>
      <c r="L1119" s="232"/>
      <c r="M1119" s="232"/>
      <c r="N1119" s="232"/>
      <c r="O1119" s="232"/>
      <c r="P1119" s="232"/>
      <c r="Q1119" s="232"/>
      <c r="R1119" s="232"/>
      <c r="S1119" s="232"/>
      <c r="T1119" s="232"/>
      <c r="U1119" s="232"/>
      <c r="V1119" s="15"/>
      <c r="W1119" s="15"/>
      <c r="X1119" s="15"/>
      <c r="Y1119" s="15"/>
      <c r="Z1119" s="15"/>
      <c r="AA1119" s="15"/>
    </row>
    <row r="1120" spans="1:27" s="25" customFormat="1" ht="12" customHeight="1" x14ac:dyDescent="0.2">
      <c r="A1120" s="232"/>
      <c r="B1120" s="250"/>
      <c r="C1120" s="286"/>
      <c r="D1120" s="232"/>
      <c r="E1120" s="232"/>
      <c r="F1120" s="232"/>
      <c r="G1120" s="232"/>
      <c r="H1120" s="232"/>
      <c r="I1120" s="232"/>
      <c r="J1120" s="232"/>
      <c r="K1120" s="232"/>
      <c r="L1120" s="232"/>
      <c r="M1120" s="232"/>
      <c r="N1120" s="232"/>
      <c r="O1120" s="232"/>
      <c r="P1120" s="232"/>
      <c r="Q1120" s="232"/>
      <c r="R1120" s="232"/>
      <c r="S1120" s="232"/>
      <c r="T1120" s="232"/>
      <c r="U1120" s="232"/>
      <c r="V1120" s="15"/>
      <c r="W1120" s="15"/>
      <c r="X1120" s="15"/>
      <c r="Y1120" s="15"/>
      <c r="Z1120" s="15"/>
      <c r="AA1120" s="15"/>
    </row>
    <row r="1121" spans="1:27" s="25" customFormat="1" ht="12" customHeight="1" x14ac:dyDescent="0.2">
      <c r="A1121" s="232"/>
      <c r="B1121" s="250"/>
      <c r="C1121" s="286"/>
      <c r="D1121" s="232"/>
      <c r="E1121" s="232"/>
      <c r="F1121" s="232"/>
      <c r="G1121" s="232"/>
      <c r="H1121" s="232"/>
      <c r="I1121" s="232"/>
      <c r="J1121" s="232"/>
      <c r="K1121" s="232"/>
      <c r="L1121" s="232"/>
      <c r="M1121" s="232"/>
      <c r="N1121" s="232"/>
      <c r="O1121" s="232"/>
      <c r="P1121" s="232"/>
      <c r="Q1121" s="232"/>
      <c r="R1121" s="232"/>
      <c r="S1121" s="232"/>
      <c r="T1121" s="232"/>
      <c r="U1121" s="232"/>
      <c r="V1121" s="15"/>
      <c r="W1121" s="15"/>
      <c r="X1121" s="15"/>
      <c r="Y1121" s="15"/>
      <c r="Z1121" s="15"/>
      <c r="AA1121" s="15"/>
    </row>
    <row r="1122" spans="1:27" s="25" customFormat="1" ht="12" customHeight="1" x14ac:dyDescent="0.2">
      <c r="A1122" s="232"/>
      <c r="B1122" s="250"/>
      <c r="C1122" s="286"/>
      <c r="D1122" s="232"/>
      <c r="E1122" s="232"/>
      <c r="F1122" s="232"/>
      <c r="G1122" s="232"/>
      <c r="H1122" s="232"/>
      <c r="I1122" s="232"/>
      <c r="J1122" s="232"/>
      <c r="K1122" s="232"/>
      <c r="L1122" s="232"/>
      <c r="M1122" s="232"/>
      <c r="N1122" s="232"/>
      <c r="O1122" s="232"/>
      <c r="P1122" s="232"/>
      <c r="Q1122" s="232"/>
      <c r="R1122" s="232"/>
      <c r="S1122" s="232"/>
      <c r="T1122" s="232"/>
      <c r="U1122" s="232"/>
      <c r="V1122" s="15"/>
      <c r="W1122" s="15"/>
      <c r="X1122" s="15"/>
      <c r="Y1122" s="15"/>
      <c r="Z1122" s="15"/>
      <c r="AA1122" s="15"/>
    </row>
    <row r="1123" spans="1:27" s="25" customFormat="1" ht="12" customHeight="1" x14ac:dyDescent="0.2">
      <c r="A1123" s="232"/>
      <c r="B1123" s="250"/>
      <c r="C1123" s="286"/>
      <c r="D1123" s="232"/>
      <c r="E1123" s="232"/>
      <c r="F1123" s="232"/>
      <c r="G1123" s="232"/>
      <c r="H1123" s="232"/>
      <c r="I1123" s="232"/>
      <c r="J1123" s="232"/>
      <c r="K1123" s="232"/>
      <c r="L1123" s="232"/>
      <c r="M1123" s="232"/>
      <c r="N1123" s="232"/>
      <c r="O1123" s="232"/>
      <c r="P1123" s="232"/>
      <c r="Q1123" s="232"/>
      <c r="R1123" s="232"/>
      <c r="S1123" s="232"/>
      <c r="T1123" s="232"/>
      <c r="U1123" s="232"/>
      <c r="V1123" s="15"/>
      <c r="W1123" s="15"/>
      <c r="X1123" s="15"/>
      <c r="Y1123" s="15"/>
      <c r="Z1123" s="15"/>
      <c r="AA1123" s="15"/>
    </row>
    <row r="1124" spans="1:27" s="25" customFormat="1" ht="12" customHeight="1" x14ac:dyDescent="0.2">
      <c r="A1124" s="232"/>
      <c r="B1124" s="250"/>
      <c r="C1124" s="286"/>
      <c r="D1124" s="232"/>
      <c r="E1124" s="232"/>
      <c r="F1124" s="232"/>
      <c r="G1124" s="232"/>
      <c r="H1124" s="232"/>
      <c r="I1124" s="232"/>
      <c r="J1124" s="232"/>
      <c r="K1124" s="232"/>
      <c r="L1124" s="232"/>
      <c r="M1124" s="232"/>
      <c r="N1124" s="232"/>
      <c r="O1124" s="232"/>
      <c r="P1124" s="232"/>
      <c r="Q1124" s="232"/>
      <c r="R1124" s="232"/>
      <c r="S1124" s="232"/>
      <c r="T1124" s="232"/>
      <c r="U1124" s="232"/>
      <c r="V1124" s="15"/>
      <c r="W1124" s="15"/>
      <c r="X1124" s="15"/>
      <c r="Y1124" s="15"/>
      <c r="Z1124" s="15"/>
      <c r="AA1124" s="15"/>
    </row>
    <row r="1125" spans="1:27" s="25" customFormat="1" ht="12" customHeight="1" x14ac:dyDescent="0.2">
      <c r="A1125" s="232"/>
      <c r="B1125" s="250"/>
      <c r="C1125" s="286"/>
      <c r="D1125" s="232"/>
      <c r="E1125" s="232"/>
      <c r="F1125" s="232"/>
      <c r="G1125" s="232"/>
      <c r="H1125" s="232"/>
      <c r="I1125" s="232"/>
      <c r="J1125" s="232"/>
      <c r="K1125" s="232"/>
      <c r="L1125" s="232"/>
      <c r="M1125" s="232"/>
      <c r="N1125" s="232"/>
      <c r="O1125" s="232"/>
      <c r="P1125" s="232"/>
      <c r="Q1125" s="232"/>
      <c r="R1125" s="232"/>
      <c r="S1125" s="232"/>
      <c r="T1125" s="232"/>
      <c r="U1125" s="232"/>
      <c r="V1125" s="15"/>
      <c r="W1125" s="15"/>
      <c r="X1125" s="15"/>
      <c r="Y1125" s="15"/>
      <c r="Z1125" s="15"/>
      <c r="AA1125" s="15"/>
    </row>
    <row r="1126" spans="1:27" s="25" customFormat="1" ht="12" customHeight="1" x14ac:dyDescent="0.2">
      <c r="A1126" s="232"/>
      <c r="B1126" s="250"/>
      <c r="C1126" s="286"/>
      <c r="D1126" s="232"/>
      <c r="E1126" s="232"/>
      <c r="F1126" s="232"/>
      <c r="G1126" s="232"/>
      <c r="H1126" s="232"/>
      <c r="I1126" s="232"/>
      <c r="J1126" s="232"/>
      <c r="K1126" s="232"/>
      <c r="L1126" s="232"/>
      <c r="M1126" s="232"/>
      <c r="N1126" s="232"/>
      <c r="O1126" s="232"/>
      <c r="P1126" s="232"/>
      <c r="Q1126" s="232"/>
      <c r="R1126" s="232"/>
      <c r="S1126" s="232"/>
      <c r="T1126" s="232"/>
      <c r="U1126" s="232"/>
      <c r="V1126" s="15"/>
      <c r="W1126" s="15"/>
      <c r="X1126" s="15"/>
      <c r="Y1126" s="15"/>
      <c r="Z1126" s="15"/>
      <c r="AA1126" s="15"/>
    </row>
    <row r="1127" spans="1:27" s="25" customFormat="1" ht="12" customHeight="1" x14ac:dyDescent="0.2">
      <c r="A1127" s="232"/>
      <c r="B1127" s="250"/>
      <c r="C1127" s="286"/>
      <c r="D1127" s="232"/>
      <c r="E1127" s="232"/>
      <c r="F1127" s="232"/>
      <c r="G1127" s="232"/>
      <c r="H1127" s="232"/>
      <c r="I1127" s="232"/>
      <c r="J1127" s="232"/>
      <c r="K1127" s="232"/>
      <c r="L1127" s="232"/>
      <c r="M1127" s="232"/>
      <c r="N1127" s="232"/>
      <c r="O1127" s="232"/>
      <c r="P1127" s="232"/>
      <c r="Q1127" s="232"/>
      <c r="R1127" s="232"/>
      <c r="S1127" s="232"/>
      <c r="T1127" s="232"/>
      <c r="U1127" s="232"/>
      <c r="V1127" s="15"/>
      <c r="W1127" s="15"/>
      <c r="X1127" s="15"/>
      <c r="Y1127" s="15"/>
      <c r="Z1127" s="15"/>
      <c r="AA1127" s="15"/>
    </row>
    <row r="1128" spans="1:27" s="25" customFormat="1" ht="12" customHeight="1" x14ac:dyDescent="0.2">
      <c r="A1128" s="232"/>
      <c r="B1128" s="250"/>
      <c r="C1128" s="286"/>
      <c r="D1128" s="232"/>
      <c r="E1128" s="232"/>
      <c r="F1128" s="232"/>
      <c r="G1128" s="232"/>
      <c r="H1128" s="232"/>
      <c r="I1128" s="232"/>
      <c r="J1128" s="232"/>
      <c r="K1128" s="232"/>
      <c r="L1128" s="232"/>
      <c r="M1128" s="232"/>
      <c r="N1128" s="232"/>
      <c r="O1128" s="232"/>
      <c r="P1128" s="232"/>
      <c r="Q1128" s="232"/>
      <c r="R1128" s="232"/>
      <c r="S1128" s="232"/>
      <c r="T1128" s="232"/>
      <c r="U1128" s="232"/>
      <c r="V1128" s="15"/>
      <c r="W1128" s="15"/>
      <c r="X1128" s="15"/>
      <c r="Y1128" s="15"/>
      <c r="Z1128" s="15"/>
      <c r="AA1128" s="15"/>
    </row>
    <row r="1129" spans="1:27" s="25" customFormat="1" ht="12" customHeight="1" x14ac:dyDescent="0.2">
      <c r="A1129" s="232"/>
      <c r="B1129" s="250"/>
      <c r="C1129" s="286"/>
      <c r="D1129" s="232"/>
      <c r="E1129" s="232"/>
      <c r="F1129" s="232"/>
      <c r="G1129" s="232"/>
      <c r="H1129" s="232"/>
      <c r="I1129" s="232"/>
      <c r="J1129" s="232"/>
      <c r="K1129" s="232"/>
      <c r="L1129" s="232"/>
      <c r="M1129" s="232"/>
      <c r="N1129" s="232"/>
      <c r="O1129" s="232"/>
      <c r="P1129" s="232"/>
      <c r="Q1129" s="232"/>
      <c r="R1129" s="232"/>
      <c r="S1129" s="232"/>
      <c r="T1129" s="232"/>
      <c r="U1129" s="232"/>
      <c r="V1129" s="15"/>
      <c r="W1129" s="15"/>
      <c r="X1129" s="15"/>
      <c r="Y1129" s="15"/>
      <c r="Z1129" s="15"/>
      <c r="AA1129" s="15"/>
    </row>
    <row r="1130" spans="1:27" s="25" customFormat="1" ht="12" customHeight="1" x14ac:dyDescent="0.2">
      <c r="A1130" s="232"/>
      <c r="B1130" s="250"/>
      <c r="C1130" s="286"/>
      <c r="D1130" s="232"/>
      <c r="E1130" s="232"/>
      <c r="F1130" s="232"/>
      <c r="G1130" s="232"/>
      <c r="H1130" s="232"/>
      <c r="I1130" s="232"/>
      <c r="J1130" s="232"/>
      <c r="K1130" s="232"/>
      <c r="L1130" s="232"/>
      <c r="M1130" s="232"/>
      <c r="N1130" s="232"/>
      <c r="O1130" s="232"/>
      <c r="P1130" s="232"/>
      <c r="Q1130" s="232"/>
      <c r="R1130" s="232"/>
      <c r="S1130" s="232"/>
      <c r="T1130" s="232"/>
      <c r="U1130" s="232"/>
      <c r="V1130" s="15"/>
      <c r="W1130" s="15"/>
      <c r="X1130" s="15"/>
      <c r="Y1130" s="15"/>
      <c r="Z1130" s="15"/>
      <c r="AA1130" s="15"/>
    </row>
    <row r="1131" spans="1:27" s="25" customFormat="1" ht="12" customHeight="1" x14ac:dyDescent="0.2">
      <c r="A1131" s="232"/>
      <c r="B1131" s="250"/>
      <c r="C1131" s="286"/>
      <c r="D1131" s="232"/>
      <c r="E1131" s="232"/>
      <c r="F1131" s="232"/>
      <c r="G1131" s="232"/>
      <c r="H1131" s="232"/>
      <c r="I1131" s="232"/>
      <c r="J1131" s="232"/>
      <c r="K1131" s="232"/>
      <c r="L1131" s="232"/>
      <c r="M1131" s="232"/>
      <c r="N1131" s="232"/>
      <c r="O1131" s="232"/>
      <c r="P1131" s="232"/>
      <c r="Q1131" s="232"/>
      <c r="R1131" s="232"/>
      <c r="S1131" s="232"/>
      <c r="T1131" s="232"/>
      <c r="U1131" s="232"/>
      <c r="V1131" s="15"/>
      <c r="W1131" s="15"/>
      <c r="X1131" s="15"/>
      <c r="Y1131" s="15"/>
      <c r="Z1131" s="15"/>
      <c r="AA1131" s="15"/>
    </row>
    <row r="1132" spans="1:27" s="25" customFormat="1" ht="12" customHeight="1" x14ac:dyDescent="0.2">
      <c r="A1132" s="232"/>
      <c r="B1132" s="250"/>
      <c r="C1132" s="286"/>
      <c r="D1132" s="232"/>
      <c r="E1132" s="232"/>
      <c r="F1132" s="232"/>
      <c r="G1132" s="232"/>
      <c r="H1132" s="232"/>
      <c r="I1132" s="232"/>
      <c r="J1132" s="232"/>
      <c r="K1132" s="232"/>
      <c r="L1132" s="232"/>
      <c r="M1132" s="232"/>
      <c r="N1132" s="232"/>
      <c r="O1132" s="232"/>
      <c r="P1132" s="232"/>
      <c r="Q1132" s="232"/>
      <c r="R1132" s="232"/>
      <c r="S1132" s="232"/>
      <c r="T1132" s="232"/>
      <c r="U1132" s="232"/>
      <c r="V1132" s="15"/>
      <c r="W1132" s="15"/>
      <c r="X1132" s="15"/>
      <c r="Y1132" s="15"/>
      <c r="Z1132" s="15"/>
      <c r="AA1132" s="15"/>
    </row>
    <row r="1133" spans="1:27" s="25" customFormat="1" ht="12" customHeight="1" x14ac:dyDescent="0.2">
      <c r="A1133" s="232"/>
      <c r="B1133" s="250"/>
      <c r="C1133" s="286"/>
      <c r="D1133" s="232"/>
      <c r="E1133" s="232"/>
      <c r="F1133" s="232"/>
      <c r="G1133" s="232"/>
      <c r="H1133" s="232"/>
      <c r="I1133" s="232"/>
      <c r="J1133" s="232"/>
      <c r="K1133" s="232"/>
      <c r="L1133" s="232"/>
      <c r="M1133" s="232"/>
      <c r="N1133" s="232"/>
      <c r="O1133" s="232"/>
      <c r="P1133" s="232"/>
      <c r="Q1133" s="232"/>
      <c r="R1133" s="232"/>
      <c r="S1133" s="232"/>
      <c r="T1133" s="232"/>
      <c r="U1133" s="232"/>
      <c r="V1133" s="15"/>
      <c r="W1133" s="15"/>
      <c r="X1133" s="15"/>
      <c r="Y1133" s="15"/>
      <c r="Z1133" s="15"/>
      <c r="AA1133" s="15"/>
    </row>
    <row r="1134" spans="1:27" s="25" customFormat="1" ht="12" customHeight="1" x14ac:dyDescent="0.2">
      <c r="A1134" s="232"/>
      <c r="B1134" s="250"/>
      <c r="C1134" s="286"/>
      <c r="D1134" s="232"/>
      <c r="E1134" s="232"/>
      <c r="F1134" s="232"/>
      <c r="G1134" s="232"/>
      <c r="H1134" s="232"/>
      <c r="I1134" s="232"/>
      <c r="J1134" s="232"/>
      <c r="K1134" s="232"/>
      <c r="L1134" s="232"/>
      <c r="M1134" s="232"/>
      <c r="N1134" s="232"/>
      <c r="O1134" s="232"/>
      <c r="P1134" s="232"/>
      <c r="Q1134" s="232"/>
      <c r="R1134" s="232"/>
      <c r="S1134" s="232"/>
      <c r="T1134" s="232"/>
      <c r="U1134" s="232"/>
      <c r="V1134" s="15"/>
      <c r="W1134" s="15"/>
      <c r="X1134" s="15"/>
      <c r="Y1134" s="15"/>
      <c r="Z1134" s="15"/>
      <c r="AA1134" s="15"/>
    </row>
    <row r="1135" spans="1:27" s="25" customFormat="1" ht="12" customHeight="1" x14ac:dyDescent="0.2">
      <c r="A1135" s="232"/>
      <c r="B1135" s="250"/>
      <c r="C1135" s="286"/>
      <c r="D1135" s="232"/>
      <c r="E1135" s="232"/>
      <c r="F1135" s="232"/>
      <c r="G1135" s="232"/>
      <c r="H1135" s="232"/>
      <c r="I1135" s="232"/>
      <c r="J1135" s="232"/>
      <c r="K1135" s="232"/>
      <c r="L1135" s="232"/>
      <c r="M1135" s="232"/>
      <c r="N1135" s="232"/>
      <c r="O1135" s="232"/>
      <c r="P1135" s="232"/>
      <c r="Q1135" s="232"/>
      <c r="R1135" s="232"/>
      <c r="S1135" s="232"/>
      <c r="T1135" s="232"/>
      <c r="U1135" s="232"/>
      <c r="V1135" s="15"/>
      <c r="W1135" s="15"/>
      <c r="X1135" s="15"/>
      <c r="Y1135" s="15"/>
      <c r="Z1135" s="15"/>
      <c r="AA1135" s="15"/>
    </row>
    <row r="1136" spans="1:27" s="25" customFormat="1" ht="12" customHeight="1" x14ac:dyDescent="0.2">
      <c r="A1136" s="232"/>
      <c r="B1136" s="250"/>
      <c r="C1136" s="286"/>
      <c r="D1136" s="232"/>
      <c r="E1136" s="232"/>
      <c r="F1136" s="232"/>
      <c r="G1136" s="232"/>
      <c r="H1136" s="232"/>
      <c r="I1136" s="232"/>
      <c r="J1136" s="232"/>
      <c r="K1136" s="232"/>
      <c r="L1136" s="232"/>
      <c r="M1136" s="232"/>
      <c r="N1136" s="232"/>
      <c r="O1136" s="232"/>
      <c r="P1136" s="232"/>
      <c r="Q1136" s="232"/>
      <c r="R1136" s="232"/>
      <c r="S1136" s="232"/>
      <c r="T1136" s="232"/>
      <c r="U1136" s="232"/>
      <c r="V1136" s="15"/>
      <c r="W1136" s="15"/>
      <c r="X1136" s="15"/>
      <c r="Y1136" s="15"/>
      <c r="Z1136" s="15"/>
      <c r="AA1136" s="15"/>
    </row>
    <row r="1137" spans="1:27" s="25" customFormat="1" ht="12" customHeight="1" x14ac:dyDescent="0.2">
      <c r="A1137" s="232"/>
      <c r="B1137" s="250"/>
      <c r="C1137" s="286"/>
      <c r="D1137" s="232"/>
      <c r="E1137" s="232"/>
      <c r="F1137" s="232"/>
      <c r="G1137" s="232"/>
      <c r="H1137" s="232"/>
      <c r="I1137" s="232"/>
      <c r="J1137" s="232"/>
      <c r="K1137" s="232"/>
      <c r="L1137" s="232"/>
      <c r="M1137" s="232"/>
      <c r="N1137" s="232"/>
      <c r="O1137" s="232"/>
      <c r="P1137" s="232"/>
      <c r="Q1137" s="232"/>
      <c r="R1137" s="232"/>
      <c r="S1137" s="232"/>
      <c r="T1137" s="232"/>
      <c r="U1137" s="232"/>
      <c r="V1137" s="15"/>
      <c r="W1137" s="15"/>
      <c r="X1137" s="15"/>
      <c r="Y1137" s="15"/>
      <c r="Z1137" s="15"/>
      <c r="AA1137" s="15"/>
    </row>
    <row r="1138" spans="1:27" s="25" customFormat="1" ht="12" customHeight="1" x14ac:dyDescent="0.2">
      <c r="A1138" s="232"/>
      <c r="B1138" s="250"/>
      <c r="C1138" s="286"/>
      <c r="D1138" s="232"/>
      <c r="E1138" s="232"/>
      <c r="F1138" s="232"/>
      <c r="G1138" s="232"/>
      <c r="H1138" s="232"/>
      <c r="I1138" s="232"/>
      <c r="J1138" s="232"/>
      <c r="K1138" s="232"/>
      <c r="L1138" s="232"/>
      <c r="M1138" s="232"/>
      <c r="N1138" s="232"/>
      <c r="O1138" s="232"/>
      <c r="P1138" s="232"/>
      <c r="Q1138" s="232"/>
      <c r="R1138" s="232"/>
      <c r="S1138" s="232"/>
      <c r="T1138" s="232"/>
      <c r="U1138" s="232"/>
      <c r="V1138" s="15"/>
      <c r="W1138" s="15"/>
      <c r="X1138" s="15"/>
      <c r="Y1138" s="15"/>
      <c r="Z1138" s="15"/>
      <c r="AA1138" s="15"/>
    </row>
    <row r="1139" spans="1:27" s="25" customFormat="1" ht="12" customHeight="1" x14ac:dyDescent="0.2">
      <c r="A1139" s="232"/>
      <c r="B1139" s="250"/>
      <c r="C1139" s="286"/>
      <c r="D1139" s="232"/>
      <c r="E1139" s="232"/>
      <c r="F1139" s="232"/>
      <c r="G1139" s="232"/>
      <c r="H1139" s="232"/>
      <c r="I1139" s="232"/>
      <c r="J1139" s="232"/>
      <c r="K1139" s="232"/>
      <c r="L1139" s="232"/>
      <c r="M1139" s="232"/>
      <c r="N1139" s="232"/>
      <c r="O1139" s="232"/>
      <c r="P1139" s="232"/>
      <c r="Q1139" s="232"/>
      <c r="R1139" s="232"/>
      <c r="S1139" s="232"/>
      <c r="T1139" s="232"/>
      <c r="U1139" s="232"/>
      <c r="V1139" s="15"/>
      <c r="W1139" s="15"/>
      <c r="X1139" s="15"/>
      <c r="Y1139" s="15"/>
      <c r="Z1139" s="15"/>
      <c r="AA1139" s="15"/>
    </row>
    <row r="1140" spans="1:27" s="25" customFormat="1" ht="12" customHeight="1" x14ac:dyDescent="0.2">
      <c r="A1140" s="232"/>
      <c r="B1140" s="250"/>
      <c r="C1140" s="286"/>
      <c r="D1140" s="232"/>
      <c r="E1140" s="232"/>
      <c r="F1140" s="232"/>
      <c r="G1140" s="232"/>
      <c r="H1140" s="232"/>
      <c r="I1140" s="232"/>
      <c r="J1140" s="232"/>
      <c r="K1140" s="232"/>
      <c r="L1140" s="232"/>
      <c r="M1140" s="232"/>
      <c r="N1140" s="232"/>
      <c r="O1140" s="232"/>
      <c r="P1140" s="232"/>
      <c r="Q1140" s="232"/>
      <c r="R1140" s="232"/>
      <c r="S1140" s="232"/>
      <c r="T1140" s="232"/>
      <c r="U1140" s="232"/>
      <c r="V1140" s="15"/>
      <c r="W1140" s="15"/>
      <c r="X1140" s="15"/>
      <c r="Y1140" s="15"/>
      <c r="Z1140" s="15"/>
      <c r="AA1140" s="15"/>
    </row>
    <row r="1141" spans="1:27" s="25" customFormat="1" ht="12" customHeight="1" x14ac:dyDescent="0.2">
      <c r="A1141" s="232"/>
      <c r="B1141" s="250"/>
      <c r="C1141" s="286"/>
      <c r="D1141" s="232"/>
      <c r="E1141" s="232"/>
      <c r="F1141" s="232"/>
      <c r="G1141" s="232"/>
      <c r="H1141" s="232"/>
      <c r="I1141" s="232"/>
      <c r="J1141" s="232"/>
      <c r="K1141" s="232"/>
      <c r="L1141" s="232"/>
      <c r="M1141" s="232"/>
      <c r="N1141" s="232"/>
      <c r="O1141" s="232"/>
      <c r="P1141" s="232"/>
      <c r="Q1141" s="232"/>
      <c r="R1141" s="232"/>
      <c r="S1141" s="232"/>
      <c r="T1141" s="232"/>
      <c r="U1141" s="232"/>
      <c r="V1141" s="15"/>
      <c r="W1141" s="15"/>
      <c r="X1141" s="15"/>
      <c r="Y1141" s="15"/>
      <c r="Z1141" s="15"/>
      <c r="AA1141" s="15"/>
    </row>
    <row r="1142" spans="1:27" s="25" customFormat="1" ht="12" customHeight="1" x14ac:dyDescent="0.2">
      <c r="A1142" s="232"/>
      <c r="B1142" s="250"/>
      <c r="C1142" s="286"/>
      <c r="D1142" s="232"/>
      <c r="E1142" s="232"/>
      <c r="F1142" s="232"/>
      <c r="G1142" s="232"/>
      <c r="H1142" s="232"/>
      <c r="I1142" s="232"/>
      <c r="J1142" s="232"/>
      <c r="K1142" s="232"/>
      <c r="L1142" s="232"/>
      <c r="M1142" s="232"/>
      <c r="N1142" s="232"/>
      <c r="O1142" s="232"/>
      <c r="P1142" s="232"/>
      <c r="Q1142" s="232"/>
      <c r="R1142" s="232"/>
      <c r="S1142" s="232"/>
      <c r="T1142" s="232"/>
      <c r="U1142" s="232"/>
      <c r="V1142" s="15"/>
      <c r="W1142" s="15"/>
      <c r="X1142" s="15"/>
      <c r="Y1142" s="15"/>
      <c r="Z1142" s="15"/>
      <c r="AA1142" s="15"/>
    </row>
    <row r="1143" spans="1:27" s="25" customFormat="1" ht="12" customHeight="1" x14ac:dyDescent="0.2">
      <c r="A1143" s="232"/>
      <c r="B1143" s="250"/>
      <c r="C1143" s="286"/>
      <c r="D1143" s="232"/>
      <c r="E1143" s="232"/>
      <c r="F1143" s="232"/>
      <c r="G1143" s="232"/>
      <c r="H1143" s="232"/>
      <c r="I1143" s="232"/>
      <c r="J1143" s="232"/>
      <c r="K1143" s="232"/>
      <c r="L1143" s="232"/>
      <c r="M1143" s="232"/>
      <c r="N1143" s="232"/>
      <c r="O1143" s="232"/>
      <c r="P1143" s="232"/>
      <c r="Q1143" s="232"/>
      <c r="R1143" s="232"/>
      <c r="S1143" s="232"/>
      <c r="T1143" s="232"/>
      <c r="U1143" s="232"/>
      <c r="V1143" s="15"/>
      <c r="W1143" s="15"/>
      <c r="X1143" s="15"/>
      <c r="Y1143" s="15"/>
      <c r="Z1143" s="15"/>
      <c r="AA1143" s="15"/>
    </row>
    <row r="1144" spans="1:27" s="25" customFormat="1" ht="12" customHeight="1" x14ac:dyDescent="0.2">
      <c r="A1144" s="232"/>
      <c r="B1144" s="250"/>
      <c r="C1144" s="286"/>
      <c r="D1144" s="232"/>
      <c r="E1144" s="232"/>
      <c r="F1144" s="232"/>
      <c r="G1144" s="232"/>
      <c r="H1144" s="232"/>
      <c r="I1144" s="232"/>
      <c r="J1144" s="232"/>
      <c r="K1144" s="232"/>
      <c r="L1144" s="232"/>
      <c r="M1144" s="232"/>
      <c r="N1144" s="232"/>
      <c r="O1144" s="232"/>
      <c r="P1144" s="232"/>
      <c r="Q1144" s="232"/>
      <c r="R1144" s="232"/>
      <c r="S1144" s="232"/>
      <c r="T1144" s="232"/>
      <c r="U1144" s="232"/>
      <c r="V1144" s="15"/>
      <c r="W1144" s="15"/>
      <c r="X1144" s="15"/>
      <c r="Y1144" s="15"/>
      <c r="Z1144" s="15"/>
      <c r="AA1144" s="15"/>
    </row>
    <row r="1145" spans="1:27" s="25" customFormat="1" ht="12" customHeight="1" x14ac:dyDescent="0.2">
      <c r="A1145" s="232"/>
      <c r="B1145" s="250"/>
      <c r="C1145" s="286"/>
      <c r="D1145" s="232"/>
      <c r="E1145" s="232"/>
      <c r="F1145" s="232"/>
      <c r="G1145" s="232"/>
      <c r="H1145" s="232"/>
      <c r="I1145" s="232"/>
      <c r="J1145" s="232"/>
      <c r="K1145" s="232"/>
      <c r="L1145" s="232"/>
      <c r="M1145" s="232"/>
      <c r="N1145" s="232"/>
      <c r="O1145" s="232"/>
      <c r="P1145" s="232"/>
      <c r="Q1145" s="232"/>
      <c r="R1145" s="232"/>
      <c r="S1145" s="232"/>
      <c r="T1145" s="232"/>
      <c r="U1145" s="232"/>
      <c r="V1145" s="15"/>
      <c r="W1145" s="15"/>
      <c r="X1145" s="15"/>
      <c r="Y1145" s="15"/>
      <c r="Z1145" s="15"/>
      <c r="AA1145" s="15"/>
    </row>
    <row r="1146" spans="1:27" s="25" customFormat="1" ht="12" customHeight="1" x14ac:dyDescent="0.2">
      <c r="A1146" s="232"/>
      <c r="B1146" s="250"/>
      <c r="C1146" s="286"/>
      <c r="D1146" s="232"/>
      <c r="E1146" s="232"/>
      <c r="F1146" s="232"/>
      <c r="G1146" s="232"/>
      <c r="H1146" s="232"/>
      <c r="I1146" s="232"/>
      <c r="J1146" s="232"/>
      <c r="K1146" s="232"/>
      <c r="L1146" s="232"/>
      <c r="M1146" s="232"/>
      <c r="N1146" s="232"/>
      <c r="O1146" s="232"/>
      <c r="P1146" s="232"/>
      <c r="Q1146" s="232"/>
      <c r="R1146" s="232"/>
      <c r="S1146" s="232"/>
      <c r="T1146" s="232"/>
      <c r="U1146" s="232"/>
      <c r="V1146" s="15"/>
      <c r="W1146" s="15"/>
      <c r="X1146" s="15"/>
      <c r="Y1146" s="15"/>
      <c r="Z1146" s="15"/>
      <c r="AA1146" s="15"/>
    </row>
    <row r="1147" spans="1:27" s="25" customFormat="1" ht="12" customHeight="1" x14ac:dyDescent="0.2">
      <c r="A1147" s="232"/>
      <c r="B1147" s="250"/>
      <c r="C1147" s="286"/>
      <c r="D1147" s="232"/>
      <c r="E1147" s="232"/>
      <c r="F1147" s="232"/>
      <c r="G1147" s="232"/>
      <c r="H1147" s="232"/>
      <c r="I1147" s="232"/>
      <c r="J1147" s="232"/>
      <c r="K1147" s="232"/>
      <c r="L1147" s="232"/>
      <c r="M1147" s="232"/>
      <c r="N1147" s="232"/>
      <c r="O1147" s="232"/>
      <c r="P1147" s="232"/>
      <c r="Q1147" s="232"/>
      <c r="R1147" s="232"/>
      <c r="S1147" s="232"/>
      <c r="T1147" s="232"/>
      <c r="U1147" s="232"/>
      <c r="V1147" s="15"/>
      <c r="W1147" s="15"/>
      <c r="X1147" s="15"/>
      <c r="Y1147" s="15"/>
      <c r="Z1147" s="15"/>
      <c r="AA1147" s="15"/>
    </row>
    <row r="1148" spans="1:27" s="25" customFormat="1" ht="12" customHeight="1" x14ac:dyDescent="0.2">
      <c r="A1148" s="232"/>
      <c r="B1148" s="250"/>
      <c r="C1148" s="286"/>
      <c r="D1148" s="232"/>
      <c r="E1148" s="232"/>
      <c r="F1148" s="232"/>
      <c r="G1148" s="232"/>
      <c r="H1148" s="232"/>
      <c r="I1148" s="232"/>
      <c r="J1148" s="232"/>
      <c r="K1148" s="232"/>
      <c r="L1148" s="232"/>
      <c r="M1148" s="232"/>
      <c r="N1148" s="232"/>
      <c r="O1148" s="232"/>
      <c r="P1148" s="232"/>
      <c r="Q1148" s="232"/>
      <c r="R1148" s="232"/>
      <c r="S1148" s="232"/>
      <c r="T1148" s="232"/>
      <c r="U1148" s="232"/>
      <c r="V1148" s="15"/>
      <c r="W1148" s="15"/>
      <c r="X1148" s="15"/>
      <c r="Y1148" s="15"/>
      <c r="Z1148" s="15"/>
      <c r="AA1148" s="15"/>
    </row>
    <row r="1149" spans="1:27" s="25" customFormat="1" ht="12" customHeight="1" x14ac:dyDescent="0.2">
      <c r="A1149" s="232"/>
      <c r="B1149" s="250"/>
      <c r="C1149" s="286"/>
      <c r="D1149" s="232"/>
      <c r="E1149" s="232"/>
      <c r="F1149" s="232"/>
      <c r="G1149" s="232"/>
      <c r="H1149" s="232"/>
      <c r="I1149" s="232"/>
      <c r="J1149" s="232"/>
      <c r="K1149" s="232"/>
      <c r="L1149" s="232"/>
      <c r="M1149" s="232"/>
      <c r="N1149" s="232"/>
      <c r="O1149" s="232"/>
      <c r="P1149" s="232"/>
      <c r="Q1149" s="232"/>
      <c r="R1149" s="232"/>
      <c r="S1149" s="232"/>
      <c r="T1149" s="232"/>
      <c r="U1149" s="232"/>
      <c r="V1149" s="15"/>
      <c r="W1149" s="15"/>
      <c r="X1149" s="15"/>
      <c r="Y1149" s="15"/>
      <c r="Z1149" s="15"/>
      <c r="AA1149" s="15"/>
    </row>
    <row r="1150" spans="1:27" s="25" customFormat="1" ht="12" customHeight="1" x14ac:dyDescent="0.2">
      <c r="A1150" s="232"/>
      <c r="B1150" s="250"/>
      <c r="C1150" s="286"/>
      <c r="D1150" s="232"/>
      <c r="E1150" s="232"/>
      <c r="F1150" s="232"/>
      <c r="G1150" s="232"/>
      <c r="H1150" s="232"/>
      <c r="I1150" s="232"/>
      <c r="J1150" s="232"/>
      <c r="K1150" s="232"/>
      <c r="L1150" s="232"/>
      <c r="M1150" s="232"/>
      <c r="N1150" s="232"/>
      <c r="O1150" s="232"/>
      <c r="P1150" s="232"/>
      <c r="Q1150" s="232"/>
      <c r="R1150" s="232"/>
      <c r="S1150" s="232"/>
      <c r="T1150" s="232"/>
      <c r="U1150" s="232"/>
      <c r="V1150" s="15"/>
      <c r="W1150" s="15"/>
      <c r="X1150" s="15"/>
      <c r="Y1150" s="15"/>
      <c r="Z1150" s="15"/>
      <c r="AA1150" s="15"/>
    </row>
    <row r="1151" spans="1:27" s="25" customFormat="1" ht="12" customHeight="1" x14ac:dyDescent="0.2">
      <c r="A1151" s="232"/>
      <c r="B1151" s="250"/>
      <c r="C1151" s="286"/>
      <c r="D1151" s="232"/>
      <c r="E1151" s="232"/>
      <c r="F1151" s="232"/>
      <c r="G1151" s="232"/>
      <c r="H1151" s="232"/>
      <c r="I1151" s="232"/>
      <c r="J1151" s="232"/>
      <c r="K1151" s="232"/>
      <c r="L1151" s="232"/>
      <c r="M1151" s="232"/>
      <c r="N1151" s="232"/>
      <c r="O1151" s="232"/>
      <c r="P1151" s="232"/>
      <c r="Q1151" s="232"/>
      <c r="R1151" s="232"/>
      <c r="S1151" s="232"/>
      <c r="T1151" s="232"/>
      <c r="U1151" s="232"/>
      <c r="V1151" s="15"/>
      <c r="W1151" s="15"/>
      <c r="X1151" s="15"/>
      <c r="Y1151" s="15"/>
      <c r="Z1151" s="15"/>
      <c r="AA1151" s="15"/>
    </row>
    <row r="1152" spans="1:27" s="25" customFormat="1" ht="12" customHeight="1" x14ac:dyDescent="0.2">
      <c r="A1152" s="232"/>
      <c r="B1152" s="250"/>
      <c r="C1152" s="286"/>
      <c r="D1152" s="232"/>
      <c r="E1152" s="232"/>
      <c r="F1152" s="232"/>
      <c r="G1152" s="232"/>
      <c r="H1152" s="232"/>
      <c r="I1152" s="232"/>
      <c r="J1152" s="232"/>
      <c r="K1152" s="232"/>
      <c r="L1152" s="232"/>
      <c r="M1152" s="232"/>
      <c r="N1152" s="232"/>
      <c r="O1152" s="232"/>
      <c r="P1152" s="232"/>
      <c r="Q1152" s="232"/>
      <c r="R1152" s="232"/>
      <c r="S1152" s="232"/>
      <c r="T1152" s="232"/>
      <c r="U1152" s="232"/>
      <c r="V1152" s="15"/>
      <c r="W1152" s="15"/>
      <c r="X1152" s="15"/>
      <c r="Y1152" s="15"/>
      <c r="Z1152" s="15"/>
      <c r="AA1152" s="15"/>
    </row>
    <row r="1153" spans="1:27" s="25" customFormat="1" ht="12" customHeight="1" x14ac:dyDescent="0.2">
      <c r="A1153" s="232"/>
      <c r="B1153" s="250"/>
      <c r="C1153" s="286"/>
      <c r="D1153" s="232"/>
      <c r="E1153" s="232"/>
      <c r="F1153" s="232"/>
      <c r="G1153" s="232"/>
      <c r="H1153" s="232"/>
      <c r="I1153" s="232"/>
      <c r="J1153" s="232"/>
      <c r="K1153" s="232"/>
      <c r="L1153" s="232"/>
      <c r="M1153" s="232"/>
      <c r="N1153" s="232"/>
      <c r="O1153" s="232"/>
      <c r="P1153" s="232"/>
      <c r="Q1153" s="232"/>
      <c r="R1153" s="232"/>
      <c r="S1153" s="232"/>
      <c r="T1153" s="232"/>
      <c r="U1153" s="232"/>
      <c r="V1153" s="15"/>
      <c r="W1153" s="15"/>
      <c r="X1153" s="15"/>
      <c r="Y1153" s="15"/>
      <c r="Z1153" s="15"/>
      <c r="AA1153" s="15"/>
    </row>
    <row r="1154" spans="1:27" s="25" customFormat="1" ht="12" customHeight="1" x14ac:dyDescent="0.2">
      <c r="A1154" s="232"/>
      <c r="B1154" s="250"/>
      <c r="C1154" s="286"/>
      <c r="D1154" s="232"/>
      <c r="E1154" s="232"/>
      <c r="F1154" s="232"/>
      <c r="G1154" s="232"/>
      <c r="H1154" s="232"/>
      <c r="I1154" s="232"/>
      <c r="J1154" s="232"/>
      <c r="K1154" s="232"/>
      <c r="L1154" s="232"/>
      <c r="M1154" s="232"/>
      <c r="N1154" s="232"/>
      <c r="O1154" s="232"/>
      <c r="P1154" s="232"/>
      <c r="Q1154" s="232"/>
      <c r="R1154" s="232"/>
      <c r="S1154" s="232"/>
      <c r="T1154" s="232"/>
      <c r="U1154" s="232"/>
      <c r="V1154" s="15"/>
      <c r="W1154" s="15"/>
      <c r="X1154" s="15"/>
      <c r="Y1154" s="15"/>
      <c r="Z1154" s="15"/>
      <c r="AA1154" s="15"/>
    </row>
    <row r="1155" spans="1:27" s="25" customFormat="1" ht="12" customHeight="1" x14ac:dyDescent="0.2">
      <c r="A1155" s="232"/>
      <c r="B1155" s="250"/>
      <c r="C1155" s="286"/>
      <c r="D1155" s="232"/>
      <c r="E1155" s="232"/>
      <c r="F1155" s="232"/>
      <c r="G1155" s="232"/>
      <c r="H1155" s="232"/>
      <c r="I1155" s="232"/>
      <c r="J1155" s="232"/>
      <c r="K1155" s="232"/>
      <c r="L1155" s="232"/>
      <c r="M1155" s="232"/>
      <c r="N1155" s="232"/>
      <c r="O1155" s="232"/>
      <c r="P1155" s="232"/>
      <c r="Q1155" s="232"/>
      <c r="R1155" s="232"/>
      <c r="S1155" s="232"/>
      <c r="T1155" s="232"/>
      <c r="U1155" s="232"/>
      <c r="V1155" s="15"/>
      <c r="W1155" s="15"/>
      <c r="X1155" s="15"/>
      <c r="Y1155" s="15"/>
      <c r="Z1155" s="15"/>
      <c r="AA1155" s="15"/>
    </row>
    <row r="1156" spans="1:27" s="25" customFormat="1" ht="12" customHeight="1" x14ac:dyDescent="0.2">
      <c r="A1156" s="232"/>
      <c r="B1156" s="250"/>
      <c r="C1156" s="286"/>
      <c r="D1156" s="232"/>
      <c r="E1156" s="232"/>
      <c r="F1156" s="232"/>
      <c r="G1156" s="232"/>
      <c r="H1156" s="232"/>
      <c r="I1156" s="232"/>
      <c r="J1156" s="232"/>
      <c r="K1156" s="232"/>
      <c r="L1156" s="232"/>
      <c r="M1156" s="232"/>
      <c r="N1156" s="232"/>
      <c r="O1156" s="232"/>
      <c r="P1156" s="232"/>
      <c r="Q1156" s="232"/>
      <c r="R1156" s="232"/>
      <c r="S1156" s="232"/>
      <c r="T1156" s="232"/>
      <c r="U1156" s="232"/>
      <c r="V1156" s="15"/>
      <c r="W1156" s="15"/>
      <c r="X1156" s="15"/>
      <c r="Y1156" s="15"/>
      <c r="Z1156" s="15"/>
      <c r="AA1156" s="15"/>
    </row>
    <row r="1157" spans="1:27" s="25" customFormat="1" ht="12" customHeight="1" x14ac:dyDescent="0.2">
      <c r="A1157" s="232"/>
      <c r="B1157" s="250"/>
      <c r="C1157" s="286"/>
      <c r="D1157" s="232"/>
      <c r="E1157" s="232"/>
      <c r="F1157" s="232"/>
      <c r="G1157" s="232"/>
      <c r="H1157" s="232"/>
      <c r="I1157" s="232"/>
      <c r="J1157" s="232"/>
      <c r="K1157" s="232"/>
      <c r="L1157" s="232"/>
      <c r="M1157" s="232"/>
      <c r="N1157" s="232"/>
      <c r="O1157" s="232"/>
      <c r="P1157" s="232"/>
      <c r="Q1157" s="232"/>
      <c r="R1157" s="232"/>
      <c r="S1157" s="232"/>
      <c r="T1157" s="232"/>
      <c r="U1157" s="232"/>
      <c r="V1157" s="15"/>
      <c r="W1157" s="15"/>
      <c r="X1157" s="15"/>
      <c r="Y1157" s="15"/>
      <c r="Z1157" s="15"/>
      <c r="AA1157" s="15"/>
    </row>
    <row r="1158" spans="1:27" s="25" customFormat="1" ht="12" customHeight="1" x14ac:dyDescent="0.2">
      <c r="A1158" s="232"/>
      <c r="B1158" s="250"/>
      <c r="C1158" s="286"/>
      <c r="D1158" s="232"/>
      <c r="E1158" s="232"/>
      <c r="F1158" s="232"/>
      <c r="G1158" s="232"/>
      <c r="H1158" s="232"/>
      <c r="I1158" s="232"/>
      <c r="J1158" s="232"/>
      <c r="K1158" s="232"/>
      <c r="L1158" s="232"/>
      <c r="M1158" s="232"/>
      <c r="N1158" s="232"/>
      <c r="O1158" s="232"/>
      <c r="P1158" s="232"/>
      <c r="Q1158" s="232"/>
      <c r="R1158" s="232"/>
      <c r="S1158" s="232"/>
      <c r="T1158" s="232"/>
      <c r="U1158" s="232"/>
      <c r="V1158" s="15"/>
      <c r="W1158" s="15"/>
      <c r="X1158" s="15"/>
      <c r="Y1158" s="15"/>
      <c r="Z1158" s="15"/>
      <c r="AA1158" s="15"/>
    </row>
    <row r="1159" spans="1:27" s="25" customFormat="1" ht="12" customHeight="1" x14ac:dyDescent="0.2">
      <c r="A1159" s="232"/>
      <c r="B1159" s="250"/>
      <c r="C1159" s="286"/>
      <c r="D1159" s="232"/>
      <c r="E1159" s="232"/>
      <c r="F1159" s="232"/>
      <c r="G1159" s="232"/>
      <c r="H1159" s="232"/>
      <c r="I1159" s="232"/>
      <c r="J1159" s="232"/>
      <c r="K1159" s="232"/>
      <c r="L1159" s="232"/>
      <c r="M1159" s="232"/>
      <c r="N1159" s="232"/>
      <c r="O1159" s="232"/>
      <c r="P1159" s="232"/>
      <c r="Q1159" s="232"/>
      <c r="R1159" s="232"/>
      <c r="S1159" s="232"/>
      <c r="T1159" s="232"/>
      <c r="U1159" s="232"/>
      <c r="V1159" s="15"/>
      <c r="W1159" s="15"/>
      <c r="X1159" s="15"/>
      <c r="Y1159" s="15"/>
      <c r="Z1159" s="15"/>
      <c r="AA1159" s="15"/>
    </row>
    <row r="1160" spans="1:27" s="25" customFormat="1" ht="12" customHeight="1" x14ac:dyDescent="0.2">
      <c r="A1160" s="232"/>
      <c r="B1160" s="250"/>
      <c r="C1160" s="286"/>
      <c r="D1160" s="232"/>
      <c r="E1160" s="232"/>
      <c r="F1160" s="232"/>
      <c r="G1160" s="232"/>
      <c r="H1160" s="232"/>
      <c r="I1160" s="232"/>
      <c r="J1160" s="232"/>
      <c r="K1160" s="232"/>
      <c r="L1160" s="232"/>
      <c r="M1160" s="232"/>
      <c r="N1160" s="232"/>
      <c r="O1160" s="232"/>
      <c r="P1160" s="232"/>
      <c r="Q1160" s="232"/>
      <c r="R1160" s="232"/>
      <c r="S1160" s="232"/>
      <c r="T1160" s="232"/>
      <c r="U1160" s="232"/>
      <c r="V1160" s="15"/>
      <c r="W1160" s="15"/>
      <c r="X1160" s="15"/>
      <c r="Y1160" s="15"/>
      <c r="Z1160" s="15"/>
      <c r="AA1160" s="15"/>
    </row>
    <row r="1161" spans="1:27" s="25" customFormat="1" ht="12" customHeight="1" x14ac:dyDescent="0.2">
      <c r="A1161" s="232"/>
      <c r="B1161" s="250"/>
      <c r="C1161" s="286"/>
      <c r="D1161" s="232"/>
      <c r="E1161" s="232"/>
      <c r="F1161" s="232"/>
      <c r="G1161" s="232"/>
      <c r="H1161" s="232"/>
      <c r="I1161" s="232"/>
      <c r="J1161" s="232"/>
      <c r="K1161" s="232"/>
      <c r="L1161" s="232"/>
      <c r="M1161" s="232"/>
      <c r="N1161" s="232"/>
      <c r="O1161" s="232"/>
      <c r="P1161" s="232"/>
      <c r="Q1161" s="232"/>
      <c r="R1161" s="232"/>
      <c r="S1161" s="232"/>
      <c r="T1161" s="232"/>
      <c r="U1161" s="232"/>
      <c r="V1161" s="15"/>
      <c r="W1161" s="15"/>
      <c r="X1161" s="15"/>
      <c r="Y1161" s="15"/>
      <c r="Z1161" s="15"/>
      <c r="AA1161" s="15"/>
    </row>
    <row r="1162" spans="1:27" s="25" customFormat="1" ht="12" customHeight="1" x14ac:dyDescent="0.2">
      <c r="A1162" s="232"/>
      <c r="B1162" s="250"/>
      <c r="C1162" s="286"/>
      <c r="D1162" s="232"/>
      <c r="E1162" s="232"/>
      <c r="F1162" s="232"/>
      <c r="G1162" s="232"/>
      <c r="H1162" s="232"/>
      <c r="I1162" s="232"/>
      <c r="J1162" s="232"/>
      <c r="K1162" s="232"/>
      <c r="L1162" s="232"/>
      <c r="M1162" s="232"/>
      <c r="N1162" s="232"/>
      <c r="O1162" s="232"/>
      <c r="P1162" s="232"/>
      <c r="Q1162" s="232"/>
      <c r="R1162" s="232"/>
      <c r="S1162" s="232"/>
      <c r="T1162" s="232"/>
      <c r="U1162" s="232"/>
      <c r="V1162" s="15"/>
      <c r="W1162" s="15"/>
      <c r="X1162" s="15"/>
      <c r="Y1162" s="15"/>
      <c r="Z1162" s="15"/>
      <c r="AA1162" s="15"/>
    </row>
    <row r="1163" spans="1:27" s="25" customFormat="1" ht="12" customHeight="1" x14ac:dyDescent="0.2">
      <c r="A1163" s="232"/>
      <c r="B1163" s="250"/>
      <c r="C1163" s="286"/>
      <c r="D1163" s="232"/>
      <c r="E1163" s="232"/>
      <c r="F1163" s="232"/>
      <c r="G1163" s="232"/>
      <c r="H1163" s="232"/>
      <c r="I1163" s="232"/>
      <c r="J1163" s="232"/>
      <c r="K1163" s="232"/>
      <c r="L1163" s="232"/>
      <c r="M1163" s="232"/>
      <c r="N1163" s="232"/>
      <c r="O1163" s="232"/>
      <c r="P1163" s="232"/>
      <c r="Q1163" s="232"/>
      <c r="R1163" s="232"/>
      <c r="S1163" s="232"/>
      <c r="T1163" s="232"/>
      <c r="U1163" s="232"/>
      <c r="V1163" s="15"/>
      <c r="W1163" s="15"/>
      <c r="X1163" s="15"/>
      <c r="Y1163" s="15"/>
      <c r="Z1163" s="15"/>
      <c r="AA1163" s="15"/>
    </row>
    <row r="1164" spans="1:27" s="25" customFormat="1" ht="12" customHeight="1" x14ac:dyDescent="0.2">
      <c r="A1164" s="232"/>
      <c r="B1164" s="250"/>
      <c r="C1164" s="286"/>
      <c r="D1164" s="232"/>
      <c r="E1164" s="232"/>
      <c r="F1164" s="232"/>
      <c r="G1164" s="232"/>
      <c r="H1164" s="232"/>
      <c r="I1164" s="232"/>
      <c r="J1164" s="232"/>
      <c r="K1164" s="232"/>
      <c r="L1164" s="232"/>
      <c r="M1164" s="232"/>
      <c r="N1164" s="232"/>
      <c r="O1164" s="232"/>
      <c r="P1164" s="232"/>
      <c r="Q1164" s="232"/>
      <c r="R1164" s="232"/>
      <c r="S1164" s="232"/>
      <c r="T1164" s="232"/>
      <c r="U1164" s="232"/>
      <c r="V1164" s="15"/>
      <c r="W1164" s="15"/>
      <c r="X1164" s="15"/>
      <c r="Y1164" s="15"/>
      <c r="Z1164" s="15"/>
      <c r="AA1164" s="15"/>
    </row>
    <row r="1165" spans="1:27" s="25" customFormat="1" ht="12" customHeight="1" x14ac:dyDescent="0.2">
      <c r="A1165" s="232"/>
      <c r="B1165" s="250"/>
      <c r="C1165" s="286"/>
      <c r="D1165" s="232"/>
      <c r="E1165" s="232"/>
      <c r="F1165" s="232"/>
      <c r="G1165" s="232"/>
      <c r="H1165" s="232"/>
      <c r="I1165" s="232"/>
      <c r="J1165" s="232"/>
      <c r="K1165" s="232"/>
      <c r="L1165" s="232"/>
      <c r="M1165" s="232"/>
      <c r="N1165" s="232"/>
      <c r="O1165" s="232"/>
      <c r="P1165" s="232"/>
      <c r="Q1165" s="232"/>
      <c r="R1165" s="232"/>
      <c r="S1165" s="232"/>
      <c r="T1165" s="232"/>
      <c r="U1165" s="232"/>
      <c r="V1165" s="15"/>
      <c r="W1165" s="15"/>
      <c r="X1165" s="15"/>
      <c r="Y1165" s="15"/>
      <c r="Z1165" s="15"/>
      <c r="AA1165" s="15"/>
    </row>
    <row r="1166" spans="1:27" s="25" customFormat="1" ht="12" customHeight="1" x14ac:dyDescent="0.2">
      <c r="A1166" s="232"/>
      <c r="B1166" s="250"/>
      <c r="C1166" s="286"/>
      <c r="D1166" s="232"/>
      <c r="E1166" s="232"/>
      <c r="F1166" s="232"/>
      <c r="G1166" s="232"/>
      <c r="H1166" s="232"/>
      <c r="I1166" s="232"/>
      <c r="J1166" s="232"/>
      <c r="K1166" s="232"/>
      <c r="L1166" s="232"/>
      <c r="M1166" s="232"/>
      <c r="N1166" s="232"/>
      <c r="O1166" s="232"/>
      <c r="P1166" s="232"/>
      <c r="Q1166" s="232"/>
      <c r="R1166" s="232"/>
      <c r="S1166" s="232"/>
      <c r="T1166" s="232"/>
      <c r="U1166" s="232"/>
      <c r="V1166" s="15"/>
      <c r="W1166" s="15"/>
      <c r="X1166" s="15"/>
      <c r="Y1166" s="15"/>
      <c r="Z1166" s="15"/>
      <c r="AA1166" s="15"/>
    </row>
    <row r="1167" spans="1:27" s="25" customFormat="1" ht="12" customHeight="1" x14ac:dyDescent="0.2">
      <c r="A1167" s="232"/>
      <c r="B1167" s="250"/>
      <c r="C1167" s="286"/>
      <c r="D1167" s="232"/>
      <c r="E1167" s="232"/>
      <c r="F1167" s="232"/>
      <c r="G1167" s="232"/>
      <c r="H1167" s="232"/>
      <c r="I1167" s="232"/>
      <c r="J1167" s="232"/>
      <c r="K1167" s="232"/>
      <c r="L1167" s="232"/>
      <c r="M1167" s="232"/>
      <c r="N1167" s="232"/>
      <c r="O1167" s="232"/>
      <c r="P1167" s="232"/>
      <c r="Q1167" s="232"/>
      <c r="R1167" s="232"/>
      <c r="S1167" s="232"/>
      <c r="T1167" s="232"/>
      <c r="U1167" s="232"/>
      <c r="V1167" s="15"/>
      <c r="W1167" s="15"/>
      <c r="X1167" s="15"/>
      <c r="Y1167" s="15"/>
      <c r="Z1167" s="15"/>
      <c r="AA1167" s="15"/>
    </row>
    <row r="1168" spans="1:27" s="25" customFormat="1" ht="12" customHeight="1" x14ac:dyDescent="0.2">
      <c r="A1168" s="232"/>
      <c r="B1168" s="250"/>
      <c r="C1168" s="286"/>
      <c r="D1168" s="232"/>
      <c r="E1168" s="232"/>
      <c r="F1168" s="232"/>
      <c r="G1168" s="232"/>
      <c r="H1168" s="232"/>
      <c r="I1168" s="232"/>
      <c r="J1168" s="232"/>
      <c r="K1168" s="232"/>
      <c r="L1168" s="232"/>
      <c r="M1168" s="232"/>
      <c r="N1168" s="232"/>
      <c r="O1168" s="232"/>
      <c r="P1168" s="232"/>
      <c r="Q1168" s="232"/>
      <c r="R1168" s="232"/>
      <c r="S1168" s="232"/>
      <c r="T1168" s="232"/>
      <c r="U1168" s="232"/>
      <c r="V1168" s="15"/>
      <c r="W1168" s="15"/>
      <c r="X1168" s="15"/>
      <c r="Y1168" s="15"/>
      <c r="Z1168" s="15"/>
      <c r="AA1168" s="15"/>
    </row>
    <row r="1169" spans="1:27" s="25" customFormat="1" ht="12" customHeight="1" x14ac:dyDescent="0.2">
      <c r="A1169" s="232"/>
      <c r="B1169" s="250"/>
      <c r="C1169" s="286"/>
      <c r="D1169" s="232"/>
      <c r="E1169" s="232"/>
      <c r="F1169" s="232"/>
      <c r="G1169" s="232"/>
      <c r="H1169" s="232"/>
      <c r="I1169" s="232"/>
      <c r="J1169" s="232"/>
      <c r="K1169" s="232"/>
      <c r="L1169" s="232"/>
      <c r="M1169" s="232"/>
      <c r="N1169" s="232"/>
      <c r="O1169" s="232"/>
      <c r="P1169" s="232"/>
      <c r="Q1169" s="232"/>
      <c r="R1169" s="232"/>
      <c r="S1169" s="232"/>
      <c r="T1169" s="232"/>
      <c r="U1169" s="232"/>
      <c r="V1169" s="15"/>
      <c r="W1169" s="15"/>
      <c r="X1169" s="15"/>
      <c r="Y1169" s="15"/>
      <c r="Z1169" s="15"/>
      <c r="AA1169" s="15"/>
    </row>
    <row r="1170" spans="1:27" s="25" customFormat="1" ht="12" customHeight="1" x14ac:dyDescent="0.2">
      <c r="A1170" s="232"/>
      <c r="B1170" s="250"/>
      <c r="C1170" s="286"/>
      <c r="D1170" s="232"/>
      <c r="E1170" s="232"/>
      <c r="F1170" s="232"/>
      <c r="G1170" s="232"/>
      <c r="H1170" s="232"/>
      <c r="I1170" s="232"/>
      <c r="J1170" s="232"/>
      <c r="K1170" s="232"/>
      <c r="L1170" s="232"/>
      <c r="M1170" s="232"/>
      <c r="N1170" s="232"/>
      <c r="O1170" s="232"/>
      <c r="P1170" s="232"/>
      <c r="Q1170" s="232"/>
      <c r="R1170" s="232"/>
      <c r="S1170" s="232"/>
      <c r="T1170" s="232"/>
      <c r="U1170" s="232"/>
      <c r="V1170" s="15"/>
      <c r="W1170" s="15"/>
      <c r="X1170" s="15"/>
      <c r="Y1170" s="15"/>
      <c r="Z1170" s="15"/>
      <c r="AA1170" s="15"/>
    </row>
    <row r="1171" spans="1:27" s="25" customFormat="1" ht="12" customHeight="1" x14ac:dyDescent="0.2">
      <c r="A1171" s="232"/>
      <c r="B1171" s="250"/>
      <c r="C1171" s="286"/>
      <c r="D1171" s="232"/>
      <c r="E1171" s="232"/>
      <c r="F1171" s="232"/>
      <c r="G1171" s="232"/>
      <c r="H1171" s="232"/>
      <c r="I1171" s="232"/>
      <c r="J1171" s="232"/>
      <c r="K1171" s="232"/>
      <c r="L1171" s="232"/>
      <c r="M1171" s="232"/>
      <c r="N1171" s="232"/>
      <c r="O1171" s="232"/>
      <c r="P1171" s="232"/>
      <c r="Q1171" s="232"/>
      <c r="R1171" s="232"/>
      <c r="S1171" s="232"/>
      <c r="T1171" s="232"/>
      <c r="U1171" s="232"/>
      <c r="V1171" s="15"/>
      <c r="W1171" s="15"/>
      <c r="X1171" s="15"/>
      <c r="Y1171" s="15"/>
      <c r="Z1171" s="15"/>
      <c r="AA1171" s="15"/>
    </row>
    <row r="1172" spans="1:27" s="25" customFormat="1" ht="12" customHeight="1" x14ac:dyDescent="0.2">
      <c r="A1172" s="232"/>
      <c r="B1172" s="250"/>
      <c r="C1172" s="286"/>
      <c r="D1172" s="232"/>
      <c r="E1172" s="232"/>
      <c r="F1172" s="232"/>
      <c r="G1172" s="232"/>
      <c r="H1172" s="232"/>
      <c r="I1172" s="232"/>
      <c r="J1172" s="232"/>
      <c r="K1172" s="232"/>
      <c r="L1172" s="232"/>
      <c r="M1172" s="232"/>
      <c r="N1172" s="232"/>
      <c r="O1172" s="232"/>
      <c r="P1172" s="232"/>
      <c r="Q1172" s="232"/>
      <c r="R1172" s="232"/>
      <c r="S1172" s="232"/>
      <c r="T1172" s="232"/>
      <c r="U1172" s="232"/>
      <c r="V1172" s="15"/>
      <c r="W1172" s="15"/>
      <c r="X1172" s="15"/>
      <c r="Y1172" s="15"/>
      <c r="Z1172" s="15"/>
      <c r="AA1172" s="15"/>
    </row>
    <row r="1173" spans="1:27" s="25" customFormat="1" ht="12" customHeight="1" x14ac:dyDescent="0.2">
      <c r="A1173" s="232"/>
      <c r="B1173" s="250"/>
      <c r="C1173" s="286"/>
      <c r="D1173" s="232"/>
      <c r="E1173" s="232"/>
      <c r="F1173" s="232"/>
      <c r="G1173" s="232"/>
      <c r="H1173" s="232"/>
      <c r="I1173" s="232"/>
      <c r="J1173" s="232"/>
      <c r="K1173" s="232"/>
      <c r="L1173" s="232"/>
      <c r="M1173" s="232"/>
      <c r="N1173" s="232"/>
      <c r="O1173" s="232"/>
      <c r="P1173" s="232"/>
      <c r="Q1173" s="232"/>
      <c r="R1173" s="232"/>
      <c r="S1173" s="232"/>
      <c r="T1173" s="232"/>
      <c r="U1173" s="232"/>
      <c r="V1173" s="15"/>
      <c r="W1173" s="15"/>
      <c r="X1173" s="15"/>
      <c r="Y1173" s="15"/>
      <c r="Z1173" s="15"/>
      <c r="AA1173" s="15"/>
    </row>
    <row r="1174" spans="1:27" s="25" customFormat="1" ht="12" customHeight="1" x14ac:dyDescent="0.2">
      <c r="A1174" s="232"/>
      <c r="B1174" s="250"/>
      <c r="C1174" s="286"/>
      <c r="D1174" s="232"/>
      <c r="E1174" s="232"/>
      <c r="F1174" s="232"/>
      <c r="G1174" s="232"/>
      <c r="H1174" s="232"/>
      <c r="I1174" s="232"/>
      <c r="J1174" s="232"/>
      <c r="K1174" s="232"/>
      <c r="L1174" s="232"/>
      <c r="M1174" s="232"/>
      <c r="N1174" s="232"/>
      <c r="O1174" s="232"/>
      <c r="P1174" s="232"/>
      <c r="Q1174" s="232"/>
      <c r="R1174" s="232"/>
      <c r="S1174" s="232"/>
      <c r="T1174" s="232"/>
      <c r="U1174" s="232"/>
      <c r="V1174" s="15"/>
      <c r="W1174" s="15"/>
      <c r="X1174" s="15"/>
      <c r="Y1174" s="15"/>
      <c r="Z1174" s="15"/>
      <c r="AA1174" s="15"/>
    </row>
    <row r="1175" spans="1:27" s="25" customFormat="1" ht="12" customHeight="1" x14ac:dyDescent="0.2">
      <c r="A1175" s="232"/>
      <c r="B1175" s="250"/>
      <c r="C1175" s="286"/>
      <c r="D1175" s="232"/>
      <c r="E1175" s="232"/>
      <c r="F1175" s="232"/>
      <c r="G1175" s="232"/>
      <c r="H1175" s="232"/>
      <c r="I1175" s="232"/>
      <c r="J1175" s="232"/>
      <c r="K1175" s="232"/>
      <c r="L1175" s="232"/>
      <c r="M1175" s="232"/>
      <c r="N1175" s="232"/>
      <c r="O1175" s="232"/>
      <c r="P1175" s="232"/>
      <c r="Q1175" s="232"/>
      <c r="R1175" s="232"/>
      <c r="S1175" s="232"/>
      <c r="T1175" s="232"/>
      <c r="U1175" s="232"/>
      <c r="V1175" s="15"/>
      <c r="W1175" s="15"/>
      <c r="X1175" s="15"/>
      <c r="Y1175" s="15"/>
      <c r="Z1175" s="15"/>
      <c r="AA1175" s="15"/>
    </row>
    <row r="1176" spans="1:27" s="25" customFormat="1" ht="12" customHeight="1" x14ac:dyDescent="0.2">
      <c r="A1176" s="232"/>
      <c r="B1176" s="250"/>
      <c r="C1176" s="286"/>
      <c r="D1176" s="232"/>
      <c r="E1176" s="232"/>
      <c r="F1176" s="232"/>
      <c r="G1176" s="232"/>
      <c r="H1176" s="232"/>
      <c r="I1176" s="232"/>
      <c r="J1176" s="232"/>
      <c r="K1176" s="232"/>
      <c r="L1176" s="232"/>
      <c r="M1176" s="232"/>
      <c r="N1176" s="232"/>
      <c r="O1176" s="232"/>
      <c r="P1176" s="232"/>
      <c r="Q1176" s="232"/>
      <c r="R1176" s="232"/>
      <c r="S1176" s="232"/>
      <c r="T1176" s="232"/>
      <c r="U1176" s="232"/>
      <c r="V1176" s="15"/>
      <c r="W1176" s="15"/>
      <c r="X1176" s="15"/>
      <c r="Y1176" s="15"/>
      <c r="Z1176" s="15"/>
      <c r="AA1176" s="15"/>
    </row>
    <row r="1177" spans="1:27" s="25" customFormat="1" ht="12" customHeight="1" x14ac:dyDescent="0.2">
      <c r="A1177" s="232"/>
      <c r="B1177" s="250"/>
      <c r="C1177" s="286"/>
      <c r="D1177" s="232"/>
      <c r="E1177" s="232"/>
      <c r="F1177" s="232"/>
      <c r="G1177" s="232"/>
      <c r="H1177" s="232"/>
      <c r="I1177" s="232"/>
      <c r="J1177" s="232"/>
      <c r="K1177" s="232"/>
      <c r="L1177" s="232"/>
      <c r="M1177" s="232"/>
      <c r="N1177" s="232"/>
      <c r="O1177" s="232"/>
      <c r="P1177" s="232"/>
      <c r="Q1177" s="232"/>
      <c r="R1177" s="232"/>
      <c r="S1177" s="232"/>
      <c r="T1177" s="232"/>
      <c r="U1177" s="232"/>
      <c r="V1177" s="15"/>
      <c r="W1177" s="15"/>
      <c r="X1177" s="15"/>
      <c r="Y1177" s="15"/>
      <c r="Z1177" s="15"/>
      <c r="AA1177" s="15"/>
    </row>
    <row r="1178" spans="1:27" s="25" customFormat="1" ht="12" customHeight="1" x14ac:dyDescent="0.2">
      <c r="A1178" s="232"/>
      <c r="B1178" s="250"/>
      <c r="C1178" s="286"/>
      <c r="D1178" s="232"/>
      <c r="E1178" s="232"/>
      <c r="F1178" s="232"/>
      <c r="G1178" s="232"/>
      <c r="H1178" s="232"/>
      <c r="I1178" s="232"/>
      <c r="J1178" s="232"/>
      <c r="K1178" s="232"/>
      <c r="L1178" s="232"/>
      <c r="M1178" s="232"/>
      <c r="N1178" s="232"/>
      <c r="O1178" s="232"/>
      <c r="P1178" s="232"/>
      <c r="Q1178" s="232"/>
      <c r="R1178" s="232"/>
      <c r="S1178" s="232"/>
      <c r="T1178" s="232"/>
      <c r="U1178" s="232"/>
      <c r="V1178" s="15"/>
      <c r="W1178" s="15"/>
      <c r="X1178" s="15"/>
      <c r="Y1178" s="15"/>
      <c r="Z1178" s="15"/>
      <c r="AA1178" s="15"/>
    </row>
    <row r="1179" spans="1:27" s="25" customFormat="1" ht="12" customHeight="1" x14ac:dyDescent="0.2">
      <c r="A1179" s="232"/>
      <c r="B1179" s="250"/>
      <c r="C1179" s="286"/>
      <c r="D1179" s="232"/>
      <c r="E1179" s="232"/>
      <c r="F1179" s="232"/>
      <c r="G1179" s="232"/>
      <c r="H1179" s="232"/>
      <c r="I1179" s="232"/>
      <c r="J1179" s="232"/>
      <c r="K1179" s="232"/>
      <c r="L1179" s="232"/>
      <c r="M1179" s="232"/>
      <c r="N1179" s="232"/>
      <c r="O1179" s="232"/>
      <c r="P1179" s="232"/>
      <c r="Q1179" s="232"/>
      <c r="R1179" s="232"/>
      <c r="S1179" s="232"/>
      <c r="T1179" s="232"/>
      <c r="U1179" s="232"/>
      <c r="V1179" s="15"/>
      <c r="W1179" s="15"/>
      <c r="X1179" s="15"/>
      <c r="Y1179" s="15"/>
      <c r="Z1179" s="15"/>
      <c r="AA1179" s="15"/>
    </row>
    <row r="1180" spans="1:27" s="25" customFormat="1" ht="12" customHeight="1" x14ac:dyDescent="0.2">
      <c r="A1180" s="232"/>
      <c r="B1180" s="250"/>
      <c r="C1180" s="286"/>
      <c r="D1180" s="232"/>
      <c r="E1180" s="232"/>
      <c r="F1180" s="232"/>
      <c r="G1180" s="232"/>
      <c r="H1180" s="232"/>
      <c r="I1180" s="232"/>
      <c r="J1180" s="232"/>
      <c r="K1180" s="232"/>
      <c r="L1180" s="232"/>
      <c r="M1180" s="232"/>
      <c r="N1180" s="232"/>
      <c r="O1180" s="232"/>
      <c r="P1180" s="232"/>
      <c r="Q1180" s="232"/>
      <c r="R1180" s="232"/>
      <c r="S1180" s="232"/>
      <c r="T1180" s="232"/>
      <c r="U1180" s="232"/>
      <c r="V1180" s="15"/>
      <c r="W1180" s="15"/>
      <c r="X1180" s="15"/>
      <c r="Y1180" s="15"/>
      <c r="Z1180" s="15"/>
      <c r="AA1180" s="15"/>
    </row>
    <row r="1181" spans="1:27" s="25" customFormat="1" ht="12" customHeight="1" x14ac:dyDescent="0.2">
      <c r="A1181" s="232"/>
      <c r="B1181" s="250"/>
      <c r="C1181" s="286"/>
      <c r="D1181" s="232"/>
      <c r="E1181" s="232"/>
      <c r="F1181" s="232"/>
      <c r="G1181" s="232"/>
      <c r="H1181" s="232"/>
      <c r="I1181" s="232"/>
      <c r="J1181" s="232"/>
      <c r="K1181" s="232"/>
      <c r="L1181" s="232"/>
      <c r="M1181" s="232"/>
      <c r="N1181" s="232"/>
      <c r="O1181" s="232"/>
      <c r="P1181" s="232"/>
      <c r="Q1181" s="232"/>
      <c r="R1181" s="232"/>
      <c r="S1181" s="232"/>
      <c r="T1181" s="232"/>
      <c r="U1181" s="232"/>
      <c r="V1181" s="15"/>
      <c r="W1181" s="15"/>
      <c r="X1181" s="15"/>
      <c r="Y1181" s="15"/>
      <c r="Z1181" s="15"/>
      <c r="AA1181" s="15"/>
    </row>
    <row r="1182" spans="1:27" s="25" customFormat="1" ht="12" customHeight="1" x14ac:dyDescent="0.2">
      <c r="A1182" s="232"/>
      <c r="B1182" s="250"/>
      <c r="C1182" s="286"/>
      <c r="D1182" s="232"/>
      <c r="E1182" s="232"/>
      <c r="F1182" s="232"/>
      <c r="G1182" s="232"/>
      <c r="H1182" s="232"/>
      <c r="I1182" s="232"/>
      <c r="J1182" s="232"/>
      <c r="K1182" s="232"/>
      <c r="L1182" s="232"/>
      <c r="M1182" s="232"/>
      <c r="N1182" s="232"/>
      <c r="O1182" s="232"/>
      <c r="P1182" s="232"/>
      <c r="Q1182" s="232"/>
      <c r="R1182" s="232"/>
      <c r="S1182" s="232"/>
      <c r="T1182" s="232"/>
      <c r="U1182" s="232"/>
      <c r="V1182" s="15"/>
      <c r="W1182" s="15"/>
      <c r="X1182" s="15"/>
      <c r="Y1182" s="15"/>
      <c r="Z1182" s="15"/>
      <c r="AA1182" s="15"/>
    </row>
    <row r="1183" spans="1:27" s="25" customFormat="1" ht="12" customHeight="1" x14ac:dyDescent="0.2">
      <c r="A1183" s="232"/>
      <c r="B1183" s="250"/>
      <c r="C1183" s="286"/>
      <c r="D1183" s="232"/>
      <c r="E1183" s="232"/>
      <c r="F1183" s="232"/>
      <c r="G1183" s="232"/>
      <c r="H1183" s="232"/>
      <c r="I1183" s="232"/>
      <c r="J1183" s="232"/>
      <c r="K1183" s="232"/>
      <c r="L1183" s="232"/>
      <c r="M1183" s="232"/>
      <c r="N1183" s="232"/>
      <c r="O1183" s="232"/>
      <c r="P1183" s="232"/>
      <c r="Q1183" s="232"/>
      <c r="R1183" s="232"/>
      <c r="S1183" s="232"/>
      <c r="T1183" s="232"/>
      <c r="U1183" s="232"/>
      <c r="V1183" s="15"/>
      <c r="W1183" s="15"/>
      <c r="X1183" s="15"/>
      <c r="Y1183" s="15"/>
      <c r="Z1183" s="15"/>
      <c r="AA1183" s="15"/>
    </row>
    <row r="1184" spans="1:27" s="25" customFormat="1" ht="12" customHeight="1" x14ac:dyDescent="0.2">
      <c r="A1184" s="232"/>
      <c r="B1184" s="250"/>
      <c r="C1184" s="286"/>
      <c r="D1184" s="232"/>
      <c r="E1184" s="232"/>
      <c r="F1184" s="232"/>
      <c r="G1184" s="232"/>
      <c r="H1184" s="232"/>
      <c r="I1184" s="232"/>
      <c r="J1184" s="232"/>
      <c r="K1184" s="232"/>
      <c r="L1184" s="232"/>
      <c r="M1184" s="232"/>
      <c r="N1184" s="232"/>
      <c r="O1184" s="232"/>
      <c r="P1184" s="232"/>
      <c r="Q1184" s="232"/>
      <c r="R1184" s="232"/>
      <c r="S1184" s="232"/>
      <c r="T1184" s="232"/>
      <c r="U1184" s="232"/>
      <c r="V1184" s="15"/>
      <c r="W1184" s="15"/>
      <c r="X1184" s="15"/>
      <c r="Y1184" s="15"/>
      <c r="Z1184" s="15"/>
      <c r="AA1184" s="15"/>
    </row>
    <row r="1185" spans="1:27" s="25" customFormat="1" ht="12" customHeight="1" x14ac:dyDescent="0.2">
      <c r="A1185" s="232"/>
      <c r="B1185" s="250"/>
      <c r="C1185" s="286"/>
      <c r="D1185" s="232"/>
      <c r="E1185" s="232"/>
      <c r="F1185" s="232"/>
      <c r="G1185" s="232"/>
      <c r="H1185" s="232"/>
      <c r="I1185" s="232"/>
      <c r="J1185" s="232"/>
      <c r="K1185" s="232"/>
      <c r="L1185" s="232"/>
      <c r="M1185" s="232"/>
      <c r="N1185" s="232"/>
      <c r="O1185" s="232"/>
      <c r="P1185" s="232"/>
      <c r="Q1185" s="232"/>
      <c r="R1185" s="232"/>
      <c r="S1185" s="232"/>
      <c r="T1185" s="232"/>
      <c r="U1185" s="232"/>
      <c r="V1185" s="15"/>
      <c r="W1185" s="15"/>
      <c r="X1185" s="15"/>
      <c r="Y1185" s="15"/>
      <c r="Z1185" s="15"/>
      <c r="AA1185" s="15"/>
    </row>
    <row r="1186" spans="1:27" s="25" customFormat="1" ht="12" customHeight="1" x14ac:dyDescent="0.2">
      <c r="A1186" s="232"/>
      <c r="B1186" s="250"/>
      <c r="C1186" s="286"/>
      <c r="D1186" s="232"/>
      <c r="E1186" s="232"/>
      <c r="F1186" s="232"/>
      <c r="G1186" s="232"/>
      <c r="H1186" s="232"/>
      <c r="I1186" s="232"/>
      <c r="J1186" s="232"/>
      <c r="K1186" s="232"/>
      <c r="L1186" s="232"/>
      <c r="M1186" s="232"/>
      <c r="N1186" s="232"/>
      <c r="O1186" s="232"/>
      <c r="P1186" s="232"/>
      <c r="Q1186" s="232"/>
      <c r="R1186" s="232"/>
      <c r="S1186" s="232"/>
      <c r="T1186" s="232"/>
      <c r="U1186" s="232"/>
      <c r="V1186" s="15"/>
      <c r="W1186" s="15"/>
      <c r="X1186" s="15"/>
      <c r="Y1186" s="15"/>
      <c r="Z1186" s="15"/>
      <c r="AA1186" s="15"/>
    </row>
    <row r="1187" spans="1:27" s="25" customFormat="1" ht="12" customHeight="1" x14ac:dyDescent="0.2">
      <c r="A1187" s="232"/>
      <c r="B1187" s="250"/>
      <c r="C1187" s="286"/>
      <c r="D1187" s="232"/>
      <c r="E1187" s="232"/>
      <c r="F1187" s="232"/>
      <c r="G1187" s="232"/>
      <c r="H1187" s="232"/>
      <c r="I1187" s="232"/>
      <c r="J1187" s="232"/>
      <c r="K1187" s="232"/>
      <c r="L1187" s="232"/>
      <c r="M1187" s="232"/>
      <c r="N1187" s="232"/>
      <c r="O1187" s="232"/>
      <c r="P1187" s="232"/>
      <c r="Q1187" s="232"/>
      <c r="R1187" s="232"/>
      <c r="S1187" s="232"/>
      <c r="T1187" s="232"/>
      <c r="U1187" s="232"/>
      <c r="V1187" s="15"/>
      <c r="W1187" s="15"/>
      <c r="X1187" s="15"/>
      <c r="Y1187" s="15"/>
      <c r="Z1187" s="15"/>
      <c r="AA1187" s="15"/>
    </row>
    <row r="1188" spans="1:27" s="25" customFormat="1" ht="12" customHeight="1" x14ac:dyDescent="0.2">
      <c r="A1188" s="232"/>
      <c r="B1188" s="250"/>
      <c r="C1188" s="286"/>
      <c r="D1188" s="232"/>
      <c r="E1188" s="232"/>
      <c r="F1188" s="232"/>
      <c r="G1188" s="232"/>
      <c r="H1188" s="232"/>
      <c r="I1188" s="232"/>
      <c r="J1188" s="232"/>
      <c r="K1188" s="232"/>
      <c r="L1188" s="232"/>
      <c r="M1188" s="232"/>
      <c r="N1188" s="232"/>
      <c r="O1188" s="232"/>
      <c r="P1188" s="232"/>
      <c r="Q1188" s="232"/>
      <c r="R1188" s="232"/>
      <c r="S1188" s="232"/>
      <c r="T1188" s="232"/>
      <c r="U1188" s="232"/>
      <c r="V1188" s="15"/>
      <c r="W1188" s="15"/>
      <c r="X1188" s="15"/>
      <c r="Y1188" s="15"/>
      <c r="Z1188" s="15"/>
      <c r="AA1188" s="15"/>
    </row>
    <row r="1189" spans="1:27" s="25" customFormat="1" ht="12" customHeight="1" x14ac:dyDescent="0.2">
      <c r="A1189" s="232"/>
      <c r="B1189" s="250"/>
      <c r="C1189" s="286"/>
      <c r="D1189" s="232"/>
      <c r="E1189" s="232"/>
      <c r="F1189" s="232"/>
      <c r="G1189" s="232"/>
      <c r="H1189" s="232"/>
      <c r="I1189" s="232"/>
      <c r="J1189" s="232"/>
      <c r="K1189" s="232"/>
      <c r="L1189" s="232"/>
      <c r="M1189" s="232"/>
      <c r="N1189" s="232"/>
      <c r="O1189" s="232"/>
      <c r="P1189" s="232"/>
      <c r="Q1189" s="232"/>
      <c r="R1189" s="232"/>
      <c r="S1189" s="232"/>
      <c r="T1189" s="232"/>
      <c r="U1189" s="232"/>
      <c r="V1189" s="15"/>
      <c r="W1189" s="15"/>
      <c r="X1189" s="15"/>
      <c r="Y1189" s="15"/>
      <c r="Z1189" s="15"/>
      <c r="AA1189" s="15"/>
    </row>
    <row r="1190" spans="1:27" s="25" customFormat="1" ht="12" customHeight="1" x14ac:dyDescent="0.2">
      <c r="A1190" s="232"/>
      <c r="B1190" s="250"/>
      <c r="C1190" s="286"/>
      <c r="D1190" s="232"/>
      <c r="E1190" s="232"/>
      <c r="F1190" s="232"/>
      <c r="G1190" s="232"/>
      <c r="H1190" s="232"/>
      <c r="I1190" s="232"/>
      <c r="J1190" s="232"/>
      <c r="K1190" s="232"/>
      <c r="L1190" s="232"/>
      <c r="M1190" s="232"/>
      <c r="N1190" s="232"/>
      <c r="O1190" s="232"/>
      <c r="P1190" s="232"/>
      <c r="Q1190" s="232"/>
      <c r="R1190" s="232"/>
      <c r="S1190" s="232"/>
      <c r="T1190" s="232"/>
      <c r="U1190" s="232"/>
      <c r="V1190" s="15"/>
      <c r="W1190" s="15"/>
      <c r="X1190" s="15"/>
      <c r="Y1190" s="15"/>
      <c r="Z1190" s="15"/>
      <c r="AA1190" s="15"/>
    </row>
    <row r="1191" spans="1:27" s="25" customFormat="1" ht="12" customHeight="1" x14ac:dyDescent="0.2">
      <c r="A1191" s="232"/>
      <c r="B1191" s="250"/>
      <c r="C1191" s="286"/>
      <c r="D1191" s="232"/>
      <c r="E1191" s="232"/>
      <c r="F1191" s="232"/>
      <c r="G1191" s="232"/>
      <c r="H1191" s="232"/>
      <c r="I1191" s="232"/>
      <c r="J1191" s="232"/>
      <c r="K1191" s="232"/>
      <c r="L1191" s="232"/>
      <c r="M1191" s="232"/>
      <c r="N1191" s="232"/>
      <c r="O1191" s="232"/>
      <c r="P1191" s="232"/>
      <c r="Q1191" s="232"/>
      <c r="R1191" s="232"/>
      <c r="S1191" s="232"/>
      <c r="T1191" s="232"/>
      <c r="U1191" s="232"/>
      <c r="V1191" s="15"/>
      <c r="W1191" s="15"/>
      <c r="X1191" s="15"/>
      <c r="Y1191" s="15"/>
      <c r="Z1191" s="15"/>
      <c r="AA1191" s="15"/>
    </row>
    <row r="1192" spans="1:27" s="25" customFormat="1" ht="12" customHeight="1" x14ac:dyDescent="0.2">
      <c r="A1192" s="232"/>
      <c r="B1192" s="250"/>
      <c r="C1192" s="286"/>
      <c r="D1192" s="232"/>
      <c r="E1192" s="232"/>
      <c r="F1192" s="232"/>
      <c r="G1192" s="232"/>
      <c r="H1192" s="232"/>
      <c r="I1192" s="232"/>
      <c r="J1192" s="232"/>
      <c r="K1192" s="232"/>
      <c r="L1192" s="232"/>
      <c r="M1192" s="232"/>
      <c r="N1192" s="232"/>
      <c r="O1192" s="232"/>
      <c r="P1192" s="232"/>
      <c r="Q1192" s="232"/>
      <c r="R1192" s="232"/>
      <c r="S1192" s="232"/>
      <c r="T1192" s="232"/>
      <c r="U1192" s="232"/>
      <c r="V1192" s="15"/>
      <c r="W1192" s="15"/>
      <c r="X1192" s="15"/>
      <c r="Y1192" s="15"/>
      <c r="Z1192" s="15"/>
      <c r="AA1192" s="15"/>
    </row>
    <row r="1193" spans="1:27" s="25" customFormat="1" ht="12" customHeight="1" x14ac:dyDescent="0.2">
      <c r="A1193" s="232"/>
      <c r="B1193" s="250"/>
      <c r="C1193" s="286"/>
      <c r="D1193" s="232"/>
      <c r="E1193" s="232"/>
      <c r="F1193" s="232"/>
      <c r="G1193" s="232"/>
      <c r="H1193" s="232"/>
      <c r="I1193" s="232"/>
      <c r="J1193" s="232"/>
      <c r="K1193" s="232"/>
      <c r="L1193" s="232"/>
      <c r="M1193" s="232"/>
      <c r="N1193" s="232"/>
      <c r="O1193" s="232"/>
      <c r="P1193" s="232"/>
      <c r="Q1193" s="232"/>
      <c r="R1193" s="232"/>
      <c r="S1193" s="232"/>
      <c r="T1193" s="232"/>
      <c r="U1193" s="232"/>
      <c r="V1193" s="15"/>
      <c r="W1193" s="15"/>
      <c r="X1193" s="15"/>
      <c r="Y1193" s="15"/>
      <c r="Z1193" s="15"/>
      <c r="AA1193" s="15"/>
    </row>
    <row r="1194" spans="1:27" s="25" customFormat="1" ht="12" customHeight="1" x14ac:dyDescent="0.2">
      <c r="A1194" s="232"/>
      <c r="B1194" s="250"/>
      <c r="C1194" s="286"/>
      <c r="D1194" s="232"/>
      <c r="E1194" s="232"/>
      <c r="F1194" s="232"/>
      <c r="G1194" s="232"/>
      <c r="H1194" s="232"/>
      <c r="I1194" s="232"/>
      <c r="J1194" s="232"/>
      <c r="K1194" s="232"/>
      <c r="L1194" s="232"/>
      <c r="M1194" s="232"/>
      <c r="N1194" s="232"/>
      <c r="O1194" s="232"/>
      <c r="P1194" s="232"/>
      <c r="Q1194" s="232"/>
      <c r="R1194" s="232"/>
      <c r="S1194" s="232"/>
      <c r="T1194" s="232"/>
      <c r="U1194" s="232"/>
      <c r="V1194" s="15"/>
      <c r="W1194" s="15"/>
      <c r="X1194" s="15"/>
      <c r="Y1194" s="15"/>
      <c r="Z1194" s="15"/>
      <c r="AA1194" s="15"/>
    </row>
    <row r="1195" spans="1:27" s="25" customFormat="1" ht="12" customHeight="1" x14ac:dyDescent="0.2">
      <c r="A1195" s="232"/>
      <c r="B1195" s="250"/>
      <c r="C1195" s="286"/>
      <c r="D1195" s="232"/>
      <c r="E1195" s="232"/>
      <c r="F1195" s="232"/>
      <c r="G1195" s="232"/>
      <c r="H1195" s="232"/>
      <c r="I1195" s="232"/>
      <c r="J1195" s="232"/>
      <c r="K1195" s="232"/>
      <c r="L1195" s="232"/>
      <c r="M1195" s="232"/>
      <c r="N1195" s="232"/>
      <c r="O1195" s="232"/>
      <c r="P1195" s="232"/>
      <c r="Q1195" s="232"/>
      <c r="R1195" s="232"/>
      <c r="S1195" s="232"/>
      <c r="T1195" s="232"/>
      <c r="U1195" s="232"/>
      <c r="V1195" s="15"/>
      <c r="W1195" s="15"/>
      <c r="X1195" s="15"/>
      <c r="Y1195" s="15"/>
      <c r="Z1195" s="15"/>
      <c r="AA1195" s="15"/>
    </row>
    <row r="1196" spans="1:27" s="25" customFormat="1" ht="12" customHeight="1" x14ac:dyDescent="0.2">
      <c r="A1196" s="232"/>
      <c r="B1196" s="250"/>
      <c r="C1196" s="286"/>
      <c r="D1196" s="232"/>
      <c r="E1196" s="232"/>
      <c r="F1196" s="232"/>
      <c r="G1196" s="232"/>
      <c r="H1196" s="232"/>
      <c r="I1196" s="232"/>
      <c r="J1196" s="232"/>
      <c r="K1196" s="232"/>
      <c r="L1196" s="232"/>
      <c r="M1196" s="232"/>
      <c r="N1196" s="232"/>
      <c r="O1196" s="232"/>
      <c r="P1196" s="232"/>
      <c r="Q1196" s="232"/>
      <c r="R1196" s="232"/>
      <c r="S1196" s="232"/>
      <c r="T1196" s="232"/>
      <c r="U1196" s="232"/>
      <c r="V1196" s="15"/>
      <c r="W1196" s="15"/>
      <c r="X1196" s="15"/>
      <c r="Y1196" s="15"/>
      <c r="Z1196" s="15"/>
      <c r="AA1196" s="15"/>
    </row>
    <row r="1197" spans="1:27" s="25" customFormat="1" ht="12" customHeight="1" x14ac:dyDescent="0.2">
      <c r="A1197" s="232"/>
      <c r="B1197" s="250"/>
      <c r="C1197" s="286"/>
      <c r="D1197" s="232"/>
      <c r="E1197" s="232"/>
      <c r="F1197" s="232"/>
      <c r="G1197" s="232"/>
      <c r="H1197" s="232"/>
      <c r="I1197" s="232"/>
      <c r="J1197" s="232"/>
      <c r="K1197" s="232"/>
      <c r="L1197" s="232"/>
      <c r="M1197" s="232"/>
      <c r="N1197" s="232"/>
      <c r="O1197" s="232"/>
      <c r="P1197" s="232"/>
      <c r="Q1197" s="232"/>
      <c r="R1197" s="232"/>
      <c r="S1197" s="232"/>
      <c r="T1197" s="232"/>
      <c r="U1197" s="232"/>
      <c r="V1197" s="15"/>
      <c r="W1197" s="15"/>
      <c r="X1197" s="15"/>
      <c r="Y1197" s="15"/>
      <c r="Z1197" s="15"/>
      <c r="AA1197" s="15"/>
    </row>
    <row r="1198" spans="1:27" s="25" customFormat="1" ht="12" customHeight="1" x14ac:dyDescent="0.2">
      <c r="A1198" s="232"/>
      <c r="B1198" s="250"/>
      <c r="C1198" s="286"/>
      <c r="D1198" s="232"/>
      <c r="E1198" s="232"/>
      <c r="F1198" s="232"/>
      <c r="G1198" s="232"/>
      <c r="H1198" s="232"/>
      <c r="I1198" s="232"/>
      <c r="J1198" s="232"/>
      <c r="K1198" s="232"/>
      <c r="L1198" s="232"/>
      <c r="M1198" s="232"/>
      <c r="N1198" s="232"/>
      <c r="O1198" s="232"/>
      <c r="P1198" s="232"/>
      <c r="Q1198" s="232"/>
      <c r="R1198" s="232"/>
      <c r="S1198" s="232"/>
      <c r="T1198" s="232"/>
      <c r="U1198" s="232"/>
      <c r="V1198" s="15"/>
      <c r="W1198" s="15"/>
      <c r="X1198" s="15"/>
      <c r="Y1198" s="15"/>
      <c r="Z1198" s="15"/>
      <c r="AA1198" s="15"/>
    </row>
    <row r="1199" spans="1:27" s="25" customFormat="1" ht="12" customHeight="1" x14ac:dyDescent="0.2">
      <c r="A1199" s="232"/>
      <c r="B1199" s="250"/>
      <c r="C1199" s="286"/>
      <c r="D1199" s="232"/>
      <c r="E1199" s="232"/>
      <c r="F1199" s="232"/>
      <c r="G1199" s="232"/>
      <c r="H1199" s="232"/>
      <c r="I1199" s="232"/>
      <c r="J1199" s="232"/>
      <c r="K1199" s="232"/>
      <c r="L1199" s="232"/>
      <c r="M1199" s="232"/>
      <c r="N1199" s="232"/>
      <c r="O1199" s="232"/>
      <c r="P1199" s="232"/>
      <c r="Q1199" s="232"/>
      <c r="R1199" s="232"/>
      <c r="S1199" s="232"/>
      <c r="T1199" s="232"/>
      <c r="U1199" s="232"/>
      <c r="V1199" s="15"/>
      <c r="W1199" s="15"/>
      <c r="X1199" s="15"/>
      <c r="Y1199" s="15"/>
      <c r="Z1199" s="15"/>
      <c r="AA1199" s="15"/>
    </row>
    <row r="1200" spans="1:27" s="25" customFormat="1" ht="12" customHeight="1" x14ac:dyDescent="0.2">
      <c r="A1200" s="232"/>
      <c r="B1200" s="250"/>
      <c r="C1200" s="286"/>
      <c r="D1200" s="232"/>
      <c r="E1200" s="232"/>
      <c r="F1200" s="232"/>
      <c r="G1200" s="232"/>
      <c r="H1200" s="232"/>
      <c r="I1200" s="232"/>
      <c r="J1200" s="232"/>
      <c r="K1200" s="232"/>
      <c r="L1200" s="232"/>
      <c r="M1200" s="232"/>
      <c r="N1200" s="232"/>
      <c r="O1200" s="232"/>
      <c r="P1200" s="232"/>
      <c r="Q1200" s="232"/>
      <c r="R1200" s="232"/>
      <c r="S1200" s="232"/>
      <c r="T1200" s="232"/>
      <c r="U1200" s="232"/>
      <c r="V1200" s="15"/>
      <c r="W1200" s="15"/>
      <c r="X1200" s="15"/>
      <c r="Y1200" s="15"/>
      <c r="Z1200" s="15"/>
      <c r="AA1200" s="15"/>
    </row>
    <row r="1201" spans="1:27" s="25" customFormat="1" ht="12" customHeight="1" x14ac:dyDescent="0.2">
      <c r="A1201" s="232"/>
      <c r="B1201" s="250"/>
      <c r="C1201" s="286"/>
      <c r="D1201" s="232"/>
      <c r="E1201" s="232"/>
      <c r="F1201" s="232"/>
      <c r="G1201" s="232"/>
      <c r="H1201" s="232"/>
      <c r="I1201" s="232"/>
      <c r="J1201" s="232"/>
      <c r="K1201" s="232"/>
      <c r="L1201" s="232"/>
      <c r="M1201" s="232"/>
      <c r="N1201" s="232"/>
      <c r="O1201" s="232"/>
      <c r="P1201" s="232"/>
      <c r="Q1201" s="232"/>
      <c r="R1201" s="232"/>
      <c r="S1201" s="232"/>
      <c r="T1201" s="232"/>
      <c r="U1201" s="232"/>
      <c r="V1201" s="15"/>
      <c r="W1201" s="15"/>
      <c r="X1201" s="15"/>
      <c r="Y1201" s="15"/>
      <c r="Z1201" s="15"/>
      <c r="AA1201" s="15"/>
    </row>
    <row r="1202" spans="1:27" s="25" customFormat="1" ht="12" customHeight="1" x14ac:dyDescent="0.2">
      <c r="A1202" s="232"/>
      <c r="B1202" s="250"/>
      <c r="C1202" s="286"/>
      <c r="D1202" s="232"/>
      <c r="E1202" s="232"/>
      <c r="F1202" s="232"/>
      <c r="G1202" s="232"/>
      <c r="H1202" s="232"/>
      <c r="I1202" s="232"/>
      <c r="J1202" s="232"/>
      <c r="K1202" s="232"/>
      <c r="L1202" s="232"/>
      <c r="M1202" s="232"/>
      <c r="N1202" s="232"/>
      <c r="O1202" s="232"/>
      <c r="P1202" s="232"/>
      <c r="Q1202" s="232"/>
      <c r="R1202" s="232"/>
      <c r="S1202" s="232"/>
      <c r="T1202" s="232"/>
      <c r="U1202" s="232"/>
      <c r="V1202" s="15"/>
      <c r="W1202" s="15"/>
      <c r="X1202" s="15"/>
      <c r="Y1202" s="15"/>
      <c r="Z1202" s="15"/>
      <c r="AA1202" s="15"/>
    </row>
    <row r="1203" spans="1:27" s="25" customFormat="1" ht="12" customHeight="1" x14ac:dyDescent="0.2">
      <c r="A1203" s="232"/>
      <c r="B1203" s="250"/>
      <c r="C1203" s="286"/>
      <c r="D1203" s="232"/>
      <c r="E1203" s="232"/>
      <c r="F1203" s="232"/>
      <c r="G1203" s="232"/>
      <c r="H1203" s="232"/>
      <c r="I1203" s="232"/>
      <c r="J1203" s="232"/>
      <c r="K1203" s="232"/>
      <c r="L1203" s="232"/>
      <c r="M1203" s="232"/>
      <c r="N1203" s="232"/>
      <c r="O1203" s="232"/>
      <c r="P1203" s="232"/>
      <c r="Q1203" s="232"/>
      <c r="R1203" s="232"/>
      <c r="S1203" s="232"/>
      <c r="T1203" s="232"/>
      <c r="U1203" s="232"/>
      <c r="V1203" s="15"/>
      <c r="W1203" s="15"/>
      <c r="X1203" s="15"/>
      <c r="Y1203" s="15"/>
      <c r="Z1203" s="15"/>
      <c r="AA1203" s="15"/>
    </row>
    <row r="1204" spans="1:27" s="25" customFormat="1" ht="12" customHeight="1" x14ac:dyDescent="0.2">
      <c r="A1204" s="232"/>
      <c r="B1204" s="250"/>
      <c r="C1204" s="286"/>
      <c r="D1204" s="232"/>
      <c r="E1204" s="232"/>
      <c r="F1204" s="232"/>
      <c r="G1204" s="232"/>
      <c r="H1204" s="232"/>
      <c r="I1204" s="232"/>
      <c r="J1204" s="232"/>
      <c r="K1204" s="232"/>
      <c r="L1204" s="232"/>
      <c r="M1204" s="232"/>
      <c r="N1204" s="232"/>
      <c r="O1204" s="232"/>
      <c r="P1204" s="232"/>
      <c r="Q1204" s="232"/>
      <c r="R1204" s="232"/>
      <c r="S1204" s="232"/>
      <c r="T1204" s="232"/>
      <c r="U1204" s="232"/>
      <c r="V1204" s="15"/>
      <c r="W1204" s="15"/>
      <c r="X1204" s="15"/>
      <c r="Y1204" s="15"/>
      <c r="Z1204" s="15"/>
      <c r="AA1204" s="15"/>
    </row>
    <row r="1205" spans="1:27" s="25" customFormat="1" ht="12" customHeight="1" x14ac:dyDescent="0.2">
      <c r="A1205" s="232"/>
      <c r="B1205" s="250"/>
      <c r="C1205" s="286"/>
      <c r="D1205" s="232"/>
      <c r="E1205" s="232"/>
      <c r="F1205" s="232"/>
      <c r="G1205" s="232"/>
      <c r="H1205" s="232"/>
      <c r="I1205" s="232"/>
      <c r="J1205" s="232"/>
      <c r="K1205" s="232"/>
      <c r="L1205" s="232"/>
      <c r="M1205" s="232"/>
      <c r="N1205" s="232"/>
      <c r="O1205" s="232"/>
      <c r="P1205" s="232"/>
      <c r="Q1205" s="232"/>
      <c r="R1205" s="232"/>
      <c r="S1205" s="232"/>
      <c r="T1205" s="232"/>
      <c r="U1205" s="232"/>
      <c r="V1205" s="15"/>
      <c r="W1205" s="15"/>
      <c r="X1205" s="15"/>
      <c r="Y1205" s="15"/>
      <c r="Z1205" s="15"/>
      <c r="AA1205" s="15"/>
    </row>
    <row r="1206" spans="1:27" s="25" customFormat="1" ht="12" customHeight="1" x14ac:dyDescent="0.2">
      <c r="A1206" s="232"/>
      <c r="B1206" s="250"/>
      <c r="C1206" s="286"/>
      <c r="D1206" s="232"/>
      <c r="E1206" s="232"/>
      <c r="F1206" s="232"/>
      <c r="G1206" s="232"/>
      <c r="H1206" s="232"/>
      <c r="I1206" s="232"/>
      <c r="J1206" s="232"/>
      <c r="K1206" s="232"/>
      <c r="L1206" s="232"/>
      <c r="M1206" s="232"/>
      <c r="N1206" s="232"/>
      <c r="O1206" s="232"/>
      <c r="P1206" s="232"/>
      <c r="Q1206" s="232"/>
      <c r="R1206" s="232"/>
      <c r="S1206" s="232"/>
      <c r="T1206" s="232"/>
      <c r="U1206" s="232"/>
      <c r="V1206" s="15"/>
      <c r="W1206" s="15"/>
      <c r="X1206" s="15"/>
      <c r="Y1206" s="15"/>
      <c r="Z1206" s="15"/>
      <c r="AA1206" s="15"/>
    </row>
    <row r="1207" spans="1:27" s="25" customFormat="1" ht="12" customHeight="1" x14ac:dyDescent="0.2">
      <c r="A1207" s="232"/>
      <c r="B1207" s="250"/>
      <c r="C1207" s="286"/>
      <c r="D1207" s="232"/>
      <c r="E1207" s="232"/>
      <c r="F1207" s="232"/>
      <c r="G1207" s="232"/>
      <c r="H1207" s="232"/>
      <c r="I1207" s="232"/>
      <c r="J1207" s="232"/>
      <c r="K1207" s="232"/>
      <c r="L1207" s="232"/>
      <c r="M1207" s="232"/>
      <c r="N1207" s="232"/>
      <c r="O1207" s="232"/>
      <c r="P1207" s="232"/>
      <c r="Q1207" s="232"/>
      <c r="R1207" s="232"/>
      <c r="S1207" s="232"/>
      <c r="T1207" s="232"/>
      <c r="U1207" s="232"/>
      <c r="V1207" s="15"/>
      <c r="W1207" s="15"/>
      <c r="X1207" s="15"/>
      <c r="Y1207" s="15"/>
      <c r="Z1207" s="15"/>
      <c r="AA1207" s="15"/>
    </row>
    <row r="1208" spans="1:27" s="25" customFormat="1" ht="12" customHeight="1" x14ac:dyDescent="0.2">
      <c r="A1208" s="232"/>
      <c r="B1208" s="250"/>
      <c r="C1208" s="286"/>
      <c r="D1208" s="232"/>
      <c r="E1208" s="232"/>
      <c r="F1208" s="232"/>
      <c r="G1208" s="232"/>
      <c r="H1208" s="232"/>
      <c r="I1208" s="232"/>
      <c r="J1208" s="232"/>
      <c r="K1208" s="232"/>
      <c r="L1208" s="232"/>
      <c r="M1208" s="232"/>
      <c r="N1208" s="232"/>
      <c r="O1208" s="232"/>
      <c r="P1208" s="232"/>
      <c r="Q1208" s="232"/>
      <c r="R1208" s="232"/>
      <c r="S1208" s="232"/>
      <c r="T1208" s="232"/>
      <c r="U1208" s="232"/>
      <c r="V1208" s="15"/>
      <c r="W1208" s="15"/>
      <c r="X1208" s="15"/>
      <c r="Y1208" s="15"/>
      <c r="Z1208" s="15"/>
      <c r="AA1208" s="15"/>
    </row>
    <row r="1209" spans="1:27" s="25" customFormat="1" ht="12" customHeight="1" x14ac:dyDescent="0.2">
      <c r="A1209" s="232"/>
      <c r="B1209" s="250"/>
      <c r="C1209" s="286"/>
      <c r="D1209" s="232"/>
      <c r="E1209" s="232"/>
      <c r="F1209" s="232"/>
      <c r="G1209" s="232"/>
      <c r="H1209" s="232"/>
      <c r="I1209" s="232"/>
      <c r="J1209" s="232"/>
      <c r="K1209" s="232"/>
      <c r="L1209" s="232"/>
      <c r="M1209" s="232"/>
      <c r="N1209" s="232"/>
      <c r="O1209" s="232"/>
      <c r="P1209" s="232"/>
      <c r="Q1209" s="232"/>
      <c r="R1209" s="232"/>
      <c r="S1209" s="232"/>
      <c r="T1209" s="232"/>
      <c r="U1209" s="232"/>
      <c r="V1209" s="15"/>
      <c r="W1209" s="15"/>
      <c r="X1209" s="15"/>
      <c r="Y1209" s="15"/>
      <c r="Z1209" s="15"/>
      <c r="AA1209" s="15"/>
    </row>
    <row r="1210" spans="1:27" s="25" customFormat="1" ht="12" customHeight="1" x14ac:dyDescent="0.2">
      <c r="A1210" s="232"/>
      <c r="B1210" s="250"/>
      <c r="C1210" s="286"/>
      <c r="D1210" s="232"/>
      <c r="E1210" s="232"/>
      <c r="F1210" s="232"/>
      <c r="G1210" s="232"/>
      <c r="H1210" s="232"/>
      <c r="I1210" s="232"/>
      <c r="J1210" s="232"/>
      <c r="K1210" s="232"/>
      <c r="L1210" s="232"/>
      <c r="M1210" s="232"/>
      <c r="N1210" s="232"/>
      <c r="O1210" s="232"/>
      <c r="P1210" s="232"/>
      <c r="Q1210" s="232"/>
      <c r="R1210" s="232"/>
      <c r="S1210" s="232"/>
      <c r="T1210" s="232"/>
      <c r="U1210" s="232"/>
      <c r="V1210" s="15"/>
      <c r="W1210" s="15"/>
      <c r="X1210" s="15"/>
      <c r="Y1210" s="15"/>
      <c r="Z1210" s="15"/>
      <c r="AA1210" s="15"/>
    </row>
    <row r="1211" spans="1:27" s="25" customFormat="1" ht="12" customHeight="1" x14ac:dyDescent="0.2">
      <c r="A1211" s="232"/>
      <c r="B1211" s="250"/>
      <c r="C1211" s="286"/>
      <c r="D1211" s="232"/>
      <c r="E1211" s="232"/>
      <c r="F1211" s="232"/>
      <c r="G1211" s="232"/>
      <c r="H1211" s="232"/>
      <c r="I1211" s="232"/>
      <c r="J1211" s="232"/>
      <c r="K1211" s="232"/>
      <c r="L1211" s="232"/>
      <c r="M1211" s="232"/>
      <c r="N1211" s="232"/>
      <c r="O1211" s="232"/>
      <c r="P1211" s="232"/>
      <c r="Q1211" s="232"/>
      <c r="R1211" s="232"/>
      <c r="S1211" s="232"/>
      <c r="T1211" s="232"/>
      <c r="U1211" s="232"/>
      <c r="V1211" s="15"/>
      <c r="W1211" s="15"/>
      <c r="X1211" s="15"/>
      <c r="Y1211" s="15"/>
      <c r="Z1211" s="15"/>
      <c r="AA1211" s="15"/>
    </row>
    <row r="1212" spans="1:27" s="25" customFormat="1" ht="12" customHeight="1" x14ac:dyDescent="0.2">
      <c r="A1212" s="232"/>
      <c r="B1212" s="250"/>
      <c r="C1212" s="286"/>
      <c r="D1212" s="232"/>
      <c r="E1212" s="232"/>
      <c r="F1212" s="232"/>
      <c r="G1212" s="232"/>
      <c r="H1212" s="232"/>
      <c r="I1212" s="232"/>
      <c r="J1212" s="232"/>
      <c r="K1212" s="232"/>
      <c r="L1212" s="232"/>
      <c r="M1212" s="232"/>
      <c r="N1212" s="232"/>
      <c r="O1212" s="232"/>
      <c r="P1212" s="232"/>
      <c r="Q1212" s="232"/>
      <c r="R1212" s="232"/>
      <c r="S1212" s="232"/>
      <c r="T1212" s="232"/>
      <c r="U1212" s="232"/>
      <c r="V1212" s="15"/>
      <c r="W1212" s="15"/>
      <c r="X1212" s="15"/>
      <c r="Y1212" s="15"/>
      <c r="Z1212" s="15"/>
      <c r="AA1212" s="15"/>
    </row>
    <row r="1213" spans="1:27" s="25" customFormat="1" ht="12" customHeight="1" x14ac:dyDescent="0.2">
      <c r="A1213" s="232"/>
      <c r="B1213" s="250"/>
      <c r="C1213" s="286"/>
      <c r="D1213" s="232"/>
      <c r="E1213" s="232"/>
      <c r="F1213" s="232"/>
      <c r="G1213" s="232"/>
      <c r="H1213" s="232"/>
      <c r="I1213" s="232"/>
      <c r="J1213" s="232"/>
      <c r="K1213" s="232"/>
      <c r="L1213" s="232"/>
      <c r="M1213" s="232"/>
      <c r="N1213" s="232"/>
      <c r="O1213" s="232"/>
      <c r="P1213" s="232"/>
      <c r="Q1213" s="232"/>
      <c r="R1213" s="232"/>
      <c r="S1213" s="232"/>
      <c r="T1213" s="232"/>
      <c r="U1213" s="232"/>
      <c r="V1213" s="15"/>
      <c r="W1213" s="15"/>
      <c r="X1213" s="15"/>
      <c r="Y1213" s="15"/>
      <c r="Z1213" s="15"/>
      <c r="AA1213" s="15"/>
    </row>
    <row r="1214" spans="1:27" s="25" customFormat="1" ht="12" customHeight="1" x14ac:dyDescent="0.2">
      <c r="A1214" s="232"/>
      <c r="B1214" s="250"/>
      <c r="C1214" s="286"/>
      <c r="D1214" s="232"/>
      <c r="E1214" s="232"/>
      <c r="F1214" s="232"/>
      <c r="G1214" s="232"/>
      <c r="H1214" s="232"/>
      <c r="I1214" s="232"/>
      <c r="J1214" s="232"/>
      <c r="K1214" s="232"/>
      <c r="L1214" s="232"/>
      <c r="M1214" s="232"/>
      <c r="N1214" s="232"/>
      <c r="O1214" s="232"/>
      <c r="P1214" s="232"/>
      <c r="Q1214" s="232"/>
      <c r="R1214" s="232"/>
      <c r="S1214" s="232"/>
      <c r="T1214" s="232"/>
      <c r="U1214" s="232"/>
      <c r="V1214" s="15"/>
      <c r="W1214" s="15"/>
      <c r="X1214" s="15"/>
      <c r="Y1214" s="15"/>
      <c r="Z1214" s="15"/>
      <c r="AA1214" s="15"/>
    </row>
    <row r="1215" spans="1:27" s="25" customFormat="1" ht="12" customHeight="1" x14ac:dyDescent="0.2">
      <c r="A1215" s="232"/>
      <c r="B1215" s="250"/>
      <c r="C1215" s="286"/>
      <c r="D1215" s="232"/>
      <c r="E1215" s="232"/>
      <c r="F1215" s="232"/>
      <c r="G1215" s="232"/>
      <c r="H1215" s="232"/>
      <c r="I1215" s="232"/>
      <c r="J1215" s="232"/>
      <c r="K1215" s="232"/>
      <c r="L1215" s="232"/>
      <c r="M1215" s="232"/>
      <c r="N1215" s="232"/>
      <c r="O1215" s="232"/>
      <c r="P1215" s="232"/>
      <c r="Q1215" s="232"/>
      <c r="R1215" s="232"/>
      <c r="S1215" s="232"/>
      <c r="T1215" s="232"/>
      <c r="U1215" s="232"/>
      <c r="V1215" s="15"/>
      <c r="W1215" s="15"/>
      <c r="X1215" s="15"/>
      <c r="Y1215" s="15"/>
      <c r="Z1215" s="15"/>
      <c r="AA1215" s="15"/>
    </row>
    <row r="1216" spans="1:27" s="25" customFormat="1" ht="12" customHeight="1" x14ac:dyDescent="0.2">
      <c r="A1216" s="232"/>
      <c r="B1216" s="250"/>
      <c r="C1216" s="286"/>
      <c r="D1216" s="232"/>
      <c r="E1216" s="232"/>
      <c r="F1216" s="232"/>
      <c r="G1216" s="232"/>
      <c r="H1216" s="232"/>
      <c r="I1216" s="232"/>
      <c r="J1216" s="232"/>
      <c r="K1216" s="232"/>
      <c r="L1216" s="232"/>
      <c r="M1216" s="232"/>
      <c r="N1216" s="232"/>
      <c r="O1216" s="232"/>
      <c r="P1216" s="232"/>
      <c r="Q1216" s="232"/>
      <c r="R1216" s="232"/>
      <c r="S1216" s="232"/>
      <c r="T1216" s="232"/>
      <c r="U1216" s="232"/>
      <c r="V1216" s="15"/>
      <c r="W1216" s="15"/>
      <c r="X1216" s="15"/>
      <c r="Y1216" s="15"/>
      <c r="Z1216" s="15"/>
      <c r="AA1216" s="15"/>
    </row>
    <row r="1217" spans="1:27" s="25" customFormat="1" ht="12" customHeight="1" x14ac:dyDescent="0.2">
      <c r="A1217" s="232"/>
      <c r="B1217" s="250"/>
      <c r="C1217" s="286"/>
      <c r="D1217" s="232"/>
      <c r="E1217" s="232"/>
      <c r="F1217" s="232"/>
      <c r="G1217" s="232"/>
      <c r="H1217" s="232"/>
      <c r="I1217" s="232"/>
      <c r="J1217" s="232"/>
      <c r="K1217" s="232"/>
      <c r="L1217" s="232"/>
      <c r="M1217" s="232"/>
      <c r="N1217" s="232"/>
      <c r="O1217" s="232"/>
      <c r="P1217" s="232"/>
      <c r="Q1217" s="232"/>
      <c r="R1217" s="232"/>
      <c r="S1217" s="232"/>
      <c r="T1217" s="232"/>
      <c r="U1217" s="232"/>
      <c r="V1217" s="15"/>
      <c r="W1217" s="15"/>
      <c r="X1217" s="15"/>
      <c r="Y1217" s="15"/>
      <c r="Z1217" s="15"/>
      <c r="AA1217" s="15"/>
    </row>
    <row r="1218" spans="1:27" s="25" customFormat="1" ht="12" customHeight="1" x14ac:dyDescent="0.2">
      <c r="A1218" s="232"/>
      <c r="B1218" s="250"/>
      <c r="C1218" s="286"/>
      <c r="D1218" s="232"/>
      <c r="E1218" s="232"/>
      <c r="F1218" s="232"/>
      <c r="G1218" s="232"/>
      <c r="H1218" s="232"/>
      <c r="I1218" s="232"/>
      <c r="J1218" s="232"/>
      <c r="K1218" s="232"/>
      <c r="L1218" s="232"/>
      <c r="M1218" s="232"/>
      <c r="N1218" s="232"/>
      <c r="O1218" s="232"/>
      <c r="P1218" s="232"/>
      <c r="Q1218" s="232"/>
      <c r="R1218" s="232"/>
      <c r="S1218" s="232"/>
      <c r="T1218" s="232"/>
      <c r="U1218" s="232"/>
      <c r="V1218" s="15"/>
      <c r="W1218" s="15"/>
      <c r="X1218" s="15"/>
      <c r="Y1218" s="15"/>
      <c r="Z1218" s="15"/>
      <c r="AA1218" s="15"/>
    </row>
    <row r="1219" spans="1:27" s="25" customFormat="1" ht="12" customHeight="1" x14ac:dyDescent="0.2">
      <c r="A1219" s="232"/>
      <c r="B1219" s="250"/>
      <c r="C1219" s="286"/>
      <c r="D1219" s="232"/>
      <c r="E1219" s="232"/>
      <c r="F1219" s="232"/>
      <c r="G1219" s="232"/>
      <c r="H1219" s="232"/>
      <c r="I1219" s="232"/>
      <c r="J1219" s="232"/>
      <c r="K1219" s="232"/>
      <c r="L1219" s="232"/>
      <c r="M1219" s="232"/>
      <c r="N1219" s="232"/>
      <c r="O1219" s="232"/>
      <c r="P1219" s="232"/>
      <c r="Q1219" s="232"/>
      <c r="R1219" s="232"/>
      <c r="S1219" s="232"/>
      <c r="T1219" s="232"/>
      <c r="U1219" s="232"/>
      <c r="V1219" s="15"/>
      <c r="W1219" s="15"/>
      <c r="X1219" s="15"/>
      <c r="Y1219" s="15"/>
      <c r="Z1219" s="15"/>
      <c r="AA1219" s="15"/>
    </row>
    <row r="1220" spans="1:27" s="25" customFormat="1" ht="12" customHeight="1" x14ac:dyDescent="0.2">
      <c r="A1220" s="232"/>
      <c r="B1220" s="250"/>
      <c r="C1220" s="286"/>
      <c r="D1220" s="232"/>
      <c r="E1220" s="232"/>
      <c r="F1220" s="232"/>
      <c r="G1220" s="232"/>
      <c r="H1220" s="232"/>
      <c r="I1220" s="232"/>
      <c r="J1220" s="232"/>
      <c r="K1220" s="232"/>
      <c r="L1220" s="232"/>
      <c r="M1220" s="232"/>
      <c r="N1220" s="232"/>
      <c r="O1220" s="232"/>
      <c r="P1220" s="232"/>
      <c r="Q1220" s="232"/>
      <c r="R1220" s="232"/>
      <c r="S1220" s="232"/>
      <c r="T1220" s="232"/>
      <c r="U1220" s="232"/>
      <c r="V1220" s="15"/>
      <c r="W1220" s="15"/>
      <c r="X1220" s="15"/>
      <c r="Y1220" s="15"/>
      <c r="Z1220" s="15"/>
      <c r="AA1220" s="15"/>
    </row>
    <row r="1221" spans="1:27" s="25" customFormat="1" ht="12" customHeight="1" x14ac:dyDescent="0.2">
      <c r="A1221" s="232"/>
      <c r="B1221" s="250"/>
      <c r="C1221" s="286"/>
      <c r="D1221" s="232"/>
      <c r="E1221" s="232"/>
      <c r="F1221" s="232"/>
      <c r="G1221" s="232"/>
      <c r="H1221" s="232"/>
      <c r="I1221" s="232"/>
      <c r="J1221" s="232"/>
      <c r="K1221" s="232"/>
      <c r="L1221" s="232"/>
      <c r="M1221" s="232"/>
      <c r="N1221" s="232"/>
      <c r="O1221" s="232"/>
      <c r="P1221" s="232"/>
      <c r="Q1221" s="232"/>
      <c r="R1221" s="232"/>
      <c r="S1221" s="232"/>
      <c r="T1221" s="232"/>
      <c r="U1221" s="232"/>
      <c r="V1221" s="15"/>
      <c r="W1221" s="15"/>
      <c r="X1221" s="15"/>
      <c r="Y1221" s="15"/>
      <c r="Z1221" s="15"/>
      <c r="AA1221" s="15"/>
    </row>
    <row r="1222" spans="1:27" s="25" customFormat="1" ht="12" customHeight="1" x14ac:dyDescent="0.2">
      <c r="A1222" s="232"/>
      <c r="B1222" s="250"/>
      <c r="C1222" s="286"/>
      <c r="D1222" s="232"/>
      <c r="E1222" s="232"/>
      <c r="F1222" s="232"/>
      <c r="G1222" s="232"/>
      <c r="H1222" s="232"/>
      <c r="I1222" s="232"/>
      <c r="J1222" s="232"/>
      <c r="K1222" s="232"/>
      <c r="L1222" s="232"/>
      <c r="M1222" s="232"/>
      <c r="N1222" s="232"/>
      <c r="O1222" s="232"/>
      <c r="P1222" s="232"/>
      <c r="Q1222" s="232"/>
      <c r="R1222" s="232"/>
      <c r="S1222" s="232"/>
      <c r="T1222" s="232"/>
      <c r="U1222" s="232"/>
      <c r="V1222" s="15"/>
      <c r="W1222" s="15"/>
      <c r="X1222" s="15"/>
      <c r="Y1222" s="15"/>
      <c r="Z1222" s="15"/>
      <c r="AA1222" s="15"/>
    </row>
    <row r="1223" spans="1:27" s="25" customFormat="1" ht="12" customHeight="1" x14ac:dyDescent="0.2">
      <c r="A1223" s="232"/>
      <c r="B1223" s="250"/>
      <c r="C1223" s="286"/>
      <c r="D1223" s="232"/>
      <c r="E1223" s="232"/>
      <c r="F1223" s="232"/>
      <c r="G1223" s="232"/>
      <c r="H1223" s="232"/>
      <c r="I1223" s="232"/>
      <c r="J1223" s="232"/>
      <c r="K1223" s="232"/>
      <c r="L1223" s="232"/>
      <c r="M1223" s="232"/>
      <c r="N1223" s="232"/>
      <c r="O1223" s="232"/>
      <c r="P1223" s="232"/>
      <c r="Q1223" s="232"/>
      <c r="R1223" s="232"/>
      <c r="S1223" s="232"/>
      <c r="T1223" s="232"/>
      <c r="U1223" s="232"/>
      <c r="V1223" s="15"/>
      <c r="W1223" s="15"/>
      <c r="X1223" s="15"/>
      <c r="Y1223" s="15"/>
      <c r="Z1223" s="15"/>
      <c r="AA1223" s="15"/>
    </row>
    <row r="1224" spans="1:27" s="25" customFormat="1" ht="12" customHeight="1" x14ac:dyDescent="0.2">
      <c r="A1224" s="232"/>
      <c r="B1224" s="250"/>
      <c r="C1224" s="286"/>
      <c r="D1224" s="232"/>
      <c r="E1224" s="232"/>
      <c r="F1224" s="232"/>
      <c r="G1224" s="232"/>
      <c r="H1224" s="232"/>
      <c r="I1224" s="232"/>
      <c r="J1224" s="232"/>
      <c r="K1224" s="232"/>
      <c r="L1224" s="232"/>
      <c r="M1224" s="232"/>
      <c r="N1224" s="232"/>
      <c r="O1224" s="232"/>
      <c r="P1224" s="232"/>
      <c r="Q1224" s="232"/>
      <c r="R1224" s="232"/>
      <c r="S1224" s="232"/>
      <c r="T1224" s="232"/>
      <c r="U1224" s="232"/>
      <c r="V1224" s="15"/>
      <c r="W1224" s="15"/>
      <c r="X1224" s="15"/>
      <c r="Y1224" s="15"/>
      <c r="Z1224" s="15"/>
      <c r="AA1224" s="15"/>
    </row>
    <row r="1225" spans="1:27" s="25" customFormat="1" ht="12" customHeight="1" x14ac:dyDescent="0.2">
      <c r="A1225" s="232"/>
      <c r="B1225" s="250"/>
      <c r="C1225" s="286"/>
      <c r="D1225" s="232"/>
      <c r="E1225" s="232"/>
      <c r="F1225" s="232"/>
      <c r="G1225" s="232"/>
      <c r="H1225" s="232"/>
      <c r="I1225" s="232"/>
      <c r="J1225" s="232"/>
      <c r="K1225" s="232"/>
      <c r="L1225" s="232"/>
      <c r="M1225" s="232"/>
      <c r="N1225" s="232"/>
      <c r="O1225" s="232"/>
      <c r="P1225" s="232"/>
      <c r="Q1225" s="232"/>
      <c r="R1225" s="232"/>
      <c r="S1225" s="232"/>
      <c r="T1225" s="232"/>
      <c r="U1225" s="232"/>
      <c r="V1225" s="15"/>
      <c r="W1225" s="15"/>
      <c r="X1225" s="15"/>
      <c r="Y1225" s="15"/>
      <c r="Z1225" s="15"/>
      <c r="AA1225" s="15"/>
    </row>
    <row r="1226" spans="1:27" s="25" customFormat="1" ht="12" customHeight="1" x14ac:dyDescent="0.2">
      <c r="A1226" s="232"/>
      <c r="B1226" s="250"/>
      <c r="C1226" s="286"/>
      <c r="D1226" s="232"/>
      <c r="E1226" s="232"/>
      <c r="F1226" s="232"/>
      <c r="G1226" s="232"/>
      <c r="H1226" s="232"/>
      <c r="I1226" s="232"/>
      <c r="J1226" s="232"/>
      <c r="K1226" s="232"/>
      <c r="L1226" s="232"/>
      <c r="M1226" s="232"/>
      <c r="N1226" s="232"/>
      <c r="O1226" s="232"/>
      <c r="P1226" s="232"/>
      <c r="Q1226" s="232"/>
      <c r="R1226" s="232"/>
      <c r="S1226" s="232"/>
      <c r="T1226" s="232"/>
      <c r="U1226" s="232"/>
      <c r="V1226" s="15"/>
      <c r="W1226" s="15"/>
      <c r="X1226" s="15"/>
      <c r="Y1226" s="15"/>
      <c r="Z1226" s="15"/>
      <c r="AA1226" s="15"/>
    </row>
    <row r="1227" spans="1:27" s="25" customFormat="1" ht="12" customHeight="1" x14ac:dyDescent="0.2">
      <c r="A1227" s="232"/>
      <c r="B1227" s="250"/>
      <c r="C1227" s="286"/>
      <c r="D1227" s="232"/>
      <c r="E1227" s="232"/>
      <c r="F1227" s="232"/>
      <c r="G1227" s="232"/>
      <c r="H1227" s="232"/>
      <c r="I1227" s="232"/>
      <c r="J1227" s="232"/>
      <c r="K1227" s="232"/>
      <c r="L1227" s="232"/>
      <c r="M1227" s="232"/>
      <c r="N1227" s="232"/>
      <c r="O1227" s="232"/>
      <c r="P1227" s="232"/>
      <c r="Q1227" s="232"/>
      <c r="R1227" s="232"/>
      <c r="S1227" s="232"/>
      <c r="T1227" s="232"/>
      <c r="U1227" s="232"/>
      <c r="V1227" s="15"/>
      <c r="W1227" s="15"/>
      <c r="X1227" s="15"/>
      <c r="Y1227" s="15"/>
      <c r="Z1227" s="15"/>
      <c r="AA1227" s="15"/>
    </row>
    <row r="1228" spans="1:27" s="25" customFormat="1" ht="12" customHeight="1" x14ac:dyDescent="0.2">
      <c r="A1228" s="232"/>
      <c r="B1228" s="250"/>
      <c r="C1228" s="286"/>
      <c r="D1228" s="232"/>
      <c r="E1228" s="232"/>
      <c r="F1228" s="232"/>
      <c r="G1228" s="232"/>
      <c r="H1228" s="232"/>
      <c r="I1228" s="232"/>
      <c r="J1228" s="232"/>
      <c r="K1228" s="232"/>
      <c r="L1228" s="232"/>
      <c r="M1228" s="232"/>
      <c r="N1228" s="232"/>
      <c r="O1228" s="232"/>
      <c r="P1228" s="232"/>
      <c r="Q1228" s="232"/>
      <c r="R1228" s="232"/>
      <c r="S1228" s="232"/>
      <c r="T1228" s="232"/>
      <c r="U1228" s="232"/>
      <c r="V1228" s="15"/>
      <c r="W1228" s="15"/>
      <c r="X1228" s="15"/>
      <c r="Y1228" s="15"/>
      <c r="Z1228" s="15"/>
      <c r="AA1228" s="15"/>
    </row>
    <row r="1229" spans="1:27" s="25" customFormat="1" ht="12" customHeight="1" x14ac:dyDescent="0.2">
      <c r="A1229" s="232"/>
      <c r="B1229" s="250"/>
      <c r="C1229" s="286"/>
      <c r="D1229" s="232"/>
      <c r="E1229" s="232"/>
      <c r="F1229" s="232"/>
      <c r="G1229" s="232"/>
      <c r="H1229" s="232"/>
      <c r="I1229" s="232"/>
      <c r="J1229" s="232"/>
      <c r="K1229" s="232"/>
      <c r="L1229" s="232"/>
      <c r="M1229" s="232"/>
      <c r="N1229" s="232"/>
      <c r="O1229" s="232"/>
      <c r="P1229" s="232"/>
      <c r="Q1229" s="232"/>
      <c r="R1229" s="232"/>
      <c r="S1229" s="232"/>
      <c r="T1229" s="232"/>
      <c r="U1229" s="232"/>
      <c r="V1229" s="15"/>
      <c r="W1229" s="15"/>
      <c r="X1229" s="15"/>
      <c r="Y1229" s="15"/>
      <c r="Z1229" s="15"/>
      <c r="AA1229" s="15"/>
    </row>
    <row r="1230" spans="1:27" s="25" customFormat="1" ht="12" customHeight="1" x14ac:dyDescent="0.2">
      <c r="A1230" s="232"/>
      <c r="B1230" s="250"/>
      <c r="C1230" s="286"/>
      <c r="D1230" s="232"/>
      <c r="E1230" s="232"/>
      <c r="F1230" s="232"/>
      <c r="G1230" s="232"/>
      <c r="H1230" s="232"/>
      <c r="I1230" s="232"/>
      <c r="J1230" s="232"/>
      <c r="K1230" s="232"/>
      <c r="L1230" s="232"/>
      <c r="M1230" s="232"/>
      <c r="N1230" s="232"/>
      <c r="O1230" s="232"/>
      <c r="P1230" s="232"/>
      <c r="Q1230" s="232"/>
      <c r="R1230" s="232"/>
      <c r="S1230" s="232"/>
      <c r="T1230" s="232"/>
      <c r="U1230" s="232"/>
      <c r="V1230" s="15"/>
      <c r="W1230" s="15"/>
      <c r="X1230" s="15"/>
      <c r="Y1230" s="15"/>
      <c r="Z1230" s="15"/>
      <c r="AA1230" s="15"/>
    </row>
    <row r="1231" spans="1:27" s="25" customFormat="1" ht="12" customHeight="1" x14ac:dyDescent="0.2">
      <c r="A1231" s="232"/>
      <c r="B1231" s="250"/>
      <c r="C1231" s="286"/>
      <c r="D1231" s="232"/>
      <c r="E1231" s="232"/>
      <c r="F1231" s="232"/>
      <c r="G1231" s="232"/>
      <c r="H1231" s="232"/>
      <c r="I1231" s="232"/>
      <c r="J1231" s="232"/>
      <c r="K1231" s="232"/>
      <c r="L1231" s="232"/>
      <c r="M1231" s="232"/>
      <c r="N1231" s="232"/>
      <c r="O1231" s="232"/>
      <c r="P1231" s="232"/>
      <c r="Q1231" s="232"/>
      <c r="R1231" s="232"/>
      <c r="S1231" s="232"/>
      <c r="T1231" s="232"/>
      <c r="U1231" s="232"/>
      <c r="V1231" s="15"/>
      <c r="W1231" s="15"/>
      <c r="X1231" s="15"/>
      <c r="Y1231" s="15"/>
      <c r="Z1231" s="15"/>
      <c r="AA1231" s="15"/>
    </row>
    <row r="1232" spans="1:27" s="25" customFormat="1" ht="12" customHeight="1" x14ac:dyDescent="0.2">
      <c r="A1232" s="232"/>
      <c r="B1232" s="250"/>
      <c r="C1232" s="286"/>
      <c r="D1232" s="232"/>
      <c r="E1232" s="232"/>
      <c r="F1232" s="232"/>
      <c r="G1232" s="232"/>
      <c r="H1232" s="232"/>
      <c r="I1232" s="232"/>
      <c r="J1232" s="232"/>
      <c r="K1232" s="232"/>
      <c r="L1232" s="232"/>
      <c r="M1232" s="232"/>
      <c r="N1232" s="232"/>
      <c r="O1232" s="232"/>
      <c r="P1232" s="232"/>
      <c r="Q1232" s="232"/>
      <c r="R1232" s="232"/>
      <c r="S1232" s="232"/>
      <c r="T1232" s="232"/>
      <c r="U1232" s="232"/>
      <c r="V1232" s="15"/>
      <c r="W1232" s="15"/>
      <c r="X1232" s="15"/>
      <c r="Y1232" s="15"/>
      <c r="Z1232" s="15"/>
      <c r="AA1232" s="15"/>
    </row>
    <row r="1233" spans="1:27" s="25" customFormat="1" ht="12" customHeight="1" x14ac:dyDescent="0.2">
      <c r="A1233" s="232"/>
      <c r="B1233" s="250"/>
      <c r="C1233" s="286"/>
      <c r="D1233" s="232"/>
      <c r="E1233" s="232"/>
      <c r="F1233" s="232"/>
      <c r="G1233" s="232"/>
      <c r="H1233" s="232"/>
      <c r="I1233" s="232"/>
      <c r="J1233" s="232"/>
      <c r="K1233" s="232"/>
      <c r="L1233" s="232"/>
      <c r="M1233" s="232"/>
      <c r="N1233" s="232"/>
      <c r="O1233" s="232"/>
      <c r="P1233" s="232"/>
      <c r="Q1233" s="232"/>
      <c r="R1233" s="232"/>
      <c r="S1233" s="232"/>
      <c r="T1233" s="232"/>
      <c r="U1233" s="232"/>
      <c r="V1233" s="15"/>
      <c r="W1233" s="15"/>
      <c r="X1233" s="15"/>
      <c r="Y1233" s="15"/>
      <c r="Z1233" s="15"/>
      <c r="AA1233" s="15"/>
    </row>
    <row r="1234" spans="1:27" s="25" customFormat="1" ht="12" customHeight="1" x14ac:dyDescent="0.2">
      <c r="A1234" s="232"/>
      <c r="B1234" s="250"/>
      <c r="C1234" s="286"/>
      <c r="D1234" s="232"/>
      <c r="E1234" s="232"/>
      <c r="F1234" s="232"/>
      <c r="G1234" s="232"/>
      <c r="H1234" s="232"/>
      <c r="I1234" s="232"/>
      <c r="J1234" s="232"/>
      <c r="K1234" s="232"/>
      <c r="L1234" s="232"/>
      <c r="M1234" s="232"/>
      <c r="N1234" s="232"/>
      <c r="O1234" s="232"/>
      <c r="P1234" s="232"/>
      <c r="Q1234" s="232"/>
      <c r="R1234" s="232"/>
      <c r="S1234" s="232"/>
      <c r="T1234" s="232"/>
      <c r="U1234" s="232"/>
      <c r="V1234" s="15"/>
      <c r="W1234" s="15"/>
      <c r="X1234" s="15"/>
      <c r="Y1234" s="15"/>
      <c r="Z1234" s="15"/>
      <c r="AA1234" s="15"/>
    </row>
    <row r="1235" spans="1:27" s="25" customFormat="1" ht="12" customHeight="1" x14ac:dyDescent="0.2">
      <c r="A1235" s="232"/>
      <c r="B1235" s="250"/>
      <c r="C1235" s="286"/>
      <c r="D1235" s="232"/>
      <c r="E1235" s="232"/>
      <c r="F1235" s="232"/>
      <c r="G1235" s="232"/>
      <c r="H1235" s="232"/>
      <c r="I1235" s="232"/>
      <c r="J1235" s="232"/>
      <c r="K1235" s="232"/>
      <c r="L1235" s="232"/>
      <c r="M1235" s="232"/>
      <c r="N1235" s="232"/>
      <c r="O1235" s="232"/>
      <c r="P1235" s="232"/>
      <c r="Q1235" s="232"/>
      <c r="R1235" s="232"/>
      <c r="S1235" s="232"/>
      <c r="T1235" s="232"/>
      <c r="U1235" s="232"/>
      <c r="V1235" s="15"/>
      <c r="W1235" s="15"/>
      <c r="X1235" s="15"/>
      <c r="Y1235" s="15"/>
      <c r="Z1235" s="15"/>
      <c r="AA1235" s="15"/>
    </row>
    <row r="1236" spans="1:27" s="25" customFormat="1" ht="12" customHeight="1" x14ac:dyDescent="0.2">
      <c r="A1236" s="232"/>
      <c r="B1236" s="250"/>
      <c r="C1236" s="286"/>
      <c r="D1236" s="232"/>
      <c r="E1236" s="232"/>
      <c r="F1236" s="232"/>
      <c r="G1236" s="232"/>
      <c r="H1236" s="232"/>
      <c r="I1236" s="232"/>
      <c r="J1236" s="232"/>
      <c r="K1236" s="232"/>
      <c r="L1236" s="232"/>
      <c r="M1236" s="232"/>
      <c r="N1236" s="232"/>
      <c r="O1236" s="232"/>
      <c r="P1236" s="232"/>
      <c r="Q1236" s="232"/>
      <c r="R1236" s="232"/>
      <c r="S1236" s="232"/>
      <c r="T1236" s="232"/>
      <c r="U1236" s="232"/>
      <c r="V1236" s="15"/>
      <c r="W1236" s="15"/>
      <c r="X1236" s="15"/>
      <c r="Y1236" s="15"/>
      <c r="Z1236" s="15"/>
      <c r="AA1236" s="15"/>
    </row>
    <row r="1237" spans="1:27" s="25" customFormat="1" ht="12" customHeight="1" x14ac:dyDescent="0.2">
      <c r="A1237" s="232"/>
      <c r="B1237" s="250"/>
      <c r="C1237" s="286"/>
      <c r="D1237" s="232"/>
      <c r="E1237" s="232"/>
      <c r="F1237" s="232"/>
      <c r="G1237" s="232"/>
      <c r="H1237" s="232"/>
      <c r="I1237" s="232"/>
      <c r="J1237" s="232"/>
      <c r="K1237" s="232"/>
      <c r="L1237" s="232"/>
      <c r="M1237" s="232"/>
      <c r="N1237" s="232"/>
      <c r="O1237" s="232"/>
      <c r="P1237" s="232"/>
      <c r="Q1237" s="232"/>
      <c r="R1237" s="232"/>
      <c r="S1237" s="232"/>
      <c r="T1237" s="232"/>
      <c r="U1237" s="232"/>
      <c r="V1237" s="15"/>
      <c r="W1237" s="15"/>
      <c r="X1237" s="15"/>
      <c r="Y1237" s="15"/>
      <c r="Z1237" s="15"/>
      <c r="AA1237" s="15"/>
    </row>
    <row r="1238" spans="1:27" s="25" customFormat="1" ht="12" customHeight="1" x14ac:dyDescent="0.2">
      <c r="A1238" s="232"/>
      <c r="B1238" s="250"/>
      <c r="C1238" s="286"/>
      <c r="D1238" s="232"/>
      <c r="E1238" s="232"/>
      <c r="F1238" s="232"/>
      <c r="G1238" s="232"/>
      <c r="H1238" s="232"/>
      <c r="I1238" s="232"/>
      <c r="J1238" s="232"/>
      <c r="K1238" s="232"/>
      <c r="L1238" s="232"/>
      <c r="M1238" s="232"/>
      <c r="N1238" s="232"/>
      <c r="O1238" s="232"/>
      <c r="P1238" s="232"/>
      <c r="Q1238" s="232"/>
      <c r="R1238" s="232"/>
      <c r="S1238" s="232"/>
      <c r="T1238" s="232"/>
      <c r="U1238" s="232"/>
      <c r="V1238" s="15"/>
      <c r="W1238" s="15"/>
      <c r="X1238" s="15"/>
      <c r="Y1238" s="15"/>
      <c r="Z1238" s="15"/>
      <c r="AA1238" s="15"/>
    </row>
    <row r="1239" spans="1:27" s="25" customFormat="1" ht="12" customHeight="1" x14ac:dyDescent="0.2">
      <c r="A1239" s="232"/>
      <c r="B1239" s="250"/>
      <c r="C1239" s="286"/>
      <c r="D1239" s="232"/>
      <c r="E1239" s="232"/>
      <c r="F1239" s="232"/>
      <c r="G1239" s="232"/>
      <c r="H1239" s="232"/>
      <c r="I1239" s="232"/>
      <c r="J1239" s="232"/>
      <c r="K1239" s="232"/>
      <c r="L1239" s="232"/>
      <c r="M1239" s="232"/>
      <c r="N1239" s="232"/>
      <c r="O1239" s="232"/>
      <c r="P1239" s="232"/>
      <c r="Q1239" s="232"/>
      <c r="R1239" s="232"/>
      <c r="S1239" s="232"/>
      <c r="T1239" s="232"/>
      <c r="U1239" s="232"/>
      <c r="V1239" s="15"/>
      <c r="W1239" s="15"/>
      <c r="X1239" s="15"/>
      <c r="Y1239" s="15"/>
      <c r="Z1239" s="15"/>
      <c r="AA1239" s="15"/>
    </row>
    <row r="1240" spans="1:27" s="25" customFormat="1" ht="12" customHeight="1" x14ac:dyDescent="0.2">
      <c r="A1240" s="232"/>
      <c r="B1240" s="250"/>
      <c r="C1240" s="286"/>
      <c r="D1240" s="232"/>
      <c r="E1240" s="232"/>
      <c r="F1240" s="232"/>
      <c r="G1240" s="232"/>
      <c r="H1240" s="232"/>
      <c r="I1240" s="232"/>
      <c r="J1240" s="232"/>
      <c r="K1240" s="232"/>
      <c r="L1240" s="232"/>
      <c r="M1240" s="232"/>
      <c r="N1240" s="232"/>
      <c r="O1240" s="232"/>
      <c r="P1240" s="232"/>
      <c r="Q1240" s="232"/>
      <c r="R1240" s="232"/>
      <c r="S1240" s="232"/>
      <c r="T1240" s="232"/>
      <c r="U1240" s="232"/>
      <c r="V1240" s="15"/>
      <c r="W1240" s="15"/>
      <c r="X1240" s="15"/>
      <c r="Y1240" s="15"/>
      <c r="Z1240" s="15"/>
      <c r="AA1240" s="15"/>
    </row>
    <row r="1241" spans="1:27" s="25" customFormat="1" ht="12" customHeight="1" x14ac:dyDescent="0.2">
      <c r="A1241" s="232"/>
      <c r="B1241" s="250"/>
      <c r="C1241" s="286"/>
      <c r="D1241" s="232"/>
      <c r="E1241" s="232"/>
      <c r="F1241" s="232"/>
      <c r="G1241" s="232"/>
      <c r="H1241" s="232"/>
      <c r="I1241" s="232"/>
      <c r="J1241" s="232"/>
      <c r="K1241" s="232"/>
      <c r="L1241" s="232"/>
      <c r="M1241" s="232"/>
      <c r="N1241" s="232"/>
      <c r="O1241" s="232"/>
      <c r="P1241" s="232"/>
      <c r="Q1241" s="232"/>
      <c r="R1241" s="232"/>
      <c r="S1241" s="232"/>
      <c r="T1241" s="232"/>
      <c r="U1241" s="232"/>
      <c r="V1241" s="15"/>
      <c r="W1241" s="15"/>
      <c r="X1241" s="15"/>
      <c r="Y1241" s="15"/>
      <c r="Z1241" s="15"/>
      <c r="AA1241" s="15"/>
    </row>
    <row r="1242" spans="1:27" s="25" customFormat="1" ht="12" customHeight="1" x14ac:dyDescent="0.2">
      <c r="A1242" s="232"/>
      <c r="B1242" s="250"/>
      <c r="C1242" s="286"/>
      <c r="D1242" s="232"/>
      <c r="E1242" s="232"/>
      <c r="F1242" s="232"/>
      <c r="G1242" s="232"/>
      <c r="H1242" s="232"/>
      <c r="I1242" s="232"/>
      <c r="J1242" s="232"/>
      <c r="K1242" s="232"/>
      <c r="L1242" s="232"/>
      <c r="M1242" s="232"/>
      <c r="N1242" s="232"/>
      <c r="O1242" s="232"/>
      <c r="P1242" s="232"/>
      <c r="Q1242" s="232"/>
      <c r="R1242" s="232"/>
      <c r="S1242" s="232"/>
      <c r="T1242" s="232"/>
      <c r="U1242" s="232"/>
      <c r="V1242" s="15"/>
      <c r="W1242" s="15"/>
      <c r="X1242" s="15"/>
      <c r="Y1242" s="15"/>
      <c r="Z1242" s="15"/>
      <c r="AA1242" s="15"/>
    </row>
    <row r="1243" spans="1:27" s="25" customFormat="1" ht="12" customHeight="1" x14ac:dyDescent="0.2">
      <c r="A1243" s="232"/>
      <c r="B1243" s="250"/>
      <c r="C1243" s="286"/>
      <c r="D1243" s="232"/>
      <c r="E1243" s="232"/>
      <c r="F1243" s="232"/>
      <c r="G1243" s="232"/>
      <c r="H1243" s="232"/>
      <c r="I1243" s="232"/>
      <c r="J1243" s="232"/>
      <c r="K1243" s="232"/>
      <c r="L1243" s="232"/>
      <c r="M1243" s="232"/>
      <c r="N1243" s="232"/>
      <c r="O1243" s="232"/>
      <c r="P1243" s="232"/>
      <c r="Q1243" s="232"/>
      <c r="R1243" s="232"/>
      <c r="S1243" s="232"/>
      <c r="T1243" s="232"/>
      <c r="U1243" s="232"/>
      <c r="V1243" s="15"/>
      <c r="W1243" s="15"/>
      <c r="X1243" s="15"/>
      <c r="Y1243" s="15"/>
      <c r="Z1243" s="15"/>
      <c r="AA1243" s="15"/>
    </row>
    <row r="1244" spans="1:27" s="25" customFormat="1" ht="12" customHeight="1" x14ac:dyDescent="0.2">
      <c r="A1244" s="232"/>
      <c r="B1244" s="250"/>
      <c r="C1244" s="286"/>
      <c r="D1244" s="232"/>
      <c r="E1244" s="232"/>
      <c r="F1244" s="232"/>
      <c r="G1244" s="232"/>
      <c r="H1244" s="232"/>
      <c r="I1244" s="232"/>
      <c r="J1244" s="232"/>
      <c r="K1244" s="232"/>
      <c r="L1244" s="232"/>
      <c r="M1244" s="232"/>
      <c r="N1244" s="232"/>
      <c r="O1244" s="232"/>
      <c r="P1244" s="232"/>
      <c r="Q1244" s="232"/>
      <c r="R1244" s="232"/>
      <c r="S1244" s="232"/>
      <c r="T1244" s="232"/>
      <c r="U1244" s="232"/>
      <c r="V1244" s="15"/>
      <c r="W1244" s="15"/>
      <c r="X1244" s="15"/>
      <c r="Y1244" s="15"/>
      <c r="Z1244" s="15"/>
      <c r="AA1244" s="15"/>
    </row>
    <row r="1245" spans="1:27" s="25" customFormat="1" ht="12" customHeight="1" x14ac:dyDescent="0.2">
      <c r="A1245" s="232"/>
      <c r="B1245" s="250"/>
      <c r="C1245" s="286"/>
      <c r="D1245" s="232"/>
      <c r="E1245" s="232"/>
      <c r="F1245" s="232"/>
      <c r="G1245" s="232"/>
      <c r="H1245" s="232"/>
      <c r="I1245" s="232"/>
      <c r="J1245" s="232"/>
      <c r="K1245" s="232"/>
      <c r="L1245" s="232"/>
      <c r="M1245" s="232"/>
      <c r="N1245" s="232"/>
      <c r="O1245" s="232"/>
      <c r="P1245" s="232"/>
      <c r="Q1245" s="232"/>
      <c r="R1245" s="232"/>
      <c r="S1245" s="232"/>
      <c r="T1245" s="232"/>
      <c r="U1245" s="232"/>
      <c r="V1245" s="15"/>
      <c r="W1245" s="15"/>
      <c r="X1245" s="15"/>
      <c r="Y1245" s="15"/>
      <c r="Z1245" s="15"/>
      <c r="AA1245" s="15"/>
    </row>
    <row r="1246" spans="1:27" s="25" customFormat="1" ht="12" customHeight="1" x14ac:dyDescent="0.2">
      <c r="A1246" s="232"/>
      <c r="B1246" s="250"/>
      <c r="C1246" s="286"/>
      <c r="D1246" s="232"/>
      <c r="E1246" s="232"/>
      <c r="F1246" s="232"/>
      <c r="G1246" s="232"/>
      <c r="H1246" s="232"/>
      <c r="I1246" s="232"/>
      <c r="J1246" s="232"/>
      <c r="K1246" s="232"/>
      <c r="L1246" s="232"/>
      <c r="M1246" s="232"/>
      <c r="N1246" s="232"/>
      <c r="O1246" s="232"/>
      <c r="P1246" s="232"/>
      <c r="Q1246" s="232"/>
      <c r="R1246" s="232"/>
      <c r="S1246" s="232"/>
      <c r="T1246" s="232"/>
      <c r="U1246" s="232"/>
      <c r="V1246" s="15"/>
      <c r="W1246" s="15"/>
      <c r="X1246" s="15"/>
      <c r="Y1246" s="15"/>
      <c r="Z1246" s="15"/>
      <c r="AA1246" s="15"/>
    </row>
    <row r="1247" spans="1:27" s="25" customFormat="1" ht="12" customHeight="1" x14ac:dyDescent="0.2">
      <c r="A1247" s="232"/>
      <c r="B1247" s="250"/>
      <c r="C1247" s="286"/>
      <c r="D1247" s="232"/>
      <c r="E1247" s="232"/>
      <c r="F1247" s="232"/>
      <c r="G1247" s="232"/>
      <c r="H1247" s="232"/>
      <c r="I1247" s="232"/>
      <c r="J1247" s="232"/>
      <c r="K1247" s="232"/>
      <c r="L1247" s="232"/>
      <c r="M1247" s="232"/>
      <c r="N1247" s="232"/>
      <c r="O1247" s="232"/>
      <c r="P1247" s="232"/>
      <c r="Q1247" s="232"/>
      <c r="R1247" s="232"/>
      <c r="S1247" s="232"/>
      <c r="T1247" s="232"/>
      <c r="U1247" s="232"/>
      <c r="V1247" s="15"/>
      <c r="W1247" s="15"/>
      <c r="X1247" s="15"/>
      <c r="Y1247" s="15"/>
      <c r="Z1247" s="15"/>
      <c r="AA1247" s="15"/>
    </row>
    <row r="1248" spans="1:27" s="25" customFormat="1" ht="12" customHeight="1" x14ac:dyDescent="0.2">
      <c r="A1248" s="232"/>
      <c r="B1248" s="250"/>
      <c r="C1248" s="286"/>
      <c r="D1248" s="232"/>
      <c r="E1248" s="232"/>
      <c r="F1248" s="232"/>
      <c r="G1248" s="232"/>
      <c r="H1248" s="232"/>
      <c r="I1248" s="232"/>
      <c r="J1248" s="232"/>
      <c r="K1248" s="232"/>
      <c r="L1248" s="232"/>
      <c r="M1248" s="232"/>
      <c r="N1248" s="232"/>
      <c r="O1248" s="232"/>
      <c r="P1248" s="232"/>
      <c r="Q1248" s="232"/>
      <c r="R1248" s="232"/>
      <c r="S1248" s="232"/>
      <c r="T1248" s="232"/>
      <c r="U1248" s="232"/>
      <c r="V1248" s="15"/>
      <c r="W1248" s="15"/>
      <c r="X1248" s="15"/>
      <c r="Y1248" s="15"/>
      <c r="Z1248" s="15"/>
      <c r="AA1248" s="15"/>
    </row>
    <row r="1249" spans="1:27" s="25" customFormat="1" ht="12" customHeight="1" x14ac:dyDescent="0.2">
      <c r="A1249" s="232"/>
      <c r="B1249" s="250"/>
      <c r="C1249" s="286"/>
      <c r="D1249" s="232"/>
      <c r="E1249" s="232"/>
      <c r="F1249" s="232"/>
      <c r="G1249" s="232"/>
      <c r="H1249" s="232"/>
      <c r="I1249" s="232"/>
      <c r="J1249" s="232"/>
      <c r="K1249" s="232"/>
      <c r="L1249" s="232"/>
      <c r="M1249" s="232"/>
      <c r="N1249" s="232"/>
      <c r="O1249" s="232"/>
      <c r="P1249" s="232"/>
      <c r="Q1249" s="232"/>
      <c r="R1249" s="232"/>
      <c r="S1249" s="232"/>
      <c r="T1249" s="232"/>
      <c r="U1249" s="232"/>
      <c r="V1249" s="15"/>
      <c r="W1249" s="15"/>
      <c r="X1249" s="15"/>
      <c r="Y1249" s="15"/>
      <c r="Z1249" s="15"/>
      <c r="AA1249" s="15"/>
    </row>
    <row r="1250" spans="1:27" s="25" customFormat="1" ht="12" customHeight="1" x14ac:dyDescent="0.2">
      <c r="A1250" s="232"/>
      <c r="B1250" s="250"/>
      <c r="C1250" s="286"/>
      <c r="D1250" s="232"/>
      <c r="E1250" s="232"/>
      <c r="F1250" s="232"/>
      <c r="G1250" s="232"/>
      <c r="H1250" s="232"/>
      <c r="I1250" s="232"/>
      <c r="J1250" s="232"/>
      <c r="K1250" s="232"/>
      <c r="L1250" s="232"/>
      <c r="M1250" s="232"/>
      <c r="N1250" s="232"/>
      <c r="O1250" s="232"/>
      <c r="P1250" s="232"/>
      <c r="Q1250" s="232"/>
      <c r="R1250" s="232"/>
      <c r="S1250" s="232"/>
      <c r="T1250" s="232"/>
      <c r="U1250" s="232"/>
      <c r="V1250" s="15"/>
      <c r="W1250" s="15"/>
      <c r="X1250" s="15"/>
      <c r="Y1250" s="15"/>
      <c r="Z1250" s="15"/>
      <c r="AA1250" s="15"/>
    </row>
    <row r="1251" spans="1:27" s="25" customFormat="1" ht="12" customHeight="1" x14ac:dyDescent="0.2">
      <c r="A1251" s="232"/>
      <c r="B1251" s="250"/>
      <c r="C1251" s="286"/>
      <c r="D1251" s="232"/>
      <c r="E1251" s="232"/>
      <c r="F1251" s="232"/>
      <c r="G1251" s="232"/>
      <c r="H1251" s="232"/>
      <c r="I1251" s="232"/>
      <c r="J1251" s="232"/>
      <c r="K1251" s="232"/>
      <c r="L1251" s="232"/>
      <c r="M1251" s="232"/>
      <c r="N1251" s="232"/>
      <c r="O1251" s="232"/>
      <c r="P1251" s="232"/>
      <c r="Q1251" s="232"/>
      <c r="R1251" s="232"/>
      <c r="S1251" s="232"/>
      <c r="T1251" s="232"/>
      <c r="U1251" s="232"/>
      <c r="V1251" s="15"/>
      <c r="W1251" s="15"/>
      <c r="X1251" s="15"/>
      <c r="Y1251" s="15"/>
      <c r="Z1251" s="15"/>
      <c r="AA1251" s="15"/>
    </row>
    <row r="1252" spans="1:27" s="25" customFormat="1" ht="12" customHeight="1" x14ac:dyDescent="0.2">
      <c r="A1252" s="232"/>
      <c r="B1252" s="250"/>
      <c r="C1252" s="286"/>
      <c r="D1252" s="232"/>
      <c r="E1252" s="232"/>
      <c r="F1252" s="232"/>
      <c r="G1252" s="232"/>
      <c r="H1252" s="232"/>
      <c r="I1252" s="232"/>
      <c r="J1252" s="232"/>
      <c r="K1252" s="232"/>
      <c r="L1252" s="232"/>
      <c r="M1252" s="232"/>
      <c r="N1252" s="232"/>
      <c r="O1252" s="232"/>
      <c r="P1252" s="232"/>
      <c r="Q1252" s="232"/>
      <c r="R1252" s="232"/>
      <c r="S1252" s="232"/>
      <c r="T1252" s="232"/>
      <c r="U1252" s="232"/>
      <c r="V1252" s="15"/>
      <c r="W1252" s="15"/>
      <c r="X1252" s="15"/>
      <c r="Y1252" s="15"/>
      <c r="Z1252" s="15"/>
      <c r="AA1252" s="15"/>
    </row>
    <row r="1253" spans="1:27" s="25" customFormat="1" ht="12" customHeight="1" x14ac:dyDescent="0.2">
      <c r="A1253" s="232"/>
      <c r="B1253" s="250"/>
      <c r="C1253" s="286"/>
      <c r="D1253" s="232"/>
      <c r="E1253" s="232"/>
      <c r="F1253" s="232"/>
      <c r="G1253" s="232"/>
      <c r="H1253" s="232"/>
      <c r="I1253" s="232"/>
      <c r="J1253" s="232"/>
      <c r="K1253" s="232"/>
      <c r="L1253" s="232"/>
      <c r="M1253" s="232"/>
      <c r="N1253" s="232"/>
      <c r="O1253" s="232"/>
      <c r="P1253" s="232"/>
      <c r="Q1253" s="232"/>
      <c r="R1253" s="232"/>
      <c r="S1253" s="232"/>
      <c r="T1253" s="232"/>
      <c r="U1253" s="232"/>
      <c r="V1253" s="15"/>
      <c r="W1253" s="15"/>
      <c r="X1253" s="15"/>
      <c r="Y1253" s="15"/>
      <c r="Z1253" s="15"/>
      <c r="AA1253" s="15"/>
    </row>
    <row r="1254" spans="1:27" s="25" customFormat="1" ht="12" customHeight="1" x14ac:dyDescent="0.2">
      <c r="A1254" s="232"/>
      <c r="B1254" s="250"/>
      <c r="C1254" s="286"/>
      <c r="D1254" s="232"/>
      <c r="E1254" s="232"/>
      <c r="F1254" s="232"/>
      <c r="G1254" s="232"/>
      <c r="H1254" s="232"/>
      <c r="I1254" s="232"/>
      <c r="J1254" s="232"/>
      <c r="K1254" s="232"/>
      <c r="L1254" s="232"/>
      <c r="M1254" s="232"/>
      <c r="N1254" s="232"/>
      <c r="O1254" s="232"/>
      <c r="P1254" s="232"/>
      <c r="Q1254" s="232"/>
      <c r="R1254" s="232"/>
      <c r="S1254" s="232"/>
      <c r="T1254" s="232"/>
      <c r="U1254" s="232"/>
      <c r="V1254" s="15"/>
      <c r="W1254" s="15"/>
      <c r="X1254" s="15"/>
      <c r="Y1254" s="15"/>
      <c r="Z1254" s="15"/>
      <c r="AA1254" s="15"/>
    </row>
    <row r="1255" spans="1:27" s="25" customFormat="1" ht="12" customHeight="1" x14ac:dyDescent="0.2">
      <c r="A1255" s="232"/>
      <c r="B1255" s="250"/>
      <c r="C1255" s="286"/>
      <c r="D1255" s="232"/>
      <c r="E1255" s="232"/>
      <c r="F1255" s="232"/>
      <c r="G1255" s="232"/>
      <c r="H1255" s="232"/>
      <c r="I1255" s="232"/>
      <c r="J1255" s="232"/>
      <c r="K1255" s="232"/>
      <c r="L1255" s="232"/>
      <c r="M1255" s="232"/>
      <c r="N1255" s="232"/>
      <c r="O1255" s="232"/>
      <c r="P1255" s="232"/>
      <c r="Q1255" s="232"/>
      <c r="R1255" s="232"/>
      <c r="S1255" s="232"/>
      <c r="T1255" s="232"/>
      <c r="U1255" s="232"/>
      <c r="V1255" s="15"/>
      <c r="W1255" s="15"/>
      <c r="X1255" s="15"/>
      <c r="Y1255" s="15"/>
      <c r="Z1255" s="15"/>
      <c r="AA1255" s="15"/>
    </row>
    <row r="1256" spans="1:27" s="25" customFormat="1" ht="12" customHeight="1" x14ac:dyDescent="0.2">
      <c r="A1256" s="232"/>
      <c r="B1256" s="250"/>
      <c r="C1256" s="286"/>
      <c r="D1256" s="232"/>
      <c r="E1256" s="232"/>
      <c r="F1256" s="232"/>
      <c r="G1256" s="232"/>
      <c r="H1256" s="232"/>
      <c r="I1256" s="232"/>
      <c r="J1256" s="232"/>
      <c r="K1256" s="232"/>
      <c r="L1256" s="232"/>
      <c r="M1256" s="232"/>
      <c r="N1256" s="232"/>
      <c r="O1256" s="232"/>
      <c r="P1256" s="232"/>
      <c r="Q1256" s="232"/>
      <c r="R1256" s="232"/>
      <c r="S1256" s="232"/>
      <c r="T1256" s="232"/>
      <c r="U1256" s="232"/>
      <c r="V1256" s="15"/>
      <c r="W1256" s="15"/>
      <c r="X1256" s="15"/>
      <c r="Y1256" s="15"/>
      <c r="Z1256" s="15"/>
      <c r="AA1256" s="15"/>
    </row>
    <row r="1257" spans="1:27" s="25" customFormat="1" ht="12" customHeight="1" x14ac:dyDescent="0.2">
      <c r="A1257" s="232"/>
      <c r="B1257" s="250"/>
      <c r="C1257" s="286"/>
      <c r="D1257" s="232"/>
      <c r="E1257" s="232"/>
      <c r="F1257" s="232"/>
      <c r="G1257" s="232"/>
      <c r="H1257" s="232"/>
      <c r="I1257" s="232"/>
      <c r="J1257" s="232"/>
      <c r="K1257" s="232"/>
      <c r="L1257" s="232"/>
      <c r="M1257" s="232"/>
      <c r="N1257" s="232"/>
      <c r="O1257" s="232"/>
      <c r="P1257" s="232"/>
      <c r="Q1257" s="232"/>
      <c r="R1257" s="232"/>
      <c r="S1257" s="232"/>
      <c r="T1257" s="232"/>
      <c r="U1257" s="232"/>
      <c r="V1257" s="15"/>
      <c r="W1257" s="15"/>
      <c r="X1257" s="15"/>
      <c r="Y1257" s="15"/>
      <c r="Z1257" s="15"/>
      <c r="AA1257" s="15"/>
    </row>
    <row r="1258" spans="1:27" s="25" customFormat="1" ht="12" customHeight="1" x14ac:dyDescent="0.2">
      <c r="A1258" s="232"/>
      <c r="B1258" s="250"/>
      <c r="C1258" s="286"/>
      <c r="D1258" s="232"/>
      <c r="E1258" s="232"/>
      <c r="F1258" s="232"/>
      <c r="G1258" s="232"/>
      <c r="H1258" s="232"/>
      <c r="I1258" s="232"/>
      <c r="J1258" s="232"/>
      <c r="K1258" s="232"/>
      <c r="L1258" s="232"/>
      <c r="M1258" s="232"/>
      <c r="N1258" s="232"/>
      <c r="O1258" s="232"/>
      <c r="P1258" s="232"/>
      <c r="Q1258" s="232"/>
      <c r="R1258" s="232"/>
      <c r="S1258" s="232"/>
      <c r="T1258" s="232"/>
      <c r="U1258" s="232"/>
      <c r="V1258" s="15"/>
      <c r="W1258" s="15"/>
      <c r="X1258" s="15"/>
      <c r="Y1258" s="15"/>
      <c r="Z1258" s="15"/>
      <c r="AA1258" s="15"/>
    </row>
    <row r="1259" spans="1:27" s="25" customFormat="1" ht="12" customHeight="1" x14ac:dyDescent="0.2">
      <c r="A1259" s="232"/>
      <c r="B1259" s="250"/>
      <c r="C1259" s="286"/>
      <c r="D1259" s="232"/>
      <c r="E1259" s="232"/>
      <c r="F1259" s="232"/>
      <c r="G1259" s="232"/>
      <c r="H1259" s="232"/>
      <c r="I1259" s="232"/>
      <c r="J1259" s="232"/>
      <c r="K1259" s="232"/>
      <c r="L1259" s="232"/>
      <c r="M1259" s="232"/>
      <c r="N1259" s="232"/>
      <c r="O1259" s="232"/>
      <c r="P1259" s="232"/>
      <c r="Q1259" s="232"/>
      <c r="R1259" s="232"/>
      <c r="S1259" s="232"/>
      <c r="T1259" s="232"/>
      <c r="U1259" s="232"/>
      <c r="V1259" s="15"/>
      <c r="W1259" s="15"/>
      <c r="X1259" s="15"/>
      <c r="Y1259" s="15"/>
      <c r="Z1259" s="15"/>
      <c r="AA1259" s="15"/>
    </row>
    <row r="1260" spans="1:27" s="25" customFormat="1" ht="12" customHeight="1" x14ac:dyDescent="0.2">
      <c r="A1260" s="232"/>
      <c r="B1260" s="250"/>
      <c r="C1260" s="286"/>
      <c r="D1260" s="232"/>
      <c r="E1260" s="232"/>
      <c r="F1260" s="232"/>
      <c r="G1260" s="232"/>
      <c r="H1260" s="232"/>
      <c r="I1260" s="232"/>
      <c r="J1260" s="232"/>
      <c r="K1260" s="232"/>
      <c r="L1260" s="232"/>
      <c r="M1260" s="232"/>
      <c r="N1260" s="232"/>
      <c r="O1260" s="232"/>
      <c r="P1260" s="232"/>
      <c r="Q1260" s="232"/>
      <c r="R1260" s="232"/>
      <c r="S1260" s="232"/>
      <c r="T1260" s="232"/>
      <c r="U1260" s="232"/>
      <c r="V1260" s="15"/>
      <c r="W1260" s="15"/>
      <c r="X1260" s="15"/>
      <c r="Y1260" s="15"/>
      <c r="Z1260" s="15"/>
      <c r="AA1260" s="15"/>
    </row>
    <row r="1261" spans="1:27" s="25" customFormat="1" ht="12" customHeight="1" x14ac:dyDescent="0.2">
      <c r="A1261" s="232"/>
      <c r="B1261" s="250"/>
      <c r="C1261" s="286"/>
      <c r="D1261" s="232"/>
      <c r="E1261" s="232"/>
      <c r="F1261" s="232"/>
      <c r="G1261" s="232"/>
      <c r="H1261" s="232"/>
      <c r="I1261" s="232"/>
      <c r="J1261" s="232"/>
      <c r="K1261" s="232"/>
      <c r="L1261" s="232"/>
      <c r="M1261" s="232"/>
      <c r="N1261" s="232"/>
      <c r="O1261" s="232"/>
      <c r="P1261" s="232"/>
      <c r="Q1261" s="232"/>
      <c r="R1261" s="232"/>
      <c r="S1261" s="232"/>
      <c r="T1261" s="232"/>
      <c r="U1261" s="232"/>
      <c r="V1261" s="15"/>
      <c r="W1261" s="15"/>
      <c r="X1261" s="15"/>
      <c r="Y1261" s="15"/>
      <c r="Z1261" s="15"/>
      <c r="AA1261" s="15"/>
    </row>
    <row r="1262" spans="1:27" s="25" customFormat="1" ht="12" customHeight="1" x14ac:dyDescent="0.2">
      <c r="A1262" s="232"/>
      <c r="B1262" s="250"/>
      <c r="C1262" s="286"/>
      <c r="D1262" s="232"/>
      <c r="E1262" s="232"/>
      <c r="F1262" s="232"/>
      <c r="G1262" s="232"/>
      <c r="H1262" s="232"/>
      <c r="I1262" s="232"/>
      <c r="J1262" s="232"/>
      <c r="K1262" s="232"/>
      <c r="L1262" s="232"/>
      <c r="M1262" s="232"/>
      <c r="N1262" s="232"/>
      <c r="O1262" s="232"/>
      <c r="P1262" s="232"/>
      <c r="Q1262" s="232"/>
      <c r="R1262" s="232"/>
      <c r="S1262" s="232"/>
      <c r="T1262" s="232"/>
      <c r="U1262" s="232"/>
      <c r="V1262" s="15"/>
      <c r="W1262" s="15"/>
      <c r="X1262" s="15"/>
      <c r="Y1262" s="15"/>
      <c r="Z1262" s="15"/>
      <c r="AA1262" s="15"/>
    </row>
    <row r="1263" spans="1:27" s="25" customFormat="1" ht="12" customHeight="1" x14ac:dyDescent="0.2">
      <c r="A1263" s="232"/>
      <c r="B1263" s="250"/>
      <c r="C1263" s="286"/>
      <c r="D1263" s="232"/>
      <c r="E1263" s="232"/>
      <c r="F1263" s="232"/>
      <c r="G1263" s="232"/>
      <c r="H1263" s="232"/>
      <c r="I1263" s="232"/>
      <c r="J1263" s="232"/>
      <c r="K1263" s="232"/>
      <c r="L1263" s="232"/>
      <c r="M1263" s="232"/>
      <c r="N1263" s="232"/>
      <c r="O1263" s="232"/>
      <c r="P1263" s="232"/>
      <c r="Q1263" s="232"/>
      <c r="R1263" s="232"/>
      <c r="S1263" s="232"/>
      <c r="T1263" s="232"/>
      <c r="U1263" s="232"/>
      <c r="V1263" s="15"/>
      <c r="W1263" s="15"/>
      <c r="X1263" s="15"/>
      <c r="Y1263" s="15"/>
      <c r="Z1263" s="15"/>
      <c r="AA1263" s="15"/>
    </row>
    <row r="1264" spans="1:27" s="25" customFormat="1" ht="12" customHeight="1" x14ac:dyDescent="0.2">
      <c r="A1264" s="232"/>
      <c r="B1264" s="250"/>
      <c r="C1264" s="286"/>
      <c r="D1264" s="232"/>
      <c r="E1264" s="232"/>
      <c r="F1264" s="232"/>
      <c r="G1264" s="232"/>
      <c r="H1264" s="232"/>
      <c r="I1264" s="232"/>
      <c r="J1264" s="232"/>
      <c r="K1264" s="232"/>
      <c r="L1264" s="232"/>
      <c r="M1264" s="232"/>
      <c r="N1264" s="232"/>
      <c r="O1264" s="232"/>
      <c r="P1264" s="232"/>
      <c r="Q1264" s="232"/>
      <c r="R1264" s="232"/>
      <c r="S1264" s="232"/>
      <c r="T1264" s="232"/>
      <c r="U1264" s="232"/>
      <c r="V1264" s="15"/>
      <c r="W1264" s="15"/>
      <c r="X1264" s="15"/>
      <c r="Y1264" s="15"/>
      <c r="Z1264" s="15"/>
      <c r="AA1264" s="15"/>
    </row>
    <row r="1265" spans="1:27" s="25" customFormat="1" ht="12" customHeight="1" x14ac:dyDescent="0.2">
      <c r="A1265" s="232"/>
      <c r="B1265" s="250"/>
      <c r="C1265" s="286"/>
      <c r="D1265" s="232"/>
      <c r="E1265" s="232"/>
      <c r="F1265" s="232"/>
      <c r="G1265" s="232"/>
      <c r="H1265" s="232"/>
      <c r="I1265" s="232"/>
      <c r="J1265" s="232"/>
      <c r="K1265" s="232"/>
      <c r="L1265" s="232"/>
      <c r="M1265" s="232"/>
      <c r="N1265" s="232"/>
      <c r="O1265" s="232"/>
      <c r="P1265" s="232"/>
      <c r="Q1265" s="232"/>
      <c r="R1265" s="232"/>
      <c r="S1265" s="232"/>
      <c r="T1265" s="232"/>
      <c r="U1265" s="232"/>
      <c r="V1265" s="15"/>
      <c r="W1265" s="15"/>
      <c r="X1265" s="15"/>
      <c r="Y1265" s="15"/>
      <c r="Z1265" s="15"/>
      <c r="AA1265" s="15"/>
    </row>
    <row r="1266" spans="1:27" s="25" customFormat="1" ht="12" customHeight="1" x14ac:dyDescent="0.2">
      <c r="A1266" s="232"/>
      <c r="B1266" s="250"/>
      <c r="C1266" s="286"/>
      <c r="D1266" s="232"/>
      <c r="E1266" s="232"/>
      <c r="F1266" s="232"/>
      <c r="G1266" s="232"/>
      <c r="H1266" s="232"/>
      <c r="I1266" s="232"/>
      <c r="J1266" s="232"/>
      <c r="K1266" s="232"/>
      <c r="L1266" s="232"/>
      <c r="M1266" s="232"/>
      <c r="N1266" s="232"/>
      <c r="O1266" s="232"/>
      <c r="P1266" s="232"/>
      <c r="Q1266" s="232"/>
      <c r="R1266" s="232"/>
      <c r="S1266" s="232"/>
      <c r="T1266" s="232"/>
      <c r="U1266" s="232"/>
      <c r="V1266" s="15"/>
      <c r="W1266" s="15"/>
      <c r="X1266" s="15"/>
      <c r="Y1266" s="15"/>
      <c r="Z1266" s="15"/>
      <c r="AA1266" s="15"/>
    </row>
    <row r="1267" spans="1:27" s="25" customFormat="1" ht="12" customHeight="1" x14ac:dyDescent="0.2">
      <c r="A1267" s="232"/>
      <c r="B1267" s="250"/>
      <c r="C1267" s="286"/>
      <c r="D1267" s="232"/>
      <c r="E1267" s="232"/>
      <c r="F1267" s="232"/>
      <c r="G1267" s="232"/>
      <c r="H1267" s="232"/>
      <c r="I1267" s="232"/>
      <c r="J1267" s="232"/>
      <c r="K1267" s="232"/>
      <c r="L1267" s="232"/>
      <c r="M1267" s="232"/>
      <c r="N1267" s="232"/>
      <c r="O1267" s="232"/>
      <c r="P1267" s="232"/>
      <c r="Q1267" s="232"/>
      <c r="R1267" s="232"/>
      <c r="S1267" s="232"/>
      <c r="T1267" s="232"/>
      <c r="U1267" s="232"/>
      <c r="V1267" s="15"/>
      <c r="W1267" s="15"/>
      <c r="X1267" s="15"/>
      <c r="Y1267" s="15"/>
      <c r="Z1267" s="15"/>
      <c r="AA1267" s="15"/>
    </row>
    <row r="1268" spans="1:27" s="25" customFormat="1" ht="12" customHeight="1" x14ac:dyDescent="0.2">
      <c r="A1268" s="232"/>
      <c r="B1268" s="250"/>
      <c r="C1268" s="286"/>
      <c r="D1268" s="232"/>
      <c r="E1268" s="232"/>
      <c r="F1268" s="232"/>
      <c r="G1268" s="232"/>
      <c r="H1268" s="232"/>
      <c r="I1268" s="232"/>
      <c r="J1268" s="232"/>
      <c r="K1268" s="232"/>
      <c r="L1268" s="232"/>
      <c r="M1268" s="232"/>
      <c r="N1268" s="232"/>
      <c r="O1268" s="232"/>
      <c r="P1268" s="232"/>
      <c r="Q1268" s="232"/>
      <c r="R1268" s="232"/>
      <c r="S1268" s="232"/>
      <c r="T1268" s="232"/>
      <c r="U1268" s="232"/>
      <c r="V1268" s="15"/>
      <c r="W1268" s="15"/>
      <c r="X1268" s="15"/>
      <c r="Y1268" s="15"/>
      <c r="Z1268" s="15"/>
      <c r="AA1268" s="15"/>
    </row>
    <row r="1269" spans="1:27" s="25" customFormat="1" ht="12" customHeight="1" x14ac:dyDescent="0.2">
      <c r="A1269" s="232"/>
      <c r="B1269" s="250"/>
      <c r="C1269" s="286"/>
      <c r="D1269" s="232"/>
      <c r="E1269" s="232"/>
      <c r="F1269" s="232"/>
      <c r="G1269" s="232"/>
      <c r="H1269" s="232"/>
      <c r="I1269" s="232"/>
      <c r="J1269" s="232"/>
      <c r="K1269" s="232"/>
      <c r="L1269" s="232"/>
      <c r="M1269" s="232"/>
      <c r="N1269" s="232"/>
      <c r="O1269" s="232"/>
      <c r="P1269" s="232"/>
      <c r="Q1269" s="232"/>
      <c r="R1269" s="232"/>
      <c r="S1269" s="232"/>
      <c r="T1269" s="232"/>
      <c r="U1269" s="232"/>
      <c r="V1269" s="15"/>
      <c r="W1269" s="15"/>
      <c r="X1269" s="15"/>
      <c r="Y1269" s="15"/>
      <c r="Z1269" s="15"/>
      <c r="AA1269" s="15"/>
    </row>
    <row r="1270" spans="1:27" s="25" customFormat="1" ht="12" customHeight="1" x14ac:dyDescent="0.2">
      <c r="A1270" s="232"/>
      <c r="B1270" s="250"/>
      <c r="C1270" s="286"/>
      <c r="D1270" s="232"/>
      <c r="E1270" s="232"/>
      <c r="F1270" s="232"/>
      <c r="G1270" s="232"/>
      <c r="H1270" s="232"/>
      <c r="I1270" s="232"/>
      <c r="J1270" s="232"/>
      <c r="K1270" s="232"/>
      <c r="L1270" s="232"/>
      <c r="M1270" s="232"/>
      <c r="N1270" s="232"/>
      <c r="O1270" s="232"/>
      <c r="P1270" s="232"/>
      <c r="Q1270" s="232"/>
      <c r="R1270" s="232"/>
      <c r="S1270" s="232"/>
      <c r="T1270" s="232"/>
      <c r="U1270" s="232"/>
      <c r="V1270" s="15"/>
      <c r="W1270" s="15"/>
      <c r="X1270" s="15"/>
      <c r="Y1270" s="15"/>
      <c r="Z1270" s="15"/>
      <c r="AA1270" s="15"/>
    </row>
    <row r="1271" spans="1:27" s="25" customFormat="1" ht="12" customHeight="1" x14ac:dyDescent="0.2">
      <c r="A1271" s="232"/>
      <c r="B1271" s="250"/>
      <c r="C1271" s="286"/>
      <c r="D1271" s="232"/>
      <c r="E1271" s="232"/>
      <c r="F1271" s="232"/>
      <c r="G1271" s="232"/>
      <c r="H1271" s="232"/>
      <c r="I1271" s="232"/>
      <c r="J1271" s="232"/>
      <c r="K1271" s="232"/>
      <c r="L1271" s="232"/>
      <c r="M1271" s="232"/>
      <c r="N1271" s="232"/>
      <c r="O1271" s="232"/>
      <c r="P1271" s="232"/>
      <c r="Q1271" s="232"/>
      <c r="R1271" s="232"/>
      <c r="S1271" s="232"/>
      <c r="T1271" s="232"/>
      <c r="U1271" s="232"/>
      <c r="V1271" s="15"/>
      <c r="W1271" s="15"/>
      <c r="X1271" s="15"/>
      <c r="Y1271" s="15"/>
      <c r="Z1271" s="15"/>
      <c r="AA1271" s="15"/>
    </row>
    <row r="1272" spans="1:27" s="25" customFormat="1" ht="12" customHeight="1" x14ac:dyDescent="0.2">
      <c r="A1272" s="232"/>
      <c r="B1272" s="250"/>
      <c r="C1272" s="286"/>
      <c r="D1272" s="232"/>
      <c r="E1272" s="232"/>
      <c r="F1272" s="232"/>
      <c r="G1272" s="232"/>
      <c r="H1272" s="232"/>
      <c r="I1272" s="232"/>
      <c r="J1272" s="232"/>
      <c r="K1272" s="232"/>
      <c r="L1272" s="232"/>
      <c r="M1272" s="232"/>
      <c r="N1272" s="232"/>
      <c r="O1272" s="232"/>
      <c r="P1272" s="232"/>
      <c r="Q1272" s="232"/>
      <c r="R1272" s="232"/>
      <c r="S1272" s="232"/>
      <c r="T1272" s="232"/>
      <c r="U1272" s="232"/>
      <c r="V1272" s="15"/>
      <c r="W1272" s="15"/>
      <c r="X1272" s="15"/>
      <c r="Y1272" s="15"/>
      <c r="Z1272" s="15"/>
      <c r="AA1272" s="15"/>
    </row>
    <row r="1273" spans="1:27" s="25" customFormat="1" ht="12" customHeight="1" x14ac:dyDescent="0.2">
      <c r="A1273" s="232"/>
      <c r="B1273" s="250"/>
      <c r="C1273" s="286"/>
      <c r="D1273" s="232"/>
      <c r="E1273" s="232"/>
      <c r="F1273" s="232"/>
      <c r="G1273" s="232"/>
      <c r="H1273" s="232"/>
      <c r="I1273" s="232"/>
      <c r="J1273" s="232"/>
      <c r="K1273" s="232"/>
      <c r="L1273" s="232"/>
      <c r="M1273" s="232"/>
      <c r="N1273" s="232"/>
      <c r="O1273" s="232"/>
      <c r="P1273" s="232"/>
      <c r="Q1273" s="232"/>
      <c r="R1273" s="232"/>
      <c r="S1273" s="232"/>
      <c r="T1273" s="232"/>
      <c r="U1273" s="232"/>
      <c r="V1273" s="15"/>
      <c r="W1273" s="15"/>
      <c r="X1273" s="15"/>
      <c r="Y1273" s="15"/>
      <c r="Z1273" s="15"/>
      <c r="AA1273" s="15"/>
    </row>
    <row r="1274" spans="1:27" s="25" customFormat="1" ht="12" customHeight="1" x14ac:dyDescent="0.2">
      <c r="A1274" s="232"/>
      <c r="B1274" s="250"/>
      <c r="C1274" s="286"/>
      <c r="D1274" s="232"/>
      <c r="E1274" s="232"/>
      <c r="F1274" s="232"/>
      <c r="G1274" s="232"/>
      <c r="H1274" s="232"/>
      <c r="I1274" s="232"/>
      <c r="J1274" s="232"/>
      <c r="K1274" s="232"/>
      <c r="L1274" s="232"/>
      <c r="M1274" s="232"/>
      <c r="N1274" s="232"/>
      <c r="O1274" s="232"/>
      <c r="P1274" s="232"/>
      <c r="Q1274" s="232"/>
      <c r="R1274" s="232"/>
      <c r="S1274" s="232"/>
      <c r="T1274" s="232"/>
      <c r="U1274" s="232"/>
      <c r="V1274" s="15"/>
      <c r="W1274" s="15"/>
      <c r="X1274" s="15"/>
      <c r="Y1274" s="15"/>
      <c r="Z1274" s="15"/>
      <c r="AA1274" s="15"/>
    </row>
    <row r="1275" spans="1:27" s="25" customFormat="1" ht="12" customHeight="1" x14ac:dyDescent="0.2">
      <c r="A1275" s="232"/>
      <c r="B1275" s="250"/>
      <c r="C1275" s="286"/>
      <c r="D1275" s="232"/>
      <c r="E1275" s="232"/>
      <c r="F1275" s="232"/>
      <c r="G1275" s="232"/>
      <c r="H1275" s="232"/>
      <c r="I1275" s="232"/>
      <c r="J1275" s="232"/>
      <c r="K1275" s="232"/>
      <c r="L1275" s="232"/>
      <c r="M1275" s="232"/>
      <c r="N1275" s="232"/>
      <c r="O1275" s="232"/>
      <c r="P1275" s="232"/>
      <c r="Q1275" s="232"/>
      <c r="R1275" s="232"/>
      <c r="S1275" s="232"/>
      <c r="T1275" s="232"/>
      <c r="U1275" s="232"/>
      <c r="V1275" s="15"/>
      <c r="W1275" s="15"/>
      <c r="X1275" s="15"/>
      <c r="Y1275" s="15"/>
      <c r="Z1275" s="15"/>
      <c r="AA1275" s="15"/>
    </row>
    <row r="1276" spans="1:27" s="25" customFormat="1" ht="12" customHeight="1" x14ac:dyDescent="0.2">
      <c r="A1276" s="232"/>
      <c r="B1276" s="250"/>
      <c r="C1276" s="286"/>
      <c r="D1276" s="232"/>
      <c r="E1276" s="232"/>
      <c r="F1276" s="232"/>
      <c r="G1276" s="232"/>
      <c r="H1276" s="232"/>
      <c r="I1276" s="232"/>
      <c r="J1276" s="232"/>
      <c r="K1276" s="232"/>
      <c r="L1276" s="232"/>
      <c r="M1276" s="232"/>
      <c r="N1276" s="232"/>
      <c r="O1276" s="232"/>
      <c r="P1276" s="232"/>
      <c r="Q1276" s="232"/>
      <c r="R1276" s="232"/>
      <c r="S1276" s="232"/>
      <c r="T1276" s="232"/>
      <c r="U1276" s="232"/>
      <c r="V1276" s="15"/>
      <c r="W1276" s="15"/>
      <c r="X1276" s="15"/>
      <c r="Y1276" s="15"/>
      <c r="Z1276" s="15"/>
      <c r="AA1276" s="15"/>
    </row>
    <row r="1277" spans="1:27" s="25" customFormat="1" ht="12" customHeight="1" x14ac:dyDescent="0.2">
      <c r="A1277" s="232"/>
      <c r="B1277" s="250"/>
      <c r="C1277" s="286"/>
      <c r="D1277" s="232"/>
      <c r="E1277" s="232"/>
      <c r="F1277" s="232"/>
      <c r="G1277" s="232"/>
      <c r="H1277" s="232"/>
      <c r="I1277" s="232"/>
      <c r="J1277" s="232"/>
      <c r="K1277" s="232"/>
      <c r="L1277" s="232"/>
      <c r="M1277" s="232"/>
      <c r="N1277" s="232"/>
      <c r="O1277" s="232"/>
      <c r="P1277" s="232"/>
      <c r="Q1277" s="232"/>
      <c r="R1277" s="232"/>
      <c r="S1277" s="232"/>
      <c r="T1277" s="232"/>
      <c r="U1277" s="232"/>
      <c r="V1277" s="15"/>
      <c r="W1277" s="15"/>
      <c r="X1277" s="15"/>
      <c r="Y1277" s="15"/>
      <c r="Z1277" s="15"/>
      <c r="AA1277" s="15"/>
    </row>
    <row r="1278" spans="1:27" s="25" customFormat="1" ht="12" customHeight="1" x14ac:dyDescent="0.2">
      <c r="A1278" s="232"/>
      <c r="B1278" s="250"/>
      <c r="C1278" s="286"/>
      <c r="D1278" s="232"/>
      <c r="E1278" s="232"/>
      <c r="F1278" s="232"/>
      <c r="G1278" s="232"/>
      <c r="H1278" s="232"/>
      <c r="I1278" s="232"/>
      <c r="J1278" s="232"/>
      <c r="K1278" s="232"/>
      <c r="L1278" s="232"/>
      <c r="M1278" s="232"/>
      <c r="N1278" s="232"/>
      <c r="O1278" s="232"/>
      <c r="P1278" s="232"/>
      <c r="Q1278" s="232"/>
      <c r="R1278" s="232"/>
      <c r="S1278" s="232"/>
      <c r="T1278" s="232"/>
      <c r="U1278" s="232"/>
      <c r="V1278" s="15"/>
      <c r="W1278" s="15"/>
      <c r="X1278" s="15"/>
      <c r="Y1278" s="15"/>
      <c r="Z1278" s="15"/>
      <c r="AA1278" s="15"/>
    </row>
    <row r="1279" spans="1:27" s="25" customFormat="1" ht="12" customHeight="1" x14ac:dyDescent="0.2">
      <c r="A1279" s="232"/>
      <c r="B1279" s="250"/>
      <c r="C1279" s="286"/>
      <c r="D1279" s="232"/>
      <c r="E1279" s="232"/>
      <c r="F1279" s="232"/>
      <c r="G1279" s="232"/>
      <c r="H1279" s="232"/>
      <c r="I1279" s="232"/>
      <c r="J1279" s="232"/>
      <c r="K1279" s="232"/>
      <c r="L1279" s="232"/>
      <c r="M1279" s="232"/>
      <c r="N1279" s="232"/>
      <c r="O1279" s="232"/>
      <c r="P1279" s="232"/>
      <c r="Q1279" s="232"/>
      <c r="R1279" s="232"/>
      <c r="S1279" s="232"/>
      <c r="T1279" s="232"/>
      <c r="U1279" s="232"/>
      <c r="V1279" s="15"/>
      <c r="W1279" s="15"/>
      <c r="X1279" s="15"/>
      <c r="Y1279" s="15"/>
      <c r="Z1279" s="15"/>
      <c r="AA1279" s="15"/>
    </row>
    <row r="1280" spans="1:27" s="25" customFormat="1" ht="12" customHeight="1" x14ac:dyDescent="0.2">
      <c r="A1280" s="232"/>
      <c r="B1280" s="250"/>
      <c r="C1280" s="286"/>
      <c r="D1280" s="232"/>
      <c r="E1280" s="232"/>
      <c r="F1280" s="232"/>
      <c r="G1280" s="232"/>
      <c r="H1280" s="232"/>
      <c r="I1280" s="232"/>
      <c r="J1280" s="232"/>
      <c r="K1280" s="232"/>
      <c r="L1280" s="232"/>
      <c r="M1280" s="232"/>
      <c r="N1280" s="232"/>
      <c r="O1280" s="232"/>
      <c r="P1280" s="232"/>
      <c r="Q1280" s="232"/>
      <c r="R1280" s="232"/>
      <c r="S1280" s="232"/>
      <c r="T1280" s="232"/>
      <c r="U1280" s="232"/>
      <c r="V1280" s="15"/>
      <c r="W1280" s="15"/>
      <c r="X1280" s="15"/>
      <c r="Y1280" s="15"/>
      <c r="Z1280" s="15"/>
      <c r="AA1280" s="15"/>
    </row>
    <row r="1281" spans="1:27" s="25" customFormat="1" ht="12" customHeight="1" x14ac:dyDescent="0.2">
      <c r="A1281" s="232"/>
      <c r="B1281" s="250"/>
      <c r="C1281" s="286"/>
      <c r="D1281" s="232"/>
      <c r="E1281" s="232"/>
      <c r="F1281" s="232"/>
      <c r="G1281" s="232"/>
      <c r="H1281" s="232"/>
      <c r="I1281" s="232"/>
      <c r="J1281" s="232"/>
      <c r="K1281" s="232"/>
      <c r="L1281" s="232"/>
      <c r="M1281" s="232"/>
      <c r="N1281" s="232"/>
      <c r="O1281" s="232"/>
      <c r="P1281" s="232"/>
      <c r="Q1281" s="232"/>
      <c r="R1281" s="232"/>
      <c r="S1281" s="232"/>
      <c r="T1281" s="232"/>
      <c r="U1281" s="232"/>
      <c r="V1281" s="15"/>
      <c r="W1281" s="15"/>
      <c r="X1281" s="15"/>
      <c r="Y1281" s="15"/>
      <c r="Z1281" s="15"/>
      <c r="AA1281" s="15"/>
    </row>
    <row r="1282" spans="1:27" s="25" customFormat="1" ht="12" customHeight="1" x14ac:dyDescent="0.2">
      <c r="A1282" s="232"/>
      <c r="B1282" s="250"/>
      <c r="C1282" s="286"/>
      <c r="D1282" s="232"/>
      <c r="E1282" s="232"/>
      <c r="F1282" s="232"/>
      <c r="G1282" s="232"/>
      <c r="H1282" s="232"/>
      <c r="I1282" s="232"/>
      <c r="J1282" s="232"/>
      <c r="K1282" s="232"/>
      <c r="L1282" s="232"/>
      <c r="M1282" s="232"/>
      <c r="N1282" s="232"/>
      <c r="O1282" s="232"/>
      <c r="P1282" s="232"/>
      <c r="Q1282" s="232"/>
      <c r="R1282" s="232"/>
      <c r="S1282" s="232"/>
      <c r="T1282" s="232"/>
      <c r="U1282" s="232"/>
      <c r="V1282" s="15"/>
      <c r="W1282" s="15"/>
      <c r="X1282" s="15"/>
      <c r="Y1282" s="15"/>
      <c r="Z1282" s="15"/>
      <c r="AA1282" s="15"/>
    </row>
    <row r="1283" spans="1:27" s="25" customFormat="1" ht="12" customHeight="1" x14ac:dyDescent="0.2">
      <c r="A1283" s="232"/>
      <c r="B1283" s="250"/>
      <c r="C1283" s="286"/>
      <c r="D1283" s="232"/>
      <c r="E1283" s="232"/>
      <c r="F1283" s="232"/>
      <c r="G1283" s="232"/>
      <c r="H1283" s="232"/>
      <c r="I1283" s="232"/>
      <c r="J1283" s="232"/>
      <c r="K1283" s="232"/>
      <c r="L1283" s="232"/>
      <c r="M1283" s="232"/>
      <c r="N1283" s="232"/>
      <c r="O1283" s="232"/>
      <c r="P1283" s="232"/>
      <c r="Q1283" s="232"/>
      <c r="R1283" s="232"/>
      <c r="S1283" s="232"/>
      <c r="T1283" s="232"/>
      <c r="U1283" s="232"/>
      <c r="V1283" s="15"/>
      <c r="W1283" s="15"/>
      <c r="X1283" s="15"/>
      <c r="Y1283" s="15"/>
      <c r="Z1283" s="15"/>
      <c r="AA1283" s="15"/>
    </row>
    <row r="1284" spans="1:27" s="25" customFormat="1" ht="12" customHeight="1" x14ac:dyDescent="0.2">
      <c r="A1284" s="232"/>
      <c r="B1284" s="250"/>
      <c r="C1284" s="286"/>
      <c r="D1284" s="232"/>
      <c r="E1284" s="232"/>
      <c r="F1284" s="232"/>
      <c r="G1284" s="232"/>
      <c r="H1284" s="232"/>
      <c r="I1284" s="232"/>
      <c r="J1284" s="232"/>
      <c r="K1284" s="232"/>
      <c r="L1284" s="232"/>
      <c r="M1284" s="232"/>
      <c r="N1284" s="232"/>
      <c r="O1284" s="232"/>
      <c r="P1284" s="232"/>
      <c r="Q1284" s="232"/>
      <c r="R1284" s="232"/>
      <c r="S1284" s="232"/>
      <c r="T1284" s="232"/>
      <c r="U1284" s="232"/>
      <c r="V1284" s="15"/>
      <c r="W1284" s="15"/>
      <c r="X1284" s="15"/>
      <c r="Y1284" s="15"/>
      <c r="Z1284" s="15"/>
      <c r="AA1284" s="15"/>
    </row>
    <row r="1285" spans="1:27" s="25" customFormat="1" ht="12" customHeight="1" x14ac:dyDescent="0.2">
      <c r="A1285" s="232"/>
      <c r="B1285" s="250"/>
      <c r="C1285" s="286"/>
      <c r="D1285" s="232"/>
      <c r="E1285" s="232"/>
      <c r="F1285" s="232"/>
      <c r="G1285" s="232"/>
      <c r="H1285" s="232"/>
      <c r="I1285" s="232"/>
      <c r="J1285" s="232"/>
      <c r="K1285" s="232"/>
      <c r="L1285" s="232"/>
      <c r="M1285" s="232"/>
      <c r="N1285" s="232"/>
      <c r="O1285" s="232"/>
      <c r="P1285" s="232"/>
      <c r="Q1285" s="232"/>
      <c r="R1285" s="232"/>
      <c r="S1285" s="232"/>
      <c r="T1285" s="232"/>
      <c r="U1285" s="232"/>
      <c r="V1285" s="15"/>
      <c r="W1285" s="15"/>
      <c r="X1285" s="15"/>
      <c r="Y1285" s="15"/>
      <c r="Z1285" s="15"/>
      <c r="AA1285" s="15"/>
    </row>
    <row r="1286" spans="1:27" s="25" customFormat="1" ht="12" customHeight="1" x14ac:dyDescent="0.2">
      <c r="A1286" s="232"/>
      <c r="B1286" s="250"/>
      <c r="C1286" s="286"/>
      <c r="D1286" s="232"/>
      <c r="E1286" s="232"/>
      <c r="F1286" s="232"/>
      <c r="G1286" s="232"/>
      <c r="H1286" s="232"/>
      <c r="I1286" s="232"/>
      <c r="J1286" s="232"/>
      <c r="K1286" s="232"/>
      <c r="L1286" s="232"/>
      <c r="M1286" s="232"/>
      <c r="N1286" s="232"/>
      <c r="O1286" s="232"/>
      <c r="P1286" s="232"/>
      <c r="Q1286" s="232"/>
      <c r="R1286" s="232"/>
      <c r="S1286" s="232"/>
      <c r="T1286" s="232"/>
      <c r="U1286" s="232"/>
      <c r="V1286" s="15"/>
      <c r="W1286" s="15"/>
      <c r="X1286" s="15"/>
      <c r="Y1286" s="15"/>
      <c r="Z1286" s="15"/>
      <c r="AA1286" s="15"/>
    </row>
    <row r="1287" spans="1:27" s="25" customFormat="1" ht="12" customHeight="1" x14ac:dyDescent="0.2">
      <c r="A1287" s="232"/>
      <c r="B1287" s="250"/>
      <c r="C1287" s="286"/>
      <c r="D1287" s="232"/>
      <c r="E1287" s="232"/>
      <c r="F1287" s="232"/>
      <c r="G1287" s="232"/>
      <c r="H1287" s="232"/>
      <c r="I1287" s="232"/>
      <c r="J1287" s="232"/>
      <c r="K1287" s="232"/>
      <c r="L1287" s="232"/>
      <c r="M1287" s="232"/>
      <c r="N1287" s="232"/>
      <c r="O1287" s="232"/>
      <c r="P1287" s="232"/>
      <c r="Q1287" s="232"/>
      <c r="R1287" s="232"/>
      <c r="S1287" s="232"/>
      <c r="T1287" s="232"/>
      <c r="U1287" s="232"/>
      <c r="V1287" s="15"/>
      <c r="W1287" s="15"/>
      <c r="X1287" s="15"/>
      <c r="Y1287" s="15"/>
      <c r="Z1287" s="15"/>
      <c r="AA1287" s="15"/>
    </row>
    <row r="1288" spans="1:27" s="25" customFormat="1" ht="12" customHeight="1" x14ac:dyDescent="0.2">
      <c r="A1288" s="232"/>
      <c r="B1288" s="250"/>
      <c r="C1288" s="286"/>
      <c r="D1288" s="232"/>
      <c r="E1288" s="232"/>
      <c r="F1288" s="232"/>
      <c r="G1288" s="232"/>
      <c r="H1288" s="232"/>
      <c r="I1288" s="232"/>
      <c r="J1288" s="232"/>
      <c r="K1288" s="232"/>
      <c r="L1288" s="232"/>
      <c r="M1288" s="232"/>
      <c r="N1288" s="232"/>
      <c r="O1288" s="232"/>
      <c r="P1288" s="232"/>
      <c r="Q1288" s="232"/>
      <c r="R1288" s="232"/>
      <c r="S1288" s="232"/>
      <c r="T1288" s="232"/>
      <c r="U1288" s="232"/>
      <c r="V1288" s="15"/>
      <c r="W1288" s="15"/>
      <c r="X1288" s="15"/>
      <c r="Y1288" s="15"/>
      <c r="Z1288" s="15"/>
      <c r="AA1288" s="15"/>
    </row>
    <row r="1289" spans="1:27" s="25" customFormat="1" ht="12" customHeight="1" x14ac:dyDescent="0.2">
      <c r="A1289" s="232"/>
      <c r="B1289" s="250"/>
      <c r="C1289" s="286"/>
      <c r="D1289" s="232"/>
      <c r="E1289" s="232"/>
      <c r="F1289" s="232"/>
      <c r="G1289" s="232"/>
      <c r="H1289" s="232"/>
      <c r="I1289" s="232"/>
      <c r="J1289" s="232"/>
      <c r="K1289" s="232"/>
      <c r="L1289" s="232"/>
      <c r="M1289" s="232"/>
      <c r="N1289" s="232"/>
      <c r="O1289" s="232"/>
      <c r="P1289" s="232"/>
      <c r="Q1289" s="232"/>
      <c r="R1289" s="232"/>
      <c r="S1289" s="232"/>
      <c r="T1289" s="232"/>
      <c r="U1289" s="232"/>
      <c r="V1289" s="15"/>
      <c r="W1289" s="15"/>
      <c r="X1289" s="15"/>
      <c r="Y1289" s="15"/>
      <c r="Z1289" s="15"/>
      <c r="AA1289" s="15"/>
    </row>
    <row r="1290" spans="1:27" s="25" customFormat="1" ht="12" customHeight="1" x14ac:dyDescent="0.2">
      <c r="A1290" s="232"/>
      <c r="B1290" s="250"/>
      <c r="C1290" s="286"/>
      <c r="D1290" s="232"/>
      <c r="E1290" s="232"/>
      <c r="F1290" s="232"/>
      <c r="G1290" s="232"/>
      <c r="H1290" s="232"/>
      <c r="I1290" s="232"/>
      <c r="J1290" s="232"/>
      <c r="K1290" s="232"/>
      <c r="L1290" s="232"/>
      <c r="M1290" s="232"/>
      <c r="N1290" s="232"/>
      <c r="O1290" s="232"/>
      <c r="P1290" s="232"/>
      <c r="Q1290" s="232"/>
      <c r="R1290" s="232"/>
      <c r="S1290" s="232"/>
      <c r="T1290" s="232"/>
      <c r="U1290" s="232"/>
      <c r="V1290" s="15"/>
      <c r="W1290" s="15"/>
      <c r="X1290" s="15"/>
      <c r="Y1290" s="15"/>
      <c r="Z1290" s="15"/>
      <c r="AA1290" s="15"/>
    </row>
    <row r="1291" spans="1:27" s="25" customFormat="1" ht="12" customHeight="1" x14ac:dyDescent="0.2">
      <c r="A1291" s="232"/>
      <c r="B1291" s="250"/>
      <c r="C1291" s="286"/>
      <c r="D1291" s="232"/>
      <c r="E1291" s="232"/>
      <c r="F1291" s="232"/>
      <c r="G1291" s="232"/>
      <c r="H1291" s="232"/>
      <c r="I1291" s="232"/>
      <c r="J1291" s="232"/>
      <c r="K1291" s="232"/>
      <c r="L1291" s="232"/>
      <c r="M1291" s="232"/>
      <c r="N1291" s="232"/>
      <c r="O1291" s="232"/>
      <c r="P1291" s="232"/>
      <c r="Q1291" s="232"/>
      <c r="R1291" s="232"/>
      <c r="S1291" s="232"/>
      <c r="T1291" s="232"/>
      <c r="U1291" s="232"/>
      <c r="V1291" s="15"/>
      <c r="W1291" s="15"/>
      <c r="X1291" s="15"/>
      <c r="Y1291" s="15"/>
      <c r="Z1291" s="15"/>
      <c r="AA1291" s="15"/>
    </row>
    <row r="1292" spans="1:27" s="25" customFormat="1" ht="12" customHeight="1" x14ac:dyDescent="0.2">
      <c r="A1292" s="232"/>
      <c r="B1292" s="250"/>
      <c r="C1292" s="286"/>
      <c r="D1292" s="232"/>
      <c r="E1292" s="232"/>
      <c r="F1292" s="232"/>
      <c r="G1292" s="232"/>
      <c r="H1292" s="232"/>
      <c r="I1292" s="232"/>
      <c r="J1292" s="232"/>
      <c r="K1292" s="232"/>
      <c r="L1292" s="232"/>
      <c r="M1292" s="232"/>
      <c r="N1292" s="232"/>
      <c r="O1292" s="232"/>
      <c r="P1292" s="232"/>
      <c r="Q1292" s="232"/>
      <c r="R1292" s="232"/>
      <c r="S1292" s="232"/>
      <c r="T1292" s="232"/>
      <c r="U1292" s="232"/>
      <c r="V1292" s="15"/>
      <c r="W1292" s="15"/>
      <c r="X1292" s="15"/>
      <c r="Y1292" s="15"/>
      <c r="Z1292" s="15"/>
      <c r="AA1292" s="15"/>
    </row>
    <row r="1293" spans="1:27" s="25" customFormat="1" ht="12" customHeight="1" x14ac:dyDescent="0.2">
      <c r="A1293" s="232"/>
      <c r="B1293" s="250"/>
      <c r="C1293" s="286"/>
      <c r="D1293" s="232"/>
      <c r="E1293" s="232"/>
      <c r="F1293" s="232"/>
      <c r="G1293" s="232"/>
      <c r="H1293" s="232"/>
      <c r="I1293" s="232"/>
      <c r="J1293" s="232"/>
      <c r="K1293" s="232"/>
      <c r="L1293" s="232"/>
      <c r="M1293" s="232"/>
      <c r="N1293" s="232"/>
      <c r="O1293" s="232"/>
      <c r="P1293" s="232"/>
      <c r="Q1293" s="232"/>
      <c r="R1293" s="232"/>
      <c r="S1293" s="232"/>
      <c r="T1293" s="232"/>
      <c r="U1293" s="232"/>
      <c r="V1293" s="15"/>
      <c r="W1293" s="15"/>
      <c r="X1293" s="15"/>
      <c r="Y1293" s="15"/>
      <c r="Z1293" s="15"/>
      <c r="AA1293" s="15"/>
    </row>
    <row r="1294" spans="1:27" s="25" customFormat="1" ht="12" customHeight="1" x14ac:dyDescent="0.2">
      <c r="A1294" s="232"/>
      <c r="B1294" s="250"/>
      <c r="C1294" s="286"/>
      <c r="D1294" s="232"/>
      <c r="E1294" s="232"/>
      <c r="F1294" s="232"/>
      <c r="G1294" s="232"/>
      <c r="H1294" s="232"/>
      <c r="I1294" s="232"/>
      <c r="J1294" s="232"/>
      <c r="K1294" s="232"/>
      <c r="L1294" s="232"/>
      <c r="M1294" s="232"/>
      <c r="N1294" s="232"/>
      <c r="O1294" s="232"/>
      <c r="P1294" s="232"/>
      <c r="Q1294" s="232"/>
      <c r="R1294" s="232"/>
      <c r="S1294" s="232"/>
      <c r="T1294" s="232"/>
      <c r="U1294" s="232"/>
      <c r="V1294" s="15"/>
      <c r="W1294" s="15"/>
      <c r="X1294" s="15"/>
      <c r="Y1294" s="15"/>
      <c r="Z1294" s="15"/>
      <c r="AA1294" s="15"/>
    </row>
    <row r="1295" spans="1:27" s="25" customFormat="1" ht="12" customHeight="1" x14ac:dyDescent="0.2">
      <c r="A1295" s="232"/>
      <c r="B1295" s="250"/>
      <c r="C1295" s="286"/>
      <c r="D1295" s="232"/>
      <c r="E1295" s="232"/>
      <c r="F1295" s="232"/>
      <c r="G1295" s="232"/>
      <c r="H1295" s="232"/>
      <c r="I1295" s="232"/>
      <c r="J1295" s="232"/>
      <c r="K1295" s="232"/>
      <c r="L1295" s="232"/>
      <c r="M1295" s="232"/>
      <c r="N1295" s="232"/>
      <c r="O1295" s="232"/>
      <c r="P1295" s="232"/>
      <c r="Q1295" s="232"/>
      <c r="R1295" s="232"/>
      <c r="S1295" s="232"/>
      <c r="T1295" s="232"/>
      <c r="U1295" s="232"/>
      <c r="V1295" s="15"/>
      <c r="W1295" s="15"/>
      <c r="X1295" s="15"/>
      <c r="Y1295" s="15"/>
      <c r="Z1295" s="15"/>
      <c r="AA1295" s="15"/>
    </row>
    <row r="1296" spans="1:27" s="25" customFormat="1" ht="12" customHeight="1" x14ac:dyDescent="0.2">
      <c r="A1296" s="232"/>
      <c r="B1296" s="250"/>
      <c r="C1296" s="286"/>
      <c r="D1296" s="232"/>
      <c r="E1296" s="232"/>
      <c r="F1296" s="232"/>
      <c r="G1296" s="232"/>
      <c r="H1296" s="232"/>
      <c r="I1296" s="232"/>
      <c r="J1296" s="232"/>
      <c r="K1296" s="232"/>
      <c r="L1296" s="232"/>
      <c r="M1296" s="232"/>
      <c r="N1296" s="232"/>
      <c r="O1296" s="232"/>
      <c r="P1296" s="232"/>
      <c r="Q1296" s="232"/>
      <c r="R1296" s="232"/>
      <c r="S1296" s="232"/>
      <c r="T1296" s="232"/>
      <c r="U1296" s="232"/>
      <c r="V1296" s="15"/>
      <c r="W1296" s="15"/>
      <c r="X1296" s="15"/>
      <c r="Y1296" s="15"/>
      <c r="Z1296" s="15"/>
      <c r="AA1296" s="15"/>
    </row>
    <row r="1297" spans="1:27" s="25" customFormat="1" ht="12" customHeight="1" x14ac:dyDescent="0.2">
      <c r="A1297" s="232"/>
      <c r="B1297" s="250"/>
      <c r="C1297" s="286"/>
      <c r="D1297" s="232"/>
      <c r="E1297" s="232"/>
      <c r="F1297" s="232"/>
      <c r="G1297" s="232"/>
      <c r="H1297" s="232"/>
      <c r="I1297" s="232"/>
      <c r="J1297" s="232"/>
      <c r="K1297" s="232"/>
      <c r="L1297" s="232"/>
      <c r="M1297" s="232"/>
      <c r="N1297" s="232"/>
      <c r="O1297" s="232"/>
      <c r="P1297" s="232"/>
      <c r="Q1297" s="232"/>
      <c r="R1297" s="232"/>
      <c r="S1297" s="232"/>
      <c r="T1297" s="232"/>
      <c r="U1297" s="232"/>
      <c r="V1297" s="15"/>
      <c r="W1297" s="15"/>
      <c r="X1297" s="15"/>
      <c r="Y1297" s="15"/>
      <c r="Z1297" s="15"/>
      <c r="AA1297" s="15"/>
    </row>
    <row r="1298" spans="1:27" s="25" customFormat="1" ht="12" customHeight="1" x14ac:dyDescent="0.2">
      <c r="A1298" s="232"/>
      <c r="B1298" s="250"/>
      <c r="C1298" s="286"/>
      <c r="D1298" s="232"/>
      <c r="E1298" s="232"/>
      <c r="F1298" s="232"/>
      <c r="G1298" s="232"/>
      <c r="H1298" s="232"/>
      <c r="I1298" s="232"/>
      <c r="J1298" s="232"/>
      <c r="K1298" s="232"/>
      <c r="L1298" s="232"/>
      <c r="M1298" s="232"/>
      <c r="N1298" s="232"/>
      <c r="O1298" s="232"/>
      <c r="P1298" s="232"/>
      <c r="Q1298" s="232"/>
      <c r="R1298" s="232"/>
      <c r="S1298" s="232"/>
      <c r="T1298" s="232"/>
      <c r="U1298" s="232"/>
      <c r="V1298" s="15"/>
      <c r="W1298" s="15"/>
      <c r="X1298" s="15"/>
      <c r="Y1298" s="15"/>
      <c r="Z1298" s="15"/>
      <c r="AA1298" s="15"/>
    </row>
    <row r="1299" spans="1:27" s="25" customFormat="1" ht="12" customHeight="1" x14ac:dyDescent="0.2">
      <c r="A1299" s="232"/>
      <c r="B1299" s="250"/>
      <c r="C1299" s="286"/>
      <c r="D1299" s="232"/>
      <c r="E1299" s="232"/>
      <c r="F1299" s="232"/>
      <c r="G1299" s="232"/>
      <c r="H1299" s="232"/>
      <c r="I1299" s="232"/>
      <c r="J1299" s="232"/>
      <c r="K1299" s="232"/>
      <c r="L1299" s="232"/>
      <c r="M1299" s="232"/>
      <c r="N1299" s="232"/>
      <c r="O1299" s="232"/>
      <c r="P1299" s="232"/>
      <c r="Q1299" s="232"/>
      <c r="R1299" s="232"/>
      <c r="S1299" s="232"/>
      <c r="T1299" s="232"/>
      <c r="U1299" s="232"/>
      <c r="V1299" s="15"/>
      <c r="W1299" s="15"/>
      <c r="X1299" s="15"/>
      <c r="Y1299" s="15"/>
      <c r="Z1299" s="15"/>
      <c r="AA1299" s="15"/>
    </row>
    <row r="1300" spans="1:27" s="25" customFormat="1" ht="12" customHeight="1" x14ac:dyDescent="0.2">
      <c r="A1300" s="232"/>
      <c r="B1300" s="250"/>
      <c r="C1300" s="286"/>
      <c r="D1300" s="232"/>
      <c r="E1300" s="232"/>
      <c r="F1300" s="232"/>
      <c r="G1300" s="232"/>
      <c r="H1300" s="232"/>
      <c r="I1300" s="232"/>
      <c r="J1300" s="232"/>
      <c r="K1300" s="232"/>
      <c r="L1300" s="232"/>
      <c r="M1300" s="232"/>
      <c r="N1300" s="232"/>
      <c r="O1300" s="232"/>
      <c r="P1300" s="232"/>
      <c r="Q1300" s="232"/>
      <c r="R1300" s="232"/>
      <c r="S1300" s="232"/>
      <c r="T1300" s="232"/>
      <c r="U1300" s="232"/>
      <c r="V1300" s="15"/>
      <c r="W1300" s="15"/>
      <c r="X1300" s="15"/>
      <c r="Y1300" s="15"/>
      <c r="Z1300" s="15"/>
      <c r="AA1300" s="15"/>
    </row>
    <row r="1301" spans="1:27" s="25" customFormat="1" ht="12" customHeight="1" x14ac:dyDescent="0.2">
      <c r="A1301" s="232"/>
      <c r="B1301" s="250"/>
      <c r="C1301" s="286"/>
      <c r="D1301" s="232"/>
      <c r="E1301" s="232"/>
      <c r="F1301" s="232"/>
      <c r="G1301" s="232"/>
      <c r="H1301" s="232"/>
      <c r="I1301" s="232"/>
      <c r="J1301" s="232"/>
      <c r="K1301" s="232"/>
      <c r="L1301" s="232"/>
      <c r="M1301" s="232"/>
      <c r="N1301" s="232"/>
      <c r="O1301" s="232"/>
      <c r="P1301" s="232"/>
      <c r="Q1301" s="232"/>
      <c r="R1301" s="232"/>
      <c r="S1301" s="232"/>
      <c r="T1301" s="232"/>
      <c r="U1301" s="232"/>
      <c r="V1301" s="15"/>
      <c r="W1301" s="15"/>
      <c r="X1301" s="15"/>
      <c r="Y1301" s="15"/>
      <c r="Z1301" s="15"/>
      <c r="AA1301" s="15"/>
    </row>
    <row r="1302" spans="1:27" s="25" customFormat="1" ht="12" customHeight="1" x14ac:dyDescent="0.2">
      <c r="A1302" s="232"/>
      <c r="B1302" s="250"/>
      <c r="C1302" s="286"/>
      <c r="D1302" s="232"/>
      <c r="E1302" s="232"/>
      <c r="F1302" s="232"/>
      <c r="G1302" s="232"/>
      <c r="H1302" s="232"/>
      <c r="I1302" s="232"/>
      <c r="J1302" s="232"/>
      <c r="K1302" s="232"/>
      <c r="L1302" s="232"/>
      <c r="M1302" s="232"/>
      <c r="N1302" s="232"/>
      <c r="O1302" s="232"/>
      <c r="P1302" s="232"/>
      <c r="Q1302" s="232"/>
      <c r="R1302" s="232"/>
      <c r="S1302" s="232"/>
      <c r="T1302" s="232"/>
      <c r="U1302" s="232"/>
      <c r="V1302" s="15"/>
      <c r="W1302" s="15"/>
      <c r="X1302" s="15"/>
      <c r="Y1302" s="15"/>
      <c r="Z1302" s="15"/>
      <c r="AA1302" s="15"/>
    </row>
    <row r="1303" spans="1:27" s="25" customFormat="1" ht="12" customHeight="1" x14ac:dyDescent="0.2">
      <c r="A1303" s="232"/>
      <c r="B1303" s="250"/>
      <c r="C1303" s="286"/>
      <c r="D1303" s="232"/>
      <c r="E1303" s="232"/>
      <c r="F1303" s="232"/>
      <c r="G1303" s="232"/>
      <c r="H1303" s="232"/>
      <c r="I1303" s="232"/>
      <c r="J1303" s="232"/>
      <c r="K1303" s="232"/>
      <c r="L1303" s="232"/>
      <c r="M1303" s="232"/>
      <c r="N1303" s="232"/>
      <c r="O1303" s="232"/>
      <c r="P1303" s="232"/>
      <c r="Q1303" s="232"/>
      <c r="R1303" s="232"/>
      <c r="S1303" s="232"/>
      <c r="T1303" s="232"/>
      <c r="U1303" s="232"/>
      <c r="V1303" s="15"/>
      <c r="W1303" s="15"/>
      <c r="X1303" s="15"/>
      <c r="Y1303" s="15"/>
      <c r="Z1303" s="15"/>
      <c r="AA1303" s="15"/>
    </row>
    <row r="1304" spans="1:27" s="25" customFormat="1" ht="12" customHeight="1" x14ac:dyDescent="0.2">
      <c r="A1304" s="232"/>
      <c r="B1304" s="250"/>
      <c r="C1304" s="286"/>
      <c r="D1304" s="232"/>
      <c r="E1304" s="232"/>
      <c r="F1304" s="232"/>
      <c r="G1304" s="232"/>
      <c r="H1304" s="232"/>
      <c r="I1304" s="232"/>
      <c r="J1304" s="232"/>
      <c r="K1304" s="232"/>
      <c r="L1304" s="232"/>
      <c r="M1304" s="232"/>
      <c r="N1304" s="232"/>
      <c r="O1304" s="232"/>
      <c r="P1304" s="232"/>
      <c r="Q1304" s="232"/>
      <c r="R1304" s="232"/>
      <c r="S1304" s="232"/>
      <c r="T1304" s="232"/>
      <c r="U1304" s="232"/>
      <c r="V1304" s="15"/>
      <c r="W1304" s="15"/>
      <c r="X1304" s="15"/>
      <c r="Y1304" s="15"/>
      <c r="Z1304" s="15"/>
      <c r="AA1304" s="15"/>
    </row>
    <row r="1305" spans="1:27" s="25" customFormat="1" ht="12" customHeight="1" x14ac:dyDescent="0.2">
      <c r="A1305" s="232"/>
      <c r="B1305" s="250"/>
      <c r="C1305" s="286"/>
      <c r="D1305" s="232"/>
      <c r="E1305" s="232"/>
      <c r="F1305" s="232"/>
      <c r="G1305" s="232"/>
      <c r="H1305" s="232"/>
      <c r="I1305" s="232"/>
      <c r="J1305" s="232"/>
      <c r="K1305" s="232"/>
      <c r="L1305" s="232"/>
      <c r="M1305" s="232"/>
      <c r="N1305" s="232"/>
      <c r="O1305" s="232"/>
      <c r="P1305" s="232"/>
      <c r="Q1305" s="232"/>
      <c r="R1305" s="232"/>
      <c r="S1305" s="232"/>
      <c r="T1305" s="232"/>
      <c r="U1305" s="232"/>
      <c r="V1305" s="15"/>
      <c r="W1305" s="15"/>
      <c r="X1305" s="15"/>
      <c r="Y1305" s="15"/>
      <c r="Z1305" s="15"/>
      <c r="AA1305" s="15"/>
    </row>
    <row r="1306" spans="1:27" s="25" customFormat="1" ht="12" customHeight="1" x14ac:dyDescent="0.2">
      <c r="A1306" s="232"/>
      <c r="B1306" s="250"/>
      <c r="C1306" s="286"/>
      <c r="D1306" s="232"/>
      <c r="E1306" s="232"/>
      <c r="F1306" s="232"/>
      <c r="G1306" s="232"/>
      <c r="H1306" s="232"/>
      <c r="I1306" s="232"/>
      <c r="J1306" s="232"/>
      <c r="K1306" s="232"/>
      <c r="L1306" s="232"/>
      <c r="M1306" s="232"/>
      <c r="N1306" s="232"/>
      <c r="O1306" s="232"/>
      <c r="P1306" s="232"/>
      <c r="Q1306" s="232"/>
      <c r="R1306" s="232"/>
      <c r="S1306" s="232"/>
      <c r="T1306" s="232"/>
      <c r="U1306" s="232"/>
      <c r="V1306" s="15"/>
      <c r="W1306" s="15"/>
      <c r="X1306" s="15"/>
      <c r="Y1306" s="15"/>
      <c r="Z1306" s="15"/>
      <c r="AA1306" s="15"/>
    </row>
    <row r="1307" spans="1:27" s="25" customFormat="1" ht="12" customHeight="1" x14ac:dyDescent="0.2">
      <c r="A1307" s="232"/>
      <c r="B1307" s="250"/>
      <c r="C1307" s="286"/>
      <c r="D1307" s="232"/>
      <c r="E1307" s="232"/>
      <c r="F1307" s="232"/>
      <c r="G1307" s="232"/>
      <c r="H1307" s="232"/>
      <c r="I1307" s="232"/>
      <c r="J1307" s="232"/>
      <c r="K1307" s="232"/>
      <c r="L1307" s="232"/>
      <c r="M1307" s="232"/>
      <c r="N1307" s="232"/>
      <c r="O1307" s="232"/>
      <c r="P1307" s="232"/>
      <c r="Q1307" s="232"/>
      <c r="R1307" s="232"/>
      <c r="S1307" s="232"/>
      <c r="T1307" s="232"/>
      <c r="U1307" s="232"/>
      <c r="V1307" s="15"/>
      <c r="W1307" s="15"/>
      <c r="X1307" s="15"/>
      <c r="Y1307" s="15"/>
      <c r="Z1307" s="15"/>
      <c r="AA1307" s="15"/>
    </row>
    <row r="1308" spans="1:27" s="25" customFormat="1" ht="12" customHeight="1" x14ac:dyDescent="0.2">
      <c r="A1308" s="232"/>
      <c r="B1308" s="250"/>
      <c r="C1308" s="286"/>
      <c r="D1308" s="232"/>
      <c r="E1308" s="232"/>
      <c r="F1308" s="232"/>
      <c r="G1308" s="232"/>
      <c r="H1308" s="232"/>
      <c r="I1308" s="232"/>
      <c r="J1308" s="232"/>
      <c r="K1308" s="232"/>
      <c r="L1308" s="232"/>
      <c r="M1308" s="232"/>
      <c r="N1308" s="232"/>
      <c r="O1308" s="232"/>
      <c r="P1308" s="232"/>
      <c r="Q1308" s="232"/>
      <c r="R1308" s="232"/>
      <c r="S1308" s="232"/>
      <c r="T1308" s="232"/>
      <c r="U1308" s="232"/>
      <c r="V1308" s="15"/>
      <c r="W1308" s="15"/>
      <c r="X1308" s="15"/>
      <c r="Y1308" s="15"/>
      <c r="Z1308" s="15"/>
      <c r="AA1308" s="15"/>
    </row>
    <row r="1309" spans="1:27" s="25" customFormat="1" ht="12" customHeight="1" x14ac:dyDescent="0.2">
      <c r="A1309" s="232"/>
      <c r="B1309" s="250"/>
      <c r="C1309" s="286"/>
      <c r="D1309" s="232"/>
      <c r="E1309" s="232"/>
      <c r="F1309" s="232"/>
      <c r="G1309" s="232"/>
      <c r="H1309" s="232"/>
      <c r="I1309" s="232"/>
      <c r="J1309" s="232"/>
      <c r="K1309" s="232"/>
      <c r="L1309" s="232"/>
      <c r="M1309" s="232"/>
      <c r="N1309" s="232"/>
      <c r="O1309" s="232"/>
      <c r="P1309" s="232"/>
      <c r="Q1309" s="232"/>
      <c r="R1309" s="232"/>
      <c r="S1309" s="232"/>
      <c r="T1309" s="232"/>
      <c r="U1309" s="232"/>
      <c r="V1309" s="15"/>
      <c r="W1309" s="15"/>
      <c r="X1309" s="15"/>
      <c r="Y1309" s="15"/>
      <c r="Z1309" s="15"/>
      <c r="AA1309" s="15"/>
    </row>
    <row r="1310" spans="1:27" s="25" customFormat="1" ht="12" customHeight="1" x14ac:dyDescent="0.2">
      <c r="A1310" s="232"/>
      <c r="B1310" s="250"/>
      <c r="C1310" s="286"/>
      <c r="D1310" s="232"/>
      <c r="E1310" s="232"/>
      <c r="F1310" s="232"/>
      <c r="G1310" s="232"/>
      <c r="H1310" s="232"/>
      <c r="I1310" s="232"/>
      <c r="J1310" s="232"/>
      <c r="K1310" s="232"/>
      <c r="L1310" s="232"/>
      <c r="M1310" s="232"/>
      <c r="N1310" s="232"/>
      <c r="O1310" s="232"/>
      <c r="P1310" s="232"/>
      <c r="Q1310" s="232"/>
      <c r="R1310" s="232"/>
      <c r="S1310" s="232"/>
      <c r="T1310" s="232"/>
      <c r="U1310" s="232"/>
      <c r="V1310" s="15"/>
      <c r="W1310" s="15"/>
      <c r="X1310" s="15"/>
      <c r="Y1310" s="15"/>
      <c r="Z1310" s="15"/>
      <c r="AA1310" s="15"/>
    </row>
    <row r="1311" spans="1:27" s="25" customFormat="1" ht="12" customHeight="1" x14ac:dyDescent="0.2">
      <c r="A1311" s="232"/>
      <c r="B1311" s="250"/>
      <c r="C1311" s="286"/>
      <c r="D1311" s="232"/>
      <c r="E1311" s="232"/>
      <c r="F1311" s="232"/>
      <c r="G1311" s="232"/>
      <c r="H1311" s="232"/>
      <c r="I1311" s="232"/>
      <c r="J1311" s="232"/>
      <c r="K1311" s="232"/>
      <c r="L1311" s="232"/>
      <c r="M1311" s="232"/>
      <c r="N1311" s="232"/>
      <c r="O1311" s="232"/>
      <c r="P1311" s="232"/>
      <c r="Q1311" s="232"/>
      <c r="R1311" s="232"/>
      <c r="S1311" s="232"/>
      <c r="T1311" s="232"/>
      <c r="U1311" s="232"/>
      <c r="V1311" s="15"/>
      <c r="W1311" s="15"/>
      <c r="X1311" s="15"/>
      <c r="Y1311" s="15"/>
      <c r="Z1311" s="15"/>
      <c r="AA1311" s="15"/>
    </row>
    <row r="1312" spans="1:27" s="25" customFormat="1" ht="12" customHeight="1" x14ac:dyDescent="0.2">
      <c r="A1312" s="232"/>
      <c r="B1312" s="250"/>
      <c r="C1312" s="286"/>
      <c r="D1312" s="232"/>
      <c r="E1312" s="232"/>
      <c r="F1312" s="232"/>
      <c r="G1312" s="232"/>
      <c r="H1312" s="232"/>
      <c r="I1312" s="232"/>
      <c r="J1312" s="232"/>
      <c r="K1312" s="232"/>
      <c r="L1312" s="232"/>
      <c r="M1312" s="232"/>
      <c r="N1312" s="232"/>
      <c r="O1312" s="232"/>
      <c r="P1312" s="232"/>
      <c r="Q1312" s="232"/>
      <c r="R1312" s="232"/>
      <c r="S1312" s="232"/>
      <c r="T1312" s="232"/>
      <c r="U1312" s="232"/>
      <c r="V1312" s="15"/>
      <c r="W1312" s="15"/>
      <c r="X1312" s="15"/>
      <c r="Y1312" s="15"/>
      <c r="Z1312" s="15"/>
      <c r="AA1312" s="15"/>
    </row>
    <row r="1313" spans="1:27" s="25" customFormat="1" ht="12" customHeight="1" x14ac:dyDescent="0.2">
      <c r="A1313" s="232"/>
      <c r="B1313" s="250"/>
      <c r="C1313" s="286"/>
      <c r="D1313" s="232"/>
      <c r="E1313" s="232"/>
      <c r="F1313" s="232"/>
      <c r="G1313" s="232"/>
      <c r="H1313" s="232"/>
      <c r="I1313" s="232"/>
      <c r="J1313" s="232"/>
      <c r="K1313" s="232"/>
      <c r="L1313" s="232"/>
      <c r="M1313" s="232"/>
      <c r="N1313" s="232"/>
      <c r="O1313" s="232"/>
      <c r="P1313" s="232"/>
      <c r="Q1313" s="232"/>
      <c r="R1313" s="232"/>
      <c r="S1313" s="232"/>
      <c r="T1313" s="232"/>
      <c r="U1313" s="232"/>
      <c r="V1313" s="15"/>
      <c r="W1313" s="15"/>
      <c r="X1313" s="15"/>
      <c r="Y1313" s="15"/>
      <c r="Z1313" s="15"/>
      <c r="AA1313" s="15"/>
    </row>
    <row r="1314" spans="1:27" s="25" customFormat="1" ht="12" customHeight="1" x14ac:dyDescent="0.2">
      <c r="A1314" s="232"/>
      <c r="B1314" s="250"/>
      <c r="C1314" s="286"/>
      <c r="D1314" s="232"/>
      <c r="E1314" s="232"/>
      <c r="F1314" s="232"/>
      <c r="G1314" s="232"/>
      <c r="H1314" s="232"/>
      <c r="I1314" s="232"/>
      <c r="J1314" s="232"/>
      <c r="K1314" s="232"/>
      <c r="L1314" s="232"/>
      <c r="M1314" s="232"/>
      <c r="N1314" s="232"/>
      <c r="O1314" s="232"/>
      <c r="P1314" s="232"/>
      <c r="Q1314" s="232"/>
      <c r="R1314" s="232"/>
      <c r="S1314" s="232"/>
      <c r="T1314" s="232"/>
      <c r="U1314" s="232"/>
      <c r="V1314" s="15"/>
      <c r="W1314" s="15"/>
      <c r="X1314" s="15"/>
      <c r="Y1314" s="15"/>
      <c r="Z1314" s="15"/>
      <c r="AA1314" s="15"/>
    </row>
    <row r="1315" spans="1:27" s="25" customFormat="1" ht="12" customHeight="1" x14ac:dyDescent="0.2">
      <c r="A1315" s="232"/>
      <c r="B1315" s="250"/>
      <c r="C1315" s="286"/>
      <c r="D1315" s="232"/>
      <c r="E1315" s="232"/>
      <c r="F1315" s="232"/>
      <c r="G1315" s="232"/>
      <c r="H1315" s="232"/>
      <c r="I1315" s="232"/>
      <c r="J1315" s="232"/>
      <c r="K1315" s="232"/>
      <c r="L1315" s="232"/>
      <c r="M1315" s="232"/>
      <c r="N1315" s="232"/>
      <c r="O1315" s="232"/>
      <c r="P1315" s="232"/>
      <c r="Q1315" s="232"/>
      <c r="R1315" s="232"/>
      <c r="S1315" s="232"/>
      <c r="T1315" s="232"/>
      <c r="U1315" s="232"/>
      <c r="V1315" s="15"/>
      <c r="W1315" s="15"/>
      <c r="X1315" s="15"/>
      <c r="Y1315" s="15"/>
      <c r="Z1315" s="15"/>
      <c r="AA1315" s="15"/>
    </row>
    <row r="1316" spans="1:27" s="25" customFormat="1" ht="12" customHeight="1" x14ac:dyDescent="0.2">
      <c r="A1316" s="232"/>
      <c r="B1316" s="250"/>
      <c r="C1316" s="286"/>
      <c r="D1316" s="232"/>
      <c r="E1316" s="232"/>
      <c r="F1316" s="232"/>
      <c r="G1316" s="232"/>
      <c r="H1316" s="232"/>
      <c r="I1316" s="232"/>
      <c r="J1316" s="232"/>
      <c r="K1316" s="232"/>
      <c r="L1316" s="232"/>
      <c r="M1316" s="232"/>
      <c r="N1316" s="232"/>
      <c r="O1316" s="232"/>
      <c r="P1316" s="232"/>
      <c r="Q1316" s="232"/>
      <c r="R1316" s="232"/>
      <c r="S1316" s="232"/>
      <c r="T1316" s="232"/>
      <c r="U1316" s="232"/>
      <c r="V1316" s="15"/>
      <c r="W1316" s="15"/>
      <c r="X1316" s="15"/>
      <c r="Y1316" s="15"/>
      <c r="Z1316" s="15"/>
      <c r="AA1316" s="15"/>
    </row>
    <row r="1317" spans="1:27" s="25" customFormat="1" ht="12" customHeight="1" x14ac:dyDescent="0.2">
      <c r="A1317" s="232"/>
      <c r="B1317" s="250"/>
      <c r="C1317" s="286"/>
      <c r="D1317" s="232"/>
      <c r="E1317" s="232"/>
      <c r="F1317" s="232"/>
      <c r="G1317" s="232"/>
      <c r="H1317" s="232"/>
      <c r="I1317" s="232"/>
      <c r="J1317" s="232"/>
      <c r="K1317" s="232"/>
      <c r="L1317" s="232"/>
      <c r="M1317" s="232"/>
      <c r="N1317" s="232"/>
      <c r="O1317" s="232"/>
      <c r="P1317" s="232"/>
      <c r="Q1317" s="232"/>
      <c r="R1317" s="232"/>
      <c r="S1317" s="232"/>
      <c r="T1317" s="232"/>
      <c r="U1317" s="232"/>
      <c r="V1317" s="15"/>
      <c r="W1317" s="15"/>
      <c r="X1317" s="15"/>
      <c r="Y1317" s="15"/>
      <c r="Z1317" s="15"/>
      <c r="AA1317" s="15"/>
    </row>
    <row r="1318" spans="1:27" s="25" customFormat="1" ht="12" customHeight="1" x14ac:dyDescent="0.2">
      <c r="A1318" s="232"/>
      <c r="B1318" s="250"/>
      <c r="C1318" s="286"/>
      <c r="D1318" s="232"/>
      <c r="E1318" s="232"/>
      <c r="F1318" s="232"/>
      <c r="G1318" s="232"/>
      <c r="H1318" s="232"/>
      <c r="I1318" s="232"/>
      <c r="J1318" s="232"/>
      <c r="K1318" s="232"/>
      <c r="L1318" s="232"/>
      <c r="M1318" s="232"/>
      <c r="N1318" s="232"/>
      <c r="O1318" s="232"/>
      <c r="P1318" s="232"/>
      <c r="Q1318" s="232"/>
      <c r="R1318" s="232"/>
      <c r="S1318" s="232"/>
      <c r="T1318" s="232"/>
      <c r="U1318" s="232"/>
      <c r="V1318" s="15"/>
      <c r="W1318" s="15"/>
      <c r="X1318" s="15"/>
      <c r="Y1318" s="15"/>
      <c r="Z1318" s="15"/>
      <c r="AA1318" s="15"/>
    </row>
    <row r="1319" spans="1:27" s="25" customFormat="1" ht="12" customHeight="1" x14ac:dyDescent="0.2">
      <c r="A1319" s="232"/>
      <c r="B1319" s="250"/>
      <c r="C1319" s="286"/>
      <c r="D1319" s="232"/>
      <c r="E1319" s="232"/>
      <c r="F1319" s="232"/>
      <c r="G1319" s="232"/>
      <c r="H1319" s="232"/>
      <c r="I1319" s="232"/>
      <c r="J1319" s="232"/>
      <c r="K1319" s="232"/>
      <c r="L1319" s="232"/>
      <c r="M1319" s="232"/>
      <c r="N1319" s="232"/>
      <c r="O1319" s="232"/>
      <c r="P1319" s="232"/>
      <c r="Q1319" s="232"/>
      <c r="R1319" s="232"/>
      <c r="S1319" s="232"/>
      <c r="T1319" s="232"/>
      <c r="U1319" s="232"/>
      <c r="V1319" s="15"/>
      <c r="W1319" s="15"/>
      <c r="X1319" s="15"/>
      <c r="Y1319" s="15"/>
      <c r="Z1319" s="15"/>
      <c r="AA1319" s="15"/>
    </row>
    <row r="1320" spans="1:27" s="25" customFormat="1" ht="12" customHeight="1" x14ac:dyDescent="0.2">
      <c r="A1320" s="232"/>
      <c r="B1320" s="250"/>
      <c r="C1320" s="286"/>
      <c r="D1320" s="232"/>
      <c r="E1320" s="232"/>
      <c r="F1320" s="232"/>
      <c r="G1320" s="232"/>
      <c r="H1320" s="232"/>
      <c r="I1320" s="232"/>
      <c r="J1320" s="232"/>
      <c r="K1320" s="232"/>
      <c r="L1320" s="232"/>
      <c r="M1320" s="232"/>
      <c r="N1320" s="232"/>
      <c r="O1320" s="232"/>
      <c r="P1320" s="232"/>
      <c r="Q1320" s="232"/>
      <c r="R1320" s="232"/>
      <c r="S1320" s="232"/>
      <c r="T1320" s="232"/>
      <c r="U1320" s="232"/>
      <c r="V1320" s="15"/>
      <c r="W1320" s="15"/>
      <c r="X1320" s="15"/>
      <c r="Y1320" s="15"/>
      <c r="Z1320" s="15"/>
      <c r="AA1320" s="15"/>
    </row>
    <row r="1321" spans="1:27" s="25" customFormat="1" ht="12" customHeight="1" x14ac:dyDescent="0.2">
      <c r="A1321" s="232"/>
      <c r="B1321" s="250"/>
      <c r="C1321" s="286"/>
      <c r="D1321" s="232"/>
      <c r="E1321" s="232"/>
      <c r="F1321" s="232"/>
      <c r="G1321" s="232"/>
      <c r="H1321" s="232"/>
      <c r="I1321" s="232"/>
      <c r="J1321" s="232"/>
      <c r="K1321" s="232"/>
      <c r="L1321" s="232"/>
      <c r="M1321" s="232"/>
      <c r="N1321" s="232"/>
      <c r="O1321" s="232"/>
      <c r="P1321" s="232"/>
      <c r="Q1321" s="232"/>
      <c r="R1321" s="232"/>
      <c r="S1321" s="232"/>
      <c r="T1321" s="232"/>
      <c r="U1321" s="232"/>
      <c r="V1321" s="15"/>
      <c r="W1321" s="15"/>
      <c r="X1321" s="15"/>
      <c r="Y1321" s="15"/>
      <c r="Z1321" s="15"/>
      <c r="AA1321" s="15"/>
    </row>
    <row r="1322" spans="1:27" s="25" customFormat="1" ht="12" customHeight="1" x14ac:dyDescent="0.2">
      <c r="A1322" s="232"/>
      <c r="B1322" s="250"/>
      <c r="C1322" s="286"/>
      <c r="D1322" s="232"/>
      <c r="E1322" s="232"/>
      <c r="F1322" s="232"/>
      <c r="G1322" s="232"/>
      <c r="H1322" s="232"/>
      <c r="I1322" s="232"/>
      <c r="J1322" s="232"/>
      <c r="K1322" s="232"/>
      <c r="L1322" s="232"/>
      <c r="M1322" s="232"/>
      <c r="N1322" s="232"/>
      <c r="O1322" s="232"/>
      <c r="P1322" s="232"/>
      <c r="Q1322" s="232"/>
      <c r="R1322" s="232"/>
      <c r="S1322" s="232"/>
      <c r="T1322" s="232"/>
      <c r="U1322" s="232"/>
      <c r="V1322" s="15"/>
      <c r="W1322" s="15"/>
      <c r="X1322" s="15"/>
      <c r="Y1322" s="15"/>
      <c r="Z1322" s="15"/>
      <c r="AA1322" s="15"/>
    </row>
    <row r="1323" spans="1:27" s="25" customFormat="1" ht="12" customHeight="1" x14ac:dyDescent="0.2">
      <c r="A1323" s="232"/>
      <c r="B1323" s="250"/>
      <c r="C1323" s="286"/>
      <c r="D1323" s="232"/>
      <c r="E1323" s="232"/>
      <c r="F1323" s="232"/>
      <c r="G1323" s="232"/>
      <c r="H1323" s="232"/>
      <c r="I1323" s="232"/>
      <c r="J1323" s="232"/>
      <c r="K1323" s="232"/>
      <c r="L1323" s="232"/>
      <c r="M1323" s="232"/>
      <c r="N1323" s="232"/>
      <c r="O1323" s="232"/>
      <c r="P1323" s="232"/>
      <c r="Q1323" s="232"/>
      <c r="R1323" s="232"/>
      <c r="S1323" s="232"/>
      <c r="T1323" s="232"/>
      <c r="U1323" s="232"/>
      <c r="V1323" s="15"/>
      <c r="W1323" s="15"/>
      <c r="X1323" s="15"/>
      <c r="Y1323" s="15"/>
      <c r="Z1323" s="15"/>
      <c r="AA1323" s="15"/>
    </row>
    <row r="1324" spans="1:27" s="25" customFormat="1" ht="12" customHeight="1" x14ac:dyDescent="0.2">
      <c r="A1324" s="232"/>
      <c r="B1324" s="250"/>
      <c r="C1324" s="286"/>
      <c r="D1324" s="232"/>
      <c r="E1324" s="232"/>
      <c r="F1324" s="232"/>
      <c r="G1324" s="232"/>
      <c r="H1324" s="232"/>
      <c r="I1324" s="232"/>
      <c r="J1324" s="232"/>
      <c r="K1324" s="232"/>
      <c r="L1324" s="232"/>
      <c r="M1324" s="232"/>
      <c r="N1324" s="232"/>
      <c r="O1324" s="232"/>
      <c r="P1324" s="232"/>
      <c r="Q1324" s="232"/>
      <c r="R1324" s="232"/>
      <c r="S1324" s="232"/>
      <c r="T1324" s="232"/>
      <c r="U1324" s="232"/>
      <c r="V1324" s="15"/>
      <c r="W1324" s="15"/>
      <c r="X1324" s="15"/>
      <c r="Y1324" s="15"/>
      <c r="Z1324" s="15"/>
      <c r="AA1324" s="15"/>
    </row>
    <row r="1325" spans="1:27" s="25" customFormat="1" ht="12" customHeight="1" x14ac:dyDescent="0.2">
      <c r="A1325" s="232"/>
      <c r="B1325" s="250"/>
      <c r="C1325" s="286"/>
      <c r="D1325" s="232"/>
      <c r="E1325" s="232"/>
      <c r="F1325" s="232"/>
      <c r="G1325" s="232"/>
      <c r="H1325" s="232"/>
      <c r="I1325" s="232"/>
      <c r="J1325" s="232"/>
      <c r="K1325" s="232"/>
      <c r="L1325" s="232"/>
      <c r="M1325" s="232"/>
      <c r="N1325" s="232"/>
      <c r="O1325" s="232"/>
      <c r="P1325" s="232"/>
      <c r="Q1325" s="232"/>
      <c r="R1325" s="232"/>
      <c r="S1325" s="232"/>
      <c r="T1325" s="232"/>
      <c r="U1325" s="232"/>
      <c r="V1325" s="15"/>
      <c r="W1325" s="15"/>
      <c r="X1325" s="15"/>
      <c r="Y1325" s="15"/>
      <c r="Z1325" s="15"/>
      <c r="AA1325" s="15"/>
    </row>
    <row r="1326" spans="1:27" s="25" customFormat="1" ht="12" customHeight="1" x14ac:dyDescent="0.2">
      <c r="A1326" s="232"/>
      <c r="B1326" s="250"/>
      <c r="C1326" s="286"/>
      <c r="D1326" s="232"/>
      <c r="E1326" s="232"/>
      <c r="F1326" s="232"/>
      <c r="G1326" s="232"/>
      <c r="H1326" s="232"/>
      <c r="I1326" s="232"/>
      <c r="J1326" s="232"/>
      <c r="K1326" s="232"/>
      <c r="L1326" s="232"/>
      <c r="M1326" s="232"/>
      <c r="N1326" s="232"/>
      <c r="O1326" s="232"/>
      <c r="P1326" s="232"/>
      <c r="Q1326" s="232"/>
      <c r="R1326" s="232"/>
      <c r="S1326" s="232"/>
      <c r="T1326" s="232"/>
      <c r="U1326" s="232"/>
      <c r="V1326" s="15"/>
      <c r="W1326" s="15"/>
      <c r="X1326" s="15"/>
      <c r="Y1326" s="15"/>
      <c r="Z1326" s="15"/>
      <c r="AA1326" s="15"/>
    </row>
    <row r="1327" spans="1:27" s="25" customFormat="1" ht="12" customHeight="1" x14ac:dyDescent="0.2">
      <c r="A1327" s="232"/>
      <c r="B1327" s="250"/>
      <c r="C1327" s="286"/>
      <c r="D1327" s="232"/>
      <c r="E1327" s="232"/>
      <c r="F1327" s="232"/>
      <c r="G1327" s="232"/>
      <c r="H1327" s="232"/>
      <c r="I1327" s="232"/>
      <c r="J1327" s="232"/>
      <c r="K1327" s="232"/>
      <c r="L1327" s="232"/>
      <c r="M1327" s="232"/>
      <c r="N1327" s="232"/>
      <c r="O1327" s="232"/>
      <c r="P1327" s="232"/>
      <c r="Q1327" s="232"/>
      <c r="R1327" s="232"/>
      <c r="S1327" s="232"/>
      <c r="T1327" s="232"/>
      <c r="U1327" s="232"/>
      <c r="V1327" s="15"/>
      <c r="W1327" s="15"/>
      <c r="X1327" s="15"/>
      <c r="Y1327" s="15"/>
      <c r="Z1327" s="15"/>
      <c r="AA1327" s="15"/>
    </row>
    <row r="1328" spans="1:27" s="25" customFormat="1" ht="12" customHeight="1" x14ac:dyDescent="0.2">
      <c r="A1328" s="232"/>
      <c r="B1328" s="250"/>
      <c r="C1328" s="286"/>
      <c r="D1328" s="232"/>
      <c r="E1328" s="232"/>
      <c r="F1328" s="232"/>
      <c r="G1328" s="232"/>
      <c r="H1328" s="232"/>
      <c r="I1328" s="232"/>
      <c r="J1328" s="232"/>
      <c r="K1328" s="232"/>
      <c r="L1328" s="232"/>
      <c r="M1328" s="232"/>
      <c r="N1328" s="232"/>
      <c r="O1328" s="232"/>
      <c r="P1328" s="232"/>
      <c r="Q1328" s="232"/>
      <c r="R1328" s="232"/>
      <c r="S1328" s="232"/>
      <c r="T1328" s="232"/>
      <c r="U1328" s="232"/>
      <c r="V1328" s="15"/>
      <c r="W1328" s="15"/>
      <c r="X1328" s="15"/>
      <c r="Y1328" s="15"/>
      <c r="Z1328" s="15"/>
      <c r="AA1328" s="15"/>
    </row>
    <row r="1329" spans="1:27" s="25" customFormat="1" ht="12" customHeight="1" x14ac:dyDescent="0.2">
      <c r="A1329" s="232"/>
      <c r="B1329" s="250"/>
      <c r="C1329" s="286"/>
      <c r="D1329" s="232"/>
      <c r="E1329" s="232"/>
      <c r="F1329" s="232"/>
      <c r="G1329" s="232"/>
      <c r="H1329" s="232"/>
      <c r="I1329" s="232"/>
      <c r="J1329" s="232"/>
      <c r="K1329" s="232"/>
      <c r="L1329" s="232"/>
      <c r="M1329" s="232"/>
      <c r="N1329" s="232"/>
      <c r="O1329" s="232"/>
      <c r="P1329" s="232"/>
      <c r="Q1329" s="232"/>
      <c r="R1329" s="232"/>
      <c r="S1329" s="232"/>
      <c r="T1329" s="232"/>
      <c r="U1329" s="232"/>
      <c r="V1329" s="15"/>
      <c r="W1329" s="15"/>
      <c r="X1329" s="15"/>
      <c r="Y1329" s="15"/>
      <c r="Z1329" s="15"/>
      <c r="AA1329" s="15"/>
    </row>
    <row r="1330" spans="1:27" s="25" customFormat="1" ht="12" customHeight="1" x14ac:dyDescent="0.2">
      <c r="A1330" s="232"/>
      <c r="B1330" s="250"/>
      <c r="C1330" s="286"/>
      <c r="D1330" s="232"/>
      <c r="E1330" s="232"/>
      <c r="F1330" s="232"/>
      <c r="G1330" s="232"/>
      <c r="H1330" s="232"/>
      <c r="I1330" s="232"/>
      <c r="J1330" s="232"/>
      <c r="K1330" s="232"/>
      <c r="L1330" s="232"/>
      <c r="M1330" s="232"/>
      <c r="N1330" s="232"/>
      <c r="O1330" s="232"/>
      <c r="P1330" s="232"/>
      <c r="Q1330" s="232"/>
      <c r="R1330" s="232"/>
      <c r="S1330" s="232"/>
      <c r="T1330" s="232"/>
      <c r="U1330" s="232"/>
      <c r="V1330" s="15"/>
      <c r="W1330" s="15"/>
      <c r="X1330" s="15"/>
      <c r="Y1330" s="15"/>
      <c r="Z1330" s="15"/>
      <c r="AA1330" s="15"/>
    </row>
    <row r="1331" spans="1:27" s="25" customFormat="1" ht="12" customHeight="1" x14ac:dyDescent="0.2">
      <c r="A1331" s="232"/>
      <c r="B1331" s="250"/>
      <c r="C1331" s="286"/>
      <c r="D1331" s="232"/>
      <c r="E1331" s="232"/>
      <c r="F1331" s="232"/>
      <c r="G1331" s="232"/>
      <c r="H1331" s="232"/>
      <c r="I1331" s="232"/>
      <c r="J1331" s="232"/>
      <c r="K1331" s="232"/>
      <c r="L1331" s="232"/>
      <c r="M1331" s="232"/>
      <c r="N1331" s="232"/>
      <c r="O1331" s="232"/>
      <c r="P1331" s="232"/>
      <c r="Q1331" s="232"/>
      <c r="R1331" s="232"/>
      <c r="S1331" s="232"/>
      <c r="T1331" s="232"/>
      <c r="U1331" s="232"/>
      <c r="V1331" s="15"/>
      <c r="W1331" s="15"/>
      <c r="X1331" s="15"/>
      <c r="Y1331" s="15"/>
      <c r="Z1331" s="15"/>
      <c r="AA1331" s="15"/>
    </row>
    <row r="1332" spans="1:27" s="25" customFormat="1" ht="12" customHeight="1" x14ac:dyDescent="0.2">
      <c r="A1332" s="232"/>
      <c r="B1332" s="250"/>
      <c r="C1332" s="286"/>
      <c r="D1332" s="232"/>
      <c r="E1332" s="232"/>
      <c r="F1332" s="232"/>
      <c r="G1332" s="232"/>
      <c r="H1332" s="232"/>
      <c r="I1332" s="232"/>
      <c r="J1332" s="232"/>
      <c r="K1332" s="232"/>
      <c r="L1332" s="232"/>
      <c r="M1332" s="232"/>
      <c r="N1332" s="232"/>
      <c r="O1332" s="232"/>
      <c r="P1332" s="232"/>
      <c r="Q1332" s="232"/>
      <c r="R1332" s="232"/>
      <c r="S1332" s="232"/>
      <c r="T1332" s="232"/>
      <c r="U1332" s="232"/>
      <c r="V1332" s="15"/>
      <c r="W1332" s="15"/>
      <c r="X1332" s="15"/>
      <c r="Y1332" s="15"/>
      <c r="Z1332" s="15"/>
      <c r="AA1332" s="15"/>
    </row>
    <row r="1333" spans="1:27" s="25" customFormat="1" ht="12" customHeight="1" x14ac:dyDescent="0.2">
      <c r="A1333" s="232"/>
      <c r="B1333" s="250"/>
      <c r="C1333" s="286"/>
      <c r="D1333" s="232"/>
      <c r="E1333" s="232"/>
      <c r="F1333" s="232"/>
      <c r="G1333" s="232"/>
      <c r="H1333" s="232"/>
      <c r="I1333" s="232"/>
      <c r="J1333" s="232"/>
      <c r="K1333" s="232"/>
      <c r="L1333" s="232"/>
      <c r="M1333" s="232"/>
      <c r="N1333" s="232"/>
      <c r="O1333" s="232"/>
      <c r="P1333" s="232"/>
      <c r="Q1333" s="232"/>
      <c r="R1333" s="232"/>
      <c r="S1333" s="232"/>
      <c r="T1333" s="232"/>
      <c r="U1333" s="232"/>
      <c r="V1333" s="15"/>
      <c r="W1333" s="15"/>
      <c r="X1333" s="15"/>
      <c r="Y1333" s="15"/>
      <c r="Z1333" s="15"/>
      <c r="AA1333" s="15"/>
    </row>
    <row r="1334" spans="1:27" s="25" customFormat="1" ht="12" customHeight="1" x14ac:dyDescent="0.2">
      <c r="A1334" s="232"/>
      <c r="B1334" s="250"/>
      <c r="C1334" s="286"/>
      <c r="D1334" s="232"/>
      <c r="E1334" s="232"/>
      <c r="F1334" s="232"/>
      <c r="G1334" s="232"/>
      <c r="H1334" s="232"/>
      <c r="I1334" s="232"/>
      <c r="J1334" s="232"/>
      <c r="K1334" s="232"/>
      <c r="L1334" s="232"/>
      <c r="M1334" s="232"/>
      <c r="N1334" s="232"/>
      <c r="O1334" s="232"/>
      <c r="P1334" s="232"/>
      <c r="Q1334" s="232"/>
      <c r="R1334" s="232"/>
      <c r="S1334" s="232"/>
      <c r="T1334" s="232"/>
      <c r="U1334" s="232"/>
      <c r="V1334" s="15"/>
      <c r="W1334" s="15"/>
      <c r="X1334" s="15"/>
      <c r="Y1334" s="15"/>
      <c r="Z1334" s="15"/>
      <c r="AA1334" s="15"/>
    </row>
    <row r="1335" spans="1:27" s="25" customFormat="1" ht="12" customHeight="1" x14ac:dyDescent="0.2">
      <c r="A1335" s="232"/>
      <c r="B1335" s="250"/>
      <c r="C1335" s="286"/>
      <c r="D1335" s="232"/>
      <c r="E1335" s="232"/>
      <c r="F1335" s="232"/>
      <c r="G1335" s="232"/>
      <c r="H1335" s="232"/>
      <c r="I1335" s="232"/>
      <c r="J1335" s="232"/>
      <c r="K1335" s="232"/>
      <c r="L1335" s="232"/>
      <c r="M1335" s="232"/>
      <c r="N1335" s="232"/>
      <c r="O1335" s="232"/>
      <c r="P1335" s="232"/>
      <c r="Q1335" s="232"/>
      <c r="R1335" s="232"/>
      <c r="S1335" s="232"/>
      <c r="T1335" s="232"/>
      <c r="U1335" s="232"/>
      <c r="V1335" s="15"/>
      <c r="W1335" s="15"/>
      <c r="X1335" s="15"/>
      <c r="Y1335" s="15"/>
      <c r="Z1335" s="15"/>
      <c r="AA1335" s="15"/>
    </row>
    <row r="1336" spans="1:27" s="25" customFormat="1" ht="12" customHeight="1" x14ac:dyDescent="0.2">
      <c r="A1336" s="232"/>
      <c r="B1336" s="250"/>
      <c r="C1336" s="286"/>
      <c r="D1336" s="232"/>
      <c r="E1336" s="232"/>
      <c r="F1336" s="232"/>
      <c r="G1336" s="232"/>
      <c r="H1336" s="232"/>
      <c r="I1336" s="232"/>
      <c r="J1336" s="232"/>
      <c r="K1336" s="232"/>
      <c r="L1336" s="232"/>
      <c r="M1336" s="232"/>
      <c r="N1336" s="232"/>
      <c r="O1336" s="232"/>
      <c r="P1336" s="232"/>
      <c r="Q1336" s="232"/>
      <c r="R1336" s="232"/>
      <c r="S1336" s="232"/>
      <c r="T1336" s="232"/>
      <c r="U1336" s="232"/>
      <c r="V1336" s="15"/>
      <c r="W1336" s="15"/>
      <c r="X1336" s="15"/>
      <c r="Y1336" s="15"/>
      <c r="Z1336" s="15"/>
      <c r="AA1336" s="15"/>
    </row>
    <row r="1337" spans="1:27" s="25" customFormat="1" ht="12" customHeight="1" x14ac:dyDescent="0.2">
      <c r="A1337" s="232"/>
      <c r="B1337" s="250"/>
      <c r="C1337" s="286"/>
      <c r="D1337" s="232"/>
      <c r="E1337" s="232"/>
      <c r="F1337" s="232"/>
      <c r="G1337" s="232"/>
      <c r="H1337" s="232"/>
      <c r="I1337" s="232"/>
      <c r="J1337" s="232"/>
      <c r="K1337" s="232"/>
      <c r="L1337" s="232"/>
      <c r="M1337" s="232"/>
      <c r="N1337" s="232"/>
      <c r="O1337" s="232"/>
      <c r="P1337" s="232"/>
      <c r="Q1337" s="232"/>
      <c r="R1337" s="232"/>
      <c r="S1337" s="232"/>
      <c r="T1337" s="232"/>
      <c r="U1337" s="232"/>
      <c r="V1337" s="15"/>
      <c r="W1337" s="15"/>
      <c r="X1337" s="15"/>
      <c r="Y1337" s="15"/>
      <c r="Z1337" s="15"/>
      <c r="AA1337" s="15"/>
    </row>
    <row r="1338" spans="1:27" s="25" customFormat="1" ht="12" customHeight="1" x14ac:dyDescent="0.2">
      <c r="A1338" s="232"/>
      <c r="B1338" s="250"/>
      <c r="C1338" s="286"/>
      <c r="D1338" s="232"/>
      <c r="E1338" s="232"/>
      <c r="F1338" s="232"/>
      <c r="G1338" s="232"/>
      <c r="H1338" s="232"/>
      <c r="I1338" s="232"/>
      <c r="J1338" s="232"/>
      <c r="K1338" s="232"/>
      <c r="L1338" s="232"/>
      <c r="M1338" s="232"/>
      <c r="N1338" s="232"/>
      <c r="O1338" s="232"/>
      <c r="P1338" s="232"/>
      <c r="Q1338" s="232"/>
      <c r="R1338" s="232"/>
      <c r="S1338" s="232"/>
      <c r="T1338" s="232"/>
      <c r="U1338" s="232"/>
      <c r="V1338" s="15"/>
      <c r="W1338" s="15"/>
      <c r="X1338" s="15"/>
      <c r="Y1338" s="15"/>
      <c r="Z1338" s="15"/>
      <c r="AA1338" s="15"/>
    </row>
    <row r="1339" spans="1:27" s="25" customFormat="1" ht="12" customHeight="1" x14ac:dyDescent="0.2">
      <c r="A1339" s="232"/>
      <c r="B1339" s="250"/>
      <c r="C1339" s="286"/>
      <c r="D1339" s="232"/>
      <c r="E1339" s="232"/>
      <c r="F1339" s="232"/>
      <c r="G1339" s="232"/>
      <c r="H1339" s="232"/>
      <c r="I1339" s="232"/>
      <c r="J1339" s="232"/>
      <c r="K1339" s="232"/>
      <c r="L1339" s="232"/>
      <c r="M1339" s="232"/>
      <c r="N1339" s="232"/>
      <c r="O1339" s="232"/>
      <c r="P1339" s="232"/>
      <c r="Q1339" s="232"/>
      <c r="R1339" s="232"/>
      <c r="S1339" s="232"/>
      <c r="T1339" s="232"/>
      <c r="U1339" s="232"/>
      <c r="V1339" s="15"/>
      <c r="W1339" s="15"/>
      <c r="X1339" s="15"/>
      <c r="Y1339" s="15"/>
      <c r="Z1339" s="15"/>
      <c r="AA1339" s="15"/>
    </row>
    <row r="1340" spans="1:27" s="25" customFormat="1" ht="12" customHeight="1" x14ac:dyDescent="0.2">
      <c r="A1340" s="232"/>
      <c r="B1340" s="250"/>
      <c r="C1340" s="286"/>
      <c r="D1340" s="232"/>
      <c r="E1340" s="232"/>
      <c r="F1340" s="232"/>
      <c r="G1340" s="232"/>
      <c r="H1340" s="232"/>
      <c r="I1340" s="232"/>
      <c r="J1340" s="232"/>
      <c r="K1340" s="232"/>
      <c r="L1340" s="232"/>
      <c r="M1340" s="232"/>
      <c r="N1340" s="232"/>
      <c r="O1340" s="232"/>
      <c r="P1340" s="232"/>
      <c r="Q1340" s="232"/>
      <c r="R1340" s="232"/>
      <c r="S1340" s="232"/>
      <c r="T1340" s="232"/>
      <c r="U1340" s="232"/>
      <c r="V1340" s="15"/>
      <c r="W1340" s="15"/>
      <c r="X1340" s="15"/>
      <c r="Y1340" s="15"/>
      <c r="Z1340" s="15"/>
      <c r="AA1340" s="15"/>
    </row>
    <row r="1341" spans="1:27" s="25" customFormat="1" ht="12" customHeight="1" x14ac:dyDescent="0.2">
      <c r="A1341" s="232"/>
      <c r="B1341" s="250"/>
      <c r="C1341" s="286"/>
      <c r="D1341" s="232"/>
      <c r="E1341" s="232"/>
      <c r="F1341" s="232"/>
      <c r="G1341" s="232"/>
      <c r="H1341" s="232"/>
      <c r="I1341" s="232"/>
      <c r="J1341" s="232"/>
      <c r="K1341" s="232"/>
      <c r="L1341" s="232"/>
      <c r="M1341" s="232"/>
      <c r="N1341" s="232"/>
      <c r="O1341" s="232"/>
      <c r="P1341" s="232"/>
      <c r="Q1341" s="232"/>
      <c r="R1341" s="232"/>
      <c r="S1341" s="232"/>
      <c r="T1341" s="232"/>
      <c r="U1341" s="232"/>
      <c r="V1341" s="15"/>
      <c r="W1341" s="15"/>
      <c r="X1341" s="15"/>
      <c r="Y1341" s="15"/>
      <c r="Z1341" s="15"/>
      <c r="AA1341" s="15"/>
    </row>
    <row r="1342" spans="1:27" s="25" customFormat="1" ht="12" customHeight="1" x14ac:dyDescent="0.2">
      <c r="A1342" s="232"/>
      <c r="B1342" s="250"/>
      <c r="C1342" s="286"/>
      <c r="D1342" s="232"/>
      <c r="E1342" s="232"/>
      <c r="F1342" s="232"/>
      <c r="G1342" s="232"/>
      <c r="H1342" s="232"/>
      <c r="I1342" s="232"/>
      <c r="J1342" s="232"/>
      <c r="K1342" s="232"/>
      <c r="L1342" s="232"/>
      <c r="M1342" s="232"/>
      <c r="N1342" s="232"/>
      <c r="O1342" s="232"/>
      <c r="P1342" s="232"/>
      <c r="Q1342" s="232"/>
      <c r="R1342" s="232"/>
      <c r="S1342" s="232"/>
      <c r="T1342" s="232"/>
      <c r="U1342" s="232"/>
      <c r="V1342" s="15"/>
      <c r="W1342" s="15"/>
      <c r="X1342" s="15"/>
      <c r="Y1342" s="15"/>
      <c r="Z1342" s="15"/>
      <c r="AA1342" s="15"/>
    </row>
    <row r="1343" spans="1:27" s="25" customFormat="1" ht="12" customHeight="1" x14ac:dyDescent="0.2">
      <c r="A1343" s="232"/>
      <c r="B1343" s="250"/>
      <c r="C1343" s="286"/>
      <c r="D1343" s="232"/>
      <c r="E1343" s="232"/>
      <c r="F1343" s="232"/>
      <c r="G1343" s="232"/>
      <c r="H1343" s="232"/>
      <c r="I1343" s="232"/>
      <c r="J1343" s="232"/>
      <c r="K1343" s="232"/>
      <c r="L1343" s="232"/>
      <c r="M1343" s="232"/>
      <c r="N1343" s="232"/>
      <c r="O1343" s="232"/>
      <c r="P1343" s="232"/>
      <c r="Q1343" s="232"/>
      <c r="R1343" s="232"/>
      <c r="S1343" s="232"/>
      <c r="T1343" s="232"/>
      <c r="U1343" s="232"/>
      <c r="V1343" s="15"/>
      <c r="W1343" s="15"/>
      <c r="X1343" s="15"/>
      <c r="Y1343" s="15"/>
      <c r="Z1343" s="15"/>
      <c r="AA1343" s="15"/>
    </row>
    <row r="1344" spans="1:27" s="25" customFormat="1" ht="12" customHeight="1" x14ac:dyDescent="0.2">
      <c r="A1344" s="232"/>
      <c r="B1344" s="250"/>
      <c r="C1344" s="286"/>
      <c r="D1344" s="232"/>
      <c r="E1344" s="232"/>
      <c r="F1344" s="232"/>
      <c r="G1344" s="232"/>
      <c r="H1344" s="232"/>
      <c r="I1344" s="232"/>
      <c r="J1344" s="232"/>
      <c r="K1344" s="232"/>
      <c r="L1344" s="232"/>
      <c r="M1344" s="232"/>
      <c r="N1344" s="232"/>
      <c r="O1344" s="232"/>
      <c r="P1344" s="232"/>
      <c r="Q1344" s="232"/>
      <c r="R1344" s="232"/>
      <c r="S1344" s="232"/>
      <c r="T1344" s="232"/>
      <c r="U1344" s="232"/>
      <c r="V1344" s="15"/>
      <c r="W1344" s="15"/>
      <c r="X1344" s="15"/>
      <c r="Y1344" s="15"/>
      <c r="Z1344" s="15"/>
      <c r="AA1344" s="15"/>
    </row>
    <row r="1345" spans="1:27" s="25" customFormat="1" ht="12" customHeight="1" x14ac:dyDescent="0.2">
      <c r="A1345" s="232"/>
      <c r="B1345" s="250"/>
      <c r="C1345" s="286"/>
      <c r="D1345" s="232"/>
      <c r="E1345" s="232"/>
      <c r="F1345" s="232"/>
      <c r="G1345" s="232"/>
      <c r="H1345" s="232"/>
      <c r="I1345" s="232"/>
      <c r="J1345" s="232"/>
      <c r="K1345" s="232"/>
      <c r="L1345" s="232"/>
      <c r="M1345" s="232"/>
      <c r="N1345" s="232"/>
      <c r="O1345" s="232"/>
      <c r="P1345" s="232"/>
      <c r="Q1345" s="232"/>
      <c r="R1345" s="232"/>
      <c r="S1345" s="232"/>
      <c r="T1345" s="232"/>
      <c r="U1345" s="232"/>
      <c r="V1345" s="15"/>
      <c r="W1345" s="15"/>
      <c r="X1345" s="15"/>
      <c r="Y1345" s="15"/>
      <c r="Z1345" s="15"/>
      <c r="AA1345" s="15"/>
    </row>
    <row r="1346" spans="1:27" s="25" customFormat="1" ht="12" customHeight="1" x14ac:dyDescent="0.2">
      <c r="A1346" s="232"/>
      <c r="B1346" s="250"/>
      <c r="C1346" s="286"/>
      <c r="D1346" s="232"/>
      <c r="E1346" s="232"/>
      <c r="F1346" s="232"/>
      <c r="G1346" s="232"/>
      <c r="H1346" s="232"/>
      <c r="I1346" s="232"/>
      <c r="J1346" s="232"/>
      <c r="K1346" s="232"/>
      <c r="L1346" s="232"/>
      <c r="M1346" s="232"/>
      <c r="N1346" s="232"/>
      <c r="O1346" s="232"/>
      <c r="P1346" s="232"/>
      <c r="Q1346" s="232"/>
      <c r="R1346" s="232"/>
      <c r="S1346" s="232"/>
      <c r="T1346" s="232"/>
      <c r="U1346" s="232"/>
      <c r="V1346" s="15"/>
      <c r="W1346" s="15"/>
      <c r="X1346" s="15"/>
      <c r="Y1346" s="15"/>
      <c r="Z1346" s="15"/>
      <c r="AA1346" s="15"/>
    </row>
    <row r="1347" spans="1:27" s="25" customFormat="1" ht="12" customHeight="1" x14ac:dyDescent="0.2">
      <c r="A1347" s="232"/>
      <c r="B1347" s="250"/>
      <c r="C1347" s="286"/>
      <c r="D1347" s="232"/>
      <c r="E1347" s="232"/>
      <c r="F1347" s="232"/>
      <c r="G1347" s="232"/>
      <c r="H1347" s="232"/>
      <c r="I1347" s="232"/>
      <c r="J1347" s="232"/>
      <c r="K1347" s="232"/>
      <c r="L1347" s="232"/>
      <c r="M1347" s="232"/>
      <c r="N1347" s="232"/>
      <c r="O1347" s="232"/>
      <c r="P1347" s="232"/>
      <c r="Q1347" s="232"/>
      <c r="R1347" s="232"/>
      <c r="S1347" s="232"/>
      <c r="T1347" s="232"/>
      <c r="U1347" s="232"/>
      <c r="V1347" s="15"/>
      <c r="W1347" s="15"/>
      <c r="X1347" s="15"/>
      <c r="Y1347" s="15"/>
      <c r="Z1347" s="15"/>
      <c r="AA1347" s="15"/>
    </row>
    <row r="1348" spans="1:27" s="25" customFormat="1" ht="12" customHeight="1" x14ac:dyDescent="0.2">
      <c r="A1348" s="232"/>
      <c r="B1348" s="250"/>
      <c r="C1348" s="286"/>
      <c r="D1348" s="232"/>
      <c r="E1348" s="232"/>
      <c r="F1348" s="232"/>
      <c r="G1348" s="232"/>
      <c r="H1348" s="232"/>
      <c r="I1348" s="232"/>
      <c r="J1348" s="232"/>
      <c r="K1348" s="232"/>
      <c r="L1348" s="232"/>
      <c r="M1348" s="232"/>
      <c r="N1348" s="232"/>
      <c r="O1348" s="232"/>
      <c r="P1348" s="232"/>
      <c r="Q1348" s="232"/>
      <c r="R1348" s="232"/>
      <c r="S1348" s="232"/>
      <c r="T1348" s="232"/>
      <c r="U1348" s="232"/>
      <c r="V1348" s="15"/>
      <c r="W1348" s="15"/>
      <c r="X1348" s="15"/>
      <c r="Y1348" s="15"/>
      <c r="Z1348" s="15"/>
      <c r="AA1348" s="15"/>
    </row>
    <row r="1349" spans="1:27" s="25" customFormat="1" ht="12" customHeight="1" x14ac:dyDescent="0.2">
      <c r="A1349" s="232"/>
      <c r="B1349" s="250"/>
      <c r="C1349" s="286"/>
      <c r="D1349" s="232"/>
      <c r="E1349" s="232"/>
      <c r="F1349" s="232"/>
      <c r="G1349" s="232"/>
      <c r="H1349" s="232"/>
      <c r="I1349" s="232"/>
      <c r="J1349" s="232"/>
      <c r="K1349" s="232"/>
      <c r="L1349" s="232"/>
      <c r="M1349" s="232"/>
      <c r="N1349" s="232"/>
      <c r="O1349" s="232"/>
      <c r="P1349" s="232"/>
      <c r="Q1349" s="232"/>
      <c r="R1349" s="232"/>
      <c r="S1349" s="232"/>
      <c r="T1349" s="232"/>
      <c r="U1349" s="232"/>
      <c r="V1349" s="15"/>
      <c r="W1349" s="15"/>
      <c r="X1349" s="15"/>
      <c r="Y1349" s="15"/>
      <c r="Z1349" s="15"/>
      <c r="AA1349" s="15"/>
    </row>
    <row r="1350" spans="1:27" s="25" customFormat="1" ht="12" customHeight="1" x14ac:dyDescent="0.2">
      <c r="A1350" s="232"/>
      <c r="B1350" s="250"/>
      <c r="C1350" s="286"/>
      <c r="D1350" s="232"/>
      <c r="E1350" s="232"/>
      <c r="F1350" s="232"/>
      <c r="G1350" s="232"/>
      <c r="H1350" s="232"/>
      <c r="I1350" s="232"/>
      <c r="J1350" s="232"/>
      <c r="K1350" s="232"/>
      <c r="L1350" s="232"/>
      <c r="M1350" s="232"/>
      <c r="N1350" s="232"/>
      <c r="O1350" s="232"/>
      <c r="P1350" s="232"/>
      <c r="Q1350" s="232"/>
      <c r="R1350" s="232"/>
      <c r="S1350" s="232"/>
      <c r="T1350" s="232"/>
      <c r="U1350" s="232"/>
      <c r="V1350" s="15"/>
      <c r="W1350" s="15"/>
      <c r="X1350" s="15"/>
      <c r="Y1350" s="15"/>
      <c r="Z1350" s="15"/>
      <c r="AA1350" s="15"/>
    </row>
    <row r="1351" spans="1:27" s="25" customFormat="1" ht="12" customHeight="1" x14ac:dyDescent="0.2">
      <c r="A1351" s="232"/>
      <c r="B1351" s="250"/>
      <c r="C1351" s="286"/>
      <c r="D1351" s="232"/>
      <c r="E1351" s="232"/>
      <c r="F1351" s="232"/>
      <c r="G1351" s="232"/>
      <c r="H1351" s="232"/>
      <c r="I1351" s="232"/>
      <c r="J1351" s="232"/>
      <c r="K1351" s="232"/>
      <c r="L1351" s="232"/>
      <c r="M1351" s="232"/>
      <c r="N1351" s="232"/>
      <c r="O1351" s="232"/>
      <c r="P1351" s="232"/>
      <c r="Q1351" s="232"/>
      <c r="R1351" s="232"/>
      <c r="S1351" s="232"/>
      <c r="T1351" s="232"/>
      <c r="U1351" s="232"/>
      <c r="V1351" s="15"/>
      <c r="W1351" s="15"/>
      <c r="X1351" s="15"/>
      <c r="Y1351" s="15"/>
      <c r="Z1351" s="15"/>
      <c r="AA1351" s="15"/>
    </row>
    <row r="1352" spans="1:27" s="25" customFormat="1" ht="12" customHeight="1" x14ac:dyDescent="0.2">
      <c r="A1352" s="232"/>
      <c r="B1352" s="250"/>
      <c r="C1352" s="286"/>
      <c r="D1352" s="232"/>
      <c r="E1352" s="232"/>
      <c r="F1352" s="232"/>
      <c r="G1352" s="232"/>
      <c r="H1352" s="232"/>
      <c r="I1352" s="232"/>
      <c r="J1352" s="232"/>
      <c r="K1352" s="232"/>
      <c r="L1352" s="232"/>
      <c r="M1352" s="232"/>
      <c r="N1352" s="232"/>
      <c r="O1352" s="232"/>
      <c r="P1352" s="232"/>
      <c r="Q1352" s="232"/>
      <c r="R1352" s="232"/>
      <c r="S1352" s="232"/>
      <c r="T1352" s="232"/>
      <c r="U1352" s="232"/>
      <c r="V1352" s="15"/>
      <c r="W1352" s="15"/>
      <c r="X1352" s="15"/>
      <c r="Y1352" s="15"/>
      <c r="Z1352" s="15"/>
      <c r="AA1352" s="15"/>
    </row>
    <row r="1353" spans="1:27" s="25" customFormat="1" ht="12" customHeight="1" x14ac:dyDescent="0.2">
      <c r="A1353" s="232"/>
      <c r="B1353" s="250"/>
      <c r="C1353" s="286"/>
      <c r="D1353" s="232"/>
      <c r="E1353" s="232"/>
      <c r="F1353" s="232"/>
      <c r="G1353" s="232"/>
      <c r="H1353" s="232"/>
      <c r="I1353" s="232"/>
      <c r="J1353" s="232"/>
      <c r="K1353" s="232"/>
      <c r="L1353" s="232"/>
      <c r="M1353" s="232"/>
      <c r="N1353" s="232"/>
      <c r="O1353" s="232"/>
      <c r="P1353" s="232"/>
      <c r="Q1353" s="232"/>
      <c r="R1353" s="232"/>
      <c r="S1353" s="232"/>
      <c r="T1353" s="232"/>
      <c r="U1353" s="232"/>
      <c r="V1353" s="15"/>
      <c r="W1353" s="15"/>
      <c r="X1353" s="15"/>
      <c r="Y1353" s="15"/>
      <c r="Z1353" s="15"/>
      <c r="AA1353" s="15"/>
    </row>
    <row r="1354" spans="1:27" s="25" customFormat="1" ht="12" customHeight="1" x14ac:dyDescent="0.2">
      <c r="A1354" s="232"/>
      <c r="B1354" s="250"/>
      <c r="C1354" s="286"/>
      <c r="D1354" s="232"/>
      <c r="E1354" s="232"/>
      <c r="F1354" s="232"/>
      <c r="G1354" s="232"/>
      <c r="H1354" s="232"/>
      <c r="I1354" s="232"/>
      <c r="J1354" s="232"/>
      <c r="K1354" s="232"/>
      <c r="L1354" s="232"/>
      <c r="M1354" s="232"/>
      <c r="N1354" s="232"/>
      <c r="O1354" s="232"/>
      <c r="P1354" s="232"/>
      <c r="Q1354" s="232"/>
      <c r="R1354" s="232"/>
      <c r="S1354" s="232"/>
      <c r="T1354" s="232"/>
      <c r="U1354" s="232"/>
      <c r="V1354" s="15"/>
      <c r="W1354" s="15"/>
      <c r="X1354" s="15"/>
      <c r="Y1354" s="15"/>
      <c r="Z1354" s="15"/>
      <c r="AA1354" s="15"/>
    </row>
    <row r="1355" spans="1:27" s="25" customFormat="1" ht="12" customHeight="1" x14ac:dyDescent="0.2">
      <c r="A1355" s="232"/>
      <c r="B1355" s="250"/>
      <c r="C1355" s="286"/>
      <c r="D1355" s="232"/>
      <c r="E1355" s="232"/>
      <c r="F1355" s="232"/>
      <c r="G1355" s="232"/>
      <c r="H1355" s="232"/>
      <c r="I1355" s="232"/>
      <c r="J1355" s="232"/>
      <c r="K1355" s="232"/>
      <c r="L1355" s="232"/>
      <c r="M1355" s="232"/>
      <c r="N1355" s="232"/>
      <c r="O1355" s="232"/>
      <c r="P1355" s="232"/>
      <c r="Q1355" s="232"/>
      <c r="R1355" s="232"/>
      <c r="S1355" s="232"/>
      <c r="T1355" s="232"/>
      <c r="U1355" s="232"/>
      <c r="V1355" s="15"/>
      <c r="W1355" s="15"/>
      <c r="X1355" s="15"/>
      <c r="Y1355" s="15"/>
      <c r="Z1355" s="15"/>
      <c r="AA1355" s="15"/>
    </row>
    <row r="1356" spans="1:27" s="25" customFormat="1" ht="12" customHeight="1" x14ac:dyDescent="0.2">
      <c r="A1356" s="232"/>
      <c r="B1356" s="250"/>
      <c r="C1356" s="286"/>
      <c r="D1356" s="232"/>
      <c r="E1356" s="232"/>
      <c r="F1356" s="232"/>
      <c r="G1356" s="232"/>
      <c r="H1356" s="232"/>
      <c r="I1356" s="232"/>
      <c r="J1356" s="232"/>
      <c r="K1356" s="232"/>
      <c r="L1356" s="232"/>
      <c r="M1356" s="232"/>
      <c r="N1356" s="232"/>
      <c r="O1356" s="232"/>
      <c r="P1356" s="232"/>
      <c r="Q1356" s="232"/>
      <c r="R1356" s="232"/>
      <c r="S1356" s="232"/>
      <c r="T1356" s="232"/>
      <c r="U1356" s="232"/>
      <c r="V1356" s="15"/>
      <c r="W1356" s="15"/>
      <c r="X1356" s="15"/>
      <c r="Y1356" s="15"/>
      <c r="Z1356" s="15"/>
      <c r="AA1356" s="15"/>
    </row>
    <row r="1357" spans="1:27" s="25" customFormat="1" ht="12" customHeight="1" x14ac:dyDescent="0.2">
      <c r="A1357" s="232"/>
      <c r="B1357" s="250"/>
      <c r="C1357" s="286"/>
      <c r="D1357" s="232"/>
      <c r="E1357" s="232"/>
      <c r="F1357" s="232"/>
      <c r="G1357" s="232"/>
      <c r="H1357" s="232"/>
      <c r="I1357" s="232"/>
      <c r="J1357" s="232"/>
      <c r="K1357" s="232"/>
      <c r="L1357" s="232"/>
      <c r="M1357" s="232"/>
      <c r="N1357" s="232"/>
      <c r="O1357" s="232"/>
      <c r="P1357" s="232"/>
      <c r="Q1357" s="232"/>
      <c r="R1357" s="232"/>
      <c r="S1357" s="232"/>
      <c r="T1357" s="232"/>
      <c r="U1357" s="232"/>
      <c r="V1357" s="15"/>
      <c r="W1357" s="15"/>
      <c r="X1357" s="15"/>
      <c r="Y1357" s="15"/>
      <c r="Z1357" s="15"/>
      <c r="AA1357" s="15"/>
    </row>
    <row r="1358" spans="1:27" s="25" customFormat="1" ht="12" customHeight="1" x14ac:dyDescent="0.2">
      <c r="A1358" s="232"/>
      <c r="B1358" s="250"/>
      <c r="C1358" s="286"/>
      <c r="D1358" s="232"/>
      <c r="E1358" s="232"/>
      <c r="F1358" s="232"/>
      <c r="G1358" s="232"/>
      <c r="H1358" s="232"/>
      <c r="I1358" s="232"/>
      <c r="J1358" s="232"/>
      <c r="K1358" s="232"/>
      <c r="L1358" s="232"/>
      <c r="M1358" s="232"/>
      <c r="N1358" s="232"/>
      <c r="O1358" s="232"/>
      <c r="P1358" s="232"/>
      <c r="Q1358" s="232"/>
      <c r="R1358" s="232"/>
      <c r="S1358" s="232"/>
      <c r="T1358" s="232"/>
      <c r="U1358" s="232"/>
      <c r="V1358" s="15"/>
      <c r="W1358" s="15"/>
      <c r="X1358" s="15"/>
      <c r="Y1358" s="15"/>
      <c r="Z1358" s="15"/>
      <c r="AA1358" s="15"/>
    </row>
    <row r="1359" spans="1:27" s="25" customFormat="1" ht="12" customHeight="1" x14ac:dyDescent="0.2">
      <c r="A1359" s="232"/>
      <c r="B1359" s="250"/>
      <c r="C1359" s="286"/>
      <c r="D1359" s="232"/>
      <c r="E1359" s="232"/>
      <c r="F1359" s="232"/>
      <c r="G1359" s="232"/>
      <c r="H1359" s="232"/>
      <c r="I1359" s="232"/>
      <c r="J1359" s="232"/>
      <c r="K1359" s="232"/>
      <c r="L1359" s="232"/>
      <c r="M1359" s="232"/>
      <c r="N1359" s="232"/>
      <c r="O1359" s="232"/>
      <c r="P1359" s="232"/>
      <c r="Q1359" s="232"/>
      <c r="R1359" s="232"/>
      <c r="S1359" s="232"/>
      <c r="T1359" s="232"/>
      <c r="U1359" s="232"/>
      <c r="V1359" s="15"/>
      <c r="W1359" s="15"/>
      <c r="X1359" s="15"/>
      <c r="Y1359" s="15"/>
      <c r="Z1359" s="15"/>
      <c r="AA1359" s="15"/>
    </row>
    <row r="1360" spans="1:27" s="25" customFormat="1" ht="12" customHeight="1" x14ac:dyDescent="0.2">
      <c r="A1360" s="232"/>
      <c r="B1360" s="250"/>
      <c r="C1360" s="286"/>
      <c r="D1360" s="232"/>
      <c r="E1360" s="232"/>
      <c r="F1360" s="232"/>
      <c r="G1360" s="232"/>
      <c r="H1360" s="232"/>
      <c r="I1360" s="232"/>
      <c r="J1360" s="232"/>
      <c r="K1360" s="232"/>
      <c r="L1360" s="232"/>
      <c r="M1360" s="232"/>
      <c r="N1360" s="232"/>
      <c r="O1360" s="232"/>
      <c r="P1360" s="232"/>
      <c r="Q1360" s="232"/>
      <c r="R1360" s="232"/>
      <c r="S1360" s="232"/>
      <c r="T1360" s="232"/>
      <c r="U1360" s="232"/>
      <c r="V1360" s="15"/>
      <c r="W1360" s="15"/>
      <c r="X1360" s="15"/>
      <c r="Y1360" s="15"/>
      <c r="Z1360" s="15"/>
      <c r="AA1360" s="15"/>
    </row>
    <row r="1361" spans="1:27" s="25" customFormat="1" ht="12" customHeight="1" x14ac:dyDescent="0.2">
      <c r="A1361" s="232"/>
      <c r="B1361" s="250"/>
      <c r="C1361" s="286"/>
      <c r="D1361" s="232"/>
      <c r="E1361" s="232"/>
      <c r="F1361" s="232"/>
      <c r="G1361" s="232"/>
      <c r="H1361" s="232"/>
      <c r="I1361" s="232"/>
      <c r="J1361" s="232"/>
      <c r="K1361" s="232"/>
      <c r="L1361" s="232"/>
      <c r="M1361" s="232"/>
      <c r="N1361" s="232"/>
      <c r="O1361" s="232"/>
      <c r="P1361" s="232"/>
      <c r="Q1361" s="232"/>
      <c r="R1361" s="232"/>
      <c r="S1361" s="232"/>
      <c r="T1361" s="232"/>
      <c r="U1361" s="232"/>
      <c r="V1361" s="15"/>
      <c r="W1361" s="15"/>
      <c r="X1361" s="15"/>
      <c r="Y1361" s="15"/>
      <c r="Z1361" s="15"/>
      <c r="AA1361" s="15"/>
    </row>
    <row r="1362" spans="1:27" s="25" customFormat="1" ht="12" customHeight="1" x14ac:dyDescent="0.2">
      <c r="A1362" s="232"/>
      <c r="B1362" s="250"/>
      <c r="C1362" s="286"/>
      <c r="D1362" s="232"/>
      <c r="E1362" s="232"/>
      <c r="F1362" s="232"/>
      <c r="G1362" s="232"/>
      <c r="H1362" s="232"/>
      <c r="I1362" s="232"/>
      <c r="J1362" s="232"/>
      <c r="K1362" s="232"/>
      <c r="L1362" s="232"/>
      <c r="M1362" s="232"/>
      <c r="N1362" s="232"/>
      <c r="O1362" s="232"/>
      <c r="P1362" s="232"/>
      <c r="Q1362" s="232"/>
      <c r="R1362" s="232"/>
      <c r="S1362" s="232"/>
      <c r="T1362" s="232"/>
      <c r="U1362" s="232"/>
      <c r="V1362" s="15"/>
      <c r="W1362" s="15"/>
      <c r="X1362" s="15"/>
      <c r="Y1362" s="15"/>
      <c r="Z1362" s="15"/>
      <c r="AA1362" s="15"/>
    </row>
    <row r="1363" spans="1:27" s="25" customFormat="1" ht="12" customHeight="1" x14ac:dyDescent="0.2">
      <c r="A1363" s="232"/>
      <c r="B1363" s="250"/>
      <c r="C1363" s="286"/>
      <c r="D1363" s="232"/>
      <c r="E1363" s="232"/>
      <c r="F1363" s="232"/>
      <c r="G1363" s="232"/>
      <c r="H1363" s="232"/>
      <c r="I1363" s="232"/>
      <c r="J1363" s="232"/>
      <c r="K1363" s="232"/>
      <c r="L1363" s="232"/>
      <c r="M1363" s="232"/>
      <c r="N1363" s="232"/>
      <c r="O1363" s="232"/>
      <c r="P1363" s="232"/>
      <c r="Q1363" s="232"/>
      <c r="R1363" s="232"/>
      <c r="S1363" s="232"/>
      <c r="T1363" s="232"/>
      <c r="U1363" s="232"/>
      <c r="V1363" s="15"/>
      <c r="W1363" s="15"/>
      <c r="X1363" s="15"/>
      <c r="Y1363" s="15"/>
      <c r="Z1363" s="15"/>
      <c r="AA1363" s="15"/>
    </row>
    <row r="1364" spans="1:27" s="25" customFormat="1" ht="12" customHeight="1" x14ac:dyDescent="0.2">
      <c r="A1364" s="232"/>
      <c r="B1364" s="250"/>
      <c r="C1364" s="286"/>
      <c r="D1364" s="232"/>
      <c r="E1364" s="232"/>
      <c r="F1364" s="232"/>
      <c r="G1364" s="232"/>
      <c r="H1364" s="232"/>
      <c r="I1364" s="232"/>
      <c r="J1364" s="232"/>
      <c r="K1364" s="232"/>
      <c r="L1364" s="232"/>
      <c r="M1364" s="232"/>
      <c r="N1364" s="232"/>
      <c r="O1364" s="232"/>
      <c r="P1364" s="232"/>
      <c r="Q1364" s="232"/>
      <c r="R1364" s="232"/>
      <c r="S1364" s="232"/>
      <c r="T1364" s="232"/>
      <c r="U1364" s="232"/>
      <c r="V1364" s="15"/>
      <c r="W1364" s="15"/>
      <c r="X1364" s="15"/>
      <c r="Y1364" s="15"/>
      <c r="Z1364" s="15"/>
      <c r="AA1364" s="15"/>
    </row>
    <row r="1365" spans="1:27" s="25" customFormat="1" ht="12" customHeight="1" x14ac:dyDescent="0.2">
      <c r="A1365" s="232"/>
      <c r="B1365" s="250"/>
      <c r="C1365" s="286"/>
      <c r="D1365" s="232"/>
      <c r="E1365" s="232"/>
      <c r="F1365" s="232"/>
      <c r="G1365" s="232"/>
      <c r="H1365" s="232"/>
      <c r="I1365" s="232"/>
      <c r="J1365" s="232"/>
      <c r="K1365" s="232"/>
      <c r="L1365" s="232"/>
      <c r="M1365" s="232"/>
      <c r="N1365" s="232"/>
      <c r="O1365" s="232"/>
      <c r="P1365" s="232"/>
      <c r="Q1365" s="232"/>
      <c r="R1365" s="232"/>
      <c r="S1365" s="232"/>
      <c r="T1365" s="232"/>
      <c r="U1365" s="232"/>
      <c r="V1365" s="15"/>
      <c r="W1365" s="15"/>
      <c r="X1365" s="15"/>
      <c r="Y1365" s="15"/>
      <c r="Z1365" s="15"/>
      <c r="AA1365" s="15"/>
    </row>
    <row r="1366" spans="1:27" s="25" customFormat="1" ht="12" customHeight="1" x14ac:dyDescent="0.2">
      <c r="A1366" s="232"/>
      <c r="B1366" s="250"/>
      <c r="C1366" s="286"/>
      <c r="D1366" s="232"/>
      <c r="E1366" s="232"/>
      <c r="F1366" s="232"/>
      <c r="G1366" s="232"/>
      <c r="H1366" s="232"/>
      <c r="I1366" s="232"/>
      <c r="J1366" s="232"/>
      <c r="K1366" s="232"/>
      <c r="L1366" s="232"/>
      <c r="M1366" s="232"/>
      <c r="N1366" s="232"/>
      <c r="O1366" s="232"/>
      <c r="P1366" s="232"/>
      <c r="Q1366" s="232"/>
      <c r="R1366" s="232"/>
      <c r="S1366" s="232"/>
      <c r="T1366" s="232"/>
      <c r="U1366" s="232"/>
      <c r="V1366" s="15"/>
      <c r="W1366" s="15"/>
      <c r="X1366" s="15"/>
      <c r="Y1366" s="15"/>
      <c r="Z1366" s="15"/>
      <c r="AA1366" s="15"/>
    </row>
    <row r="1367" spans="1:27" s="25" customFormat="1" ht="12" customHeight="1" x14ac:dyDescent="0.2">
      <c r="A1367" s="232"/>
      <c r="B1367" s="250"/>
      <c r="C1367" s="286"/>
      <c r="D1367" s="232"/>
      <c r="E1367" s="232"/>
      <c r="F1367" s="232"/>
      <c r="G1367" s="232"/>
      <c r="H1367" s="232"/>
      <c r="I1367" s="232"/>
      <c r="J1367" s="232"/>
      <c r="K1367" s="232"/>
      <c r="L1367" s="232"/>
      <c r="M1367" s="232"/>
      <c r="N1367" s="232"/>
      <c r="O1367" s="232"/>
      <c r="P1367" s="232"/>
      <c r="Q1367" s="232"/>
      <c r="R1367" s="232"/>
      <c r="S1367" s="232"/>
      <c r="T1367" s="232"/>
      <c r="U1367" s="232"/>
      <c r="V1367" s="15"/>
      <c r="W1367" s="15"/>
      <c r="X1367" s="15"/>
      <c r="Y1367" s="15"/>
      <c r="Z1367" s="15"/>
      <c r="AA1367" s="15"/>
    </row>
    <row r="1368" spans="1:27" s="25" customFormat="1" ht="12" customHeight="1" x14ac:dyDescent="0.2">
      <c r="A1368" s="232"/>
      <c r="B1368" s="250"/>
      <c r="C1368" s="286"/>
      <c r="D1368" s="232"/>
      <c r="E1368" s="232"/>
      <c r="F1368" s="232"/>
      <c r="G1368" s="232"/>
      <c r="H1368" s="232"/>
      <c r="I1368" s="232"/>
      <c r="J1368" s="232"/>
      <c r="K1368" s="232"/>
      <c r="L1368" s="232"/>
      <c r="M1368" s="232"/>
      <c r="N1368" s="232"/>
      <c r="O1368" s="232"/>
      <c r="P1368" s="232"/>
      <c r="Q1368" s="232"/>
      <c r="R1368" s="232"/>
      <c r="S1368" s="232"/>
      <c r="T1368" s="232"/>
      <c r="U1368" s="232"/>
      <c r="V1368" s="15"/>
      <c r="W1368" s="15"/>
      <c r="X1368" s="15"/>
      <c r="Y1368" s="15"/>
      <c r="Z1368" s="15"/>
      <c r="AA1368" s="15"/>
    </row>
    <row r="1369" spans="1:27" s="25" customFormat="1" ht="12" customHeight="1" x14ac:dyDescent="0.2">
      <c r="A1369" s="232"/>
      <c r="B1369" s="250"/>
      <c r="C1369" s="286"/>
      <c r="D1369" s="232"/>
      <c r="E1369" s="232"/>
      <c r="F1369" s="232"/>
      <c r="G1369" s="232"/>
      <c r="H1369" s="232"/>
      <c r="I1369" s="232"/>
      <c r="J1369" s="232"/>
      <c r="K1369" s="232"/>
      <c r="L1369" s="232"/>
      <c r="M1369" s="232"/>
      <c r="N1369" s="232"/>
      <c r="O1369" s="232"/>
      <c r="P1369" s="232"/>
      <c r="Q1369" s="232"/>
      <c r="R1369" s="232"/>
      <c r="S1369" s="232"/>
      <c r="T1369" s="232"/>
      <c r="U1369" s="232"/>
      <c r="V1369" s="15"/>
      <c r="W1369" s="15"/>
      <c r="X1369" s="15"/>
      <c r="Y1369" s="15"/>
      <c r="Z1369" s="15"/>
      <c r="AA1369" s="15"/>
    </row>
    <row r="1370" spans="1:27" s="25" customFormat="1" ht="12" customHeight="1" x14ac:dyDescent="0.2">
      <c r="A1370" s="232"/>
      <c r="B1370" s="250"/>
      <c r="C1370" s="286"/>
      <c r="D1370" s="232"/>
      <c r="E1370" s="232"/>
      <c r="F1370" s="232"/>
      <c r="G1370" s="232"/>
      <c r="H1370" s="232"/>
      <c r="I1370" s="232"/>
      <c r="J1370" s="232"/>
      <c r="K1370" s="232"/>
      <c r="L1370" s="232"/>
      <c r="M1370" s="232"/>
      <c r="N1370" s="232"/>
      <c r="O1370" s="232"/>
      <c r="P1370" s="232"/>
      <c r="Q1370" s="232"/>
      <c r="R1370" s="232"/>
      <c r="S1370" s="232"/>
      <c r="T1370" s="232"/>
      <c r="U1370" s="232"/>
      <c r="V1370" s="15"/>
      <c r="W1370" s="15"/>
      <c r="X1370" s="15"/>
      <c r="Y1370" s="15"/>
      <c r="Z1370" s="15"/>
      <c r="AA1370" s="15"/>
    </row>
    <row r="1371" spans="1:27" s="25" customFormat="1" ht="12" customHeight="1" x14ac:dyDescent="0.2">
      <c r="A1371" s="232"/>
      <c r="B1371" s="250"/>
      <c r="C1371" s="286"/>
      <c r="D1371" s="232"/>
      <c r="E1371" s="232"/>
      <c r="F1371" s="232"/>
      <c r="G1371" s="232"/>
      <c r="H1371" s="232"/>
      <c r="I1371" s="232"/>
      <c r="J1371" s="232"/>
      <c r="K1371" s="232"/>
      <c r="L1371" s="232"/>
      <c r="M1371" s="232"/>
      <c r="N1371" s="232"/>
      <c r="O1371" s="232"/>
      <c r="P1371" s="232"/>
      <c r="Q1371" s="232"/>
      <c r="R1371" s="232"/>
      <c r="S1371" s="232"/>
      <c r="T1371" s="232"/>
      <c r="U1371" s="232"/>
      <c r="V1371" s="15"/>
      <c r="W1371" s="15"/>
      <c r="X1371" s="15"/>
      <c r="Y1371" s="15"/>
      <c r="Z1371" s="15"/>
      <c r="AA1371" s="15"/>
    </row>
    <row r="1372" spans="1:27" s="25" customFormat="1" ht="12" customHeight="1" x14ac:dyDescent="0.2">
      <c r="A1372" s="232"/>
      <c r="B1372" s="250"/>
      <c r="C1372" s="286"/>
      <c r="D1372" s="232"/>
      <c r="E1372" s="232"/>
      <c r="F1372" s="232"/>
      <c r="G1372" s="232"/>
      <c r="H1372" s="232"/>
      <c r="I1372" s="232"/>
      <c r="J1372" s="232"/>
      <c r="K1372" s="232"/>
      <c r="L1372" s="232"/>
      <c r="M1372" s="232"/>
      <c r="N1372" s="232"/>
      <c r="O1372" s="232"/>
      <c r="P1372" s="232"/>
      <c r="Q1372" s="232"/>
      <c r="R1372" s="232"/>
      <c r="S1372" s="232"/>
      <c r="T1372" s="232"/>
      <c r="U1372" s="232"/>
      <c r="V1372" s="15"/>
      <c r="W1372" s="15"/>
      <c r="X1372" s="15"/>
      <c r="Y1372" s="15"/>
      <c r="Z1372" s="15"/>
      <c r="AA1372" s="15"/>
    </row>
    <row r="1373" spans="1:27" s="25" customFormat="1" ht="12" customHeight="1" x14ac:dyDescent="0.2">
      <c r="A1373" s="232"/>
      <c r="B1373" s="250"/>
      <c r="C1373" s="286"/>
      <c r="D1373" s="232"/>
      <c r="E1373" s="232"/>
      <c r="F1373" s="232"/>
      <c r="G1373" s="232"/>
      <c r="H1373" s="232"/>
      <c r="I1373" s="232"/>
      <c r="J1373" s="232"/>
      <c r="K1373" s="232"/>
      <c r="L1373" s="232"/>
      <c r="M1373" s="232"/>
      <c r="N1373" s="232"/>
      <c r="O1373" s="232"/>
      <c r="P1373" s="232"/>
      <c r="Q1373" s="232"/>
      <c r="R1373" s="232"/>
      <c r="S1373" s="232"/>
      <c r="T1373" s="232"/>
      <c r="U1373" s="232"/>
      <c r="V1373" s="15"/>
      <c r="W1373" s="15"/>
      <c r="X1373" s="15"/>
      <c r="Y1373" s="15"/>
      <c r="Z1373" s="15"/>
      <c r="AA1373" s="15"/>
    </row>
    <row r="1374" spans="1:27" s="25" customFormat="1" ht="12" customHeight="1" x14ac:dyDescent="0.2">
      <c r="A1374" s="232"/>
      <c r="B1374" s="250"/>
      <c r="C1374" s="286"/>
      <c r="D1374" s="232"/>
      <c r="E1374" s="232"/>
      <c r="F1374" s="232"/>
      <c r="G1374" s="232"/>
      <c r="H1374" s="232"/>
      <c r="I1374" s="232"/>
      <c r="J1374" s="232"/>
      <c r="K1374" s="232"/>
      <c r="L1374" s="232"/>
      <c r="M1374" s="232"/>
      <c r="N1374" s="232"/>
      <c r="O1374" s="232"/>
      <c r="P1374" s="232"/>
      <c r="Q1374" s="232"/>
      <c r="R1374" s="232"/>
      <c r="S1374" s="232"/>
      <c r="T1374" s="232"/>
      <c r="U1374" s="232"/>
      <c r="V1374" s="15"/>
      <c r="W1374" s="15"/>
      <c r="X1374" s="15"/>
      <c r="Y1374" s="15"/>
      <c r="Z1374" s="15"/>
      <c r="AA1374" s="15"/>
    </row>
    <row r="1375" spans="1:27" s="25" customFormat="1" ht="12" customHeight="1" x14ac:dyDescent="0.2">
      <c r="A1375" s="232"/>
      <c r="B1375" s="250"/>
      <c r="C1375" s="286"/>
      <c r="D1375" s="232"/>
      <c r="E1375" s="232"/>
      <c r="F1375" s="232"/>
      <c r="G1375" s="232"/>
      <c r="H1375" s="232"/>
      <c r="I1375" s="232"/>
      <c r="J1375" s="232"/>
      <c r="K1375" s="232"/>
      <c r="L1375" s="232"/>
      <c r="M1375" s="232"/>
      <c r="N1375" s="232"/>
      <c r="O1375" s="232"/>
      <c r="P1375" s="232"/>
      <c r="Q1375" s="232"/>
      <c r="R1375" s="232"/>
      <c r="S1375" s="232"/>
      <c r="T1375" s="232"/>
      <c r="U1375" s="232"/>
      <c r="V1375" s="15"/>
      <c r="W1375" s="15"/>
      <c r="X1375" s="15"/>
      <c r="Y1375" s="15"/>
      <c r="Z1375" s="15"/>
      <c r="AA1375" s="15"/>
    </row>
    <row r="1376" spans="1:27" s="25" customFormat="1" ht="12" customHeight="1" x14ac:dyDescent="0.2">
      <c r="A1376" s="232"/>
      <c r="B1376" s="250"/>
      <c r="C1376" s="286"/>
      <c r="D1376" s="232"/>
      <c r="E1376" s="232"/>
      <c r="F1376" s="232"/>
      <c r="G1376" s="232"/>
      <c r="H1376" s="232"/>
      <c r="I1376" s="232"/>
      <c r="J1376" s="232"/>
      <c r="K1376" s="232"/>
      <c r="L1376" s="232"/>
      <c r="M1376" s="232"/>
      <c r="N1376" s="232"/>
      <c r="O1376" s="232"/>
      <c r="P1376" s="232"/>
      <c r="Q1376" s="232"/>
      <c r="R1376" s="232"/>
      <c r="S1376" s="232"/>
      <c r="T1376" s="232"/>
      <c r="U1376" s="232"/>
      <c r="V1376" s="15"/>
      <c r="W1376" s="15"/>
      <c r="X1376" s="15"/>
      <c r="Y1376" s="15"/>
      <c r="Z1376" s="15"/>
      <c r="AA1376" s="15"/>
    </row>
    <row r="1377" spans="1:27" s="25" customFormat="1" ht="12" customHeight="1" x14ac:dyDescent="0.2">
      <c r="A1377" s="232"/>
      <c r="B1377" s="250"/>
      <c r="C1377" s="286"/>
      <c r="D1377" s="232"/>
      <c r="E1377" s="232"/>
      <c r="F1377" s="232"/>
      <c r="G1377" s="232"/>
      <c r="H1377" s="232"/>
      <c r="I1377" s="232"/>
      <c r="J1377" s="232"/>
      <c r="K1377" s="232"/>
      <c r="L1377" s="232"/>
      <c r="M1377" s="232"/>
      <c r="N1377" s="232"/>
      <c r="O1377" s="232"/>
      <c r="P1377" s="232"/>
      <c r="Q1377" s="232"/>
      <c r="R1377" s="232"/>
      <c r="S1377" s="232"/>
      <c r="T1377" s="232"/>
      <c r="U1377" s="232"/>
      <c r="V1377" s="15"/>
      <c r="W1377" s="15"/>
      <c r="X1377" s="15"/>
      <c r="Y1377" s="15"/>
      <c r="Z1377" s="15"/>
      <c r="AA1377" s="15"/>
    </row>
    <row r="1378" spans="1:27" s="25" customFormat="1" ht="12" customHeight="1" x14ac:dyDescent="0.2">
      <c r="A1378" s="232"/>
      <c r="B1378" s="250"/>
      <c r="C1378" s="286"/>
      <c r="D1378" s="232"/>
      <c r="E1378" s="232"/>
      <c r="F1378" s="232"/>
      <c r="G1378" s="232"/>
      <c r="H1378" s="232"/>
      <c r="I1378" s="232"/>
      <c r="J1378" s="232"/>
      <c r="K1378" s="232"/>
      <c r="L1378" s="232"/>
      <c r="M1378" s="232"/>
      <c r="N1378" s="232"/>
      <c r="O1378" s="232"/>
      <c r="P1378" s="232"/>
      <c r="Q1378" s="232"/>
      <c r="R1378" s="232"/>
      <c r="S1378" s="232"/>
      <c r="T1378" s="232"/>
      <c r="U1378" s="232"/>
      <c r="V1378" s="15"/>
      <c r="W1378" s="15"/>
      <c r="X1378" s="15"/>
      <c r="Y1378" s="15"/>
      <c r="Z1378" s="15"/>
      <c r="AA1378" s="15"/>
    </row>
    <row r="1379" spans="1:27" s="25" customFormat="1" ht="12" customHeight="1" x14ac:dyDescent="0.2">
      <c r="A1379" s="232"/>
      <c r="B1379" s="250"/>
      <c r="C1379" s="286"/>
      <c r="D1379" s="232"/>
      <c r="E1379" s="232"/>
      <c r="F1379" s="232"/>
      <c r="G1379" s="232"/>
      <c r="H1379" s="232"/>
      <c r="I1379" s="232"/>
      <c r="J1379" s="232"/>
      <c r="K1379" s="232"/>
      <c r="L1379" s="232"/>
      <c r="M1379" s="232"/>
      <c r="N1379" s="232"/>
      <c r="O1379" s="232"/>
      <c r="P1379" s="232"/>
      <c r="Q1379" s="232"/>
      <c r="R1379" s="232"/>
      <c r="S1379" s="232"/>
      <c r="T1379" s="232"/>
      <c r="U1379" s="232"/>
      <c r="V1379" s="15"/>
      <c r="W1379" s="15"/>
      <c r="X1379" s="15"/>
      <c r="Y1379" s="15"/>
      <c r="Z1379" s="15"/>
      <c r="AA1379" s="15"/>
    </row>
    <row r="1380" spans="1:27" s="25" customFormat="1" ht="12" customHeight="1" x14ac:dyDescent="0.2">
      <c r="A1380" s="232"/>
      <c r="B1380" s="250"/>
      <c r="C1380" s="286"/>
      <c r="D1380" s="232"/>
      <c r="E1380" s="232"/>
      <c r="F1380" s="232"/>
      <c r="G1380" s="232"/>
      <c r="H1380" s="232"/>
      <c r="I1380" s="232"/>
      <c r="J1380" s="232"/>
      <c r="K1380" s="232"/>
      <c r="L1380" s="232"/>
      <c r="M1380" s="232"/>
      <c r="N1380" s="232"/>
      <c r="O1380" s="232"/>
      <c r="P1380" s="232"/>
      <c r="Q1380" s="232"/>
      <c r="R1380" s="232"/>
      <c r="S1380" s="232"/>
      <c r="T1380" s="232"/>
      <c r="U1380" s="232"/>
      <c r="V1380" s="15"/>
      <c r="W1380" s="15"/>
      <c r="X1380" s="15"/>
      <c r="Y1380" s="15"/>
      <c r="Z1380" s="15"/>
      <c r="AA1380" s="15"/>
    </row>
    <row r="1381" spans="1:27" s="25" customFormat="1" ht="12" customHeight="1" x14ac:dyDescent="0.2">
      <c r="A1381" s="232"/>
      <c r="B1381" s="250"/>
      <c r="C1381" s="286"/>
      <c r="D1381" s="232"/>
      <c r="E1381" s="232"/>
      <c r="F1381" s="232"/>
      <c r="G1381" s="232"/>
      <c r="H1381" s="232"/>
      <c r="I1381" s="232"/>
      <c r="J1381" s="232"/>
      <c r="K1381" s="232"/>
      <c r="L1381" s="232"/>
      <c r="M1381" s="232"/>
      <c r="N1381" s="232"/>
      <c r="O1381" s="232"/>
      <c r="P1381" s="232"/>
      <c r="Q1381" s="232"/>
      <c r="R1381" s="232"/>
      <c r="S1381" s="232"/>
      <c r="T1381" s="232"/>
      <c r="U1381" s="232"/>
      <c r="V1381" s="15"/>
      <c r="W1381" s="15"/>
      <c r="X1381" s="15"/>
      <c r="Y1381" s="15"/>
      <c r="Z1381" s="15"/>
      <c r="AA1381" s="15"/>
    </row>
    <row r="1382" spans="1:27" s="25" customFormat="1" ht="12" customHeight="1" x14ac:dyDescent="0.2">
      <c r="A1382" s="232"/>
      <c r="B1382" s="250"/>
      <c r="C1382" s="286"/>
      <c r="D1382" s="232"/>
      <c r="E1382" s="232"/>
      <c r="F1382" s="232"/>
      <c r="G1382" s="232"/>
      <c r="H1382" s="232"/>
      <c r="I1382" s="232"/>
      <c r="J1382" s="232"/>
      <c r="K1382" s="232"/>
      <c r="L1382" s="232"/>
      <c r="M1382" s="232"/>
      <c r="N1382" s="232"/>
      <c r="O1382" s="232"/>
      <c r="P1382" s="232"/>
      <c r="Q1382" s="232"/>
      <c r="R1382" s="232"/>
      <c r="S1382" s="232"/>
      <c r="T1382" s="232"/>
      <c r="U1382" s="232"/>
      <c r="V1382" s="15"/>
      <c r="W1382" s="15"/>
      <c r="X1382" s="15"/>
      <c r="Y1382" s="15"/>
      <c r="Z1382" s="15"/>
      <c r="AA1382" s="15"/>
    </row>
    <row r="1383" spans="1:27" s="25" customFormat="1" ht="12" customHeight="1" x14ac:dyDescent="0.2">
      <c r="A1383" s="232"/>
      <c r="B1383" s="250"/>
      <c r="C1383" s="286"/>
      <c r="D1383" s="232"/>
      <c r="E1383" s="232"/>
      <c r="F1383" s="232"/>
      <c r="G1383" s="232"/>
      <c r="H1383" s="232"/>
      <c r="I1383" s="232"/>
      <c r="J1383" s="232"/>
      <c r="K1383" s="232"/>
      <c r="L1383" s="232"/>
      <c r="M1383" s="232"/>
      <c r="N1383" s="232"/>
      <c r="O1383" s="232"/>
      <c r="P1383" s="232"/>
      <c r="Q1383" s="232"/>
      <c r="R1383" s="232"/>
      <c r="S1383" s="232"/>
      <c r="T1383" s="232"/>
      <c r="U1383" s="232"/>
      <c r="V1383" s="15"/>
      <c r="W1383" s="15"/>
      <c r="X1383" s="15"/>
      <c r="Y1383" s="15"/>
      <c r="Z1383" s="15"/>
      <c r="AA1383" s="15"/>
    </row>
    <row r="1384" spans="1:27" s="25" customFormat="1" ht="12" customHeight="1" x14ac:dyDescent="0.2">
      <c r="A1384" s="232"/>
      <c r="B1384" s="250"/>
      <c r="C1384" s="286"/>
      <c r="D1384" s="232"/>
      <c r="E1384" s="232"/>
      <c r="F1384" s="232"/>
      <c r="G1384" s="232"/>
      <c r="H1384" s="232"/>
      <c r="I1384" s="232"/>
      <c r="J1384" s="232"/>
      <c r="K1384" s="232"/>
      <c r="L1384" s="232"/>
      <c r="M1384" s="232"/>
      <c r="N1384" s="232"/>
      <c r="O1384" s="232"/>
      <c r="P1384" s="232"/>
      <c r="Q1384" s="232"/>
      <c r="R1384" s="232"/>
      <c r="S1384" s="232"/>
      <c r="T1384" s="232"/>
      <c r="U1384" s="232"/>
      <c r="V1384" s="15"/>
      <c r="W1384" s="15"/>
      <c r="X1384" s="15"/>
      <c r="Y1384" s="15"/>
      <c r="Z1384" s="15"/>
      <c r="AA1384" s="15"/>
    </row>
    <row r="1385" spans="1:27" s="25" customFormat="1" ht="12" customHeight="1" x14ac:dyDescent="0.2">
      <c r="A1385" s="232"/>
      <c r="B1385" s="250"/>
      <c r="C1385" s="286"/>
      <c r="D1385" s="232"/>
      <c r="E1385" s="232"/>
      <c r="F1385" s="232"/>
      <c r="G1385" s="232"/>
      <c r="H1385" s="232"/>
      <c r="I1385" s="232"/>
      <c r="J1385" s="232"/>
      <c r="K1385" s="232"/>
      <c r="L1385" s="232"/>
      <c r="M1385" s="232"/>
      <c r="N1385" s="232"/>
      <c r="O1385" s="232"/>
      <c r="P1385" s="232"/>
      <c r="Q1385" s="232"/>
      <c r="R1385" s="232"/>
      <c r="S1385" s="232"/>
      <c r="T1385" s="232"/>
      <c r="U1385" s="232"/>
      <c r="V1385" s="15"/>
      <c r="W1385" s="15"/>
      <c r="X1385" s="15"/>
      <c r="Y1385" s="15"/>
      <c r="Z1385" s="15"/>
      <c r="AA1385" s="15"/>
    </row>
    <row r="1386" spans="1:27" s="25" customFormat="1" ht="12" customHeight="1" x14ac:dyDescent="0.2">
      <c r="A1386" s="232"/>
      <c r="B1386" s="250"/>
      <c r="C1386" s="286"/>
      <c r="D1386" s="232"/>
      <c r="E1386" s="232"/>
      <c r="F1386" s="232"/>
      <c r="G1386" s="232"/>
      <c r="H1386" s="232"/>
      <c r="I1386" s="232"/>
      <c r="J1386" s="232"/>
      <c r="K1386" s="232"/>
      <c r="L1386" s="232"/>
      <c r="M1386" s="232"/>
      <c r="N1386" s="232"/>
      <c r="O1386" s="232"/>
      <c r="P1386" s="232"/>
      <c r="Q1386" s="232"/>
      <c r="R1386" s="232"/>
      <c r="S1386" s="232"/>
      <c r="T1386" s="232"/>
      <c r="U1386" s="232"/>
      <c r="V1386" s="15"/>
      <c r="W1386" s="15"/>
      <c r="X1386" s="15"/>
      <c r="Y1386" s="15"/>
      <c r="Z1386" s="15"/>
      <c r="AA1386" s="15"/>
    </row>
    <row r="1387" spans="1:27" s="25" customFormat="1" ht="12" customHeight="1" x14ac:dyDescent="0.2">
      <c r="A1387" s="232"/>
      <c r="B1387" s="250"/>
      <c r="C1387" s="286"/>
      <c r="D1387" s="232"/>
      <c r="E1387" s="232"/>
      <c r="F1387" s="232"/>
      <c r="G1387" s="232"/>
      <c r="H1387" s="232"/>
      <c r="I1387" s="232"/>
      <c r="J1387" s="232"/>
      <c r="K1387" s="232"/>
      <c r="L1387" s="232"/>
      <c r="M1387" s="232"/>
      <c r="N1387" s="232"/>
      <c r="O1387" s="232"/>
      <c r="P1387" s="232"/>
      <c r="Q1387" s="232"/>
      <c r="R1387" s="232"/>
      <c r="S1387" s="232"/>
      <c r="T1387" s="232"/>
      <c r="U1387" s="232"/>
      <c r="V1387" s="15"/>
      <c r="W1387" s="15"/>
      <c r="X1387" s="15"/>
      <c r="Y1387" s="15"/>
      <c r="Z1387" s="15"/>
      <c r="AA1387" s="15"/>
    </row>
    <row r="1388" spans="1:27" s="25" customFormat="1" ht="12" customHeight="1" x14ac:dyDescent="0.2">
      <c r="A1388" s="232"/>
      <c r="B1388" s="250"/>
      <c r="C1388" s="286"/>
      <c r="D1388" s="232"/>
      <c r="E1388" s="232"/>
      <c r="F1388" s="232"/>
      <c r="G1388" s="232"/>
      <c r="H1388" s="232"/>
      <c r="I1388" s="232"/>
      <c r="J1388" s="232"/>
      <c r="K1388" s="232"/>
      <c r="L1388" s="232"/>
      <c r="M1388" s="232"/>
      <c r="N1388" s="232"/>
      <c r="O1388" s="232"/>
      <c r="P1388" s="232"/>
      <c r="Q1388" s="232"/>
      <c r="R1388" s="232"/>
      <c r="S1388" s="232"/>
      <c r="T1388" s="232"/>
      <c r="U1388" s="232"/>
      <c r="V1388" s="15"/>
      <c r="W1388" s="15"/>
      <c r="X1388" s="15"/>
      <c r="Y1388" s="15"/>
      <c r="Z1388" s="15"/>
      <c r="AA1388" s="15"/>
    </row>
    <row r="1389" spans="1:27" s="25" customFormat="1" ht="12" customHeight="1" x14ac:dyDescent="0.2">
      <c r="A1389" s="232"/>
      <c r="B1389" s="250"/>
      <c r="C1389" s="286"/>
      <c r="D1389" s="232"/>
      <c r="E1389" s="232"/>
      <c r="F1389" s="232"/>
      <c r="G1389" s="232"/>
      <c r="H1389" s="232"/>
      <c r="I1389" s="232"/>
      <c r="J1389" s="232"/>
      <c r="K1389" s="232"/>
      <c r="L1389" s="232"/>
      <c r="M1389" s="232"/>
      <c r="N1389" s="232"/>
      <c r="O1389" s="232"/>
      <c r="P1389" s="232"/>
      <c r="Q1389" s="232"/>
      <c r="R1389" s="232"/>
      <c r="S1389" s="232"/>
      <c r="T1389" s="232"/>
      <c r="U1389" s="232"/>
      <c r="V1389" s="15"/>
      <c r="W1389" s="15"/>
      <c r="X1389" s="15"/>
      <c r="Y1389" s="15"/>
      <c r="Z1389" s="15"/>
      <c r="AA1389" s="15"/>
    </row>
    <row r="1390" spans="1:27" s="25" customFormat="1" ht="12" customHeight="1" x14ac:dyDescent="0.2">
      <c r="A1390" s="232"/>
      <c r="B1390" s="250"/>
      <c r="C1390" s="286"/>
      <c r="D1390" s="232"/>
      <c r="E1390" s="232"/>
      <c r="F1390" s="232"/>
      <c r="G1390" s="232"/>
      <c r="H1390" s="232"/>
      <c r="I1390" s="232"/>
      <c r="J1390" s="232"/>
      <c r="K1390" s="232"/>
      <c r="L1390" s="232"/>
      <c r="M1390" s="232"/>
      <c r="N1390" s="232"/>
      <c r="O1390" s="232"/>
      <c r="P1390" s="232"/>
      <c r="Q1390" s="232"/>
      <c r="R1390" s="232"/>
      <c r="S1390" s="232"/>
      <c r="T1390" s="232"/>
      <c r="U1390" s="232"/>
      <c r="V1390" s="15"/>
      <c r="W1390" s="15"/>
      <c r="X1390" s="15"/>
      <c r="Y1390" s="15"/>
      <c r="Z1390" s="15"/>
      <c r="AA1390" s="15"/>
    </row>
    <row r="1391" spans="1:27" s="25" customFormat="1" ht="12" customHeight="1" x14ac:dyDescent="0.2">
      <c r="A1391" s="232"/>
      <c r="B1391" s="250"/>
      <c r="C1391" s="286"/>
      <c r="D1391" s="232"/>
      <c r="E1391" s="232"/>
      <c r="F1391" s="232"/>
      <c r="G1391" s="232"/>
      <c r="H1391" s="232"/>
      <c r="I1391" s="232"/>
      <c r="J1391" s="232"/>
      <c r="K1391" s="232"/>
      <c r="L1391" s="232"/>
      <c r="M1391" s="232"/>
      <c r="N1391" s="232"/>
      <c r="O1391" s="232"/>
      <c r="P1391" s="232"/>
      <c r="Q1391" s="232"/>
      <c r="R1391" s="232"/>
      <c r="S1391" s="232"/>
      <c r="T1391" s="232"/>
      <c r="U1391" s="232"/>
      <c r="V1391" s="15"/>
      <c r="W1391" s="15"/>
      <c r="X1391" s="15"/>
      <c r="Y1391" s="15"/>
      <c r="Z1391" s="15"/>
      <c r="AA1391" s="15"/>
    </row>
    <row r="1392" spans="1:27" s="25" customFormat="1" ht="12" customHeight="1" x14ac:dyDescent="0.2">
      <c r="A1392" s="232"/>
      <c r="B1392" s="250"/>
      <c r="C1392" s="286"/>
      <c r="D1392" s="232"/>
      <c r="E1392" s="232"/>
      <c r="F1392" s="232"/>
      <c r="G1392" s="232"/>
      <c r="H1392" s="232"/>
      <c r="I1392" s="232"/>
      <c r="J1392" s="232"/>
      <c r="K1392" s="232"/>
      <c r="L1392" s="232"/>
      <c r="M1392" s="232"/>
      <c r="N1392" s="232"/>
      <c r="O1392" s="232"/>
      <c r="P1392" s="232"/>
      <c r="Q1392" s="232"/>
      <c r="R1392" s="232"/>
      <c r="S1392" s="232"/>
      <c r="T1392" s="232"/>
      <c r="U1392" s="232"/>
      <c r="V1392" s="15"/>
      <c r="W1392" s="15"/>
      <c r="X1392" s="15"/>
      <c r="Y1392" s="15"/>
      <c r="Z1392" s="15"/>
      <c r="AA1392" s="15"/>
    </row>
    <row r="1393" spans="1:27" s="25" customFormat="1" ht="12" customHeight="1" x14ac:dyDescent="0.2">
      <c r="A1393" s="232"/>
      <c r="B1393" s="250"/>
      <c r="C1393" s="286"/>
      <c r="D1393" s="232"/>
      <c r="E1393" s="232"/>
      <c r="F1393" s="232"/>
      <c r="G1393" s="232"/>
      <c r="H1393" s="232"/>
      <c r="I1393" s="232"/>
      <c r="J1393" s="232"/>
      <c r="K1393" s="232"/>
      <c r="L1393" s="232"/>
      <c r="M1393" s="232"/>
      <c r="N1393" s="232"/>
      <c r="O1393" s="232"/>
      <c r="P1393" s="232"/>
      <c r="Q1393" s="232"/>
      <c r="R1393" s="232"/>
      <c r="S1393" s="232"/>
      <c r="T1393" s="232"/>
      <c r="U1393" s="232"/>
      <c r="V1393" s="15"/>
      <c r="W1393" s="15"/>
      <c r="X1393" s="15"/>
      <c r="Y1393" s="15"/>
      <c r="Z1393" s="15"/>
      <c r="AA1393" s="15"/>
    </row>
    <row r="1394" spans="1:27" s="25" customFormat="1" ht="12" customHeight="1" x14ac:dyDescent="0.2">
      <c r="A1394" s="232"/>
      <c r="B1394" s="250"/>
      <c r="C1394" s="286"/>
      <c r="D1394" s="232"/>
      <c r="E1394" s="232"/>
      <c r="F1394" s="232"/>
      <c r="G1394" s="232"/>
      <c r="H1394" s="232"/>
      <c r="I1394" s="232"/>
      <c r="J1394" s="232"/>
      <c r="K1394" s="232"/>
      <c r="L1394" s="232"/>
      <c r="M1394" s="232"/>
      <c r="N1394" s="232"/>
      <c r="O1394" s="232"/>
      <c r="P1394" s="232"/>
      <c r="Q1394" s="232"/>
      <c r="R1394" s="232"/>
      <c r="S1394" s="232"/>
      <c r="T1394" s="232"/>
      <c r="U1394" s="232"/>
      <c r="V1394" s="15"/>
      <c r="W1394" s="15"/>
      <c r="X1394" s="15"/>
      <c r="Y1394" s="15"/>
      <c r="Z1394" s="15"/>
      <c r="AA1394" s="15"/>
    </row>
    <row r="1395" spans="1:27" s="25" customFormat="1" ht="12" customHeight="1" x14ac:dyDescent="0.2">
      <c r="A1395" s="232"/>
      <c r="B1395" s="250"/>
      <c r="C1395" s="286"/>
      <c r="D1395" s="232"/>
      <c r="E1395" s="232"/>
      <c r="F1395" s="232"/>
      <c r="G1395" s="232"/>
      <c r="H1395" s="232"/>
      <c r="I1395" s="232"/>
      <c r="J1395" s="232"/>
      <c r="K1395" s="232"/>
      <c r="L1395" s="232"/>
      <c r="M1395" s="232"/>
      <c r="N1395" s="232"/>
      <c r="O1395" s="232"/>
      <c r="P1395" s="232"/>
      <c r="Q1395" s="232"/>
      <c r="R1395" s="232"/>
      <c r="S1395" s="232"/>
      <c r="T1395" s="232"/>
      <c r="U1395" s="232"/>
      <c r="V1395" s="15"/>
      <c r="W1395" s="15"/>
      <c r="X1395" s="15"/>
      <c r="Y1395" s="15"/>
      <c r="Z1395" s="15"/>
      <c r="AA1395" s="15"/>
    </row>
    <row r="1396" spans="1:27" s="25" customFormat="1" ht="12" customHeight="1" x14ac:dyDescent="0.2">
      <c r="A1396" s="232"/>
      <c r="B1396" s="250"/>
      <c r="C1396" s="286"/>
      <c r="D1396" s="232"/>
      <c r="E1396" s="232"/>
      <c r="F1396" s="232"/>
      <c r="G1396" s="232"/>
      <c r="H1396" s="232"/>
      <c r="I1396" s="232"/>
      <c r="J1396" s="232"/>
      <c r="K1396" s="232"/>
      <c r="L1396" s="232"/>
      <c r="M1396" s="232"/>
      <c r="N1396" s="232"/>
      <c r="O1396" s="232"/>
      <c r="P1396" s="232"/>
      <c r="Q1396" s="232"/>
      <c r="R1396" s="232"/>
      <c r="S1396" s="232"/>
      <c r="T1396" s="232"/>
      <c r="U1396" s="232"/>
      <c r="V1396" s="15"/>
      <c r="W1396" s="15"/>
      <c r="X1396" s="15"/>
      <c r="Y1396" s="15"/>
      <c r="Z1396" s="15"/>
      <c r="AA1396" s="15"/>
    </row>
    <row r="1397" spans="1:27" s="25" customFormat="1" ht="12" customHeight="1" x14ac:dyDescent="0.2">
      <c r="A1397" s="232"/>
      <c r="B1397" s="250"/>
      <c r="C1397" s="286"/>
      <c r="D1397" s="232"/>
      <c r="E1397" s="232"/>
      <c r="F1397" s="232"/>
      <c r="G1397" s="232"/>
      <c r="H1397" s="232"/>
      <c r="I1397" s="232"/>
      <c r="J1397" s="232"/>
      <c r="K1397" s="232"/>
      <c r="L1397" s="232"/>
      <c r="M1397" s="232"/>
      <c r="N1397" s="232"/>
      <c r="O1397" s="232"/>
      <c r="P1397" s="232"/>
      <c r="Q1397" s="232"/>
      <c r="R1397" s="232"/>
      <c r="S1397" s="232"/>
      <c r="T1397" s="232"/>
      <c r="U1397" s="232"/>
      <c r="V1397" s="15"/>
      <c r="W1397" s="15"/>
      <c r="X1397" s="15"/>
      <c r="Y1397" s="15"/>
      <c r="Z1397" s="15"/>
      <c r="AA1397" s="15"/>
    </row>
    <row r="1398" spans="1:27" s="25" customFormat="1" ht="12" customHeight="1" x14ac:dyDescent="0.2">
      <c r="A1398" s="232"/>
      <c r="B1398" s="250"/>
      <c r="C1398" s="286"/>
      <c r="D1398" s="232"/>
      <c r="E1398" s="232"/>
      <c r="F1398" s="232"/>
      <c r="G1398" s="232"/>
      <c r="H1398" s="232"/>
      <c r="I1398" s="232"/>
      <c r="J1398" s="232"/>
      <c r="K1398" s="232"/>
      <c r="L1398" s="232"/>
      <c r="M1398" s="232"/>
      <c r="N1398" s="232"/>
      <c r="O1398" s="232"/>
      <c r="P1398" s="232"/>
      <c r="Q1398" s="232"/>
      <c r="R1398" s="232"/>
      <c r="S1398" s="232"/>
      <c r="T1398" s="232"/>
      <c r="U1398" s="232"/>
      <c r="V1398" s="15"/>
      <c r="W1398" s="15"/>
      <c r="X1398" s="15"/>
      <c r="Y1398" s="15"/>
      <c r="Z1398" s="15"/>
      <c r="AA1398" s="15"/>
    </row>
    <row r="1399" spans="1:27" s="25" customFormat="1" ht="12" customHeight="1" x14ac:dyDescent="0.2">
      <c r="A1399" s="232"/>
      <c r="B1399" s="250"/>
      <c r="C1399" s="286"/>
      <c r="D1399" s="232"/>
      <c r="E1399" s="232"/>
      <c r="F1399" s="232"/>
      <c r="G1399" s="232"/>
      <c r="H1399" s="232"/>
      <c r="I1399" s="232"/>
      <c r="J1399" s="232"/>
      <c r="K1399" s="232"/>
      <c r="L1399" s="232"/>
      <c r="M1399" s="232"/>
      <c r="N1399" s="232"/>
      <c r="O1399" s="232"/>
      <c r="P1399" s="232"/>
      <c r="Q1399" s="232"/>
      <c r="R1399" s="232"/>
      <c r="S1399" s="232"/>
      <c r="T1399" s="232"/>
      <c r="U1399" s="232"/>
      <c r="V1399" s="15"/>
      <c r="W1399" s="15"/>
      <c r="X1399" s="15"/>
      <c r="Y1399" s="15"/>
      <c r="Z1399" s="15"/>
      <c r="AA1399" s="15"/>
    </row>
    <row r="1400" spans="1:27" s="25" customFormat="1" ht="12" customHeight="1" x14ac:dyDescent="0.2">
      <c r="A1400" s="232"/>
      <c r="B1400" s="250"/>
      <c r="C1400" s="286"/>
      <c r="D1400" s="232"/>
      <c r="E1400" s="232"/>
      <c r="F1400" s="232"/>
      <c r="G1400" s="232"/>
      <c r="H1400" s="232"/>
      <c r="I1400" s="232"/>
      <c r="J1400" s="232"/>
      <c r="K1400" s="232"/>
      <c r="L1400" s="232"/>
      <c r="M1400" s="232"/>
      <c r="N1400" s="232"/>
      <c r="O1400" s="232"/>
      <c r="P1400" s="232"/>
      <c r="Q1400" s="232"/>
      <c r="R1400" s="232"/>
      <c r="S1400" s="232"/>
      <c r="T1400" s="232"/>
      <c r="U1400" s="232"/>
      <c r="V1400" s="15"/>
      <c r="W1400" s="15"/>
      <c r="X1400" s="15"/>
      <c r="Y1400" s="15"/>
      <c r="Z1400" s="15"/>
      <c r="AA1400" s="15"/>
    </row>
    <row r="1401" spans="1:27" s="25" customFormat="1" ht="12" customHeight="1" x14ac:dyDescent="0.2">
      <c r="A1401" s="232"/>
      <c r="B1401" s="250"/>
      <c r="C1401" s="286"/>
      <c r="D1401" s="232"/>
      <c r="E1401" s="232"/>
      <c r="F1401" s="232"/>
      <c r="G1401" s="232"/>
      <c r="H1401" s="232"/>
      <c r="I1401" s="232"/>
      <c r="J1401" s="232"/>
      <c r="K1401" s="232"/>
      <c r="L1401" s="232"/>
      <c r="M1401" s="232"/>
      <c r="N1401" s="232"/>
      <c r="O1401" s="232"/>
      <c r="P1401" s="232"/>
      <c r="Q1401" s="232"/>
      <c r="R1401" s="232"/>
      <c r="S1401" s="232"/>
      <c r="T1401" s="232"/>
      <c r="U1401" s="232"/>
      <c r="V1401" s="15"/>
      <c r="W1401" s="15"/>
      <c r="X1401" s="15"/>
      <c r="Y1401" s="15"/>
      <c r="Z1401" s="15"/>
      <c r="AA1401" s="15"/>
    </row>
    <row r="1402" spans="1:27" s="25" customFormat="1" ht="12" customHeight="1" x14ac:dyDescent="0.2">
      <c r="A1402" s="232"/>
      <c r="B1402" s="250"/>
      <c r="C1402" s="286"/>
      <c r="D1402" s="232"/>
      <c r="E1402" s="232"/>
      <c r="F1402" s="232"/>
      <c r="G1402" s="232"/>
      <c r="H1402" s="232"/>
      <c r="I1402" s="232"/>
      <c r="J1402" s="232"/>
      <c r="K1402" s="232"/>
      <c r="L1402" s="232"/>
      <c r="M1402" s="232"/>
      <c r="N1402" s="232"/>
      <c r="O1402" s="232"/>
      <c r="P1402" s="232"/>
      <c r="Q1402" s="232"/>
      <c r="R1402" s="232"/>
      <c r="S1402" s="232"/>
      <c r="T1402" s="232"/>
      <c r="U1402" s="232"/>
      <c r="V1402" s="15"/>
      <c r="W1402" s="15"/>
      <c r="X1402" s="15"/>
      <c r="Y1402" s="15"/>
      <c r="Z1402" s="15"/>
      <c r="AA1402" s="15"/>
    </row>
    <row r="1403" spans="1:27" s="25" customFormat="1" ht="12" customHeight="1" x14ac:dyDescent="0.2">
      <c r="A1403" s="232"/>
      <c r="B1403" s="250"/>
      <c r="C1403" s="286"/>
      <c r="D1403" s="232"/>
      <c r="E1403" s="232"/>
      <c r="F1403" s="232"/>
      <c r="G1403" s="232"/>
      <c r="H1403" s="232"/>
      <c r="I1403" s="232"/>
      <c r="J1403" s="232"/>
      <c r="K1403" s="232"/>
      <c r="L1403" s="232"/>
      <c r="M1403" s="232"/>
      <c r="N1403" s="232"/>
      <c r="O1403" s="232"/>
      <c r="P1403" s="232"/>
      <c r="Q1403" s="232"/>
      <c r="R1403" s="232"/>
      <c r="S1403" s="232"/>
      <c r="T1403" s="232"/>
      <c r="U1403" s="232"/>
      <c r="V1403" s="15"/>
      <c r="W1403" s="15"/>
      <c r="X1403" s="15"/>
      <c r="Y1403" s="15"/>
      <c r="Z1403" s="15"/>
      <c r="AA1403" s="15"/>
    </row>
    <row r="1404" spans="1:27" s="25" customFormat="1" ht="12" customHeight="1" x14ac:dyDescent="0.2">
      <c r="A1404" s="232"/>
      <c r="B1404" s="250"/>
      <c r="C1404" s="286"/>
      <c r="D1404" s="232"/>
      <c r="E1404" s="232"/>
      <c r="F1404" s="232"/>
      <c r="G1404" s="232"/>
      <c r="H1404" s="232"/>
      <c r="I1404" s="232"/>
      <c r="J1404" s="232"/>
      <c r="K1404" s="232"/>
      <c r="L1404" s="232"/>
      <c r="M1404" s="232"/>
      <c r="N1404" s="232"/>
      <c r="O1404" s="232"/>
      <c r="P1404" s="232"/>
      <c r="Q1404" s="232"/>
      <c r="R1404" s="232"/>
      <c r="S1404" s="232"/>
      <c r="T1404" s="232"/>
      <c r="U1404" s="232"/>
      <c r="V1404" s="15"/>
      <c r="W1404" s="15"/>
      <c r="X1404" s="15"/>
      <c r="Y1404" s="15"/>
      <c r="Z1404" s="15"/>
      <c r="AA1404" s="15"/>
    </row>
    <row r="1405" spans="1:27" s="25" customFormat="1" ht="12" customHeight="1" x14ac:dyDescent="0.2">
      <c r="A1405" s="232"/>
      <c r="B1405" s="250"/>
      <c r="C1405" s="286"/>
      <c r="D1405" s="232"/>
      <c r="E1405" s="232"/>
      <c r="F1405" s="232"/>
      <c r="G1405" s="232"/>
      <c r="H1405" s="232"/>
      <c r="I1405" s="232"/>
      <c r="J1405" s="232"/>
      <c r="K1405" s="232"/>
      <c r="L1405" s="232"/>
      <c r="M1405" s="232"/>
      <c r="N1405" s="232"/>
      <c r="O1405" s="232"/>
      <c r="P1405" s="232"/>
      <c r="Q1405" s="232"/>
      <c r="R1405" s="232"/>
      <c r="S1405" s="232"/>
      <c r="T1405" s="232"/>
      <c r="U1405" s="232"/>
      <c r="V1405" s="15"/>
      <c r="W1405" s="15"/>
      <c r="X1405" s="15"/>
      <c r="Y1405" s="15"/>
      <c r="Z1405" s="15"/>
      <c r="AA1405" s="15"/>
    </row>
    <row r="1406" spans="1:27" s="25" customFormat="1" ht="12" customHeight="1" x14ac:dyDescent="0.2">
      <c r="A1406" s="232"/>
      <c r="B1406" s="250"/>
      <c r="C1406" s="286"/>
      <c r="D1406" s="232"/>
      <c r="E1406" s="232"/>
      <c r="F1406" s="232"/>
      <c r="G1406" s="232"/>
      <c r="H1406" s="232"/>
      <c r="I1406" s="232"/>
      <c r="J1406" s="232"/>
      <c r="K1406" s="232"/>
      <c r="L1406" s="232"/>
      <c r="M1406" s="232"/>
      <c r="N1406" s="232"/>
      <c r="O1406" s="232"/>
      <c r="P1406" s="232"/>
      <c r="Q1406" s="232"/>
      <c r="R1406" s="232"/>
      <c r="S1406" s="232"/>
      <c r="T1406" s="232"/>
      <c r="U1406" s="232"/>
      <c r="V1406" s="15"/>
      <c r="W1406" s="15"/>
      <c r="X1406" s="15"/>
      <c r="Y1406" s="15"/>
      <c r="Z1406" s="15"/>
      <c r="AA1406" s="15"/>
    </row>
    <row r="1407" spans="1:27" s="25" customFormat="1" ht="12" customHeight="1" x14ac:dyDescent="0.2">
      <c r="A1407" s="232"/>
      <c r="B1407" s="250"/>
      <c r="C1407" s="286"/>
      <c r="D1407" s="232"/>
      <c r="E1407" s="232"/>
      <c r="F1407" s="232"/>
      <c r="G1407" s="232"/>
      <c r="H1407" s="232"/>
      <c r="I1407" s="232"/>
      <c r="J1407" s="232"/>
      <c r="K1407" s="232"/>
      <c r="L1407" s="232"/>
      <c r="M1407" s="232"/>
      <c r="N1407" s="232"/>
      <c r="O1407" s="232"/>
      <c r="P1407" s="232"/>
      <c r="Q1407" s="232"/>
      <c r="R1407" s="232"/>
      <c r="S1407" s="232"/>
      <c r="T1407" s="232"/>
      <c r="U1407" s="232"/>
      <c r="V1407" s="15"/>
      <c r="W1407" s="15"/>
      <c r="X1407" s="15"/>
      <c r="Y1407" s="15"/>
      <c r="Z1407" s="15"/>
      <c r="AA1407" s="15"/>
    </row>
    <row r="1408" spans="1:27" s="25" customFormat="1" ht="12" customHeight="1" x14ac:dyDescent="0.2">
      <c r="A1408" s="232"/>
      <c r="B1408" s="250"/>
      <c r="C1408" s="286"/>
      <c r="D1408" s="232"/>
      <c r="E1408" s="232"/>
      <c r="F1408" s="232"/>
      <c r="G1408" s="232"/>
      <c r="H1408" s="232"/>
      <c r="I1408" s="232"/>
      <c r="J1408" s="232"/>
      <c r="K1408" s="232"/>
      <c r="L1408" s="232"/>
      <c r="M1408" s="232"/>
      <c r="N1408" s="232"/>
      <c r="O1408" s="232"/>
      <c r="P1408" s="232"/>
      <c r="Q1408" s="232"/>
      <c r="R1408" s="232"/>
      <c r="S1408" s="232"/>
      <c r="T1408" s="232"/>
      <c r="U1408" s="232"/>
      <c r="V1408" s="15"/>
      <c r="W1408" s="15"/>
      <c r="X1408" s="15"/>
      <c r="Y1408" s="15"/>
      <c r="Z1408" s="15"/>
      <c r="AA1408" s="15"/>
    </row>
    <row r="1409" spans="1:27" s="25" customFormat="1" ht="12" customHeight="1" x14ac:dyDescent="0.2">
      <c r="A1409" s="232"/>
      <c r="B1409" s="250"/>
      <c r="C1409" s="286"/>
      <c r="D1409" s="232"/>
      <c r="E1409" s="232"/>
      <c r="F1409" s="232"/>
      <c r="G1409" s="232"/>
      <c r="H1409" s="232"/>
      <c r="I1409" s="232"/>
      <c r="J1409" s="232"/>
      <c r="K1409" s="232"/>
      <c r="L1409" s="232"/>
      <c r="M1409" s="232"/>
      <c r="N1409" s="232"/>
      <c r="O1409" s="232"/>
      <c r="P1409" s="232"/>
      <c r="Q1409" s="232"/>
      <c r="R1409" s="232"/>
      <c r="S1409" s="232"/>
      <c r="T1409" s="232"/>
      <c r="U1409" s="232"/>
      <c r="V1409" s="15"/>
      <c r="W1409" s="15"/>
      <c r="X1409" s="15"/>
      <c r="Y1409" s="15"/>
      <c r="Z1409" s="15"/>
      <c r="AA1409" s="15"/>
    </row>
    <row r="1410" spans="1:27" s="25" customFormat="1" ht="12" customHeight="1" x14ac:dyDescent="0.2">
      <c r="A1410" s="232"/>
      <c r="B1410" s="250"/>
      <c r="C1410" s="286"/>
      <c r="D1410" s="232"/>
      <c r="E1410" s="232"/>
      <c r="F1410" s="232"/>
      <c r="G1410" s="232"/>
      <c r="H1410" s="232"/>
      <c r="I1410" s="232"/>
      <c r="J1410" s="232"/>
      <c r="K1410" s="232"/>
      <c r="L1410" s="232"/>
      <c r="M1410" s="232"/>
      <c r="N1410" s="232"/>
      <c r="O1410" s="232"/>
      <c r="P1410" s="232"/>
      <c r="Q1410" s="232"/>
      <c r="R1410" s="232"/>
      <c r="S1410" s="232"/>
      <c r="T1410" s="232"/>
      <c r="U1410" s="232"/>
      <c r="V1410" s="15"/>
      <c r="W1410" s="15"/>
      <c r="X1410" s="15"/>
      <c r="Y1410" s="15"/>
      <c r="Z1410" s="15"/>
      <c r="AA1410" s="15"/>
    </row>
    <row r="1411" spans="1:27" s="25" customFormat="1" ht="12" customHeight="1" x14ac:dyDescent="0.2">
      <c r="A1411" s="232"/>
      <c r="B1411" s="250"/>
      <c r="C1411" s="286"/>
      <c r="D1411" s="232"/>
      <c r="E1411" s="232"/>
      <c r="F1411" s="232"/>
      <c r="G1411" s="232"/>
      <c r="H1411" s="232"/>
      <c r="I1411" s="232"/>
      <c r="J1411" s="232"/>
      <c r="K1411" s="232"/>
      <c r="L1411" s="232"/>
      <c r="M1411" s="232"/>
      <c r="N1411" s="232"/>
      <c r="O1411" s="232"/>
      <c r="P1411" s="232"/>
      <c r="Q1411" s="232"/>
      <c r="R1411" s="232"/>
      <c r="S1411" s="232"/>
      <c r="T1411" s="232"/>
      <c r="U1411" s="232"/>
      <c r="V1411" s="15"/>
      <c r="W1411" s="15"/>
      <c r="X1411" s="15"/>
      <c r="Y1411" s="15"/>
      <c r="Z1411" s="15"/>
      <c r="AA1411" s="15"/>
    </row>
    <row r="1412" spans="1:27" s="25" customFormat="1" ht="12" customHeight="1" x14ac:dyDescent="0.2">
      <c r="A1412" s="232"/>
      <c r="B1412" s="250"/>
      <c r="C1412" s="286"/>
      <c r="D1412" s="232"/>
      <c r="E1412" s="232"/>
      <c r="F1412" s="232"/>
      <c r="G1412" s="232"/>
      <c r="H1412" s="232"/>
      <c r="I1412" s="232"/>
      <c r="J1412" s="232"/>
      <c r="K1412" s="232"/>
      <c r="L1412" s="232"/>
      <c r="M1412" s="232"/>
      <c r="N1412" s="232"/>
      <c r="O1412" s="232"/>
      <c r="P1412" s="232"/>
      <c r="Q1412" s="232"/>
      <c r="R1412" s="232"/>
      <c r="S1412" s="232"/>
      <c r="T1412" s="232"/>
      <c r="U1412" s="232"/>
      <c r="V1412" s="15"/>
      <c r="W1412" s="15"/>
      <c r="X1412" s="15"/>
      <c r="Y1412" s="15"/>
      <c r="Z1412" s="15"/>
      <c r="AA1412" s="15"/>
    </row>
    <row r="1413" spans="1:27" s="25" customFormat="1" ht="12" customHeight="1" x14ac:dyDescent="0.2">
      <c r="A1413" s="232"/>
      <c r="B1413" s="250"/>
      <c r="C1413" s="286"/>
      <c r="D1413" s="232"/>
      <c r="E1413" s="232"/>
      <c r="F1413" s="232"/>
      <c r="G1413" s="232"/>
      <c r="H1413" s="232"/>
      <c r="I1413" s="232"/>
      <c r="J1413" s="232"/>
      <c r="K1413" s="232"/>
      <c r="L1413" s="232"/>
      <c r="M1413" s="232"/>
      <c r="N1413" s="232"/>
      <c r="O1413" s="232"/>
      <c r="P1413" s="232"/>
      <c r="Q1413" s="232"/>
      <c r="R1413" s="232"/>
      <c r="S1413" s="232"/>
      <c r="T1413" s="232"/>
      <c r="U1413" s="232"/>
      <c r="V1413" s="15"/>
      <c r="W1413" s="15"/>
      <c r="X1413" s="15"/>
      <c r="Y1413" s="15"/>
      <c r="Z1413" s="15"/>
      <c r="AA1413" s="15"/>
    </row>
    <row r="1414" spans="1:27" s="25" customFormat="1" ht="12" customHeight="1" x14ac:dyDescent="0.2">
      <c r="A1414" s="232"/>
      <c r="B1414" s="250"/>
      <c r="C1414" s="286"/>
      <c r="D1414" s="232"/>
      <c r="E1414" s="232"/>
      <c r="F1414" s="232"/>
      <c r="G1414" s="232"/>
      <c r="H1414" s="232"/>
      <c r="I1414" s="232"/>
      <c r="J1414" s="232"/>
      <c r="K1414" s="232"/>
      <c r="L1414" s="232"/>
      <c r="M1414" s="232"/>
      <c r="N1414" s="232"/>
      <c r="O1414" s="232"/>
      <c r="P1414" s="232"/>
      <c r="Q1414" s="232"/>
      <c r="R1414" s="232"/>
      <c r="S1414" s="232"/>
      <c r="T1414" s="232"/>
      <c r="U1414" s="232"/>
      <c r="V1414" s="15"/>
      <c r="W1414" s="15"/>
      <c r="X1414" s="15"/>
      <c r="Y1414" s="15"/>
      <c r="Z1414" s="15"/>
      <c r="AA1414" s="15"/>
    </row>
    <row r="1415" spans="1:27" s="25" customFormat="1" ht="12" customHeight="1" x14ac:dyDescent="0.2">
      <c r="A1415" s="232"/>
      <c r="B1415" s="250"/>
      <c r="C1415" s="286"/>
      <c r="D1415" s="232"/>
      <c r="E1415" s="232"/>
      <c r="F1415" s="232"/>
      <c r="G1415" s="232"/>
      <c r="H1415" s="232"/>
      <c r="I1415" s="232"/>
      <c r="J1415" s="232"/>
      <c r="K1415" s="232"/>
      <c r="L1415" s="232"/>
      <c r="M1415" s="232"/>
      <c r="N1415" s="232"/>
      <c r="O1415" s="232"/>
      <c r="P1415" s="232"/>
      <c r="Q1415" s="232"/>
      <c r="R1415" s="232"/>
      <c r="S1415" s="232"/>
      <c r="T1415" s="232"/>
      <c r="U1415" s="232"/>
      <c r="V1415" s="15"/>
      <c r="W1415" s="15"/>
      <c r="X1415" s="15"/>
      <c r="Y1415" s="15"/>
      <c r="Z1415" s="15"/>
      <c r="AA1415" s="15"/>
    </row>
    <row r="1416" spans="1:27" s="25" customFormat="1" ht="12" customHeight="1" x14ac:dyDescent="0.2">
      <c r="A1416" s="232"/>
      <c r="B1416" s="250"/>
      <c r="C1416" s="286"/>
      <c r="D1416" s="232"/>
      <c r="E1416" s="232"/>
      <c r="F1416" s="232"/>
      <c r="G1416" s="232"/>
      <c r="H1416" s="232"/>
      <c r="I1416" s="232"/>
      <c r="J1416" s="232"/>
      <c r="K1416" s="232"/>
      <c r="L1416" s="232"/>
      <c r="M1416" s="232"/>
      <c r="N1416" s="232"/>
      <c r="O1416" s="232"/>
      <c r="P1416" s="232"/>
      <c r="Q1416" s="232"/>
      <c r="R1416" s="232"/>
      <c r="S1416" s="232"/>
      <c r="T1416" s="232"/>
      <c r="U1416" s="232"/>
      <c r="V1416" s="15"/>
      <c r="W1416" s="15"/>
      <c r="X1416" s="15"/>
      <c r="Y1416" s="15"/>
      <c r="Z1416" s="15"/>
      <c r="AA1416" s="15"/>
    </row>
    <row r="1417" spans="1:27" s="25" customFormat="1" ht="12" customHeight="1" x14ac:dyDescent="0.2">
      <c r="A1417" s="232"/>
      <c r="B1417" s="250"/>
      <c r="C1417" s="286"/>
      <c r="D1417" s="232"/>
      <c r="E1417" s="232"/>
      <c r="F1417" s="232"/>
      <c r="G1417" s="232"/>
      <c r="H1417" s="232"/>
      <c r="I1417" s="232"/>
      <c r="J1417" s="232"/>
      <c r="K1417" s="232"/>
      <c r="L1417" s="232"/>
      <c r="M1417" s="232"/>
      <c r="N1417" s="232"/>
      <c r="O1417" s="232"/>
      <c r="P1417" s="232"/>
      <c r="Q1417" s="232"/>
      <c r="R1417" s="232"/>
      <c r="S1417" s="232"/>
      <c r="T1417" s="232"/>
      <c r="U1417" s="232"/>
      <c r="V1417" s="15"/>
      <c r="W1417" s="15"/>
      <c r="X1417" s="15"/>
      <c r="Y1417" s="15"/>
      <c r="Z1417" s="15"/>
      <c r="AA1417" s="15"/>
    </row>
    <row r="1418" spans="1:27" s="25" customFormat="1" ht="12" customHeight="1" x14ac:dyDescent="0.2">
      <c r="A1418" s="232"/>
      <c r="B1418" s="250"/>
      <c r="C1418" s="286"/>
      <c r="D1418" s="232"/>
      <c r="E1418" s="232"/>
      <c r="F1418" s="232"/>
      <c r="G1418" s="232"/>
      <c r="H1418" s="232"/>
      <c r="I1418" s="232"/>
      <c r="J1418" s="232"/>
      <c r="K1418" s="232"/>
      <c r="L1418" s="232"/>
      <c r="M1418" s="232"/>
      <c r="N1418" s="232"/>
      <c r="O1418" s="232"/>
      <c r="P1418" s="232"/>
      <c r="Q1418" s="232"/>
      <c r="R1418" s="232"/>
      <c r="S1418" s="232"/>
      <c r="T1418" s="232"/>
      <c r="U1418" s="232"/>
      <c r="V1418" s="15"/>
      <c r="W1418" s="15"/>
      <c r="X1418" s="15"/>
      <c r="Y1418" s="15"/>
      <c r="Z1418" s="15"/>
      <c r="AA1418" s="15"/>
    </row>
    <row r="1419" spans="1:27" s="25" customFormat="1" ht="12" customHeight="1" x14ac:dyDescent="0.2">
      <c r="A1419" s="232"/>
      <c r="B1419" s="250"/>
      <c r="C1419" s="286"/>
      <c r="D1419" s="232"/>
      <c r="E1419" s="232"/>
      <c r="F1419" s="232"/>
      <c r="G1419" s="232"/>
      <c r="H1419" s="232"/>
      <c r="I1419" s="232"/>
      <c r="J1419" s="232"/>
      <c r="K1419" s="232"/>
      <c r="L1419" s="232"/>
      <c r="M1419" s="232"/>
      <c r="N1419" s="232"/>
      <c r="O1419" s="232"/>
      <c r="P1419" s="232"/>
      <c r="Q1419" s="232"/>
      <c r="R1419" s="232"/>
      <c r="S1419" s="232"/>
      <c r="T1419" s="232"/>
      <c r="U1419" s="232"/>
      <c r="V1419" s="15"/>
      <c r="W1419" s="15"/>
      <c r="X1419" s="15"/>
      <c r="Y1419" s="15"/>
      <c r="Z1419" s="15"/>
      <c r="AA1419" s="15"/>
    </row>
    <row r="1420" spans="1:27" s="25" customFormat="1" ht="12" customHeight="1" x14ac:dyDescent="0.2">
      <c r="A1420" s="232"/>
      <c r="B1420" s="250"/>
      <c r="C1420" s="286"/>
      <c r="D1420" s="232"/>
      <c r="E1420" s="232"/>
      <c r="F1420" s="232"/>
      <c r="G1420" s="232"/>
      <c r="H1420" s="232"/>
      <c r="I1420" s="232"/>
      <c r="J1420" s="232"/>
      <c r="K1420" s="232"/>
      <c r="L1420" s="232"/>
      <c r="M1420" s="232"/>
      <c r="N1420" s="232"/>
      <c r="O1420" s="232"/>
      <c r="P1420" s="232"/>
      <c r="Q1420" s="232"/>
      <c r="R1420" s="232"/>
      <c r="S1420" s="232"/>
      <c r="T1420" s="232"/>
      <c r="U1420" s="232"/>
      <c r="V1420" s="15"/>
      <c r="W1420" s="15"/>
      <c r="X1420" s="15"/>
      <c r="Y1420" s="15"/>
      <c r="Z1420" s="15"/>
      <c r="AA1420" s="15"/>
    </row>
    <row r="1421" spans="1:27" s="25" customFormat="1" ht="12" customHeight="1" x14ac:dyDescent="0.2">
      <c r="A1421" s="232"/>
      <c r="B1421" s="250"/>
      <c r="C1421" s="286"/>
      <c r="D1421" s="232"/>
      <c r="E1421" s="232"/>
      <c r="F1421" s="232"/>
      <c r="G1421" s="232"/>
      <c r="H1421" s="232"/>
      <c r="I1421" s="232"/>
      <c r="J1421" s="232"/>
      <c r="K1421" s="232"/>
      <c r="L1421" s="232"/>
      <c r="M1421" s="232"/>
      <c r="N1421" s="232"/>
      <c r="O1421" s="232"/>
      <c r="P1421" s="232"/>
      <c r="Q1421" s="232"/>
      <c r="R1421" s="232"/>
      <c r="S1421" s="232"/>
      <c r="T1421" s="232"/>
      <c r="U1421" s="232"/>
      <c r="V1421" s="15"/>
      <c r="W1421" s="15"/>
      <c r="X1421" s="15"/>
      <c r="Y1421" s="15"/>
      <c r="Z1421" s="15"/>
      <c r="AA1421" s="15"/>
    </row>
    <row r="1422" spans="1:27" s="25" customFormat="1" ht="12" customHeight="1" x14ac:dyDescent="0.2">
      <c r="A1422" s="232"/>
      <c r="B1422" s="250"/>
      <c r="C1422" s="286"/>
      <c r="D1422" s="232"/>
      <c r="E1422" s="232"/>
      <c r="F1422" s="232"/>
      <c r="G1422" s="232"/>
      <c r="H1422" s="232"/>
      <c r="I1422" s="232"/>
      <c r="J1422" s="232"/>
      <c r="K1422" s="232"/>
      <c r="L1422" s="232"/>
      <c r="M1422" s="232"/>
      <c r="N1422" s="232"/>
      <c r="O1422" s="232"/>
      <c r="P1422" s="232"/>
      <c r="Q1422" s="232"/>
      <c r="R1422" s="232"/>
      <c r="S1422" s="232"/>
      <c r="T1422" s="232"/>
      <c r="U1422" s="232"/>
      <c r="V1422" s="15"/>
      <c r="W1422" s="15"/>
      <c r="X1422" s="15"/>
      <c r="Y1422" s="15"/>
      <c r="Z1422" s="15"/>
      <c r="AA1422" s="15"/>
    </row>
    <row r="1423" spans="1:27" s="25" customFormat="1" ht="12" customHeight="1" x14ac:dyDescent="0.2">
      <c r="A1423" s="232"/>
      <c r="B1423" s="250"/>
      <c r="C1423" s="286"/>
      <c r="D1423" s="232"/>
      <c r="E1423" s="232"/>
      <c r="F1423" s="232"/>
      <c r="G1423" s="232"/>
      <c r="H1423" s="232"/>
      <c r="I1423" s="232"/>
      <c r="J1423" s="232"/>
      <c r="K1423" s="232"/>
      <c r="L1423" s="232"/>
      <c r="M1423" s="232"/>
      <c r="N1423" s="232"/>
      <c r="O1423" s="232"/>
      <c r="P1423" s="232"/>
      <c r="Q1423" s="232"/>
      <c r="R1423" s="232"/>
      <c r="S1423" s="232"/>
      <c r="T1423" s="232"/>
      <c r="U1423" s="232"/>
      <c r="V1423" s="15"/>
      <c r="W1423" s="15"/>
      <c r="X1423" s="15"/>
      <c r="Y1423" s="15"/>
      <c r="Z1423" s="15"/>
      <c r="AA1423" s="15"/>
    </row>
    <row r="1424" spans="1:27" s="25" customFormat="1" ht="12" customHeight="1" x14ac:dyDescent="0.2">
      <c r="A1424" s="232"/>
      <c r="B1424" s="250"/>
      <c r="C1424" s="286"/>
      <c r="D1424" s="232"/>
      <c r="E1424" s="232"/>
      <c r="F1424" s="232"/>
      <c r="G1424" s="232"/>
      <c r="H1424" s="232"/>
      <c r="I1424" s="232"/>
      <c r="J1424" s="232"/>
      <c r="K1424" s="232"/>
      <c r="L1424" s="232"/>
      <c r="M1424" s="232"/>
      <c r="N1424" s="232"/>
      <c r="O1424" s="232"/>
      <c r="P1424" s="232"/>
      <c r="Q1424" s="232"/>
      <c r="R1424" s="232"/>
      <c r="S1424" s="232"/>
      <c r="T1424" s="232"/>
      <c r="U1424" s="232"/>
      <c r="V1424" s="15"/>
      <c r="W1424" s="15"/>
      <c r="X1424" s="15"/>
      <c r="Y1424" s="15"/>
      <c r="Z1424" s="15"/>
      <c r="AA1424" s="15"/>
    </row>
    <row r="1425" spans="1:27" s="25" customFormat="1" ht="12" customHeight="1" x14ac:dyDescent="0.2">
      <c r="A1425" s="232"/>
      <c r="B1425" s="250"/>
      <c r="C1425" s="286"/>
      <c r="D1425" s="232"/>
      <c r="E1425" s="232"/>
      <c r="F1425" s="232"/>
      <c r="G1425" s="232"/>
      <c r="H1425" s="232"/>
      <c r="I1425" s="232"/>
      <c r="J1425" s="232"/>
      <c r="K1425" s="232"/>
      <c r="L1425" s="232"/>
      <c r="M1425" s="232"/>
      <c r="N1425" s="232"/>
      <c r="O1425" s="232"/>
      <c r="P1425" s="232"/>
      <c r="Q1425" s="232"/>
      <c r="R1425" s="232"/>
      <c r="S1425" s="232"/>
      <c r="T1425" s="232"/>
      <c r="U1425" s="232"/>
      <c r="V1425" s="15"/>
      <c r="W1425" s="15"/>
      <c r="X1425" s="15"/>
      <c r="Y1425" s="15"/>
      <c r="Z1425" s="15"/>
      <c r="AA1425" s="15"/>
    </row>
    <row r="1426" spans="1:27" s="25" customFormat="1" ht="12" customHeight="1" x14ac:dyDescent="0.2">
      <c r="A1426" s="232"/>
      <c r="B1426" s="250"/>
      <c r="C1426" s="286"/>
      <c r="D1426" s="232"/>
      <c r="E1426" s="232"/>
      <c r="F1426" s="232"/>
      <c r="G1426" s="232"/>
      <c r="H1426" s="232"/>
      <c r="I1426" s="232"/>
      <c r="J1426" s="232"/>
      <c r="K1426" s="232"/>
      <c r="L1426" s="232"/>
      <c r="M1426" s="232"/>
      <c r="N1426" s="232"/>
      <c r="O1426" s="232"/>
      <c r="P1426" s="232"/>
      <c r="Q1426" s="232"/>
      <c r="R1426" s="232"/>
      <c r="S1426" s="232"/>
      <c r="T1426" s="232"/>
      <c r="U1426" s="232"/>
      <c r="V1426" s="15"/>
      <c r="W1426" s="15"/>
      <c r="X1426" s="15"/>
      <c r="Y1426" s="15"/>
      <c r="Z1426" s="15"/>
      <c r="AA1426" s="15"/>
    </row>
    <row r="1427" spans="1:27" s="25" customFormat="1" ht="12" customHeight="1" x14ac:dyDescent="0.2">
      <c r="A1427" s="232"/>
      <c r="B1427" s="250"/>
      <c r="C1427" s="286"/>
      <c r="D1427" s="232"/>
      <c r="E1427" s="232"/>
      <c r="F1427" s="232"/>
      <c r="G1427" s="232"/>
      <c r="H1427" s="232"/>
      <c r="I1427" s="232"/>
      <c r="J1427" s="232"/>
      <c r="K1427" s="232"/>
      <c r="L1427" s="232"/>
      <c r="M1427" s="232"/>
      <c r="N1427" s="232"/>
      <c r="O1427" s="232"/>
      <c r="P1427" s="232"/>
      <c r="Q1427" s="232"/>
      <c r="R1427" s="232"/>
      <c r="S1427" s="232"/>
      <c r="T1427" s="232"/>
      <c r="U1427" s="232"/>
      <c r="V1427" s="15"/>
      <c r="W1427" s="15"/>
      <c r="X1427" s="15"/>
      <c r="Y1427" s="15"/>
      <c r="Z1427" s="15"/>
      <c r="AA1427" s="15"/>
    </row>
    <row r="1428" spans="1:27" s="25" customFormat="1" ht="12" customHeight="1" x14ac:dyDescent="0.2">
      <c r="A1428" s="232"/>
      <c r="B1428" s="250"/>
      <c r="C1428" s="286"/>
      <c r="D1428" s="232"/>
      <c r="E1428" s="232"/>
      <c r="F1428" s="232"/>
      <c r="G1428" s="232"/>
      <c r="H1428" s="232"/>
      <c r="I1428" s="232"/>
      <c r="J1428" s="232"/>
      <c r="K1428" s="232"/>
      <c r="L1428" s="232"/>
      <c r="M1428" s="232"/>
      <c r="N1428" s="232"/>
      <c r="O1428" s="232"/>
      <c r="P1428" s="232"/>
      <c r="Q1428" s="232"/>
      <c r="R1428" s="232"/>
      <c r="S1428" s="232"/>
      <c r="T1428" s="232"/>
      <c r="U1428" s="232"/>
      <c r="V1428" s="15"/>
      <c r="W1428" s="15"/>
      <c r="X1428" s="15"/>
      <c r="Y1428" s="15"/>
      <c r="Z1428" s="15"/>
      <c r="AA1428" s="15"/>
    </row>
    <row r="1429" spans="1:27" s="25" customFormat="1" ht="12" customHeight="1" x14ac:dyDescent="0.2">
      <c r="A1429" s="232"/>
      <c r="B1429" s="250"/>
      <c r="C1429" s="286"/>
      <c r="D1429" s="232"/>
      <c r="E1429" s="232"/>
      <c r="F1429" s="232"/>
      <c r="G1429" s="232"/>
      <c r="H1429" s="232"/>
      <c r="I1429" s="232"/>
      <c r="J1429" s="232"/>
      <c r="K1429" s="232"/>
      <c r="L1429" s="232"/>
      <c r="M1429" s="232"/>
      <c r="N1429" s="232"/>
      <c r="O1429" s="232"/>
      <c r="P1429" s="232"/>
      <c r="Q1429" s="232"/>
      <c r="R1429" s="232"/>
      <c r="S1429" s="232"/>
      <c r="T1429" s="232"/>
      <c r="U1429" s="232"/>
      <c r="V1429" s="15"/>
      <c r="W1429" s="15"/>
      <c r="X1429" s="15"/>
      <c r="Y1429" s="15"/>
      <c r="Z1429" s="15"/>
      <c r="AA1429" s="15"/>
    </row>
    <row r="1430" spans="1:27" s="25" customFormat="1" ht="12" customHeight="1" x14ac:dyDescent="0.2">
      <c r="A1430" s="232"/>
      <c r="B1430" s="250"/>
      <c r="C1430" s="286"/>
      <c r="D1430" s="232"/>
      <c r="E1430" s="232"/>
      <c r="F1430" s="232"/>
      <c r="G1430" s="232"/>
      <c r="H1430" s="232"/>
      <c r="I1430" s="232"/>
      <c r="J1430" s="232"/>
      <c r="K1430" s="232"/>
      <c r="L1430" s="232"/>
      <c r="M1430" s="232"/>
      <c r="N1430" s="232"/>
      <c r="O1430" s="232"/>
      <c r="P1430" s="232"/>
      <c r="Q1430" s="232"/>
      <c r="R1430" s="232"/>
      <c r="S1430" s="232"/>
      <c r="T1430" s="232"/>
      <c r="U1430" s="232"/>
      <c r="V1430" s="15"/>
      <c r="W1430" s="15"/>
      <c r="X1430" s="15"/>
      <c r="Y1430" s="15"/>
      <c r="Z1430" s="15"/>
      <c r="AA1430" s="15"/>
    </row>
    <row r="1431" spans="1:27" s="25" customFormat="1" ht="12" customHeight="1" x14ac:dyDescent="0.2">
      <c r="A1431" s="232"/>
      <c r="B1431" s="250"/>
      <c r="C1431" s="286"/>
      <c r="D1431" s="232"/>
      <c r="E1431" s="232"/>
      <c r="F1431" s="232"/>
      <c r="G1431" s="232"/>
      <c r="H1431" s="232"/>
      <c r="I1431" s="232"/>
      <c r="J1431" s="232"/>
      <c r="K1431" s="232"/>
      <c r="L1431" s="232"/>
      <c r="M1431" s="232"/>
      <c r="N1431" s="232"/>
      <c r="O1431" s="232"/>
      <c r="P1431" s="232"/>
      <c r="Q1431" s="232"/>
      <c r="R1431" s="232"/>
      <c r="S1431" s="232"/>
      <c r="T1431" s="232"/>
      <c r="U1431" s="232"/>
      <c r="V1431" s="15"/>
      <c r="W1431" s="15"/>
      <c r="X1431" s="15"/>
      <c r="Y1431" s="15"/>
      <c r="Z1431" s="15"/>
      <c r="AA1431" s="15"/>
    </row>
    <row r="1432" spans="1:27" s="25" customFormat="1" ht="12" customHeight="1" x14ac:dyDescent="0.2">
      <c r="A1432" s="232"/>
      <c r="B1432" s="250"/>
      <c r="C1432" s="286"/>
      <c r="D1432" s="232"/>
      <c r="E1432" s="232"/>
      <c r="F1432" s="232"/>
      <c r="G1432" s="232"/>
      <c r="H1432" s="232"/>
      <c r="I1432" s="232"/>
      <c r="J1432" s="232"/>
      <c r="K1432" s="232"/>
      <c r="L1432" s="232"/>
      <c r="M1432" s="232"/>
      <c r="N1432" s="232"/>
      <c r="O1432" s="232"/>
      <c r="P1432" s="232"/>
      <c r="Q1432" s="232"/>
      <c r="R1432" s="232"/>
      <c r="S1432" s="232"/>
      <c r="T1432" s="232"/>
      <c r="U1432" s="232"/>
      <c r="V1432" s="15"/>
      <c r="W1432" s="15"/>
      <c r="X1432" s="15"/>
      <c r="Y1432" s="15"/>
      <c r="Z1432" s="15"/>
      <c r="AA1432" s="15"/>
    </row>
    <row r="1433" spans="1:27" s="25" customFormat="1" ht="12" customHeight="1" x14ac:dyDescent="0.2">
      <c r="A1433" s="232"/>
      <c r="B1433" s="250"/>
      <c r="C1433" s="286"/>
      <c r="D1433" s="232"/>
      <c r="E1433" s="232"/>
      <c r="F1433" s="232"/>
      <c r="G1433" s="232"/>
      <c r="H1433" s="232"/>
      <c r="I1433" s="232"/>
      <c r="J1433" s="232"/>
      <c r="K1433" s="232"/>
      <c r="L1433" s="232"/>
      <c r="M1433" s="232"/>
      <c r="N1433" s="232"/>
      <c r="O1433" s="232"/>
      <c r="P1433" s="232"/>
      <c r="Q1433" s="232"/>
      <c r="R1433" s="232"/>
      <c r="S1433" s="232"/>
      <c r="T1433" s="232"/>
      <c r="U1433" s="232"/>
      <c r="V1433" s="15"/>
      <c r="W1433" s="15"/>
      <c r="X1433" s="15"/>
      <c r="Y1433" s="15"/>
      <c r="Z1433" s="15"/>
      <c r="AA1433" s="15"/>
    </row>
    <row r="1434" spans="1:27" s="25" customFormat="1" ht="12" customHeight="1" x14ac:dyDescent="0.2">
      <c r="A1434" s="232"/>
      <c r="B1434" s="250"/>
      <c r="C1434" s="286"/>
      <c r="D1434" s="232"/>
      <c r="E1434" s="232"/>
      <c r="F1434" s="232"/>
      <c r="G1434" s="232"/>
      <c r="H1434" s="232"/>
      <c r="I1434" s="232"/>
      <c r="J1434" s="232"/>
      <c r="K1434" s="232"/>
      <c r="L1434" s="232"/>
      <c r="M1434" s="232"/>
      <c r="N1434" s="232"/>
      <c r="O1434" s="232"/>
      <c r="P1434" s="232"/>
      <c r="Q1434" s="232"/>
      <c r="R1434" s="232"/>
      <c r="S1434" s="232"/>
      <c r="T1434" s="232"/>
      <c r="U1434" s="232"/>
      <c r="V1434" s="15"/>
      <c r="W1434" s="15"/>
      <c r="X1434" s="15"/>
      <c r="Y1434" s="15"/>
      <c r="Z1434" s="15"/>
      <c r="AA1434" s="15"/>
    </row>
    <row r="1435" spans="1:27" s="25" customFormat="1" ht="12" customHeight="1" x14ac:dyDescent="0.2">
      <c r="A1435" s="232"/>
      <c r="B1435" s="250"/>
      <c r="C1435" s="286"/>
      <c r="D1435" s="232"/>
      <c r="E1435" s="232"/>
      <c r="F1435" s="232"/>
      <c r="G1435" s="232"/>
      <c r="H1435" s="232"/>
      <c r="I1435" s="232"/>
      <c r="J1435" s="232"/>
      <c r="K1435" s="232"/>
      <c r="L1435" s="232"/>
      <c r="M1435" s="232"/>
      <c r="N1435" s="232"/>
      <c r="O1435" s="232"/>
      <c r="P1435" s="232"/>
      <c r="Q1435" s="232"/>
      <c r="R1435" s="232"/>
      <c r="S1435" s="232"/>
      <c r="T1435" s="232"/>
      <c r="U1435" s="232"/>
      <c r="V1435" s="15"/>
      <c r="W1435" s="15"/>
      <c r="X1435" s="15"/>
      <c r="Y1435" s="15"/>
      <c r="Z1435" s="15"/>
      <c r="AA1435" s="15"/>
    </row>
    <row r="1436" spans="1:27" s="25" customFormat="1" ht="12" customHeight="1" x14ac:dyDescent="0.2">
      <c r="A1436" s="232"/>
      <c r="B1436" s="250"/>
      <c r="C1436" s="286"/>
      <c r="D1436" s="232"/>
      <c r="E1436" s="232"/>
      <c r="F1436" s="232"/>
      <c r="G1436" s="232"/>
      <c r="H1436" s="232"/>
      <c r="I1436" s="232"/>
      <c r="J1436" s="232"/>
      <c r="K1436" s="232"/>
      <c r="L1436" s="232"/>
      <c r="M1436" s="232"/>
      <c r="N1436" s="232"/>
      <c r="O1436" s="232"/>
      <c r="P1436" s="232"/>
      <c r="Q1436" s="232"/>
      <c r="R1436" s="232"/>
      <c r="S1436" s="232"/>
      <c r="T1436" s="232"/>
      <c r="U1436" s="232"/>
      <c r="V1436" s="15"/>
      <c r="W1436" s="15"/>
      <c r="X1436" s="15"/>
      <c r="Y1436" s="15"/>
      <c r="Z1436" s="15"/>
      <c r="AA1436" s="15"/>
    </row>
    <row r="1437" spans="1:27" s="25" customFormat="1" ht="12" customHeight="1" x14ac:dyDescent="0.2">
      <c r="A1437" s="232"/>
      <c r="B1437" s="250"/>
      <c r="C1437" s="286"/>
      <c r="D1437" s="232"/>
      <c r="E1437" s="232"/>
      <c r="F1437" s="232"/>
      <c r="G1437" s="232"/>
      <c r="H1437" s="232"/>
      <c r="I1437" s="232"/>
      <c r="J1437" s="232"/>
      <c r="K1437" s="232"/>
      <c r="L1437" s="232"/>
      <c r="M1437" s="232"/>
      <c r="N1437" s="232"/>
      <c r="O1437" s="232"/>
      <c r="P1437" s="232"/>
      <c r="Q1437" s="232"/>
      <c r="R1437" s="232"/>
      <c r="S1437" s="232"/>
      <c r="T1437" s="232"/>
      <c r="U1437" s="232"/>
      <c r="V1437" s="15"/>
      <c r="W1437" s="15"/>
      <c r="X1437" s="15"/>
      <c r="Y1437" s="15"/>
      <c r="Z1437" s="15"/>
      <c r="AA1437" s="15"/>
    </row>
    <row r="1438" spans="1:27" s="25" customFormat="1" ht="12" customHeight="1" x14ac:dyDescent="0.2">
      <c r="A1438" s="232"/>
      <c r="B1438" s="250"/>
      <c r="C1438" s="286"/>
      <c r="D1438" s="232"/>
      <c r="E1438" s="232"/>
      <c r="F1438" s="232"/>
      <c r="G1438" s="232"/>
      <c r="H1438" s="232"/>
      <c r="I1438" s="232"/>
      <c r="J1438" s="232"/>
      <c r="K1438" s="232"/>
      <c r="L1438" s="232"/>
      <c r="M1438" s="232"/>
      <c r="N1438" s="232"/>
      <c r="O1438" s="232"/>
      <c r="P1438" s="232"/>
      <c r="Q1438" s="232"/>
      <c r="R1438" s="232"/>
      <c r="S1438" s="232"/>
      <c r="T1438" s="232"/>
      <c r="U1438" s="232"/>
      <c r="V1438" s="15"/>
      <c r="W1438" s="15"/>
      <c r="X1438" s="15"/>
      <c r="Y1438" s="15"/>
      <c r="Z1438" s="15"/>
      <c r="AA1438" s="15"/>
    </row>
    <row r="1439" spans="1:27" s="25" customFormat="1" ht="12" customHeight="1" x14ac:dyDescent="0.2">
      <c r="A1439" s="232"/>
      <c r="B1439" s="250"/>
      <c r="C1439" s="286"/>
      <c r="D1439" s="232"/>
      <c r="E1439" s="232"/>
      <c r="F1439" s="232"/>
      <c r="G1439" s="232"/>
      <c r="H1439" s="232"/>
      <c r="I1439" s="232"/>
      <c r="J1439" s="232"/>
      <c r="K1439" s="232"/>
      <c r="L1439" s="232"/>
      <c r="M1439" s="232"/>
      <c r="N1439" s="232"/>
      <c r="O1439" s="232"/>
      <c r="P1439" s="232"/>
      <c r="Q1439" s="232"/>
      <c r="R1439" s="232"/>
      <c r="S1439" s="232"/>
      <c r="T1439" s="232"/>
      <c r="U1439" s="232"/>
      <c r="V1439" s="15"/>
      <c r="W1439" s="15"/>
      <c r="X1439" s="15"/>
      <c r="Y1439" s="15"/>
      <c r="Z1439" s="15"/>
      <c r="AA1439" s="15"/>
    </row>
    <row r="1440" spans="1:27" s="25" customFormat="1" ht="12" customHeight="1" x14ac:dyDescent="0.2">
      <c r="A1440" s="232"/>
      <c r="B1440" s="250"/>
      <c r="C1440" s="286"/>
      <c r="D1440" s="232"/>
      <c r="E1440" s="232"/>
      <c r="F1440" s="232"/>
      <c r="G1440" s="232"/>
      <c r="H1440" s="232"/>
      <c r="I1440" s="232"/>
      <c r="J1440" s="232"/>
      <c r="K1440" s="232"/>
      <c r="L1440" s="232"/>
      <c r="M1440" s="232"/>
      <c r="N1440" s="232"/>
      <c r="O1440" s="232"/>
      <c r="P1440" s="232"/>
      <c r="Q1440" s="232"/>
      <c r="R1440" s="232"/>
      <c r="S1440" s="232"/>
      <c r="T1440" s="232"/>
      <c r="U1440" s="232"/>
      <c r="V1440" s="15"/>
      <c r="W1440" s="15"/>
      <c r="X1440" s="15"/>
      <c r="Y1440" s="15"/>
      <c r="Z1440" s="15"/>
      <c r="AA1440" s="15"/>
    </row>
    <row r="1441" spans="1:27" s="25" customFormat="1" ht="12" customHeight="1" x14ac:dyDescent="0.2">
      <c r="A1441" s="232"/>
      <c r="B1441" s="250"/>
      <c r="C1441" s="286"/>
      <c r="D1441" s="232"/>
      <c r="E1441" s="232"/>
      <c r="F1441" s="232"/>
      <c r="G1441" s="232"/>
      <c r="H1441" s="232"/>
      <c r="I1441" s="232"/>
      <c r="J1441" s="232"/>
      <c r="K1441" s="232"/>
      <c r="L1441" s="232"/>
      <c r="M1441" s="232"/>
      <c r="N1441" s="232"/>
      <c r="O1441" s="232"/>
      <c r="P1441" s="232"/>
      <c r="Q1441" s="232"/>
      <c r="R1441" s="232"/>
      <c r="S1441" s="232"/>
      <c r="T1441" s="232"/>
      <c r="U1441" s="232"/>
      <c r="V1441" s="15"/>
      <c r="W1441" s="15"/>
      <c r="X1441" s="15"/>
      <c r="Y1441" s="15"/>
      <c r="Z1441" s="15"/>
      <c r="AA1441" s="15"/>
    </row>
    <row r="1442" spans="1:27" s="25" customFormat="1" ht="12" customHeight="1" x14ac:dyDescent="0.2">
      <c r="A1442" s="232"/>
      <c r="B1442" s="250"/>
      <c r="C1442" s="286"/>
      <c r="D1442" s="232"/>
      <c r="E1442" s="232"/>
      <c r="F1442" s="232"/>
      <c r="G1442" s="232"/>
      <c r="H1442" s="232"/>
      <c r="I1442" s="232"/>
      <c r="J1442" s="232"/>
      <c r="K1442" s="232"/>
      <c r="L1442" s="232"/>
      <c r="M1442" s="232"/>
      <c r="N1442" s="232"/>
      <c r="O1442" s="232"/>
      <c r="P1442" s="232"/>
      <c r="Q1442" s="232"/>
      <c r="R1442" s="232"/>
      <c r="S1442" s="232"/>
      <c r="T1442" s="232"/>
      <c r="U1442" s="232"/>
      <c r="V1442" s="15"/>
      <c r="W1442" s="15"/>
      <c r="X1442" s="15"/>
      <c r="Y1442" s="15"/>
      <c r="Z1442" s="15"/>
      <c r="AA1442" s="15"/>
    </row>
    <row r="1443" spans="1:27" s="25" customFormat="1" ht="12" customHeight="1" x14ac:dyDescent="0.2">
      <c r="A1443" s="232"/>
      <c r="B1443" s="250"/>
      <c r="C1443" s="286"/>
      <c r="D1443" s="232"/>
      <c r="E1443" s="232"/>
      <c r="F1443" s="232"/>
      <c r="G1443" s="232"/>
      <c r="H1443" s="232"/>
      <c r="I1443" s="232"/>
      <c r="J1443" s="232"/>
      <c r="K1443" s="232"/>
      <c r="L1443" s="232"/>
      <c r="M1443" s="232"/>
      <c r="N1443" s="232"/>
      <c r="O1443" s="232"/>
      <c r="P1443" s="232"/>
      <c r="Q1443" s="232"/>
      <c r="R1443" s="232"/>
      <c r="S1443" s="232"/>
      <c r="T1443" s="232"/>
      <c r="U1443" s="232"/>
      <c r="V1443" s="15"/>
      <c r="W1443" s="15"/>
      <c r="X1443" s="15"/>
      <c r="Y1443" s="15"/>
      <c r="Z1443" s="15"/>
      <c r="AA1443" s="15"/>
    </row>
    <row r="1444" spans="1:27" s="25" customFormat="1" ht="12" customHeight="1" x14ac:dyDescent="0.2">
      <c r="A1444" s="232"/>
      <c r="B1444" s="250"/>
      <c r="C1444" s="286"/>
      <c r="D1444" s="232"/>
      <c r="E1444" s="232"/>
      <c r="F1444" s="232"/>
      <c r="G1444" s="232"/>
      <c r="H1444" s="232"/>
      <c r="I1444" s="232"/>
      <c r="J1444" s="232"/>
      <c r="K1444" s="232"/>
      <c r="L1444" s="232"/>
      <c r="M1444" s="232"/>
      <c r="N1444" s="232"/>
      <c r="O1444" s="232"/>
      <c r="P1444" s="232"/>
      <c r="Q1444" s="232"/>
      <c r="R1444" s="232"/>
      <c r="S1444" s="232"/>
      <c r="T1444" s="232"/>
      <c r="U1444" s="232"/>
      <c r="V1444" s="15"/>
      <c r="W1444" s="15"/>
      <c r="X1444" s="15"/>
      <c r="Y1444" s="15"/>
      <c r="Z1444" s="15"/>
      <c r="AA1444" s="15"/>
    </row>
    <row r="1445" spans="1:27" s="25" customFormat="1" ht="12" customHeight="1" x14ac:dyDescent="0.2">
      <c r="A1445" s="232"/>
      <c r="B1445" s="250"/>
      <c r="C1445" s="286"/>
      <c r="D1445" s="232"/>
      <c r="E1445" s="232"/>
      <c r="F1445" s="232"/>
      <c r="G1445" s="232"/>
      <c r="H1445" s="232"/>
      <c r="I1445" s="232"/>
      <c r="J1445" s="232"/>
      <c r="K1445" s="232"/>
      <c r="L1445" s="232"/>
      <c r="M1445" s="232"/>
      <c r="N1445" s="232"/>
      <c r="O1445" s="232"/>
      <c r="P1445" s="232"/>
      <c r="Q1445" s="232"/>
      <c r="R1445" s="232"/>
      <c r="S1445" s="232"/>
      <c r="T1445" s="232"/>
      <c r="U1445" s="232"/>
      <c r="V1445" s="15"/>
      <c r="W1445" s="15"/>
      <c r="X1445" s="15"/>
      <c r="Y1445" s="15"/>
      <c r="Z1445" s="15"/>
      <c r="AA1445" s="15"/>
    </row>
    <row r="1446" spans="1:27" s="25" customFormat="1" ht="12" customHeight="1" x14ac:dyDescent="0.2">
      <c r="A1446" s="232"/>
      <c r="B1446" s="250"/>
      <c r="C1446" s="286"/>
      <c r="D1446" s="232"/>
      <c r="E1446" s="232"/>
      <c r="F1446" s="232"/>
      <c r="G1446" s="232"/>
      <c r="H1446" s="232"/>
      <c r="I1446" s="232"/>
      <c r="J1446" s="232"/>
      <c r="K1446" s="232"/>
      <c r="L1446" s="232"/>
      <c r="M1446" s="232"/>
      <c r="N1446" s="232"/>
      <c r="O1446" s="232"/>
      <c r="P1446" s="232"/>
      <c r="Q1446" s="232"/>
      <c r="R1446" s="232"/>
      <c r="S1446" s="232"/>
      <c r="T1446" s="232"/>
      <c r="U1446" s="232"/>
      <c r="V1446" s="15"/>
      <c r="W1446" s="15"/>
      <c r="X1446" s="15"/>
      <c r="Y1446" s="15"/>
      <c r="Z1446" s="15"/>
      <c r="AA1446" s="15"/>
    </row>
    <row r="1447" spans="1:27" s="25" customFormat="1" ht="12" customHeight="1" x14ac:dyDescent="0.2">
      <c r="A1447" s="232"/>
      <c r="B1447" s="250"/>
      <c r="C1447" s="286"/>
      <c r="D1447" s="232"/>
      <c r="E1447" s="232"/>
      <c r="F1447" s="232"/>
      <c r="G1447" s="232"/>
      <c r="H1447" s="232"/>
      <c r="I1447" s="232"/>
      <c r="J1447" s="232"/>
      <c r="K1447" s="232"/>
      <c r="L1447" s="232"/>
      <c r="M1447" s="232"/>
      <c r="N1447" s="232"/>
      <c r="O1447" s="232"/>
      <c r="P1447" s="232"/>
      <c r="Q1447" s="232"/>
      <c r="R1447" s="232"/>
      <c r="S1447" s="232"/>
      <c r="T1447" s="232"/>
      <c r="U1447" s="232"/>
      <c r="V1447" s="15"/>
      <c r="W1447" s="15"/>
      <c r="X1447" s="15"/>
      <c r="Y1447" s="15"/>
      <c r="Z1447" s="15"/>
      <c r="AA1447" s="15"/>
    </row>
    <row r="1448" spans="1:27" s="25" customFormat="1" ht="12" customHeight="1" x14ac:dyDescent="0.2">
      <c r="A1448" s="232"/>
      <c r="B1448" s="250"/>
      <c r="C1448" s="286"/>
      <c r="D1448" s="232"/>
      <c r="E1448" s="232"/>
      <c r="F1448" s="232"/>
      <c r="G1448" s="232"/>
      <c r="H1448" s="232"/>
      <c r="I1448" s="232"/>
      <c r="J1448" s="232"/>
      <c r="K1448" s="232"/>
      <c r="L1448" s="232"/>
      <c r="M1448" s="232"/>
      <c r="N1448" s="232"/>
      <c r="O1448" s="232"/>
      <c r="P1448" s="232"/>
      <c r="Q1448" s="232"/>
      <c r="R1448" s="232"/>
      <c r="S1448" s="232"/>
      <c r="T1448" s="232"/>
      <c r="U1448" s="232"/>
      <c r="V1448" s="15"/>
      <c r="W1448" s="15"/>
      <c r="X1448" s="15"/>
      <c r="Y1448" s="15"/>
      <c r="Z1448" s="15"/>
      <c r="AA1448" s="15"/>
    </row>
    <row r="1449" spans="1:27" s="25" customFormat="1" ht="12" customHeight="1" x14ac:dyDescent="0.2">
      <c r="A1449" s="232"/>
      <c r="B1449" s="250"/>
      <c r="C1449" s="286"/>
      <c r="D1449" s="232"/>
      <c r="E1449" s="232"/>
      <c r="F1449" s="232"/>
      <c r="G1449" s="232"/>
      <c r="H1449" s="232"/>
      <c r="I1449" s="232"/>
      <c r="J1449" s="232"/>
      <c r="K1449" s="232"/>
      <c r="L1449" s="232"/>
      <c r="M1449" s="232"/>
      <c r="N1449" s="232"/>
      <c r="O1449" s="232"/>
      <c r="P1449" s="232"/>
      <c r="Q1449" s="232"/>
      <c r="R1449" s="232"/>
      <c r="S1449" s="232"/>
      <c r="T1449" s="232"/>
      <c r="U1449" s="232"/>
      <c r="V1449" s="15"/>
      <c r="W1449" s="15"/>
      <c r="X1449" s="15"/>
      <c r="Y1449" s="15"/>
      <c r="Z1449" s="15"/>
      <c r="AA1449" s="15"/>
    </row>
    <row r="1450" spans="1:27" s="25" customFormat="1" ht="12" customHeight="1" x14ac:dyDescent="0.2">
      <c r="A1450" s="232"/>
      <c r="B1450" s="250"/>
      <c r="C1450" s="286"/>
      <c r="D1450" s="232"/>
      <c r="E1450" s="232"/>
      <c r="F1450" s="232"/>
      <c r="G1450" s="232"/>
      <c r="H1450" s="232"/>
      <c r="I1450" s="232"/>
      <c r="J1450" s="232"/>
      <c r="K1450" s="232"/>
      <c r="L1450" s="232"/>
      <c r="M1450" s="232"/>
      <c r="N1450" s="232"/>
      <c r="O1450" s="232"/>
      <c r="P1450" s="232"/>
      <c r="Q1450" s="232"/>
      <c r="R1450" s="232"/>
      <c r="S1450" s="232"/>
      <c r="T1450" s="232"/>
      <c r="U1450" s="232"/>
      <c r="V1450" s="15"/>
      <c r="W1450" s="15"/>
      <c r="X1450" s="15"/>
      <c r="Y1450" s="15"/>
      <c r="Z1450" s="15"/>
      <c r="AA1450" s="15"/>
    </row>
    <row r="1451" spans="1:27" s="25" customFormat="1" ht="12" customHeight="1" x14ac:dyDescent="0.2">
      <c r="A1451" s="232"/>
      <c r="B1451" s="250"/>
      <c r="C1451" s="286"/>
      <c r="D1451" s="232"/>
      <c r="E1451" s="232"/>
      <c r="F1451" s="232"/>
      <c r="G1451" s="232"/>
      <c r="H1451" s="232"/>
      <c r="I1451" s="232"/>
      <c r="J1451" s="232"/>
      <c r="K1451" s="232"/>
      <c r="L1451" s="232"/>
      <c r="M1451" s="232"/>
      <c r="N1451" s="232"/>
      <c r="O1451" s="232"/>
      <c r="P1451" s="232"/>
      <c r="Q1451" s="232"/>
      <c r="R1451" s="232"/>
      <c r="S1451" s="232"/>
      <c r="T1451" s="232"/>
      <c r="U1451" s="232"/>
      <c r="V1451" s="15"/>
      <c r="W1451" s="15"/>
      <c r="X1451" s="15"/>
      <c r="Y1451" s="15"/>
      <c r="Z1451" s="15"/>
      <c r="AA1451" s="15"/>
    </row>
    <row r="1452" spans="1:27" s="25" customFormat="1" ht="12" customHeight="1" x14ac:dyDescent="0.2">
      <c r="A1452" s="232"/>
      <c r="B1452" s="250"/>
      <c r="C1452" s="286"/>
      <c r="D1452" s="232"/>
      <c r="E1452" s="232"/>
      <c r="F1452" s="232"/>
      <c r="G1452" s="232"/>
      <c r="H1452" s="232"/>
      <c r="I1452" s="232"/>
      <c r="J1452" s="232"/>
      <c r="K1452" s="232"/>
      <c r="L1452" s="232"/>
      <c r="M1452" s="232"/>
      <c r="N1452" s="232"/>
      <c r="O1452" s="232"/>
      <c r="P1452" s="232"/>
      <c r="Q1452" s="232"/>
      <c r="R1452" s="232"/>
      <c r="S1452" s="232"/>
      <c r="T1452" s="232"/>
      <c r="U1452" s="232"/>
      <c r="V1452" s="15"/>
      <c r="W1452" s="15"/>
      <c r="X1452" s="15"/>
      <c r="Y1452" s="15"/>
      <c r="Z1452" s="15"/>
      <c r="AA1452" s="15"/>
    </row>
    <row r="1453" spans="1:27" s="25" customFormat="1" ht="12" customHeight="1" x14ac:dyDescent="0.2">
      <c r="A1453" s="232"/>
      <c r="B1453" s="250"/>
      <c r="C1453" s="286"/>
      <c r="D1453" s="232"/>
      <c r="E1453" s="232"/>
      <c r="F1453" s="232"/>
      <c r="G1453" s="232"/>
      <c r="H1453" s="232"/>
      <c r="I1453" s="232"/>
      <c r="J1453" s="232"/>
      <c r="K1453" s="232"/>
      <c r="L1453" s="232"/>
      <c r="M1453" s="232"/>
      <c r="N1453" s="232"/>
      <c r="O1453" s="232"/>
      <c r="P1453" s="232"/>
      <c r="Q1453" s="232"/>
      <c r="R1453" s="232"/>
      <c r="S1453" s="232"/>
      <c r="T1453" s="232"/>
      <c r="U1453" s="232"/>
      <c r="V1453" s="15"/>
      <c r="W1453" s="15"/>
      <c r="X1453" s="15"/>
      <c r="Y1453" s="15"/>
      <c r="Z1453" s="15"/>
      <c r="AA1453" s="15"/>
    </row>
    <row r="1454" spans="1:27" s="25" customFormat="1" ht="12" customHeight="1" x14ac:dyDescent="0.2">
      <c r="A1454" s="232"/>
      <c r="B1454" s="250"/>
      <c r="C1454" s="286"/>
      <c r="D1454" s="232"/>
      <c r="E1454" s="232"/>
      <c r="F1454" s="232"/>
      <c r="G1454" s="232"/>
      <c r="H1454" s="232"/>
      <c r="I1454" s="232"/>
      <c r="J1454" s="232"/>
      <c r="K1454" s="232"/>
      <c r="L1454" s="232"/>
      <c r="M1454" s="232"/>
      <c r="N1454" s="232"/>
      <c r="O1454" s="232"/>
      <c r="P1454" s="232"/>
      <c r="Q1454" s="232"/>
      <c r="R1454" s="232"/>
      <c r="S1454" s="232"/>
      <c r="T1454" s="232"/>
      <c r="U1454" s="232"/>
      <c r="V1454" s="15"/>
      <c r="W1454" s="15"/>
      <c r="X1454" s="15"/>
      <c r="Y1454" s="15"/>
      <c r="Z1454" s="15"/>
      <c r="AA1454" s="15"/>
    </row>
    <row r="1455" spans="1:27" s="25" customFormat="1" ht="12" customHeight="1" x14ac:dyDescent="0.2">
      <c r="A1455" s="232"/>
      <c r="B1455" s="250"/>
      <c r="C1455" s="286"/>
      <c r="D1455" s="232"/>
      <c r="E1455" s="232"/>
      <c r="F1455" s="232"/>
      <c r="G1455" s="232"/>
      <c r="H1455" s="232"/>
      <c r="I1455" s="232"/>
      <c r="J1455" s="232"/>
      <c r="K1455" s="232"/>
      <c r="L1455" s="232"/>
      <c r="M1455" s="232"/>
      <c r="N1455" s="232"/>
      <c r="O1455" s="232"/>
      <c r="P1455" s="232"/>
      <c r="Q1455" s="232"/>
      <c r="R1455" s="232"/>
      <c r="S1455" s="232"/>
      <c r="T1455" s="232"/>
      <c r="U1455" s="232"/>
      <c r="V1455" s="15"/>
      <c r="W1455" s="15"/>
      <c r="X1455" s="15"/>
      <c r="Y1455" s="15"/>
      <c r="Z1455" s="15"/>
      <c r="AA1455" s="15"/>
    </row>
    <row r="1456" spans="1:27" s="25" customFormat="1" ht="12" customHeight="1" x14ac:dyDescent="0.2">
      <c r="A1456" s="232"/>
      <c r="B1456" s="250"/>
      <c r="C1456" s="286"/>
      <c r="D1456" s="232"/>
      <c r="E1456" s="232"/>
      <c r="F1456" s="232"/>
      <c r="G1456" s="232"/>
      <c r="H1456" s="232"/>
      <c r="I1456" s="232"/>
      <c r="J1456" s="232"/>
      <c r="K1456" s="232"/>
      <c r="L1456" s="232"/>
      <c r="M1456" s="232"/>
      <c r="N1456" s="232"/>
      <c r="O1456" s="232"/>
      <c r="P1456" s="232"/>
      <c r="Q1456" s="232"/>
      <c r="R1456" s="232"/>
      <c r="S1456" s="232"/>
      <c r="T1456" s="232"/>
      <c r="U1456" s="232"/>
      <c r="V1456" s="15"/>
      <c r="W1456" s="15"/>
      <c r="X1456" s="15"/>
      <c r="Y1456" s="15"/>
      <c r="Z1456" s="15"/>
      <c r="AA1456" s="15"/>
    </row>
    <row r="1457" spans="1:27" s="25" customFormat="1" ht="12" customHeight="1" x14ac:dyDescent="0.2">
      <c r="A1457" s="232"/>
      <c r="B1457" s="250"/>
      <c r="C1457" s="286"/>
      <c r="D1457" s="232"/>
      <c r="E1457" s="232"/>
      <c r="F1457" s="232"/>
      <c r="G1457" s="232"/>
      <c r="H1457" s="232"/>
      <c r="I1457" s="232"/>
      <c r="J1457" s="232"/>
      <c r="K1457" s="232"/>
      <c r="L1457" s="232"/>
      <c r="M1457" s="232"/>
      <c r="N1457" s="232"/>
      <c r="O1457" s="232"/>
      <c r="P1457" s="232"/>
      <c r="Q1457" s="232"/>
      <c r="R1457" s="232"/>
      <c r="S1457" s="232"/>
      <c r="T1457" s="232"/>
      <c r="U1457" s="232"/>
      <c r="V1457" s="15"/>
      <c r="W1457" s="15"/>
      <c r="X1457" s="15"/>
      <c r="Y1457" s="15"/>
      <c r="Z1457" s="15"/>
      <c r="AA1457" s="15"/>
    </row>
    <row r="1458" spans="1:27" s="25" customFormat="1" ht="12" customHeight="1" x14ac:dyDescent="0.2">
      <c r="A1458" s="232"/>
      <c r="B1458" s="250"/>
      <c r="C1458" s="286"/>
      <c r="D1458" s="232"/>
      <c r="E1458" s="232"/>
      <c r="F1458" s="232"/>
      <c r="G1458" s="232"/>
      <c r="H1458" s="232"/>
      <c r="I1458" s="232"/>
      <c r="J1458" s="232"/>
      <c r="K1458" s="232"/>
      <c r="L1458" s="232"/>
      <c r="M1458" s="232"/>
      <c r="N1458" s="232"/>
      <c r="O1458" s="232"/>
      <c r="P1458" s="232"/>
      <c r="Q1458" s="232"/>
      <c r="R1458" s="232"/>
      <c r="S1458" s="232"/>
      <c r="T1458" s="232"/>
      <c r="U1458" s="232"/>
      <c r="V1458" s="15"/>
      <c r="W1458" s="15"/>
      <c r="X1458" s="15"/>
      <c r="Y1458" s="15"/>
      <c r="Z1458" s="15"/>
      <c r="AA1458" s="15"/>
    </row>
    <row r="1459" spans="1:27" s="25" customFormat="1" ht="12" customHeight="1" x14ac:dyDescent="0.2">
      <c r="A1459" s="232"/>
      <c r="B1459" s="250"/>
      <c r="C1459" s="286"/>
      <c r="D1459" s="232"/>
      <c r="E1459" s="232"/>
      <c r="F1459" s="232"/>
      <c r="G1459" s="232"/>
      <c r="H1459" s="232"/>
      <c r="I1459" s="232"/>
      <c r="J1459" s="232"/>
      <c r="K1459" s="232"/>
      <c r="L1459" s="232"/>
      <c r="M1459" s="232"/>
      <c r="N1459" s="232"/>
      <c r="O1459" s="232"/>
      <c r="P1459" s="232"/>
      <c r="Q1459" s="232"/>
      <c r="R1459" s="232"/>
      <c r="S1459" s="232"/>
      <c r="T1459" s="232"/>
      <c r="U1459" s="232"/>
      <c r="V1459" s="15"/>
      <c r="W1459" s="15"/>
      <c r="X1459" s="15"/>
      <c r="Y1459" s="15"/>
      <c r="Z1459" s="15"/>
      <c r="AA1459" s="15"/>
    </row>
    <row r="1460" spans="1:27" s="25" customFormat="1" ht="12" customHeight="1" x14ac:dyDescent="0.2">
      <c r="A1460" s="232"/>
      <c r="B1460" s="250"/>
      <c r="C1460" s="286"/>
      <c r="D1460" s="232"/>
      <c r="E1460" s="232"/>
      <c r="F1460" s="232"/>
      <c r="G1460" s="232"/>
      <c r="H1460" s="232"/>
      <c r="I1460" s="232"/>
      <c r="J1460" s="232"/>
      <c r="K1460" s="232"/>
      <c r="L1460" s="232"/>
      <c r="M1460" s="232"/>
      <c r="N1460" s="232"/>
      <c r="O1460" s="232"/>
      <c r="P1460" s="232"/>
      <c r="Q1460" s="232"/>
      <c r="R1460" s="232"/>
      <c r="S1460" s="232"/>
      <c r="T1460" s="232"/>
      <c r="U1460" s="232"/>
      <c r="V1460" s="15"/>
      <c r="W1460" s="15"/>
      <c r="X1460" s="15"/>
      <c r="Y1460" s="15"/>
      <c r="Z1460" s="15"/>
      <c r="AA1460" s="15"/>
    </row>
    <row r="1461" spans="1:27" s="25" customFormat="1" ht="12" customHeight="1" x14ac:dyDescent="0.2">
      <c r="A1461" s="232"/>
      <c r="B1461" s="250"/>
      <c r="C1461" s="286"/>
      <c r="D1461" s="232"/>
      <c r="E1461" s="232"/>
      <c r="F1461" s="232"/>
      <c r="G1461" s="232"/>
      <c r="H1461" s="232"/>
      <c r="I1461" s="232"/>
      <c r="J1461" s="232"/>
      <c r="K1461" s="232"/>
      <c r="L1461" s="232"/>
      <c r="M1461" s="232"/>
      <c r="N1461" s="232"/>
      <c r="O1461" s="232"/>
      <c r="P1461" s="232"/>
      <c r="Q1461" s="232"/>
      <c r="R1461" s="232"/>
      <c r="S1461" s="232"/>
      <c r="T1461" s="232"/>
      <c r="U1461" s="232"/>
      <c r="V1461" s="15"/>
      <c r="W1461" s="15"/>
      <c r="X1461" s="15"/>
      <c r="Y1461" s="15"/>
      <c r="Z1461" s="15"/>
      <c r="AA1461" s="15"/>
    </row>
    <row r="1462" spans="1:27" s="25" customFormat="1" ht="12" customHeight="1" x14ac:dyDescent="0.2">
      <c r="A1462" s="232"/>
      <c r="B1462" s="250"/>
      <c r="C1462" s="286"/>
      <c r="D1462" s="232"/>
      <c r="E1462" s="232"/>
      <c r="F1462" s="232"/>
      <c r="G1462" s="232"/>
      <c r="H1462" s="232"/>
      <c r="I1462" s="232"/>
      <c r="J1462" s="232"/>
      <c r="K1462" s="232"/>
      <c r="L1462" s="232"/>
      <c r="M1462" s="232"/>
      <c r="N1462" s="232"/>
      <c r="O1462" s="232"/>
      <c r="P1462" s="232"/>
      <c r="Q1462" s="232"/>
      <c r="R1462" s="232"/>
      <c r="S1462" s="232"/>
      <c r="T1462" s="232"/>
      <c r="U1462" s="232"/>
      <c r="V1462" s="15"/>
      <c r="W1462" s="15"/>
      <c r="X1462" s="15"/>
      <c r="Y1462" s="15"/>
      <c r="Z1462" s="15"/>
      <c r="AA1462" s="15"/>
    </row>
    <row r="1463" spans="1:27" s="25" customFormat="1" ht="12" customHeight="1" x14ac:dyDescent="0.2">
      <c r="A1463" s="232"/>
      <c r="B1463" s="250"/>
      <c r="C1463" s="286"/>
      <c r="D1463" s="232"/>
      <c r="E1463" s="232"/>
      <c r="F1463" s="232"/>
      <c r="G1463" s="232"/>
      <c r="H1463" s="232"/>
      <c r="I1463" s="232"/>
      <c r="J1463" s="232"/>
      <c r="K1463" s="232"/>
      <c r="L1463" s="232"/>
      <c r="M1463" s="232"/>
      <c r="N1463" s="232"/>
      <c r="O1463" s="232"/>
      <c r="P1463" s="232"/>
      <c r="Q1463" s="232"/>
      <c r="R1463" s="232"/>
      <c r="S1463" s="232"/>
      <c r="T1463" s="232"/>
      <c r="U1463" s="232"/>
      <c r="V1463" s="15"/>
      <c r="W1463" s="15"/>
      <c r="X1463" s="15"/>
      <c r="Y1463" s="15"/>
      <c r="Z1463" s="15"/>
      <c r="AA1463" s="15"/>
    </row>
    <row r="1464" spans="1:27" s="25" customFormat="1" ht="12" customHeight="1" x14ac:dyDescent="0.2">
      <c r="A1464" s="232"/>
      <c r="B1464" s="250"/>
      <c r="C1464" s="286"/>
      <c r="D1464" s="232"/>
      <c r="E1464" s="232"/>
      <c r="F1464" s="232"/>
      <c r="G1464" s="232"/>
      <c r="H1464" s="232"/>
      <c r="I1464" s="232"/>
      <c r="J1464" s="232"/>
      <c r="K1464" s="232"/>
      <c r="L1464" s="232"/>
      <c r="M1464" s="232"/>
      <c r="N1464" s="232"/>
      <c r="O1464" s="232"/>
      <c r="P1464" s="232"/>
      <c r="Q1464" s="232"/>
      <c r="R1464" s="232"/>
      <c r="S1464" s="232"/>
      <c r="T1464" s="232"/>
      <c r="U1464" s="232"/>
      <c r="V1464" s="15"/>
      <c r="W1464" s="15"/>
      <c r="X1464" s="15"/>
      <c r="Y1464" s="15"/>
      <c r="Z1464" s="15"/>
      <c r="AA1464" s="15"/>
    </row>
    <row r="1465" spans="1:27" s="25" customFormat="1" ht="12" customHeight="1" x14ac:dyDescent="0.2">
      <c r="A1465" s="232"/>
      <c r="B1465" s="250"/>
      <c r="C1465" s="286"/>
      <c r="D1465" s="232"/>
      <c r="E1465" s="232"/>
      <c r="F1465" s="232"/>
      <c r="G1465" s="232"/>
      <c r="H1465" s="232"/>
      <c r="I1465" s="232"/>
      <c r="J1465" s="232"/>
      <c r="K1465" s="232"/>
      <c r="L1465" s="232"/>
      <c r="M1465" s="232"/>
      <c r="N1465" s="232"/>
      <c r="O1465" s="232"/>
      <c r="P1465" s="232"/>
      <c r="Q1465" s="232"/>
      <c r="R1465" s="232"/>
      <c r="S1465" s="232"/>
      <c r="T1465" s="232"/>
      <c r="U1465" s="232"/>
      <c r="V1465" s="15"/>
      <c r="W1465" s="15"/>
      <c r="X1465" s="15"/>
      <c r="Y1465" s="15"/>
      <c r="Z1465" s="15"/>
      <c r="AA1465" s="15"/>
    </row>
    <row r="1466" spans="1:27" s="25" customFormat="1" ht="12" customHeight="1" x14ac:dyDescent="0.2">
      <c r="A1466" s="232"/>
      <c r="B1466" s="250"/>
      <c r="C1466" s="286"/>
      <c r="D1466" s="232"/>
      <c r="E1466" s="232"/>
      <c r="F1466" s="232"/>
      <c r="G1466" s="232"/>
      <c r="H1466" s="232"/>
      <c r="I1466" s="232"/>
      <c r="J1466" s="232"/>
      <c r="K1466" s="232"/>
      <c r="L1466" s="232"/>
      <c r="M1466" s="232"/>
      <c r="N1466" s="232"/>
      <c r="O1466" s="232"/>
      <c r="P1466" s="232"/>
      <c r="Q1466" s="232"/>
      <c r="R1466" s="232"/>
      <c r="S1466" s="232"/>
      <c r="T1466" s="232"/>
      <c r="U1466" s="232"/>
      <c r="V1466" s="15"/>
      <c r="W1466" s="15"/>
      <c r="X1466" s="15"/>
      <c r="Y1466" s="15"/>
      <c r="Z1466" s="15"/>
      <c r="AA1466" s="15"/>
    </row>
    <row r="1467" spans="1:27" s="25" customFormat="1" ht="12" customHeight="1" x14ac:dyDescent="0.2">
      <c r="A1467" s="232"/>
      <c r="B1467" s="250"/>
      <c r="C1467" s="286"/>
      <c r="D1467" s="232"/>
      <c r="E1467" s="232"/>
      <c r="F1467" s="232"/>
      <c r="G1467" s="232"/>
      <c r="H1467" s="232"/>
      <c r="I1467" s="232"/>
      <c r="J1467" s="232"/>
      <c r="K1467" s="232"/>
      <c r="L1467" s="232"/>
      <c r="M1467" s="232"/>
      <c r="N1467" s="232"/>
      <c r="O1467" s="232"/>
      <c r="P1467" s="232"/>
      <c r="Q1467" s="232"/>
      <c r="R1467" s="232"/>
      <c r="S1467" s="232"/>
      <c r="T1467" s="232"/>
      <c r="U1467" s="232"/>
      <c r="V1467" s="15"/>
      <c r="W1467" s="15"/>
      <c r="X1467" s="15"/>
      <c r="Y1467" s="15"/>
      <c r="Z1467" s="15"/>
      <c r="AA1467" s="15"/>
    </row>
    <row r="1468" spans="1:27" s="25" customFormat="1" ht="12" customHeight="1" x14ac:dyDescent="0.2">
      <c r="A1468" s="232"/>
      <c r="B1468" s="250"/>
      <c r="C1468" s="286"/>
      <c r="D1468" s="232"/>
      <c r="E1468" s="232"/>
      <c r="F1468" s="232"/>
      <c r="G1468" s="232"/>
      <c r="H1468" s="232"/>
      <c r="I1468" s="232"/>
      <c r="J1468" s="232"/>
      <c r="K1468" s="232"/>
      <c r="L1468" s="232"/>
      <c r="M1468" s="232"/>
      <c r="N1468" s="232"/>
      <c r="O1468" s="232"/>
      <c r="P1468" s="232"/>
      <c r="Q1468" s="232"/>
      <c r="R1468" s="232"/>
      <c r="S1468" s="232"/>
      <c r="T1468" s="232"/>
      <c r="U1468" s="232"/>
      <c r="V1468" s="15"/>
      <c r="W1468" s="15"/>
      <c r="X1468" s="15"/>
      <c r="Y1468" s="15"/>
      <c r="Z1468" s="15"/>
      <c r="AA1468" s="15"/>
    </row>
    <row r="1469" spans="1:27" s="25" customFormat="1" ht="12" customHeight="1" x14ac:dyDescent="0.2">
      <c r="A1469" s="232"/>
      <c r="B1469" s="250"/>
      <c r="C1469" s="286"/>
      <c r="D1469" s="232"/>
      <c r="E1469" s="232"/>
      <c r="F1469" s="232"/>
      <c r="G1469" s="232"/>
      <c r="H1469" s="232"/>
      <c r="I1469" s="232"/>
      <c r="J1469" s="232"/>
      <c r="K1469" s="232"/>
      <c r="L1469" s="232"/>
      <c r="M1469" s="232"/>
      <c r="N1469" s="232"/>
      <c r="O1469" s="232"/>
      <c r="P1469" s="232"/>
      <c r="Q1469" s="232"/>
      <c r="R1469" s="232"/>
      <c r="S1469" s="232"/>
      <c r="T1469" s="232"/>
      <c r="U1469" s="232"/>
      <c r="V1469" s="15"/>
      <c r="W1469" s="15"/>
      <c r="X1469" s="15"/>
      <c r="Y1469" s="15"/>
      <c r="Z1469" s="15"/>
      <c r="AA1469" s="15"/>
    </row>
    <row r="1470" spans="1:27" s="25" customFormat="1" ht="12" customHeight="1" x14ac:dyDescent="0.2">
      <c r="A1470" s="232"/>
      <c r="B1470" s="250"/>
      <c r="C1470" s="286"/>
      <c r="D1470" s="232"/>
      <c r="E1470" s="232"/>
      <c r="F1470" s="232"/>
      <c r="G1470" s="232"/>
      <c r="H1470" s="232"/>
      <c r="I1470" s="232"/>
      <c r="J1470" s="232"/>
      <c r="K1470" s="232"/>
      <c r="L1470" s="232"/>
      <c r="M1470" s="232"/>
      <c r="N1470" s="232"/>
      <c r="O1470" s="232"/>
      <c r="P1470" s="232"/>
      <c r="Q1470" s="232"/>
      <c r="R1470" s="232"/>
      <c r="S1470" s="232"/>
      <c r="T1470" s="232"/>
      <c r="U1470" s="232"/>
      <c r="V1470" s="15"/>
      <c r="W1470" s="15"/>
      <c r="X1470" s="15"/>
      <c r="Y1470" s="15"/>
      <c r="Z1470" s="15"/>
      <c r="AA1470" s="15"/>
    </row>
    <row r="1471" spans="1:27" s="25" customFormat="1" ht="12" customHeight="1" x14ac:dyDescent="0.2">
      <c r="A1471" s="232"/>
      <c r="B1471" s="250"/>
      <c r="C1471" s="286"/>
      <c r="D1471" s="232"/>
      <c r="E1471" s="232"/>
      <c r="F1471" s="232"/>
      <c r="G1471" s="232"/>
      <c r="H1471" s="232"/>
      <c r="I1471" s="232"/>
      <c r="J1471" s="232"/>
      <c r="K1471" s="232"/>
      <c r="L1471" s="232"/>
      <c r="M1471" s="232"/>
      <c r="N1471" s="232"/>
      <c r="O1471" s="232"/>
      <c r="P1471" s="232"/>
      <c r="Q1471" s="232"/>
      <c r="R1471" s="232"/>
      <c r="S1471" s="232"/>
      <c r="T1471" s="232"/>
      <c r="U1471" s="232"/>
      <c r="V1471" s="15"/>
      <c r="W1471" s="15"/>
      <c r="X1471" s="15"/>
      <c r="Y1471" s="15"/>
      <c r="Z1471" s="15"/>
      <c r="AA1471" s="15"/>
    </row>
    <row r="1472" spans="1:27" s="25" customFormat="1" ht="12" customHeight="1" x14ac:dyDescent="0.2">
      <c r="A1472" s="232"/>
      <c r="B1472" s="250"/>
      <c r="C1472" s="286"/>
      <c r="D1472" s="232"/>
      <c r="E1472" s="232"/>
      <c r="F1472" s="232"/>
      <c r="G1472" s="232"/>
      <c r="H1472" s="232"/>
      <c r="I1472" s="232"/>
      <c r="J1472" s="232"/>
      <c r="K1472" s="232"/>
      <c r="L1472" s="232"/>
      <c r="M1472" s="232"/>
      <c r="N1472" s="232"/>
      <c r="O1472" s="232"/>
      <c r="P1472" s="232"/>
      <c r="Q1472" s="232"/>
      <c r="R1472" s="232"/>
      <c r="S1472" s="232"/>
      <c r="T1472" s="232"/>
      <c r="U1472" s="232"/>
      <c r="V1472" s="15"/>
      <c r="W1472" s="15"/>
      <c r="X1472" s="15"/>
      <c r="Y1472" s="15"/>
      <c r="Z1472" s="15"/>
      <c r="AA1472" s="15"/>
    </row>
    <row r="1473" spans="1:27" s="25" customFormat="1" ht="12" customHeight="1" x14ac:dyDescent="0.2">
      <c r="A1473" s="232"/>
      <c r="B1473" s="250"/>
      <c r="C1473" s="286"/>
      <c r="D1473" s="232"/>
      <c r="E1473" s="232"/>
      <c r="F1473" s="232"/>
      <c r="G1473" s="232"/>
      <c r="H1473" s="232"/>
      <c r="I1473" s="232"/>
      <c r="J1473" s="232"/>
      <c r="K1473" s="232"/>
      <c r="L1473" s="232"/>
      <c r="M1473" s="232"/>
      <c r="N1473" s="232"/>
      <c r="O1473" s="232"/>
      <c r="P1473" s="232"/>
      <c r="Q1473" s="232"/>
      <c r="R1473" s="232"/>
      <c r="S1473" s="232"/>
      <c r="T1473" s="232"/>
      <c r="U1473" s="232"/>
      <c r="V1473" s="15"/>
      <c r="W1473" s="15"/>
      <c r="X1473" s="15"/>
      <c r="Y1473" s="15"/>
      <c r="Z1473" s="15"/>
      <c r="AA1473" s="15"/>
    </row>
    <row r="1474" spans="1:27" s="25" customFormat="1" ht="12" customHeight="1" x14ac:dyDescent="0.2">
      <c r="A1474" s="232"/>
      <c r="B1474" s="250"/>
      <c r="C1474" s="286"/>
      <c r="D1474" s="232"/>
      <c r="E1474" s="232"/>
      <c r="F1474" s="232"/>
      <c r="G1474" s="232"/>
      <c r="H1474" s="232"/>
      <c r="I1474" s="232"/>
      <c r="J1474" s="232"/>
      <c r="K1474" s="232"/>
      <c r="L1474" s="232"/>
      <c r="M1474" s="232"/>
      <c r="N1474" s="232"/>
      <c r="O1474" s="232"/>
      <c r="P1474" s="232"/>
      <c r="Q1474" s="232"/>
      <c r="R1474" s="232"/>
      <c r="S1474" s="232"/>
      <c r="T1474" s="232"/>
      <c r="U1474" s="232"/>
      <c r="V1474" s="15"/>
      <c r="W1474" s="15"/>
      <c r="X1474" s="15"/>
      <c r="Y1474" s="15"/>
      <c r="Z1474" s="15"/>
      <c r="AA1474" s="15"/>
    </row>
    <row r="1475" spans="1:27" s="25" customFormat="1" ht="12" customHeight="1" x14ac:dyDescent="0.2">
      <c r="A1475" s="232"/>
      <c r="B1475" s="250"/>
      <c r="C1475" s="286"/>
      <c r="D1475" s="232"/>
      <c r="E1475" s="232"/>
      <c r="F1475" s="232"/>
      <c r="G1475" s="232"/>
      <c r="H1475" s="232"/>
      <c r="I1475" s="232"/>
      <c r="J1475" s="232"/>
      <c r="K1475" s="232"/>
      <c r="L1475" s="232"/>
      <c r="M1475" s="232"/>
      <c r="N1475" s="232"/>
      <c r="O1475" s="232"/>
      <c r="P1475" s="232"/>
      <c r="Q1475" s="232"/>
      <c r="R1475" s="232"/>
      <c r="S1475" s="232"/>
      <c r="T1475" s="232"/>
      <c r="U1475" s="232"/>
      <c r="V1475" s="15"/>
      <c r="W1475" s="15"/>
      <c r="X1475" s="15"/>
      <c r="Y1475" s="15"/>
      <c r="Z1475" s="15"/>
      <c r="AA1475" s="15"/>
    </row>
    <row r="1476" spans="1:27" s="25" customFormat="1" ht="12" customHeight="1" x14ac:dyDescent="0.2">
      <c r="A1476" s="232"/>
      <c r="B1476" s="250"/>
      <c r="C1476" s="286"/>
      <c r="D1476" s="232"/>
      <c r="E1476" s="232"/>
      <c r="F1476" s="232"/>
      <c r="G1476" s="232"/>
      <c r="H1476" s="232"/>
      <c r="I1476" s="232"/>
      <c r="J1476" s="232"/>
      <c r="K1476" s="232"/>
      <c r="L1476" s="232"/>
      <c r="M1476" s="232"/>
      <c r="N1476" s="232"/>
      <c r="O1476" s="232"/>
      <c r="P1476" s="232"/>
      <c r="Q1476" s="232"/>
      <c r="R1476" s="232"/>
      <c r="S1476" s="232"/>
      <c r="T1476" s="232"/>
      <c r="U1476" s="232"/>
      <c r="V1476" s="15"/>
      <c r="W1476" s="15"/>
      <c r="X1476" s="15"/>
      <c r="Y1476" s="15"/>
      <c r="Z1476" s="15"/>
      <c r="AA1476" s="15"/>
    </row>
    <row r="1477" spans="1:27" s="25" customFormat="1" ht="12" customHeight="1" x14ac:dyDescent="0.2">
      <c r="A1477" s="232"/>
      <c r="B1477" s="250"/>
      <c r="C1477" s="286"/>
      <c r="D1477" s="232"/>
      <c r="E1477" s="232"/>
      <c r="F1477" s="232"/>
      <c r="G1477" s="232"/>
      <c r="H1477" s="232"/>
      <c r="I1477" s="232"/>
      <c r="J1477" s="232"/>
      <c r="K1477" s="232"/>
      <c r="L1477" s="232"/>
      <c r="M1477" s="232"/>
      <c r="N1477" s="232"/>
      <c r="O1477" s="232"/>
      <c r="P1477" s="232"/>
      <c r="Q1477" s="232"/>
      <c r="R1477" s="232"/>
      <c r="S1477" s="232"/>
      <c r="T1477" s="232"/>
      <c r="U1477" s="232"/>
      <c r="V1477" s="15"/>
      <c r="W1477" s="15"/>
      <c r="X1477" s="15"/>
      <c r="Y1477" s="15"/>
      <c r="Z1477" s="15"/>
      <c r="AA1477" s="15"/>
    </row>
    <row r="1478" spans="1:27" s="25" customFormat="1" ht="12" customHeight="1" x14ac:dyDescent="0.2">
      <c r="A1478" s="232"/>
      <c r="B1478" s="250"/>
      <c r="C1478" s="286"/>
      <c r="D1478" s="232"/>
      <c r="E1478" s="232"/>
      <c r="F1478" s="232"/>
      <c r="G1478" s="232"/>
      <c r="H1478" s="232"/>
      <c r="I1478" s="232"/>
      <c r="J1478" s="232"/>
      <c r="K1478" s="232"/>
      <c r="L1478" s="232"/>
      <c r="M1478" s="232"/>
      <c r="N1478" s="232"/>
      <c r="O1478" s="232"/>
      <c r="P1478" s="232"/>
      <c r="Q1478" s="232"/>
      <c r="R1478" s="232"/>
      <c r="S1478" s="232"/>
      <c r="T1478" s="232"/>
      <c r="U1478" s="232"/>
      <c r="V1478" s="15"/>
      <c r="W1478" s="15"/>
      <c r="X1478" s="15"/>
      <c r="Y1478" s="15"/>
      <c r="Z1478" s="15"/>
      <c r="AA1478" s="15"/>
    </row>
    <row r="1479" spans="1:27" s="25" customFormat="1" ht="12" customHeight="1" x14ac:dyDescent="0.2">
      <c r="A1479" s="232"/>
      <c r="B1479" s="250"/>
      <c r="C1479" s="286"/>
      <c r="D1479" s="232"/>
      <c r="E1479" s="232"/>
      <c r="F1479" s="232"/>
      <c r="G1479" s="232"/>
      <c r="H1479" s="232"/>
      <c r="I1479" s="232"/>
      <c r="J1479" s="232"/>
      <c r="K1479" s="232"/>
      <c r="L1479" s="232"/>
      <c r="M1479" s="232"/>
      <c r="N1479" s="232"/>
      <c r="O1479" s="232"/>
      <c r="P1479" s="232"/>
      <c r="Q1479" s="232"/>
      <c r="R1479" s="232"/>
      <c r="S1479" s="232"/>
      <c r="T1479" s="232"/>
      <c r="U1479" s="232"/>
      <c r="V1479" s="15"/>
      <c r="W1479" s="15"/>
      <c r="X1479" s="15"/>
      <c r="Y1479" s="15"/>
      <c r="Z1479" s="15"/>
      <c r="AA1479" s="15"/>
    </row>
    <row r="1480" spans="1:27" s="25" customFormat="1" ht="12" customHeight="1" x14ac:dyDescent="0.2">
      <c r="A1480" s="232"/>
      <c r="B1480" s="250"/>
      <c r="C1480" s="286"/>
      <c r="D1480" s="232"/>
      <c r="E1480" s="232"/>
      <c r="F1480" s="232"/>
      <c r="G1480" s="232"/>
      <c r="H1480" s="232"/>
      <c r="I1480" s="232"/>
      <c r="J1480" s="232"/>
      <c r="K1480" s="232"/>
      <c r="L1480" s="232"/>
      <c r="M1480" s="232"/>
      <c r="N1480" s="232"/>
      <c r="O1480" s="232"/>
      <c r="P1480" s="232"/>
      <c r="Q1480" s="232"/>
      <c r="R1480" s="232"/>
      <c r="S1480" s="232"/>
      <c r="T1480" s="232"/>
      <c r="U1480" s="232"/>
      <c r="V1480" s="15"/>
      <c r="W1480" s="15"/>
      <c r="X1480" s="15"/>
      <c r="Y1480" s="15"/>
      <c r="Z1480" s="15"/>
      <c r="AA1480" s="15"/>
    </row>
    <row r="1481" spans="1:27" s="25" customFormat="1" ht="12" customHeight="1" x14ac:dyDescent="0.2">
      <c r="A1481" s="232"/>
      <c r="B1481" s="250"/>
      <c r="C1481" s="286"/>
      <c r="D1481" s="232"/>
      <c r="E1481" s="232"/>
      <c r="F1481" s="232"/>
      <c r="G1481" s="232"/>
      <c r="H1481" s="232"/>
      <c r="I1481" s="232"/>
      <c r="J1481" s="232"/>
      <c r="K1481" s="232"/>
      <c r="L1481" s="232"/>
      <c r="M1481" s="232"/>
      <c r="N1481" s="232"/>
      <c r="O1481" s="232"/>
      <c r="P1481" s="232"/>
      <c r="Q1481" s="232"/>
      <c r="R1481" s="232"/>
      <c r="S1481" s="232"/>
      <c r="T1481" s="232"/>
      <c r="U1481" s="232"/>
      <c r="V1481" s="15"/>
      <c r="W1481" s="15"/>
      <c r="X1481" s="15"/>
      <c r="Y1481" s="15"/>
      <c r="Z1481" s="15"/>
      <c r="AA1481" s="15"/>
    </row>
    <row r="1482" spans="1:27" s="25" customFormat="1" ht="12" customHeight="1" x14ac:dyDescent="0.2">
      <c r="A1482" s="232"/>
      <c r="B1482" s="250"/>
      <c r="C1482" s="286"/>
      <c r="D1482" s="232"/>
      <c r="E1482" s="232"/>
      <c r="F1482" s="232"/>
      <c r="G1482" s="232"/>
      <c r="H1482" s="232"/>
      <c r="I1482" s="232"/>
      <c r="J1482" s="232"/>
      <c r="K1482" s="232"/>
      <c r="L1482" s="232"/>
      <c r="M1482" s="232"/>
      <c r="N1482" s="232"/>
      <c r="O1482" s="232"/>
      <c r="P1482" s="232"/>
      <c r="Q1482" s="232"/>
      <c r="R1482" s="232"/>
      <c r="S1482" s="232"/>
      <c r="T1482" s="232"/>
      <c r="U1482" s="232"/>
      <c r="V1482" s="15"/>
      <c r="W1482" s="15"/>
      <c r="X1482" s="15"/>
      <c r="Y1482" s="15"/>
      <c r="Z1482" s="15"/>
      <c r="AA1482" s="15"/>
    </row>
    <row r="1483" spans="1:27" s="25" customFormat="1" ht="12" customHeight="1" x14ac:dyDescent="0.2">
      <c r="A1483" s="232"/>
      <c r="B1483" s="250"/>
      <c r="C1483" s="286"/>
      <c r="D1483" s="232"/>
      <c r="E1483" s="232"/>
      <c r="F1483" s="232"/>
      <c r="G1483" s="232"/>
      <c r="H1483" s="232"/>
      <c r="I1483" s="232"/>
      <c r="J1483" s="232"/>
      <c r="K1483" s="232"/>
      <c r="L1483" s="232"/>
      <c r="M1483" s="232"/>
      <c r="N1483" s="232"/>
      <c r="O1483" s="232"/>
      <c r="P1483" s="232"/>
      <c r="Q1483" s="232"/>
      <c r="R1483" s="232"/>
      <c r="S1483" s="232"/>
      <c r="T1483" s="232"/>
      <c r="U1483" s="232"/>
      <c r="V1483" s="15"/>
      <c r="W1483" s="15"/>
      <c r="X1483" s="15"/>
      <c r="Y1483" s="15"/>
      <c r="Z1483" s="15"/>
      <c r="AA1483" s="15"/>
    </row>
    <row r="1484" spans="1:27" s="25" customFormat="1" ht="12" customHeight="1" x14ac:dyDescent="0.2">
      <c r="A1484" s="232"/>
      <c r="B1484" s="250"/>
      <c r="C1484" s="286"/>
      <c r="D1484" s="232"/>
      <c r="E1484" s="232"/>
      <c r="F1484" s="232"/>
      <c r="G1484" s="232"/>
      <c r="H1484" s="232"/>
      <c r="I1484" s="232"/>
      <c r="J1484" s="232"/>
      <c r="K1484" s="232"/>
      <c r="L1484" s="232"/>
      <c r="M1484" s="232"/>
      <c r="N1484" s="232"/>
      <c r="O1484" s="232"/>
      <c r="P1484" s="232"/>
      <c r="Q1484" s="232"/>
      <c r="R1484" s="232"/>
      <c r="S1484" s="232"/>
      <c r="T1484" s="232"/>
      <c r="U1484" s="232"/>
      <c r="V1484" s="15"/>
      <c r="W1484" s="15"/>
      <c r="X1484" s="15"/>
      <c r="Y1484" s="15"/>
      <c r="Z1484" s="15"/>
      <c r="AA1484" s="15"/>
    </row>
    <row r="1485" spans="1:27" s="25" customFormat="1" ht="12" customHeight="1" x14ac:dyDescent="0.2">
      <c r="A1485" s="232"/>
      <c r="B1485" s="250"/>
      <c r="C1485" s="286"/>
      <c r="D1485" s="232"/>
      <c r="E1485" s="232"/>
      <c r="F1485" s="232"/>
      <c r="G1485" s="232"/>
      <c r="H1485" s="232"/>
      <c r="I1485" s="232"/>
      <c r="J1485" s="232"/>
      <c r="K1485" s="232"/>
      <c r="L1485" s="232"/>
      <c r="M1485" s="232"/>
      <c r="N1485" s="232"/>
      <c r="O1485" s="232"/>
      <c r="P1485" s="232"/>
      <c r="Q1485" s="232"/>
      <c r="R1485" s="232"/>
      <c r="S1485" s="232"/>
      <c r="T1485" s="232"/>
      <c r="U1485" s="232"/>
      <c r="V1485" s="15"/>
      <c r="W1485" s="15"/>
      <c r="X1485" s="15"/>
      <c r="Y1485" s="15"/>
      <c r="Z1485" s="15"/>
      <c r="AA1485" s="15"/>
    </row>
    <row r="1486" spans="1:27" s="25" customFormat="1" ht="12" customHeight="1" x14ac:dyDescent="0.2">
      <c r="A1486" s="232"/>
      <c r="B1486" s="250"/>
      <c r="C1486" s="286"/>
      <c r="D1486" s="232"/>
      <c r="E1486" s="232"/>
      <c r="F1486" s="232"/>
      <c r="G1486" s="232"/>
      <c r="H1486" s="232"/>
      <c r="I1486" s="232"/>
      <c r="J1486" s="232"/>
      <c r="K1486" s="232"/>
      <c r="L1486" s="232"/>
      <c r="M1486" s="232"/>
      <c r="N1486" s="232"/>
      <c r="O1486" s="232"/>
      <c r="P1486" s="232"/>
      <c r="Q1486" s="232"/>
      <c r="R1486" s="232"/>
      <c r="S1486" s="232"/>
      <c r="T1486" s="232"/>
      <c r="U1486" s="232"/>
      <c r="V1486" s="15"/>
      <c r="W1486" s="15"/>
      <c r="X1486" s="15"/>
      <c r="Y1486" s="15"/>
      <c r="Z1486" s="15"/>
      <c r="AA1486" s="15"/>
    </row>
    <row r="1487" spans="1:27" s="25" customFormat="1" ht="12" customHeight="1" x14ac:dyDescent="0.2">
      <c r="A1487" s="232"/>
      <c r="B1487" s="250"/>
      <c r="C1487" s="286"/>
      <c r="D1487" s="232"/>
      <c r="E1487" s="232"/>
      <c r="F1487" s="232"/>
      <c r="G1487" s="232"/>
      <c r="H1487" s="232"/>
      <c r="I1487" s="232"/>
      <c r="J1487" s="232"/>
      <c r="K1487" s="232"/>
      <c r="L1487" s="232"/>
      <c r="M1487" s="232"/>
      <c r="N1487" s="232"/>
      <c r="O1487" s="232"/>
      <c r="P1487" s="232"/>
      <c r="Q1487" s="232"/>
      <c r="R1487" s="232"/>
      <c r="S1487" s="232"/>
      <c r="T1487" s="232"/>
      <c r="U1487" s="232"/>
      <c r="V1487" s="15"/>
      <c r="W1487" s="15"/>
      <c r="X1487" s="15"/>
      <c r="Y1487" s="15"/>
      <c r="Z1487" s="15"/>
      <c r="AA1487" s="15"/>
    </row>
    <row r="1488" spans="1:27" s="25" customFormat="1" ht="12" customHeight="1" x14ac:dyDescent="0.2">
      <c r="A1488" s="232"/>
      <c r="B1488" s="250"/>
      <c r="C1488" s="286"/>
      <c r="D1488" s="232"/>
      <c r="E1488" s="232"/>
      <c r="F1488" s="232"/>
      <c r="G1488" s="232"/>
      <c r="H1488" s="232"/>
      <c r="I1488" s="232"/>
      <c r="J1488" s="232"/>
      <c r="K1488" s="232"/>
      <c r="L1488" s="232"/>
      <c r="M1488" s="232"/>
      <c r="N1488" s="232"/>
      <c r="O1488" s="232"/>
      <c r="P1488" s="232"/>
      <c r="Q1488" s="232"/>
      <c r="R1488" s="232"/>
      <c r="S1488" s="232"/>
      <c r="T1488" s="232"/>
      <c r="U1488" s="232"/>
      <c r="V1488" s="15"/>
      <c r="W1488" s="15"/>
      <c r="X1488" s="15"/>
      <c r="Y1488" s="15"/>
      <c r="Z1488" s="15"/>
      <c r="AA1488" s="15"/>
    </row>
    <row r="1489" spans="1:27" s="25" customFormat="1" ht="12" customHeight="1" x14ac:dyDescent="0.2">
      <c r="A1489" s="232"/>
      <c r="B1489" s="250"/>
      <c r="C1489" s="286"/>
      <c r="D1489" s="232"/>
      <c r="E1489" s="232"/>
      <c r="F1489" s="232"/>
      <c r="G1489" s="232"/>
      <c r="H1489" s="232"/>
      <c r="I1489" s="232"/>
      <c r="J1489" s="232"/>
      <c r="K1489" s="232"/>
      <c r="L1489" s="232"/>
      <c r="M1489" s="232"/>
      <c r="N1489" s="232"/>
      <c r="O1489" s="232"/>
      <c r="P1489" s="232"/>
      <c r="Q1489" s="232"/>
      <c r="R1489" s="232"/>
      <c r="S1489" s="232"/>
      <c r="T1489" s="232"/>
      <c r="U1489" s="232"/>
      <c r="V1489" s="15"/>
      <c r="W1489" s="15"/>
      <c r="X1489" s="15"/>
      <c r="Y1489" s="15"/>
      <c r="Z1489" s="15"/>
      <c r="AA1489" s="15"/>
    </row>
    <row r="1490" spans="1:27" s="25" customFormat="1" ht="12" customHeight="1" x14ac:dyDescent="0.2">
      <c r="A1490" s="232"/>
      <c r="B1490" s="250"/>
      <c r="C1490" s="286"/>
      <c r="D1490" s="232"/>
      <c r="E1490" s="232"/>
      <c r="F1490" s="232"/>
      <c r="G1490" s="232"/>
      <c r="H1490" s="232"/>
      <c r="I1490" s="232"/>
      <c r="J1490" s="232"/>
      <c r="K1490" s="232"/>
      <c r="L1490" s="232"/>
      <c r="M1490" s="232"/>
      <c r="N1490" s="232"/>
      <c r="O1490" s="232"/>
      <c r="P1490" s="232"/>
      <c r="Q1490" s="232"/>
      <c r="R1490" s="232"/>
      <c r="S1490" s="232"/>
      <c r="T1490" s="232"/>
      <c r="U1490" s="232"/>
      <c r="V1490" s="15"/>
      <c r="W1490" s="15"/>
      <c r="X1490" s="15"/>
      <c r="Y1490" s="15"/>
      <c r="Z1490" s="15"/>
      <c r="AA1490" s="15"/>
    </row>
    <row r="1491" spans="1:27" s="25" customFormat="1" ht="12" customHeight="1" x14ac:dyDescent="0.2">
      <c r="A1491" s="232"/>
      <c r="B1491" s="250"/>
      <c r="C1491" s="286"/>
      <c r="D1491" s="232"/>
      <c r="E1491" s="232"/>
      <c r="F1491" s="232"/>
      <c r="G1491" s="232"/>
      <c r="H1491" s="232"/>
      <c r="I1491" s="232"/>
      <c r="J1491" s="232"/>
      <c r="K1491" s="232"/>
      <c r="L1491" s="232"/>
      <c r="M1491" s="232"/>
      <c r="N1491" s="232"/>
      <c r="O1491" s="232"/>
      <c r="P1491" s="232"/>
      <c r="Q1491" s="232"/>
      <c r="R1491" s="232"/>
      <c r="S1491" s="232"/>
      <c r="T1491" s="232"/>
      <c r="U1491" s="232"/>
      <c r="V1491" s="15"/>
      <c r="W1491" s="15"/>
      <c r="X1491" s="15"/>
      <c r="Y1491" s="15"/>
      <c r="Z1491" s="15"/>
      <c r="AA1491" s="15"/>
    </row>
    <row r="1492" spans="1:27" s="25" customFormat="1" ht="12" customHeight="1" x14ac:dyDescent="0.2">
      <c r="A1492" s="232"/>
      <c r="B1492" s="250"/>
      <c r="C1492" s="286"/>
      <c r="D1492" s="232"/>
      <c r="E1492" s="232"/>
      <c r="F1492" s="232"/>
      <c r="G1492" s="232"/>
      <c r="H1492" s="232"/>
      <c r="I1492" s="232"/>
      <c r="J1492" s="232"/>
      <c r="K1492" s="232"/>
      <c r="L1492" s="232"/>
      <c r="M1492" s="232"/>
      <c r="N1492" s="232"/>
      <c r="O1492" s="232"/>
      <c r="P1492" s="232"/>
      <c r="Q1492" s="232"/>
      <c r="R1492" s="232"/>
      <c r="S1492" s="232"/>
      <c r="T1492" s="232"/>
      <c r="U1492" s="232"/>
      <c r="V1492" s="15"/>
      <c r="W1492" s="15"/>
      <c r="X1492" s="15"/>
      <c r="Y1492" s="15"/>
      <c r="Z1492" s="15"/>
      <c r="AA1492" s="15"/>
    </row>
    <row r="1493" spans="1:27" s="25" customFormat="1" ht="12" customHeight="1" x14ac:dyDescent="0.2">
      <c r="A1493" s="232"/>
      <c r="B1493" s="250"/>
      <c r="C1493" s="286"/>
      <c r="D1493" s="232"/>
      <c r="E1493" s="232"/>
      <c r="F1493" s="232"/>
      <c r="G1493" s="232"/>
      <c r="H1493" s="232"/>
      <c r="I1493" s="232"/>
      <c r="J1493" s="232"/>
      <c r="K1493" s="232"/>
      <c r="L1493" s="232"/>
      <c r="M1493" s="232"/>
      <c r="N1493" s="232"/>
      <c r="O1493" s="232"/>
      <c r="P1493" s="232"/>
      <c r="Q1493" s="232"/>
      <c r="R1493" s="232"/>
      <c r="S1493" s="232"/>
      <c r="T1493" s="232"/>
      <c r="U1493" s="232"/>
      <c r="V1493" s="15"/>
      <c r="W1493" s="15"/>
      <c r="X1493" s="15"/>
      <c r="Y1493" s="15"/>
      <c r="Z1493" s="15"/>
      <c r="AA1493" s="15"/>
    </row>
    <row r="1494" spans="1:27" s="25" customFormat="1" ht="12" customHeight="1" x14ac:dyDescent="0.2">
      <c r="A1494" s="232"/>
      <c r="B1494" s="250"/>
      <c r="C1494" s="286"/>
      <c r="D1494" s="232"/>
      <c r="E1494" s="232"/>
      <c r="F1494" s="232"/>
      <c r="G1494" s="232"/>
      <c r="H1494" s="232"/>
      <c r="I1494" s="232"/>
      <c r="J1494" s="232"/>
      <c r="K1494" s="232"/>
      <c r="L1494" s="232"/>
      <c r="M1494" s="232"/>
      <c r="N1494" s="232"/>
      <c r="O1494" s="232"/>
      <c r="P1494" s="232"/>
      <c r="Q1494" s="232"/>
      <c r="R1494" s="232"/>
      <c r="S1494" s="232"/>
      <c r="T1494" s="232"/>
      <c r="U1494" s="232"/>
      <c r="V1494" s="15"/>
      <c r="W1494" s="15"/>
      <c r="X1494" s="15"/>
      <c r="Y1494" s="15"/>
      <c r="Z1494" s="15"/>
      <c r="AA1494" s="15"/>
    </row>
    <row r="1495" spans="1:27" s="25" customFormat="1" ht="12" customHeight="1" x14ac:dyDescent="0.2">
      <c r="A1495" s="232"/>
      <c r="B1495" s="250"/>
      <c r="C1495" s="286"/>
      <c r="D1495" s="232"/>
      <c r="E1495" s="232"/>
      <c r="F1495" s="232"/>
      <c r="G1495" s="232"/>
      <c r="H1495" s="232"/>
      <c r="I1495" s="232"/>
      <c r="J1495" s="232"/>
      <c r="K1495" s="232"/>
      <c r="L1495" s="232"/>
      <c r="M1495" s="232"/>
      <c r="N1495" s="232"/>
      <c r="O1495" s="232"/>
      <c r="P1495" s="232"/>
      <c r="Q1495" s="232"/>
      <c r="R1495" s="232"/>
      <c r="S1495" s="232"/>
      <c r="T1495" s="232"/>
      <c r="U1495" s="232"/>
      <c r="V1495" s="15"/>
      <c r="W1495" s="15"/>
      <c r="X1495" s="15"/>
      <c r="Y1495" s="15"/>
      <c r="Z1495" s="15"/>
      <c r="AA1495" s="15"/>
    </row>
    <row r="1496" spans="1:27" s="25" customFormat="1" ht="12" customHeight="1" x14ac:dyDescent="0.2">
      <c r="A1496" s="232"/>
      <c r="B1496" s="250"/>
      <c r="C1496" s="286"/>
      <c r="D1496" s="232"/>
      <c r="E1496" s="232"/>
      <c r="F1496" s="232"/>
      <c r="G1496" s="232"/>
      <c r="H1496" s="232"/>
      <c r="I1496" s="232"/>
      <c r="J1496" s="232"/>
      <c r="K1496" s="232"/>
      <c r="L1496" s="232"/>
      <c r="M1496" s="232"/>
      <c r="N1496" s="232"/>
      <c r="O1496" s="232"/>
      <c r="P1496" s="232"/>
      <c r="Q1496" s="232"/>
      <c r="R1496" s="232"/>
      <c r="S1496" s="232"/>
      <c r="T1496" s="232"/>
      <c r="U1496" s="232"/>
      <c r="V1496" s="15"/>
      <c r="W1496" s="15"/>
      <c r="X1496" s="15"/>
      <c r="Y1496" s="15"/>
      <c r="Z1496" s="15"/>
      <c r="AA1496" s="15"/>
    </row>
    <row r="1497" spans="1:27" s="25" customFormat="1" ht="12" customHeight="1" x14ac:dyDescent="0.2">
      <c r="A1497" s="232"/>
      <c r="B1497" s="250"/>
      <c r="C1497" s="286"/>
      <c r="D1497" s="232"/>
      <c r="E1497" s="232"/>
      <c r="F1497" s="232"/>
      <c r="G1497" s="232"/>
      <c r="H1497" s="232"/>
      <c r="I1497" s="232"/>
      <c r="J1497" s="232"/>
      <c r="K1497" s="232"/>
      <c r="L1497" s="232"/>
      <c r="M1497" s="232"/>
      <c r="N1497" s="232"/>
      <c r="O1497" s="232"/>
      <c r="P1497" s="232"/>
      <c r="Q1497" s="232"/>
      <c r="R1497" s="232"/>
      <c r="S1497" s="232"/>
      <c r="T1497" s="232"/>
      <c r="U1497" s="232"/>
      <c r="V1497" s="15"/>
      <c r="W1497" s="15"/>
      <c r="X1497" s="15"/>
      <c r="Y1497" s="15"/>
      <c r="Z1497" s="15"/>
      <c r="AA1497" s="15"/>
    </row>
    <row r="1498" spans="1:27" s="25" customFormat="1" ht="12" customHeight="1" x14ac:dyDescent="0.2">
      <c r="A1498" s="232"/>
      <c r="B1498" s="250"/>
      <c r="C1498" s="286"/>
      <c r="D1498" s="232"/>
      <c r="E1498" s="232"/>
      <c r="F1498" s="232"/>
      <c r="G1498" s="232"/>
      <c r="H1498" s="232"/>
      <c r="I1498" s="232"/>
      <c r="J1498" s="232"/>
      <c r="K1498" s="232"/>
      <c r="L1498" s="232"/>
      <c r="M1498" s="232"/>
      <c r="N1498" s="232"/>
      <c r="O1498" s="232"/>
      <c r="P1498" s="232"/>
      <c r="Q1498" s="232"/>
      <c r="R1498" s="232"/>
      <c r="S1498" s="232"/>
      <c r="T1498" s="232"/>
      <c r="U1498" s="232"/>
      <c r="V1498" s="15"/>
      <c r="W1498" s="15"/>
      <c r="X1498" s="15"/>
      <c r="Y1498" s="15"/>
      <c r="Z1498" s="15"/>
      <c r="AA1498" s="15"/>
    </row>
    <row r="1499" spans="1:27" s="25" customFormat="1" ht="12" customHeight="1" x14ac:dyDescent="0.2">
      <c r="A1499" s="232"/>
      <c r="B1499" s="250"/>
      <c r="C1499" s="286"/>
      <c r="D1499" s="232"/>
      <c r="E1499" s="232"/>
      <c r="F1499" s="232"/>
      <c r="G1499" s="232"/>
      <c r="H1499" s="232"/>
      <c r="I1499" s="232"/>
      <c r="J1499" s="232"/>
      <c r="K1499" s="232"/>
      <c r="L1499" s="232"/>
      <c r="M1499" s="232"/>
      <c r="N1499" s="232"/>
      <c r="O1499" s="232"/>
      <c r="P1499" s="232"/>
      <c r="Q1499" s="232"/>
      <c r="R1499" s="232"/>
      <c r="S1499" s="232"/>
      <c r="T1499" s="232"/>
      <c r="U1499" s="232"/>
      <c r="V1499" s="15"/>
      <c r="W1499" s="15"/>
      <c r="X1499" s="15"/>
      <c r="Y1499" s="15"/>
      <c r="Z1499" s="15"/>
      <c r="AA1499" s="15"/>
    </row>
    <row r="1500" spans="1:27" s="25" customFormat="1" ht="12" customHeight="1" x14ac:dyDescent="0.2">
      <c r="A1500" s="232"/>
      <c r="B1500" s="250"/>
      <c r="C1500" s="286"/>
      <c r="D1500" s="232"/>
      <c r="E1500" s="232"/>
      <c r="F1500" s="232"/>
      <c r="G1500" s="232"/>
      <c r="H1500" s="232"/>
      <c r="I1500" s="232"/>
      <c r="J1500" s="232"/>
      <c r="K1500" s="232"/>
      <c r="L1500" s="232"/>
      <c r="M1500" s="232"/>
      <c r="N1500" s="232"/>
      <c r="O1500" s="232"/>
      <c r="P1500" s="232"/>
      <c r="Q1500" s="232"/>
      <c r="R1500" s="232"/>
      <c r="S1500" s="232"/>
      <c r="T1500" s="232"/>
      <c r="U1500" s="232"/>
      <c r="V1500" s="15"/>
      <c r="W1500" s="15"/>
      <c r="X1500" s="15"/>
      <c r="Y1500" s="15"/>
      <c r="Z1500" s="15"/>
      <c r="AA1500" s="15"/>
    </row>
    <row r="1501" spans="1:27" s="25" customFormat="1" ht="12" customHeight="1" x14ac:dyDescent="0.2">
      <c r="A1501" s="232"/>
      <c r="B1501" s="250"/>
      <c r="C1501" s="286"/>
      <c r="D1501" s="232"/>
      <c r="E1501" s="232"/>
      <c r="F1501" s="232"/>
      <c r="G1501" s="232"/>
      <c r="H1501" s="232"/>
      <c r="I1501" s="232"/>
      <c r="J1501" s="232"/>
      <c r="K1501" s="232"/>
      <c r="L1501" s="232"/>
      <c r="M1501" s="232"/>
      <c r="N1501" s="232"/>
      <c r="O1501" s="232"/>
      <c r="P1501" s="232"/>
      <c r="Q1501" s="232"/>
      <c r="R1501" s="232"/>
      <c r="S1501" s="232"/>
      <c r="T1501" s="232"/>
      <c r="U1501" s="232"/>
      <c r="V1501" s="15"/>
      <c r="W1501" s="15"/>
      <c r="X1501" s="15"/>
      <c r="Y1501" s="15"/>
      <c r="Z1501" s="15"/>
      <c r="AA1501" s="15"/>
    </row>
    <row r="1502" spans="1:27" s="25" customFormat="1" ht="12" customHeight="1" x14ac:dyDescent="0.2">
      <c r="A1502" s="232"/>
      <c r="B1502" s="250"/>
      <c r="C1502" s="286"/>
      <c r="D1502" s="232"/>
      <c r="E1502" s="232"/>
      <c r="F1502" s="232"/>
      <c r="G1502" s="232"/>
      <c r="H1502" s="232"/>
      <c r="I1502" s="232"/>
      <c r="J1502" s="232"/>
      <c r="K1502" s="232"/>
      <c r="L1502" s="232"/>
      <c r="M1502" s="232"/>
      <c r="N1502" s="232"/>
      <c r="O1502" s="232"/>
      <c r="P1502" s="232"/>
      <c r="Q1502" s="232"/>
      <c r="R1502" s="232"/>
      <c r="S1502" s="232"/>
      <c r="T1502" s="232"/>
      <c r="U1502" s="232"/>
      <c r="V1502" s="15"/>
      <c r="W1502" s="15"/>
      <c r="X1502" s="15"/>
      <c r="Y1502" s="15"/>
      <c r="Z1502" s="15"/>
      <c r="AA1502" s="15"/>
    </row>
    <row r="1503" spans="1:27" s="25" customFormat="1" ht="12" customHeight="1" x14ac:dyDescent="0.2">
      <c r="A1503" s="232"/>
      <c r="B1503" s="250"/>
      <c r="C1503" s="286"/>
      <c r="D1503" s="232"/>
      <c r="E1503" s="232"/>
      <c r="F1503" s="232"/>
      <c r="G1503" s="232"/>
      <c r="H1503" s="232"/>
      <c r="I1503" s="232"/>
      <c r="J1503" s="232"/>
      <c r="K1503" s="232"/>
      <c r="L1503" s="232"/>
      <c r="M1503" s="232"/>
      <c r="N1503" s="232"/>
      <c r="O1503" s="232"/>
      <c r="P1503" s="232"/>
      <c r="Q1503" s="232"/>
      <c r="R1503" s="232"/>
      <c r="S1503" s="232"/>
      <c r="T1503" s="232"/>
      <c r="U1503" s="232"/>
      <c r="V1503" s="15"/>
      <c r="W1503" s="15"/>
      <c r="X1503" s="15"/>
      <c r="Y1503" s="15"/>
      <c r="Z1503" s="15"/>
      <c r="AA1503" s="15"/>
    </row>
    <row r="1504" spans="1:27" s="25" customFormat="1" ht="12" customHeight="1" x14ac:dyDescent="0.2">
      <c r="A1504" s="232"/>
      <c r="B1504" s="250"/>
      <c r="C1504" s="286"/>
      <c r="D1504" s="232"/>
      <c r="E1504" s="232"/>
      <c r="F1504" s="232"/>
      <c r="G1504" s="232"/>
      <c r="H1504" s="232"/>
      <c r="I1504" s="232"/>
      <c r="J1504" s="232"/>
      <c r="K1504" s="232"/>
      <c r="L1504" s="232"/>
      <c r="M1504" s="232"/>
      <c r="N1504" s="232"/>
      <c r="O1504" s="232"/>
      <c r="P1504" s="232"/>
      <c r="Q1504" s="232"/>
      <c r="R1504" s="232"/>
      <c r="S1504" s="232"/>
      <c r="T1504" s="232"/>
      <c r="U1504" s="232"/>
      <c r="V1504" s="15"/>
      <c r="W1504" s="15"/>
      <c r="X1504" s="15"/>
      <c r="Y1504" s="15"/>
      <c r="Z1504" s="15"/>
      <c r="AA1504" s="15"/>
    </row>
    <row r="1505" spans="1:27" s="25" customFormat="1" ht="12" customHeight="1" x14ac:dyDescent="0.2">
      <c r="A1505" s="232"/>
      <c r="B1505" s="250"/>
      <c r="C1505" s="286"/>
      <c r="D1505" s="232"/>
      <c r="E1505" s="232"/>
      <c r="F1505" s="232"/>
      <c r="G1505" s="232"/>
      <c r="H1505" s="232"/>
      <c r="I1505" s="232"/>
      <c r="J1505" s="232"/>
      <c r="K1505" s="232"/>
      <c r="L1505" s="232"/>
      <c r="M1505" s="232"/>
      <c r="N1505" s="232"/>
      <c r="O1505" s="232"/>
      <c r="P1505" s="232"/>
      <c r="Q1505" s="232"/>
      <c r="R1505" s="232"/>
      <c r="S1505" s="232"/>
      <c r="T1505" s="232"/>
      <c r="U1505" s="232"/>
      <c r="V1505" s="15"/>
      <c r="W1505" s="15"/>
      <c r="X1505" s="15"/>
      <c r="Y1505" s="15"/>
      <c r="Z1505" s="15"/>
      <c r="AA1505" s="15"/>
    </row>
    <row r="1506" spans="1:27" s="25" customFormat="1" ht="12" customHeight="1" x14ac:dyDescent="0.2">
      <c r="A1506" s="232"/>
      <c r="B1506" s="250"/>
      <c r="C1506" s="286"/>
      <c r="D1506" s="232"/>
      <c r="E1506" s="232"/>
      <c r="F1506" s="232"/>
      <c r="G1506" s="232"/>
      <c r="H1506" s="232"/>
      <c r="I1506" s="232"/>
      <c r="J1506" s="232"/>
      <c r="K1506" s="232"/>
      <c r="L1506" s="232"/>
      <c r="M1506" s="232"/>
      <c r="N1506" s="232"/>
      <c r="O1506" s="232"/>
      <c r="P1506" s="232"/>
      <c r="Q1506" s="232"/>
      <c r="R1506" s="232"/>
      <c r="S1506" s="232"/>
      <c r="T1506" s="232"/>
      <c r="U1506" s="232"/>
      <c r="V1506" s="15"/>
      <c r="W1506" s="15"/>
      <c r="X1506" s="15"/>
      <c r="Y1506" s="15"/>
      <c r="Z1506" s="15"/>
      <c r="AA1506" s="15"/>
    </row>
    <row r="1507" spans="1:27" s="25" customFormat="1" ht="12" customHeight="1" x14ac:dyDescent="0.2">
      <c r="A1507" s="232"/>
      <c r="B1507" s="250"/>
      <c r="C1507" s="286"/>
      <c r="D1507" s="232"/>
      <c r="E1507" s="232"/>
      <c r="F1507" s="232"/>
      <c r="G1507" s="232"/>
      <c r="H1507" s="232"/>
      <c r="I1507" s="232"/>
      <c r="J1507" s="232"/>
      <c r="K1507" s="232"/>
      <c r="L1507" s="232"/>
      <c r="M1507" s="232"/>
      <c r="N1507" s="232"/>
      <c r="O1507" s="232"/>
      <c r="P1507" s="232"/>
      <c r="Q1507" s="232"/>
      <c r="R1507" s="232"/>
      <c r="S1507" s="232"/>
      <c r="T1507" s="232"/>
      <c r="U1507" s="232"/>
      <c r="V1507" s="15"/>
      <c r="W1507" s="15"/>
      <c r="X1507" s="15"/>
      <c r="Y1507" s="15"/>
      <c r="Z1507" s="15"/>
      <c r="AA1507" s="15"/>
    </row>
    <row r="1508" spans="1:27" s="25" customFormat="1" ht="12" customHeight="1" x14ac:dyDescent="0.2">
      <c r="A1508" s="232"/>
      <c r="B1508" s="250"/>
      <c r="C1508" s="286"/>
      <c r="D1508" s="232"/>
      <c r="E1508" s="232"/>
      <c r="F1508" s="232"/>
      <c r="G1508" s="232"/>
      <c r="H1508" s="232"/>
      <c r="I1508" s="232"/>
      <c r="J1508" s="232"/>
      <c r="K1508" s="232"/>
      <c r="L1508" s="232"/>
      <c r="M1508" s="232"/>
      <c r="N1508" s="232"/>
      <c r="O1508" s="232"/>
      <c r="P1508" s="232"/>
      <c r="Q1508" s="232"/>
      <c r="R1508" s="232"/>
      <c r="S1508" s="232"/>
      <c r="T1508" s="232"/>
      <c r="U1508" s="232"/>
      <c r="V1508" s="15"/>
      <c r="W1508" s="15"/>
      <c r="X1508" s="15"/>
      <c r="Y1508" s="15"/>
      <c r="Z1508" s="15"/>
      <c r="AA1508" s="15"/>
    </row>
    <row r="1509" spans="1:27" s="25" customFormat="1" ht="12" customHeight="1" x14ac:dyDescent="0.2">
      <c r="A1509" s="232"/>
      <c r="B1509" s="250"/>
      <c r="C1509" s="286"/>
      <c r="D1509" s="232"/>
      <c r="E1509" s="232"/>
      <c r="F1509" s="232"/>
      <c r="G1509" s="232"/>
      <c r="H1509" s="232"/>
      <c r="I1509" s="232"/>
      <c r="J1509" s="232"/>
      <c r="K1509" s="232"/>
      <c r="L1509" s="232"/>
      <c r="M1509" s="232"/>
      <c r="N1509" s="232"/>
      <c r="O1509" s="232"/>
      <c r="P1509" s="232"/>
      <c r="Q1509" s="232"/>
      <c r="R1509" s="232"/>
      <c r="S1509" s="232"/>
      <c r="T1509" s="232"/>
      <c r="U1509" s="232"/>
      <c r="V1509" s="15"/>
      <c r="W1509" s="15"/>
      <c r="X1509" s="15"/>
      <c r="Y1509" s="15"/>
      <c r="Z1509" s="15"/>
      <c r="AA1509" s="15"/>
    </row>
    <row r="1510" spans="1:27" s="25" customFormat="1" ht="12" customHeight="1" x14ac:dyDescent="0.2">
      <c r="A1510" s="232"/>
      <c r="B1510" s="250"/>
      <c r="C1510" s="286"/>
      <c r="D1510" s="232"/>
      <c r="E1510" s="232"/>
      <c r="F1510" s="232"/>
      <c r="G1510" s="232"/>
      <c r="H1510" s="232"/>
      <c r="I1510" s="232"/>
      <c r="J1510" s="232"/>
      <c r="K1510" s="232"/>
      <c r="L1510" s="232"/>
      <c r="M1510" s="232"/>
      <c r="N1510" s="232"/>
      <c r="O1510" s="232"/>
      <c r="P1510" s="232"/>
      <c r="Q1510" s="232"/>
      <c r="R1510" s="232"/>
      <c r="S1510" s="232"/>
      <c r="T1510" s="232"/>
      <c r="U1510" s="232"/>
      <c r="V1510" s="15"/>
      <c r="W1510" s="15"/>
      <c r="X1510" s="15"/>
      <c r="Y1510" s="15"/>
      <c r="Z1510" s="15"/>
      <c r="AA1510" s="15"/>
    </row>
    <row r="1511" spans="1:27" s="25" customFormat="1" ht="12" customHeight="1" x14ac:dyDescent="0.2">
      <c r="A1511" s="232"/>
      <c r="B1511" s="250"/>
      <c r="C1511" s="286"/>
      <c r="D1511" s="232"/>
      <c r="E1511" s="232"/>
      <c r="F1511" s="232"/>
      <c r="G1511" s="232"/>
      <c r="H1511" s="232"/>
      <c r="I1511" s="232"/>
      <c r="J1511" s="232"/>
      <c r="K1511" s="232"/>
      <c r="L1511" s="232"/>
      <c r="M1511" s="232"/>
      <c r="N1511" s="232"/>
      <c r="O1511" s="232"/>
      <c r="P1511" s="232"/>
      <c r="Q1511" s="232"/>
      <c r="R1511" s="232"/>
      <c r="S1511" s="232"/>
      <c r="T1511" s="232"/>
      <c r="U1511" s="232"/>
      <c r="V1511" s="15"/>
      <c r="W1511" s="15"/>
      <c r="X1511" s="15"/>
      <c r="Y1511" s="15"/>
      <c r="Z1511" s="15"/>
      <c r="AA1511" s="15"/>
    </row>
    <row r="1512" spans="1:27" s="25" customFormat="1" ht="12" customHeight="1" x14ac:dyDescent="0.2">
      <c r="A1512" s="232"/>
      <c r="B1512" s="250"/>
      <c r="C1512" s="286"/>
      <c r="D1512" s="232"/>
      <c r="E1512" s="232"/>
      <c r="F1512" s="232"/>
      <c r="G1512" s="232"/>
      <c r="H1512" s="232"/>
      <c r="I1512" s="232"/>
      <c r="J1512" s="232"/>
      <c r="K1512" s="232"/>
      <c r="L1512" s="232"/>
      <c r="M1512" s="232"/>
      <c r="N1512" s="232"/>
      <c r="O1512" s="232"/>
      <c r="P1512" s="232"/>
      <c r="Q1512" s="232"/>
      <c r="R1512" s="232"/>
      <c r="S1512" s="232"/>
      <c r="T1512" s="232"/>
      <c r="U1512" s="232"/>
      <c r="V1512" s="15"/>
      <c r="W1512" s="15"/>
      <c r="X1512" s="15"/>
      <c r="Y1512" s="15"/>
      <c r="Z1512" s="15"/>
      <c r="AA1512" s="15"/>
    </row>
    <row r="1513" spans="1:27" s="25" customFormat="1" ht="12" customHeight="1" x14ac:dyDescent="0.2">
      <c r="A1513" s="232"/>
      <c r="B1513" s="250"/>
      <c r="C1513" s="286"/>
      <c r="D1513" s="232"/>
      <c r="E1513" s="232"/>
      <c r="F1513" s="232"/>
      <c r="G1513" s="232"/>
      <c r="H1513" s="232"/>
      <c r="I1513" s="232"/>
      <c r="J1513" s="232"/>
      <c r="K1513" s="232"/>
      <c r="L1513" s="232"/>
      <c r="M1513" s="232"/>
      <c r="N1513" s="232"/>
      <c r="O1513" s="232"/>
      <c r="P1513" s="232"/>
      <c r="Q1513" s="232"/>
      <c r="R1513" s="232"/>
      <c r="S1513" s="232"/>
      <c r="T1513" s="232"/>
      <c r="U1513" s="232"/>
      <c r="V1513" s="15"/>
      <c r="W1513" s="15"/>
      <c r="X1513" s="15"/>
      <c r="Y1513" s="15"/>
      <c r="Z1513" s="15"/>
      <c r="AA1513" s="15"/>
    </row>
    <row r="1514" spans="1:27" s="25" customFormat="1" ht="12" customHeight="1" x14ac:dyDescent="0.2">
      <c r="A1514" s="232"/>
      <c r="B1514" s="250"/>
      <c r="C1514" s="286"/>
      <c r="D1514" s="232"/>
      <c r="E1514" s="232"/>
      <c r="F1514" s="232"/>
      <c r="G1514" s="232"/>
      <c r="H1514" s="232"/>
      <c r="I1514" s="232"/>
      <c r="J1514" s="232"/>
      <c r="K1514" s="232"/>
      <c r="L1514" s="232"/>
      <c r="M1514" s="232"/>
      <c r="N1514" s="232"/>
      <c r="O1514" s="232"/>
      <c r="P1514" s="232"/>
      <c r="Q1514" s="232"/>
      <c r="R1514" s="232"/>
      <c r="S1514" s="232"/>
      <c r="T1514" s="232"/>
      <c r="U1514" s="232"/>
      <c r="V1514" s="15"/>
      <c r="W1514" s="15"/>
      <c r="X1514" s="15"/>
      <c r="Y1514" s="15"/>
      <c r="Z1514" s="15"/>
      <c r="AA1514" s="15"/>
    </row>
    <row r="1515" spans="1:27" s="25" customFormat="1" ht="12" customHeight="1" x14ac:dyDescent="0.2">
      <c r="A1515" s="232"/>
      <c r="B1515" s="250"/>
      <c r="C1515" s="286"/>
      <c r="D1515" s="232"/>
      <c r="E1515" s="232"/>
      <c r="F1515" s="232"/>
      <c r="G1515" s="232"/>
      <c r="H1515" s="232"/>
      <c r="I1515" s="232"/>
      <c r="J1515" s="232"/>
      <c r="K1515" s="232"/>
      <c r="L1515" s="232"/>
      <c r="M1515" s="232"/>
      <c r="N1515" s="232"/>
      <c r="O1515" s="232"/>
      <c r="P1515" s="232"/>
      <c r="Q1515" s="232"/>
      <c r="R1515" s="232"/>
      <c r="S1515" s="232"/>
      <c r="T1515" s="232"/>
      <c r="U1515" s="232"/>
      <c r="V1515" s="15"/>
      <c r="W1515" s="15"/>
      <c r="X1515" s="15"/>
      <c r="Y1515" s="15"/>
      <c r="Z1515" s="15"/>
      <c r="AA1515" s="15"/>
    </row>
    <row r="1516" spans="1:27" s="25" customFormat="1" ht="12" customHeight="1" x14ac:dyDescent="0.2">
      <c r="A1516" s="232"/>
      <c r="B1516" s="250"/>
      <c r="C1516" s="286"/>
      <c r="D1516" s="232"/>
      <c r="E1516" s="232"/>
      <c r="F1516" s="232"/>
      <c r="G1516" s="232"/>
      <c r="H1516" s="232"/>
      <c r="I1516" s="232"/>
      <c r="J1516" s="232"/>
      <c r="K1516" s="232"/>
      <c r="L1516" s="232"/>
      <c r="M1516" s="232"/>
      <c r="N1516" s="232"/>
      <c r="O1516" s="232"/>
      <c r="P1516" s="232"/>
      <c r="Q1516" s="232"/>
      <c r="R1516" s="232"/>
      <c r="S1516" s="232"/>
      <c r="T1516" s="232"/>
      <c r="U1516" s="232"/>
      <c r="V1516" s="15"/>
      <c r="W1516" s="15"/>
      <c r="X1516" s="15"/>
      <c r="Y1516" s="15"/>
      <c r="Z1516" s="15"/>
      <c r="AA1516" s="15"/>
    </row>
    <row r="1517" spans="1:27" s="25" customFormat="1" ht="12" customHeight="1" x14ac:dyDescent="0.2">
      <c r="A1517" s="232"/>
      <c r="B1517" s="250"/>
      <c r="C1517" s="286"/>
      <c r="D1517" s="232"/>
      <c r="E1517" s="232"/>
      <c r="F1517" s="232"/>
      <c r="G1517" s="232"/>
      <c r="H1517" s="232"/>
      <c r="I1517" s="232"/>
      <c r="J1517" s="232"/>
      <c r="K1517" s="232"/>
      <c r="L1517" s="232"/>
      <c r="M1517" s="232"/>
      <c r="N1517" s="232"/>
      <c r="O1517" s="232"/>
      <c r="P1517" s="232"/>
      <c r="Q1517" s="232"/>
      <c r="R1517" s="232"/>
      <c r="S1517" s="232"/>
      <c r="T1517" s="232"/>
      <c r="U1517" s="232"/>
      <c r="V1517" s="15"/>
      <c r="W1517" s="15"/>
      <c r="X1517" s="15"/>
      <c r="Y1517" s="15"/>
      <c r="Z1517" s="15"/>
      <c r="AA1517" s="15"/>
    </row>
    <row r="1518" spans="1:27" s="25" customFormat="1" ht="12" customHeight="1" x14ac:dyDescent="0.2">
      <c r="A1518" s="232"/>
      <c r="B1518" s="250"/>
      <c r="C1518" s="286"/>
      <c r="D1518" s="232"/>
      <c r="E1518" s="232"/>
      <c r="F1518" s="232"/>
      <c r="G1518" s="232"/>
      <c r="H1518" s="232"/>
      <c r="I1518" s="232"/>
      <c r="J1518" s="232"/>
      <c r="K1518" s="232"/>
      <c r="L1518" s="232"/>
      <c r="M1518" s="232"/>
      <c r="N1518" s="232"/>
      <c r="O1518" s="232"/>
      <c r="P1518" s="232"/>
      <c r="Q1518" s="232"/>
      <c r="R1518" s="232"/>
      <c r="S1518" s="232"/>
      <c r="T1518" s="232"/>
      <c r="U1518" s="232"/>
      <c r="V1518" s="15"/>
      <c r="W1518" s="15"/>
      <c r="X1518" s="15"/>
      <c r="Y1518" s="15"/>
      <c r="Z1518" s="15"/>
      <c r="AA1518" s="15"/>
    </row>
    <row r="1519" spans="1:27" s="25" customFormat="1" ht="12" customHeight="1" x14ac:dyDescent="0.2">
      <c r="A1519" s="232"/>
      <c r="B1519" s="250"/>
      <c r="C1519" s="286"/>
      <c r="D1519" s="232"/>
      <c r="E1519" s="232"/>
      <c r="F1519" s="232"/>
      <c r="G1519" s="232"/>
      <c r="H1519" s="232"/>
      <c r="I1519" s="232"/>
      <c r="J1519" s="232"/>
      <c r="K1519" s="232"/>
      <c r="L1519" s="232"/>
      <c r="M1519" s="232"/>
      <c r="N1519" s="232"/>
      <c r="O1519" s="232"/>
      <c r="P1519" s="232"/>
      <c r="Q1519" s="232"/>
      <c r="R1519" s="232"/>
      <c r="S1519" s="232"/>
      <c r="T1519" s="232"/>
      <c r="U1519" s="232"/>
      <c r="V1519" s="15"/>
      <c r="W1519" s="15"/>
      <c r="X1519" s="15"/>
      <c r="Y1519" s="15"/>
      <c r="Z1519" s="15"/>
      <c r="AA1519" s="15"/>
    </row>
    <row r="1520" spans="1:27" s="25" customFormat="1" ht="12" customHeight="1" x14ac:dyDescent="0.2">
      <c r="A1520" s="232"/>
      <c r="B1520" s="250"/>
      <c r="C1520" s="286"/>
      <c r="D1520" s="232"/>
      <c r="E1520" s="232"/>
      <c r="F1520" s="232"/>
      <c r="G1520" s="232"/>
      <c r="H1520" s="232"/>
      <c r="I1520" s="232"/>
      <c r="J1520" s="232"/>
      <c r="K1520" s="232"/>
      <c r="L1520" s="232"/>
      <c r="M1520" s="232"/>
      <c r="N1520" s="232"/>
      <c r="O1520" s="232"/>
      <c r="P1520" s="232"/>
      <c r="Q1520" s="232"/>
      <c r="R1520" s="232"/>
      <c r="S1520" s="232"/>
      <c r="T1520" s="232"/>
      <c r="U1520" s="232"/>
      <c r="V1520" s="15"/>
      <c r="W1520" s="15"/>
      <c r="X1520" s="15"/>
      <c r="Y1520" s="15"/>
      <c r="Z1520" s="15"/>
      <c r="AA1520" s="15"/>
    </row>
    <row r="1521" spans="1:27" s="25" customFormat="1" ht="12" customHeight="1" x14ac:dyDescent="0.2">
      <c r="A1521" s="232"/>
      <c r="B1521" s="250"/>
      <c r="C1521" s="286"/>
      <c r="D1521" s="232"/>
      <c r="E1521" s="232"/>
      <c r="F1521" s="232"/>
      <c r="G1521" s="232"/>
      <c r="H1521" s="232"/>
      <c r="I1521" s="232"/>
      <c r="J1521" s="232"/>
      <c r="K1521" s="232"/>
      <c r="L1521" s="232"/>
      <c r="M1521" s="232"/>
      <c r="N1521" s="232"/>
      <c r="O1521" s="232"/>
      <c r="P1521" s="232"/>
      <c r="Q1521" s="232"/>
      <c r="R1521" s="232"/>
      <c r="S1521" s="232"/>
      <c r="T1521" s="232"/>
      <c r="U1521" s="232"/>
      <c r="V1521" s="15"/>
      <c r="W1521" s="15"/>
      <c r="X1521" s="15"/>
      <c r="Y1521" s="15"/>
      <c r="Z1521" s="15"/>
      <c r="AA1521" s="15"/>
    </row>
    <row r="1522" spans="1:27" s="25" customFormat="1" ht="12" customHeight="1" x14ac:dyDescent="0.2">
      <c r="A1522" s="232"/>
      <c r="B1522" s="250"/>
      <c r="C1522" s="286"/>
      <c r="D1522" s="232"/>
      <c r="E1522" s="232"/>
      <c r="F1522" s="232"/>
      <c r="G1522" s="232"/>
      <c r="H1522" s="232"/>
      <c r="I1522" s="232"/>
      <c r="J1522" s="232"/>
      <c r="K1522" s="232"/>
      <c r="L1522" s="232"/>
      <c r="M1522" s="232"/>
      <c r="N1522" s="232"/>
      <c r="O1522" s="232"/>
      <c r="P1522" s="232"/>
      <c r="Q1522" s="232"/>
      <c r="R1522" s="232"/>
      <c r="S1522" s="232"/>
      <c r="T1522" s="232"/>
      <c r="U1522" s="232"/>
      <c r="V1522" s="15"/>
      <c r="W1522" s="15"/>
      <c r="X1522" s="15"/>
      <c r="Y1522" s="15"/>
      <c r="Z1522" s="15"/>
      <c r="AA1522" s="15"/>
    </row>
    <row r="1523" spans="1:27" s="25" customFormat="1" ht="12" customHeight="1" x14ac:dyDescent="0.2">
      <c r="A1523" s="232"/>
      <c r="B1523" s="250"/>
      <c r="C1523" s="286"/>
      <c r="D1523" s="232"/>
      <c r="E1523" s="232"/>
      <c r="F1523" s="232"/>
      <c r="G1523" s="232"/>
      <c r="H1523" s="232"/>
      <c r="I1523" s="232"/>
      <c r="J1523" s="232"/>
      <c r="K1523" s="232"/>
      <c r="L1523" s="232"/>
      <c r="M1523" s="232"/>
      <c r="N1523" s="232"/>
      <c r="O1523" s="232"/>
      <c r="P1523" s="232"/>
      <c r="Q1523" s="232"/>
      <c r="R1523" s="232"/>
      <c r="S1523" s="232"/>
      <c r="T1523" s="232"/>
      <c r="U1523" s="232"/>
      <c r="V1523" s="15"/>
      <c r="W1523" s="15"/>
      <c r="X1523" s="15"/>
      <c r="Y1523" s="15"/>
      <c r="Z1523" s="15"/>
      <c r="AA1523" s="15"/>
    </row>
    <row r="1524" spans="1:27" s="25" customFormat="1" ht="12" customHeight="1" x14ac:dyDescent="0.2">
      <c r="A1524" s="232"/>
      <c r="B1524" s="250"/>
      <c r="C1524" s="286"/>
      <c r="D1524" s="232"/>
      <c r="E1524" s="232"/>
      <c r="F1524" s="232"/>
      <c r="G1524" s="232"/>
      <c r="H1524" s="232"/>
      <c r="I1524" s="232"/>
      <c r="J1524" s="232"/>
      <c r="K1524" s="232"/>
      <c r="L1524" s="232"/>
      <c r="M1524" s="232"/>
      <c r="N1524" s="232"/>
      <c r="O1524" s="232"/>
      <c r="P1524" s="232"/>
      <c r="Q1524" s="232"/>
      <c r="R1524" s="232"/>
      <c r="S1524" s="232"/>
      <c r="T1524" s="232"/>
      <c r="U1524" s="232"/>
      <c r="V1524" s="15"/>
      <c r="W1524" s="15"/>
      <c r="X1524" s="15"/>
      <c r="Y1524" s="15"/>
      <c r="Z1524" s="15"/>
      <c r="AA1524" s="15"/>
    </row>
    <row r="1525" spans="1:27" s="25" customFormat="1" ht="12" customHeight="1" x14ac:dyDescent="0.2">
      <c r="A1525" s="232"/>
      <c r="B1525" s="250"/>
      <c r="C1525" s="286"/>
      <c r="D1525" s="232"/>
      <c r="E1525" s="232"/>
      <c r="F1525" s="232"/>
      <c r="G1525" s="232"/>
      <c r="H1525" s="232"/>
      <c r="I1525" s="232"/>
      <c r="J1525" s="232"/>
      <c r="K1525" s="232"/>
      <c r="L1525" s="232"/>
      <c r="M1525" s="232"/>
      <c r="N1525" s="232"/>
      <c r="O1525" s="232"/>
      <c r="P1525" s="232"/>
      <c r="Q1525" s="232"/>
      <c r="R1525" s="232"/>
      <c r="S1525" s="232"/>
      <c r="T1525" s="232"/>
      <c r="U1525" s="232"/>
      <c r="V1525" s="15"/>
      <c r="W1525" s="15"/>
      <c r="X1525" s="15"/>
      <c r="Y1525" s="15"/>
      <c r="Z1525" s="15"/>
      <c r="AA1525" s="15"/>
    </row>
    <row r="1526" spans="1:27" s="25" customFormat="1" ht="12" customHeight="1" x14ac:dyDescent="0.2">
      <c r="A1526" s="232"/>
      <c r="B1526" s="250"/>
      <c r="C1526" s="286"/>
      <c r="D1526" s="232"/>
      <c r="E1526" s="232"/>
      <c r="F1526" s="232"/>
      <c r="G1526" s="232"/>
      <c r="H1526" s="232"/>
      <c r="I1526" s="232"/>
      <c r="J1526" s="232"/>
      <c r="K1526" s="232"/>
      <c r="L1526" s="232"/>
      <c r="M1526" s="232"/>
      <c r="N1526" s="232"/>
      <c r="O1526" s="232"/>
      <c r="P1526" s="232"/>
      <c r="Q1526" s="232"/>
      <c r="R1526" s="232"/>
      <c r="S1526" s="232"/>
      <c r="T1526" s="232"/>
      <c r="U1526" s="232"/>
      <c r="V1526" s="15"/>
      <c r="W1526" s="15"/>
      <c r="X1526" s="15"/>
      <c r="Y1526" s="15"/>
      <c r="Z1526" s="15"/>
      <c r="AA1526" s="15"/>
    </row>
    <row r="1527" spans="1:27" s="25" customFormat="1" ht="12" customHeight="1" x14ac:dyDescent="0.2">
      <c r="A1527" s="232"/>
      <c r="B1527" s="250"/>
      <c r="C1527" s="286"/>
      <c r="D1527" s="232"/>
      <c r="E1527" s="232"/>
      <c r="F1527" s="232"/>
      <c r="G1527" s="232"/>
      <c r="H1527" s="232"/>
      <c r="I1527" s="232"/>
      <c r="J1527" s="232"/>
      <c r="K1527" s="232"/>
      <c r="L1527" s="232"/>
      <c r="M1527" s="232"/>
      <c r="N1527" s="232"/>
      <c r="O1527" s="232"/>
      <c r="P1527" s="232"/>
      <c r="Q1527" s="232"/>
      <c r="R1527" s="232"/>
      <c r="S1527" s="232"/>
      <c r="T1527" s="232"/>
      <c r="U1527" s="232"/>
      <c r="V1527" s="15"/>
      <c r="W1527" s="15"/>
      <c r="X1527" s="15"/>
      <c r="Y1527" s="15"/>
      <c r="Z1527" s="15"/>
      <c r="AA1527" s="15"/>
    </row>
    <row r="1528" spans="1:27" s="25" customFormat="1" ht="12" customHeight="1" x14ac:dyDescent="0.2">
      <c r="A1528" s="232"/>
      <c r="B1528" s="250"/>
      <c r="C1528" s="286"/>
      <c r="D1528" s="232"/>
      <c r="E1528" s="232"/>
      <c r="F1528" s="232"/>
      <c r="G1528" s="232"/>
      <c r="H1528" s="232"/>
      <c r="I1528" s="232"/>
      <c r="J1528" s="232"/>
      <c r="K1528" s="232"/>
      <c r="L1528" s="232"/>
      <c r="M1528" s="232"/>
      <c r="N1528" s="232"/>
      <c r="O1528" s="232"/>
      <c r="P1528" s="232"/>
      <c r="Q1528" s="232"/>
      <c r="R1528" s="232"/>
      <c r="S1528" s="232"/>
      <c r="T1528" s="232"/>
      <c r="U1528" s="232"/>
      <c r="V1528" s="15"/>
      <c r="W1528" s="15"/>
      <c r="X1528" s="15"/>
      <c r="Y1528" s="15"/>
      <c r="Z1528" s="15"/>
      <c r="AA1528" s="15"/>
    </row>
    <row r="1529" spans="1:27" s="25" customFormat="1" ht="12" customHeight="1" x14ac:dyDescent="0.2">
      <c r="A1529" s="232"/>
      <c r="B1529" s="250"/>
      <c r="C1529" s="286"/>
      <c r="D1529" s="232"/>
      <c r="E1529" s="232"/>
      <c r="F1529" s="232"/>
      <c r="G1529" s="232"/>
      <c r="H1529" s="232"/>
      <c r="I1529" s="232"/>
      <c r="J1529" s="232"/>
      <c r="K1529" s="232"/>
      <c r="L1529" s="232"/>
      <c r="M1529" s="232"/>
      <c r="N1529" s="232"/>
      <c r="O1529" s="232"/>
      <c r="P1529" s="232"/>
      <c r="Q1529" s="232"/>
      <c r="R1529" s="232"/>
      <c r="S1529" s="232"/>
      <c r="T1529" s="232"/>
      <c r="U1529" s="232"/>
      <c r="V1529" s="15"/>
      <c r="W1529" s="15"/>
      <c r="X1529" s="15"/>
      <c r="Y1529" s="15"/>
      <c r="Z1529" s="15"/>
      <c r="AA1529" s="15"/>
    </row>
    <row r="1530" spans="1:27" s="25" customFormat="1" ht="12" customHeight="1" x14ac:dyDescent="0.2">
      <c r="A1530" s="232"/>
      <c r="B1530" s="250"/>
      <c r="C1530" s="286"/>
      <c r="D1530" s="232"/>
      <c r="E1530" s="232"/>
      <c r="F1530" s="232"/>
      <c r="G1530" s="232"/>
      <c r="H1530" s="232"/>
      <c r="I1530" s="232"/>
      <c r="J1530" s="232"/>
      <c r="K1530" s="232"/>
      <c r="L1530" s="232"/>
      <c r="M1530" s="232"/>
      <c r="N1530" s="232"/>
      <c r="O1530" s="232"/>
      <c r="P1530" s="232"/>
      <c r="Q1530" s="232"/>
      <c r="R1530" s="232"/>
      <c r="S1530" s="232"/>
      <c r="T1530" s="232"/>
      <c r="U1530" s="232"/>
      <c r="V1530" s="15"/>
      <c r="W1530" s="15"/>
      <c r="X1530" s="15"/>
      <c r="Y1530" s="15"/>
      <c r="Z1530" s="15"/>
      <c r="AA1530" s="15"/>
    </row>
    <row r="1531" spans="1:27" s="25" customFormat="1" ht="12" customHeight="1" x14ac:dyDescent="0.2">
      <c r="A1531" s="232"/>
      <c r="B1531" s="250"/>
      <c r="C1531" s="286"/>
      <c r="D1531" s="232"/>
      <c r="E1531" s="232"/>
      <c r="F1531" s="232"/>
      <c r="G1531" s="232"/>
      <c r="H1531" s="232"/>
      <c r="I1531" s="232"/>
      <c r="J1531" s="232"/>
      <c r="K1531" s="232"/>
      <c r="L1531" s="232"/>
      <c r="M1531" s="232"/>
      <c r="N1531" s="232"/>
      <c r="O1531" s="232"/>
      <c r="P1531" s="232"/>
      <c r="Q1531" s="232"/>
      <c r="R1531" s="232"/>
      <c r="S1531" s="232"/>
      <c r="T1531" s="232"/>
      <c r="U1531" s="232"/>
      <c r="V1531" s="15"/>
      <c r="W1531" s="15"/>
      <c r="X1531" s="15"/>
      <c r="Y1531" s="15"/>
      <c r="Z1531" s="15"/>
      <c r="AA1531" s="15"/>
    </row>
    <row r="1532" spans="1:27" s="25" customFormat="1" ht="12" customHeight="1" x14ac:dyDescent="0.2">
      <c r="A1532" s="232"/>
      <c r="B1532" s="250"/>
      <c r="C1532" s="286"/>
      <c r="D1532" s="232"/>
      <c r="E1532" s="232"/>
      <c r="F1532" s="232"/>
      <c r="G1532" s="232"/>
      <c r="H1532" s="232"/>
      <c r="I1532" s="232"/>
      <c r="J1532" s="232"/>
      <c r="K1532" s="232"/>
      <c r="L1532" s="232"/>
      <c r="M1532" s="232"/>
      <c r="N1532" s="232"/>
      <c r="O1532" s="232"/>
      <c r="P1532" s="232"/>
      <c r="Q1532" s="232"/>
      <c r="R1532" s="232"/>
      <c r="S1532" s="232"/>
      <c r="T1532" s="232"/>
      <c r="U1532" s="232"/>
      <c r="V1532" s="15"/>
      <c r="W1532" s="15"/>
      <c r="X1532" s="15"/>
      <c r="Y1532" s="15"/>
      <c r="Z1532" s="15"/>
      <c r="AA1532" s="15"/>
    </row>
    <row r="1533" spans="1:27" s="25" customFormat="1" ht="12" customHeight="1" x14ac:dyDescent="0.2">
      <c r="A1533" s="232"/>
      <c r="B1533" s="250"/>
      <c r="C1533" s="286"/>
      <c r="D1533" s="232"/>
      <c r="E1533" s="232"/>
      <c r="F1533" s="232"/>
      <c r="G1533" s="232"/>
      <c r="H1533" s="232"/>
      <c r="I1533" s="232"/>
      <c r="J1533" s="232"/>
      <c r="K1533" s="232"/>
      <c r="L1533" s="232"/>
      <c r="M1533" s="232"/>
      <c r="N1533" s="232"/>
      <c r="O1533" s="232"/>
      <c r="P1533" s="232"/>
      <c r="Q1533" s="232"/>
      <c r="R1533" s="232"/>
      <c r="S1533" s="232"/>
      <c r="T1533" s="232"/>
      <c r="U1533" s="232"/>
      <c r="V1533" s="15"/>
      <c r="W1533" s="15"/>
      <c r="X1533" s="15"/>
      <c r="Y1533" s="15"/>
      <c r="Z1533" s="15"/>
      <c r="AA1533" s="15"/>
    </row>
    <row r="1534" spans="1:27" s="25" customFormat="1" ht="12" customHeight="1" x14ac:dyDescent="0.2">
      <c r="A1534" s="232"/>
      <c r="B1534" s="250"/>
      <c r="C1534" s="286"/>
      <c r="D1534" s="232"/>
      <c r="E1534" s="232"/>
      <c r="F1534" s="232"/>
      <c r="G1534" s="232"/>
      <c r="H1534" s="232"/>
      <c r="I1534" s="232"/>
      <c r="J1534" s="232"/>
      <c r="K1534" s="232"/>
      <c r="L1534" s="232"/>
      <c r="M1534" s="232"/>
      <c r="N1534" s="232"/>
      <c r="O1534" s="232"/>
      <c r="P1534" s="232"/>
      <c r="Q1534" s="232"/>
      <c r="R1534" s="232"/>
      <c r="S1534" s="232"/>
      <c r="T1534" s="232"/>
      <c r="U1534" s="232"/>
      <c r="V1534" s="15"/>
      <c r="W1534" s="15"/>
      <c r="X1534" s="15"/>
      <c r="Y1534" s="15"/>
      <c r="Z1534" s="15"/>
      <c r="AA1534" s="15"/>
    </row>
    <row r="1535" spans="1:27" s="25" customFormat="1" ht="12" customHeight="1" x14ac:dyDescent="0.2">
      <c r="A1535" s="232"/>
      <c r="B1535" s="250"/>
      <c r="C1535" s="286"/>
      <c r="D1535" s="232"/>
      <c r="E1535" s="232"/>
      <c r="F1535" s="232"/>
      <c r="G1535" s="232"/>
      <c r="H1535" s="232"/>
      <c r="I1535" s="232"/>
      <c r="J1535" s="232"/>
      <c r="K1535" s="232"/>
      <c r="L1535" s="232"/>
      <c r="M1535" s="232"/>
      <c r="N1535" s="232"/>
      <c r="O1535" s="232"/>
      <c r="P1535" s="232"/>
      <c r="Q1535" s="232"/>
      <c r="R1535" s="232"/>
      <c r="S1535" s="232"/>
      <c r="T1535" s="232"/>
      <c r="U1535" s="232"/>
      <c r="V1535" s="15"/>
      <c r="W1535" s="15"/>
      <c r="X1535" s="15"/>
      <c r="Y1535" s="15"/>
      <c r="Z1535" s="15"/>
      <c r="AA1535" s="15"/>
    </row>
    <row r="1536" spans="1:27" s="25" customFormat="1" ht="12" customHeight="1" x14ac:dyDescent="0.2">
      <c r="A1536" s="232"/>
      <c r="B1536" s="250"/>
      <c r="C1536" s="286"/>
      <c r="D1536" s="232"/>
      <c r="E1536" s="232"/>
      <c r="F1536" s="232"/>
      <c r="G1536" s="232"/>
      <c r="H1536" s="232"/>
      <c r="I1536" s="232"/>
      <c r="J1536" s="232"/>
      <c r="K1536" s="232"/>
      <c r="L1536" s="232"/>
      <c r="M1536" s="232"/>
      <c r="N1536" s="232"/>
      <c r="O1536" s="232"/>
      <c r="P1536" s="232"/>
      <c r="Q1536" s="232"/>
      <c r="R1536" s="232"/>
      <c r="S1536" s="232"/>
      <c r="T1536" s="232"/>
      <c r="U1536" s="232"/>
      <c r="V1536" s="15"/>
      <c r="W1536" s="15"/>
      <c r="X1536" s="15"/>
      <c r="Y1536" s="15"/>
      <c r="Z1536" s="15"/>
      <c r="AA1536" s="15"/>
    </row>
    <row r="1537" spans="1:27" s="25" customFormat="1" ht="12" customHeight="1" x14ac:dyDescent="0.2">
      <c r="A1537" s="232"/>
      <c r="B1537" s="250"/>
      <c r="C1537" s="286"/>
      <c r="D1537" s="232"/>
      <c r="E1537" s="232"/>
      <c r="F1537" s="232"/>
      <c r="G1537" s="232"/>
      <c r="H1537" s="232"/>
      <c r="I1537" s="232"/>
      <c r="J1537" s="232"/>
      <c r="K1537" s="232"/>
      <c r="L1537" s="232"/>
      <c r="M1537" s="232"/>
      <c r="N1537" s="232"/>
      <c r="O1537" s="232"/>
      <c r="P1537" s="232"/>
      <c r="Q1537" s="232"/>
      <c r="R1537" s="232"/>
      <c r="S1537" s="232"/>
      <c r="T1537" s="232"/>
      <c r="U1537" s="232"/>
      <c r="V1537" s="15"/>
      <c r="W1537" s="15"/>
      <c r="X1537" s="15"/>
      <c r="Y1537" s="15"/>
      <c r="Z1537" s="15"/>
      <c r="AA1537" s="15"/>
    </row>
    <row r="1538" spans="1:27" s="25" customFormat="1" ht="12" customHeight="1" x14ac:dyDescent="0.2">
      <c r="A1538" s="232"/>
      <c r="B1538" s="250"/>
      <c r="C1538" s="286"/>
      <c r="D1538" s="232"/>
      <c r="E1538" s="232"/>
      <c r="F1538" s="232"/>
      <c r="G1538" s="232"/>
      <c r="H1538" s="232"/>
      <c r="I1538" s="232"/>
      <c r="J1538" s="232"/>
      <c r="K1538" s="232"/>
      <c r="L1538" s="232"/>
      <c r="M1538" s="232"/>
      <c r="N1538" s="232"/>
      <c r="O1538" s="232"/>
      <c r="P1538" s="232"/>
      <c r="Q1538" s="232"/>
      <c r="R1538" s="232"/>
      <c r="S1538" s="232"/>
      <c r="T1538" s="232"/>
      <c r="U1538" s="232"/>
      <c r="V1538" s="15"/>
      <c r="W1538" s="15"/>
      <c r="X1538" s="15"/>
      <c r="Y1538" s="15"/>
      <c r="Z1538" s="15"/>
      <c r="AA1538" s="15"/>
    </row>
    <row r="1539" spans="1:27" s="25" customFormat="1" ht="12" customHeight="1" x14ac:dyDescent="0.2">
      <c r="A1539" s="232"/>
      <c r="B1539" s="250"/>
      <c r="C1539" s="286"/>
      <c r="D1539" s="232"/>
      <c r="E1539" s="232"/>
      <c r="F1539" s="232"/>
      <c r="G1539" s="232"/>
      <c r="H1539" s="232"/>
      <c r="I1539" s="232"/>
      <c r="J1539" s="232"/>
      <c r="K1539" s="232"/>
      <c r="L1539" s="232"/>
      <c r="M1539" s="232"/>
      <c r="N1539" s="232"/>
      <c r="O1539" s="232"/>
      <c r="P1539" s="232"/>
      <c r="Q1539" s="232"/>
      <c r="R1539" s="232"/>
      <c r="S1539" s="232"/>
      <c r="T1539" s="232"/>
      <c r="U1539" s="232"/>
      <c r="V1539" s="15"/>
      <c r="W1539" s="15"/>
      <c r="X1539" s="15"/>
      <c r="Y1539" s="15"/>
      <c r="Z1539" s="15"/>
      <c r="AA1539" s="15"/>
    </row>
    <row r="1540" spans="1:27" s="25" customFormat="1" ht="12" customHeight="1" x14ac:dyDescent="0.2">
      <c r="A1540" s="232"/>
      <c r="B1540" s="250"/>
      <c r="C1540" s="286"/>
      <c r="D1540" s="232"/>
      <c r="E1540" s="232"/>
      <c r="F1540" s="232"/>
      <c r="G1540" s="232"/>
      <c r="H1540" s="232"/>
      <c r="I1540" s="232"/>
      <c r="J1540" s="232"/>
      <c r="K1540" s="232"/>
      <c r="L1540" s="232"/>
      <c r="M1540" s="232"/>
      <c r="N1540" s="232"/>
      <c r="O1540" s="232"/>
      <c r="P1540" s="232"/>
      <c r="Q1540" s="232"/>
      <c r="R1540" s="232"/>
      <c r="S1540" s="232"/>
      <c r="T1540" s="232"/>
      <c r="U1540" s="232"/>
      <c r="V1540" s="15"/>
      <c r="W1540" s="15"/>
      <c r="X1540" s="15"/>
      <c r="Y1540" s="15"/>
      <c r="Z1540" s="15"/>
      <c r="AA1540" s="15"/>
    </row>
    <row r="1541" spans="1:27" s="25" customFormat="1" ht="12" customHeight="1" x14ac:dyDescent="0.2">
      <c r="A1541" s="232"/>
      <c r="B1541" s="250"/>
      <c r="C1541" s="286"/>
      <c r="D1541" s="232"/>
      <c r="E1541" s="232"/>
      <c r="F1541" s="232"/>
      <c r="G1541" s="232"/>
      <c r="H1541" s="232"/>
      <c r="I1541" s="232"/>
      <c r="J1541" s="232"/>
      <c r="K1541" s="232"/>
      <c r="L1541" s="232"/>
      <c r="M1541" s="232"/>
      <c r="N1541" s="232"/>
      <c r="O1541" s="232"/>
      <c r="P1541" s="232"/>
      <c r="Q1541" s="232"/>
      <c r="R1541" s="232"/>
      <c r="S1541" s="232"/>
      <c r="T1541" s="232"/>
      <c r="U1541" s="232"/>
      <c r="V1541" s="15"/>
      <c r="W1541" s="15"/>
      <c r="X1541" s="15"/>
      <c r="Y1541" s="15"/>
      <c r="Z1541" s="15"/>
      <c r="AA1541" s="15"/>
    </row>
    <row r="1542" spans="1:27" s="25" customFormat="1" ht="12" customHeight="1" x14ac:dyDescent="0.2">
      <c r="A1542" s="232"/>
      <c r="B1542" s="250"/>
      <c r="C1542" s="286"/>
      <c r="D1542" s="232"/>
      <c r="E1542" s="232"/>
      <c r="F1542" s="232"/>
      <c r="G1542" s="232"/>
      <c r="H1542" s="232"/>
      <c r="I1542" s="232"/>
      <c r="J1542" s="232"/>
      <c r="K1542" s="232"/>
      <c r="L1542" s="232"/>
      <c r="M1542" s="232"/>
      <c r="N1542" s="232"/>
      <c r="O1542" s="232"/>
      <c r="P1542" s="232"/>
      <c r="Q1542" s="232"/>
      <c r="R1542" s="232"/>
      <c r="S1542" s="232"/>
      <c r="T1542" s="232"/>
      <c r="U1542" s="232"/>
      <c r="V1542" s="15"/>
      <c r="W1542" s="15"/>
      <c r="X1542" s="15"/>
      <c r="Y1542" s="15"/>
      <c r="Z1542" s="15"/>
      <c r="AA1542" s="15"/>
    </row>
    <row r="1543" spans="1:27" s="25" customFormat="1" ht="12" customHeight="1" x14ac:dyDescent="0.2">
      <c r="A1543" s="232"/>
      <c r="B1543" s="250"/>
      <c r="C1543" s="286"/>
      <c r="D1543" s="232"/>
      <c r="E1543" s="232"/>
      <c r="F1543" s="232"/>
      <c r="G1543" s="232"/>
      <c r="H1543" s="232"/>
      <c r="I1543" s="232"/>
      <c r="J1543" s="232"/>
      <c r="K1543" s="232"/>
      <c r="L1543" s="232"/>
      <c r="M1543" s="232"/>
      <c r="N1543" s="232"/>
      <c r="O1543" s="232"/>
      <c r="P1543" s="232"/>
      <c r="Q1543" s="232"/>
      <c r="R1543" s="232"/>
      <c r="S1543" s="232"/>
      <c r="T1543" s="232"/>
      <c r="U1543" s="232"/>
      <c r="V1543" s="15"/>
      <c r="W1543" s="15"/>
      <c r="X1543" s="15"/>
      <c r="Y1543" s="15"/>
      <c r="Z1543" s="15"/>
      <c r="AA1543" s="15"/>
    </row>
    <row r="1544" spans="1:27" s="25" customFormat="1" ht="12" customHeight="1" x14ac:dyDescent="0.2">
      <c r="A1544" s="232"/>
      <c r="B1544" s="250"/>
      <c r="C1544" s="286"/>
      <c r="D1544" s="232"/>
      <c r="E1544" s="232"/>
      <c r="F1544" s="232"/>
      <c r="G1544" s="232"/>
      <c r="H1544" s="232"/>
      <c r="I1544" s="232"/>
      <c r="J1544" s="232"/>
      <c r="K1544" s="232"/>
      <c r="L1544" s="232"/>
      <c r="M1544" s="232"/>
      <c r="N1544" s="232"/>
      <c r="O1544" s="232"/>
      <c r="P1544" s="232"/>
      <c r="Q1544" s="232"/>
      <c r="R1544" s="232"/>
      <c r="S1544" s="232"/>
      <c r="T1544" s="232"/>
      <c r="U1544" s="232"/>
      <c r="V1544" s="15"/>
      <c r="W1544" s="15"/>
      <c r="X1544" s="15"/>
      <c r="Y1544" s="15"/>
      <c r="Z1544" s="15"/>
      <c r="AA1544" s="15"/>
    </row>
    <row r="1545" spans="1:27" s="25" customFormat="1" ht="12" customHeight="1" x14ac:dyDescent="0.2">
      <c r="A1545" s="232"/>
      <c r="B1545" s="250"/>
      <c r="C1545" s="286"/>
      <c r="D1545" s="232"/>
      <c r="E1545" s="232"/>
      <c r="F1545" s="232"/>
      <c r="G1545" s="232"/>
      <c r="H1545" s="232"/>
      <c r="I1545" s="232"/>
      <c r="J1545" s="232"/>
      <c r="K1545" s="232"/>
      <c r="L1545" s="232"/>
      <c r="M1545" s="232"/>
      <c r="N1545" s="232"/>
      <c r="O1545" s="232"/>
      <c r="P1545" s="232"/>
      <c r="Q1545" s="232"/>
      <c r="R1545" s="232"/>
      <c r="S1545" s="232"/>
      <c r="T1545" s="232"/>
      <c r="U1545" s="232"/>
      <c r="V1545" s="15"/>
      <c r="W1545" s="15"/>
      <c r="X1545" s="15"/>
      <c r="Y1545" s="15"/>
      <c r="Z1545" s="15"/>
      <c r="AA1545" s="15"/>
    </row>
    <row r="1546" spans="1:27" s="25" customFormat="1" ht="12" customHeight="1" x14ac:dyDescent="0.2">
      <c r="A1546" s="232"/>
      <c r="B1546" s="250"/>
      <c r="C1546" s="286"/>
      <c r="D1546" s="232"/>
      <c r="E1546" s="232"/>
      <c r="F1546" s="232"/>
      <c r="G1546" s="232"/>
      <c r="H1546" s="232"/>
      <c r="I1546" s="232"/>
      <c r="J1546" s="232"/>
      <c r="K1546" s="232"/>
      <c r="L1546" s="232"/>
      <c r="M1546" s="232"/>
      <c r="N1546" s="232"/>
      <c r="O1546" s="232"/>
      <c r="P1546" s="232"/>
      <c r="Q1546" s="232"/>
      <c r="R1546" s="232"/>
      <c r="S1546" s="232"/>
      <c r="T1546" s="232"/>
      <c r="U1546" s="232"/>
      <c r="V1546" s="15"/>
      <c r="W1546" s="15"/>
      <c r="X1546" s="15"/>
      <c r="Y1546" s="15"/>
      <c r="Z1546" s="15"/>
      <c r="AA1546" s="15"/>
    </row>
    <row r="1547" spans="1:27" s="25" customFormat="1" ht="12" customHeight="1" x14ac:dyDescent="0.2">
      <c r="A1547" s="232"/>
      <c r="B1547" s="250"/>
      <c r="C1547" s="286"/>
      <c r="D1547" s="232"/>
      <c r="E1547" s="232"/>
      <c r="F1547" s="232"/>
      <c r="G1547" s="232"/>
      <c r="H1547" s="232"/>
      <c r="I1547" s="232"/>
      <c r="J1547" s="232"/>
      <c r="K1547" s="232"/>
      <c r="L1547" s="232"/>
      <c r="M1547" s="232"/>
      <c r="N1547" s="232"/>
      <c r="O1547" s="232"/>
      <c r="P1547" s="232"/>
      <c r="Q1547" s="232"/>
      <c r="R1547" s="232"/>
      <c r="S1547" s="232"/>
      <c r="T1547" s="232"/>
      <c r="U1547" s="232"/>
      <c r="V1547" s="15"/>
      <c r="W1547" s="15"/>
      <c r="X1547" s="15"/>
      <c r="Y1547" s="15"/>
      <c r="Z1547" s="15"/>
      <c r="AA1547" s="15"/>
    </row>
    <row r="1548" spans="1:27" s="25" customFormat="1" ht="12" customHeight="1" x14ac:dyDescent="0.2">
      <c r="A1548" s="232"/>
      <c r="B1548" s="250"/>
      <c r="C1548" s="286"/>
      <c r="D1548" s="232"/>
      <c r="E1548" s="232"/>
      <c r="F1548" s="232"/>
      <c r="G1548" s="232"/>
      <c r="H1548" s="232"/>
      <c r="I1548" s="232"/>
      <c r="J1548" s="232"/>
      <c r="K1548" s="232"/>
      <c r="L1548" s="232"/>
      <c r="M1548" s="232"/>
      <c r="N1548" s="232"/>
      <c r="O1548" s="232"/>
      <c r="P1548" s="232"/>
      <c r="Q1548" s="232"/>
      <c r="R1548" s="232"/>
      <c r="S1548" s="232"/>
      <c r="T1548" s="232"/>
      <c r="U1548" s="232"/>
      <c r="V1548" s="15"/>
      <c r="W1548" s="15"/>
      <c r="X1548" s="15"/>
      <c r="Y1548" s="15"/>
      <c r="Z1548" s="15"/>
      <c r="AA1548" s="15"/>
    </row>
    <row r="1549" spans="1:27" s="25" customFormat="1" ht="12" customHeight="1" x14ac:dyDescent="0.2">
      <c r="A1549" s="232"/>
      <c r="B1549" s="250"/>
      <c r="C1549" s="286"/>
      <c r="D1549" s="232"/>
      <c r="E1549" s="232"/>
      <c r="F1549" s="232"/>
      <c r="G1549" s="232"/>
      <c r="H1549" s="232"/>
      <c r="I1549" s="232"/>
      <c r="J1549" s="232"/>
      <c r="K1549" s="232"/>
      <c r="L1549" s="232"/>
      <c r="M1549" s="232"/>
      <c r="N1549" s="232"/>
      <c r="O1549" s="232"/>
      <c r="P1549" s="232"/>
      <c r="Q1549" s="232"/>
      <c r="R1549" s="232"/>
      <c r="S1549" s="232"/>
      <c r="T1549" s="232"/>
      <c r="U1549" s="232"/>
      <c r="V1549" s="15"/>
      <c r="W1549" s="15"/>
      <c r="X1549" s="15"/>
      <c r="Y1549" s="15"/>
      <c r="Z1549" s="15"/>
      <c r="AA1549" s="15"/>
    </row>
    <row r="1550" spans="1:27" s="25" customFormat="1" ht="12" customHeight="1" x14ac:dyDescent="0.2">
      <c r="A1550" s="232"/>
      <c r="B1550" s="250"/>
      <c r="C1550" s="286"/>
      <c r="D1550" s="232"/>
      <c r="E1550" s="232"/>
      <c r="F1550" s="232"/>
      <c r="G1550" s="232"/>
      <c r="H1550" s="232"/>
      <c r="I1550" s="232"/>
      <c r="J1550" s="232"/>
      <c r="K1550" s="232"/>
      <c r="L1550" s="232"/>
      <c r="M1550" s="232"/>
      <c r="N1550" s="232"/>
      <c r="O1550" s="232"/>
      <c r="P1550" s="232"/>
      <c r="Q1550" s="232"/>
      <c r="R1550" s="232"/>
      <c r="S1550" s="232"/>
      <c r="T1550" s="232"/>
      <c r="U1550" s="232"/>
      <c r="V1550" s="15"/>
      <c r="W1550" s="15"/>
      <c r="X1550" s="15"/>
      <c r="Y1550" s="15"/>
      <c r="Z1550" s="15"/>
      <c r="AA1550" s="15"/>
    </row>
    <row r="1551" spans="1:27" s="25" customFormat="1" ht="12" customHeight="1" x14ac:dyDescent="0.2">
      <c r="A1551" s="232"/>
      <c r="B1551" s="250"/>
      <c r="C1551" s="286"/>
      <c r="D1551" s="232"/>
      <c r="E1551" s="232"/>
      <c r="F1551" s="232"/>
      <c r="G1551" s="232"/>
      <c r="H1551" s="232"/>
      <c r="I1551" s="232"/>
      <c r="J1551" s="232"/>
      <c r="K1551" s="232"/>
      <c r="L1551" s="232"/>
      <c r="M1551" s="232"/>
      <c r="N1551" s="232"/>
      <c r="O1551" s="232"/>
      <c r="P1551" s="232"/>
      <c r="Q1551" s="232"/>
      <c r="R1551" s="232"/>
      <c r="S1551" s="232"/>
      <c r="T1551" s="232"/>
      <c r="U1551" s="232"/>
      <c r="V1551" s="15"/>
      <c r="W1551" s="15"/>
      <c r="X1551" s="15"/>
      <c r="Y1551" s="15"/>
      <c r="Z1551" s="15"/>
      <c r="AA1551" s="15"/>
    </row>
    <row r="1552" spans="1:27" s="25" customFormat="1" ht="12" customHeight="1" x14ac:dyDescent="0.2">
      <c r="A1552" s="232"/>
      <c r="B1552" s="250"/>
      <c r="C1552" s="286"/>
      <c r="D1552" s="232"/>
      <c r="E1552" s="232"/>
      <c r="F1552" s="232"/>
      <c r="G1552" s="232"/>
      <c r="H1552" s="232"/>
      <c r="I1552" s="232"/>
      <c r="J1552" s="232"/>
      <c r="K1552" s="232"/>
      <c r="L1552" s="232"/>
      <c r="M1552" s="232"/>
      <c r="N1552" s="232"/>
      <c r="O1552" s="232"/>
      <c r="P1552" s="232"/>
      <c r="Q1552" s="232"/>
      <c r="R1552" s="232"/>
      <c r="S1552" s="232"/>
      <c r="T1552" s="232"/>
      <c r="U1552" s="232"/>
      <c r="V1552" s="15"/>
      <c r="W1552" s="15"/>
      <c r="X1552" s="15"/>
      <c r="Y1552" s="15"/>
      <c r="Z1552" s="15"/>
      <c r="AA1552" s="15"/>
    </row>
    <row r="1553" spans="1:27" s="25" customFormat="1" ht="12" customHeight="1" x14ac:dyDescent="0.2">
      <c r="A1553" s="232"/>
      <c r="B1553" s="250"/>
      <c r="C1553" s="286"/>
      <c r="D1553" s="232"/>
      <c r="E1553" s="232"/>
      <c r="F1553" s="232"/>
      <c r="G1553" s="232"/>
      <c r="H1553" s="232"/>
      <c r="I1553" s="232"/>
      <c r="J1553" s="232"/>
      <c r="K1553" s="232"/>
      <c r="L1553" s="232"/>
      <c r="M1553" s="232"/>
      <c r="N1553" s="232"/>
      <c r="O1553" s="232"/>
      <c r="P1553" s="232"/>
      <c r="Q1553" s="232"/>
      <c r="R1553" s="232"/>
      <c r="S1553" s="232"/>
      <c r="T1553" s="232"/>
      <c r="U1553" s="232"/>
      <c r="V1553" s="15"/>
      <c r="W1553" s="15"/>
      <c r="X1553" s="15"/>
      <c r="Y1553" s="15"/>
      <c r="Z1553" s="15"/>
      <c r="AA1553" s="15"/>
    </row>
    <row r="1554" spans="1:27" s="25" customFormat="1" ht="12" customHeight="1" x14ac:dyDescent="0.2">
      <c r="A1554" s="232"/>
      <c r="B1554" s="250"/>
      <c r="C1554" s="286"/>
      <c r="D1554" s="232"/>
      <c r="E1554" s="232"/>
      <c r="F1554" s="232"/>
      <c r="G1554" s="232"/>
      <c r="H1554" s="232"/>
      <c r="I1554" s="232"/>
      <c r="J1554" s="232"/>
      <c r="K1554" s="232"/>
      <c r="L1554" s="232"/>
      <c r="M1554" s="232"/>
      <c r="N1554" s="232"/>
      <c r="O1554" s="232"/>
      <c r="P1554" s="232"/>
      <c r="Q1554" s="232"/>
      <c r="R1554" s="232"/>
      <c r="S1554" s="232"/>
      <c r="T1554" s="232"/>
      <c r="U1554" s="232"/>
      <c r="V1554" s="15"/>
      <c r="W1554" s="15"/>
      <c r="X1554" s="15"/>
      <c r="Y1554" s="15"/>
      <c r="Z1554" s="15"/>
      <c r="AA1554" s="15"/>
    </row>
    <row r="1555" spans="1:27" s="25" customFormat="1" ht="12" customHeight="1" x14ac:dyDescent="0.2">
      <c r="A1555" s="232"/>
      <c r="B1555" s="250"/>
      <c r="C1555" s="286"/>
      <c r="D1555" s="232"/>
      <c r="E1555" s="232"/>
      <c r="F1555" s="232"/>
      <c r="G1555" s="232"/>
      <c r="H1555" s="232"/>
      <c r="I1555" s="232"/>
      <c r="J1555" s="232"/>
      <c r="K1555" s="232"/>
      <c r="L1555" s="232"/>
      <c r="M1555" s="232"/>
      <c r="N1555" s="232"/>
      <c r="O1555" s="232"/>
      <c r="P1555" s="232"/>
      <c r="Q1555" s="232"/>
      <c r="R1555" s="232"/>
      <c r="S1555" s="232"/>
      <c r="T1555" s="232"/>
      <c r="U1555" s="232"/>
      <c r="V1555" s="15"/>
      <c r="W1555" s="15"/>
      <c r="X1555" s="15"/>
      <c r="Y1555" s="15"/>
      <c r="Z1555" s="15"/>
      <c r="AA1555" s="15"/>
    </row>
    <row r="1556" spans="1:27" s="25" customFormat="1" ht="12" customHeight="1" x14ac:dyDescent="0.2">
      <c r="A1556" s="232"/>
      <c r="B1556" s="250"/>
      <c r="C1556" s="286"/>
      <c r="D1556" s="232"/>
      <c r="E1556" s="232"/>
      <c r="F1556" s="232"/>
      <c r="G1556" s="232"/>
      <c r="H1556" s="232"/>
      <c r="I1556" s="232"/>
      <c r="J1556" s="232"/>
      <c r="K1556" s="232"/>
      <c r="L1556" s="232"/>
      <c r="M1556" s="232"/>
      <c r="N1556" s="232"/>
      <c r="O1556" s="232"/>
      <c r="P1556" s="232"/>
      <c r="Q1556" s="232"/>
      <c r="R1556" s="232"/>
      <c r="S1556" s="232"/>
      <c r="T1556" s="232"/>
      <c r="U1556" s="232"/>
      <c r="V1556" s="15"/>
      <c r="W1556" s="15"/>
      <c r="X1556" s="15"/>
      <c r="Y1556" s="15"/>
      <c r="Z1556" s="15"/>
      <c r="AA1556" s="15"/>
    </row>
    <row r="1557" spans="1:27" s="25" customFormat="1" ht="12" customHeight="1" x14ac:dyDescent="0.2">
      <c r="A1557" s="232"/>
      <c r="B1557" s="250"/>
      <c r="C1557" s="286"/>
      <c r="D1557" s="232"/>
      <c r="E1557" s="232"/>
      <c r="F1557" s="232"/>
      <c r="G1557" s="232"/>
      <c r="H1557" s="232"/>
      <c r="I1557" s="232"/>
      <c r="J1557" s="232"/>
      <c r="K1557" s="232"/>
      <c r="L1557" s="232"/>
      <c r="M1557" s="232"/>
      <c r="N1557" s="232"/>
      <c r="O1557" s="232"/>
      <c r="P1557" s="232"/>
      <c r="Q1557" s="232"/>
      <c r="R1557" s="232"/>
      <c r="S1557" s="232"/>
      <c r="T1557" s="232"/>
      <c r="U1557" s="232"/>
      <c r="V1557" s="15"/>
      <c r="W1557" s="15"/>
      <c r="X1557" s="15"/>
      <c r="Y1557" s="15"/>
      <c r="Z1557" s="15"/>
      <c r="AA1557" s="15"/>
    </row>
    <row r="1558" spans="1:27" s="25" customFormat="1" ht="12" customHeight="1" x14ac:dyDescent="0.2">
      <c r="A1558" s="232"/>
      <c r="B1558" s="250"/>
      <c r="C1558" s="286"/>
      <c r="D1558" s="232"/>
      <c r="E1558" s="232"/>
      <c r="F1558" s="232"/>
      <c r="G1558" s="232"/>
      <c r="H1558" s="232"/>
      <c r="I1558" s="232"/>
      <c r="J1558" s="232"/>
      <c r="K1558" s="232"/>
      <c r="L1558" s="232"/>
      <c r="M1558" s="232"/>
      <c r="N1558" s="232"/>
      <c r="O1558" s="232"/>
      <c r="P1558" s="232"/>
      <c r="Q1558" s="232"/>
      <c r="R1558" s="232"/>
      <c r="S1558" s="232"/>
      <c r="T1558" s="232"/>
      <c r="U1558" s="232"/>
      <c r="V1558" s="15"/>
      <c r="W1558" s="15"/>
      <c r="X1558" s="15"/>
      <c r="Y1558" s="15"/>
      <c r="Z1558" s="15"/>
      <c r="AA1558" s="15"/>
    </row>
    <row r="1559" spans="1:27" s="25" customFormat="1" ht="12" customHeight="1" x14ac:dyDescent="0.2">
      <c r="A1559" s="232"/>
      <c r="B1559" s="250"/>
      <c r="C1559" s="286"/>
      <c r="D1559" s="232"/>
      <c r="E1559" s="232"/>
      <c r="F1559" s="232"/>
      <c r="G1559" s="232"/>
      <c r="H1559" s="232"/>
      <c r="I1559" s="232"/>
      <c r="J1559" s="232"/>
      <c r="K1559" s="232"/>
      <c r="L1559" s="232"/>
      <c r="M1559" s="232"/>
      <c r="N1559" s="232"/>
      <c r="O1559" s="232"/>
      <c r="P1559" s="232"/>
      <c r="Q1559" s="232"/>
      <c r="R1559" s="232"/>
      <c r="S1559" s="232"/>
      <c r="T1559" s="232"/>
      <c r="U1559" s="232"/>
      <c r="V1559" s="15"/>
      <c r="W1559" s="15"/>
      <c r="X1559" s="15"/>
      <c r="Y1559" s="15"/>
      <c r="Z1559" s="15"/>
      <c r="AA1559" s="15"/>
    </row>
    <row r="1560" spans="1:27" s="25" customFormat="1" ht="12" customHeight="1" x14ac:dyDescent="0.2">
      <c r="A1560" s="232"/>
      <c r="B1560" s="250"/>
      <c r="C1560" s="286"/>
      <c r="D1560" s="232"/>
      <c r="E1560" s="232"/>
      <c r="F1560" s="232"/>
      <c r="G1560" s="232"/>
      <c r="H1560" s="232"/>
      <c r="I1560" s="232"/>
      <c r="J1560" s="232"/>
      <c r="K1560" s="232"/>
      <c r="L1560" s="232"/>
      <c r="M1560" s="232"/>
      <c r="N1560" s="232"/>
      <c r="O1560" s="232"/>
      <c r="P1560" s="232"/>
      <c r="Q1560" s="232"/>
      <c r="R1560" s="232"/>
      <c r="S1560" s="232"/>
      <c r="T1560" s="232"/>
      <c r="U1560" s="232"/>
      <c r="V1560" s="15"/>
      <c r="W1560" s="15"/>
      <c r="X1560" s="15"/>
      <c r="Y1560" s="15"/>
      <c r="Z1560" s="15"/>
      <c r="AA1560" s="15"/>
    </row>
    <row r="1561" spans="1:27" s="25" customFormat="1" ht="12" customHeight="1" x14ac:dyDescent="0.2">
      <c r="A1561" s="232"/>
      <c r="B1561" s="250"/>
      <c r="C1561" s="286"/>
      <c r="D1561" s="232"/>
      <c r="E1561" s="232"/>
      <c r="F1561" s="232"/>
      <c r="G1561" s="232"/>
      <c r="H1561" s="232"/>
      <c r="I1561" s="232"/>
      <c r="J1561" s="232"/>
      <c r="K1561" s="232"/>
      <c r="L1561" s="232"/>
      <c r="M1561" s="232"/>
      <c r="N1561" s="232"/>
      <c r="O1561" s="232"/>
      <c r="P1561" s="232"/>
      <c r="Q1561" s="232"/>
      <c r="R1561" s="232"/>
      <c r="S1561" s="232"/>
      <c r="T1561" s="232"/>
      <c r="U1561" s="232"/>
      <c r="V1561" s="15"/>
      <c r="W1561" s="15"/>
      <c r="X1561" s="15"/>
      <c r="Y1561" s="15"/>
      <c r="Z1561" s="15"/>
      <c r="AA1561" s="15"/>
    </row>
    <row r="1562" spans="1:27" s="25" customFormat="1" ht="12" customHeight="1" x14ac:dyDescent="0.2">
      <c r="A1562" s="232"/>
      <c r="B1562" s="250"/>
      <c r="C1562" s="286"/>
      <c r="D1562" s="232"/>
      <c r="E1562" s="232"/>
      <c r="F1562" s="232"/>
      <c r="G1562" s="232"/>
      <c r="H1562" s="232"/>
      <c r="I1562" s="232"/>
      <c r="J1562" s="232"/>
      <c r="K1562" s="232"/>
      <c r="L1562" s="232"/>
      <c r="M1562" s="232"/>
      <c r="N1562" s="232"/>
      <c r="O1562" s="232"/>
      <c r="P1562" s="232"/>
      <c r="Q1562" s="232"/>
      <c r="R1562" s="232"/>
      <c r="S1562" s="232"/>
      <c r="T1562" s="232"/>
      <c r="U1562" s="232"/>
      <c r="V1562" s="15"/>
      <c r="W1562" s="15"/>
      <c r="X1562" s="15"/>
      <c r="Y1562" s="15"/>
      <c r="Z1562" s="15"/>
      <c r="AA1562" s="15"/>
    </row>
    <row r="1563" spans="1:27" s="25" customFormat="1" ht="12" customHeight="1" x14ac:dyDescent="0.2">
      <c r="A1563" s="232"/>
      <c r="B1563" s="250"/>
      <c r="C1563" s="286"/>
      <c r="D1563" s="232"/>
      <c r="E1563" s="232"/>
      <c r="F1563" s="232"/>
      <c r="G1563" s="232"/>
      <c r="H1563" s="232"/>
      <c r="I1563" s="232"/>
      <c r="J1563" s="232"/>
      <c r="K1563" s="232"/>
      <c r="L1563" s="232"/>
      <c r="M1563" s="232"/>
      <c r="N1563" s="232"/>
      <c r="O1563" s="232"/>
      <c r="P1563" s="232"/>
      <c r="Q1563" s="232"/>
      <c r="R1563" s="232"/>
      <c r="S1563" s="232"/>
      <c r="T1563" s="232"/>
      <c r="U1563" s="232"/>
      <c r="V1563" s="15"/>
      <c r="W1563" s="15"/>
      <c r="X1563" s="15"/>
      <c r="Y1563" s="15"/>
      <c r="Z1563" s="15"/>
      <c r="AA1563" s="15"/>
    </row>
    <row r="1564" spans="1:27" s="25" customFormat="1" ht="12" customHeight="1" x14ac:dyDescent="0.2">
      <c r="A1564" s="232"/>
      <c r="B1564" s="250"/>
      <c r="C1564" s="286"/>
      <c r="D1564" s="232"/>
      <c r="E1564" s="232"/>
      <c r="F1564" s="232"/>
      <c r="G1564" s="232"/>
      <c r="H1564" s="232"/>
      <c r="I1564" s="232"/>
      <c r="J1564" s="232"/>
      <c r="K1564" s="232"/>
      <c r="L1564" s="232"/>
      <c r="M1564" s="232"/>
      <c r="N1564" s="232"/>
      <c r="O1564" s="232"/>
      <c r="P1564" s="232"/>
      <c r="Q1564" s="232"/>
      <c r="R1564" s="232"/>
      <c r="S1564" s="232"/>
      <c r="T1564" s="232"/>
      <c r="U1564" s="232"/>
      <c r="V1564" s="15"/>
      <c r="W1564" s="15"/>
      <c r="X1564" s="15"/>
      <c r="Y1564" s="15"/>
      <c r="Z1564" s="15"/>
      <c r="AA1564" s="15"/>
    </row>
    <row r="1565" spans="1:27" s="25" customFormat="1" ht="12" customHeight="1" x14ac:dyDescent="0.2">
      <c r="A1565" s="232"/>
      <c r="B1565" s="250"/>
      <c r="C1565" s="286"/>
      <c r="D1565" s="232"/>
      <c r="E1565" s="232"/>
      <c r="F1565" s="232"/>
      <c r="G1565" s="232"/>
      <c r="H1565" s="232"/>
      <c r="I1565" s="232"/>
      <c r="J1565" s="232"/>
      <c r="K1565" s="232"/>
      <c r="L1565" s="232"/>
      <c r="M1565" s="232"/>
      <c r="N1565" s="232"/>
      <c r="O1565" s="232"/>
      <c r="P1565" s="232"/>
      <c r="Q1565" s="232"/>
      <c r="R1565" s="232"/>
      <c r="S1565" s="232"/>
      <c r="T1565" s="232"/>
      <c r="U1565" s="232"/>
      <c r="V1565" s="15"/>
      <c r="W1565" s="15"/>
      <c r="X1565" s="15"/>
      <c r="Y1565" s="15"/>
      <c r="Z1565" s="15"/>
      <c r="AA1565" s="15"/>
    </row>
    <row r="1566" spans="1:27" s="25" customFormat="1" ht="12" customHeight="1" x14ac:dyDescent="0.2">
      <c r="A1566" s="232"/>
      <c r="B1566" s="250"/>
      <c r="C1566" s="286"/>
      <c r="D1566" s="232"/>
      <c r="E1566" s="232"/>
      <c r="F1566" s="232"/>
      <c r="G1566" s="232"/>
      <c r="H1566" s="232"/>
      <c r="I1566" s="232"/>
      <c r="J1566" s="232"/>
      <c r="K1566" s="232"/>
      <c r="L1566" s="232"/>
      <c r="M1566" s="232"/>
      <c r="N1566" s="232"/>
      <c r="O1566" s="232"/>
      <c r="P1566" s="232"/>
      <c r="Q1566" s="232"/>
      <c r="R1566" s="232"/>
      <c r="S1566" s="232"/>
      <c r="T1566" s="232"/>
      <c r="U1566" s="232"/>
      <c r="V1566" s="15"/>
      <c r="W1566" s="15"/>
      <c r="X1566" s="15"/>
      <c r="Y1566" s="15"/>
      <c r="Z1566" s="15"/>
      <c r="AA1566" s="15"/>
    </row>
    <row r="1567" spans="1:27" s="25" customFormat="1" ht="12" customHeight="1" x14ac:dyDescent="0.2">
      <c r="A1567" s="232"/>
      <c r="B1567" s="250"/>
      <c r="C1567" s="286"/>
      <c r="D1567" s="232"/>
      <c r="E1567" s="232"/>
      <c r="F1567" s="232"/>
      <c r="G1567" s="232"/>
      <c r="H1567" s="232"/>
      <c r="I1567" s="232"/>
      <c r="J1567" s="232"/>
      <c r="K1567" s="232"/>
      <c r="L1567" s="232"/>
      <c r="M1567" s="232"/>
      <c r="N1567" s="232"/>
      <c r="O1567" s="232"/>
      <c r="P1567" s="232"/>
      <c r="Q1567" s="232"/>
      <c r="R1567" s="232"/>
      <c r="S1567" s="232"/>
      <c r="T1567" s="232"/>
      <c r="U1567" s="232"/>
      <c r="V1567" s="15"/>
      <c r="W1567" s="15"/>
      <c r="X1567" s="15"/>
      <c r="Y1567" s="15"/>
      <c r="Z1567" s="15"/>
      <c r="AA1567" s="15"/>
    </row>
    <row r="1568" spans="1:27" s="25" customFormat="1" ht="12" customHeight="1" x14ac:dyDescent="0.2">
      <c r="A1568" s="232"/>
      <c r="B1568" s="250"/>
      <c r="C1568" s="286"/>
      <c r="D1568" s="232"/>
      <c r="E1568" s="232"/>
      <c r="F1568" s="232"/>
      <c r="G1568" s="232"/>
      <c r="H1568" s="232"/>
      <c r="I1568" s="232"/>
      <c r="J1568" s="232"/>
      <c r="K1568" s="232"/>
      <c r="L1568" s="232"/>
      <c r="M1568" s="232"/>
      <c r="N1568" s="232"/>
      <c r="O1568" s="232"/>
      <c r="P1568" s="232"/>
      <c r="Q1568" s="232"/>
      <c r="R1568" s="232"/>
      <c r="S1568" s="232"/>
      <c r="T1568" s="232"/>
      <c r="U1568" s="232"/>
      <c r="V1568" s="15"/>
      <c r="W1568" s="15"/>
      <c r="X1568" s="15"/>
      <c r="Y1568" s="15"/>
      <c r="Z1568" s="15"/>
      <c r="AA1568" s="15"/>
    </row>
    <row r="1569" spans="1:27" s="25" customFormat="1" ht="12" customHeight="1" x14ac:dyDescent="0.2">
      <c r="A1569" s="232"/>
      <c r="B1569" s="250"/>
      <c r="C1569" s="286"/>
      <c r="D1569" s="232"/>
      <c r="E1569" s="232"/>
      <c r="F1569" s="232"/>
      <c r="G1569" s="232"/>
      <c r="H1569" s="232"/>
      <c r="I1569" s="232"/>
      <c r="J1569" s="232"/>
      <c r="K1569" s="232"/>
      <c r="L1569" s="232"/>
      <c r="M1569" s="232"/>
      <c r="N1569" s="232"/>
      <c r="O1569" s="232"/>
      <c r="P1569" s="232"/>
      <c r="Q1569" s="232"/>
      <c r="R1569" s="232"/>
      <c r="S1569" s="232"/>
      <c r="T1569" s="232"/>
      <c r="U1569" s="232"/>
      <c r="V1569" s="15"/>
      <c r="W1569" s="15"/>
      <c r="X1569" s="15"/>
      <c r="Y1569" s="15"/>
      <c r="Z1569" s="15"/>
      <c r="AA1569" s="15"/>
    </row>
    <row r="1570" spans="1:27" s="25" customFormat="1" ht="12" customHeight="1" x14ac:dyDescent="0.2">
      <c r="A1570" s="232"/>
      <c r="B1570" s="250"/>
      <c r="C1570" s="286"/>
      <c r="D1570" s="232"/>
      <c r="E1570" s="232"/>
      <c r="F1570" s="232"/>
      <c r="G1570" s="232"/>
      <c r="H1570" s="232"/>
      <c r="I1570" s="232"/>
      <c r="J1570" s="232"/>
      <c r="K1570" s="232"/>
      <c r="L1570" s="232"/>
      <c r="M1570" s="232"/>
      <c r="N1570" s="232"/>
      <c r="O1570" s="232"/>
      <c r="P1570" s="232"/>
      <c r="Q1570" s="232"/>
      <c r="R1570" s="232"/>
      <c r="S1570" s="232"/>
      <c r="T1570" s="232"/>
      <c r="U1570" s="232"/>
      <c r="V1570" s="15"/>
      <c r="W1570" s="15"/>
      <c r="X1570" s="15"/>
      <c r="Y1570" s="15"/>
      <c r="Z1570" s="15"/>
      <c r="AA1570" s="15"/>
    </row>
    <row r="1571" spans="1:27" s="25" customFormat="1" ht="12" customHeight="1" x14ac:dyDescent="0.2">
      <c r="A1571" s="232"/>
      <c r="B1571" s="250"/>
      <c r="C1571" s="286"/>
      <c r="D1571" s="232"/>
      <c r="E1571" s="232"/>
      <c r="F1571" s="232"/>
      <c r="G1571" s="232"/>
      <c r="H1571" s="232"/>
      <c r="I1571" s="232"/>
      <c r="J1571" s="232"/>
      <c r="K1571" s="232"/>
      <c r="L1571" s="232"/>
      <c r="M1571" s="232"/>
      <c r="N1571" s="232"/>
      <c r="O1571" s="232"/>
      <c r="P1571" s="232"/>
      <c r="Q1571" s="232"/>
      <c r="R1571" s="232"/>
      <c r="S1571" s="232"/>
      <c r="T1571" s="232"/>
      <c r="U1571" s="232"/>
      <c r="V1571" s="15"/>
      <c r="W1571" s="15"/>
      <c r="X1571" s="15"/>
      <c r="Y1571" s="15"/>
      <c r="Z1571" s="15"/>
      <c r="AA1571" s="15"/>
    </row>
    <row r="1572" spans="1:27" s="25" customFormat="1" ht="12" customHeight="1" x14ac:dyDescent="0.2">
      <c r="A1572" s="232"/>
      <c r="B1572" s="250"/>
      <c r="C1572" s="286"/>
      <c r="D1572" s="232"/>
      <c r="E1572" s="232"/>
      <c r="F1572" s="232"/>
      <c r="G1572" s="232"/>
      <c r="H1572" s="232"/>
      <c r="I1572" s="232"/>
      <c r="J1572" s="232"/>
      <c r="K1572" s="232"/>
      <c r="L1572" s="232"/>
      <c r="M1572" s="232"/>
      <c r="N1572" s="232"/>
      <c r="O1572" s="232"/>
      <c r="P1572" s="232"/>
      <c r="Q1572" s="232"/>
      <c r="R1572" s="232"/>
      <c r="S1572" s="232"/>
      <c r="T1572" s="232"/>
      <c r="U1572" s="232"/>
      <c r="V1572" s="15"/>
      <c r="W1572" s="15"/>
      <c r="X1572" s="15"/>
      <c r="Y1572" s="15"/>
      <c r="Z1572" s="15"/>
      <c r="AA1572" s="15"/>
    </row>
    <row r="1573" spans="1:27" s="25" customFormat="1" ht="12" customHeight="1" x14ac:dyDescent="0.2">
      <c r="A1573" s="232"/>
      <c r="B1573" s="250"/>
      <c r="C1573" s="286"/>
      <c r="D1573" s="232"/>
      <c r="E1573" s="232"/>
      <c r="F1573" s="232"/>
      <c r="G1573" s="232"/>
      <c r="H1573" s="232"/>
      <c r="I1573" s="232"/>
      <c r="J1573" s="232"/>
      <c r="K1573" s="232"/>
      <c r="L1573" s="232"/>
      <c r="M1573" s="232"/>
      <c r="N1573" s="232"/>
      <c r="O1573" s="232"/>
      <c r="P1573" s="232"/>
      <c r="Q1573" s="232"/>
      <c r="R1573" s="232"/>
      <c r="S1573" s="232"/>
      <c r="T1573" s="232"/>
      <c r="U1573" s="232"/>
      <c r="V1573" s="15"/>
      <c r="W1573" s="15"/>
      <c r="X1573" s="15"/>
      <c r="Y1573" s="15"/>
      <c r="Z1573" s="15"/>
      <c r="AA1573" s="15"/>
    </row>
    <row r="1574" spans="1:27" s="25" customFormat="1" ht="12" customHeight="1" x14ac:dyDescent="0.2">
      <c r="A1574" s="232"/>
      <c r="B1574" s="250"/>
      <c r="C1574" s="286"/>
      <c r="D1574" s="232"/>
      <c r="E1574" s="232"/>
      <c r="F1574" s="232"/>
      <c r="G1574" s="232"/>
      <c r="H1574" s="232"/>
      <c r="I1574" s="232"/>
      <c r="J1574" s="232"/>
      <c r="K1574" s="232"/>
      <c r="L1574" s="232"/>
      <c r="M1574" s="232"/>
      <c r="N1574" s="232"/>
      <c r="O1574" s="232"/>
      <c r="P1574" s="232"/>
      <c r="Q1574" s="232"/>
      <c r="R1574" s="232"/>
      <c r="S1574" s="232"/>
      <c r="T1574" s="232"/>
      <c r="U1574" s="232"/>
      <c r="V1574" s="15"/>
      <c r="W1574" s="15"/>
      <c r="X1574" s="15"/>
      <c r="Y1574" s="15"/>
      <c r="Z1574" s="15"/>
      <c r="AA1574" s="15"/>
    </row>
    <row r="1575" spans="1:27" s="25" customFormat="1" ht="12" customHeight="1" x14ac:dyDescent="0.2">
      <c r="A1575" s="232"/>
      <c r="B1575" s="250"/>
      <c r="C1575" s="286"/>
      <c r="D1575" s="232"/>
      <c r="E1575" s="232"/>
      <c r="F1575" s="232"/>
      <c r="G1575" s="232"/>
      <c r="H1575" s="232"/>
      <c r="I1575" s="232"/>
      <c r="J1575" s="232"/>
      <c r="K1575" s="232"/>
      <c r="L1575" s="232"/>
      <c r="M1575" s="232"/>
      <c r="N1575" s="232"/>
      <c r="O1575" s="232"/>
      <c r="P1575" s="232"/>
      <c r="Q1575" s="232"/>
      <c r="R1575" s="232"/>
      <c r="S1575" s="232"/>
      <c r="T1575" s="232"/>
      <c r="U1575" s="232"/>
      <c r="V1575" s="15"/>
      <c r="W1575" s="15"/>
      <c r="X1575" s="15"/>
      <c r="Y1575" s="15"/>
      <c r="Z1575" s="15"/>
      <c r="AA1575" s="15"/>
    </row>
    <row r="1576" spans="1:27" s="25" customFormat="1" ht="12" customHeight="1" x14ac:dyDescent="0.2">
      <c r="A1576" s="232"/>
      <c r="B1576" s="250"/>
      <c r="C1576" s="286"/>
      <c r="D1576" s="232"/>
      <c r="E1576" s="232"/>
      <c r="F1576" s="232"/>
      <c r="G1576" s="232"/>
      <c r="H1576" s="232"/>
      <c r="I1576" s="232"/>
      <c r="J1576" s="232"/>
      <c r="K1576" s="232"/>
      <c r="L1576" s="232"/>
      <c r="M1576" s="232"/>
      <c r="N1576" s="232"/>
      <c r="O1576" s="232"/>
      <c r="P1576" s="232"/>
      <c r="Q1576" s="232"/>
      <c r="R1576" s="232"/>
      <c r="S1576" s="232"/>
      <c r="T1576" s="232"/>
      <c r="U1576" s="232"/>
      <c r="V1576" s="15"/>
      <c r="W1576" s="15"/>
      <c r="X1576" s="15"/>
      <c r="Y1576" s="15"/>
      <c r="Z1576" s="15"/>
      <c r="AA1576" s="15"/>
    </row>
    <row r="1577" spans="1:27" s="25" customFormat="1" ht="12" customHeight="1" x14ac:dyDescent="0.2">
      <c r="A1577" s="232"/>
      <c r="B1577" s="250"/>
      <c r="C1577" s="286"/>
      <c r="D1577" s="232"/>
      <c r="E1577" s="232"/>
      <c r="F1577" s="232"/>
      <c r="G1577" s="232"/>
      <c r="H1577" s="232"/>
      <c r="I1577" s="232"/>
      <c r="J1577" s="232"/>
      <c r="K1577" s="232"/>
      <c r="L1577" s="232"/>
      <c r="M1577" s="232"/>
      <c r="N1577" s="232"/>
      <c r="O1577" s="232"/>
      <c r="P1577" s="232"/>
      <c r="Q1577" s="232"/>
      <c r="R1577" s="232"/>
      <c r="S1577" s="232"/>
      <c r="T1577" s="232"/>
      <c r="U1577" s="232"/>
      <c r="V1577" s="15"/>
      <c r="W1577" s="15"/>
      <c r="X1577" s="15"/>
      <c r="Y1577" s="15"/>
      <c r="Z1577" s="15"/>
      <c r="AA1577" s="15"/>
    </row>
    <row r="1578" spans="1:27" s="25" customFormat="1" ht="12" customHeight="1" x14ac:dyDescent="0.2">
      <c r="A1578" s="232"/>
      <c r="B1578" s="250"/>
      <c r="C1578" s="286"/>
      <c r="D1578" s="232"/>
      <c r="E1578" s="232"/>
      <c r="F1578" s="232"/>
      <c r="G1578" s="232"/>
      <c r="H1578" s="232"/>
      <c r="I1578" s="232"/>
      <c r="J1578" s="232"/>
      <c r="K1578" s="232"/>
      <c r="L1578" s="232"/>
      <c r="M1578" s="232"/>
      <c r="N1578" s="232"/>
      <c r="O1578" s="232"/>
      <c r="P1578" s="232"/>
      <c r="Q1578" s="232"/>
      <c r="R1578" s="232"/>
      <c r="S1578" s="232"/>
      <c r="T1578" s="232"/>
      <c r="U1578" s="232"/>
      <c r="V1578" s="15"/>
      <c r="W1578" s="15"/>
      <c r="X1578" s="15"/>
      <c r="Y1578" s="15"/>
      <c r="Z1578" s="15"/>
      <c r="AA1578" s="15"/>
    </row>
    <row r="1579" spans="1:27" s="25" customFormat="1" ht="12" customHeight="1" x14ac:dyDescent="0.2">
      <c r="A1579" s="232"/>
      <c r="B1579" s="250"/>
      <c r="C1579" s="286"/>
      <c r="D1579" s="232"/>
      <c r="E1579" s="232"/>
      <c r="F1579" s="232"/>
      <c r="G1579" s="232"/>
      <c r="H1579" s="232"/>
      <c r="I1579" s="232"/>
      <c r="J1579" s="232"/>
      <c r="K1579" s="232"/>
      <c r="L1579" s="232"/>
      <c r="M1579" s="232"/>
      <c r="N1579" s="232"/>
      <c r="O1579" s="232"/>
      <c r="P1579" s="232"/>
      <c r="Q1579" s="232"/>
      <c r="R1579" s="232"/>
      <c r="S1579" s="232"/>
      <c r="T1579" s="232"/>
      <c r="U1579" s="232"/>
      <c r="V1579" s="15"/>
      <c r="W1579" s="15"/>
      <c r="X1579" s="15"/>
      <c r="Y1579" s="15"/>
      <c r="Z1579" s="15"/>
      <c r="AA1579" s="15"/>
    </row>
    <row r="1580" spans="1:27" s="25" customFormat="1" ht="12" customHeight="1" x14ac:dyDescent="0.2">
      <c r="A1580" s="232"/>
      <c r="B1580" s="250"/>
      <c r="C1580" s="286"/>
      <c r="D1580" s="232"/>
      <c r="E1580" s="232"/>
      <c r="F1580" s="232"/>
      <c r="G1580" s="232"/>
      <c r="H1580" s="232"/>
      <c r="I1580" s="232"/>
      <c r="J1580" s="232"/>
      <c r="K1580" s="232"/>
      <c r="L1580" s="232"/>
      <c r="M1580" s="232"/>
      <c r="N1580" s="232"/>
      <c r="O1580" s="232"/>
      <c r="P1580" s="232"/>
      <c r="Q1580" s="232"/>
      <c r="R1580" s="232"/>
      <c r="S1580" s="232"/>
      <c r="T1580" s="232"/>
      <c r="U1580" s="232"/>
      <c r="V1580" s="15"/>
      <c r="W1580" s="15"/>
      <c r="X1580" s="15"/>
      <c r="Y1580" s="15"/>
      <c r="Z1580" s="15"/>
      <c r="AA1580" s="15"/>
    </row>
    <row r="1581" spans="1:27" s="25" customFormat="1" ht="12" customHeight="1" x14ac:dyDescent="0.2">
      <c r="A1581" s="232"/>
      <c r="B1581" s="250"/>
      <c r="C1581" s="286"/>
      <c r="D1581" s="232"/>
      <c r="E1581" s="232"/>
      <c r="F1581" s="232"/>
      <c r="G1581" s="232"/>
      <c r="H1581" s="232"/>
      <c r="I1581" s="232"/>
      <c r="J1581" s="232"/>
      <c r="K1581" s="232"/>
      <c r="L1581" s="232"/>
      <c r="M1581" s="232"/>
      <c r="N1581" s="232"/>
      <c r="O1581" s="232"/>
      <c r="P1581" s="232"/>
      <c r="Q1581" s="232"/>
      <c r="R1581" s="232"/>
      <c r="S1581" s="232"/>
      <c r="T1581" s="232"/>
      <c r="U1581" s="232"/>
      <c r="V1581" s="15"/>
      <c r="W1581" s="15"/>
      <c r="X1581" s="15"/>
      <c r="Y1581" s="15"/>
      <c r="Z1581" s="15"/>
      <c r="AA1581" s="15"/>
    </row>
    <row r="1582" spans="1:27" s="25" customFormat="1" ht="12" customHeight="1" x14ac:dyDescent="0.2">
      <c r="A1582" s="232"/>
      <c r="B1582" s="250"/>
      <c r="C1582" s="286"/>
      <c r="D1582" s="232"/>
      <c r="E1582" s="232"/>
      <c r="F1582" s="232"/>
      <c r="G1582" s="232"/>
      <c r="H1582" s="232"/>
      <c r="I1582" s="232"/>
      <c r="J1582" s="232"/>
      <c r="K1582" s="232"/>
      <c r="L1582" s="232"/>
      <c r="M1582" s="232"/>
      <c r="N1582" s="232"/>
      <c r="O1582" s="232"/>
      <c r="P1582" s="232"/>
      <c r="Q1582" s="232"/>
      <c r="R1582" s="232"/>
      <c r="S1582" s="232"/>
      <c r="T1582" s="232"/>
      <c r="U1582" s="232"/>
      <c r="V1582" s="15"/>
      <c r="W1582" s="15"/>
      <c r="X1582" s="15"/>
      <c r="Y1582" s="15"/>
      <c r="Z1582" s="15"/>
      <c r="AA1582" s="15"/>
    </row>
    <row r="1583" spans="1:27" s="25" customFormat="1" ht="12" customHeight="1" x14ac:dyDescent="0.2">
      <c r="A1583" s="232"/>
      <c r="B1583" s="250"/>
      <c r="C1583" s="286"/>
      <c r="D1583" s="232"/>
      <c r="E1583" s="232"/>
      <c r="F1583" s="232"/>
      <c r="G1583" s="232"/>
      <c r="H1583" s="232"/>
      <c r="I1583" s="232"/>
      <c r="J1583" s="232"/>
      <c r="K1583" s="232"/>
      <c r="L1583" s="232"/>
      <c r="M1583" s="232"/>
      <c r="N1583" s="232"/>
      <c r="O1583" s="232"/>
      <c r="P1583" s="232"/>
      <c r="Q1583" s="232"/>
      <c r="R1583" s="232"/>
      <c r="S1583" s="232"/>
      <c r="T1583" s="232"/>
      <c r="U1583" s="232"/>
      <c r="V1583" s="15"/>
      <c r="W1583" s="15"/>
      <c r="X1583" s="15"/>
      <c r="Y1583" s="15"/>
      <c r="Z1583" s="15"/>
      <c r="AA1583" s="15"/>
    </row>
    <row r="1584" spans="1:27" s="25" customFormat="1" ht="12" customHeight="1" x14ac:dyDescent="0.2">
      <c r="A1584" s="232"/>
      <c r="B1584" s="250"/>
      <c r="C1584" s="286"/>
      <c r="D1584" s="232"/>
      <c r="E1584" s="232"/>
      <c r="F1584" s="232"/>
      <c r="G1584" s="232"/>
      <c r="H1584" s="232"/>
      <c r="I1584" s="232"/>
      <c r="J1584" s="232"/>
      <c r="K1584" s="232"/>
      <c r="L1584" s="232"/>
      <c r="M1584" s="232"/>
      <c r="N1584" s="232"/>
      <c r="O1584" s="232"/>
      <c r="P1584" s="232"/>
      <c r="Q1584" s="232"/>
      <c r="R1584" s="232"/>
      <c r="S1584" s="232"/>
      <c r="T1584" s="232"/>
      <c r="U1584" s="232"/>
      <c r="V1584" s="15"/>
      <c r="W1584" s="15"/>
      <c r="X1584" s="15"/>
      <c r="Y1584" s="15"/>
      <c r="Z1584" s="15"/>
      <c r="AA1584" s="15"/>
    </row>
    <row r="1585" spans="1:27" s="25" customFormat="1" ht="12" customHeight="1" x14ac:dyDescent="0.2">
      <c r="A1585" s="232"/>
      <c r="B1585" s="250"/>
      <c r="C1585" s="286"/>
      <c r="D1585" s="232"/>
      <c r="E1585" s="232"/>
      <c r="F1585" s="232"/>
      <c r="G1585" s="232"/>
      <c r="H1585" s="232"/>
      <c r="I1585" s="232"/>
      <c r="J1585" s="232"/>
      <c r="K1585" s="232"/>
      <c r="L1585" s="232"/>
      <c r="M1585" s="232"/>
      <c r="N1585" s="232"/>
      <c r="O1585" s="232"/>
      <c r="P1585" s="232"/>
      <c r="Q1585" s="232"/>
      <c r="R1585" s="232"/>
      <c r="S1585" s="232"/>
      <c r="T1585" s="232"/>
      <c r="U1585" s="232"/>
      <c r="V1585" s="15"/>
      <c r="W1585" s="15"/>
      <c r="X1585" s="15"/>
      <c r="Y1585" s="15"/>
      <c r="Z1585" s="15"/>
      <c r="AA1585" s="15"/>
    </row>
    <row r="1586" spans="1:27" s="25" customFormat="1" ht="12" customHeight="1" x14ac:dyDescent="0.2">
      <c r="A1586" s="232"/>
      <c r="B1586" s="250"/>
      <c r="C1586" s="286"/>
      <c r="D1586" s="232"/>
      <c r="E1586" s="232"/>
      <c r="F1586" s="232"/>
      <c r="G1586" s="232"/>
      <c r="H1586" s="232"/>
      <c r="I1586" s="232"/>
      <c r="J1586" s="232"/>
      <c r="K1586" s="232"/>
      <c r="L1586" s="232"/>
      <c r="M1586" s="232"/>
      <c r="N1586" s="232"/>
      <c r="O1586" s="232"/>
      <c r="P1586" s="232"/>
      <c r="Q1586" s="232"/>
      <c r="R1586" s="232"/>
      <c r="S1586" s="232"/>
      <c r="T1586" s="232"/>
      <c r="U1586" s="232"/>
      <c r="V1586" s="15"/>
      <c r="W1586" s="15"/>
      <c r="X1586" s="15"/>
      <c r="Y1586" s="15"/>
      <c r="Z1586" s="15"/>
      <c r="AA1586" s="15"/>
    </row>
    <row r="1587" spans="1:27" s="25" customFormat="1" ht="12" customHeight="1" x14ac:dyDescent="0.2">
      <c r="A1587" s="232"/>
      <c r="B1587" s="250"/>
      <c r="C1587" s="286"/>
      <c r="D1587" s="232"/>
      <c r="E1587" s="232"/>
      <c r="F1587" s="232"/>
      <c r="G1587" s="232"/>
      <c r="H1587" s="232"/>
      <c r="I1587" s="232"/>
      <c r="J1587" s="232"/>
      <c r="K1587" s="232"/>
      <c r="L1587" s="232"/>
      <c r="M1587" s="232"/>
      <c r="N1587" s="232"/>
      <c r="O1587" s="232"/>
      <c r="P1587" s="232"/>
      <c r="Q1587" s="232"/>
      <c r="R1587" s="232"/>
      <c r="S1587" s="232"/>
      <c r="T1587" s="232"/>
      <c r="U1587" s="232"/>
      <c r="V1587" s="15"/>
      <c r="W1587" s="15"/>
      <c r="X1587" s="15"/>
      <c r="Y1587" s="15"/>
      <c r="Z1587" s="15"/>
      <c r="AA1587" s="15"/>
    </row>
    <row r="1588" spans="1:27" s="25" customFormat="1" ht="12" customHeight="1" x14ac:dyDescent="0.2">
      <c r="A1588" s="232"/>
      <c r="B1588" s="250"/>
      <c r="C1588" s="286"/>
      <c r="D1588" s="232"/>
      <c r="E1588" s="232"/>
      <c r="F1588" s="232"/>
      <c r="G1588" s="232"/>
      <c r="H1588" s="232"/>
      <c r="I1588" s="232"/>
      <c r="J1588" s="232"/>
      <c r="K1588" s="232"/>
      <c r="L1588" s="232"/>
      <c r="M1588" s="232"/>
      <c r="N1588" s="232"/>
      <c r="O1588" s="232"/>
      <c r="P1588" s="232"/>
      <c r="Q1588" s="232"/>
      <c r="R1588" s="232"/>
      <c r="S1588" s="232"/>
      <c r="T1588" s="232"/>
      <c r="U1588" s="232"/>
      <c r="V1588" s="15"/>
      <c r="W1588" s="15"/>
      <c r="X1588" s="15"/>
      <c r="Y1588" s="15"/>
      <c r="Z1588" s="15"/>
      <c r="AA1588" s="15"/>
    </row>
    <row r="1589" spans="1:27" s="25" customFormat="1" ht="12" customHeight="1" x14ac:dyDescent="0.2">
      <c r="A1589" s="232"/>
      <c r="B1589" s="250"/>
      <c r="C1589" s="286"/>
      <c r="D1589" s="232"/>
      <c r="E1589" s="232"/>
      <c r="F1589" s="232"/>
      <c r="G1589" s="232"/>
      <c r="H1589" s="232"/>
      <c r="I1589" s="232"/>
      <c r="J1589" s="232"/>
      <c r="K1589" s="232"/>
      <c r="L1589" s="232"/>
      <c r="M1589" s="232"/>
      <c r="N1589" s="232"/>
      <c r="O1589" s="232"/>
      <c r="P1589" s="232"/>
      <c r="Q1589" s="232"/>
      <c r="R1589" s="232"/>
      <c r="S1589" s="232"/>
      <c r="T1589" s="232"/>
      <c r="U1589" s="232"/>
      <c r="V1589" s="15"/>
      <c r="W1589" s="15"/>
      <c r="X1589" s="15"/>
      <c r="Y1589" s="15"/>
      <c r="Z1589" s="15"/>
      <c r="AA1589" s="15"/>
    </row>
    <row r="1590" spans="1:27" s="25" customFormat="1" ht="12" customHeight="1" x14ac:dyDescent="0.2">
      <c r="A1590" s="232"/>
      <c r="B1590" s="250"/>
      <c r="C1590" s="286"/>
      <c r="D1590" s="232"/>
      <c r="E1590" s="232"/>
      <c r="F1590" s="232"/>
      <c r="G1590" s="232"/>
      <c r="H1590" s="232"/>
      <c r="I1590" s="232"/>
      <c r="J1590" s="232"/>
      <c r="K1590" s="232"/>
      <c r="L1590" s="232"/>
      <c r="M1590" s="232"/>
      <c r="N1590" s="232"/>
      <c r="O1590" s="232"/>
      <c r="P1590" s="232"/>
      <c r="Q1590" s="232"/>
      <c r="R1590" s="232"/>
      <c r="S1590" s="232"/>
      <c r="T1590" s="232"/>
      <c r="U1590" s="232"/>
      <c r="V1590" s="15"/>
      <c r="W1590" s="15"/>
      <c r="X1590" s="15"/>
      <c r="Y1590" s="15"/>
      <c r="Z1590" s="15"/>
      <c r="AA1590" s="15"/>
    </row>
    <row r="1591" spans="1:27" s="25" customFormat="1" ht="12" customHeight="1" x14ac:dyDescent="0.2">
      <c r="A1591" s="232"/>
      <c r="B1591" s="250"/>
      <c r="C1591" s="286"/>
      <c r="D1591" s="232"/>
      <c r="E1591" s="232"/>
      <c r="F1591" s="232"/>
      <c r="G1591" s="232"/>
      <c r="H1591" s="232"/>
      <c r="I1591" s="232"/>
      <c r="J1591" s="232"/>
      <c r="K1591" s="232"/>
      <c r="L1591" s="232"/>
      <c r="M1591" s="232"/>
      <c r="N1591" s="232"/>
      <c r="O1591" s="232"/>
      <c r="P1591" s="232"/>
      <c r="Q1591" s="232"/>
      <c r="R1591" s="232"/>
      <c r="S1591" s="232"/>
      <c r="T1591" s="232"/>
      <c r="U1591" s="232"/>
      <c r="V1591" s="15"/>
      <c r="W1591" s="15"/>
      <c r="X1591" s="15"/>
      <c r="Y1591" s="15"/>
      <c r="Z1591" s="15"/>
      <c r="AA1591" s="15"/>
    </row>
    <row r="1592" spans="1:27" s="25" customFormat="1" ht="12" customHeight="1" x14ac:dyDescent="0.2">
      <c r="A1592" s="232"/>
      <c r="B1592" s="250"/>
      <c r="C1592" s="286"/>
      <c r="D1592" s="232"/>
      <c r="E1592" s="232"/>
      <c r="F1592" s="232"/>
      <c r="G1592" s="232"/>
      <c r="H1592" s="232"/>
      <c r="I1592" s="232"/>
      <c r="J1592" s="232"/>
      <c r="K1592" s="232"/>
      <c r="L1592" s="232"/>
      <c r="M1592" s="232"/>
      <c r="N1592" s="232"/>
      <c r="O1592" s="232"/>
      <c r="P1592" s="232"/>
      <c r="Q1592" s="232"/>
      <c r="R1592" s="232"/>
      <c r="S1592" s="232"/>
      <c r="T1592" s="232"/>
      <c r="U1592" s="232"/>
      <c r="V1592" s="15"/>
      <c r="W1592" s="15"/>
      <c r="X1592" s="15"/>
      <c r="Y1592" s="15"/>
      <c r="Z1592" s="15"/>
      <c r="AA1592" s="15"/>
    </row>
    <row r="1593" spans="1:27" s="25" customFormat="1" ht="12" customHeight="1" x14ac:dyDescent="0.2">
      <c r="A1593" s="232"/>
      <c r="B1593" s="250"/>
      <c r="C1593" s="286"/>
      <c r="D1593" s="232"/>
      <c r="E1593" s="232"/>
      <c r="F1593" s="232"/>
      <c r="G1593" s="232"/>
      <c r="H1593" s="232"/>
      <c r="I1593" s="232"/>
      <c r="J1593" s="232"/>
      <c r="K1593" s="232"/>
      <c r="L1593" s="232"/>
      <c r="M1593" s="232"/>
      <c r="N1593" s="232"/>
      <c r="O1593" s="232"/>
      <c r="P1593" s="232"/>
      <c r="Q1593" s="232"/>
      <c r="R1593" s="232"/>
      <c r="S1593" s="232"/>
      <c r="T1593" s="232"/>
      <c r="U1593" s="232"/>
      <c r="V1593" s="15"/>
      <c r="W1593" s="15"/>
      <c r="X1593" s="15"/>
      <c r="Y1593" s="15"/>
      <c r="Z1593" s="15"/>
      <c r="AA1593" s="15"/>
    </row>
    <row r="1594" spans="1:27" s="25" customFormat="1" ht="12" customHeight="1" x14ac:dyDescent="0.2">
      <c r="A1594" s="232"/>
      <c r="B1594" s="250"/>
      <c r="C1594" s="286"/>
      <c r="D1594" s="232"/>
      <c r="E1594" s="232"/>
      <c r="F1594" s="232"/>
      <c r="G1594" s="232"/>
      <c r="H1594" s="232"/>
      <c r="I1594" s="232"/>
      <c r="J1594" s="232"/>
      <c r="K1594" s="232"/>
      <c r="L1594" s="232"/>
      <c r="M1594" s="232"/>
      <c r="N1594" s="232"/>
      <c r="O1594" s="232"/>
      <c r="P1594" s="232"/>
      <c r="Q1594" s="232"/>
      <c r="R1594" s="232"/>
      <c r="S1594" s="232"/>
      <c r="T1594" s="232"/>
      <c r="U1594" s="232"/>
      <c r="V1594" s="15"/>
      <c r="W1594" s="15"/>
      <c r="X1594" s="15"/>
      <c r="Y1594" s="15"/>
      <c r="Z1594" s="15"/>
      <c r="AA1594" s="15"/>
    </row>
    <row r="1595" spans="1:27" s="25" customFormat="1" ht="12" customHeight="1" x14ac:dyDescent="0.2">
      <c r="A1595" s="232"/>
      <c r="B1595" s="250"/>
      <c r="C1595" s="286"/>
      <c r="D1595" s="232"/>
      <c r="E1595" s="232"/>
      <c r="F1595" s="232"/>
      <c r="G1595" s="232"/>
      <c r="H1595" s="232"/>
      <c r="I1595" s="232"/>
      <c r="J1595" s="232"/>
      <c r="K1595" s="232"/>
      <c r="L1595" s="232"/>
      <c r="M1595" s="232"/>
      <c r="N1595" s="232"/>
      <c r="O1595" s="232"/>
      <c r="P1595" s="232"/>
      <c r="Q1595" s="232"/>
      <c r="R1595" s="232"/>
      <c r="S1595" s="232"/>
      <c r="T1595" s="232"/>
      <c r="U1595" s="232"/>
      <c r="V1595" s="15"/>
      <c r="W1595" s="15"/>
      <c r="X1595" s="15"/>
      <c r="Y1595" s="15"/>
      <c r="Z1595" s="15"/>
      <c r="AA1595" s="15"/>
    </row>
    <row r="1596" spans="1:27" s="25" customFormat="1" ht="12" customHeight="1" x14ac:dyDescent="0.2">
      <c r="A1596" s="232"/>
      <c r="B1596" s="250"/>
      <c r="C1596" s="286"/>
      <c r="D1596" s="232"/>
      <c r="E1596" s="232"/>
      <c r="F1596" s="232"/>
      <c r="G1596" s="232"/>
      <c r="H1596" s="232"/>
      <c r="I1596" s="232"/>
      <c r="J1596" s="232"/>
      <c r="K1596" s="232"/>
      <c r="L1596" s="232"/>
      <c r="M1596" s="232"/>
      <c r="N1596" s="232"/>
      <c r="O1596" s="232"/>
      <c r="P1596" s="232"/>
      <c r="Q1596" s="232"/>
      <c r="R1596" s="232"/>
      <c r="S1596" s="232"/>
      <c r="T1596" s="232"/>
      <c r="U1596" s="232"/>
      <c r="V1596" s="15"/>
      <c r="W1596" s="15"/>
      <c r="X1596" s="15"/>
      <c r="Y1596" s="15"/>
      <c r="Z1596" s="15"/>
      <c r="AA1596" s="15"/>
    </row>
    <row r="1597" spans="1:27" s="25" customFormat="1" ht="12" customHeight="1" x14ac:dyDescent="0.2">
      <c r="A1597" s="232"/>
      <c r="B1597" s="250"/>
      <c r="C1597" s="286"/>
      <c r="D1597" s="232"/>
      <c r="E1597" s="232"/>
      <c r="F1597" s="232"/>
      <c r="G1597" s="232"/>
      <c r="H1597" s="232"/>
      <c r="I1597" s="232"/>
      <c r="J1597" s="232"/>
      <c r="K1597" s="232"/>
      <c r="L1597" s="232"/>
      <c r="M1597" s="232"/>
      <c r="N1597" s="232"/>
      <c r="O1597" s="232"/>
      <c r="P1597" s="232"/>
      <c r="Q1597" s="232"/>
      <c r="R1597" s="232"/>
      <c r="S1597" s="232"/>
      <c r="T1597" s="232"/>
      <c r="U1597" s="232"/>
      <c r="V1597" s="15"/>
      <c r="W1597" s="15"/>
      <c r="X1597" s="15"/>
      <c r="Y1597" s="15"/>
      <c r="Z1597" s="15"/>
      <c r="AA1597" s="15"/>
    </row>
    <row r="1598" spans="1:27" s="25" customFormat="1" ht="12" customHeight="1" x14ac:dyDescent="0.2">
      <c r="A1598" s="232"/>
      <c r="B1598" s="250"/>
      <c r="C1598" s="286"/>
      <c r="D1598" s="232"/>
      <c r="E1598" s="232"/>
      <c r="F1598" s="232"/>
      <c r="G1598" s="232"/>
      <c r="H1598" s="232"/>
      <c r="I1598" s="232"/>
      <c r="J1598" s="232"/>
      <c r="K1598" s="232"/>
      <c r="L1598" s="232"/>
      <c r="M1598" s="232"/>
      <c r="N1598" s="232"/>
      <c r="O1598" s="232"/>
      <c r="P1598" s="232"/>
      <c r="Q1598" s="232"/>
      <c r="R1598" s="232"/>
      <c r="S1598" s="232"/>
      <c r="T1598" s="232"/>
      <c r="U1598" s="232"/>
      <c r="V1598" s="15"/>
      <c r="W1598" s="15"/>
      <c r="X1598" s="15"/>
      <c r="Y1598" s="15"/>
      <c r="Z1598" s="15"/>
      <c r="AA1598" s="15"/>
    </row>
    <row r="1599" spans="1:27" s="25" customFormat="1" ht="12" customHeight="1" x14ac:dyDescent="0.2">
      <c r="A1599" s="232"/>
      <c r="B1599" s="250"/>
      <c r="C1599" s="286"/>
      <c r="D1599" s="232"/>
      <c r="E1599" s="232"/>
      <c r="F1599" s="232"/>
      <c r="G1599" s="232"/>
      <c r="H1599" s="232"/>
      <c r="I1599" s="232"/>
      <c r="J1599" s="232"/>
      <c r="K1599" s="232"/>
      <c r="L1599" s="232"/>
      <c r="M1599" s="232"/>
      <c r="N1599" s="232"/>
      <c r="O1599" s="232"/>
      <c r="P1599" s="232"/>
      <c r="Q1599" s="232"/>
      <c r="R1599" s="232"/>
      <c r="S1599" s="232"/>
      <c r="T1599" s="232"/>
      <c r="U1599" s="232"/>
      <c r="V1599" s="15"/>
      <c r="W1599" s="15"/>
      <c r="X1599" s="15"/>
      <c r="Y1599" s="15"/>
      <c r="Z1599" s="15"/>
      <c r="AA1599" s="15"/>
    </row>
    <row r="1600" spans="1:27" s="25" customFormat="1" ht="12" customHeight="1" x14ac:dyDescent="0.2">
      <c r="A1600" s="232"/>
      <c r="B1600" s="250"/>
      <c r="C1600" s="286"/>
      <c r="D1600" s="232"/>
      <c r="E1600" s="232"/>
      <c r="F1600" s="232"/>
      <c r="G1600" s="232"/>
      <c r="H1600" s="232"/>
      <c r="I1600" s="232"/>
      <c r="J1600" s="232"/>
      <c r="K1600" s="232"/>
      <c r="L1600" s="232"/>
      <c r="M1600" s="232"/>
      <c r="N1600" s="232"/>
      <c r="O1600" s="232"/>
      <c r="P1600" s="232"/>
      <c r="Q1600" s="232"/>
      <c r="R1600" s="232"/>
      <c r="S1600" s="232"/>
      <c r="T1600" s="232"/>
      <c r="U1600" s="232"/>
      <c r="V1600" s="15"/>
      <c r="W1600" s="15"/>
      <c r="X1600" s="15"/>
      <c r="Y1600" s="15"/>
      <c r="Z1600" s="15"/>
      <c r="AA1600" s="15"/>
    </row>
    <row r="1601" spans="1:27" s="25" customFormat="1" ht="12" customHeight="1" x14ac:dyDescent="0.2">
      <c r="A1601" s="232"/>
      <c r="B1601" s="250"/>
      <c r="C1601" s="286"/>
      <c r="D1601" s="232"/>
      <c r="E1601" s="232"/>
      <c r="F1601" s="232"/>
      <c r="G1601" s="232"/>
      <c r="H1601" s="232"/>
      <c r="I1601" s="232"/>
      <c r="J1601" s="232"/>
      <c r="K1601" s="232"/>
      <c r="L1601" s="232"/>
      <c r="M1601" s="232"/>
      <c r="N1601" s="232"/>
      <c r="O1601" s="232"/>
      <c r="P1601" s="232"/>
      <c r="Q1601" s="232"/>
      <c r="R1601" s="232"/>
      <c r="S1601" s="232"/>
      <c r="T1601" s="232"/>
      <c r="U1601" s="232"/>
      <c r="V1601" s="15"/>
      <c r="W1601" s="15"/>
      <c r="X1601" s="15"/>
      <c r="Y1601" s="15"/>
      <c r="Z1601" s="15"/>
      <c r="AA1601" s="15"/>
    </row>
    <row r="1602" spans="1:27" s="25" customFormat="1" ht="12" customHeight="1" x14ac:dyDescent="0.2">
      <c r="A1602" s="232"/>
      <c r="B1602" s="250"/>
      <c r="C1602" s="286"/>
      <c r="D1602" s="232"/>
      <c r="E1602" s="232"/>
      <c r="F1602" s="232"/>
      <c r="G1602" s="232"/>
      <c r="H1602" s="232"/>
      <c r="I1602" s="232"/>
      <c r="J1602" s="232"/>
      <c r="K1602" s="232"/>
      <c r="L1602" s="232"/>
      <c r="M1602" s="232"/>
      <c r="N1602" s="232"/>
      <c r="O1602" s="232"/>
      <c r="P1602" s="232"/>
      <c r="Q1602" s="232"/>
      <c r="R1602" s="232"/>
      <c r="S1602" s="232"/>
      <c r="T1602" s="232"/>
      <c r="U1602" s="232"/>
      <c r="V1602" s="15"/>
      <c r="W1602" s="15"/>
      <c r="X1602" s="15"/>
      <c r="Y1602" s="15"/>
      <c r="Z1602" s="15"/>
      <c r="AA1602" s="15"/>
    </row>
    <row r="1603" spans="1:27" s="25" customFormat="1" ht="12" customHeight="1" x14ac:dyDescent="0.2">
      <c r="A1603" s="232"/>
      <c r="B1603" s="250"/>
      <c r="C1603" s="286"/>
      <c r="D1603" s="232"/>
      <c r="E1603" s="232"/>
      <c r="F1603" s="232"/>
      <c r="G1603" s="232"/>
      <c r="H1603" s="232"/>
      <c r="I1603" s="232"/>
      <c r="J1603" s="232"/>
      <c r="K1603" s="232"/>
      <c r="L1603" s="232"/>
      <c r="M1603" s="232"/>
      <c r="N1603" s="232"/>
      <c r="O1603" s="232"/>
      <c r="P1603" s="232"/>
      <c r="Q1603" s="232"/>
      <c r="R1603" s="232"/>
      <c r="S1603" s="232"/>
      <c r="T1603" s="232"/>
      <c r="U1603" s="232"/>
      <c r="V1603" s="15"/>
      <c r="W1603" s="15"/>
      <c r="X1603" s="15"/>
      <c r="Y1603" s="15"/>
      <c r="Z1603" s="15"/>
      <c r="AA1603" s="15"/>
    </row>
    <row r="1604" spans="1:27" s="25" customFormat="1" ht="12" customHeight="1" x14ac:dyDescent="0.2">
      <c r="A1604" s="232"/>
      <c r="B1604" s="250"/>
      <c r="C1604" s="286"/>
      <c r="D1604" s="232"/>
      <c r="E1604" s="232"/>
      <c r="F1604" s="232"/>
      <c r="G1604" s="232"/>
      <c r="H1604" s="232"/>
      <c r="I1604" s="232"/>
      <c r="J1604" s="232"/>
      <c r="K1604" s="232"/>
      <c r="L1604" s="232"/>
      <c r="M1604" s="232"/>
      <c r="N1604" s="232"/>
      <c r="O1604" s="232"/>
      <c r="P1604" s="232"/>
      <c r="Q1604" s="232"/>
      <c r="R1604" s="232"/>
      <c r="S1604" s="232"/>
      <c r="T1604" s="232"/>
      <c r="U1604" s="232"/>
      <c r="V1604" s="15"/>
      <c r="W1604" s="15"/>
      <c r="X1604" s="15"/>
      <c r="Y1604" s="15"/>
      <c r="Z1604" s="15"/>
      <c r="AA1604" s="15"/>
    </row>
    <row r="1605" spans="1:27" s="25" customFormat="1" ht="12" customHeight="1" x14ac:dyDescent="0.2">
      <c r="A1605" s="232"/>
      <c r="B1605" s="250"/>
      <c r="C1605" s="286"/>
      <c r="D1605" s="232"/>
      <c r="E1605" s="232"/>
      <c r="F1605" s="232"/>
      <c r="G1605" s="232"/>
      <c r="H1605" s="232"/>
      <c r="I1605" s="232"/>
      <c r="J1605" s="232"/>
      <c r="K1605" s="232"/>
      <c r="L1605" s="232"/>
      <c r="M1605" s="232"/>
      <c r="N1605" s="232"/>
      <c r="O1605" s="232"/>
      <c r="P1605" s="232"/>
      <c r="Q1605" s="232"/>
      <c r="R1605" s="232"/>
      <c r="S1605" s="232"/>
      <c r="T1605" s="232"/>
      <c r="U1605" s="232"/>
      <c r="V1605" s="15"/>
      <c r="W1605" s="15"/>
      <c r="X1605" s="15"/>
      <c r="Y1605" s="15"/>
      <c r="Z1605" s="15"/>
      <c r="AA1605" s="15"/>
    </row>
    <row r="1606" spans="1:27" s="25" customFormat="1" ht="12" customHeight="1" x14ac:dyDescent="0.2">
      <c r="A1606" s="232"/>
      <c r="B1606" s="250"/>
      <c r="C1606" s="286"/>
      <c r="D1606" s="232"/>
      <c r="E1606" s="232"/>
      <c r="F1606" s="232"/>
      <c r="G1606" s="232"/>
      <c r="H1606" s="232"/>
      <c r="I1606" s="232"/>
      <c r="J1606" s="232"/>
      <c r="K1606" s="232"/>
      <c r="L1606" s="232"/>
      <c r="M1606" s="232"/>
      <c r="N1606" s="232"/>
      <c r="O1606" s="232"/>
      <c r="P1606" s="232"/>
      <c r="Q1606" s="232"/>
      <c r="R1606" s="232"/>
      <c r="S1606" s="232"/>
      <c r="T1606" s="232"/>
      <c r="U1606" s="232"/>
      <c r="V1606" s="15"/>
      <c r="W1606" s="15"/>
      <c r="X1606" s="15"/>
      <c r="Y1606" s="15"/>
      <c r="Z1606" s="15"/>
      <c r="AA1606" s="15"/>
    </row>
    <row r="1607" spans="1:27" s="25" customFormat="1" ht="12" customHeight="1" x14ac:dyDescent="0.2">
      <c r="A1607" s="232"/>
      <c r="B1607" s="250"/>
      <c r="C1607" s="286"/>
      <c r="D1607" s="232"/>
      <c r="E1607" s="232"/>
      <c r="F1607" s="232"/>
      <c r="G1607" s="232"/>
      <c r="H1607" s="232"/>
      <c r="I1607" s="232"/>
      <c r="J1607" s="232"/>
      <c r="K1607" s="232"/>
      <c r="L1607" s="232"/>
      <c r="M1607" s="232"/>
      <c r="N1607" s="232"/>
      <c r="O1607" s="232"/>
      <c r="P1607" s="232"/>
      <c r="Q1607" s="232"/>
      <c r="R1607" s="232"/>
      <c r="S1607" s="232"/>
      <c r="T1607" s="232"/>
      <c r="U1607" s="232"/>
      <c r="V1607" s="15"/>
      <c r="W1607" s="15"/>
      <c r="X1607" s="15"/>
      <c r="Y1607" s="15"/>
      <c r="Z1607" s="15"/>
      <c r="AA1607" s="15"/>
    </row>
    <row r="1608" spans="1:27" s="25" customFormat="1" ht="12" customHeight="1" x14ac:dyDescent="0.2">
      <c r="A1608" s="232"/>
      <c r="B1608" s="250"/>
      <c r="C1608" s="286"/>
      <c r="D1608" s="232"/>
      <c r="E1608" s="232"/>
      <c r="F1608" s="232"/>
      <c r="G1608" s="232"/>
      <c r="H1608" s="232"/>
      <c r="I1608" s="232"/>
      <c r="J1608" s="232"/>
      <c r="K1608" s="232"/>
      <c r="L1608" s="232"/>
      <c r="M1608" s="232"/>
      <c r="N1608" s="232"/>
      <c r="O1608" s="232"/>
      <c r="P1608" s="232"/>
      <c r="Q1608" s="232"/>
      <c r="R1608" s="232"/>
      <c r="S1608" s="232"/>
      <c r="T1608" s="232"/>
      <c r="U1608" s="232"/>
      <c r="V1608" s="15"/>
      <c r="W1608" s="15"/>
      <c r="X1608" s="15"/>
      <c r="Y1608" s="15"/>
      <c r="Z1608" s="15"/>
      <c r="AA1608" s="15"/>
    </row>
    <row r="1609" spans="1:27" s="25" customFormat="1" ht="12" customHeight="1" x14ac:dyDescent="0.2">
      <c r="A1609" s="232"/>
      <c r="B1609" s="250"/>
      <c r="C1609" s="286"/>
      <c r="D1609" s="232"/>
      <c r="E1609" s="232"/>
      <c r="F1609" s="232"/>
      <c r="G1609" s="232"/>
      <c r="H1609" s="232"/>
      <c r="I1609" s="232"/>
      <c r="J1609" s="232"/>
      <c r="K1609" s="232"/>
      <c r="L1609" s="232"/>
      <c r="M1609" s="232"/>
      <c r="N1609" s="232"/>
      <c r="O1609" s="232"/>
      <c r="P1609" s="232"/>
      <c r="Q1609" s="232"/>
      <c r="R1609" s="232"/>
      <c r="S1609" s="232"/>
      <c r="T1609" s="232"/>
      <c r="U1609" s="232"/>
      <c r="V1609" s="15"/>
      <c r="W1609" s="15"/>
      <c r="X1609" s="15"/>
      <c r="Y1609" s="15"/>
      <c r="Z1609" s="15"/>
      <c r="AA1609" s="15"/>
    </row>
    <row r="1610" spans="1:27" s="25" customFormat="1" ht="12" customHeight="1" x14ac:dyDescent="0.2">
      <c r="A1610" s="232"/>
      <c r="B1610" s="250"/>
      <c r="C1610" s="286"/>
      <c r="D1610" s="232"/>
      <c r="E1610" s="232"/>
      <c r="F1610" s="232"/>
      <c r="G1610" s="232"/>
      <c r="H1610" s="232"/>
      <c r="I1610" s="232"/>
      <c r="J1610" s="232"/>
      <c r="K1610" s="232"/>
      <c r="L1610" s="232"/>
      <c r="M1610" s="232"/>
      <c r="N1610" s="232"/>
      <c r="O1610" s="232"/>
      <c r="P1610" s="232"/>
      <c r="Q1610" s="232"/>
      <c r="R1610" s="232"/>
      <c r="S1610" s="232"/>
      <c r="T1610" s="232"/>
      <c r="U1610" s="232"/>
      <c r="V1610" s="15"/>
      <c r="W1610" s="15"/>
      <c r="X1610" s="15"/>
      <c r="Y1610" s="15"/>
      <c r="Z1610" s="15"/>
      <c r="AA1610" s="15"/>
    </row>
    <row r="1611" spans="1:27" s="25" customFormat="1" ht="12" customHeight="1" x14ac:dyDescent="0.2">
      <c r="A1611" s="232"/>
      <c r="B1611" s="250"/>
      <c r="C1611" s="286"/>
      <c r="D1611" s="232"/>
      <c r="E1611" s="232"/>
      <c r="F1611" s="232"/>
      <c r="G1611" s="232"/>
      <c r="H1611" s="232"/>
      <c r="I1611" s="232"/>
      <c r="J1611" s="232"/>
      <c r="K1611" s="232"/>
      <c r="L1611" s="232"/>
      <c r="M1611" s="232"/>
      <c r="N1611" s="232"/>
      <c r="O1611" s="232"/>
      <c r="P1611" s="232"/>
      <c r="Q1611" s="232"/>
      <c r="R1611" s="232"/>
      <c r="S1611" s="232"/>
      <c r="T1611" s="232"/>
      <c r="U1611" s="232"/>
      <c r="V1611" s="15"/>
      <c r="W1611" s="15"/>
      <c r="X1611" s="15"/>
      <c r="Y1611" s="15"/>
      <c r="Z1611" s="15"/>
      <c r="AA1611" s="15"/>
    </row>
    <row r="1612" spans="1:27" s="25" customFormat="1" ht="12" customHeight="1" x14ac:dyDescent="0.2">
      <c r="A1612" s="232"/>
      <c r="B1612" s="250"/>
      <c r="C1612" s="286"/>
      <c r="D1612" s="232"/>
      <c r="E1612" s="232"/>
      <c r="F1612" s="232"/>
      <c r="G1612" s="232"/>
      <c r="H1612" s="232"/>
      <c r="I1612" s="232"/>
      <c r="J1612" s="232"/>
      <c r="K1612" s="232"/>
      <c r="L1612" s="232"/>
      <c r="M1612" s="232"/>
      <c r="N1612" s="232"/>
      <c r="O1612" s="232"/>
      <c r="P1612" s="232"/>
      <c r="Q1612" s="232"/>
      <c r="R1612" s="232"/>
      <c r="S1612" s="232"/>
      <c r="T1612" s="232"/>
      <c r="U1612" s="232"/>
      <c r="V1612" s="15"/>
      <c r="W1612" s="15"/>
      <c r="X1612" s="15"/>
      <c r="Y1612" s="15"/>
      <c r="Z1612" s="15"/>
      <c r="AA1612" s="15"/>
    </row>
    <row r="1613" spans="1:27" s="25" customFormat="1" ht="12" customHeight="1" x14ac:dyDescent="0.2">
      <c r="A1613" s="232"/>
      <c r="B1613" s="250"/>
      <c r="C1613" s="286"/>
      <c r="D1613" s="232"/>
      <c r="E1613" s="232"/>
      <c r="F1613" s="232"/>
      <c r="G1613" s="232"/>
      <c r="H1613" s="232"/>
      <c r="I1613" s="232"/>
      <c r="J1613" s="232"/>
      <c r="K1613" s="232"/>
      <c r="L1613" s="232"/>
      <c r="M1613" s="232"/>
      <c r="N1613" s="232"/>
      <c r="O1613" s="232"/>
      <c r="P1613" s="232"/>
      <c r="Q1613" s="232"/>
      <c r="R1613" s="232"/>
      <c r="S1613" s="232"/>
      <c r="T1613" s="232"/>
      <c r="U1613" s="232"/>
      <c r="V1613" s="15"/>
      <c r="W1613" s="15"/>
      <c r="X1613" s="15"/>
      <c r="Y1613" s="15"/>
      <c r="Z1613" s="15"/>
      <c r="AA1613" s="15"/>
    </row>
    <row r="1614" spans="1:27" s="25" customFormat="1" ht="12" customHeight="1" x14ac:dyDescent="0.2">
      <c r="A1614" s="232"/>
      <c r="B1614" s="250"/>
      <c r="C1614" s="286"/>
      <c r="D1614" s="232"/>
      <c r="E1614" s="232"/>
      <c r="F1614" s="232"/>
      <c r="G1614" s="232"/>
      <c r="H1614" s="232"/>
      <c r="I1614" s="232"/>
      <c r="J1614" s="232"/>
      <c r="K1614" s="232"/>
      <c r="L1614" s="232"/>
      <c r="M1614" s="232"/>
      <c r="N1614" s="232"/>
      <c r="O1614" s="232"/>
      <c r="P1614" s="232"/>
      <c r="Q1614" s="232"/>
      <c r="R1614" s="232"/>
      <c r="S1614" s="232"/>
      <c r="T1614" s="232"/>
      <c r="U1614" s="232"/>
      <c r="V1614" s="15"/>
      <c r="W1614" s="15"/>
      <c r="X1614" s="15"/>
      <c r="Y1614" s="15"/>
      <c r="Z1614" s="15"/>
      <c r="AA1614" s="15"/>
    </row>
    <row r="1615" spans="1:27" s="25" customFormat="1" ht="12" customHeight="1" x14ac:dyDescent="0.2">
      <c r="A1615" s="232"/>
      <c r="B1615" s="250"/>
      <c r="C1615" s="286"/>
      <c r="D1615" s="232"/>
      <c r="E1615" s="232"/>
      <c r="F1615" s="232"/>
      <c r="G1615" s="232"/>
      <c r="H1615" s="232"/>
      <c r="I1615" s="232"/>
      <c r="J1615" s="232"/>
      <c r="K1615" s="232"/>
      <c r="L1615" s="232"/>
      <c r="M1615" s="232"/>
      <c r="N1615" s="232"/>
      <c r="O1615" s="232"/>
      <c r="P1615" s="232"/>
      <c r="Q1615" s="232"/>
      <c r="R1615" s="232"/>
      <c r="S1615" s="232"/>
      <c r="T1615" s="232"/>
      <c r="U1615" s="232"/>
      <c r="V1615" s="15"/>
      <c r="W1615" s="15"/>
      <c r="X1615" s="15"/>
      <c r="Y1615" s="15"/>
      <c r="Z1615" s="15"/>
      <c r="AA1615" s="15"/>
    </row>
    <row r="1616" spans="1:27" s="25" customFormat="1" ht="12" customHeight="1" x14ac:dyDescent="0.2">
      <c r="A1616" s="232"/>
      <c r="B1616" s="250"/>
      <c r="C1616" s="286"/>
      <c r="D1616" s="232"/>
      <c r="E1616" s="232"/>
      <c r="F1616" s="232"/>
      <c r="G1616" s="232"/>
      <c r="H1616" s="232"/>
      <c r="I1616" s="232"/>
      <c r="J1616" s="232"/>
      <c r="K1616" s="232"/>
      <c r="L1616" s="232"/>
      <c r="M1616" s="232"/>
      <c r="N1616" s="232"/>
      <c r="O1616" s="232"/>
      <c r="P1616" s="232"/>
      <c r="Q1616" s="232"/>
      <c r="R1616" s="232"/>
      <c r="S1616" s="232"/>
      <c r="T1616" s="232"/>
      <c r="U1616" s="232"/>
      <c r="V1616" s="15"/>
      <c r="W1616" s="15"/>
      <c r="X1616" s="15"/>
      <c r="Y1616" s="15"/>
      <c r="Z1616" s="15"/>
      <c r="AA1616" s="15"/>
    </row>
    <row r="1617" spans="1:27" s="25" customFormat="1" ht="12" customHeight="1" x14ac:dyDescent="0.2">
      <c r="A1617" s="232"/>
      <c r="B1617" s="250"/>
      <c r="C1617" s="286"/>
      <c r="D1617" s="232"/>
      <c r="E1617" s="232"/>
      <c r="F1617" s="232"/>
      <c r="G1617" s="232"/>
      <c r="H1617" s="232"/>
      <c r="I1617" s="232"/>
      <c r="J1617" s="232"/>
      <c r="K1617" s="232"/>
      <c r="L1617" s="232"/>
      <c r="M1617" s="232"/>
      <c r="N1617" s="232"/>
      <c r="O1617" s="232"/>
      <c r="P1617" s="232"/>
      <c r="Q1617" s="232"/>
      <c r="R1617" s="232"/>
      <c r="S1617" s="232"/>
      <c r="T1617" s="232"/>
      <c r="U1617" s="232"/>
      <c r="V1617" s="15"/>
      <c r="W1617" s="15"/>
      <c r="X1617" s="15"/>
      <c r="Y1617" s="15"/>
      <c r="Z1617" s="15"/>
      <c r="AA1617" s="15"/>
    </row>
    <row r="1618" spans="1:27" s="25" customFormat="1" ht="12" customHeight="1" x14ac:dyDescent="0.2">
      <c r="A1618" s="232"/>
      <c r="B1618" s="250"/>
      <c r="C1618" s="286"/>
      <c r="D1618" s="232"/>
      <c r="E1618" s="232"/>
      <c r="F1618" s="232"/>
      <c r="G1618" s="232"/>
      <c r="H1618" s="232"/>
      <c r="I1618" s="232"/>
      <c r="J1618" s="232"/>
      <c r="K1618" s="232"/>
      <c r="L1618" s="232"/>
      <c r="M1618" s="232"/>
      <c r="N1618" s="232"/>
      <c r="O1618" s="232"/>
      <c r="P1618" s="232"/>
      <c r="Q1618" s="232"/>
      <c r="R1618" s="232"/>
      <c r="S1618" s="232"/>
      <c r="T1618" s="232"/>
      <c r="U1618" s="232"/>
      <c r="V1618" s="15"/>
      <c r="W1618" s="15"/>
      <c r="X1618" s="15"/>
      <c r="Y1618" s="15"/>
      <c r="Z1618" s="15"/>
      <c r="AA1618" s="15"/>
    </row>
    <row r="1619" spans="1:27" s="25" customFormat="1" ht="12" customHeight="1" x14ac:dyDescent="0.2">
      <c r="A1619" s="232"/>
      <c r="B1619" s="250"/>
      <c r="C1619" s="286"/>
      <c r="D1619" s="232"/>
      <c r="E1619" s="232"/>
      <c r="F1619" s="232"/>
      <c r="G1619" s="232"/>
      <c r="H1619" s="232"/>
      <c r="I1619" s="232"/>
      <c r="J1619" s="232"/>
      <c r="K1619" s="232"/>
      <c r="L1619" s="232"/>
      <c r="M1619" s="232"/>
      <c r="N1619" s="232"/>
      <c r="O1619" s="232"/>
      <c r="P1619" s="232"/>
      <c r="Q1619" s="232"/>
      <c r="R1619" s="232"/>
      <c r="S1619" s="232"/>
      <c r="T1619" s="232"/>
      <c r="U1619" s="232"/>
      <c r="V1619" s="15"/>
      <c r="W1619" s="15"/>
      <c r="X1619" s="15"/>
      <c r="Y1619" s="15"/>
      <c r="Z1619" s="15"/>
      <c r="AA1619" s="15"/>
    </row>
    <row r="1620" spans="1:27" s="25" customFormat="1" ht="12" customHeight="1" x14ac:dyDescent="0.2">
      <c r="A1620" s="232"/>
      <c r="B1620" s="250"/>
      <c r="C1620" s="286"/>
      <c r="D1620" s="232"/>
      <c r="E1620" s="232"/>
      <c r="F1620" s="232"/>
      <c r="G1620" s="232"/>
      <c r="H1620" s="232"/>
      <c r="I1620" s="232"/>
      <c r="J1620" s="232"/>
      <c r="K1620" s="232"/>
      <c r="L1620" s="232"/>
      <c r="M1620" s="232"/>
      <c r="N1620" s="232"/>
      <c r="O1620" s="232"/>
      <c r="P1620" s="232"/>
      <c r="Q1620" s="232"/>
      <c r="R1620" s="232"/>
      <c r="S1620" s="232"/>
      <c r="T1620" s="232"/>
      <c r="U1620" s="232"/>
      <c r="V1620" s="15"/>
      <c r="W1620" s="15"/>
      <c r="X1620" s="15"/>
      <c r="Y1620" s="15"/>
      <c r="Z1620" s="15"/>
      <c r="AA1620" s="15"/>
    </row>
    <row r="1621" spans="1:27" s="25" customFormat="1" ht="12" customHeight="1" x14ac:dyDescent="0.2">
      <c r="A1621" s="232"/>
      <c r="B1621" s="250"/>
      <c r="C1621" s="286"/>
      <c r="D1621" s="232"/>
      <c r="E1621" s="232"/>
      <c r="F1621" s="232"/>
      <c r="G1621" s="232"/>
      <c r="H1621" s="232"/>
      <c r="I1621" s="232"/>
      <c r="J1621" s="232"/>
      <c r="K1621" s="232"/>
      <c r="L1621" s="232"/>
      <c r="M1621" s="232"/>
      <c r="N1621" s="232"/>
      <c r="O1621" s="232"/>
      <c r="P1621" s="232"/>
      <c r="Q1621" s="232"/>
      <c r="R1621" s="232"/>
      <c r="S1621" s="232"/>
      <c r="T1621" s="232"/>
      <c r="U1621" s="232"/>
      <c r="V1621" s="15"/>
      <c r="W1621" s="15"/>
      <c r="X1621" s="15"/>
      <c r="Y1621" s="15"/>
      <c r="Z1621" s="15"/>
      <c r="AA1621" s="15"/>
    </row>
    <row r="1622" spans="1:27" s="25" customFormat="1" ht="12" customHeight="1" x14ac:dyDescent="0.2">
      <c r="A1622" s="232"/>
      <c r="B1622" s="250"/>
      <c r="C1622" s="286"/>
      <c r="D1622" s="232"/>
      <c r="E1622" s="232"/>
      <c r="F1622" s="232"/>
      <c r="G1622" s="232"/>
      <c r="H1622" s="232"/>
      <c r="I1622" s="232"/>
      <c r="J1622" s="232"/>
      <c r="K1622" s="232"/>
      <c r="L1622" s="232"/>
      <c r="M1622" s="232"/>
      <c r="N1622" s="232"/>
      <c r="O1622" s="232"/>
      <c r="P1622" s="232"/>
      <c r="Q1622" s="232"/>
      <c r="R1622" s="232"/>
      <c r="S1622" s="232"/>
      <c r="T1622" s="232"/>
      <c r="U1622" s="232"/>
      <c r="V1622" s="15"/>
      <c r="W1622" s="15"/>
      <c r="X1622" s="15"/>
      <c r="Y1622" s="15"/>
      <c r="Z1622" s="15"/>
      <c r="AA1622" s="15"/>
    </row>
    <row r="1623" spans="1:27" s="25" customFormat="1" ht="12" customHeight="1" x14ac:dyDescent="0.2">
      <c r="A1623" s="232"/>
      <c r="B1623" s="250"/>
      <c r="C1623" s="286"/>
      <c r="D1623" s="232"/>
      <c r="E1623" s="232"/>
      <c r="F1623" s="232"/>
      <c r="G1623" s="232"/>
      <c r="H1623" s="232"/>
      <c r="I1623" s="232"/>
      <c r="J1623" s="232"/>
      <c r="K1623" s="232"/>
      <c r="L1623" s="232"/>
      <c r="M1623" s="232"/>
      <c r="N1623" s="232"/>
      <c r="O1623" s="232"/>
      <c r="P1623" s="232"/>
      <c r="Q1623" s="232"/>
      <c r="R1623" s="232"/>
      <c r="S1623" s="232"/>
      <c r="T1623" s="232"/>
      <c r="U1623" s="232"/>
      <c r="V1623" s="15"/>
      <c r="W1623" s="15"/>
      <c r="X1623" s="15"/>
      <c r="Y1623" s="15"/>
      <c r="Z1623" s="15"/>
      <c r="AA1623" s="15"/>
    </row>
    <row r="1624" spans="1:27" s="25" customFormat="1" ht="12" customHeight="1" x14ac:dyDescent="0.2">
      <c r="A1624" s="232"/>
      <c r="B1624" s="250"/>
      <c r="C1624" s="286"/>
      <c r="D1624" s="232"/>
      <c r="E1624" s="232"/>
      <c r="F1624" s="232"/>
      <c r="G1624" s="232"/>
      <c r="H1624" s="232"/>
      <c r="I1624" s="232"/>
      <c r="J1624" s="232"/>
      <c r="K1624" s="232"/>
      <c r="L1624" s="232"/>
      <c r="M1624" s="232"/>
      <c r="N1624" s="232"/>
      <c r="O1624" s="232"/>
      <c r="P1624" s="232"/>
      <c r="Q1624" s="232"/>
      <c r="R1624" s="232"/>
      <c r="S1624" s="232"/>
      <c r="T1624" s="232"/>
      <c r="U1624" s="232"/>
      <c r="V1624" s="15"/>
      <c r="W1624" s="15"/>
      <c r="X1624" s="15"/>
      <c r="Y1624" s="15"/>
      <c r="Z1624" s="15"/>
      <c r="AA1624" s="15"/>
    </row>
    <row r="1625" spans="1:27" s="25" customFormat="1" ht="12" customHeight="1" x14ac:dyDescent="0.2">
      <c r="A1625" s="232"/>
      <c r="B1625" s="250"/>
      <c r="C1625" s="286"/>
      <c r="D1625" s="232"/>
      <c r="E1625" s="232"/>
      <c r="F1625" s="232"/>
      <c r="G1625" s="232"/>
      <c r="H1625" s="232"/>
      <c r="I1625" s="232"/>
      <c r="J1625" s="232"/>
      <c r="K1625" s="232"/>
      <c r="L1625" s="232"/>
      <c r="M1625" s="232"/>
      <c r="N1625" s="232"/>
      <c r="O1625" s="232"/>
      <c r="P1625" s="232"/>
      <c r="Q1625" s="232"/>
      <c r="R1625" s="232"/>
      <c r="S1625" s="232"/>
      <c r="T1625" s="232"/>
      <c r="U1625" s="232"/>
      <c r="V1625" s="15"/>
      <c r="W1625" s="15"/>
      <c r="X1625" s="15"/>
      <c r="Y1625" s="15"/>
      <c r="Z1625" s="15"/>
      <c r="AA1625" s="15"/>
    </row>
    <row r="1626" spans="1:27" s="25" customFormat="1" ht="12" customHeight="1" x14ac:dyDescent="0.2">
      <c r="A1626" s="232"/>
      <c r="B1626" s="250"/>
      <c r="C1626" s="286"/>
      <c r="D1626" s="232"/>
      <c r="E1626" s="232"/>
      <c r="F1626" s="232"/>
      <c r="G1626" s="232"/>
      <c r="H1626" s="232"/>
      <c r="I1626" s="232"/>
      <c r="J1626" s="232"/>
      <c r="K1626" s="232"/>
      <c r="L1626" s="232"/>
      <c r="M1626" s="232"/>
      <c r="N1626" s="232"/>
      <c r="O1626" s="232"/>
      <c r="P1626" s="232"/>
      <c r="Q1626" s="232"/>
      <c r="R1626" s="232"/>
      <c r="S1626" s="232"/>
      <c r="T1626" s="232"/>
      <c r="U1626" s="232"/>
      <c r="V1626" s="15"/>
      <c r="W1626" s="15"/>
      <c r="X1626" s="15"/>
      <c r="Y1626" s="15"/>
      <c r="Z1626" s="15"/>
      <c r="AA1626" s="15"/>
    </row>
    <row r="1627" spans="1:27" s="25" customFormat="1" ht="12" customHeight="1" x14ac:dyDescent="0.2">
      <c r="A1627" s="232"/>
      <c r="B1627" s="250"/>
      <c r="C1627" s="286"/>
      <c r="D1627" s="232"/>
      <c r="E1627" s="232"/>
      <c r="F1627" s="232"/>
      <c r="G1627" s="232"/>
      <c r="H1627" s="232"/>
      <c r="I1627" s="232"/>
      <c r="J1627" s="232"/>
      <c r="K1627" s="232"/>
      <c r="L1627" s="232"/>
      <c r="M1627" s="232"/>
      <c r="N1627" s="232"/>
      <c r="O1627" s="232"/>
      <c r="P1627" s="232"/>
      <c r="Q1627" s="232"/>
      <c r="R1627" s="232"/>
      <c r="S1627" s="232"/>
      <c r="T1627" s="232"/>
      <c r="U1627" s="232"/>
      <c r="V1627" s="15"/>
      <c r="W1627" s="15"/>
      <c r="X1627" s="15"/>
      <c r="Y1627" s="15"/>
      <c r="Z1627" s="15"/>
      <c r="AA1627" s="15"/>
    </row>
    <row r="1628" spans="1:27" s="25" customFormat="1" ht="12" customHeight="1" x14ac:dyDescent="0.2">
      <c r="A1628" s="232"/>
      <c r="B1628" s="250"/>
      <c r="C1628" s="286"/>
      <c r="D1628" s="232"/>
      <c r="E1628" s="232"/>
      <c r="F1628" s="232"/>
      <c r="G1628" s="232"/>
      <c r="H1628" s="232"/>
      <c r="I1628" s="232"/>
      <c r="J1628" s="232"/>
      <c r="K1628" s="232"/>
      <c r="L1628" s="232"/>
      <c r="M1628" s="232"/>
      <c r="N1628" s="232"/>
      <c r="O1628" s="232"/>
      <c r="P1628" s="232"/>
      <c r="Q1628" s="232"/>
      <c r="R1628" s="232"/>
      <c r="S1628" s="232"/>
      <c r="T1628" s="232"/>
      <c r="U1628" s="232"/>
      <c r="V1628" s="15"/>
      <c r="W1628" s="15"/>
      <c r="X1628" s="15"/>
      <c r="Y1628" s="15"/>
      <c r="Z1628" s="15"/>
      <c r="AA1628" s="15"/>
    </row>
    <row r="1629" spans="1:27" s="25" customFormat="1" ht="12" customHeight="1" x14ac:dyDescent="0.2">
      <c r="A1629" s="232"/>
      <c r="B1629" s="250"/>
      <c r="C1629" s="286"/>
      <c r="D1629" s="232"/>
      <c r="E1629" s="232"/>
      <c r="F1629" s="232"/>
      <c r="G1629" s="232"/>
      <c r="H1629" s="232"/>
      <c r="I1629" s="232"/>
      <c r="J1629" s="232"/>
      <c r="K1629" s="232"/>
      <c r="L1629" s="232"/>
      <c r="M1629" s="232"/>
      <c r="N1629" s="232"/>
      <c r="O1629" s="232"/>
      <c r="P1629" s="232"/>
      <c r="Q1629" s="232"/>
      <c r="R1629" s="232"/>
      <c r="S1629" s="232"/>
      <c r="T1629" s="232"/>
      <c r="U1629" s="232"/>
      <c r="V1629" s="15"/>
      <c r="W1629" s="15"/>
      <c r="X1629" s="15"/>
      <c r="Y1629" s="15"/>
      <c r="Z1629" s="15"/>
      <c r="AA1629" s="15"/>
    </row>
    <row r="1630" spans="1:27" s="25" customFormat="1" ht="12" customHeight="1" x14ac:dyDescent="0.2">
      <c r="A1630" s="232"/>
      <c r="B1630" s="250"/>
      <c r="C1630" s="286"/>
      <c r="D1630" s="232"/>
      <c r="E1630" s="232"/>
      <c r="F1630" s="232"/>
      <c r="G1630" s="232"/>
      <c r="H1630" s="232"/>
      <c r="I1630" s="232"/>
      <c r="J1630" s="232"/>
      <c r="K1630" s="232"/>
      <c r="L1630" s="232"/>
      <c r="M1630" s="232"/>
      <c r="N1630" s="232"/>
      <c r="O1630" s="232"/>
      <c r="P1630" s="232"/>
      <c r="Q1630" s="232"/>
      <c r="R1630" s="232"/>
      <c r="S1630" s="232"/>
      <c r="T1630" s="232"/>
      <c r="U1630" s="232"/>
      <c r="V1630" s="15"/>
      <c r="W1630" s="15"/>
      <c r="X1630" s="15"/>
      <c r="Y1630" s="15"/>
      <c r="Z1630" s="15"/>
      <c r="AA1630" s="15"/>
    </row>
    <row r="1631" spans="1:27" s="25" customFormat="1" ht="12" customHeight="1" x14ac:dyDescent="0.2">
      <c r="A1631" s="232"/>
      <c r="B1631" s="250"/>
      <c r="C1631" s="286"/>
      <c r="D1631" s="232"/>
      <c r="E1631" s="232"/>
      <c r="F1631" s="232"/>
      <c r="G1631" s="232"/>
      <c r="H1631" s="232"/>
      <c r="I1631" s="232"/>
      <c r="J1631" s="232"/>
      <c r="K1631" s="232"/>
      <c r="L1631" s="232"/>
      <c r="M1631" s="232"/>
      <c r="N1631" s="232"/>
      <c r="O1631" s="232"/>
      <c r="P1631" s="232"/>
      <c r="Q1631" s="232"/>
      <c r="R1631" s="232"/>
      <c r="S1631" s="232"/>
      <c r="T1631" s="232"/>
      <c r="U1631" s="232"/>
      <c r="V1631" s="15"/>
      <c r="W1631" s="15"/>
      <c r="X1631" s="15"/>
      <c r="Y1631" s="15"/>
      <c r="Z1631" s="15"/>
      <c r="AA1631" s="15"/>
    </row>
    <row r="1632" spans="1:27" s="25" customFormat="1" ht="12" customHeight="1" x14ac:dyDescent="0.2">
      <c r="A1632" s="232"/>
      <c r="B1632" s="250"/>
      <c r="C1632" s="286"/>
      <c r="D1632" s="232"/>
      <c r="E1632" s="232"/>
      <c r="F1632" s="232"/>
      <c r="G1632" s="232"/>
      <c r="H1632" s="232"/>
      <c r="I1632" s="232"/>
      <c r="J1632" s="232"/>
      <c r="K1632" s="232"/>
      <c r="L1632" s="232"/>
      <c r="M1632" s="232"/>
      <c r="N1632" s="232"/>
      <c r="O1632" s="232"/>
      <c r="P1632" s="232"/>
      <c r="Q1632" s="232"/>
      <c r="R1632" s="232"/>
      <c r="S1632" s="232"/>
      <c r="T1632" s="232"/>
      <c r="U1632" s="232"/>
      <c r="V1632" s="15"/>
      <c r="W1632" s="15"/>
      <c r="X1632" s="15"/>
      <c r="Y1632" s="15"/>
      <c r="Z1632" s="15"/>
      <c r="AA1632" s="15"/>
    </row>
    <row r="1633" spans="1:27" s="25" customFormat="1" ht="12" customHeight="1" x14ac:dyDescent="0.2">
      <c r="A1633" s="232"/>
      <c r="B1633" s="250"/>
      <c r="C1633" s="286"/>
      <c r="D1633" s="232"/>
      <c r="E1633" s="232"/>
      <c r="F1633" s="232"/>
      <c r="G1633" s="232"/>
      <c r="H1633" s="232"/>
      <c r="I1633" s="232"/>
      <c r="J1633" s="232"/>
      <c r="K1633" s="232"/>
      <c r="L1633" s="232"/>
      <c r="M1633" s="232"/>
      <c r="N1633" s="232"/>
      <c r="O1633" s="232"/>
      <c r="P1633" s="232"/>
      <c r="Q1633" s="232"/>
      <c r="R1633" s="232"/>
      <c r="S1633" s="232"/>
      <c r="T1633" s="232"/>
      <c r="U1633" s="232"/>
      <c r="V1633" s="15"/>
      <c r="W1633" s="15"/>
      <c r="X1633" s="15"/>
      <c r="Y1633" s="15"/>
      <c r="Z1633" s="15"/>
      <c r="AA1633" s="15"/>
    </row>
    <row r="1634" spans="1:27" s="25" customFormat="1" ht="12" customHeight="1" x14ac:dyDescent="0.2">
      <c r="A1634" s="232"/>
      <c r="B1634" s="250"/>
      <c r="C1634" s="286"/>
      <c r="D1634" s="232"/>
      <c r="E1634" s="232"/>
      <c r="F1634" s="232"/>
      <c r="G1634" s="232"/>
      <c r="H1634" s="232"/>
      <c r="I1634" s="232"/>
      <c r="J1634" s="232"/>
      <c r="K1634" s="232"/>
      <c r="L1634" s="232"/>
      <c r="M1634" s="232"/>
      <c r="N1634" s="232"/>
      <c r="O1634" s="232"/>
      <c r="P1634" s="232"/>
      <c r="Q1634" s="232"/>
      <c r="R1634" s="232"/>
      <c r="S1634" s="232"/>
      <c r="T1634" s="232"/>
      <c r="U1634" s="232"/>
      <c r="V1634" s="15"/>
      <c r="W1634" s="15"/>
      <c r="X1634" s="15"/>
      <c r="Y1634" s="15"/>
      <c r="Z1634" s="15"/>
      <c r="AA1634" s="15"/>
    </row>
    <row r="1635" spans="1:27" s="25" customFormat="1" ht="12" customHeight="1" x14ac:dyDescent="0.2">
      <c r="A1635" s="232"/>
      <c r="B1635" s="250"/>
      <c r="C1635" s="286"/>
      <c r="D1635" s="232"/>
      <c r="E1635" s="232"/>
      <c r="F1635" s="232"/>
      <c r="G1635" s="232"/>
      <c r="H1635" s="232"/>
      <c r="I1635" s="232"/>
      <c r="J1635" s="232"/>
      <c r="K1635" s="232"/>
      <c r="L1635" s="232"/>
      <c r="M1635" s="232"/>
      <c r="N1635" s="232"/>
      <c r="O1635" s="232"/>
      <c r="P1635" s="232"/>
      <c r="Q1635" s="232"/>
      <c r="R1635" s="232"/>
      <c r="S1635" s="232"/>
      <c r="T1635" s="232"/>
      <c r="U1635" s="232"/>
      <c r="V1635" s="15"/>
      <c r="W1635" s="15"/>
      <c r="X1635" s="15"/>
      <c r="Y1635" s="15"/>
      <c r="Z1635" s="15"/>
      <c r="AA1635" s="15"/>
    </row>
    <row r="1636" spans="1:27" s="25" customFormat="1" ht="12" customHeight="1" x14ac:dyDescent="0.2">
      <c r="A1636" s="232"/>
      <c r="B1636" s="250"/>
      <c r="C1636" s="286"/>
      <c r="D1636" s="232"/>
      <c r="E1636" s="232"/>
      <c r="F1636" s="232"/>
      <c r="G1636" s="232"/>
      <c r="H1636" s="232"/>
      <c r="I1636" s="232"/>
      <c r="J1636" s="232"/>
      <c r="K1636" s="232"/>
      <c r="L1636" s="232"/>
      <c r="M1636" s="232"/>
      <c r="N1636" s="232"/>
      <c r="O1636" s="232"/>
      <c r="P1636" s="232"/>
      <c r="Q1636" s="232"/>
      <c r="R1636" s="232"/>
      <c r="S1636" s="232"/>
      <c r="T1636" s="232"/>
      <c r="U1636" s="232"/>
      <c r="V1636" s="15"/>
      <c r="W1636" s="15"/>
      <c r="X1636" s="15"/>
      <c r="Y1636" s="15"/>
      <c r="Z1636" s="15"/>
      <c r="AA1636" s="15"/>
    </row>
    <row r="1637" spans="1:27" s="25" customFormat="1" ht="12" customHeight="1" x14ac:dyDescent="0.2">
      <c r="A1637" s="232"/>
      <c r="B1637" s="250"/>
      <c r="C1637" s="286"/>
      <c r="D1637" s="232"/>
      <c r="E1637" s="232"/>
      <c r="F1637" s="232"/>
      <c r="G1637" s="232"/>
      <c r="H1637" s="232"/>
      <c r="I1637" s="232"/>
      <c r="J1637" s="232"/>
      <c r="K1637" s="232"/>
      <c r="L1637" s="232"/>
      <c r="M1637" s="232"/>
      <c r="N1637" s="232"/>
      <c r="O1637" s="232"/>
      <c r="P1637" s="232"/>
      <c r="Q1637" s="232"/>
      <c r="R1637" s="232"/>
      <c r="S1637" s="232"/>
      <c r="T1637" s="232"/>
      <c r="U1637" s="232"/>
      <c r="V1637" s="15"/>
      <c r="W1637" s="15"/>
      <c r="X1637" s="15"/>
      <c r="Y1637" s="15"/>
      <c r="Z1637" s="15"/>
      <c r="AA1637" s="15"/>
    </row>
    <row r="1638" spans="1:27" s="25" customFormat="1" ht="12" customHeight="1" x14ac:dyDescent="0.2">
      <c r="A1638" s="232"/>
      <c r="B1638" s="250"/>
      <c r="C1638" s="286"/>
      <c r="D1638" s="232"/>
      <c r="E1638" s="232"/>
      <c r="F1638" s="232"/>
      <c r="G1638" s="232"/>
      <c r="H1638" s="232"/>
      <c r="I1638" s="232"/>
      <c r="J1638" s="232"/>
      <c r="K1638" s="232"/>
      <c r="L1638" s="232"/>
      <c r="M1638" s="232"/>
      <c r="N1638" s="232"/>
      <c r="O1638" s="232"/>
      <c r="P1638" s="232"/>
      <c r="Q1638" s="232"/>
      <c r="R1638" s="232"/>
      <c r="S1638" s="232"/>
      <c r="T1638" s="232"/>
      <c r="U1638" s="232"/>
      <c r="V1638" s="15"/>
      <c r="W1638" s="15"/>
      <c r="X1638" s="15"/>
      <c r="Y1638" s="15"/>
      <c r="Z1638" s="15"/>
      <c r="AA1638" s="15"/>
    </row>
    <row r="1639" spans="1:27" s="25" customFormat="1" ht="12" customHeight="1" x14ac:dyDescent="0.2">
      <c r="A1639" s="232"/>
      <c r="B1639" s="250"/>
      <c r="C1639" s="286"/>
      <c r="D1639" s="232"/>
      <c r="E1639" s="232"/>
      <c r="F1639" s="232"/>
      <c r="G1639" s="232"/>
      <c r="H1639" s="232"/>
      <c r="I1639" s="232"/>
      <c r="J1639" s="232"/>
      <c r="K1639" s="232"/>
      <c r="L1639" s="232"/>
      <c r="M1639" s="232"/>
      <c r="N1639" s="232"/>
      <c r="O1639" s="232"/>
      <c r="P1639" s="232"/>
      <c r="Q1639" s="232"/>
      <c r="R1639" s="232"/>
      <c r="S1639" s="232"/>
      <c r="T1639" s="232"/>
      <c r="U1639" s="232"/>
      <c r="V1639" s="15"/>
      <c r="W1639" s="15"/>
      <c r="X1639" s="15"/>
      <c r="Y1639" s="15"/>
      <c r="Z1639" s="15"/>
      <c r="AA1639" s="15"/>
    </row>
    <row r="1640" spans="1:27" s="25" customFormat="1" ht="12" customHeight="1" x14ac:dyDescent="0.2">
      <c r="A1640" s="232"/>
      <c r="B1640" s="250"/>
      <c r="C1640" s="286"/>
      <c r="D1640" s="232"/>
      <c r="E1640" s="232"/>
      <c r="F1640" s="232"/>
      <c r="G1640" s="232"/>
      <c r="H1640" s="232"/>
      <c r="I1640" s="232"/>
      <c r="J1640" s="232"/>
      <c r="K1640" s="232"/>
      <c r="L1640" s="232"/>
      <c r="M1640" s="232"/>
      <c r="N1640" s="232"/>
      <c r="O1640" s="232"/>
      <c r="P1640" s="232"/>
      <c r="Q1640" s="232"/>
      <c r="R1640" s="232"/>
      <c r="S1640" s="232"/>
      <c r="T1640" s="232"/>
      <c r="U1640" s="232"/>
      <c r="V1640" s="15"/>
      <c r="W1640" s="15"/>
      <c r="X1640" s="15"/>
      <c r="Y1640" s="15"/>
      <c r="Z1640" s="15"/>
      <c r="AA1640" s="15"/>
    </row>
    <row r="1641" spans="1:27" s="25" customFormat="1" ht="12" customHeight="1" x14ac:dyDescent="0.2">
      <c r="A1641" s="232"/>
      <c r="B1641" s="250"/>
      <c r="C1641" s="286"/>
      <c r="D1641" s="232"/>
      <c r="E1641" s="232"/>
      <c r="F1641" s="232"/>
      <c r="G1641" s="232"/>
      <c r="H1641" s="232"/>
      <c r="I1641" s="232"/>
      <c r="J1641" s="232"/>
      <c r="K1641" s="232"/>
      <c r="L1641" s="232"/>
      <c r="M1641" s="232"/>
      <c r="N1641" s="232"/>
      <c r="O1641" s="232"/>
      <c r="P1641" s="232"/>
      <c r="Q1641" s="232"/>
      <c r="R1641" s="232"/>
      <c r="S1641" s="232"/>
      <c r="T1641" s="232"/>
      <c r="U1641" s="232"/>
      <c r="V1641" s="15"/>
      <c r="W1641" s="15"/>
      <c r="X1641" s="15"/>
      <c r="Y1641" s="15"/>
      <c r="Z1641" s="15"/>
      <c r="AA1641" s="15"/>
    </row>
    <row r="1642" spans="1:27" s="25" customFormat="1" ht="12" customHeight="1" x14ac:dyDescent="0.2">
      <c r="A1642" s="232"/>
      <c r="B1642" s="250"/>
      <c r="C1642" s="286"/>
      <c r="D1642" s="232"/>
      <c r="E1642" s="232"/>
      <c r="F1642" s="232"/>
      <c r="G1642" s="232"/>
      <c r="H1642" s="232"/>
      <c r="I1642" s="232"/>
      <c r="J1642" s="232"/>
      <c r="K1642" s="232"/>
      <c r="L1642" s="232"/>
      <c r="M1642" s="232"/>
      <c r="N1642" s="232"/>
      <c r="O1642" s="232"/>
      <c r="P1642" s="232"/>
      <c r="Q1642" s="232"/>
      <c r="R1642" s="232"/>
      <c r="S1642" s="232"/>
      <c r="T1642" s="232"/>
      <c r="U1642" s="232"/>
      <c r="V1642" s="15"/>
      <c r="W1642" s="15"/>
      <c r="X1642" s="15"/>
      <c r="Y1642" s="15"/>
      <c r="Z1642" s="15"/>
      <c r="AA1642" s="15"/>
    </row>
    <row r="1643" spans="1:27" s="25" customFormat="1" ht="12" customHeight="1" x14ac:dyDescent="0.2">
      <c r="A1643" s="232"/>
      <c r="B1643" s="250"/>
      <c r="C1643" s="286"/>
      <c r="D1643" s="232"/>
      <c r="E1643" s="232"/>
      <c r="F1643" s="232"/>
      <c r="G1643" s="232"/>
      <c r="H1643" s="232"/>
      <c r="I1643" s="232"/>
      <c r="J1643" s="232"/>
      <c r="K1643" s="232"/>
      <c r="L1643" s="232"/>
      <c r="M1643" s="232"/>
      <c r="N1643" s="232"/>
      <c r="O1643" s="232"/>
      <c r="P1643" s="232"/>
      <c r="Q1643" s="232"/>
      <c r="R1643" s="232"/>
      <c r="S1643" s="232"/>
      <c r="T1643" s="232"/>
      <c r="U1643" s="232"/>
      <c r="V1643" s="15"/>
      <c r="W1643" s="15"/>
      <c r="X1643" s="15"/>
      <c r="Y1643" s="15"/>
      <c r="Z1643" s="15"/>
      <c r="AA1643" s="15"/>
    </row>
    <row r="1644" spans="1:27" s="25" customFormat="1" ht="12" customHeight="1" x14ac:dyDescent="0.2">
      <c r="A1644" s="232"/>
      <c r="B1644" s="250"/>
      <c r="C1644" s="286"/>
      <c r="D1644" s="232"/>
      <c r="E1644" s="232"/>
      <c r="F1644" s="232"/>
      <c r="G1644" s="232"/>
      <c r="H1644" s="232"/>
      <c r="I1644" s="232"/>
      <c r="J1644" s="232"/>
      <c r="K1644" s="232"/>
      <c r="L1644" s="232"/>
      <c r="M1644" s="232"/>
      <c r="N1644" s="232"/>
      <c r="O1644" s="232"/>
      <c r="P1644" s="232"/>
      <c r="Q1644" s="232"/>
      <c r="R1644" s="232"/>
      <c r="S1644" s="232"/>
      <c r="T1644" s="232"/>
      <c r="U1644" s="232"/>
      <c r="V1644" s="15"/>
      <c r="W1644" s="15"/>
      <c r="X1644" s="15"/>
      <c r="Y1644" s="15"/>
      <c r="Z1644" s="15"/>
      <c r="AA1644" s="15"/>
    </row>
    <row r="1645" spans="1:27" s="25" customFormat="1" ht="12" customHeight="1" x14ac:dyDescent="0.2">
      <c r="A1645" s="232"/>
      <c r="B1645" s="250"/>
      <c r="C1645" s="286"/>
      <c r="D1645" s="232"/>
      <c r="E1645" s="232"/>
      <c r="F1645" s="232"/>
      <c r="G1645" s="232"/>
      <c r="H1645" s="232"/>
      <c r="I1645" s="232"/>
      <c r="J1645" s="232"/>
      <c r="K1645" s="232"/>
      <c r="L1645" s="232"/>
      <c r="M1645" s="232"/>
      <c r="N1645" s="232"/>
      <c r="O1645" s="232"/>
      <c r="P1645" s="232"/>
      <c r="Q1645" s="232"/>
      <c r="R1645" s="232"/>
      <c r="S1645" s="232"/>
      <c r="T1645" s="232"/>
      <c r="U1645" s="232"/>
      <c r="V1645" s="15"/>
      <c r="W1645" s="15"/>
      <c r="X1645" s="15"/>
      <c r="Y1645" s="15"/>
      <c r="Z1645" s="15"/>
      <c r="AA1645" s="15"/>
    </row>
    <row r="1646" spans="1:27" s="25" customFormat="1" ht="12" customHeight="1" x14ac:dyDescent="0.2">
      <c r="A1646" s="232"/>
      <c r="B1646" s="250"/>
      <c r="C1646" s="286"/>
      <c r="D1646" s="232"/>
      <c r="E1646" s="232"/>
      <c r="F1646" s="232"/>
      <c r="G1646" s="232"/>
      <c r="H1646" s="232"/>
      <c r="I1646" s="232"/>
      <c r="J1646" s="232"/>
      <c r="K1646" s="232"/>
      <c r="L1646" s="232"/>
      <c r="M1646" s="232"/>
      <c r="N1646" s="232"/>
      <c r="O1646" s="232"/>
      <c r="P1646" s="232"/>
      <c r="Q1646" s="232"/>
      <c r="R1646" s="232"/>
      <c r="S1646" s="232"/>
      <c r="T1646" s="232"/>
      <c r="U1646" s="232"/>
      <c r="V1646" s="15"/>
      <c r="W1646" s="15"/>
      <c r="X1646" s="15"/>
      <c r="Y1646" s="15"/>
      <c r="Z1646" s="15"/>
      <c r="AA1646" s="15"/>
    </row>
    <row r="1647" spans="1:27" s="25" customFormat="1" ht="12" customHeight="1" x14ac:dyDescent="0.2">
      <c r="A1647" s="232"/>
      <c r="B1647" s="250"/>
      <c r="C1647" s="286"/>
      <c r="D1647" s="232"/>
      <c r="E1647" s="232"/>
      <c r="F1647" s="232"/>
      <c r="G1647" s="232"/>
      <c r="H1647" s="232"/>
      <c r="I1647" s="232"/>
      <c r="J1647" s="232"/>
      <c r="K1647" s="232"/>
      <c r="L1647" s="232"/>
      <c r="M1647" s="232"/>
      <c r="N1647" s="232"/>
      <c r="O1647" s="232"/>
      <c r="P1647" s="232"/>
      <c r="Q1647" s="232"/>
      <c r="R1647" s="232"/>
      <c r="S1647" s="232"/>
      <c r="T1647" s="232"/>
      <c r="U1647" s="232"/>
      <c r="V1647" s="15"/>
      <c r="W1647" s="15"/>
      <c r="X1647" s="15"/>
      <c r="Y1647" s="15"/>
      <c r="Z1647" s="15"/>
      <c r="AA1647" s="15"/>
    </row>
    <row r="1648" spans="1:27" s="25" customFormat="1" ht="12" customHeight="1" x14ac:dyDescent="0.2">
      <c r="A1648" s="232"/>
      <c r="B1648" s="250"/>
      <c r="C1648" s="286"/>
      <c r="D1648" s="232"/>
      <c r="E1648" s="232"/>
      <c r="F1648" s="232"/>
      <c r="G1648" s="232"/>
      <c r="H1648" s="232"/>
      <c r="I1648" s="232"/>
      <c r="J1648" s="232"/>
      <c r="K1648" s="232"/>
      <c r="L1648" s="232"/>
      <c r="M1648" s="232"/>
      <c r="N1648" s="232"/>
      <c r="O1648" s="232"/>
      <c r="P1648" s="232"/>
      <c r="Q1648" s="232"/>
      <c r="R1648" s="232"/>
      <c r="S1648" s="232"/>
      <c r="T1648" s="232"/>
      <c r="U1648" s="232"/>
      <c r="V1648" s="15"/>
      <c r="W1648" s="15"/>
      <c r="X1648" s="15"/>
      <c r="Y1648" s="15"/>
      <c r="Z1648" s="15"/>
      <c r="AA1648" s="15"/>
    </row>
    <row r="1649" spans="1:27" s="25" customFormat="1" ht="12" customHeight="1" x14ac:dyDescent="0.2">
      <c r="A1649" s="232"/>
      <c r="B1649" s="250"/>
      <c r="C1649" s="286"/>
      <c r="D1649" s="232"/>
      <c r="E1649" s="232"/>
      <c r="F1649" s="232"/>
      <c r="G1649" s="232"/>
      <c r="H1649" s="232"/>
      <c r="I1649" s="232"/>
      <c r="J1649" s="232"/>
      <c r="K1649" s="232"/>
      <c r="L1649" s="232"/>
      <c r="M1649" s="232"/>
      <c r="N1649" s="232"/>
      <c r="O1649" s="232"/>
      <c r="P1649" s="232"/>
      <c r="Q1649" s="232"/>
      <c r="R1649" s="232"/>
      <c r="S1649" s="232"/>
      <c r="T1649" s="232"/>
      <c r="U1649" s="232"/>
      <c r="V1649" s="15"/>
      <c r="W1649" s="15"/>
      <c r="X1649" s="15"/>
      <c r="Y1649" s="15"/>
      <c r="Z1649" s="15"/>
      <c r="AA1649" s="15"/>
    </row>
    <row r="1650" spans="1:27" s="25" customFormat="1" ht="12" customHeight="1" x14ac:dyDescent="0.2">
      <c r="A1650" s="232"/>
      <c r="B1650" s="250"/>
      <c r="C1650" s="286"/>
      <c r="D1650" s="232"/>
      <c r="E1650" s="232"/>
      <c r="F1650" s="232"/>
      <c r="G1650" s="232"/>
      <c r="H1650" s="232"/>
      <c r="I1650" s="232"/>
      <c r="J1650" s="232"/>
      <c r="K1650" s="232"/>
      <c r="L1650" s="232"/>
      <c r="M1650" s="232"/>
      <c r="N1650" s="232"/>
      <c r="O1650" s="232"/>
      <c r="P1650" s="232"/>
      <c r="Q1650" s="232"/>
      <c r="R1650" s="232"/>
      <c r="S1650" s="232"/>
      <c r="T1650" s="232"/>
      <c r="U1650" s="232"/>
      <c r="V1650" s="15"/>
      <c r="W1650" s="15"/>
      <c r="X1650" s="15"/>
      <c r="Y1650" s="15"/>
      <c r="Z1650" s="15"/>
      <c r="AA1650" s="15"/>
    </row>
    <row r="1651" spans="1:27" s="25" customFormat="1" ht="12" customHeight="1" x14ac:dyDescent="0.2">
      <c r="A1651" s="232"/>
      <c r="B1651" s="250"/>
      <c r="C1651" s="286"/>
      <c r="D1651" s="232"/>
      <c r="E1651" s="232"/>
      <c r="F1651" s="232"/>
      <c r="G1651" s="232"/>
      <c r="H1651" s="232"/>
      <c r="I1651" s="232"/>
      <c r="J1651" s="232"/>
      <c r="K1651" s="232"/>
      <c r="L1651" s="232"/>
      <c r="M1651" s="232"/>
      <c r="N1651" s="232"/>
      <c r="O1651" s="232"/>
      <c r="P1651" s="232"/>
      <c r="Q1651" s="232"/>
      <c r="R1651" s="232"/>
      <c r="S1651" s="232"/>
      <c r="T1651" s="232"/>
      <c r="U1651" s="232"/>
      <c r="V1651" s="15"/>
      <c r="W1651" s="15"/>
      <c r="X1651" s="15"/>
      <c r="Y1651" s="15"/>
      <c r="Z1651" s="15"/>
      <c r="AA1651" s="15"/>
    </row>
    <row r="1652" spans="1:27" s="25" customFormat="1" ht="12" customHeight="1" x14ac:dyDescent="0.2">
      <c r="A1652" s="232"/>
      <c r="B1652" s="250"/>
      <c r="C1652" s="286"/>
      <c r="D1652" s="232"/>
      <c r="E1652" s="232"/>
      <c r="F1652" s="232"/>
      <c r="G1652" s="232"/>
      <c r="H1652" s="232"/>
      <c r="I1652" s="232"/>
      <c r="J1652" s="232"/>
      <c r="K1652" s="232"/>
      <c r="L1652" s="232"/>
      <c r="M1652" s="232"/>
      <c r="N1652" s="232"/>
      <c r="O1652" s="232"/>
      <c r="P1652" s="232"/>
      <c r="Q1652" s="232"/>
      <c r="R1652" s="232"/>
      <c r="S1652" s="232"/>
      <c r="T1652" s="232"/>
      <c r="U1652" s="232"/>
      <c r="V1652" s="15"/>
      <c r="W1652" s="15"/>
      <c r="X1652" s="15"/>
      <c r="Y1652" s="15"/>
      <c r="Z1652" s="15"/>
      <c r="AA1652" s="15"/>
    </row>
    <row r="1653" spans="1:27" s="25" customFormat="1" ht="12" customHeight="1" x14ac:dyDescent="0.2">
      <c r="A1653" s="232"/>
      <c r="B1653" s="250"/>
      <c r="C1653" s="286"/>
      <c r="D1653" s="232"/>
      <c r="E1653" s="232"/>
      <c r="F1653" s="232"/>
      <c r="G1653" s="232"/>
      <c r="H1653" s="232"/>
      <c r="I1653" s="232"/>
      <c r="J1653" s="232"/>
      <c r="K1653" s="232"/>
      <c r="L1653" s="232"/>
      <c r="M1653" s="232"/>
      <c r="N1653" s="232"/>
      <c r="O1653" s="232"/>
      <c r="P1653" s="232"/>
      <c r="Q1653" s="232"/>
      <c r="R1653" s="232"/>
      <c r="S1653" s="232"/>
      <c r="T1653" s="232"/>
      <c r="U1653" s="232"/>
      <c r="V1653" s="15"/>
      <c r="W1653" s="15"/>
      <c r="X1653" s="15"/>
      <c r="Y1653" s="15"/>
      <c r="Z1653" s="15"/>
      <c r="AA1653" s="15"/>
    </row>
    <row r="1654" spans="1:27" s="25" customFormat="1" ht="12" customHeight="1" x14ac:dyDescent="0.2">
      <c r="A1654" s="232"/>
      <c r="B1654" s="250"/>
      <c r="C1654" s="286"/>
      <c r="D1654" s="232"/>
      <c r="E1654" s="232"/>
      <c r="F1654" s="232"/>
      <c r="G1654" s="232"/>
      <c r="H1654" s="232"/>
      <c r="I1654" s="232"/>
      <c r="J1654" s="232"/>
      <c r="K1654" s="232"/>
      <c r="L1654" s="232"/>
      <c r="M1654" s="232"/>
      <c r="N1654" s="232"/>
      <c r="O1654" s="232"/>
      <c r="P1654" s="232"/>
      <c r="Q1654" s="232"/>
      <c r="R1654" s="232"/>
      <c r="S1654" s="232"/>
      <c r="T1654" s="232"/>
      <c r="U1654" s="232"/>
      <c r="V1654" s="15"/>
      <c r="W1654" s="15"/>
      <c r="X1654" s="15"/>
      <c r="Y1654" s="15"/>
      <c r="Z1654" s="15"/>
      <c r="AA1654" s="15"/>
    </row>
    <row r="1655" spans="1:27" s="25" customFormat="1" ht="12" customHeight="1" x14ac:dyDescent="0.2">
      <c r="A1655" s="232"/>
      <c r="B1655" s="250"/>
      <c r="C1655" s="286"/>
      <c r="D1655" s="232"/>
      <c r="E1655" s="232"/>
      <c r="F1655" s="232"/>
      <c r="G1655" s="232"/>
      <c r="H1655" s="232"/>
      <c r="I1655" s="232"/>
      <c r="J1655" s="232"/>
      <c r="K1655" s="232"/>
      <c r="L1655" s="232"/>
      <c r="M1655" s="232"/>
      <c r="N1655" s="232"/>
      <c r="O1655" s="232"/>
      <c r="P1655" s="232"/>
      <c r="Q1655" s="232"/>
      <c r="R1655" s="232"/>
      <c r="S1655" s="232"/>
      <c r="T1655" s="232"/>
      <c r="U1655" s="232"/>
      <c r="V1655" s="15"/>
      <c r="W1655" s="15"/>
      <c r="X1655" s="15"/>
      <c r="Y1655" s="15"/>
      <c r="Z1655" s="15"/>
      <c r="AA1655" s="15"/>
    </row>
    <row r="1656" spans="1:27" s="25" customFormat="1" ht="12" customHeight="1" x14ac:dyDescent="0.2">
      <c r="A1656" s="232"/>
      <c r="B1656" s="250"/>
      <c r="C1656" s="286"/>
      <c r="D1656" s="232"/>
      <c r="E1656" s="232"/>
      <c r="F1656" s="232"/>
      <c r="G1656" s="232"/>
      <c r="H1656" s="232"/>
      <c r="I1656" s="232"/>
      <c r="J1656" s="232"/>
      <c r="K1656" s="232"/>
      <c r="L1656" s="232"/>
      <c r="M1656" s="232"/>
      <c r="N1656" s="232"/>
      <c r="O1656" s="232"/>
      <c r="P1656" s="232"/>
      <c r="Q1656" s="232"/>
      <c r="R1656" s="232"/>
      <c r="S1656" s="232"/>
      <c r="T1656" s="232"/>
      <c r="U1656" s="232"/>
      <c r="V1656" s="15"/>
      <c r="W1656" s="15"/>
      <c r="X1656" s="15"/>
      <c r="Y1656" s="15"/>
      <c r="Z1656" s="15"/>
      <c r="AA1656" s="15"/>
    </row>
    <row r="1657" spans="1:27" s="25" customFormat="1" ht="12" customHeight="1" x14ac:dyDescent="0.2">
      <c r="A1657" s="232"/>
      <c r="B1657" s="250"/>
      <c r="C1657" s="286"/>
      <c r="D1657" s="232"/>
      <c r="E1657" s="232"/>
      <c r="F1657" s="232"/>
      <c r="G1657" s="232"/>
      <c r="H1657" s="232"/>
      <c r="I1657" s="232"/>
      <c r="J1657" s="232"/>
      <c r="K1657" s="232"/>
      <c r="L1657" s="232"/>
      <c r="M1657" s="232"/>
      <c r="N1657" s="232"/>
      <c r="O1657" s="232"/>
      <c r="P1657" s="232"/>
      <c r="Q1657" s="232"/>
      <c r="R1657" s="232"/>
      <c r="S1657" s="232"/>
      <c r="T1657" s="232"/>
      <c r="U1657" s="232"/>
      <c r="V1657" s="15"/>
      <c r="W1657" s="15"/>
      <c r="X1657" s="15"/>
      <c r="Y1657" s="15"/>
      <c r="Z1657" s="15"/>
      <c r="AA1657" s="15"/>
    </row>
    <row r="1658" spans="1:27" s="25" customFormat="1" ht="12" customHeight="1" x14ac:dyDescent="0.2">
      <c r="A1658" s="232"/>
      <c r="B1658" s="250"/>
      <c r="C1658" s="286"/>
      <c r="D1658" s="232"/>
      <c r="E1658" s="232"/>
      <c r="F1658" s="232"/>
      <c r="G1658" s="232"/>
      <c r="H1658" s="232"/>
      <c r="I1658" s="232"/>
      <c r="J1658" s="232"/>
      <c r="K1658" s="232"/>
      <c r="L1658" s="232"/>
      <c r="M1658" s="232"/>
      <c r="N1658" s="232"/>
      <c r="O1658" s="232"/>
      <c r="P1658" s="232"/>
      <c r="Q1658" s="232"/>
      <c r="R1658" s="232"/>
      <c r="S1658" s="232"/>
      <c r="T1658" s="232"/>
      <c r="U1658" s="232"/>
      <c r="V1658" s="15"/>
      <c r="W1658" s="15"/>
      <c r="X1658" s="15"/>
      <c r="Y1658" s="15"/>
      <c r="Z1658" s="15"/>
      <c r="AA1658" s="15"/>
    </row>
    <row r="1659" spans="1:27" s="25" customFormat="1" ht="12" customHeight="1" x14ac:dyDescent="0.2">
      <c r="A1659" s="232"/>
      <c r="B1659" s="250"/>
      <c r="C1659" s="286"/>
      <c r="D1659" s="232"/>
      <c r="E1659" s="232"/>
      <c r="F1659" s="232"/>
      <c r="G1659" s="232"/>
      <c r="H1659" s="232"/>
      <c r="I1659" s="232"/>
      <c r="J1659" s="232"/>
      <c r="K1659" s="232"/>
      <c r="L1659" s="232"/>
      <c r="M1659" s="232"/>
      <c r="N1659" s="232"/>
      <c r="O1659" s="232"/>
      <c r="P1659" s="232"/>
      <c r="Q1659" s="232"/>
      <c r="R1659" s="232"/>
      <c r="S1659" s="232"/>
      <c r="T1659" s="232"/>
      <c r="U1659" s="232"/>
      <c r="V1659" s="15"/>
      <c r="W1659" s="15"/>
      <c r="X1659" s="15"/>
      <c r="Y1659" s="15"/>
      <c r="Z1659" s="15"/>
      <c r="AA1659" s="15"/>
    </row>
    <row r="1660" spans="1:27" s="25" customFormat="1" ht="12" customHeight="1" x14ac:dyDescent="0.2">
      <c r="A1660" s="232"/>
      <c r="B1660" s="250"/>
      <c r="C1660" s="286"/>
      <c r="D1660" s="232"/>
      <c r="E1660" s="232"/>
      <c r="F1660" s="232"/>
      <c r="G1660" s="232"/>
      <c r="H1660" s="232"/>
      <c r="I1660" s="232"/>
      <c r="J1660" s="232"/>
      <c r="K1660" s="232"/>
      <c r="L1660" s="232"/>
      <c r="M1660" s="232"/>
      <c r="N1660" s="232"/>
      <c r="O1660" s="232"/>
      <c r="P1660" s="232"/>
      <c r="Q1660" s="232"/>
      <c r="R1660" s="232"/>
      <c r="S1660" s="232"/>
      <c r="T1660" s="232"/>
      <c r="U1660" s="232"/>
      <c r="V1660" s="15"/>
      <c r="W1660" s="15"/>
      <c r="X1660" s="15"/>
      <c r="Y1660" s="15"/>
      <c r="Z1660" s="15"/>
      <c r="AA1660" s="15"/>
    </row>
    <row r="1661" spans="1:27" s="25" customFormat="1" ht="12" customHeight="1" x14ac:dyDescent="0.2">
      <c r="A1661" s="232"/>
      <c r="B1661" s="250"/>
      <c r="C1661" s="286"/>
      <c r="D1661" s="232"/>
      <c r="E1661" s="232"/>
      <c r="F1661" s="232"/>
      <c r="G1661" s="232"/>
      <c r="H1661" s="232"/>
      <c r="I1661" s="232"/>
      <c r="J1661" s="232"/>
      <c r="K1661" s="232"/>
      <c r="L1661" s="232"/>
      <c r="M1661" s="232"/>
      <c r="N1661" s="232"/>
      <c r="O1661" s="232"/>
      <c r="P1661" s="232"/>
      <c r="Q1661" s="232"/>
      <c r="R1661" s="232"/>
      <c r="S1661" s="232"/>
      <c r="T1661" s="232"/>
      <c r="U1661" s="232"/>
      <c r="V1661" s="15"/>
      <c r="W1661" s="15"/>
      <c r="X1661" s="15"/>
      <c r="Y1661" s="15"/>
      <c r="Z1661" s="15"/>
      <c r="AA1661" s="15"/>
    </row>
    <row r="1662" spans="1:27" s="25" customFormat="1" ht="12" customHeight="1" x14ac:dyDescent="0.2">
      <c r="A1662" s="232"/>
      <c r="B1662" s="250"/>
      <c r="C1662" s="286"/>
      <c r="D1662" s="232"/>
      <c r="E1662" s="232"/>
      <c r="F1662" s="232"/>
      <c r="G1662" s="232"/>
      <c r="H1662" s="232"/>
      <c r="I1662" s="232"/>
      <c r="J1662" s="232"/>
      <c r="K1662" s="232"/>
      <c r="L1662" s="232"/>
      <c r="M1662" s="232"/>
      <c r="N1662" s="232"/>
      <c r="O1662" s="232"/>
      <c r="P1662" s="232"/>
      <c r="Q1662" s="232"/>
      <c r="R1662" s="232"/>
      <c r="S1662" s="232"/>
      <c r="T1662" s="232"/>
      <c r="U1662" s="232"/>
      <c r="V1662" s="15"/>
      <c r="W1662" s="15"/>
      <c r="X1662" s="15"/>
      <c r="Y1662" s="15"/>
      <c r="Z1662" s="15"/>
      <c r="AA1662" s="15"/>
    </row>
    <row r="1663" spans="1:27" s="25" customFormat="1" ht="12" customHeight="1" x14ac:dyDescent="0.2">
      <c r="A1663" s="232"/>
      <c r="B1663" s="250"/>
      <c r="C1663" s="286"/>
      <c r="D1663" s="232"/>
      <c r="E1663" s="232"/>
      <c r="F1663" s="232"/>
      <c r="G1663" s="232"/>
      <c r="H1663" s="232"/>
      <c r="I1663" s="232"/>
      <c r="J1663" s="232"/>
      <c r="K1663" s="232"/>
      <c r="L1663" s="232"/>
      <c r="M1663" s="232"/>
      <c r="N1663" s="232"/>
      <c r="O1663" s="232"/>
      <c r="P1663" s="232"/>
      <c r="Q1663" s="232"/>
      <c r="R1663" s="232"/>
      <c r="S1663" s="232"/>
      <c r="T1663" s="232"/>
      <c r="U1663" s="232"/>
      <c r="V1663" s="15"/>
      <c r="W1663" s="15"/>
      <c r="X1663" s="15"/>
      <c r="Y1663" s="15"/>
      <c r="Z1663" s="15"/>
      <c r="AA1663" s="15"/>
    </row>
    <row r="1664" spans="1:27" s="25" customFormat="1" ht="12" customHeight="1" x14ac:dyDescent="0.2">
      <c r="A1664" s="232"/>
      <c r="B1664" s="250"/>
      <c r="C1664" s="286"/>
      <c r="D1664" s="232"/>
      <c r="E1664" s="232"/>
      <c r="F1664" s="232"/>
      <c r="G1664" s="232"/>
      <c r="H1664" s="232"/>
      <c r="I1664" s="232"/>
      <c r="J1664" s="232"/>
      <c r="K1664" s="232"/>
      <c r="L1664" s="232"/>
      <c r="M1664" s="232"/>
      <c r="N1664" s="232"/>
      <c r="O1664" s="232"/>
      <c r="P1664" s="232"/>
      <c r="Q1664" s="232"/>
      <c r="R1664" s="232"/>
      <c r="S1664" s="232"/>
      <c r="T1664" s="232"/>
      <c r="U1664" s="232"/>
      <c r="V1664" s="15"/>
      <c r="W1664" s="15"/>
      <c r="X1664" s="15"/>
      <c r="Y1664" s="15"/>
      <c r="Z1664" s="15"/>
      <c r="AA1664" s="15"/>
    </row>
    <row r="1665" spans="1:27" s="25" customFormat="1" ht="12" customHeight="1" x14ac:dyDescent="0.2">
      <c r="A1665" s="232"/>
      <c r="B1665" s="250"/>
      <c r="C1665" s="286"/>
      <c r="D1665" s="232"/>
      <c r="E1665" s="232"/>
      <c r="F1665" s="232"/>
      <c r="G1665" s="232"/>
      <c r="H1665" s="232"/>
      <c r="I1665" s="232"/>
      <c r="J1665" s="232"/>
      <c r="K1665" s="232"/>
      <c r="L1665" s="232"/>
      <c r="M1665" s="232"/>
      <c r="N1665" s="232"/>
      <c r="O1665" s="232"/>
      <c r="P1665" s="232"/>
      <c r="Q1665" s="232"/>
      <c r="R1665" s="232"/>
      <c r="S1665" s="232"/>
      <c r="T1665" s="232"/>
      <c r="U1665" s="232"/>
      <c r="V1665" s="15"/>
      <c r="W1665" s="15"/>
      <c r="X1665" s="15"/>
      <c r="Y1665" s="15"/>
      <c r="Z1665" s="15"/>
      <c r="AA1665" s="15"/>
    </row>
    <row r="1666" spans="1:27" s="25" customFormat="1" ht="12" customHeight="1" x14ac:dyDescent="0.2">
      <c r="A1666" s="232"/>
      <c r="B1666" s="250"/>
      <c r="C1666" s="286"/>
      <c r="D1666" s="232"/>
      <c r="E1666" s="232"/>
      <c r="F1666" s="232"/>
      <c r="G1666" s="232"/>
      <c r="H1666" s="232"/>
      <c r="I1666" s="232"/>
      <c r="J1666" s="232"/>
      <c r="K1666" s="232"/>
      <c r="L1666" s="232"/>
      <c r="M1666" s="232"/>
      <c r="N1666" s="232"/>
      <c r="O1666" s="232"/>
      <c r="P1666" s="232"/>
      <c r="Q1666" s="232"/>
      <c r="R1666" s="232"/>
      <c r="S1666" s="232"/>
      <c r="T1666" s="232"/>
      <c r="U1666" s="232"/>
      <c r="V1666" s="15"/>
      <c r="W1666" s="15"/>
      <c r="X1666" s="15"/>
      <c r="Y1666" s="15"/>
      <c r="Z1666" s="15"/>
      <c r="AA1666" s="15"/>
    </row>
    <row r="1667" spans="1:27" s="25" customFormat="1" ht="12" customHeight="1" x14ac:dyDescent="0.2">
      <c r="A1667" s="232"/>
      <c r="B1667" s="250"/>
      <c r="C1667" s="286"/>
      <c r="D1667" s="232"/>
      <c r="E1667" s="232"/>
      <c r="F1667" s="232"/>
      <c r="G1667" s="232"/>
      <c r="H1667" s="232"/>
      <c r="I1667" s="232"/>
      <c r="J1667" s="232"/>
      <c r="K1667" s="232"/>
      <c r="L1667" s="232"/>
      <c r="M1667" s="232"/>
      <c r="N1667" s="232"/>
      <c r="O1667" s="232"/>
      <c r="P1667" s="232"/>
      <c r="Q1667" s="232"/>
      <c r="R1667" s="232"/>
      <c r="S1667" s="232"/>
      <c r="T1667" s="232"/>
      <c r="U1667" s="232"/>
      <c r="V1667" s="15"/>
      <c r="W1667" s="15"/>
      <c r="X1667" s="15"/>
      <c r="Y1667" s="15"/>
      <c r="Z1667" s="15"/>
      <c r="AA1667" s="15"/>
    </row>
    <row r="1668" spans="1:27" s="25" customFormat="1" ht="12" customHeight="1" x14ac:dyDescent="0.2">
      <c r="A1668" s="232"/>
      <c r="B1668" s="250"/>
      <c r="C1668" s="286"/>
      <c r="D1668" s="232"/>
      <c r="E1668" s="232"/>
      <c r="F1668" s="232"/>
      <c r="G1668" s="232"/>
      <c r="H1668" s="232"/>
      <c r="I1668" s="232"/>
      <c r="J1668" s="232"/>
      <c r="K1668" s="232"/>
      <c r="L1668" s="232"/>
      <c r="M1668" s="232"/>
      <c r="N1668" s="232"/>
      <c r="O1668" s="232"/>
      <c r="P1668" s="232"/>
      <c r="Q1668" s="232"/>
      <c r="R1668" s="232"/>
      <c r="S1668" s="232"/>
      <c r="T1668" s="232"/>
      <c r="U1668" s="232"/>
      <c r="V1668" s="15"/>
      <c r="W1668" s="15"/>
      <c r="X1668" s="15"/>
      <c r="Y1668" s="15"/>
      <c r="Z1668" s="15"/>
      <c r="AA1668" s="15"/>
    </row>
    <row r="1669" spans="1:27" s="25" customFormat="1" ht="12" customHeight="1" x14ac:dyDescent="0.2">
      <c r="A1669" s="232"/>
      <c r="B1669" s="250"/>
      <c r="C1669" s="286"/>
      <c r="D1669" s="232"/>
      <c r="E1669" s="232"/>
      <c r="F1669" s="232"/>
      <c r="G1669" s="232"/>
      <c r="H1669" s="232"/>
      <c r="I1669" s="232"/>
      <c r="J1669" s="232"/>
      <c r="K1669" s="232"/>
      <c r="L1669" s="232"/>
      <c r="M1669" s="232"/>
      <c r="N1669" s="232"/>
      <c r="O1669" s="232"/>
      <c r="P1669" s="232"/>
      <c r="Q1669" s="232"/>
      <c r="R1669" s="232"/>
      <c r="S1669" s="232"/>
      <c r="T1669" s="232"/>
      <c r="U1669" s="232"/>
      <c r="V1669" s="15"/>
      <c r="W1669" s="15"/>
      <c r="X1669" s="15"/>
      <c r="Y1669" s="15"/>
      <c r="Z1669" s="15"/>
      <c r="AA1669" s="15"/>
    </row>
    <row r="1670" spans="1:27" s="25" customFormat="1" ht="12" customHeight="1" x14ac:dyDescent="0.2">
      <c r="A1670" s="232"/>
      <c r="B1670" s="250"/>
      <c r="C1670" s="286"/>
      <c r="D1670" s="232"/>
      <c r="E1670" s="232"/>
      <c r="F1670" s="232"/>
      <c r="G1670" s="232"/>
      <c r="H1670" s="232"/>
      <c r="I1670" s="232"/>
      <c r="J1670" s="232"/>
      <c r="K1670" s="232"/>
      <c r="L1670" s="232"/>
      <c r="M1670" s="232"/>
      <c r="N1670" s="232"/>
      <c r="O1670" s="232"/>
      <c r="P1670" s="232"/>
      <c r="Q1670" s="232"/>
      <c r="R1670" s="232"/>
      <c r="S1670" s="232"/>
      <c r="T1670" s="232"/>
      <c r="U1670" s="232"/>
      <c r="V1670" s="15"/>
      <c r="W1670" s="15"/>
      <c r="X1670" s="15"/>
      <c r="Y1670" s="15"/>
      <c r="Z1670" s="15"/>
      <c r="AA1670" s="15"/>
    </row>
    <row r="1671" spans="1:27" s="25" customFormat="1" ht="12" customHeight="1" x14ac:dyDescent="0.2">
      <c r="A1671" s="232"/>
      <c r="B1671" s="250"/>
      <c r="C1671" s="286"/>
      <c r="D1671" s="232"/>
      <c r="E1671" s="232"/>
      <c r="F1671" s="232"/>
      <c r="G1671" s="232"/>
      <c r="H1671" s="232"/>
      <c r="I1671" s="232"/>
      <c r="J1671" s="232"/>
      <c r="K1671" s="232"/>
      <c r="L1671" s="232"/>
      <c r="M1671" s="232"/>
      <c r="N1671" s="232"/>
      <c r="O1671" s="232"/>
      <c r="P1671" s="232"/>
      <c r="Q1671" s="232"/>
      <c r="R1671" s="232"/>
      <c r="S1671" s="232"/>
      <c r="T1671" s="232"/>
      <c r="U1671" s="232"/>
      <c r="V1671" s="15"/>
      <c r="W1671" s="15"/>
      <c r="X1671" s="15"/>
      <c r="Y1671" s="15"/>
      <c r="Z1671" s="15"/>
      <c r="AA1671" s="15"/>
    </row>
    <row r="1672" spans="1:27" s="25" customFormat="1" ht="12" customHeight="1" x14ac:dyDescent="0.2">
      <c r="A1672" s="232"/>
      <c r="B1672" s="250"/>
      <c r="C1672" s="286"/>
      <c r="D1672" s="232"/>
      <c r="E1672" s="232"/>
      <c r="F1672" s="232"/>
      <c r="G1672" s="232"/>
      <c r="H1672" s="232"/>
      <c r="I1672" s="232"/>
      <c r="J1672" s="232"/>
      <c r="K1672" s="232"/>
      <c r="L1672" s="232"/>
      <c r="M1672" s="232"/>
      <c r="N1672" s="232"/>
      <c r="O1672" s="232"/>
      <c r="P1672" s="232"/>
      <c r="Q1672" s="232"/>
      <c r="R1672" s="232"/>
      <c r="S1672" s="232"/>
      <c r="T1672" s="232"/>
      <c r="U1672" s="232"/>
      <c r="V1672" s="15"/>
      <c r="W1672" s="15"/>
      <c r="X1672" s="15"/>
      <c r="Y1672" s="15"/>
      <c r="Z1672" s="15"/>
      <c r="AA1672" s="15"/>
    </row>
    <row r="1673" spans="1:27" s="25" customFormat="1" ht="12" customHeight="1" x14ac:dyDescent="0.2">
      <c r="A1673" s="232"/>
      <c r="B1673" s="250"/>
      <c r="C1673" s="286"/>
      <c r="D1673" s="232"/>
      <c r="E1673" s="232"/>
      <c r="F1673" s="232"/>
      <c r="G1673" s="232"/>
      <c r="H1673" s="232"/>
      <c r="I1673" s="232"/>
      <c r="J1673" s="232"/>
      <c r="K1673" s="232"/>
      <c r="L1673" s="232"/>
      <c r="M1673" s="232"/>
      <c r="N1673" s="232"/>
      <c r="O1673" s="232"/>
      <c r="P1673" s="232"/>
      <c r="Q1673" s="232"/>
      <c r="R1673" s="232"/>
      <c r="S1673" s="232"/>
      <c r="T1673" s="232"/>
      <c r="U1673" s="232"/>
      <c r="V1673" s="15"/>
      <c r="W1673" s="15"/>
      <c r="X1673" s="15"/>
      <c r="Y1673" s="15"/>
      <c r="Z1673" s="15"/>
      <c r="AA1673" s="15"/>
    </row>
    <row r="1674" spans="1:27" s="25" customFormat="1" ht="12" customHeight="1" x14ac:dyDescent="0.2">
      <c r="A1674" s="232"/>
      <c r="B1674" s="250"/>
      <c r="C1674" s="286"/>
      <c r="D1674" s="232"/>
      <c r="E1674" s="232"/>
      <c r="F1674" s="232"/>
      <c r="G1674" s="232"/>
      <c r="H1674" s="232"/>
      <c r="I1674" s="232"/>
      <c r="J1674" s="232"/>
      <c r="K1674" s="232"/>
      <c r="L1674" s="232"/>
      <c r="M1674" s="232"/>
      <c r="N1674" s="232"/>
      <c r="O1674" s="232"/>
      <c r="P1674" s="232"/>
      <c r="Q1674" s="232"/>
      <c r="R1674" s="232"/>
      <c r="S1674" s="232"/>
      <c r="T1674" s="232"/>
      <c r="U1674" s="232"/>
      <c r="V1674" s="15"/>
      <c r="W1674" s="15"/>
      <c r="X1674" s="15"/>
      <c r="Y1674" s="15"/>
      <c r="Z1674" s="15"/>
      <c r="AA1674" s="15"/>
    </row>
    <row r="1675" spans="1:27" s="25" customFormat="1" ht="12" customHeight="1" x14ac:dyDescent="0.2">
      <c r="A1675" s="232"/>
      <c r="B1675" s="250"/>
      <c r="C1675" s="286"/>
      <c r="D1675" s="232"/>
      <c r="E1675" s="232"/>
      <c r="F1675" s="232"/>
      <c r="G1675" s="232"/>
      <c r="H1675" s="232"/>
      <c r="I1675" s="232"/>
      <c r="J1675" s="232"/>
      <c r="K1675" s="232"/>
      <c r="L1675" s="232"/>
      <c r="M1675" s="232"/>
      <c r="N1675" s="232"/>
      <c r="O1675" s="232"/>
      <c r="P1675" s="232"/>
      <c r="Q1675" s="232"/>
      <c r="R1675" s="232"/>
      <c r="S1675" s="232"/>
      <c r="T1675" s="232"/>
      <c r="U1675" s="232"/>
      <c r="V1675" s="15"/>
      <c r="W1675" s="15"/>
      <c r="X1675" s="15"/>
      <c r="Y1675" s="15"/>
      <c r="Z1675" s="15"/>
      <c r="AA1675" s="15"/>
    </row>
    <row r="1676" spans="1:27" s="25" customFormat="1" ht="12" customHeight="1" x14ac:dyDescent="0.2">
      <c r="A1676" s="232"/>
      <c r="B1676" s="250"/>
      <c r="C1676" s="286"/>
      <c r="D1676" s="232"/>
      <c r="E1676" s="232"/>
      <c r="F1676" s="232"/>
      <c r="G1676" s="232"/>
      <c r="H1676" s="232"/>
      <c r="I1676" s="232"/>
      <c r="J1676" s="232"/>
      <c r="K1676" s="232"/>
      <c r="L1676" s="232"/>
      <c r="M1676" s="232"/>
      <c r="N1676" s="232"/>
      <c r="O1676" s="232"/>
      <c r="P1676" s="232"/>
      <c r="Q1676" s="232"/>
      <c r="R1676" s="232"/>
      <c r="S1676" s="232"/>
      <c r="T1676" s="232"/>
      <c r="U1676" s="232"/>
      <c r="V1676" s="15"/>
      <c r="W1676" s="15"/>
      <c r="X1676" s="15"/>
      <c r="Y1676" s="15"/>
      <c r="Z1676" s="15"/>
      <c r="AA1676" s="15"/>
    </row>
    <row r="1677" spans="1:27" s="25" customFormat="1" ht="12" customHeight="1" x14ac:dyDescent="0.2">
      <c r="A1677" s="232"/>
      <c r="B1677" s="250"/>
      <c r="C1677" s="286"/>
      <c r="D1677" s="232"/>
      <c r="E1677" s="232"/>
      <c r="F1677" s="232"/>
      <c r="G1677" s="232"/>
      <c r="H1677" s="232"/>
      <c r="I1677" s="232"/>
      <c r="J1677" s="232"/>
      <c r="K1677" s="232"/>
      <c r="L1677" s="232"/>
      <c r="M1677" s="232"/>
      <c r="N1677" s="232"/>
      <c r="O1677" s="232"/>
      <c r="P1677" s="232"/>
      <c r="Q1677" s="232"/>
      <c r="R1677" s="232"/>
      <c r="S1677" s="232"/>
      <c r="T1677" s="232"/>
      <c r="U1677" s="232"/>
      <c r="V1677" s="15"/>
      <c r="W1677" s="15"/>
      <c r="X1677" s="15"/>
      <c r="Y1677" s="15"/>
      <c r="Z1677" s="15"/>
      <c r="AA1677" s="15"/>
    </row>
    <row r="1678" spans="1:27" s="25" customFormat="1" ht="12" customHeight="1" x14ac:dyDescent="0.2">
      <c r="A1678" s="232"/>
      <c r="B1678" s="250"/>
      <c r="C1678" s="286"/>
      <c r="D1678" s="232"/>
      <c r="E1678" s="232"/>
      <c r="F1678" s="232"/>
      <c r="G1678" s="232"/>
      <c r="H1678" s="232"/>
      <c r="I1678" s="232"/>
      <c r="J1678" s="232"/>
      <c r="K1678" s="232"/>
      <c r="L1678" s="232"/>
      <c r="M1678" s="232"/>
      <c r="N1678" s="232"/>
      <c r="O1678" s="232"/>
      <c r="P1678" s="232"/>
      <c r="Q1678" s="232"/>
      <c r="R1678" s="232"/>
      <c r="S1678" s="232"/>
      <c r="T1678" s="232"/>
      <c r="U1678" s="232"/>
      <c r="V1678" s="15"/>
      <c r="W1678" s="15"/>
      <c r="X1678" s="15"/>
      <c r="Y1678" s="15"/>
      <c r="Z1678" s="15"/>
      <c r="AA1678" s="15"/>
    </row>
    <row r="1679" spans="1:27" s="25" customFormat="1" ht="12" customHeight="1" x14ac:dyDescent="0.2">
      <c r="A1679" s="232"/>
      <c r="B1679" s="250"/>
      <c r="C1679" s="286"/>
      <c r="D1679" s="232"/>
      <c r="E1679" s="232"/>
      <c r="F1679" s="232"/>
      <c r="G1679" s="232"/>
      <c r="H1679" s="232"/>
      <c r="I1679" s="232"/>
      <c r="J1679" s="232"/>
      <c r="K1679" s="232"/>
      <c r="L1679" s="232"/>
      <c r="M1679" s="232"/>
      <c r="N1679" s="232"/>
      <c r="O1679" s="232"/>
      <c r="P1679" s="232"/>
      <c r="Q1679" s="232"/>
      <c r="R1679" s="232"/>
      <c r="S1679" s="232"/>
      <c r="T1679" s="232"/>
      <c r="U1679" s="232"/>
      <c r="V1679" s="15"/>
      <c r="W1679" s="15"/>
      <c r="X1679" s="15"/>
      <c r="Y1679" s="15"/>
      <c r="Z1679" s="15"/>
      <c r="AA1679" s="15"/>
    </row>
    <row r="1680" spans="1:27" s="25" customFormat="1" ht="12" customHeight="1" x14ac:dyDescent="0.2">
      <c r="A1680" s="232"/>
      <c r="B1680" s="250"/>
      <c r="C1680" s="286"/>
      <c r="D1680" s="232"/>
      <c r="E1680" s="232"/>
      <c r="F1680" s="232"/>
      <c r="G1680" s="232"/>
      <c r="H1680" s="232"/>
      <c r="I1680" s="232"/>
      <c r="J1680" s="232"/>
      <c r="K1680" s="232"/>
      <c r="L1680" s="232"/>
      <c r="M1680" s="232"/>
      <c r="N1680" s="232"/>
      <c r="O1680" s="232"/>
      <c r="P1680" s="232"/>
      <c r="Q1680" s="232"/>
      <c r="R1680" s="232"/>
      <c r="S1680" s="232"/>
      <c r="T1680" s="232"/>
      <c r="U1680" s="232"/>
      <c r="V1680" s="15"/>
      <c r="W1680" s="15"/>
      <c r="X1680" s="15"/>
      <c r="Y1680" s="15"/>
      <c r="Z1680" s="15"/>
      <c r="AA1680" s="15"/>
    </row>
    <row r="1681" spans="1:27" s="25" customFormat="1" ht="12" customHeight="1" x14ac:dyDescent="0.2">
      <c r="A1681" s="232"/>
      <c r="B1681" s="250"/>
      <c r="C1681" s="286"/>
      <c r="D1681" s="232"/>
      <c r="E1681" s="232"/>
      <c r="F1681" s="232"/>
      <c r="G1681" s="232"/>
      <c r="H1681" s="232"/>
      <c r="I1681" s="232"/>
      <c r="J1681" s="232"/>
      <c r="K1681" s="232"/>
      <c r="L1681" s="232"/>
      <c r="M1681" s="232"/>
      <c r="N1681" s="232"/>
      <c r="O1681" s="232"/>
      <c r="P1681" s="232"/>
      <c r="Q1681" s="232"/>
      <c r="R1681" s="232"/>
      <c r="S1681" s="232"/>
      <c r="T1681" s="232"/>
      <c r="U1681" s="232"/>
      <c r="V1681" s="15"/>
      <c r="W1681" s="15"/>
      <c r="X1681" s="15"/>
      <c r="Y1681" s="15"/>
      <c r="Z1681" s="15"/>
      <c r="AA1681" s="15"/>
    </row>
    <row r="1682" spans="1:27" s="25" customFormat="1" ht="12" customHeight="1" x14ac:dyDescent="0.2">
      <c r="A1682" s="232"/>
      <c r="B1682" s="250"/>
      <c r="C1682" s="286"/>
      <c r="D1682" s="232"/>
      <c r="E1682" s="232"/>
      <c r="F1682" s="232"/>
      <c r="G1682" s="232"/>
      <c r="H1682" s="232"/>
      <c r="I1682" s="232"/>
      <c r="J1682" s="232"/>
      <c r="K1682" s="232"/>
      <c r="L1682" s="232"/>
      <c r="M1682" s="232"/>
      <c r="N1682" s="232"/>
      <c r="O1682" s="232"/>
      <c r="P1682" s="232"/>
      <c r="Q1682" s="232"/>
      <c r="R1682" s="232"/>
      <c r="S1682" s="232"/>
      <c r="T1682" s="232"/>
      <c r="U1682" s="232"/>
      <c r="V1682" s="15"/>
      <c r="W1682" s="15"/>
      <c r="X1682" s="15"/>
      <c r="Y1682" s="15"/>
      <c r="Z1682" s="15"/>
      <c r="AA1682" s="15"/>
    </row>
    <row r="1683" spans="1:27" s="25" customFormat="1" ht="12" customHeight="1" x14ac:dyDescent="0.2">
      <c r="A1683" s="232"/>
      <c r="B1683" s="250"/>
      <c r="C1683" s="286"/>
      <c r="D1683" s="232"/>
      <c r="E1683" s="232"/>
      <c r="F1683" s="232"/>
      <c r="G1683" s="232"/>
      <c r="H1683" s="232"/>
      <c r="I1683" s="232"/>
      <c r="J1683" s="232"/>
      <c r="K1683" s="232"/>
      <c r="L1683" s="232"/>
      <c r="M1683" s="232"/>
      <c r="N1683" s="232"/>
      <c r="O1683" s="232"/>
      <c r="P1683" s="232"/>
      <c r="Q1683" s="232"/>
      <c r="R1683" s="232"/>
      <c r="S1683" s="232"/>
      <c r="T1683" s="232"/>
      <c r="U1683" s="232"/>
      <c r="V1683" s="15"/>
      <c r="W1683" s="15"/>
      <c r="X1683" s="15"/>
      <c r="Y1683" s="15"/>
      <c r="Z1683" s="15"/>
      <c r="AA1683" s="15"/>
    </row>
    <row r="1684" spans="1:27" s="25" customFormat="1" ht="12" customHeight="1" x14ac:dyDescent="0.2">
      <c r="A1684" s="232"/>
      <c r="B1684" s="250"/>
      <c r="C1684" s="286"/>
      <c r="D1684" s="232"/>
      <c r="E1684" s="232"/>
      <c r="F1684" s="232"/>
      <c r="G1684" s="232"/>
      <c r="H1684" s="232"/>
      <c r="I1684" s="232"/>
      <c r="J1684" s="232"/>
      <c r="K1684" s="232"/>
      <c r="L1684" s="232"/>
      <c r="M1684" s="232"/>
      <c r="N1684" s="232"/>
      <c r="O1684" s="232"/>
      <c r="P1684" s="232"/>
      <c r="Q1684" s="232"/>
      <c r="R1684" s="232"/>
      <c r="S1684" s="232"/>
      <c r="T1684" s="232"/>
      <c r="U1684" s="232"/>
      <c r="V1684" s="15"/>
      <c r="W1684" s="15"/>
      <c r="X1684" s="15"/>
      <c r="Y1684" s="15"/>
      <c r="Z1684" s="15"/>
      <c r="AA1684" s="15"/>
    </row>
    <row r="1685" spans="1:27" s="25" customFormat="1" ht="12" customHeight="1" x14ac:dyDescent="0.2">
      <c r="A1685" s="232"/>
      <c r="B1685" s="250"/>
      <c r="C1685" s="286"/>
      <c r="D1685" s="232"/>
      <c r="E1685" s="232"/>
      <c r="F1685" s="232"/>
      <c r="G1685" s="232"/>
      <c r="H1685" s="232"/>
      <c r="I1685" s="232"/>
      <c r="J1685" s="232"/>
      <c r="K1685" s="232"/>
      <c r="L1685" s="232"/>
      <c r="M1685" s="232"/>
      <c r="N1685" s="232"/>
      <c r="O1685" s="232"/>
      <c r="P1685" s="232"/>
      <c r="Q1685" s="232"/>
      <c r="R1685" s="232"/>
      <c r="S1685" s="232"/>
      <c r="T1685" s="232"/>
      <c r="U1685" s="232"/>
      <c r="V1685" s="15"/>
      <c r="W1685" s="15"/>
      <c r="X1685" s="15"/>
      <c r="Y1685" s="15"/>
      <c r="Z1685" s="15"/>
      <c r="AA1685" s="15"/>
    </row>
    <row r="1686" spans="1:27" s="25" customFormat="1" ht="12" customHeight="1" x14ac:dyDescent="0.2">
      <c r="A1686" s="232"/>
      <c r="B1686" s="250"/>
      <c r="C1686" s="286"/>
      <c r="D1686" s="232"/>
      <c r="E1686" s="232"/>
      <c r="F1686" s="232"/>
      <c r="G1686" s="232"/>
      <c r="H1686" s="232"/>
      <c r="I1686" s="232"/>
      <c r="J1686" s="232"/>
      <c r="K1686" s="232"/>
      <c r="L1686" s="232"/>
      <c r="M1686" s="232"/>
      <c r="N1686" s="232"/>
      <c r="O1686" s="232"/>
      <c r="P1686" s="232"/>
      <c r="Q1686" s="232"/>
      <c r="R1686" s="232"/>
      <c r="S1686" s="232"/>
      <c r="T1686" s="232"/>
      <c r="U1686" s="232"/>
      <c r="V1686" s="15"/>
      <c r="W1686" s="15"/>
      <c r="X1686" s="15"/>
      <c r="Y1686" s="15"/>
      <c r="Z1686" s="15"/>
      <c r="AA1686" s="15"/>
    </row>
    <row r="1687" spans="1:27" s="25" customFormat="1" ht="12" customHeight="1" x14ac:dyDescent="0.2">
      <c r="A1687" s="232"/>
      <c r="B1687" s="250"/>
      <c r="C1687" s="286"/>
      <c r="D1687" s="232"/>
      <c r="E1687" s="232"/>
      <c r="F1687" s="232"/>
      <c r="G1687" s="232"/>
      <c r="H1687" s="232"/>
      <c r="I1687" s="232"/>
      <c r="J1687" s="232"/>
      <c r="K1687" s="232"/>
      <c r="L1687" s="232"/>
      <c r="M1687" s="232"/>
      <c r="N1687" s="232"/>
      <c r="O1687" s="232"/>
      <c r="P1687" s="232"/>
      <c r="Q1687" s="232"/>
      <c r="R1687" s="232"/>
      <c r="S1687" s="232"/>
      <c r="T1687" s="232"/>
      <c r="U1687" s="232"/>
      <c r="V1687" s="15"/>
      <c r="W1687" s="15"/>
      <c r="X1687" s="15"/>
      <c r="Y1687" s="15"/>
      <c r="Z1687" s="15"/>
      <c r="AA1687" s="15"/>
    </row>
    <row r="1688" spans="1:27" s="25" customFormat="1" ht="12" customHeight="1" x14ac:dyDescent="0.2">
      <c r="A1688" s="232"/>
      <c r="B1688" s="250"/>
      <c r="C1688" s="286"/>
      <c r="D1688" s="232"/>
      <c r="E1688" s="232"/>
      <c r="F1688" s="232"/>
      <c r="G1688" s="232"/>
      <c r="H1688" s="232"/>
      <c r="I1688" s="232"/>
      <c r="J1688" s="232"/>
      <c r="K1688" s="232"/>
      <c r="L1688" s="232"/>
      <c r="M1688" s="232"/>
      <c r="N1688" s="232"/>
      <c r="O1688" s="232"/>
      <c r="P1688" s="232"/>
      <c r="Q1688" s="232"/>
      <c r="R1688" s="232"/>
      <c r="S1688" s="232"/>
      <c r="T1688" s="232"/>
      <c r="U1688" s="232"/>
      <c r="V1688" s="15"/>
      <c r="W1688" s="15"/>
      <c r="X1688" s="15"/>
      <c r="Y1688" s="15"/>
      <c r="Z1688" s="15"/>
      <c r="AA1688" s="15"/>
    </row>
    <row r="1689" spans="1:27" s="25" customFormat="1" ht="12" customHeight="1" x14ac:dyDescent="0.2">
      <c r="A1689" s="232"/>
      <c r="B1689" s="250"/>
      <c r="C1689" s="286"/>
      <c r="D1689" s="232"/>
      <c r="E1689" s="232"/>
      <c r="F1689" s="232"/>
      <c r="G1689" s="232"/>
      <c r="H1689" s="232"/>
      <c r="I1689" s="232"/>
      <c r="J1689" s="232"/>
      <c r="K1689" s="232"/>
      <c r="L1689" s="232"/>
      <c r="M1689" s="232"/>
      <c r="N1689" s="232"/>
      <c r="O1689" s="232"/>
      <c r="P1689" s="232"/>
      <c r="Q1689" s="232"/>
      <c r="R1689" s="232"/>
      <c r="S1689" s="232"/>
      <c r="T1689" s="232"/>
      <c r="U1689" s="232"/>
      <c r="V1689" s="15"/>
      <c r="W1689" s="15"/>
      <c r="X1689" s="15"/>
      <c r="Y1689" s="15"/>
      <c r="Z1689" s="15"/>
      <c r="AA1689" s="15"/>
    </row>
    <row r="1690" spans="1:27" s="25" customFormat="1" ht="12" customHeight="1" x14ac:dyDescent="0.2">
      <c r="A1690" s="232"/>
      <c r="B1690" s="250"/>
      <c r="C1690" s="286"/>
      <c r="D1690" s="232"/>
      <c r="E1690" s="232"/>
      <c r="F1690" s="232"/>
      <c r="G1690" s="232"/>
      <c r="H1690" s="232"/>
      <c r="I1690" s="232"/>
      <c r="J1690" s="232"/>
      <c r="K1690" s="232"/>
      <c r="L1690" s="232"/>
      <c r="M1690" s="232"/>
      <c r="N1690" s="232"/>
      <c r="O1690" s="232"/>
      <c r="P1690" s="232"/>
      <c r="Q1690" s="232"/>
      <c r="R1690" s="232"/>
      <c r="S1690" s="232"/>
      <c r="T1690" s="232"/>
      <c r="U1690" s="232"/>
      <c r="V1690" s="15"/>
      <c r="W1690" s="15"/>
      <c r="X1690" s="15"/>
      <c r="Y1690" s="15"/>
      <c r="Z1690" s="15"/>
      <c r="AA1690" s="15"/>
    </row>
    <row r="1691" spans="1:27" s="25" customFormat="1" ht="12" customHeight="1" x14ac:dyDescent="0.2">
      <c r="A1691" s="232"/>
      <c r="B1691" s="250"/>
      <c r="C1691" s="286"/>
      <c r="D1691" s="232"/>
      <c r="E1691" s="232"/>
      <c r="F1691" s="232"/>
      <c r="G1691" s="232"/>
      <c r="H1691" s="232"/>
      <c r="I1691" s="232"/>
      <c r="J1691" s="232"/>
      <c r="K1691" s="232"/>
      <c r="L1691" s="232"/>
      <c r="M1691" s="232"/>
      <c r="N1691" s="232"/>
      <c r="O1691" s="232"/>
      <c r="P1691" s="232"/>
      <c r="Q1691" s="232"/>
      <c r="R1691" s="232"/>
      <c r="S1691" s="232"/>
      <c r="T1691" s="232"/>
      <c r="U1691" s="232"/>
      <c r="V1691" s="15"/>
      <c r="W1691" s="15"/>
      <c r="X1691" s="15"/>
      <c r="Y1691" s="15"/>
      <c r="Z1691" s="15"/>
      <c r="AA1691" s="15"/>
    </row>
    <row r="1692" spans="1:27" s="25" customFormat="1" ht="12" customHeight="1" x14ac:dyDescent="0.2">
      <c r="A1692" s="232"/>
      <c r="B1692" s="250"/>
      <c r="C1692" s="286"/>
      <c r="D1692" s="232"/>
      <c r="E1692" s="232"/>
      <c r="F1692" s="232"/>
      <c r="G1692" s="232"/>
      <c r="H1692" s="232"/>
      <c r="I1692" s="232"/>
      <c r="J1692" s="232"/>
      <c r="K1692" s="232"/>
      <c r="L1692" s="232"/>
      <c r="M1692" s="232"/>
      <c r="N1692" s="232"/>
      <c r="O1692" s="232"/>
      <c r="P1692" s="232"/>
      <c r="Q1692" s="232"/>
      <c r="R1692" s="232"/>
      <c r="S1692" s="232"/>
      <c r="T1692" s="232"/>
      <c r="U1692" s="232"/>
      <c r="V1692" s="15"/>
      <c r="W1692" s="15"/>
      <c r="X1692" s="15"/>
      <c r="Y1692" s="15"/>
      <c r="Z1692" s="15"/>
      <c r="AA1692" s="15"/>
    </row>
    <row r="1693" spans="1:27" s="25" customFormat="1" ht="12" customHeight="1" x14ac:dyDescent="0.2">
      <c r="A1693" s="232"/>
      <c r="B1693" s="250"/>
      <c r="C1693" s="286"/>
      <c r="D1693" s="232"/>
      <c r="E1693" s="232"/>
      <c r="F1693" s="232"/>
      <c r="G1693" s="232"/>
      <c r="H1693" s="232"/>
      <c r="I1693" s="232"/>
      <c r="J1693" s="232"/>
      <c r="K1693" s="232"/>
      <c r="L1693" s="232"/>
      <c r="M1693" s="232"/>
      <c r="N1693" s="232"/>
      <c r="O1693" s="232"/>
      <c r="P1693" s="232"/>
      <c r="Q1693" s="232"/>
      <c r="R1693" s="232"/>
      <c r="S1693" s="232"/>
      <c r="T1693" s="232"/>
      <c r="U1693" s="232"/>
      <c r="V1693" s="15"/>
      <c r="W1693" s="15"/>
      <c r="X1693" s="15"/>
      <c r="Y1693" s="15"/>
      <c r="Z1693" s="15"/>
      <c r="AA1693" s="15"/>
    </row>
    <row r="1694" spans="1:27" s="25" customFormat="1" ht="12" customHeight="1" x14ac:dyDescent="0.2">
      <c r="A1694" s="232"/>
      <c r="B1694" s="250"/>
      <c r="C1694" s="286"/>
      <c r="D1694" s="232"/>
      <c r="E1694" s="232"/>
      <c r="F1694" s="232"/>
      <c r="G1694" s="232"/>
      <c r="H1694" s="232"/>
      <c r="I1694" s="232"/>
      <c r="J1694" s="232"/>
      <c r="K1694" s="232"/>
      <c r="L1694" s="232"/>
      <c r="M1694" s="232"/>
      <c r="N1694" s="232"/>
      <c r="O1694" s="232"/>
      <c r="P1694" s="232"/>
      <c r="Q1694" s="232"/>
      <c r="R1694" s="232"/>
      <c r="S1694" s="232"/>
      <c r="T1694" s="232"/>
      <c r="U1694" s="232"/>
      <c r="V1694" s="15"/>
      <c r="W1694" s="15"/>
      <c r="X1694" s="15"/>
      <c r="Y1694" s="15"/>
      <c r="Z1694" s="15"/>
      <c r="AA1694" s="15"/>
    </row>
    <row r="1695" spans="1:27" s="25" customFormat="1" ht="12" customHeight="1" x14ac:dyDescent="0.2">
      <c r="A1695" s="232"/>
      <c r="B1695" s="250"/>
      <c r="C1695" s="286"/>
      <c r="D1695" s="232"/>
      <c r="E1695" s="232"/>
      <c r="F1695" s="232"/>
      <c r="G1695" s="232"/>
      <c r="H1695" s="232"/>
      <c r="I1695" s="232"/>
      <c r="J1695" s="232"/>
      <c r="K1695" s="232"/>
      <c r="L1695" s="232"/>
      <c r="M1695" s="232"/>
      <c r="N1695" s="232"/>
      <c r="O1695" s="232"/>
      <c r="P1695" s="232"/>
      <c r="Q1695" s="232"/>
      <c r="R1695" s="232"/>
      <c r="S1695" s="232"/>
      <c r="T1695" s="232"/>
      <c r="U1695" s="232"/>
      <c r="V1695" s="15"/>
      <c r="W1695" s="15"/>
      <c r="X1695" s="15"/>
      <c r="Y1695" s="15"/>
      <c r="Z1695" s="15"/>
      <c r="AA1695" s="15"/>
    </row>
    <row r="1696" spans="1:27" s="25" customFormat="1" ht="12" customHeight="1" x14ac:dyDescent="0.2">
      <c r="A1696" s="232"/>
      <c r="B1696" s="250"/>
      <c r="C1696" s="286"/>
      <c r="D1696" s="232"/>
      <c r="E1696" s="232"/>
      <c r="F1696" s="232"/>
      <c r="G1696" s="232"/>
      <c r="H1696" s="232"/>
      <c r="I1696" s="232"/>
      <c r="J1696" s="232"/>
      <c r="K1696" s="232"/>
      <c r="L1696" s="232"/>
      <c r="M1696" s="232"/>
      <c r="N1696" s="232"/>
      <c r="O1696" s="232"/>
      <c r="P1696" s="232"/>
      <c r="Q1696" s="232"/>
      <c r="R1696" s="232"/>
      <c r="S1696" s="232"/>
      <c r="T1696" s="232"/>
      <c r="U1696" s="232"/>
      <c r="V1696" s="15"/>
      <c r="W1696" s="15"/>
      <c r="X1696" s="15"/>
      <c r="Y1696" s="15"/>
      <c r="Z1696" s="15"/>
      <c r="AA1696" s="15"/>
    </row>
    <row r="1697" spans="1:27" s="25" customFormat="1" ht="12" customHeight="1" x14ac:dyDescent="0.2">
      <c r="A1697" s="232"/>
      <c r="B1697" s="250"/>
      <c r="C1697" s="286"/>
      <c r="D1697" s="232"/>
      <c r="E1697" s="232"/>
      <c r="F1697" s="232"/>
      <c r="G1697" s="232"/>
      <c r="H1697" s="232"/>
      <c r="I1697" s="232"/>
      <c r="J1697" s="232"/>
      <c r="K1697" s="232"/>
      <c r="L1697" s="232"/>
      <c r="M1697" s="232"/>
      <c r="N1697" s="232"/>
      <c r="O1697" s="232"/>
      <c r="P1697" s="232"/>
      <c r="Q1697" s="232"/>
      <c r="R1697" s="232"/>
      <c r="S1697" s="232"/>
      <c r="T1697" s="232"/>
      <c r="U1697" s="232"/>
      <c r="V1697" s="15"/>
      <c r="W1697" s="15"/>
      <c r="X1697" s="15"/>
      <c r="Y1697" s="15"/>
      <c r="Z1697" s="15"/>
      <c r="AA1697" s="15"/>
    </row>
    <row r="1698" spans="1:27" s="25" customFormat="1" ht="12" customHeight="1" x14ac:dyDescent="0.2">
      <c r="A1698" s="232"/>
      <c r="B1698" s="250"/>
      <c r="C1698" s="286"/>
      <c r="D1698" s="232"/>
      <c r="E1698" s="232"/>
      <c r="F1698" s="232"/>
      <c r="G1698" s="232"/>
      <c r="H1698" s="232"/>
      <c r="I1698" s="232"/>
      <c r="J1698" s="232"/>
      <c r="K1698" s="232"/>
      <c r="L1698" s="232"/>
      <c r="M1698" s="232"/>
      <c r="N1698" s="232"/>
      <c r="O1698" s="232"/>
      <c r="P1698" s="232"/>
      <c r="Q1698" s="232"/>
      <c r="R1698" s="232"/>
      <c r="S1698" s="232"/>
      <c r="T1698" s="232"/>
      <c r="U1698" s="232"/>
      <c r="V1698" s="15"/>
      <c r="W1698" s="15"/>
      <c r="X1698" s="15"/>
      <c r="Y1698" s="15"/>
      <c r="Z1698" s="15"/>
      <c r="AA1698" s="15"/>
    </row>
    <row r="1699" spans="1:27" s="25" customFormat="1" ht="12" customHeight="1" x14ac:dyDescent="0.2">
      <c r="A1699" s="232"/>
      <c r="B1699" s="250"/>
      <c r="C1699" s="286"/>
      <c r="D1699" s="232"/>
      <c r="E1699" s="232"/>
      <c r="F1699" s="232"/>
      <c r="G1699" s="232"/>
      <c r="H1699" s="232"/>
      <c r="I1699" s="232"/>
      <c r="J1699" s="232"/>
      <c r="K1699" s="232"/>
      <c r="L1699" s="232"/>
      <c r="M1699" s="232"/>
      <c r="N1699" s="232"/>
      <c r="O1699" s="232"/>
      <c r="P1699" s="232"/>
      <c r="Q1699" s="232"/>
      <c r="R1699" s="232"/>
      <c r="S1699" s="232"/>
      <c r="T1699" s="232"/>
      <c r="U1699" s="232"/>
      <c r="V1699" s="15"/>
      <c r="W1699" s="15"/>
      <c r="X1699" s="15"/>
      <c r="Y1699" s="15"/>
      <c r="Z1699" s="15"/>
      <c r="AA1699" s="15"/>
    </row>
    <row r="1700" spans="1:27" s="25" customFormat="1" ht="12" customHeight="1" x14ac:dyDescent="0.2">
      <c r="A1700" s="232"/>
      <c r="B1700" s="250"/>
      <c r="C1700" s="286"/>
      <c r="D1700" s="232"/>
      <c r="E1700" s="232"/>
      <c r="F1700" s="232"/>
      <c r="G1700" s="232"/>
      <c r="H1700" s="232"/>
      <c r="I1700" s="232"/>
      <c r="J1700" s="232"/>
      <c r="K1700" s="232"/>
      <c r="L1700" s="232"/>
      <c r="M1700" s="232"/>
      <c r="N1700" s="232"/>
      <c r="O1700" s="232"/>
      <c r="P1700" s="232"/>
      <c r="Q1700" s="232"/>
      <c r="R1700" s="232"/>
      <c r="S1700" s="232"/>
      <c r="T1700" s="232"/>
      <c r="U1700" s="232"/>
      <c r="V1700" s="15"/>
      <c r="W1700" s="15"/>
      <c r="X1700" s="15"/>
      <c r="Y1700" s="15"/>
      <c r="Z1700" s="15"/>
      <c r="AA1700" s="15"/>
    </row>
    <row r="1701" spans="1:27" s="25" customFormat="1" ht="12" customHeight="1" x14ac:dyDescent="0.2">
      <c r="A1701" s="232"/>
      <c r="B1701" s="250"/>
      <c r="C1701" s="286"/>
      <c r="D1701" s="232"/>
      <c r="E1701" s="232"/>
      <c r="F1701" s="232"/>
      <c r="G1701" s="232"/>
      <c r="H1701" s="232"/>
      <c r="I1701" s="232"/>
      <c r="J1701" s="232"/>
      <c r="K1701" s="232"/>
      <c r="L1701" s="232"/>
      <c r="M1701" s="232"/>
      <c r="N1701" s="232"/>
      <c r="O1701" s="232"/>
      <c r="P1701" s="232"/>
      <c r="Q1701" s="232"/>
      <c r="R1701" s="232"/>
      <c r="S1701" s="232"/>
      <c r="T1701" s="232"/>
      <c r="U1701" s="232"/>
      <c r="V1701" s="15"/>
      <c r="W1701" s="15"/>
      <c r="X1701" s="15"/>
      <c r="Y1701" s="15"/>
      <c r="Z1701" s="15"/>
      <c r="AA1701" s="15"/>
    </row>
    <row r="1702" spans="1:27" s="25" customFormat="1" ht="12" customHeight="1" x14ac:dyDescent="0.2">
      <c r="A1702" s="232"/>
      <c r="B1702" s="250"/>
      <c r="C1702" s="286"/>
      <c r="D1702" s="232"/>
      <c r="E1702" s="232"/>
      <c r="F1702" s="232"/>
      <c r="G1702" s="232"/>
      <c r="H1702" s="232"/>
      <c r="I1702" s="232"/>
      <c r="J1702" s="232"/>
      <c r="K1702" s="232"/>
      <c r="L1702" s="232"/>
      <c r="M1702" s="232"/>
      <c r="N1702" s="232"/>
      <c r="O1702" s="232"/>
      <c r="P1702" s="232"/>
      <c r="Q1702" s="232"/>
      <c r="R1702" s="232"/>
      <c r="S1702" s="232"/>
      <c r="T1702" s="232"/>
      <c r="U1702" s="232"/>
      <c r="V1702" s="15"/>
      <c r="W1702" s="15"/>
      <c r="X1702" s="15"/>
      <c r="Y1702" s="15"/>
      <c r="Z1702" s="15"/>
      <c r="AA1702" s="15"/>
    </row>
    <row r="1703" spans="1:27" s="25" customFormat="1" ht="12" customHeight="1" x14ac:dyDescent="0.2">
      <c r="A1703" s="232"/>
      <c r="B1703" s="250"/>
      <c r="C1703" s="286"/>
      <c r="D1703" s="232"/>
      <c r="E1703" s="232"/>
      <c r="F1703" s="232"/>
      <c r="G1703" s="232"/>
      <c r="H1703" s="232"/>
      <c r="I1703" s="232"/>
      <c r="J1703" s="232"/>
      <c r="K1703" s="232"/>
      <c r="L1703" s="232"/>
      <c r="M1703" s="232"/>
      <c r="N1703" s="232"/>
      <c r="O1703" s="232"/>
      <c r="P1703" s="232"/>
      <c r="Q1703" s="232"/>
      <c r="R1703" s="232"/>
      <c r="S1703" s="232"/>
      <c r="T1703" s="232"/>
      <c r="U1703" s="232"/>
      <c r="V1703" s="15"/>
      <c r="W1703" s="15"/>
      <c r="X1703" s="15"/>
      <c r="Y1703" s="15"/>
      <c r="Z1703" s="15"/>
      <c r="AA1703" s="15"/>
    </row>
    <row r="1704" spans="1:27" s="25" customFormat="1" ht="12" customHeight="1" x14ac:dyDescent="0.2">
      <c r="A1704" s="232"/>
      <c r="B1704" s="250"/>
      <c r="C1704" s="286"/>
      <c r="D1704" s="232"/>
      <c r="E1704" s="232"/>
      <c r="F1704" s="232"/>
      <c r="G1704" s="232"/>
      <c r="H1704" s="232"/>
      <c r="I1704" s="232"/>
      <c r="J1704" s="232"/>
      <c r="K1704" s="232"/>
      <c r="L1704" s="232"/>
      <c r="M1704" s="232"/>
      <c r="N1704" s="232"/>
      <c r="O1704" s="232"/>
      <c r="P1704" s="232"/>
      <c r="Q1704" s="232"/>
      <c r="R1704" s="232"/>
      <c r="S1704" s="232"/>
      <c r="T1704" s="232"/>
      <c r="U1704" s="232"/>
      <c r="V1704" s="15"/>
      <c r="W1704" s="15"/>
      <c r="X1704" s="15"/>
      <c r="Y1704" s="15"/>
      <c r="Z1704" s="15"/>
      <c r="AA1704" s="15"/>
    </row>
    <row r="1705" spans="1:27" s="25" customFormat="1" ht="12" customHeight="1" x14ac:dyDescent="0.2">
      <c r="A1705" s="232"/>
      <c r="B1705" s="250"/>
      <c r="C1705" s="286"/>
      <c r="D1705" s="232"/>
      <c r="E1705" s="232"/>
      <c r="F1705" s="232"/>
      <c r="G1705" s="232"/>
      <c r="H1705" s="232"/>
      <c r="I1705" s="232"/>
      <c r="J1705" s="232"/>
      <c r="K1705" s="232"/>
      <c r="L1705" s="232"/>
      <c r="M1705" s="232"/>
      <c r="N1705" s="232"/>
      <c r="O1705" s="232"/>
      <c r="P1705" s="232"/>
      <c r="Q1705" s="232"/>
      <c r="R1705" s="232"/>
      <c r="S1705" s="232"/>
      <c r="T1705" s="232"/>
      <c r="U1705" s="232"/>
      <c r="V1705" s="15"/>
      <c r="W1705" s="15"/>
      <c r="X1705" s="15"/>
      <c r="Y1705" s="15"/>
      <c r="Z1705" s="15"/>
      <c r="AA1705" s="15"/>
    </row>
    <row r="1706" spans="1:27" s="25" customFormat="1" ht="12" customHeight="1" x14ac:dyDescent="0.2">
      <c r="A1706" s="232"/>
      <c r="B1706" s="250"/>
      <c r="C1706" s="286"/>
      <c r="D1706" s="232"/>
      <c r="E1706" s="232"/>
      <c r="F1706" s="232"/>
      <c r="G1706" s="232"/>
      <c r="H1706" s="232"/>
      <c r="I1706" s="232"/>
      <c r="J1706" s="232"/>
      <c r="K1706" s="232"/>
      <c r="L1706" s="232"/>
      <c r="M1706" s="232"/>
      <c r="N1706" s="232"/>
      <c r="O1706" s="232"/>
      <c r="P1706" s="232"/>
      <c r="Q1706" s="232"/>
      <c r="R1706" s="232"/>
      <c r="S1706" s="232"/>
      <c r="T1706" s="232"/>
      <c r="U1706" s="232"/>
      <c r="V1706" s="15"/>
      <c r="W1706" s="15"/>
      <c r="X1706" s="15"/>
      <c r="Y1706" s="15"/>
      <c r="Z1706" s="15"/>
      <c r="AA1706" s="15"/>
    </row>
    <row r="1707" spans="1:27" s="25" customFormat="1" ht="12" customHeight="1" x14ac:dyDescent="0.2">
      <c r="A1707" s="232"/>
      <c r="B1707" s="250"/>
      <c r="C1707" s="286"/>
      <c r="D1707" s="232"/>
      <c r="E1707" s="232"/>
      <c r="F1707" s="232"/>
      <c r="G1707" s="232"/>
      <c r="H1707" s="232"/>
      <c r="I1707" s="232"/>
      <c r="J1707" s="232"/>
      <c r="K1707" s="232"/>
      <c r="L1707" s="232"/>
      <c r="M1707" s="232"/>
      <c r="N1707" s="232"/>
      <c r="O1707" s="232"/>
      <c r="P1707" s="232"/>
      <c r="Q1707" s="232"/>
      <c r="R1707" s="232"/>
      <c r="S1707" s="232"/>
      <c r="T1707" s="232"/>
      <c r="U1707" s="232"/>
      <c r="V1707" s="15"/>
      <c r="W1707" s="15"/>
      <c r="X1707" s="15"/>
      <c r="Y1707" s="15"/>
      <c r="Z1707" s="15"/>
      <c r="AA1707" s="15"/>
    </row>
    <row r="1708" spans="1:27" s="25" customFormat="1" ht="12" customHeight="1" x14ac:dyDescent="0.2">
      <c r="A1708" s="232"/>
      <c r="B1708" s="250"/>
      <c r="C1708" s="286"/>
      <c r="D1708" s="232"/>
      <c r="E1708" s="232"/>
      <c r="F1708" s="232"/>
      <c r="G1708" s="232"/>
      <c r="H1708" s="232"/>
      <c r="I1708" s="232"/>
      <c r="J1708" s="232"/>
      <c r="K1708" s="232"/>
      <c r="L1708" s="232"/>
      <c r="M1708" s="232"/>
      <c r="N1708" s="232"/>
      <c r="O1708" s="232"/>
      <c r="P1708" s="232"/>
      <c r="Q1708" s="232"/>
      <c r="R1708" s="232"/>
      <c r="S1708" s="232"/>
      <c r="T1708" s="232"/>
      <c r="U1708" s="232"/>
      <c r="V1708" s="15"/>
      <c r="W1708" s="15"/>
      <c r="X1708" s="15"/>
      <c r="Y1708" s="15"/>
      <c r="Z1708" s="15"/>
      <c r="AA1708" s="15"/>
    </row>
    <row r="1709" spans="1:27" s="25" customFormat="1" ht="12" customHeight="1" x14ac:dyDescent="0.2">
      <c r="A1709" s="232"/>
      <c r="B1709" s="250"/>
      <c r="C1709" s="286"/>
      <c r="D1709" s="232"/>
      <c r="E1709" s="232"/>
      <c r="F1709" s="232"/>
      <c r="G1709" s="232"/>
      <c r="H1709" s="232"/>
      <c r="I1709" s="232"/>
      <c r="J1709" s="232"/>
      <c r="K1709" s="232"/>
      <c r="L1709" s="232"/>
      <c r="M1709" s="232"/>
      <c r="N1709" s="232"/>
      <c r="O1709" s="232"/>
      <c r="P1709" s="232"/>
      <c r="Q1709" s="232"/>
      <c r="R1709" s="232"/>
      <c r="S1709" s="232"/>
      <c r="T1709" s="232"/>
      <c r="U1709" s="232"/>
      <c r="V1709" s="15"/>
      <c r="W1709" s="15"/>
      <c r="X1709" s="15"/>
      <c r="Y1709" s="15"/>
      <c r="Z1709" s="15"/>
      <c r="AA1709" s="15"/>
    </row>
    <row r="1710" spans="1:27" s="25" customFormat="1" ht="12" customHeight="1" x14ac:dyDescent="0.2">
      <c r="A1710" s="232"/>
      <c r="B1710" s="250"/>
      <c r="C1710" s="286"/>
      <c r="D1710" s="232"/>
      <c r="E1710" s="232"/>
      <c r="F1710" s="232"/>
      <c r="G1710" s="232"/>
      <c r="H1710" s="232"/>
      <c r="I1710" s="232"/>
      <c r="J1710" s="232"/>
      <c r="K1710" s="232"/>
      <c r="L1710" s="232"/>
      <c r="M1710" s="232"/>
      <c r="N1710" s="232"/>
      <c r="O1710" s="232"/>
      <c r="P1710" s="232"/>
      <c r="Q1710" s="232"/>
      <c r="R1710" s="232"/>
      <c r="S1710" s="232"/>
      <c r="T1710" s="232"/>
      <c r="U1710" s="232"/>
      <c r="V1710" s="15"/>
      <c r="W1710" s="15"/>
      <c r="X1710" s="15"/>
      <c r="Y1710" s="15"/>
      <c r="Z1710" s="15"/>
      <c r="AA1710" s="15"/>
    </row>
    <row r="1711" spans="1:27" s="25" customFormat="1" ht="12" customHeight="1" x14ac:dyDescent="0.2">
      <c r="A1711" s="232"/>
      <c r="B1711" s="250"/>
      <c r="C1711" s="286"/>
      <c r="D1711" s="232"/>
      <c r="E1711" s="232"/>
      <c r="F1711" s="232"/>
      <c r="G1711" s="232"/>
      <c r="H1711" s="232"/>
      <c r="I1711" s="232"/>
      <c r="J1711" s="232"/>
      <c r="K1711" s="232"/>
      <c r="L1711" s="232"/>
      <c r="M1711" s="232"/>
      <c r="N1711" s="232"/>
      <c r="O1711" s="232"/>
      <c r="P1711" s="232"/>
      <c r="Q1711" s="232"/>
      <c r="R1711" s="232"/>
      <c r="S1711" s="232"/>
      <c r="T1711" s="232"/>
      <c r="U1711" s="232"/>
      <c r="V1711" s="15"/>
      <c r="W1711" s="15"/>
      <c r="X1711" s="15"/>
      <c r="Y1711" s="15"/>
      <c r="Z1711" s="15"/>
      <c r="AA1711" s="15"/>
    </row>
    <row r="1712" spans="1:27" s="25" customFormat="1" ht="12" customHeight="1" x14ac:dyDescent="0.2">
      <c r="A1712" s="232"/>
      <c r="B1712" s="250"/>
      <c r="C1712" s="286"/>
      <c r="D1712" s="232"/>
      <c r="E1712" s="232"/>
      <c r="F1712" s="232"/>
      <c r="G1712" s="232"/>
      <c r="H1712" s="232"/>
      <c r="I1712" s="232"/>
      <c r="J1712" s="232"/>
      <c r="K1712" s="232"/>
      <c r="L1712" s="232"/>
      <c r="M1712" s="232"/>
      <c r="N1712" s="232"/>
      <c r="O1712" s="232"/>
      <c r="P1712" s="232"/>
      <c r="Q1712" s="232"/>
      <c r="R1712" s="232"/>
      <c r="S1712" s="232"/>
      <c r="T1712" s="232"/>
      <c r="U1712" s="232"/>
      <c r="V1712" s="15"/>
      <c r="W1712" s="15"/>
      <c r="X1712" s="15"/>
      <c r="Y1712" s="15"/>
      <c r="Z1712" s="15"/>
      <c r="AA1712" s="15"/>
    </row>
    <row r="1713" spans="1:27" s="25" customFormat="1" ht="12" customHeight="1" x14ac:dyDescent="0.2">
      <c r="A1713" s="232"/>
      <c r="B1713" s="250"/>
      <c r="C1713" s="286"/>
      <c r="D1713" s="232"/>
      <c r="E1713" s="232"/>
      <c r="F1713" s="232"/>
      <c r="G1713" s="232"/>
      <c r="H1713" s="232"/>
      <c r="I1713" s="232"/>
      <c r="J1713" s="232"/>
      <c r="K1713" s="232"/>
      <c r="L1713" s="232"/>
      <c r="M1713" s="232"/>
      <c r="N1713" s="232"/>
      <c r="O1713" s="232"/>
      <c r="P1713" s="232"/>
      <c r="Q1713" s="232"/>
      <c r="R1713" s="232"/>
      <c r="S1713" s="232"/>
      <c r="T1713" s="232"/>
      <c r="U1713" s="232"/>
      <c r="V1713" s="15"/>
      <c r="W1713" s="15"/>
      <c r="X1713" s="15"/>
      <c r="Y1713" s="15"/>
      <c r="Z1713" s="15"/>
      <c r="AA1713" s="15"/>
    </row>
    <row r="1714" spans="1:27" s="25" customFormat="1" ht="12" customHeight="1" x14ac:dyDescent="0.2">
      <c r="A1714" s="232"/>
      <c r="B1714" s="250"/>
      <c r="C1714" s="286"/>
      <c r="D1714" s="232"/>
      <c r="E1714" s="232"/>
      <c r="F1714" s="232"/>
      <c r="G1714" s="232"/>
      <c r="H1714" s="232"/>
      <c r="I1714" s="232"/>
      <c r="J1714" s="232"/>
      <c r="K1714" s="232"/>
      <c r="L1714" s="232"/>
      <c r="M1714" s="232"/>
      <c r="N1714" s="232"/>
      <c r="O1714" s="232"/>
      <c r="P1714" s="232"/>
      <c r="Q1714" s="232"/>
      <c r="R1714" s="232"/>
      <c r="S1714" s="232"/>
      <c r="T1714" s="232"/>
      <c r="U1714" s="232"/>
      <c r="V1714" s="15"/>
      <c r="W1714" s="15"/>
      <c r="X1714" s="15"/>
      <c r="Y1714" s="15"/>
      <c r="Z1714" s="15"/>
      <c r="AA1714" s="15"/>
    </row>
    <row r="1715" spans="1:27" s="25" customFormat="1" ht="12" customHeight="1" x14ac:dyDescent="0.2">
      <c r="A1715" s="232"/>
      <c r="B1715" s="250"/>
      <c r="C1715" s="286"/>
      <c r="D1715" s="232"/>
      <c r="E1715" s="232"/>
      <c r="F1715" s="232"/>
      <c r="G1715" s="232"/>
      <c r="H1715" s="232"/>
      <c r="I1715" s="232"/>
      <c r="J1715" s="232"/>
      <c r="K1715" s="232"/>
      <c r="L1715" s="232"/>
      <c r="M1715" s="232"/>
      <c r="N1715" s="232"/>
      <c r="O1715" s="232"/>
      <c r="P1715" s="232"/>
      <c r="Q1715" s="232"/>
      <c r="R1715" s="232"/>
      <c r="S1715" s="232"/>
      <c r="T1715" s="232"/>
      <c r="U1715" s="232"/>
      <c r="V1715" s="15"/>
      <c r="W1715" s="15"/>
      <c r="X1715" s="15"/>
      <c r="Y1715" s="15"/>
      <c r="Z1715" s="15"/>
      <c r="AA1715" s="15"/>
    </row>
    <row r="1716" spans="1:27" s="25" customFormat="1" ht="12" customHeight="1" x14ac:dyDescent="0.2">
      <c r="A1716" s="232"/>
      <c r="B1716" s="250"/>
      <c r="C1716" s="286"/>
      <c r="D1716" s="232"/>
      <c r="E1716" s="232"/>
      <c r="F1716" s="232"/>
      <c r="G1716" s="232"/>
      <c r="H1716" s="232"/>
      <c r="I1716" s="232"/>
      <c r="J1716" s="232"/>
      <c r="K1716" s="232"/>
      <c r="L1716" s="232"/>
      <c r="M1716" s="232"/>
      <c r="N1716" s="232"/>
      <c r="O1716" s="232"/>
      <c r="P1716" s="232"/>
      <c r="Q1716" s="232"/>
      <c r="R1716" s="232"/>
      <c r="S1716" s="232"/>
      <c r="T1716" s="232"/>
      <c r="U1716" s="232"/>
      <c r="V1716" s="15"/>
      <c r="W1716" s="15"/>
      <c r="X1716" s="15"/>
      <c r="Y1716" s="15"/>
      <c r="Z1716" s="15"/>
      <c r="AA1716" s="15"/>
    </row>
    <row r="1717" spans="1:27" s="25" customFormat="1" ht="12" customHeight="1" x14ac:dyDescent="0.2">
      <c r="A1717" s="232"/>
      <c r="B1717" s="250"/>
      <c r="C1717" s="286"/>
      <c r="D1717" s="232"/>
      <c r="E1717" s="232"/>
      <c r="F1717" s="232"/>
      <c r="G1717" s="232"/>
      <c r="H1717" s="232"/>
      <c r="I1717" s="232"/>
      <c r="J1717" s="232"/>
      <c r="K1717" s="232"/>
      <c r="L1717" s="232"/>
      <c r="M1717" s="232"/>
      <c r="N1717" s="232"/>
      <c r="O1717" s="232"/>
      <c r="P1717" s="232"/>
      <c r="Q1717" s="232"/>
      <c r="R1717" s="232"/>
      <c r="S1717" s="232"/>
      <c r="T1717" s="232"/>
      <c r="U1717" s="232"/>
      <c r="V1717" s="15"/>
      <c r="W1717" s="15"/>
      <c r="X1717" s="15"/>
      <c r="Y1717" s="15"/>
      <c r="Z1717" s="15"/>
      <c r="AA1717" s="15"/>
    </row>
    <row r="1718" spans="1:27" s="25" customFormat="1" ht="12" customHeight="1" x14ac:dyDescent="0.2">
      <c r="A1718" s="232"/>
      <c r="B1718" s="250"/>
      <c r="C1718" s="286"/>
      <c r="D1718" s="232"/>
      <c r="E1718" s="232"/>
      <c r="F1718" s="232"/>
      <c r="G1718" s="232"/>
      <c r="H1718" s="232"/>
      <c r="I1718" s="232"/>
      <c r="J1718" s="232"/>
      <c r="K1718" s="232"/>
      <c r="L1718" s="232"/>
      <c r="M1718" s="232"/>
      <c r="N1718" s="232"/>
      <c r="O1718" s="232"/>
      <c r="P1718" s="232"/>
      <c r="Q1718" s="232"/>
      <c r="R1718" s="232"/>
      <c r="S1718" s="232"/>
      <c r="T1718" s="232"/>
      <c r="U1718" s="232"/>
      <c r="V1718" s="15"/>
      <c r="W1718" s="15"/>
      <c r="X1718" s="15"/>
      <c r="Y1718" s="15"/>
      <c r="Z1718" s="15"/>
      <c r="AA1718" s="15"/>
    </row>
    <row r="1719" spans="1:27" s="25" customFormat="1" ht="12" customHeight="1" x14ac:dyDescent="0.2">
      <c r="A1719" s="232"/>
      <c r="B1719" s="250"/>
      <c r="C1719" s="286"/>
      <c r="D1719" s="232"/>
      <c r="E1719" s="232"/>
      <c r="F1719" s="232"/>
      <c r="G1719" s="232"/>
      <c r="H1719" s="232"/>
      <c r="I1719" s="232"/>
      <c r="J1719" s="232"/>
      <c r="K1719" s="232"/>
      <c r="L1719" s="232"/>
      <c r="M1719" s="232"/>
      <c r="N1719" s="232"/>
      <c r="O1719" s="232"/>
      <c r="P1719" s="232"/>
      <c r="Q1719" s="232"/>
      <c r="R1719" s="232"/>
      <c r="S1719" s="232"/>
      <c r="T1719" s="232"/>
      <c r="U1719" s="232"/>
      <c r="V1719" s="15"/>
      <c r="W1719" s="15"/>
      <c r="X1719" s="15"/>
      <c r="Y1719" s="15"/>
      <c r="Z1719" s="15"/>
      <c r="AA1719" s="15"/>
    </row>
    <row r="1720" spans="1:27" s="25" customFormat="1" ht="12" customHeight="1" x14ac:dyDescent="0.2">
      <c r="A1720" s="232"/>
      <c r="B1720" s="250"/>
      <c r="C1720" s="286"/>
      <c r="D1720" s="232"/>
      <c r="E1720" s="232"/>
      <c r="F1720" s="232"/>
      <c r="G1720" s="232"/>
      <c r="H1720" s="232"/>
      <c r="I1720" s="232"/>
      <c r="J1720" s="232"/>
      <c r="K1720" s="232"/>
      <c r="L1720" s="232"/>
      <c r="M1720" s="232"/>
      <c r="N1720" s="232"/>
      <c r="O1720" s="232"/>
      <c r="P1720" s="232"/>
      <c r="Q1720" s="232"/>
      <c r="R1720" s="232"/>
      <c r="S1720" s="232"/>
      <c r="T1720" s="232"/>
      <c r="U1720" s="232"/>
      <c r="V1720" s="15"/>
      <c r="W1720" s="15"/>
      <c r="X1720" s="15"/>
      <c r="Y1720" s="15"/>
      <c r="Z1720" s="15"/>
      <c r="AA1720" s="15"/>
    </row>
    <row r="1721" spans="1:27" s="25" customFormat="1" ht="12" customHeight="1" x14ac:dyDescent="0.2">
      <c r="A1721" s="232"/>
      <c r="B1721" s="250"/>
      <c r="C1721" s="286"/>
      <c r="D1721" s="232"/>
      <c r="E1721" s="232"/>
      <c r="F1721" s="232"/>
      <c r="G1721" s="232"/>
      <c r="H1721" s="232"/>
      <c r="I1721" s="232"/>
      <c r="J1721" s="232"/>
      <c r="K1721" s="232"/>
      <c r="L1721" s="232"/>
      <c r="M1721" s="232"/>
      <c r="N1721" s="232"/>
      <c r="O1721" s="232"/>
      <c r="P1721" s="232"/>
      <c r="Q1721" s="232"/>
      <c r="R1721" s="232"/>
      <c r="S1721" s="232"/>
      <c r="T1721" s="232"/>
      <c r="U1721" s="232"/>
      <c r="V1721" s="15"/>
      <c r="W1721" s="15"/>
      <c r="X1721" s="15"/>
      <c r="Y1721" s="15"/>
      <c r="Z1721" s="15"/>
      <c r="AA1721" s="15"/>
    </row>
    <row r="1722" spans="1:27" s="25" customFormat="1" ht="12" customHeight="1" x14ac:dyDescent="0.2">
      <c r="A1722" s="232"/>
      <c r="B1722" s="250"/>
      <c r="C1722" s="286"/>
      <c r="D1722" s="232"/>
      <c r="E1722" s="232"/>
      <c r="F1722" s="232"/>
      <c r="G1722" s="232"/>
      <c r="H1722" s="232"/>
      <c r="I1722" s="232"/>
      <c r="J1722" s="232"/>
      <c r="K1722" s="232"/>
      <c r="L1722" s="232"/>
      <c r="M1722" s="232"/>
      <c r="N1722" s="232"/>
      <c r="O1722" s="232"/>
      <c r="P1722" s="232"/>
      <c r="Q1722" s="232"/>
      <c r="R1722" s="232"/>
      <c r="S1722" s="232"/>
      <c r="T1722" s="232"/>
      <c r="U1722" s="232"/>
      <c r="V1722" s="15"/>
      <c r="W1722" s="15"/>
      <c r="X1722" s="15"/>
      <c r="Y1722" s="15"/>
      <c r="Z1722" s="15"/>
      <c r="AA1722" s="15"/>
    </row>
    <row r="1723" spans="1:27" s="25" customFormat="1" ht="12" customHeight="1" x14ac:dyDescent="0.2">
      <c r="A1723" s="232"/>
      <c r="B1723" s="250"/>
      <c r="C1723" s="286"/>
      <c r="D1723" s="232"/>
      <c r="E1723" s="232"/>
      <c r="F1723" s="232"/>
      <c r="G1723" s="232"/>
      <c r="H1723" s="232"/>
      <c r="I1723" s="232"/>
      <c r="J1723" s="232"/>
      <c r="K1723" s="232"/>
      <c r="L1723" s="232"/>
      <c r="M1723" s="232"/>
      <c r="N1723" s="232"/>
      <c r="O1723" s="232"/>
      <c r="P1723" s="232"/>
      <c r="Q1723" s="232"/>
      <c r="R1723" s="232"/>
      <c r="S1723" s="232"/>
      <c r="T1723" s="232"/>
      <c r="U1723" s="232"/>
      <c r="V1723" s="15"/>
      <c r="W1723" s="15"/>
      <c r="X1723" s="15"/>
      <c r="Y1723" s="15"/>
      <c r="Z1723" s="15"/>
      <c r="AA1723" s="15"/>
    </row>
    <row r="1724" spans="1:27" s="25" customFormat="1" ht="12" customHeight="1" x14ac:dyDescent="0.2">
      <c r="A1724" s="232"/>
      <c r="B1724" s="250"/>
      <c r="C1724" s="286"/>
      <c r="D1724" s="232"/>
      <c r="E1724" s="232"/>
      <c r="F1724" s="232"/>
      <c r="G1724" s="232"/>
      <c r="H1724" s="232"/>
      <c r="I1724" s="232"/>
      <c r="J1724" s="232"/>
      <c r="K1724" s="232"/>
      <c r="L1724" s="232"/>
      <c r="M1724" s="232"/>
      <c r="N1724" s="232"/>
      <c r="O1724" s="232"/>
      <c r="P1724" s="232"/>
      <c r="Q1724" s="232"/>
      <c r="R1724" s="232"/>
      <c r="S1724" s="232"/>
      <c r="T1724" s="232"/>
      <c r="U1724" s="232"/>
      <c r="V1724" s="15"/>
      <c r="W1724" s="15"/>
      <c r="X1724" s="15"/>
      <c r="Y1724" s="15"/>
      <c r="Z1724" s="15"/>
      <c r="AA1724" s="15"/>
    </row>
    <row r="1725" spans="1:27" s="25" customFormat="1" ht="12" customHeight="1" x14ac:dyDescent="0.2">
      <c r="A1725" s="232"/>
      <c r="B1725" s="250"/>
      <c r="C1725" s="286"/>
      <c r="D1725" s="232"/>
      <c r="E1725" s="232"/>
      <c r="F1725" s="232"/>
      <c r="G1725" s="232"/>
      <c r="H1725" s="232"/>
      <c r="I1725" s="232"/>
      <c r="J1725" s="232"/>
      <c r="K1725" s="232"/>
      <c r="L1725" s="232"/>
      <c r="M1725" s="232"/>
      <c r="N1725" s="232"/>
      <c r="O1725" s="232"/>
      <c r="P1725" s="232"/>
      <c r="Q1725" s="232"/>
      <c r="R1725" s="232"/>
      <c r="S1725" s="232"/>
      <c r="T1725" s="232"/>
      <c r="U1725" s="232"/>
      <c r="V1725" s="15"/>
      <c r="W1725" s="15"/>
      <c r="X1725" s="15"/>
      <c r="Y1725" s="15"/>
      <c r="Z1725" s="15"/>
      <c r="AA1725" s="15"/>
    </row>
    <row r="1726" spans="1:27" s="25" customFormat="1" ht="12" customHeight="1" x14ac:dyDescent="0.2">
      <c r="A1726" s="232"/>
      <c r="B1726" s="250"/>
      <c r="C1726" s="286"/>
      <c r="D1726" s="232"/>
      <c r="E1726" s="232"/>
      <c r="F1726" s="232"/>
      <c r="G1726" s="232"/>
      <c r="H1726" s="232"/>
      <c r="I1726" s="232"/>
      <c r="J1726" s="232"/>
      <c r="K1726" s="232"/>
      <c r="L1726" s="232"/>
      <c r="M1726" s="232"/>
      <c r="N1726" s="232"/>
      <c r="O1726" s="232"/>
      <c r="P1726" s="232"/>
      <c r="Q1726" s="232"/>
      <c r="R1726" s="232"/>
      <c r="S1726" s="232"/>
      <c r="T1726" s="232"/>
      <c r="U1726" s="232"/>
      <c r="V1726" s="15"/>
      <c r="W1726" s="15"/>
      <c r="X1726" s="15"/>
      <c r="Y1726" s="15"/>
      <c r="Z1726" s="15"/>
      <c r="AA1726" s="15"/>
    </row>
    <row r="1727" spans="1:27" s="25" customFormat="1" ht="12" customHeight="1" x14ac:dyDescent="0.2">
      <c r="A1727" s="232"/>
      <c r="B1727" s="250"/>
      <c r="C1727" s="286"/>
      <c r="D1727" s="232"/>
      <c r="E1727" s="232"/>
      <c r="F1727" s="232"/>
      <c r="G1727" s="232"/>
      <c r="H1727" s="232"/>
      <c r="I1727" s="232"/>
      <c r="J1727" s="232"/>
      <c r="K1727" s="232"/>
      <c r="L1727" s="232"/>
      <c r="M1727" s="232"/>
      <c r="N1727" s="232"/>
      <c r="O1727" s="232"/>
      <c r="P1727" s="232"/>
      <c r="Q1727" s="232"/>
      <c r="R1727" s="232"/>
      <c r="S1727" s="232"/>
      <c r="T1727" s="232"/>
      <c r="U1727" s="232"/>
      <c r="V1727" s="15"/>
      <c r="W1727" s="15"/>
      <c r="X1727" s="15"/>
      <c r="Y1727" s="15"/>
      <c r="Z1727" s="15"/>
      <c r="AA1727" s="15"/>
    </row>
    <row r="1728" spans="1:27" s="25" customFormat="1" ht="12" customHeight="1" x14ac:dyDescent="0.2">
      <c r="A1728" s="232"/>
      <c r="B1728" s="250"/>
      <c r="C1728" s="286"/>
      <c r="D1728" s="232"/>
      <c r="E1728" s="232"/>
      <c r="F1728" s="232"/>
      <c r="G1728" s="232"/>
      <c r="H1728" s="232"/>
      <c r="I1728" s="232"/>
      <c r="J1728" s="232"/>
      <c r="K1728" s="232"/>
      <c r="L1728" s="232"/>
      <c r="M1728" s="232"/>
      <c r="N1728" s="232"/>
      <c r="O1728" s="232"/>
      <c r="P1728" s="232"/>
      <c r="Q1728" s="232"/>
      <c r="R1728" s="232"/>
      <c r="S1728" s="232"/>
      <c r="T1728" s="232"/>
      <c r="U1728" s="232"/>
      <c r="V1728" s="15"/>
      <c r="W1728" s="15"/>
      <c r="X1728" s="15"/>
      <c r="Y1728" s="15"/>
      <c r="Z1728" s="15"/>
      <c r="AA1728" s="15"/>
    </row>
    <row r="1729" spans="1:27" s="25" customFormat="1" ht="12" customHeight="1" x14ac:dyDescent="0.2">
      <c r="A1729" s="232"/>
      <c r="B1729" s="250"/>
      <c r="C1729" s="286"/>
      <c r="D1729" s="232"/>
      <c r="E1729" s="232"/>
      <c r="F1729" s="232"/>
      <c r="G1729" s="232"/>
      <c r="H1729" s="232"/>
      <c r="I1729" s="232"/>
      <c r="J1729" s="232"/>
      <c r="K1729" s="232"/>
      <c r="L1729" s="232"/>
      <c r="M1729" s="232"/>
      <c r="N1729" s="232"/>
      <c r="O1729" s="232"/>
      <c r="P1729" s="232"/>
      <c r="Q1729" s="232"/>
      <c r="R1729" s="232"/>
      <c r="S1729" s="232"/>
      <c r="T1729" s="232"/>
      <c r="U1729" s="232"/>
      <c r="V1729" s="15"/>
      <c r="W1729" s="15"/>
      <c r="X1729" s="15"/>
      <c r="Y1729" s="15"/>
      <c r="Z1729" s="15"/>
      <c r="AA1729" s="15"/>
    </row>
    <row r="1730" spans="1:27" s="25" customFormat="1" ht="12" customHeight="1" x14ac:dyDescent="0.2">
      <c r="A1730" s="232"/>
      <c r="B1730" s="250"/>
      <c r="C1730" s="286"/>
      <c r="D1730" s="232"/>
      <c r="E1730" s="232"/>
      <c r="F1730" s="232"/>
      <c r="G1730" s="232"/>
      <c r="H1730" s="232"/>
      <c r="I1730" s="232"/>
      <c r="J1730" s="232"/>
      <c r="K1730" s="232"/>
      <c r="L1730" s="232"/>
      <c r="M1730" s="232"/>
      <c r="N1730" s="232"/>
      <c r="O1730" s="232"/>
      <c r="P1730" s="232"/>
      <c r="Q1730" s="232"/>
      <c r="R1730" s="232"/>
      <c r="S1730" s="232"/>
      <c r="T1730" s="232"/>
      <c r="U1730" s="232"/>
      <c r="V1730" s="15"/>
      <c r="W1730" s="15"/>
      <c r="X1730" s="15"/>
      <c r="Y1730" s="15"/>
      <c r="Z1730" s="15"/>
      <c r="AA1730" s="15"/>
    </row>
    <row r="1731" spans="1:27" s="25" customFormat="1" ht="12" customHeight="1" x14ac:dyDescent="0.2">
      <c r="A1731" s="232"/>
      <c r="B1731" s="250"/>
      <c r="C1731" s="286"/>
      <c r="D1731" s="232"/>
      <c r="E1731" s="232"/>
      <c r="F1731" s="232"/>
      <c r="G1731" s="232"/>
      <c r="H1731" s="232"/>
      <c r="I1731" s="232"/>
      <c r="J1731" s="232"/>
      <c r="K1731" s="232"/>
      <c r="L1731" s="232"/>
      <c r="M1731" s="232"/>
      <c r="N1731" s="232"/>
      <c r="O1731" s="232"/>
      <c r="P1731" s="232"/>
      <c r="Q1731" s="232"/>
      <c r="R1731" s="232"/>
      <c r="S1731" s="232"/>
      <c r="T1731" s="232"/>
      <c r="U1731" s="232"/>
      <c r="V1731" s="15"/>
      <c r="W1731" s="15"/>
      <c r="X1731" s="15"/>
      <c r="Y1731" s="15"/>
      <c r="Z1731" s="15"/>
      <c r="AA1731" s="15"/>
    </row>
    <row r="1732" spans="1:27" s="25" customFormat="1" ht="12" customHeight="1" x14ac:dyDescent="0.2">
      <c r="A1732" s="232"/>
      <c r="B1732" s="250"/>
      <c r="C1732" s="286"/>
      <c r="D1732" s="232"/>
      <c r="E1732" s="232"/>
      <c r="F1732" s="232"/>
      <c r="G1732" s="232"/>
      <c r="H1732" s="232"/>
      <c r="I1732" s="232"/>
      <c r="J1732" s="232"/>
      <c r="K1732" s="232"/>
      <c r="L1732" s="232"/>
      <c r="M1732" s="232"/>
      <c r="N1732" s="232"/>
      <c r="O1732" s="232"/>
      <c r="P1732" s="232"/>
      <c r="Q1732" s="232"/>
      <c r="R1732" s="232"/>
      <c r="S1732" s="232"/>
      <c r="T1732" s="232"/>
      <c r="U1732" s="232"/>
      <c r="V1732" s="15"/>
      <c r="W1732" s="15"/>
      <c r="X1732" s="15"/>
      <c r="Y1732" s="15"/>
      <c r="Z1732" s="15"/>
      <c r="AA1732" s="15"/>
    </row>
    <row r="1733" spans="1:27" s="25" customFormat="1" ht="12" customHeight="1" x14ac:dyDescent="0.2">
      <c r="A1733" s="232"/>
      <c r="B1733" s="250"/>
      <c r="C1733" s="286"/>
      <c r="D1733" s="232"/>
      <c r="E1733" s="232"/>
      <c r="F1733" s="232"/>
      <c r="G1733" s="232"/>
      <c r="H1733" s="232"/>
      <c r="I1733" s="232"/>
      <c r="J1733" s="232"/>
      <c r="K1733" s="232"/>
      <c r="L1733" s="232"/>
      <c r="M1733" s="232"/>
      <c r="N1733" s="232"/>
      <c r="O1733" s="232"/>
      <c r="P1733" s="232"/>
      <c r="Q1733" s="232"/>
      <c r="R1733" s="232"/>
      <c r="S1733" s="232"/>
      <c r="T1733" s="232"/>
      <c r="U1733" s="232"/>
      <c r="V1733" s="15"/>
      <c r="W1733" s="15"/>
      <c r="X1733" s="15"/>
      <c r="Y1733" s="15"/>
      <c r="Z1733" s="15"/>
      <c r="AA1733" s="15"/>
    </row>
    <row r="1734" spans="1:27" s="25" customFormat="1" ht="12" customHeight="1" x14ac:dyDescent="0.2">
      <c r="A1734" s="232"/>
      <c r="B1734" s="250"/>
      <c r="C1734" s="286"/>
      <c r="D1734" s="232"/>
      <c r="E1734" s="232"/>
      <c r="F1734" s="232"/>
      <c r="G1734" s="232"/>
      <c r="H1734" s="232"/>
      <c r="I1734" s="232"/>
      <c r="J1734" s="232"/>
      <c r="K1734" s="232"/>
      <c r="L1734" s="232"/>
      <c r="M1734" s="232"/>
      <c r="N1734" s="232"/>
      <c r="O1734" s="232"/>
      <c r="P1734" s="232"/>
      <c r="Q1734" s="232"/>
      <c r="R1734" s="232"/>
      <c r="S1734" s="232"/>
      <c r="T1734" s="232"/>
      <c r="U1734" s="232"/>
      <c r="V1734" s="15"/>
      <c r="W1734" s="15"/>
      <c r="X1734" s="15"/>
      <c r="Y1734" s="15"/>
      <c r="Z1734" s="15"/>
      <c r="AA1734" s="15"/>
    </row>
    <row r="1735" spans="1:27" s="25" customFormat="1" ht="12" customHeight="1" x14ac:dyDescent="0.2">
      <c r="A1735" s="232"/>
      <c r="B1735" s="250"/>
      <c r="C1735" s="286"/>
      <c r="D1735" s="232"/>
      <c r="E1735" s="232"/>
      <c r="F1735" s="232"/>
      <c r="G1735" s="232"/>
      <c r="H1735" s="232"/>
      <c r="I1735" s="232"/>
      <c r="J1735" s="232"/>
      <c r="K1735" s="232"/>
      <c r="L1735" s="232"/>
      <c r="M1735" s="232"/>
      <c r="N1735" s="232"/>
      <c r="O1735" s="232"/>
      <c r="P1735" s="232"/>
      <c r="Q1735" s="232"/>
      <c r="R1735" s="232"/>
      <c r="S1735" s="232"/>
      <c r="T1735" s="232"/>
      <c r="U1735" s="232"/>
      <c r="V1735" s="15"/>
      <c r="W1735" s="15"/>
      <c r="X1735" s="15"/>
      <c r="Y1735" s="15"/>
      <c r="Z1735" s="15"/>
      <c r="AA1735" s="15"/>
    </row>
    <row r="1736" spans="1:27" s="25" customFormat="1" ht="12" customHeight="1" x14ac:dyDescent="0.2">
      <c r="A1736" s="232"/>
      <c r="B1736" s="250"/>
      <c r="C1736" s="286"/>
      <c r="D1736" s="232"/>
      <c r="E1736" s="232"/>
      <c r="F1736" s="232"/>
      <c r="G1736" s="232"/>
      <c r="H1736" s="232"/>
      <c r="I1736" s="232"/>
      <c r="J1736" s="232"/>
      <c r="K1736" s="232"/>
      <c r="L1736" s="232"/>
      <c r="M1736" s="232"/>
      <c r="N1736" s="232"/>
      <c r="O1736" s="232"/>
      <c r="P1736" s="232"/>
      <c r="Q1736" s="232"/>
      <c r="R1736" s="232"/>
      <c r="S1736" s="232"/>
      <c r="T1736" s="232"/>
      <c r="U1736" s="232"/>
      <c r="V1736" s="15"/>
      <c r="W1736" s="15"/>
      <c r="X1736" s="15"/>
      <c r="Y1736" s="15"/>
      <c r="Z1736" s="15"/>
      <c r="AA1736" s="15"/>
    </row>
    <row r="1737" spans="1:27" s="25" customFormat="1" ht="12" customHeight="1" x14ac:dyDescent="0.2">
      <c r="A1737" s="232"/>
      <c r="B1737" s="250"/>
      <c r="C1737" s="286"/>
      <c r="D1737" s="232"/>
      <c r="E1737" s="232"/>
      <c r="F1737" s="232"/>
      <c r="G1737" s="232"/>
      <c r="H1737" s="232"/>
      <c r="I1737" s="232"/>
      <c r="J1737" s="232"/>
      <c r="K1737" s="232"/>
      <c r="L1737" s="232"/>
      <c r="M1737" s="232"/>
      <c r="N1737" s="232"/>
      <c r="O1737" s="232"/>
      <c r="P1737" s="232"/>
      <c r="Q1737" s="232"/>
      <c r="R1737" s="232"/>
      <c r="S1737" s="232"/>
      <c r="T1737" s="232"/>
      <c r="U1737" s="232"/>
      <c r="V1737" s="15"/>
      <c r="W1737" s="15"/>
      <c r="X1737" s="15"/>
      <c r="Y1737" s="15"/>
      <c r="Z1737" s="15"/>
      <c r="AA1737" s="15"/>
    </row>
    <row r="1738" spans="1:27" s="25" customFormat="1" ht="12" customHeight="1" x14ac:dyDescent="0.2">
      <c r="A1738" s="232"/>
      <c r="B1738" s="250"/>
      <c r="C1738" s="286"/>
      <c r="D1738" s="232"/>
      <c r="E1738" s="232"/>
      <c r="F1738" s="232"/>
      <c r="G1738" s="232"/>
      <c r="H1738" s="232"/>
      <c r="I1738" s="232"/>
      <c r="J1738" s="232"/>
      <c r="K1738" s="232"/>
      <c r="L1738" s="232"/>
      <c r="M1738" s="232"/>
      <c r="N1738" s="232"/>
      <c r="O1738" s="232"/>
      <c r="P1738" s="232"/>
      <c r="Q1738" s="232"/>
      <c r="R1738" s="232"/>
      <c r="S1738" s="232"/>
      <c r="T1738" s="232"/>
      <c r="U1738" s="232"/>
      <c r="V1738" s="15"/>
      <c r="W1738" s="15"/>
      <c r="X1738" s="15"/>
      <c r="Y1738" s="15"/>
      <c r="Z1738" s="15"/>
      <c r="AA1738" s="15"/>
    </row>
    <row r="1739" spans="1:27" s="25" customFormat="1" ht="12" customHeight="1" x14ac:dyDescent="0.2">
      <c r="A1739" s="232"/>
      <c r="B1739" s="250"/>
      <c r="C1739" s="286"/>
      <c r="D1739" s="232"/>
      <c r="E1739" s="232"/>
      <c r="F1739" s="232"/>
      <c r="G1739" s="232"/>
      <c r="H1739" s="232"/>
      <c r="I1739" s="232"/>
      <c r="J1739" s="232"/>
      <c r="K1739" s="232"/>
      <c r="L1739" s="232"/>
      <c r="M1739" s="232"/>
      <c r="N1739" s="232"/>
      <c r="O1739" s="232"/>
      <c r="P1739" s="232"/>
      <c r="Q1739" s="232"/>
      <c r="R1739" s="232"/>
      <c r="S1739" s="232"/>
      <c r="T1739" s="232"/>
      <c r="U1739" s="232"/>
      <c r="V1739" s="15"/>
      <c r="W1739" s="15"/>
      <c r="X1739" s="15"/>
      <c r="Y1739" s="15"/>
      <c r="Z1739" s="15"/>
      <c r="AA1739" s="15"/>
    </row>
    <row r="1740" spans="1:27" s="25" customFormat="1" ht="12" customHeight="1" x14ac:dyDescent="0.2">
      <c r="A1740" s="232"/>
      <c r="B1740" s="250"/>
      <c r="C1740" s="286"/>
      <c r="D1740" s="232"/>
      <c r="E1740" s="232"/>
      <c r="F1740" s="232"/>
      <c r="G1740" s="232"/>
      <c r="H1740" s="232"/>
      <c r="I1740" s="232"/>
      <c r="J1740" s="232"/>
      <c r="K1740" s="232"/>
      <c r="L1740" s="232"/>
      <c r="M1740" s="232"/>
      <c r="N1740" s="232"/>
      <c r="O1740" s="232"/>
      <c r="P1740" s="232"/>
      <c r="Q1740" s="232"/>
      <c r="R1740" s="232"/>
      <c r="S1740" s="232"/>
      <c r="T1740" s="232"/>
      <c r="U1740" s="232"/>
      <c r="V1740" s="15"/>
      <c r="W1740" s="15"/>
      <c r="X1740" s="15"/>
      <c r="Y1740" s="15"/>
      <c r="Z1740" s="15"/>
      <c r="AA1740" s="15"/>
    </row>
    <row r="1741" spans="1:27" s="25" customFormat="1" ht="12" customHeight="1" x14ac:dyDescent="0.2">
      <c r="A1741" s="232"/>
      <c r="B1741" s="250"/>
      <c r="C1741" s="286"/>
      <c r="D1741" s="232"/>
      <c r="E1741" s="232"/>
      <c r="F1741" s="232"/>
      <c r="G1741" s="232"/>
      <c r="H1741" s="232"/>
      <c r="I1741" s="232"/>
      <c r="J1741" s="232"/>
      <c r="K1741" s="232"/>
      <c r="L1741" s="232"/>
      <c r="M1741" s="232"/>
      <c r="N1741" s="232"/>
      <c r="O1741" s="232"/>
      <c r="P1741" s="232"/>
      <c r="Q1741" s="232"/>
      <c r="R1741" s="232"/>
      <c r="S1741" s="232"/>
      <c r="T1741" s="232"/>
      <c r="U1741" s="232"/>
      <c r="V1741" s="15"/>
      <c r="W1741" s="15"/>
      <c r="X1741" s="15"/>
      <c r="Y1741" s="15"/>
      <c r="Z1741" s="15"/>
      <c r="AA1741" s="15"/>
    </row>
    <row r="1742" spans="1:27" s="25" customFormat="1" ht="12" customHeight="1" x14ac:dyDescent="0.2">
      <c r="A1742" s="232"/>
      <c r="B1742" s="250"/>
      <c r="C1742" s="286"/>
      <c r="D1742" s="232"/>
      <c r="E1742" s="232"/>
      <c r="F1742" s="232"/>
      <c r="G1742" s="232"/>
      <c r="H1742" s="232"/>
      <c r="I1742" s="232"/>
      <c r="J1742" s="232"/>
      <c r="K1742" s="232"/>
      <c r="L1742" s="232"/>
      <c r="M1742" s="232"/>
      <c r="N1742" s="232"/>
      <c r="O1742" s="232"/>
      <c r="P1742" s="232"/>
      <c r="Q1742" s="232"/>
      <c r="R1742" s="232"/>
      <c r="S1742" s="232"/>
      <c r="T1742" s="232"/>
      <c r="U1742" s="232"/>
      <c r="V1742" s="15"/>
      <c r="W1742" s="15"/>
      <c r="X1742" s="15"/>
      <c r="Y1742" s="15"/>
      <c r="Z1742" s="15"/>
      <c r="AA1742" s="15"/>
    </row>
    <row r="1743" spans="1:27" s="25" customFormat="1" ht="12" customHeight="1" x14ac:dyDescent="0.2">
      <c r="A1743" s="232"/>
      <c r="B1743" s="250"/>
      <c r="C1743" s="286"/>
      <c r="D1743" s="232"/>
      <c r="E1743" s="232"/>
      <c r="F1743" s="232"/>
      <c r="G1743" s="232"/>
      <c r="H1743" s="232"/>
      <c r="I1743" s="232"/>
      <c r="J1743" s="232"/>
      <c r="K1743" s="232"/>
      <c r="L1743" s="232"/>
      <c r="M1743" s="232"/>
      <c r="N1743" s="232"/>
      <c r="O1743" s="232"/>
      <c r="P1743" s="232"/>
      <c r="Q1743" s="232"/>
      <c r="R1743" s="232"/>
      <c r="S1743" s="232"/>
      <c r="T1743" s="232"/>
      <c r="U1743" s="232"/>
      <c r="V1743" s="15"/>
      <c r="W1743" s="15"/>
      <c r="X1743" s="15"/>
      <c r="Y1743" s="15"/>
      <c r="Z1743" s="15"/>
      <c r="AA1743" s="15"/>
    </row>
    <row r="1744" spans="1:27" s="25" customFormat="1" ht="12" customHeight="1" x14ac:dyDescent="0.2">
      <c r="A1744" s="232"/>
      <c r="B1744" s="250"/>
      <c r="C1744" s="286"/>
      <c r="D1744" s="232"/>
      <c r="E1744" s="232"/>
      <c r="F1744" s="232"/>
      <c r="G1744" s="232"/>
      <c r="H1744" s="232"/>
      <c r="I1744" s="232"/>
      <c r="J1744" s="232"/>
      <c r="K1744" s="232"/>
      <c r="L1744" s="232"/>
      <c r="M1744" s="232"/>
      <c r="N1744" s="232"/>
      <c r="O1744" s="232"/>
      <c r="P1744" s="232"/>
      <c r="Q1744" s="232"/>
      <c r="R1744" s="232"/>
      <c r="S1744" s="232"/>
      <c r="T1744" s="232"/>
      <c r="U1744" s="232"/>
      <c r="V1744" s="15"/>
      <c r="W1744" s="15"/>
      <c r="X1744" s="15"/>
      <c r="Y1744" s="15"/>
      <c r="Z1744" s="15"/>
      <c r="AA1744" s="15"/>
    </row>
    <row r="1745" spans="1:27" s="25" customFormat="1" ht="12" customHeight="1" x14ac:dyDescent="0.2">
      <c r="A1745" s="232"/>
      <c r="B1745" s="250"/>
      <c r="C1745" s="286"/>
      <c r="D1745" s="232"/>
      <c r="E1745" s="232"/>
      <c r="F1745" s="232"/>
      <c r="G1745" s="232"/>
      <c r="H1745" s="232"/>
      <c r="I1745" s="232"/>
      <c r="J1745" s="232"/>
      <c r="K1745" s="232"/>
      <c r="L1745" s="232"/>
      <c r="M1745" s="232"/>
      <c r="N1745" s="232"/>
      <c r="O1745" s="232"/>
      <c r="P1745" s="232"/>
      <c r="Q1745" s="232"/>
      <c r="R1745" s="232"/>
      <c r="S1745" s="232"/>
      <c r="T1745" s="232"/>
      <c r="U1745" s="232"/>
      <c r="V1745" s="15"/>
      <c r="W1745" s="15"/>
      <c r="X1745" s="15"/>
      <c r="Y1745" s="15"/>
      <c r="Z1745" s="15"/>
      <c r="AA1745" s="15"/>
    </row>
    <row r="1746" spans="1:27" s="25" customFormat="1" ht="12" customHeight="1" x14ac:dyDescent="0.2">
      <c r="A1746" s="232"/>
      <c r="B1746" s="250"/>
      <c r="C1746" s="286"/>
      <c r="D1746" s="232"/>
      <c r="E1746" s="232"/>
      <c r="F1746" s="232"/>
      <c r="G1746" s="232"/>
      <c r="H1746" s="232"/>
      <c r="I1746" s="232"/>
      <c r="J1746" s="232"/>
      <c r="K1746" s="232"/>
      <c r="L1746" s="232"/>
      <c r="M1746" s="232"/>
      <c r="N1746" s="232"/>
      <c r="O1746" s="232"/>
      <c r="P1746" s="232"/>
      <c r="Q1746" s="232"/>
      <c r="R1746" s="232"/>
      <c r="S1746" s="232"/>
      <c r="T1746" s="232"/>
      <c r="U1746" s="232"/>
      <c r="V1746" s="15"/>
      <c r="W1746" s="15"/>
      <c r="X1746" s="15"/>
      <c r="Y1746" s="15"/>
      <c r="Z1746" s="15"/>
      <c r="AA1746" s="15"/>
    </row>
    <row r="1747" spans="1:27" s="25" customFormat="1" ht="12" customHeight="1" x14ac:dyDescent="0.2">
      <c r="A1747" s="232"/>
      <c r="B1747" s="250"/>
      <c r="C1747" s="286"/>
      <c r="D1747" s="232"/>
      <c r="E1747" s="232"/>
      <c r="F1747" s="232"/>
      <c r="G1747" s="232"/>
      <c r="H1747" s="232"/>
      <c r="I1747" s="232"/>
      <c r="J1747" s="232"/>
      <c r="K1747" s="232"/>
      <c r="L1747" s="232"/>
      <c r="M1747" s="232"/>
      <c r="N1747" s="232"/>
      <c r="O1747" s="232"/>
      <c r="P1747" s="232"/>
      <c r="Q1747" s="232"/>
      <c r="R1747" s="232"/>
      <c r="S1747" s="232"/>
      <c r="T1747" s="232"/>
      <c r="U1747" s="232"/>
      <c r="V1747" s="15"/>
      <c r="W1747" s="15"/>
      <c r="X1747" s="15"/>
      <c r="Y1747" s="15"/>
      <c r="Z1747" s="15"/>
      <c r="AA1747" s="15"/>
    </row>
    <row r="1748" spans="1:27" s="25" customFormat="1" ht="12" customHeight="1" x14ac:dyDescent="0.2">
      <c r="A1748" s="232"/>
      <c r="B1748" s="250"/>
      <c r="C1748" s="286"/>
      <c r="D1748" s="232"/>
      <c r="E1748" s="232"/>
      <c r="F1748" s="232"/>
      <c r="G1748" s="232"/>
      <c r="H1748" s="232"/>
      <c r="I1748" s="232"/>
      <c r="J1748" s="232"/>
      <c r="K1748" s="232"/>
      <c r="L1748" s="232"/>
      <c r="M1748" s="232"/>
      <c r="N1748" s="232"/>
      <c r="O1748" s="232"/>
      <c r="P1748" s="232"/>
      <c r="Q1748" s="232"/>
      <c r="R1748" s="232"/>
      <c r="S1748" s="232"/>
      <c r="T1748" s="232"/>
      <c r="U1748" s="232"/>
      <c r="V1748" s="15"/>
      <c r="W1748" s="15"/>
      <c r="X1748" s="15"/>
      <c r="Y1748" s="15"/>
      <c r="Z1748" s="15"/>
      <c r="AA1748" s="15"/>
    </row>
    <row r="1749" spans="1:27" s="25" customFormat="1" ht="12" customHeight="1" x14ac:dyDescent="0.2">
      <c r="A1749" s="232"/>
      <c r="B1749" s="250"/>
      <c r="C1749" s="286"/>
      <c r="D1749" s="232"/>
      <c r="E1749" s="232"/>
      <c r="F1749" s="232"/>
      <c r="G1749" s="232"/>
      <c r="H1749" s="232"/>
      <c r="I1749" s="232"/>
      <c r="J1749" s="232"/>
      <c r="K1749" s="232"/>
      <c r="L1749" s="232"/>
      <c r="M1749" s="232"/>
      <c r="N1749" s="232"/>
      <c r="O1749" s="232"/>
      <c r="P1749" s="232"/>
      <c r="Q1749" s="232"/>
      <c r="R1749" s="232"/>
      <c r="S1749" s="232"/>
      <c r="T1749" s="232"/>
      <c r="U1749" s="232"/>
      <c r="V1749" s="15"/>
      <c r="W1749" s="15"/>
      <c r="X1749" s="15"/>
      <c r="Y1749" s="15"/>
      <c r="Z1749" s="15"/>
      <c r="AA1749" s="15"/>
    </row>
    <row r="1750" spans="1:27" s="25" customFormat="1" ht="12" customHeight="1" x14ac:dyDescent="0.2">
      <c r="A1750" s="232"/>
      <c r="B1750" s="250"/>
      <c r="C1750" s="286"/>
      <c r="D1750" s="232"/>
      <c r="E1750" s="232"/>
      <c r="F1750" s="232"/>
      <c r="G1750" s="232"/>
      <c r="H1750" s="232"/>
      <c r="I1750" s="232"/>
      <c r="J1750" s="232"/>
      <c r="K1750" s="232"/>
      <c r="L1750" s="232"/>
      <c r="M1750" s="232"/>
      <c r="N1750" s="232"/>
      <c r="O1750" s="232"/>
      <c r="P1750" s="232"/>
      <c r="Q1750" s="232"/>
      <c r="R1750" s="232"/>
      <c r="S1750" s="232"/>
      <c r="T1750" s="232"/>
      <c r="U1750" s="232"/>
      <c r="V1750" s="15"/>
      <c r="W1750" s="15"/>
      <c r="X1750" s="15"/>
      <c r="Y1750" s="15"/>
      <c r="Z1750" s="15"/>
      <c r="AA1750" s="15"/>
    </row>
    <row r="1751" spans="1:27" s="25" customFormat="1" ht="12" customHeight="1" x14ac:dyDescent="0.2">
      <c r="A1751" s="232"/>
      <c r="B1751" s="250"/>
      <c r="C1751" s="286"/>
      <c r="D1751" s="232"/>
      <c r="E1751" s="232"/>
      <c r="F1751" s="232"/>
      <c r="G1751" s="232"/>
      <c r="H1751" s="232"/>
      <c r="I1751" s="232"/>
      <c r="J1751" s="232"/>
      <c r="K1751" s="232"/>
      <c r="L1751" s="232"/>
      <c r="M1751" s="232"/>
      <c r="N1751" s="232"/>
      <c r="O1751" s="232"/>
      <c r="P1751" s="232"/>
      <c r="Q1751" s="232"/>
      <c r="R1751" s="232"/>
      <c r="S1751" s="232"/>
      <c r="T1751" s="232"/>
      <c r="U1751" s="232"/>
      <c r="V1751" s="15"/>
      <c r="W1751" s="15"/>
      <c r="X1751" s="15"/>
      <c r="Y1751" s="15"/>
      <c r="Z1751" s="15"/>
      <c r="AA1751" s="15"/>
    </row>
    <row r="1752" spans="1:27" s="25" customFormat="1" ht="12" customHeight="1" x14ac:dyDescent="0.2">
      <c r="A1752" s="232"/>
      <c r="B1752" s="250"/>
      <c r="C1752" s="286"/>
      <c r="D1752" s="232"/>
      <c r="E1752" s="232"/>
      <c r="F1752" s="232"/>
      <c r="G1752" s="232"/>
      <c r="H1752" s="232"/>
      <c r="I1752" s="232"/>
      <c r="J1752" s="232"/>
      <c r="K1752" s="232"/>
      <c r="L1752" s="232"/>
      <c r="M1752" s="232"/>
      <c r="N1752" s="232"/>
      <c r="O1752" s="232"/>
      <c r="P1752" s="232"/>
      <c r="Q1752" s="232"/>
      <c r="R1752" s="232"/>
      <c r="S1752" s="232"/>
      <c r="T1752" s="232"/>
      <c r="U1752" s="232"/>
      <c r="V1752" s="15"/>
      <c r="W1752" s="15"/>
      <c r="X1752" s="15"/>
      <c r="Y1752" s="15"/>
      <c r="Z1752" s="15"/>
      <c r="AA1752" s="15"/>
    </row>
    <row r="1753" spans="1:27" s="25" customFormat="1" ht="12" customHeight="1" x14ac:dyDescent="0.2">
      <c r="A1753" s="232"/>
      <c r="B1753" s="250"/>
      <c r="C1753" s="286"/>
      <c r="D1753" s="232"/>
      <c r="E1753" s="232"/>
      <c r="F1753" s="232"/>
      <c r="G1753" s="232"/>
      <c r="H1753" s="232"/>
      <c r="I1753" s="232"/>
      <c r="J1753" s="232"/>
      <c r="K1753" s="232"/>
      <c r="L1753" s="232"/>
      <c r="M1753" s="232"/>
      <c r="N1753" s="232"/>
      <c r="O1753" s="232"/>
      <c r="P1753" s="232"/>
      <c r="Q1753" s="232"/>
      <c r="R1753" s="232"/>
      <c r="S1753" s="232"/>
      <c r="T1753" s="232"/>
      <c r="U1753" s="232"/>
      <c r="V1753" s="15"/>
      <c r="W1753" s="15"/>
      <c r="X1753" s="15"/>
      <c r="Y1753" s="15"/>
      <c r="Z1753" s="15"/>
      <c r="AA1753" s="15"/>
    </row>
    <row r="1754" spans="1:27" s="25" customFormat="1" ht="12" customHeight="1" x14ac:dyDescent="0.2">
      <c r="A1754" s="232"/>
      <c r="B1754" s="250"/>
      <c r="C1754" s="286"/>
      <c r="D1754" s="232"/>
      <c r="E1754" s="232"/>
      <c r="F1754" s="232"/>
      <c r="G1754" s="232"/>
      <c r="H1754" s="232"/>
      <c r="I1754" s="232"/>
      <c r="J1754" s="232"/>
      <c r="K1754" s="232"/>
      <c r="L1754" s="232"/>
      <c r="M1754" s="232"/>
      <c r="N1754" s="232"/>
      <c r="O1754" s="232"/>
      <c r="P1754" s="232"/>
      <c r="Q1754" s="232"/>
      <c r="R1754" s="232"/>
      <c r="S1754" s="232"/>
      <c r="T1754" s="232"/>
      <c r="U1754" s="232"/>
      <c r="V1754" s="15"/>
      <c r="W1754" s="15"/>
      <c r="X1754" s="15"/>
      <c r="Y1754" s="15"/>
      <c r="Z1754" s="15"/>
      <c r="AA1754" s="15"/>
    </row>
    <row r="1755" spans="1:27" s="25" customFormat="1" ht="12" customHeight="1" x14ac:dyDescent="0.2">
      <c r="A1755" s="232"/>
      <c r="B1755" s="250"/>
      <c r="C1755" s="286"/>
      <c r="D1755" s="232"/>
      <c r="E1755" s="232"/>
      <c r="F1755" s="232"/>
      <c r="G1755" s="232"/>
      <c r="H1755" s="232"/>
      <c r="I1755" s="232"/>
      <c r="J1755" s="232"/>
      <c r="K1755" s="232"/>
      <c r="L1755" s="232"/>
      <c r="M1755" s="232"/>
      <c r="N1755" s="232"/>
      <c r="O1755" s="232"/>
      <c r="P1755" s="232"/>
      <c r="Q1755" s="232"/>
      <c r="R1755" s="232"/>
      <c r="S1755" s="232"/>
      <c r="T1755" s="232"/>
      <c r="U1755" s="232"/>
      <c r="V1755" s="15"/>
      <c r="W1755" s="15"/>
      <c r="X1755" s="15"/>
      <c r="Y1755" s="15"/>
      <c r="Z1755" s="15"/>
      <c r="AA1755" s="15"/>
    </row>
    <row r="1756" spans="1:27" s="25" customFormat="1" ht="12" customHeight="1" x14ac:dyDescent="0.2">
      <c r="A1756" s="232"/>
      <c r="B1756" s="250"/>
      <c r="C1756" s="286"/>
      <c r="D1756" s="232"/>
      <c r="E1756" s="232"/>
      <c r="F1756" s="232"/>
      <c r="G1756" s="232"/>
      <c r="H1756" s="232"/>
      <c r="I1756" s="232"/>
      <c r="J1756" s="232"/>
      <c r="K1756" s="232"/>
      <c r="L1756" s="232"/>
      <c r="M1756" s="232"/>
      <c r="N1756" s="232"/>
      <c r="O1756" s="232"/>
      <c r="P1756" s="232"/>
      <c r="Q1756" s="232"/>
      <c r="R1756" s="232"/>
      <c r="S1756" s="232"/>
      <c r="T1756" s="232"/>
      <c r="U1756" s="232"/>
      <c r="V1756" s="15"/>
      <c r="W1756" s="15"/>
      <c r="X1756" s="15"/>
      <c r="Y1756" s="15"/>
      <c r="Z1756" s="15"/>
      <c r="AA1756" s="15"/>
    </row>
    <row r="1757" spans="1:27" s="25" customFormat="1" ht="12" customHeight="1" x14ac:dyDescent="0.2">
      <c r="A1757" s="232"/>
      <c r="B1757" s="250"/>
      <c r="C1757" s="286"/>
      <c r="D1757" s="232"/>
      <c r="E1757" s="232"/>
      <c r="F1757" s="232"/>
      <c r="G1757" s="232"/>
      <c r="H1757" s="232"/>
      <c r="I1757" s="232"/>
      <c r="J1757" s="232"/>
      <c r="K1757" s="232"/>
      <c r="L1757" s="232"/>
      <c r="M1757" s="232"/>
      <c r="N1757" s="232"/>
      <c r="O1757" s="232"/>
      <c r="P1757" s="232"/>
      <c r="Q1757" s="232"/>
      <c r="R1757" s="232"/>
      <c r="S1757" s="232"/>
      <c r="T1757" s="232"/>
      <c r="U1757" s="232"/>
      <c r="V1757" s="15"/>
      <c r="W1757" s="15"/>
      <c r="X1757" s="15"/>
      <c r="Y1757" s="15"/>
      <c r="Z1757" s="15"/>
      <c r="AA1757" s="15"/>
    </row>
    <row r="1758" spans="1:27" s="25" customFormat="1" ht="12" customHeight="1" x14ac:dyDescent="0.2">
      <c r="A1758" s="232"/>
      <c r="B1758" s="250"/>
      <c r="C1758" s="286"/>
      <c r="D1758" s="232"/>
      <c r="E1758" s="232"/>
      <c r="F1758" s="232"/>
      <c r="G1758" s="232"/>
      <c r="H1758" s="232"/>
      <c r="I1758" s="232"/>
      <c r="J1758" s="232"/>
      <c r="K1758" s="232"/>
      <c r="L1758" s="232"/>
      <c r="M1758" s="232"/>
      <c r="N1758" s="232"/>
      <c r="O1758" s="232"/>
      <c r="P1758" s="232"/>
      <c r="Q1758" s="232"/>
      <c r="R1758" s="232"/>
      <c r="S1758" s="232"/>
      <c r="T1758" s="232"/>
      <c r="U1758" s="232"/>
      <c r="V1758" s="15"/>
      <c r="W1758" s="15"/>
      <c r="X1758" s="15"/>
      <c r="Y1758" s="15"/>
      <c r="Z1758" s="15"/>
      <c r="AA1758" s="15"/>
    </row>
    <row r="1759" spans="1:27" s="25" customFormat="1" ht="12" customHeight="1" x14ac:dyDescent="0.2">
      <c r="A1759" s="232"/>
      <c r="B1759" s="250"/>
      <c r="C1759" s="286"/>
      <c r="D1759" s="232"/>
      <c r="E1759" s="232"/>
      <c r="F1759" s="232"/>
      <c r="G1759" s="232"/>
      <c r="H1759" s="232"/>
      <c r="I1759" s="232"/>
      <c r="J1759" s="232"/>
      <c r="K1759" s="232"/>
      <c r="L1759" s="232"/>
      <c r="M1759" s="232"/>
      <c r="N1759" s="232"/>
      <c r="O1759" s="232"/>
      <c r="P1759" s="232"/>
      <c r="Q1759" s="232"/>
      <c r="R1759" s="232"/>
      <c r="S1759" s="232"/>
      <c r="T1759" s="232"/>
      <c r="U1759" s="232"/>
      <c r="V1759" s="15"/>
      <c r="W1759" s="15"/>
      <c r="X1759" s="15"/>
      <c r="Y1759" s="15"/>
      <c r="Z1759" s="15"/>
      <c r="AA1759" s="15"/>
    </row>
    <row r="1760" spans="1:27" s="25" customFormat="1" ht="12" customHeight="1" x14ac:dyDescent="0.2">
      <c r="A1760" s="232"/>
      <c r="B1760" s="250"/>
      <c r="C1760" s="286"/>
      <c r="D1760" s="232"/>
      <c r="E1760" s="232"/>
      <c r="F1760" s="232"/>
      <c r="G1760" s="232"/>
      <c r="H1760" s="232"/>
      <c r="I1760" s="232"/>
      <c r="J1760" s="232"/>
      <c r="K1760" s="232"/>
      <c r="L1760" s="232"/>
      <c r="M1760" s="232"/>
      <c r="N1760" s="232"/>
      <c r="O1760" s="232"/>
      <c r="P1760" s="232"/>
      <c r="Q1760" s="232"/>
      <c r="R1760" s="232"/>
      <c r="S1760" s="232"/>
      <c r="T1760" s="232"/>
      <c r="U1760" s="232"/>
      <c r="V1760" s="15"/>
      <c r="W1760" s="15"/>
      <c r="X1760" s="15"/>
      <c r="Y1760" s="15"/>
      <c r="Z1760" s="15"/>
      <c r="AA1760" s="15"/>
    </row>
    <row r="1761" spans="1:27" s="25" customFormat="1" ht="12" customHeight="1" x14ac:dyDescent="0.2">
      <c r="A1761" s="232"/>
      <c r="B1761" s="250"/>
      <c r="C1761" s="286"/>
      <c r="D1761" s="232"/>
      <c r="E1761" s="232"/>
      <c r="F1761" s="232"/>
      <c r="G1761" s="232"/>
      <c r="H1761" s="232"/>
      <c r="I1761" s="232"/>
      <c r="J1761" s="232"/>
      <c r="K1761" s="232"/>
      <c r="L1761" s="232"/>
      <c r="M1761" s="232"/>
      <c r="N1761" s="232"/>
      <c r="O1761" s="232"/>
      <c r="P1761" s="232"/>
      <c r="Q1761" s="232"/>
      <c r="R1761" s="232"/>
      <c r="S1761" s="232"/>
      <c r="T1761" s="232"/>
      <c r="U1761" s="232"/>
      <c r="V1761" s="15"/>
      <c r="W1761" s="15"/>
      <c r="X1761" s="15"/>
      <c r="Y1761" s="15"/>
      <c r="Z1761" s="15"/>
      <c r="AA1761" s="15"/>
    </row>
    <row r="1762" spans="1:27" s="25" customFormat="1" ht="12" customHeight="1" x14ac:dyDescent="0.2">
      <c r="A1762" s="232"/>
      <c r="B1762" s="250"/>
      <c r="C1762" s="286"/>
      <c r="D1762" s="232"/>
      <c r="E1762" s="232"/>
      <c r="F1762" s="232"/>
      <c r="G1762" s="232"/>
      <c r="H1762" s="232"/>
      <c r="I1762" s="232"/>
      <c r="J1762" s="232"/>
      <c r="K1762" s="232"/>
      <c r="L1762" s="232"/>
      <c r="M1762" s="232"/>
      <c r="N1762" s="232"/>
      <c r="O1762" s="232"/>
      <c r="P1762" s="232"/>
      <c r="Q1762" s="232"/>
      <c r="R1762" s="232"/>
      <c r="S1762" s="232"/>
      <c r="T1762" s="232"/>
      <c r="U1762" s="232"/>
      <c r="V1762" s="15"/>
      <c r="W1762" s="15"/>
      <c r="X1762" s="15"/>
      <c r="Y1762" s="15"/>
      <c r="Z1762" s="15"/>
      <c r="AA1762" s="15"/>
    </row>
    <row r="1763" spans="1:27" s="25" customFormat="1" ht="12" customHeight="1" x14ac:dyDescent="0.2">
      <c r="A1763" s="232"/>
      <c r="B1763" s="250"/>
      <c r="C1763" s="286"/>
      <c r="D1763" s="232"/>
      <c r="E1763" s="232"/>
      <c r="F1763" s="232"/>
      <c r="G1763" s="232"/>
      <c r="H1763" s="232"/>
      <c r="I1763" s="232"/>
      <c r="J1763" s="232"/>
      <c r="K1763" s="232"/>
      <c r="L1763" s="232"/>
      <c r="M1763" s="232"/>
      <c r="N1763" s="232"/>
      <c r="O1763" s="232"/>
      <c r="P1763" s="232"/>
      <c r="Q1763" s="232"/>
      <c r="R1763" s="232"/>
      <c r="S1763" s="232"/>
      <c r="T1763" s="232"/>
      <c r="U1763" s="232"/>
      <c r="V1763" s="15"/>
      <c r="W1763" s="15"/>
      <c r="X1763" s="15"/>
      <c r="Y1763" s="15"/>
      <c r="Z1763" s="15"/>
      <c r="AA1763" s="15"/>
    </row>
    <row r="1764" spans="1:27" s="25" customFormat="1" ht="12" customHeight="1" x14ac:dyDescent="0.2">
      <c r="A1764" s="232"/>
      <c r="B1764" s="250"/>
      <c r="C1764" s="286"/>
      <c r="D1764" s="232"/>
      <c r="E1764" s="232"/>
      <c r="F1764" s="232"/>
      <c r="G1764" s="232"/>
      <c r="H1764" s="232"/>
      <c r="I1764" s="232"/>
      <c r="J1764" s="232"/>
      <c r="K1764" s="232"/>
      <c r="L1764" s="232"/>
      <c r="M1764" s="232"/>
      <c r="N1764" s="232"/>
      <c r="O1764" s="232"/>
      <c r="P1764" s="232"/>
      <c r="Q1764" s="232"/>
      <c r="R1764" s="232"/>
      <c r="S1764" s="232"/>
      <c r="T1764" s="232"/>
      <c r="U1764" s="232"/>
      <c r="V1764" s="15"/>
      <c r="W1764" s="15"/>
      <c r="X1764" s="15"/>
      <c r="Y1764" s="15"/>
      <c r="Z1764" s="15"/>
      <c r="AA1764" s="15"/>
    </row>
    <row r="1765" spans="1:27" s="25" customFormat="1" ht="12" customHeight="1" x14ac:dyDescent="0.2">
      <c r="A1765" s="232"/>
      <c r="B1765" s="250"/>
      <c r="C1765" s="286"/>
      <c r="D1765" s="232"/>
      <c r="E1765" s="232"/>
      <c r="F1765" s="232"/>
      <c r="G1765" s="232"/>
      <c r="H1765" s="232"/>
      <c r="I1765" s="232"/>
      <c r="J1765" s="232"/>
      <c r="K1765" s="232"/>
      <c r="L1765" s="232"/>
      <c r="M1765" s="232"/>
      <c r="N1765" s="232"/>
      <c r="O1765" s="232"/>
      <c r="P1765" s="232"/>
      <c r="Q1765" s="232"/>
      <c r="R1765" s="232"/>
      <c r="S1765" s="232"/>
      <c r="T1765" s="232"/>
      <c r="U1765" s="232"/>
      <c r="V1765" s="15"/>
      <c r="W1765" s="15"/>
      <c r="X1765" s="15"/>
      <c r="Y1765" s="15"/>
      <c r="Z1765" s="15"/>
      <c r="AA1765" s="15"/>
    </row>
    <row r="1766" spans="1:27" s="25" customFormat="1" ht="12" customHeight="1" x14ac:dyDescent="0.2">
      <c r="A1766" s="232"/>
      <c r="B1766" s="250"/>
      <c r="C1766" s="286"/>
      <c r="D1766" s="232"/>
      <c r="E1766" s="232"/>
      <c r="F1766" s="232"/>
      <c r="G1766" s="232"/>
      <c r="H1766" s="232"/>
      <c r="I1766" s="232"/>
      <c r="J1766" s="232"/>
      <c r="K1766" s="232"/>
      <c r="L1766" s="232"/>
      <c r="M1766" s="232"/>
      <c r="N1766" s="232"/>
      <c r="O1766" s="232"/>
      <c r="P1766" s="232"/>
      <c r="Q1766" s="232"/>
      <c r="R1766" s="232"/>
      <c r="S1766" s="232"/>
      <c r="T1766" s="232"/>
      <c r="U1766" s="232"/>
      <c r="V1766" s="15"/>
      <c r="W1766" s="15"/>
      <c r="X1766" s="15"/>
      <c r="Y1766" s="15"/>
      <c r="Z1766" s="15"/>
      <c r="AA1766" s="15"/>
    </row>
    <row r="1767" spans="1:27" s="25" customFormat="1" ht="12" customHeight="1" x14ac:dyDescent="0.2">
      <c r="A1767" s="232"/>
      <c r="B1767" s="250"/>
      <c r="C1767" s="286"/>
      <c r="D1767" s="232"/>
      <c r="E1767" s="232"/>
      <c r="F1767" s="232"/>
      <c r="G1767" s="232"/>
      <c r="H1767" s="232"/>
      <c r="I1767" s="232"/>
      <c r="J1767" s="232"/>
      <c r="K1767" s="232"/>
      <c r="L1767" s="232"/>
      <c r="M1767" s="232"/>
      <c r="N1767" s="232"/>
      <c r="O1767" s="232"/>
      <c r="P1767" s="232"/>
      <c r="Q1767" s="232"/>
      <c r="R1767" s="232"/>
      <c r="S1767" s="232"/>
      <c r="T1767" s="232"/>
      <c r="U1767" s="232"/>
      <c r="V1767" s="15"/>
      <c r="W1767" s="15"/>
      <c r="X1767" s="15"/>
      <c r="Y1767" s="15"/>
      <c r="Z1767" s="15"/>
      <c r="AA1767" s="15"/>
    </row>
    <row r="1768" spans="1:27" s="25" customFormat="1" ht="12" customHeight="1" x14ac:dyDescent="0.2">
      <c r="A1768" s="232"/>
      <c r="B1768" s="250"/>
      <c r="C1768" s="286"/>
      <c r="D1768" s="232"/>
      <c r="E1768" s="232"/>
      <c r="F1768" s="232"/>
      <c r="G1768" s="232"/>
      <c r="H1768" s="232"/>
      <c r="I1768" s="232"/>
      <c r="J1768" s="232"/>
      <c r="K1768" s="232"/>
      <c r="L1768" s="232"/>
      <c r="M1768" s="232"/>
      <c r="N1768" s="232"/>
      <c r="O1768" s="232"/>
      <c r="P1768" s="232"/>
      <c r="Q1768" s="232"/>
      <c r="R1768" s="232"/>
      <c r="S1768" s="232"/>
      <c r="T1768" s="232"/>
      <c r="U1768" s="232"/>
      <c r="V1768" s="15"/>
      <c r="W1768" s="15"/>
      <c r="X1768" s="15"/>
      <c r="Y1768" s="15"/>
      <c r="Z1768" s="15"/>
      <c r="AA1768" s="15"/>
    </row>
    <row r="1769" spans="1:27" s="25" customFormat="1" ht="12" customHeight="1" x14ac:dyDescent="0.2">
      <c r="A1769" s="232"/>
      <c r="B1769" s="250"/>
      <c r="C1769" s="286"/>
      <c r="D1769" s="232"/>
      <c r="E1769" s="232"/>
      <c r="F1769" s="232"/>
      <c r="G1769" s="232"/>
      <c r="H1769" s="232"/>
      <c r="I1769" s="232"/>
      <c r="J1769" s="232"/>
      <c r="K1769" s="232"/>
      <c r="L1769" s="232"/>
      <c r="M1769" s="232"/>
      <c r="N1769" s="232"/>
      <c r="O1769" s="232"/>
      <c r="P1769" s="232"/>
      <c r="Q1769" s="232"/>
      <c r="R1769" s="232"/>
      <c r="S1769" s="232"/>
      <c r="T1769" s="232"/>
      <c r="U1769" s="232"/>
      <c r="V1769" s="15"/>
      <c r="W1769" s="15"/>
      <c r="X1769" s="15"/>
      <c r="Y1769" s="15"/>
      <c r="Z1769" s="15"/>
      <c r="AA1769" s="15"/>
    </row>
    <row r="1770" spans="1:27" s="25" customFormat="1" ht="12" customHeight="1" x14ac:dyDescent="0.2">
      <c r="A1770" s="232"/>
      <c r="B1770" s="250"/>
      <c r="C1770" s="286"/>
      <c r="D1770" s="232"/>
      <c r="E1770" s="232"/>
      <c r="F1770" s="232"/>
      <c r="G1770" s="232"/>
      <c r="H1770" s="232"/>
      <c r="I1770" s="232"/>
      <c r="J1770" s="232"/>
      <c r="K1770" s="232"/>
      <c r="L1770" s="232"/>
      <c r="M1770" s="232"/>
      <c r="N1770" s="232"/>
      <c r="O1770" s="232"/>
      <c r="P1770" s="232"/>
      <c r="Q1770" s="232"/>
      <c r="R1770" s="232"/>
      <c r="S1770" s="232"/>
      <c r="T1770" s="232"/>
      <c r="U1770" s="232"/>
      <c r="V1770" s="15"/>
      <c r="W1770" s="15"/>
      <c r="X1770" s="15"/>
      <c r="Y1770" s="15"/>
      <c r="Z1770" s="15"/>
      <c r="AA1770" s="15"/>
    </row>
    <row r="1771" spans="1:27" s="25" customFormat="1" ht="12" customHeight="1" x14ac:dyDescent="0.2">
      <c r="A1771" s="232"/>
      <c r="B1771" s="250"/>
      <c r="C1771" s="286"/>
      <c r="D1771" s="232"/>
      <c r="E1771" s="232"/>
      <c r="F1771" s="232"/>
      <c r="G1771" s="232"/>
      <c r="H1771" s="232"/>
      <c r="I1771" s="232"/>
      <c r="J1771" s="232"/>
      <c r="K1771" s="232"/>
      <c r="L1771" s="232"/>
      <c r="M1771" s="232"/>
      <c r="N1771" s="232"/>
      <c r="O1771" s="232"/>
      <c r="P1771" s="232"/>
      <c r="Q1771" s="232"/>
      <c r="R1771" s="232"/>
      <c r="S1771" s="232"/>
      <c r="T1771" s="232"/>
      <c r="U1771" s="232"/>
      <c r="V1771" s="15"/>
      <c r="W1771" s="15"/>
      <c r="X1771" s="15"/>
      <c r="Y1771" s="15"/>
      <c r="Z1771" s="15"/>
      <c r="AA1771" s="15"/>
    </row>
    <row r="1772" spans="1:27" s="25" customFormat="1" ht="12" customHeight="1" x14ac:dyDescent="0.2">
      <c r="A1772" s="232"/>
      <c r="B1772" s="250"/>
      <c r="C1772" s="286"/>
      <c r="D1772" s="232"/>
      <c r="E1772" s="232"/>
      <c r="F1772" s="232"/>
      <c r="G1772" s="232"/>
      <c r="H1772" s="232"/>
      <c r="I1772" s="232"/>
      <c r="J1772" s="232"/>
      <c r="K1772" s="232"/>
      <c r="L1772" s="232"/>
      <c r="M1772" s="232"/>
      <c r="N1772" s="232"/>
      <c r="O1772" s="232"/>
      <c r="P1772" s="232"/>
      <c r="Q1772" s="232"/>
      <c r="R1772" s="232"/>
      <c r="S1772" s="232"/>
      <c r="T1772" s="232"/>
      <c r="U1772" s="232"/>
      <c r="V1772" s="15"/>
      <c r="W1772" s="15"/>
      <c r="X1772" s="15"/>
      <c r="Y1772" s="15"/>
      <c r="Z1772" s="15"/>
      <c r="AA1772" s="15"/>
    </row>
    <row r="1773" spans="1:27" s="25" customFormat="1" ht="12" customHeight="1" x14ac:dyDescent="0.2">
      <c r="A1773" s="232"/>
      <c r="B1773" s="250"/>
      <c r="C1773" s="286"/>
      <c r="D1773" s="232"/>
      <c r="E1773" s="232"/>
      <c r="F1773" s="232"/>
      <c r="G1773" s="232"/>
      <c r="H1773" s="232"/>
      <c r="I1773" s="232"/>
      <c r="J1773" s="232"/>
      <c r="K1773" s="232"/>
      <c r="L1773" s="232"/>
      <c r="M1773" s="232"/>
      <c r="N1773" s="232"/>
      <c r="O1773" s="232"/>
      <c r="P1773" s="232"/>
      <c r="Q1773" s="232"/>
      <c r="R1773" s="232"/>
      <c r="S1773" s="232"/>
      <c r="T1773" s="232"/>
      <c r="U1773" s="232"/>
      <c r="V1773" s="15"/>
      <c r="W1773" s="15"/>
      <c r="X1773" s="15"/>
      <c r="Y1773" s="15"/>
      <c r="Z1773" s="15"/>
      <c r="AA1773" s="15"/>
    </row>
    <row r="1774" spans="1:27" s="25" customFormat="1" ht="12" customHeight="1" x14ac:dyDescent="0.2">
      <c r="A1774" s="232"/>
      <c r="B1774" s="250"/>
      <c r="C1774" s="286"/>
      <c r="D1774" s="232"/>
      <c r="E1774" s="232"/>
      <c r="F1774" s="232"/>
      <c r="G1774" s="232"/>
      <c r="H1774" s="232"/>
      <c r="I1774" s="232"/>
      <c r="J1774" s="232"/>
      <c r="K1774" s="232"/>
      <c r="L1774" s="232"/>
      <c r="M1774" s="232"/>
      <c r="N1774" s="232"/>
      <c r="O1774" s="232"/>
      <c r="P1774" s="232"/>
      <c r="Q1774" s="232"/>
      <c r="R1774" s="232"/>
      <c r="S1774" s="232"/>
      <c r="T1774" s="232"/>
      <c r="U1774" s="232"/>
      <c r="V1774" s="15"/>
      <c r="W1774" s="15"/>
      <c r="X1774" s="15"/>
      <c r="Y1774" s="15"/>
      <c r="Z1774" s="15"/>
      <c r="AA1774" s="15"/>
    </row>
    <row r="1775" spans="1:27" s="25" customFormat="1" ht="12" customHeight="1" x14ac:dyDescent="0.2">
      <c r="A1775" s="232"/>
      <c r="B1775" s="250"/>
      <c r="C1775" s="286"/>
      <c r="D1775" s="232"/>
      <c r="E1775" s="232"/>
      <c r="F1775" s="232"/>
      <c r="G1775" s="232"/>
      <c r="H1775" s="232"/>
      <c r="I1775" s="232"/>
      <c r="J1775" s="232"/>
      <c r="K1775" s="232"/>
      <c r="L1775" s="232"/>
      <c r="M1775" s="232"/>
      <c r="N1775" s="232"/>
      <c r="O1775" s="232"/>
      <c r="P1775" s="232"/>
      <c r="Q1775" s="232"/>
      <c r="R1775" s="232"/>
      <c r="S1775" s="232"/>
      <c r="T1775" s="232"/>
      <c r="U1775" s="232"/>
      <c r="V1775" s="15"/>
      <c r="W1775" s="15"/>
      <c r="X1775" s="15"/>
      <c r="Y1775" s="15"/>
      <c r="Z1775" s="15"/>
      <c r="AA1775" s="15"/>
    </row>
    <row r="1776" spans="1:27" s="25" customFormat="1" ht="12" customHeight="1" x14ac:dyDescent="0.2">
      <c r="A1776" s="232"/>
      <c r="B1776" s="250"/>
      <c r="C1776" s="286"/>
      <c r="D1776" s="232"/>
      <c r="E1776" s="232"/>
      <c r="F1776" s="232"/>
      <c r="G1776" s="232"/>
      <c r="H1776" s="232"/>
      <c r="I1776" s="232"/>
      <c r="J1776" s="232"/>
      <c r="K1776" s="232"/>
      <c r="L1776" s="232"/>
      <c r="M1776" s="232"/>
      <c r="N1776" s="232"/>
      <c r="O1776" s="232"/>
      <c r="P1776" s="232"/>
      <c r="Q1776" s="232"/>
      <c r="R1776" s="232"/>
      <c r="S1776" s="232"/>
      <c r="T1776" s="232"/>
      <c r="U1776" s="232"/>
      <c r="V1776" s="15"/>
      <c r="W1776" s="15"/>
      <c r="X1776" s="15"/>
      <c r="Y1776" s="15"/>
      <c r="Z1776" s="15"/>
      <c r="AA1776" s="15"/>
    </row>
    <row r="1777" spans="1:27" s="25" customFormat="1" ht="12" customHeight="1" x14ac:dyDescent="0.2">
      <c r="A1777" s="232"/>
      <c r="B1777" s="250"/>
      <c r="C1777" s="286"/>
      <c r="D1777" s="232"/>
      <c r="E1777" s="232"/>
      <c r="F1777" s="232"/>
      <c r="G1777" s="232"/>
      <c r="H1777" s="232"/>
      <c r="I1777" s="232"/>
      <c r="J1777" s="232"/>
      <c r="K1777" s="232"/>
      <c r="L1777" s="232"/>
      <c r="M1777" s="232"/>
      <c r="N1777" s="232"/>
      <c r="O1777" s="232"/>
      <c r="P1777" s="232"/>
      <c r="Q1777" s="232"/>
      <c r="R1777" s="232"/>
      <c r="S1777" s="232"/>
      <c r="T1777" s="232"/>
      <c r="U1777" s="232"/>
      <c r="V1777" s="15"/>
      <c r="W1777" s="15"/>
      <c r="X1777" s="15"/>
      <c r="Y1777" s="15"/>
      <c r="Z1777" s="15"/>
      <c r="AA1777" s="15"/>
    </row>
    <row r="1778" spans="1:27" s="25" customFormat="1" ht="12" customHeight="1" x14ac:dyDescent="0.2">
      <c r="A1778" s="232"/>
      <c r="B1778" s="250"/>
      <c r="C1778" s="286"/>
      <c r="D1778" s="232"/>
      <c r="E1778" s="232"/>
      <c r="F1778" s="232"/>
      <c r="G1778" s="232"/>
      <c r="H1778" s="232"/>
      <c r="I1778" s="232"/>
      <c r="J1778" s="232"/>
      <c r="K1778" s="232"/>
      <c r="L1778" s="232"/>
      <c r="M1778" s="232"/>
      <c r="N1778" s="232"/>
      <c r="O1778" s="232"/>
      <c r="P1778" s="232"/>
      <c r="Q1778" s="232"/>
      <c r="R1778" s="232"/>
      <c r="S1778" s="232"/>
      <c r="T1778" s="232"/>
      <c r="U1778" s="232"/>
      <c r="V1778" s="15"/>
      <c r="W1778" s="15"/>
      <c r="X1778" s="15"/>
      <c r="Y1778" s="15"/>
      <c r="Z1778" s="15"/>
      <c r="AA1778" s="15"/>
    </row>
    <row r="1779" spans="1:27" s="25" customFormat="1" ht="12" customHeight="1" x14ac:dyDescent="0.2">
      <c r="A1779" s="232"/>
      <c r="B1779" s="250"/>
      <c r="C1779" s="286"/>
      <c r="D1779" s="232"/>
      <c r="E1779" s="232"/>
      <c r="F1779" s="232"/>
      <c r="G1779" s="232"/>
      <c r="H1779" s="232"/>
      <c r="I1779" s="232"/>
      <c r="J1779" s="232"/>
      <c r="K1779" s="232"/>
      <c r="L1779" s="232"/>
      <c r="M1779" s="232"/>
      <c r="N1779" s="232"/>
      <c r="O1779" s="232"/>
      <c r="P1779" s="232"/>
      <c r="Q1779" s="232"/>
      <c r="R1779" s="232"/>
      <c r="S1779" s="232"/>
      <c r="T1779" s="232"/>
      <c r="U1779" s="232"/>
      <c r="V1779" s="15"/>
      <c r="W1779" s="15"/>
      <c r="X1779" s="15"/>
      <c r="Y1779" s="15"/>
      <c r="Z1779" s="15"/>
      <c r="AA1779" s="15"/>
    </row>
    <row r="1780" spans="1:27" s="25" customFormat="1" ht="12" customHeight="1" x14ac:dyDescent="0.2">
      <c r="A1780" s="232"/>
      <c r="B1780" s="250"/>
      <c r="C1780" s="286"/>
      <c r="D1780" s="232"/>
      <c r="E1780" s="232"/>
      <c r="F1780" s="232"/>
      <c r="G1780" s="232"/>
      <c r="H1780" s="232"/>
      <c r="I1780" s="232"/>
      <c r="J1780" s="232"/>
      <c r="K1780" s="232"/>
      <c r="L1780" s="232"/>
      <c r="M1780" s="232"/>
      <c r="N1780" s="232"/>
      <c r="O1780" s="232"/>
      <c r="P1780" s="232"/>
      <c r="Q1780" s="232"/>
      <c r="R1780" s="232"/>
      <c r="S1780" s="232"/>
      <c r="T1780" s="232"/>
      <c r="U1780" s="232"/>
      <c r="V1780" s="15"/>
      <c r="W1780" s="15"/>
      <c r="X1780" s="15"/>
      <c r="Y1780" s="15"/>
      <c r="Z1780" s="15"/>
      <c r="AA1780" s="15"/>
    </row>
    <row r="1781" spans="1:27" s="25" customFormat="1" ht="12" customHeight="1" x14ac:dyDescent="0.2">
      <c r="A1781" s="232"/>
      <c r="B1781" s="250"/>
      <c r="C1781" s="286"/>
      <c r="D1781" s="232"/>
      <c r="E1781" s="232"/>
      <c r="F1781" s="232"/>
      <c r="G1781" s="232"/>
      <c r="H1781" s="232"/>
      <c r="I1781" s="232"/>
      <c r="J1781" s="232"/>
      <c r="K1781" s="232"/>
      <c r="L1781" s="232"/>
      <c r="M1781" s="232"/>
      <c r="N1781" s="232"/>
      <c r="O1781" s="232"/>
      <c r="P1781" s="232"/>
      <c r="Q1781" s="232"/>
      <c r="R1781" s="232"/>
      <c r="S1781" s="232"/>
      <c r="T1781" s="232"/>
      <c r="U1781" s="232"/>
      <c r="V1781" s="15"/>
      <c r="W1781" s="15"/>
      <c r="X1781" s="15"/>
      <c r="Y1781" s="15"/>
      <c r="Z1781" s="15"/>
      <c r="AA1781" s="15"/>
    </row>
    <row r="1782" spans="1:27" s="25" customFormat="1" ht="12" customHeight="1" x14ac:dyDescent="0.2">
      <c r="A1782" s="232"/>
      <c r="B1782" s="250"/>
      <c r="C1782" s="286"/>
      <c r="D1782" s="232"/>
      <c r="E1782" s="232"/>
      <c r="F1782" s="232"/>
      <c r="G1782" s="232"/>
      <c r="H1782" s="232"/>
      <c r="I1782" s="232"/>
      <c r="J1782" s="232"/>
      <c r="K1782" s="232"/>
      <c r="L1782" s="232"/>
      <c r="M1782" s="232"/>
      <c r="N1782" s="232"/>
      <c r="O1782" s="232"/>
      <c r="P1782" s="232"/>
      <c r="Q1782" s="232"/>
      <c r="R1782" s="232"/>
      <c r="S1782" s="232"/>
      <c r="T1782" s="232"/>
      <c r="U1782" s="232"/>
      <c r="V1782" s="15"/>
      <c r="W1782" s="15"/>
      <c r="X1782" s="15"/>
      <c r="Y1782" s="15"/>
      <c r="Z1782" s="15"/>
      <c r="AA1782" s="15"/>
    </row>
    <row r="1783" spans="1:27" s="25" customFormat="1" ht="12" customHeight="1" x14ac:dyDescent="0.2">
      <c r="A1783" s="232"/>
      <c r="B1783" s="250"/>
      <c r="C1783" s="286"/>
      <c r="D1783" s="232"/>
      <c r="E1783" s="232"/>
      <c r="F1783" s="232"/>
      <c r="G1783" s="232"/>
      <c r="H1783" s="232"/>
      <c r="I1783" s="232"/>
      <c r="J1783" s="232"/>
      <c r="K1783" s="232"/>
      <c r="L1783" s="232"/>
      <c r="M1783" s="232"/>
      <c r="N1783" s="232"/>
      <c r="O1783" s="232"/>
      <c r="P1783" s="232"/>
      <c r="Q1783" s="232"/>
      <c r="R1783" s="232"/>
      <c r="S1783" s="232"/>
      <c r="T1783" s="232"/>
      <c r="U1783" s="232"/>
      <c r="V1783" s="15"/>
      <c r="W1783" s="15"/>
      <c r="X1783" s="15"/>
      <c r="Y1783" s="15"/>
      <c r="Z1783" s="15"/>
      <c r="AA1783" s="15"/>
    </row>
    <row r="1784" spans="1:27" s="25" customFormat="1" ht="12" customHeight="1" x14ac:dyDescent="0.2">
      <c r="A1784" s="232"/>
      <c r="B1784" s="250"/>
      <c r="C1784" s="286"/>
      <c r="D1784" s="232"/>
      <c r="E1784" s="232"/>
      <c r="F1784" s="232"/>
      <c r="G1784" s="232"/>
      <c r="H1784" s="232"/>
      <c r="I1784" s="232"/>
      <c r="J1784" s="232"/>
      <c r="K1784" s="232"/>
      <c r="L1784" s="232"/>
      <c r="M1784" s="232"/>
      <c r="N1784" s="232"/>
      <c r="O1784" s="232"/>
      <c r="P1784" s="232"/>
      <c r="Q1784" s="232"/>
      <c r="R1784" s="232"/>
      <c r="S1784" s="232"/>
      <c r="T1784" s="232"/>
      <c r="U1784" s="232"/>
      <c r="V1784" s="15"/>
      <c r="W1784" s="15"/>
      <c r="X1784" s="15"/>
      <c r="Y1784" s="15"/>
      <c r="Z1784" s="15"/>
      <c r="AA1784" s="15"/>
    </row>
    <row r="1785" spans="1:27" s="25" customFormat="1" ht="12" customHeight="1" x14ac:dyDescent="0.2">
      <c r="A1785" s="232"/>
      <c r="B1785" s="250"/>
      <c r="C1785" s="286"/>
      <c r="D1785" s="232"/>
      <c r="E1785" s="232"/>
      <c r="F1785" s="232"/>
      <c r="G1785" s="232"/>
      <c r="H1785" s="232"/>
      <c r="I1785" s="232"/>
      <c r="J1785" s="232"/>
      <c r="K1785" s="232"/>
      <c r="L1785" s="232"/>
      <c r="M1785" s="232"/>
      <c r="N1785" s="232"/>
      <c r="O1785" s="232"/>
      <c r="P1785" s="232"/>
      <c r="Q1785" s="232"/>
      <c r="R1785" s="232"/>
      <c r="S1785" s="232"/>
      <c r="T1785" s="232"/>
      <c r="U1785" s="232"/>
      <c r="V1785" s="15"/>
      <c r="W1785" s="15"/>
      <c r="X1785" s="15"/>
      <c r="Y1785" s="15"/>
      <c r="Z1785" s="15"/>
      <c r="AA1785" s="15"/>
    </row>
    <row r="1786" spans="1:27" s="25" customFormat="1" ht="12" customHeight="1" x14ac:dyDescent="0.2">
      <c r="A1786" s="232"/>
      <c r="B1786" s="250"/>
      <c r="C1786" s="286"/>
      <c r="D1786" s="232"/>
      <c r="E1786" s="232"/>
      <c r="F1786" s="232"/>
      <c r="G1786" s="232"/>
      <c r="H1786" s="232"/>
      <c r="I1786" s="232"/>
      <c r="J1786" s="232"/>
      <c r="K1786" s="232"/>
      <c r="L1786" s="232"/>
      <c r="M1786" s="232"/>
      <c r="N1786" s="232"/>
      <c r="O1786" s="232"/>
      <c r="P1786" s="232"/>
      <c r="Q1786" s="232"/>
      <c r="R1786" s="232"/>
      <c r="S1786" s="232"/>
      <c r="T1786" s="232"/>
      <c r="U1786" s="232"/>
      <c r="V1786" s="15"/>
      <c r="W1786" s="15"/>
      <c r="X1786" s="15"/>
      <c r="Y1786" s="15"/>
      <c r="Z1786" s="15"/>
      <c r="AA1786" s="15"/>
    </row>
    <row r="1787" spans="1:27" s="25" customFormat="1" ht="12" customHeight="1" x14ac:dyDescent="0.2">
      <c r="A1787" s="232"/>
      <c r="B1787" s="250"/>
      <c r="C1787" s="286"/>
      <c r="D1787" s="232"/>
      <c r="E1787" s="232"/>
      <c r="F1787" s="232"/>
      <c r="G1787" s="232"/>
      <c r="H1787" s="232"/>
      <c r="I1787" s="232"/>
      <c r="J1787" s="232"/>
      <c r="K1787" s="232"/>
      <c r="L1787" s="232"/>
      <c r="M1787" s="232"/>
      <c r="N1787" s="232"/>
      <c r="O1787" s="232"/>
      <c r="P1787" s="232"/>
      <c r="Q1787" s="232"/>
      <c r="R1787" s="232"/>
      <c r="S1787" s="232"/>
      <c r="T1787" s="232"/>
      <c r="U1787" s="232"/>
      <c r="V1787" s="15"/>
      <c r="W1787" s="15"/>
      <c r="X1787" s="15"/>
      <c r="Y1787" s="15"/>
      <c r="Z1787" s="15"/>
      <c r="AA1787" s="15"/>
    </row>
    <row r="1788" spans="1:27" s="25" customFormat="1" ht="12" customHeight="1" x14ac:dyDescent="0.2">
      <c r="A1788" s="232"/>
      <c r="B1788" s="250"/>
      <c r="C1788" s="286"/>
      <c r="D1788" s="232"/>
      <c r="E1788" s="232"/>
      <c r="F1788" s="232"/>
      <c r="G1788" s="232"/>
      <c r="H1788" s="232"/>
      <c r="I1788" s="232"/>
      <c r="J1788" s="232"/>
      <c r="K1788" s="232"/>
      <c r="L1788" s="232"/>
      <c r="M1788" s="232"/>
      <c r="N1788" s="232"/>
      <c r="O1788" s="232"/>
      <c r="P1788" s="232"/>
      <c r="Q1788" s="232"/>
      <c r="R1788" s="232"/>
      <c r="S1788" s="232"/>
      <c r="T1788" s="232"/>
      <c r="U1788" s="232"/>
      <c r="V1788" s="15"/>
      <c r="W1788" s="15"/>
      <c r="X1788" s="15"/>
      <c r="Y1788" s="15"/>
      <c r="Z1788" s="15"/>
      <c r="AA1788" s="15"/>
    </row>
    <row r="1789" spans="1:27" s="25" customFormat="1" ht="12" customHeight="1" x14ac:dyDescent="0.2">
      <c r="A1789" s="232"/>
      <c r="B1789" s="250"/>
      <c r="C1789" s="286"/>
      <c r="D1789" s="232"/>
      <c r="E1789" s="232"/>
      <c r="F1789" s="232"/>
      <c r="G1789" s="232"/>
      <c r="H1789" s="232"/>
      <c r="I1789" s="232"/>
      <c r="J1789" s="232"/>
      <c r="K1789" s="232"/>
      <c r="L1789" s="232"/>
      <c r="M1789" s="232"/>
      <c r="N1789" s="232"/>
      <c r="O1789" s="232"/>
      <c r="P1789" s="232"/>
      <c r="Q1789" s="232"/>
      <c r="R1789" s="232"/>
      <c r="S1789" s="232"/>
      <c r="T1789" s="232"/>
      <c r="U1789" s="232"/>
      <c r="V1789" s="15"/>
      <c r="W1789" s="15"/>
      <c r="X1789" s="15"/>
      <c r="Y1789" s="15"/>
      <c r="Z1789" s="15"/>
      <c r="AA1789" s="15"/>
    </row>
    <row r="1790" spans="1:27" s="25" customFormat="1" ht="12" customHeight="1" x14ac:dyDescent="0.2">
      <c r="A1790" s="232"/>
      <c r="B1790" s="250"/>
      <c r="C1790" s="286"/>
      <c r="D1790" s="232"/>
      <c r="E1790" s="232"/>
      <c r="F1790" s="232"/>
      <c r="G1790" s="232"/>
      <c r="H1790" s="232"/>
      <c r="I1790" s="232"/>
      <c r="J1790" s="232"/>
      <c r="K1790" s="232"/>
      <c r="L1790" s="232"/>
      <c r="M1790" s="232"/>
      <c r="N1790" s="232"/>
      <c r="O1790" s="232"/>
      <c r="P1790" s="232"/>
      <c r="Q1790" s="232"/>
      <c r="R1790" s="232"/>
      <c r="S1790" s="232"/>
      <c r="T1790" s="232"/>
      <c r="U1790" s="232"/>
      <c r="V1790" s="15"/>
      <c r="W1790" s="15"/>
      <c r="X1790" s="15"/>
      <c r="Y1790" s="15"/>
      <c r="Z1790" s="15"/>
      <c r="AA1790" s="15"/>
    </row>
    <row r="1791" spans="1:27" s="25" customFormat="1" ht="12" customHeight="1" x14ac:dyDescent="0.2">
      <c r="A1791" s="232"/>
      <c r="B1791" s="250"/>
      <c r="C1791" s="286"/>
      <c r="D1791" s="232"/>
      <c r="E1791" s="232"/>
      <c r="F1791" s="232"/>
      <c r="G1791" s="232"/>
      <c r="H1791" s="232"/>
      <c r="I1791" s="232"/>
      <c r="J1791" s="232"/>
      <c r="K1791" s="232"/>
      <c r="L1791" s="232"/>
      <c r="M1791" s="232"/>
      <c r="N1791" s="232"/>
      <c r="O1791" s="232"/>
      <c r="P1791" s="232"/>
      <c r="Q1791" s="232"/>
      <c r="R1791" s="232"/>
      <c r="S1791" s="232"/>
      <c r="T1791" s="232"/>
      <c r="U1791" s="232"/>
      <c r="V1791" s="15"/>
      <c r="W1791" s="15"/>
      <c r="X1791" s="15"/>
      <c r="Y1791" s="15"/>
      <c r="Z1791" s="15"/>
      <c r="AA1791" s="15"/>
    </row>
    <row r="1792" spans="1:27" s="25" customFormat="1" ht="12" customHeight="1" x14ac:dyDescent="0.2">
      <c r="A1792" s="232"/>
      <c r="B1792" s="250"/>
      <c r="C1792" s="286"/>
      <c r="D1792" s="232"/>
      <c r="E1792" s="232"/>
      <c r="F1792" s="232"/>
      <c r="G1792" s="232"/>
      <c r="H1792" s="232"/>
      <c r="I1792" s="232"/>
      <c r="J1792" s="232"/>
      <c r="K1792" s="232"/>
      <c r="L1792" s="232"/>
      <c r="M1792" s="232"/>
      <c r="N1792" s="232"/>
      <c r="O1792" s="232"/>
      <c r="P1792" s="232"/>
      <c r="Q1792" s="232"/>
      <c r="R1792" s="232"/>
      <c r="S1792" s="232"/>
      <c r="T1792" s="232"/>
      <c r="U1792" s="232"/>
      <c r="V1792" s="15"/>
      <c r="W1792" s="15"/>
      <c r="X1792" s="15"/>
      <c r="Y1792" s="15"/>
      <c r="Z1792" s="15"/>
      <c r="AA1792" s="15"/>
    </row>
    <row r="1793" spans="1:27" s="25" customFormat="1" ht="12" customHeight="1" x14ac:dyDescent="0.2">
      <c r="A1793" s="232"/>
      <c r="B1793" s="250"/>
      <c r="C1793" s="286"/>
      <c r="D1793" s="232"/>
      <c r="E1793" s="232"/>
      <c r="F1793" s="232"/>
      <c r="G1793" s="232"/>
      <c r="H1793" s="232"/>
      <c r="I1793" s="232"/>
      <c r="J1793" s="232"/>
      <c r="K1793" s="232"/>
      <c r="L1793" s="232"/>
      <c r="M1793" s="232"/>
      <c r="N1793" s="232"/>
      <c r="O1793" s="232"/>
      <c r="P1793" s="232"/>
      <c r="Q1793" s="232"/>
      <c r="R1793" s="232"/>
      <c r="S1793" s="232"/>
      <c r="T1793" s="232"/>
      <c r="U1793" s="232"/>
      <c r="V1793" s="15"/>
      <c r="W1793" s="15"/>
      <c r="X1793" s="15"/>
      <c r="Y1793" s="15"/>
      <c r="Z1793" s="15"/>
      <c r="AA1793" s="15"/>
    </row>
    <row r="1794" spans="1:27" s="25" customFormat="1" ht="12" customHeight="1" x14ac:dyDescent="0.2">
      <c r="A1794" s="232"/>
      <c r="B1794" s="250"/>
      <c r="C1794" s="286"/>
      <c r="D1794" s="232"/>
      <c r="E1794" s="232"/>
      <c r="F1794" s="232"/>
      <c r="G1794" s="232"/>
      <c r="H1794" s="232"/>
      <c r="I1794" s="232"/>
      <c r="J1794" s="232"/>
      <c r="K1794" s="232"/>
      <c r="L1794" s="232"/>
      <c r="M1794" s="232"/>
      <c r="N1794" s="232"/>
      <c r="O1794" s="232"/>
      <c r="P1794" s="232"/>
      <c r="Q1794" s="232"/>
      <c r="R1794" s="232"/>
      <c r="S1794" s="232"/>
      <c r="T1794" s="232"/>
      <c r="U1794" s="232"/>
      <c r="V1794" s="15"/>
      <c r="W1794" s="15"/>
      <c r="X1794" s="15"/>
      <c r="Y1794" s="15"/>
      <c r="Z1794" s="15"/>
      <c r="AA1794" s="15"/>
    </row>
    <row r="1795" spans="1:27" s="25" customFormat="1" ht="12" customHeight="1" x14ac:dyDescent="0.2">
      <c r="A1795" s="232"/>
      <c r="B1795" s="250"/>
      <c r="C1795" s="286"/>
      <c r="D1795" s="232"/>
      <c r="E1795" s="232"/>
      <c r="F1795" s="232"/>
      <c r="G1795" s="232"/>
      <c r="H1795" s="232"/>
      <c r="I1795" s="232"/>
      <c r="J1795" s="232"/>
      <c r="K1795" s="232"/>
      <c r="L1795" s="232"/>
      <c r="M1795" s="232"/>
      <c r="N1795" s="232"/>
      <c r="O1795" s="232"/>
      <c r="P1795" s="232"/>
      <c r="Q1795" s="232"/>
      <c r="R1795" s="232"/>
      <c r="S1795" s="232"/>
      <c r="T1795" s="232"/>
      <c r="U1795" s="232"/>
      <c r="V1795" s="15"/>
      <c r="W1795" s="15"/>
      <c r="X1795" s="15"/>
      <c r="Y1795" s="15"/>
      <c r="Z1795" s="15"/>
      <c r="AA1795" s="15"/>
    </row>
    <row r="1796" spans="1:27" s="25" customFormat="1" ht="12" customHeight="1" x14ac:dyDescent="0.2">
      <c r="A1796" s="232"/>
      <c r="B1796" s="250"/>
      <c r="C1796" s="286"/>
      <c r="D1796" s="232"/>
      <c r="E1796" s="232"/>
      <c r="F1796" s="232"/>
      <c r="G1796" s="232"/>
      <c r="H1796" s="232"/>
      <c r="I1796" s="232"/>
      <c r="J1796" s="232"/>
      <c r="K1796" s="232"/>
      <c r="L1796" s="232"/>
      <c r="M1796" s="232"/>
      <c r="N1796" s="232"/>
      <c r="O1796" s="232"/>
      <c r="P1796" s="232"/>
      <c r="Q1796" s="232"/>
      <c r="R1796" s="232"/>
      <c r="S1796" s="232"/>
      <c r="T1796" s="232"/>
      <c r="U1796" s="232"/>
      <c r="V1796" s="15"/>
      <c r="W1796" s="15"/>
      <c r="X1796" s="15"/>
      <c r="Y1796" s="15"/>
      <c r="Z1796" s="15"/>
      <c r="AA1796" s="15"/>
    </row>
    <row r="1797" spans="1:27" s="25" customFormat="1" ht="12" customHeight="1" x14ac:dyDescent="0.2">
      <c r="A1797" s="232"/>
      <c r="B1797" s="250"/>
      <c r="C1797" s="286"/>
      <c r="D1797" s="232"/>
      <c r="E1797" s="232"/>
      <c r="F1797" s="232"/>
      <c r="G1797" s="232"/>
      <c r="H1797" s="232"/>
      <c r="I1797" s="232"/>
      <c r="J1797" s="232"/>
      <c r="K1797" s="232"/>
      <c r="L1797" s="232"/>
      <c r="M1797" s="232"/>
      <c r="N1797" s="232"/>
      <c r="O1797" s="232"/>
      <c r="P1797" s="232"/>
      <c r="Q1797" s="232"/>
      <c r="R1797" s="232"/>
      <c r="S1797" s="232"/>
      <c r="T1797" s="232"/>
      <c r="U1797" s="232"/>
      <c r="V1797" s="15"/>
      <c r="W1797" s="15"/>
      <c r="X1797" s="15"/>
      <c r="Y1797" s="15"/>
      <c r="Z1797" s="15"/>
      <c r="AA1797" s="15"/>
    </row>
    <row r="1798" spans="1:27" s="25" customFormat="1" ht="12" customHeight="1" x14ac:dyDescent="0.2">
      <c r="A1798" s="232"/>
      <c r="B1798" s="250"/>
      <c r="C1798" s="286"/>
      <c r="D1798" s="232"/>
      <c r="E1798" s="232"/>
      <c r="F1798" s="232"/>
      <c r="G1798" s="232"/>
      <c r="H1798" s="232"/>
      <c r="I1798" s="232"/>
      <c r="J1798" s="232"/>
      <c r="K1798" s="232"/>
      <c r="L1798" s="232"/>
      <c r="M1798" s="232"/>
      <c r="N1798" s="232"/>
      <c r="O1798" s="232"/>
      <c r="P1798" s="232"/>
      <c r="Q1798" s="232"/>
      <c r="R1798" s="232"/>
      <c r="S1798" s="232"/>
      <c r="T1798" s="232"/>
      <c r="U1798" s="232"/>
      <c r="V1798" s="15"/>
      <c r="W1798" s="15"/>
      <c r="X1798" s="15"/>
      <c r="Y1798" s="15"/>
      <c r="Z1798" s="15"/>
      <c r="AA1798" s="15"/>
    </row>
    <row r="1799" spans="1:27" s="25" customFormat="1" ht="12" customHeight="1" x14ac:dyDescent="0.2">
      <c r="A1799" s="232"/>
      <c r="B1799" s="250"/>
      <c r="C1799" s="286"/>
      <c r="D1799" s="232"/>
      <c r="E1799" s="232"/>
      <c r="F1799" s="232"/>
      <c r="G1799" s="232"/>
      <c r="H1799" s="232"/>
      <c r="I1799" s="232"/>
      <c r="J1799" s="232"/>
      <c r="K1799" s="232"/>
      <c r="L1799" s="232"/>
      <c r="M1799" s="232"/>
      <c r="N1799" s="232"/>
      <c r="O1799" s="232"/>
      <c r="P1799" s="232"/>
      <c r="Q1799" s="232"/>
      <c r="R1799" s="232"/>
      <c r="S1799" s="232"/>
      <c r="T1799" s="232"/>
      <c r="U1799" s="232"/>
      <c r="V1799" s="15"/>
      <c r="W1799" s="15"/>
      <c r="X1799" s="15"/>
      <c r="Y1799" s="15"/>
      <c r="Z1799" s="15"/>
      <c r="AA1799" s="15"/>
    </row>
    <row r="1800" spans="1:27" s="25" customFormat="1" ht="12" customHeight="1" x14ac:dyDescent="0.2">
      <c r="A1800" s="232"/>
      <c r="B1800" s="250"/>
      <c r="C1800" s="286"/>
      <c r="D1800" s="232"/>
      <c r="E1800" s="232"/>
      <c r="F1800" s="232"/>
      <c r="G1800" s="232"/>
      <c r="H1800" s="232"/>
      <c r="I1800" s="232"/>
      <c r="J1800" s="232"/>
      <c r="K1800" s="232"/>
      <c r="L1800" s="232"/>
      <c r="M1800" s="232"/>
      <c r="N1800" s="232"/>
      <c r="O1800" s="232"/>
      <c r="P1800" s="232"/>
      <c r="Q1800" s="232"/>
      <c r="R1800" s="232"/>
      <c r="S1800" s="232"/>
      <c r="T1800" s="232"/>
      <c r="U1800" s="232"/>
      <c r="V1800" s="15"/>
      <c r="W1800" s="15"/>
      <c r="X1800" s="15"/>
      <c r="Y1800" s="15"/>
      <c r="Z1800" s="15"/>
      <c r="AA1800" s="15"/>
    </row>
    <row r="1801" spans="1:27" s="25" customFormat="1" ht="12" customHeight="1" x14ac:dyDescent="0.2">
      <c r="A1801" s="232"/>
      <c r="B1801" s="250"/>
      <c r="C1801" s="286"/>
      <c r="D1801" s="232"/>
      <c r="E1801" s="232"/>
      <c r="F1801" s="232"/>
      <c r="G1801" s="232"/>
      <c r="H1801" s="232"/>
      <c r="I1801" s="232"/>
      <c r="J1801" s="232"/>
      <c r="K1801" s="232"/>
      <c r="L1801" s="232"/>
      <c r="M1801" s="232"/>
      <c r="N1801" s="232"/>
      <c r="O1801" s="232"/>
      <c r="P1801" s="232"/>
      <c r="Q1801" s="232"/>
      <c r="R1801" s="232"/>
      <c r="S1801" s="232"/>
      <c r="T1801" s="232"/>
      <c r="U1801" s="232"/>
      <c r="V1801" s="15"/>
      <c r="W1801" s="15"/>
      <c r="X1801" s="15"/>
      <c r="Y1801" s="15"/>
      <c r="Z1801" s="15"/>
      <c r="AA1801" s="15"/>
    </row>
    <row r="1802" spans="1:27" s="25" customFormat="1" ht="12" customHeight="1" x14ac:dyDescent="0.2">
      <c r="A1802" s="232"/>
      <c r="B1802" s="250"/>
      <c r="C1802" s="286"/>
      <c r="D1802" s="232"/>
      <c r="E1802" s="232"/>
      <c r="F1802" s="232"/>
      <c r="G1802" s="232"/>
      <c r="H1802" s="232"/>
      <c r="I1802" s="232"/>
      <c r="J1802" s="232"/>
      <c r="K1802" s="232"/>
      <c r="L1802" s="232"/>
      <c r="M1802" s="232"/>
      <c r="N1802" s="232"/>
      <c r="O1802" s="232"/>
      <c r="P1802" s="232"/>
      <c r="Q1802" s="232"/>
      <c r="R1802" s="232"/>
      <c r="S1802" s="232"/>
      <c r="T1802" s="232"/>
      <c r="U1802" s="232"/>
      <c r="V1802" s="15"/>
      <c r="W1802" s="15"/>
      <c r="X1802" s="15"/>
      <c r="Y1802" s="15"/>
      <c r="Z1802" s="15"/>
      <c r="AA1802" s="15"/>
    </row>
    <row r="1803" spans="1:27" s="25" customFormat="1" ht="12" customHeight="1" x14ac:dyDescent="0.2">
      <c r="A1803" s="232"/>
      <c r="B1803" s="250"/>
      <c r="C1803" s="286"/>
      <c r="D1803" s="232"/>
      <c r="E1803" s="232"/>
      <c r="F1803" s="232"/>
      <c r="G1803" s="232"/>
      <c r="H1803" s="232"/>
      <c r="I1803" s="232"/>
      <c r="J1803" s="232"/>
      <c r="K1803" s="232"/>
      <c r="L1803" s="232"/>
      <c r="M1803" s="232"/>
      <c r="N1803" s="232"/>
      <c r="O1803" s="232"/>
      <c r="P1803" s="232"/>
      <c r="Q1803" s="232"/>
      <c r="R1803" s="232"/>
      <c r="S1803" s="232"/>
      <c r="T1803" s="232"/>
      <c r="U1803" s="232"/>
      <c r="V1803" s="15"/>
      <c r="W1803" s="15"/>
      <c r="X1803" s="15"/>
      <c r="Y1803" s="15"/>
      <c r="Z1803" s="15"/>
      <c r="AA1803" s="15"/>
    </row>
    <row r="1804" spans="1:27" s="25" customFormat="1" ht="12" customHeight="1" x14ac:dyDescent="0.2">
      <c r="A1804" s="232"/>
      <c r="B1804" s="250"/>
      <c r="C1804" s="286"/>
      <c r="D1804" s="232"/>
      <c r="E1804" s="232"/>
      <c r="F1804" s="232"/>
      <c r="G1804" s="232"/>
      <c r="H1804" s="232"/>
      <c r="I1804" s="232"/>
      <c r="J1804" s="232"/>
      <c r="K1804" s="232"/>
      <c r="L1804" s="232"/>
      <c r="M1804" s="232"/>
      <c r="N1804" s="232"/>
      <c r="O1804" s="232"/>
      <c r="P1804" s="232"/>
      <c r="Q1804" s="232"/>
      <c r="R1804" s="232"/>
      <c r="S1804" s="232"/>
      <c r="T1804" s="232"/>
      <c r="U1804" s="232"/>
      <c r="V1804" s="15"/>
      <c r="W1804" s="15"/>
      <c r="X1804" s="15"/>
      <c r="Y1804" s="15"/>
      <c r="Z1804" s="15"/>
      <c r="AA1804" s="15"/>
    </row>
    <row r="1805" spans="1:27" s="25" customFormat="1" ht="12" customHeight="1" x14ac:dyDescent="0.2">
      <c r="A1805" s="232"/>
      <c r="B1805" s="250"/>
      <c r="C1805" s="286"/>
      <c r="D1805" s="232"/>
      <c r="E1805" s="232"/>
      <c r="F1805" s="232"/>
      <c r="G1805" s="232"/>
      <c r="H1805" s="232"/>
      <c r="I1805" s="232"/>
      <c r="J1805" s="232"/>
      <c r="K1805" s="232"/>
      <c r="L1805" s="232"/>
      <c r="M1805" s="232"/>
      <c r="N1805" s="232"/>
      <c r="O1805" s="232"/>
      <c r="P1805" s="232"/>
      <c r="Q1805" s="232"/>
      <c r="R1805" s="232"/>
      <c r="S1805" s="232"/>
      <c r="T1805" s="232"/>
      <c r="U1805" s="232"/>
      <c r="V1805" s="15"/>
      <c r="W1805" s="15"/>
      <c r="X1805" s="15"/>
      <c r="Y1805" s="15"/>
      <c r="Z1805" s="15"/>
      <c r="AA1805" s="15"/>
    </row>
    <row r="1806" spans="1:27" s="25" customFormat="1" ht="12" customHeight="1" x14ac:dyDescent="0.2">
      <c r="A1806" s="232"/>
      <c r="B1806" s="250"/>
      <c r="C1806" s="286"/>
      <c r="D1806" s="232"/>
      <c r="E1806" s="232"/>
      <c r="F1806" s="232"/>
      <c r="G1806" s="232"/>
      <c r="H1806" s="232"/>
      <c r="I1806" s="232"/>
      <c r="J1806" s="232"/>
      <c r="K1806" s="232"/>
      <c r="L1806" s="232"/>
      <c r="M1806" s="232"/>
      <c r="N1806" s="232"/>
      <c r="O1806" s="232"/>
      <c r="P1806" s="232"/>
      <c r="Q1806" s="232"/>
      <c r="R1806" s="232"/>
      <c r="S1806" s="232"/>
      <c r="T1806" s="232"/>
      <c r="U1806" s="232"/>
      <c r="V1806" s="15"/>
      <c r="W1806" s="15"/>
      <c r="X1806" s="15"/>
      <c r="Y1806" s="15"/>
      <c r="Z1806" s="15"/>
      <c r="AA1806" s="15"/>
    </row>
    <row r="1807" spans="1:27" s="25" customFormat="1" ht="12" customHeight="1" x14ac:dyDescent="0.2">
      <c r="A1807" s="232"/>
      <c r="B1807" s="250"/>
      <c r="C1807" s="286"/>
      <c r="D1807" s="232"/>
      <c r="E1807" s="232"/>
      <c r="F1807" s="232"/>
      <c r="G1807" s="232"/>
      <c r="H1807" s="232"/>
      <c r="I1807" s="232"/>
      <c r="J1807" s="232"/>
      <c r="K1807" s="232"/>
      <c r="L1807" s="232"/>
      <c r="M1807" s="232"/>
      <c r="N1807" s="232"/>
      <c r="O1807" s="232"/>
      <c r="P1807" s="232"/>
      <c r="Q1807" s="232"/>
      <c r="R1807" s="232"/>
      <c r="S1807" s="232"/>
      <c r="T1807" s="232"/>
      <c r="U1807" s="232"/>
      <c r="V1807" s="15"/>
      <c r="W1807" s="15"/>
      <c r="X1807" s="15"/>
      <c r="Y1807" s="15"/>
      <c r="Z1807" s="15"/>
      <c r="AA1807" s="15"/>
    </row>
    <row r="1808" spans="1:27" s="25" customFormat="1" ht="12" customHeight="1" x14ac:dyDescent="0.2">
      <c r="A1808" s="232"/>
      <c r="B1808" s="250"/>
      <c r="C1808" s="286"/>
      <c r="D1808" s="232"/>
      <c r="E1808" s="232"/>
      <c r="F1808" s="232"/>
      <c r="G1808" s="232"/>
      <c r="H1808" s="232"/>
      <c r="I1808" s="232"/>
      <c r="J1808" s="232"/>
      <c r="K1808" s="232"/>
      <c r="L1808" s="232"/>
      <c r="M1808" s="232"/>
      <c r="N1808" s="232"/>
      <c r="O1808" s="232"/>
      <c r="P1808" s="232"/>
      <c r="Q1808" s="232"/>
      <c r="R1808" s="232"/>
      <c r="S1808" s="232"/>
      <c r="T1808" s="232"/>
      <c r="U1808" s="232"/>
      <c r="V1808" s="15"/>
      <c r="W1808" s="15"/>
      <c r="X1808" s="15"/>
      <c r="Y1808" s="15"/>
      <c r="Z1808" s="15"/>
      <c r="AA1808" s="15"/>
    </row>
    <row r="1809" spans="1:27" s="25" customFormat="1" ht="12" customHeight="1" x14ac:dyDescent="0.2">
      <c r="A1809" s="232"/>
      <c r="B1809" s="250"/>
      <c r="C1809" s="286"/>
      <c r="D1809" s="232"/>
      <c r="E1809" s="232"/>
      <c r="F1809" s="232"/>
      <c r="G1809" s="232"/>
      <c r="H1809" s="232"/>
      <c r="I1809" s="232"/>
      <c r="J1809" s="232"/>
      <c r="K1809" s="232"/>
      <c r="L1809" s="232"/>
      <c r="M1809" s="232"/>
      <c r="N1809" s="232"/>
      <c r="O1809" s="232"/>
      <c r="P1809" s="232"/>
      <c r="Q1809" s="232"/>
      <c r="R1809" s="232"/>
      <c r="S1809" s="232"/>
      <c r="T1809" s="232"/>
      <c r="U1809" s="232"/>
      <c r="V1809" s="15"/>
      <c r="W1809" s="15"/>
      <c r="X1809" s="15"/>
      <c r="Y1809" s="15"/>
      <c r="Z1809" s="15"/>
      <c r="AA1809" s="15"/>
    </row>
    <row r="1810" spans="1:27" s="25" customFormat="1" ht="12" customHeight="1" x14ac:dyDescent="0.2">
      <c r="A1810" s="232"/>
      <c r="B1810" s="250"/>
      <c r="C1810" s="286"/>
      <c r="D1810" s="232"/>
      <c r="E1810" s="232"/>
      <c r="F1810" s="232"/>
      <c r="G1810" s="232"/>
      <c r="H1810" s="232"/>
      <c r="I1810" s="232"/>
      <c r="J1810" s="232"/>
      <c r="K1810" s="232"/>
      <c r="L1810" s="232"/>
      <c r="M1810" s="232"/>
      <c r="N1810" s="232"/>
      <c r="O1810" s="232"/>
      <c r="P1810" s="232"/>
      <c r="Q1810" s="232"/>
      <c r="R1810" s="232"/>
      <c r="S1810" s="232"/>
      <c r="T1810" s="232"/>
      <c r="U1810" s="232"/>
      <c r="V1810" s="15"/>
      <c r="W1810" s="15"/>
      <c r="X1810" s="15"/>
      <c r="Y1810" s="15"/>
      <c r="Z1810" s="15"/>
      <c r="AA1810" s="15"/>
    </row>
    <row r="1811" spans="1:27" s="25" customFormat="1" ht="12" customHeight="1" x14ac:dyDescent="0.2">
      <c r="A1811" s="232"/>
      <c r="B1811" s="250"/>
      <c r="C1811" s="286"/>
      <c r="D1811" s="232"/>
      <c r="E1811" s="232"/>
      <c r="F1811" s="232"/>
      <c r="G1811" s="232"/>
      <c r="H1811" s="232"/>
      <c r="I1811" s="232"/>
      <c r="J1811" s="232"/>
      <c r="K1811" s="232"/>
      <c r="L1811" s="232"/>
      <c r="M1811" s="232"/>
      <c r="N1811" s="232"/>
      <c r="O1811" s="232"/>
      <c r="P1811" s="232"/>
      <c r="Q1811" s="232"/>
      <c r="R1811" s="232"/>
      <c r="S1811" s="232"/>
      <c r="T1811" s="232"/>
      <c r="U1811" s="232"/>
      <c r="V1811" s="15"/>
      <c r="W1811" s="15"/>
      <c r="X1811" s="15"/>
      <c r="Y1811" s="15"/>
      <c r="Z1811" s="15"/>
      <c r="AA1811" s="15"/>
    </row>
    <row r="1812" spans="1:27" s="25" customFormat="1" ht="12" customHeight="1" x14ac:dyDescent="0.2">
      <c r="A1812" s="232"/>
      <c r="B1812" s="250"/>
      <c r="C1812" s="286"/>
      <c r="D1812" s="232"/>
      <c r="E1812" s="232"/>
      <c r="F1812" s="232"/>
      <c r="G1812" s="232"/>
      <c r="H1812" s="232"/>
      <c r="I1812" s="232"/>
      <c r="J1812" s="232"/>
      <c r="K1812" s="232"/>
      <c r="L1812" s="232"/>
      <c r="M1812" s="232"/>
      <c r="N1812" s="232"/>
      <c r="O1812" s="232"/>
      <c r="P1812" s="232"/>
      <c r="Q1812" s="232"/>
      <c r="R1812" s="232"/>
      <c r="S1812" s="232"/>
      <c r="T1812" s="232"/>
      <c r="U1812" s="232"/>
      <c r="V1812" s="15"/>
      <c r="W1812" s="15"/>
      <c r="X1812" s="15"/>
      <c r="Y1812" s="15"/>
      <c r="Z1812" s="15"/>
      <c r="AA1812" s="15"/>
    </row>
    <row r="1813" spans="1:27" s="25" customFormat="1" ht="12" customHeight="1" x14ac:dyDescent="0.2">
      <c r="A1813" s="232"/>
      <c r="B1813" s="250"/>
      <c r="C1813" s="286"/>
      <c r="D1813" s="232"/>
      <c r="E1813" s="232"/>
      <c r="F1813" s="232"/>
      <c r="G1813" s="232"/>
      <c r="H1813" s="232"/>
      <c r="I1813" s="232"/>
      <c r="J1813" s="232"/>
      <c r="K1813" s="232"/>
      <c r="L1813" s="232"/>
      <c r="M1813" s="232"/>
      <c r="N1813" s="232"/>
      <c r="O1813" s="232"/>
      <c r="P1813" s="232"/>
      <c r="Q1813" s="232"/>
      <c r="R1813" s="232"/>
      <c r="S1813" s="232"/>
      <c r="T1813" s="232"/>
      <c r="U1813" s="232"/>
      <c r="V1813" s="15"/>
      <c r="W1813" s="15"/>
      <c r="X1813" s="15"/>
      <c r="Y1813" s="15"/>
      <c r="Z1813" s="15"/>
      <c r="AA1813" s="15"/>
    </row>
    <row r="1814" spans="1:27" s="25" customFormat="1" ht="12" customHeight="1" x14ac:dyDescent="0.2">
      <c r="A1814" s="232"/>
      <c r="B1814" s="250"/>
      <c r="C1814" s="286"/>
      <c r="D1814" s="232"/>
      <c r="E1814" s="232"/>
      <c r="F1814" s="232"/>
      <c r="G1814" s="232"/>
      <c r="H1814" s="232"/>
      <c r="I1814" s="232"/>
      <c r="J1814" s="232"/>
      <c r="K1814" s="232"/>
      <c r="L1814" s="232"/>
      <c r="M1814" s="232"/>
      <c r="N1814" s="232"/>
      <c r="O1814" s="232"/>
      <c r="P1814" s="232"/>
      <c r="Q1814" s="232"/>
      <c r="R1814" s="232"/>
      <c r="S1814" s="232"/>
      <c r="T1814" s="232"/>
      <c r="U1814" s="232"/>
      <c r="V1814" s="15"/>
      <c r="W1814" s="15"/>
      <c r="X1814" s="15"/>
      <c r="Y1814" s="15"/>
      <c r="Z1814" s="15"/>
      <c r="AA1814" s="15"/>
    </row>
    <row r="1815" spans="1:27" s="25" customFormat="1" ht="12" customHeight="1" x14ac:dyDescent="0.2">
      <c r="A1815" s="232"/>
      <c r="B1815" s="250"/>
      <c r="C1815" s="286"/>
      <c r="D1815" s="232"/>
      <c r="E1815" s="232"/>
      <c r="F1815" s="232"/>
      <c r="G1815" s="232"/>
      <c r="H1815" s="232"/>
      <c r="I1815" s="232"/>
      <c r="J1815" s="232"/>
      <c r="K1815" s="232"/>
      <c r="L1815" s="232"/>
      <c r="M1815" s="232"/>
      <c r="N1815" s="232"/>
      <c r="O1815" s="232"/>
      <c r="P1815" s="232"/>
      <c r="Q1815" s="232"/>
      <c r="R1815" s="232"/>
      <c r="S1815" s="232"/>
      <c r="T1815" s="232"/>
      <c r="U1815" s="232"/>
      <c r="V1815" s="15"/>
      <c r="W1815" s="15"/>
      <c r="X1815" s="15"/>
      <c r="Y1815" s="15"/>
      <c r="Z1815" s="15"/>
      <c r="AA1815" s="15"/>
    </row>
    <row r="1816" spans="1:27" s="25" customFormat="1" ht="12" customHeight="1" x14ac:dyDescent="0.2">
      <c r="A1816" s="232"/>
      <c r="B1816" s="250"/>
      <c r="C1816" s="286"/>
      <c r="D1816" s="232"/>
      <c r="E1816" s="232"/>
      <c r="F1816" s="232"/>
      <c r="G1816" s="232"/>
      <c r="H1816" s="232"/>
      <c r="I1816" s="232"/>
      <c r="J1816" s="232"/>
      <c r="K1816" s="232"/>
      <c r="L1816" s="232"/>
      <c r="M1816" s="232"/>
      <c r="N1816" s="232"/>
      <c r="O1816" s="232"/>
      <c r="P1816" s="232"/>
      <c r="Q1816" s="232"/>
      <c r="R1816" s="232"/>
      <c r="S1816" s="232"/>
      <c r="T1816" s="232"/>
      <c r="U1816" s="232"/>
      <c r="V1816" s="15"/>
      <c r="W1816" s="15"/>
      <c r="X1816" s="15"/>
      <c r="Y1816" s="15"/>
      <c r="Z1816" s="15"/>
      <c r="AA1816" s="15"/>
    </row>
    <row r="1817" spans="1:27" s="25" customFormat="1" ht="12" customHeight="1" x14ac:dyDescent="0.2">
      <c r="A1817" s="232"/>
      <c r="B1817" s="250"/>
      <c r="C1817" s="286"/>
      <c r="D1817" s="232"/>
      <c r="E1817" s="232"/>
      <c r="F1817" s="232"/>
      <c r="G1817" s="232"/>
      <c r="H1817" s="232"/>
      <c r="I1817" s="232"/>
      <c r="J1817" s="232"/>
      <c r="K1817" s="232"/>
      <c r="L1817" s="232"/>
      <c r="M1817" s="232"/>
      <c r="N1817" s="232"/>
      <c r="O1817" s="232"/>
      <c r="P1817" s="232"/>
      <c r="Q1817" s="232"/>
      <c r="R1817" s="232"/>
      <c r="S1817" s="232"/>
      <c r="T1817" s="232"/>
      <c r="U1817" s="232"/>
      <c r="V1817" s="15"/>
      <c r="W1817" s="15"/>
      <c r="X1817" s="15"/>
      <c r="Y1817" s="15"/>
      <c r="Z1817" s="15"/>
      <c r="AA1817" s="15"/>
    </row>
    <row r="1818" spans="1:27" s="25" customFormat="1" ht="12" customHeight="1" x14ac:dyDescent="0.2">
      <c r="A1818" s="232"/>
      <c r="B1818" s="250"/>
      <c r="C1818" s="286"/>
      <c r="D1818" s="232"/>
      <c r="E1818" s="232"/>
      <c r="F1818" s="232"/>
      <c r="G1818" s="232"/>
      <c r="H1818" s="232"/>
      <c r="I1818" s="232"/>
      <c r="J1818" s="232"/>
      <c r="K1818" s="232"/>
      <c r="L1818" s="232"/>
      <c r="M1818" s="232"/>
      <c r="N1818" s="232"/>
      <c r="O1818" s="232"/>
      <c r="P1818" s="232"/>
      <c r="Q1818" s="232"/>
      <c r="R1818" s="232"/>
      <c r="S1818" s="232"/>
      <c r="T1818" s="232"/>
      <c r="U1818" s="232"/>
      <c r="V1818" s="15"/>
      <c r="W1818" s="15"/>
      <c r="X1818" s="15"/>
      <c r="Y1818" s="15"/>
      <c r="Z1818" s="15"/>
      <c r="AA1818" s="15"/>
    </row>
    <row r="1819" spans="1:27" s="25" customFormat="1" ht="12" customHeight="1" x14ac:dyDescent="0.2">
      <c r="A1819" s="232"/>
      <c r="B1819" s="250"/>
      <c r="C1819" s="286"/>
      <c r="D1819" s="232"/>
      <c r="E1819" s="232"/>
      <c r="F1819" s="232"/>
      <c r="G1819" s="232"/>
      <c r="H1819" s="232"/>
      <c r="I1819" s="232"/>
      <c r="J1819" s="232"/>
      <c r="K1819" s="232"/>
      <c r="L1819" s="232"/>
      <c r="M1819" s="232"/>
      <c r="N1819" s="232"/>
      <c r="O1819" s="232"/>
      <c r="P1819" s="232"/>
      <c r="Q1819" s="232"/>
      <c r="R1819" s="232"/>
      <c r="S1819" s="232"/>
      <c r="T1819" s="232"/>
      <c r="U1819" s="232"/>
      <c r="V1819" s="15"/>
      <c r="W1819" s="15"/>
      <c r="X1819" s="15"/>
      <c r="Y1819" s="15"/>
      <c r="Z1819" s="15"/>
      <c r="AA1819" s="15"/>
    </row>
    <row r="1820" spans="1:27" s="25" customFormat="1" ht="12" customHeight="1" x14ac:dyDescent="0.2">
      <c r="A1820" s="232"/>
      <c r="B1820" s="250"/>
      <c r="C1820" s="286"/>
      <c r="D1820" s="232"/>
      <c r="E1820" s="232"/>
      <c r="F1820" s="232"/>
      <c r="G1820" s="232"/>
      <c r="H1820" s="232"/>
      <c r="I1820" s="232"/>
      <c r="J1820" s="232"/>
      <c r="K1820" s="232"/>
      <c r="L1820" s="232"/>
      <c r="M1820" s="232"/>
      <c r="N1820" s="232"/>
      <c r="O1820" s="232"/>
      <c r="P1820" s="232"/>
      <c r="Q1820" s="232"/>
      <c r="R1820" s="232"/>
      <c r="S1820" s="232"/>
      <c r="T1820" s="232"/>
      <c r="U1820" s="232"/>
      <c r="V1820" s="15"/>
      <c r="W1820" s="15"/>
      <c r="X1820" s="15"/>
      <c r="Y1820" s="15"/>
      <c r="Z1820" s="15"/>
      <c r="AA1820" s="15"/>
    </row>
    <row r="1821" spans="1:27" s="25" customFormat="1" ht="12" customHeight="1" x14ac:dyDescent="0.2">
      <c r="A1821" s="232"/>
      <c r="B1821" s="250"/>
      <c r="C1821" s="286"/>
      <c r="D1821" s="232"/>
      <c r="E1821" s="232"/>
      <c r="F1821" s="232"/>
      <c r="G1821" s="232"/>
      <c r="H1821" s="232"/>
      <c r="I1821" s="232"/>
      <c r="J1821" s="232"/>
      <c r="K1821" s="232"/>
      <c r="L1821" s="232"/>
      <c r="M1821" s="232"/>
      <c r="N1821" s="232"/>
      <c r="O1821" s="232"/>
      <c r="P1821" s="232"/>
      <c r="Q1821" s="232"/>
      <c r="R1821" s="232"/>
      <c r="S1821" s="232"/>
      <c r="T1821" s="232"/>
      <c r="U1821" s="232"/>
      <c r="V1821" s="15"/>
      <c r="W1821" s="15"/>
      <c r="X1821" s="15"/>
      <c r="Y1821" s="15"/>
      <c r="Z1821" s="15"/>
      <c r="AA1821" s="15"/>
    </row>
    <row r="1822" spans="1:27" s="25" customFormat="1" ht="12" customHeight="1" x14ac:dyDescent="0.2">
      <c r="A1822" s="232"/>
      <c r="B1822" s="250"/>
      <c r="C1822" s="286"/>
      <c r="D1822" s="232"/>
      <c r="E1822" s="232"/>
      <c r="F1822" s="232"/>
      <c r="G1822" s="232"/>
      <c r="H1822" s="232"/>
      <c r="I1822" s="232"/>
      <c r="J1822" s="232"/>
      <c r="K1822" s="232"/>
      <c r="L1822" s="232"/>
      <c r="M1822" s="232"/>
      <c r="N1822" s="232"/>
      <c r="O1822" s="232"/>
      <c r="P1822" s="232"/>
      <c r="Q1822" s="232"/>
      <c r="R1822" s="232"/>
      <c r="S1822" s="232"/>
      <c r="T1822" s="232"/>
      <c r="U1822" s="232"/>
      <c r="V1822" s="15"/>
      <c r="W1822" s="15"/>
      <c r="X1822" s="15"/>
      <c r="Y1822" s="15"/>
      <c r="Z1822" s="15"/>
      <c r="AA1822" s="15"/>
    </row>
    <row r="1823" spans="1:27" s="25" customFormat="1" ht="12" customHeight="1" x14ac:dyDescent="0.2">
      <c r="A1823" s="232"/>
      <c r="B1823" s="250"/>
      <c r="C1823" s="286"/>
      <c r="D1823" s="232"/>
      <c r="E1823" s="232"/>
      <c r="F1823" s="232"/>
      <c r="G1823" s="232"/>
      <c r="H1823" s="232"/>
      <c r="I1823" s="232"/>
      <c r="J1823" s="232"/>
      <c r="K1823" s="232"/>
      <c r="L1823" s="232"/>
      <c r="M1823" s="232"/>
      <c r="N1823" s="232"/>
      <c r="O1823" s="232"/>
      <c r="P1823" s="232"/>
      <c r="Q1823" s="232"/>
      <c r="R1823" s="232"/>
      <c r="S1823" s="232"/>
      <c r="T1823" s="232"/>
      <c r="U1823" s="232"/>
      <c r="V1823" s="15"/>
      <c r="W1823" s="15"/>
      <c r="X1823" s="15"/>
      <c r="Y1823" s="15"/>
      <c r="Z1823" s="15"/>
      <c r="AA1823" s="15"/>
    </row>
    <row r="1824" spans="1:27" s="25" customFormat="1" ht="12" customHeight="1" x14ac:dyDescent="0.2">
      <c r="A1824" s="232"/>
      <c r="B1824" s="250"/>
      <c r="C1824" s="286"/>
      <c r="D1824" s="232"/>
      <c r="E1824" s="232"/>
      <c r="F1824" s="232"/>
      <c r="G1824" s="232"/>
      <c r="H1824" s="232"/>
      <c r="I1824" s="232"/>
      <c r="J1824" s="232"/>
      <c r="K1824" s="232"/>
      <c r="L1824" s="232"/>
      <c r="M1824" s="232"/>
      <c r="N1824" s="232"/>
      <c r="O1824" s="232"/>
      <c r="P1824" s="232"/>
      <c r="Q1824" s="232"/>
      <c r="R1824" s="232"/>
      <c r="S1824" s="232"/>
      <c r="T1824" s="232"/>
      <c r="U1824" s="232"/>
      <c r="V1824" s="15"/>
      <c r="W1824" s="15"/>
      <c r="X1824" s="15"/>
      <c r="Y1824" s="15"/>
      <c r="Z1824" s="15"/>
      <c r="AA1824" s="15"/>
    </row>
    <row r="1825" spans="1:27" s="25" customFormat="1" ht="12" customHeight="1" x14ac:dyDescent="0.2">
      <c r="A1825" s="232"/>
      <c r="B1825" s="250"/>
      <c r="C1825" s="286"/>
      <c r="D1825" s="232"/>
      <c r="E1825" s="232"/>
      <c r="F1825" s="232"/>
      <c r="G1825" s="232"/>
      <c r="H1825" s="232"/>
      <c r="I1825" s="232"/>
      <c r="J1825" s="232"/>
      <c r="K1825" s="232"/>
      <c r="L1825" s="232"/>
      <c r="M1825" s="232"/>
      <c r="N1825" s="232"/>
      <c r="O1825" s="232"/>
      <c r="P1825" s="232"/>
      <c r="Q1825" s="232"/>
      <c r="R1825" s="232"/>
      <c r="S1825" s="232"/>
      <c r="T1825" s="232"/>
      <c r="U1825" s="232"/>
      <c r="V1825" s="15"/>
      <c r="W1825" s="15"/>
      <c r="X1825" s="15"/>
      <c r="Y1825" s="15"/>
      <c r="Z1825" s="15"/>
      <c r="AA1825" s="15"/>
    </row>
    <row r="1826" spans="1:27" s="25" customFormat="1" ht="12" customHeight="1" x14ac:dyDescent="0.2">
      <c r="A1826" s="232"/>
      <c r="B1826" s="250"/>
      <c r="C1826" s="286"/>
      <c r="D1826" s="232"/>
      <c r="E1826" s="232"/>
      <c r="F1826" s="232"/>
      <c r="G1826" s="232"/>
      <c r="H1826" s="232"/>
      <c r="I1826" s="232"/>
      <c r="J1826" s="232"/>
      <c r="K1826" s="232"/>
      <c r="L1826" s="232"/>
      <c r="M1826" s="232"/>
      <c r="N1826" s="232"/>
      <c r="O1826" s="232"/>
      <c r="P1826" s="232"/>
      <c r="Q1826" s="232"/>
      <c r="R1826" s="232"/>
      <c r="S1826" s="232"/>
      <c r="T1826" s="232"/>
      <c r="U1826" s="232"/>
      <c r="V1826" s="15"/>
      <c r="W1826" s="15"/>
      <c r="X1826" s="15"/>
      <c r="Y1826" s="15"/>
      <c r="Z1826" s="15"/>
      <c r="AA1826" s="15"/>
    </row>
    <row r="1827" spans="1:27" s="25" customFormat="1" ht="12" customHeight="1" x14ac:dyDescent="0.2">
      <c r="A1827" s="232"/>
      <c r="B1827" s="250"/>
      <c r="C1827" s="286"/>
      <c r="D1827" s="232"/>
      <c r="E1827" s="232"/>
      <c r="F1827" s="232"/>
      <c r="G1827" s="232"/>
      <c r="H1827" s="232"/>
      <c r="I1827" s="232"/>
      <c r="J1827" s="232"/>
      <c r="K1827" s="232"/>
      <c r="L1827" s="232"/>
      <c r="M1827" s="232"/>
      <c r="N1827" s="232"/>
      <c r="O1827" s="232"/>
      <c r="P1827" s="232"/>
      <c r="Q1827" s="232"/>
      <c r="R1827" s="232"/>
      <c r="S1827" s="232"/>
      <c r="T1827" s="232"/>
      <c r="U1827" s="232"/>
      <c r="V1827" s="15"/>
      <c r="W1827" s="15"/>
      <c r="X1827" s="15"/>
      <c r="Y1827" s="15"/>
      <c r="Z1827" s="15"/>
      <c r="AA1827" s="15"/>
    </row>
    <row r="1828" spans="1:27" s="25" customFormat="1" ht="12" customHeight="1" x14ac:dyDescent="0.2">
      <c r="A1828" s="232"/>
      <c r="B1828" s="250"/>
      <c r="C1828" s="286"/>
      <c r="D1828" s="232"/>
      <c r="E1828" s="232"/>
      <c r="F1828" s="232"/>
      <c r="G1828" s="232"/>
      <c r="H1828" s="232"/>
      <c r="I1828" s="232"/>
      <c r="J1828" s="232"/>
      <c r="K1828" s="232"/>
      <c r="L1828" s="232"/>
      <c r="M1828" s="232"/>
      <c r="N1828" s="232"/>
      <c r="O1828" s="232"/>
      <c r="P1828" s="232"/>
      <c r="Q1828" s="232"/>
      <c r="R1828" s="232"/>
      <c r="S1828" s="232"/>
      <c r="T1828" s="232"/>
      <c r="U1828" s="232"/>
      <c r="V1828" s="15"/>
      <c r="W1828" s="15"/>
      <c r="X1828" s="15"/>
      <c r="Y1828" s="15"/>
      <c r="Z1828" s="15"/>
      <c r="AA1828" s="15"/>
    </row>
    <row r="1829" spans="1:27" s="25" customFormat="1" ht="12" customHeight="1" x14ac:dyDescent="0.2">
      <c r="A1829" s="232"/>
      <c r="B1829" s="250"/>
      <c r="C1829" s="286"/>
      <c r="D1829" s="232"/>
      <c r="E1829" s="232"/>
      <c r="F1829" s="232"/>
      <c r="G1829" s="232"/>
      <c r="H1829" s="232"/>
      <c r="I1829" s="232"/>
      <c r="J1829" s="232"/>
      <c r="K1829" s="232"/>
      <c r="L1829" s="232"/>
      <c r="M1829" s="232"/>
      <c r="N1829" s="232"/>
      <c r="O1829" s="232"/>
      <c r="P1829" s="232"/>
      <c r="Q1829" s="232"/>
      <c r="R1829" s="232"/>
      <c r="S1829" s="232"/>
      <c r="T1829" s="232"/>
      <c r="U1829" s="232"/>
      <c r="V1829" s="15"/>
      <c r="W1829" s="15"/>
      <c r="X1829" s="15"/>
      <c r="Y1829" s="15"/>
      <c r="Z1829" s="15"/>
      <c r="AA1829" s="15"/>
    </row>
    <row r="1830" spans="1:27" s="25" customFormat="1" ht="12" customHeight="1" x14ac:dyDescent="0.2">
      <c r="A1830" s="232"/>
      <c r="B1830" s="250"/>
      <c r="C1830" s="286"/>
      <c r="D1830" s="232"/>
      <c r="E1830" s="232"/>
      <c r="F1830" s="232"/>
      <c r="G1830" s="232"/>
      <c r="H1830" s="232"/>
      <c r="I1830" s="232"/>
      <c r="J1830" s="232"/>
      <c r="K1830" s="232"/>
      <c r="L1830" s="232"/>
      <c r="M1830" s="232"/>
      <c r="N1830" s="232"/>
      <c r="O1830" s="232"/>
      <c r="P1830" s="232"/>
      <c r="Q1830" s="232"/>
      <c r="R1830" s="232"/>
      <c r="S1830" s="232"/>
      <c r="T1830" s="232"/>
      <c r="U1830" s="232"/>
      <c r="V1830" s="15"/>
      <c r="W1830" s="15"/>
      <c r="X1830" s="15"/>
      <c r="Y1830" s="15"/>
      <c r="Z1830" s="15"/>
      <c r="AA1830" s="15"/>
    </row>
    <row r="1831" spans="1:27" s="25" customFormat="1" ht="12" customHeight="1" x14ac:dyDescent="0.2">
      <c r="A1831" s="232"/>
      <c r="B1831" s="250"/>
      <c r="C1831" s="286"/>
      <c r="D1831" s="232"/>
      <c r="E1831" s="232"/>
      <c r="F1831" s="232"/>
      <c r="G1831" s="232"/>
      <c r="H1831" s="232"/>
      <c r="I1831" s="232"/>
      <c r="J1831" s="232"/>
      <c r="K1831" s="232"/>
      <c r="L1831" s="232"/>
      <c r="M1831" s="232"/>
      <c r="N1831" s="232"/>
      <c r="O1831" s="232"/>
      <c r="P1831" s="232"/>
      <c r="Q1831" s="232"/>
      <c r="R1831" s="232"/>
      <c r="S1831" s="232"/>
      <c r="T1831" s="232"/>
      <c r="U1831" s="232"/>
      <c r="V1831" s="15"/>
      <c r="W1831" s="15"/>
      <c r="X1831" s="15"/>
      <c r="Y1831" s="15"/>
      <c r="Z1831" s="15"/>
      <c r="AA1831" s="15"/>
    </row>
    <row r="1832" spans="1:27" s="25" customFormat="1" ht="12" customHeight="1" x14ac:dyDescent="0.2">
      <c r="A1832" s="232"/>
      <c r="B1832" s="250"/>
      <c r="C1832" s="286"/>
      <c r="D1832" s="232"/>
      <c r="E1832" s="232"/>
      <c r="F1832" s="232"/>
      <c r="G1832" s="232"/>
      <c r="H1832" s="232"/>
      <c r="I1832" s="232"/>
      <c r="J1832" s="232"/>
      <c r="K1832" s="232"/>
      <c r="L1832" s="232"/>
      <c r="M1832" s="232"/>
      <c r="N1832" s="232"/>
      <c r="O1832" s="232"/>
      <c r="P1832" s="232"/>
      <c r="Q1832" s="232"/>
      <c r="R1832" s="232"/>
      <c r="S1832" s="232"/>
      <c r="T1832" s="232"/>
      <c r="U1832" s="232"/>
      <c r="V1832" s="15"/>
      <c r="W1832" s="15"/>
      <c r="X1832" s="15"/>
      <c r="Y1832" s="15"/>
      <c r="Z1832" s="15"/>
      <c r="AA1832" s="15"/>
    </row>
    <row r="1833" spans="1:27" s="25" customFormat="1" ht="12" customHeight="1" x14ac:dyDescent="0.2">
      <c r="A1833" s="232"/>
      <c r="B1833" s="250"/>
      <c r="C1833" s="286"/>
      <c r="D1833" s="232"/>
      <c r="E1833" s="232"/>
      <c r="F1833" s="232"/>
      <c r="G1833" s="232"/>
      <c r="H1833" s="232"/>
      <c r="I1833" s="232"/>
      <c r="J1833" s="232"/>
      <c r="K1833" s="232"/>
      <c r="L1833" s="232"/>
      <c r="M1833" s="232"/>
      <c r="N1833" s="232"/>
      <c r="O1833" s="232"/>
      <c r="P1833" s="232"/>
      <c r="Q1833" s="232"/>
      <c r="R1833" s="232"/>
      <c r="S1833" s="232"/>
      <c r="T1833" s="232"/>
      <c r="U1833" s="232"/>
      <c r="V1833" s="15"/>
      <c r="W1833" s="15"/>
      <c r="X1833" s="15"/>
      <c r="Y1833" s="15"/>
      <c r="Z1833" s="15"/>
      <c r="AA1833" s="15"/>
    </row>
    <row r="1834" spans="1:27" s="25" customFormat="1" ht="12" customHeight="1" x14ac:dyDescent="0.2">
      <c r="A1834" s="232"/>
      <c r="B1834" s="250"/>
      <c r="C1834" s="286"/>
      <c r="D1834" s="232"/>
      <c r="E1834" s="232"/>
      <c r="F1834" s="232"/>
      <c r="G1834" s="232"/>
      <c r="H1834" s="232"/>
      <c r="I1834" s="232"/>
      <c r="J1834" s="232"/>
      <c r="K1834" s="232"/>
      <c r="L1834" s="232"/>
      <c r="M1834" s="232"/>
      <c r="N1834" s="232"/>
      <c r="O1834" s="232"/>
      <c r="P1834" s="232"/>
      <c r="Q1834" s="232"/>
      <c r="R1834" s="232"/>
      <c r="S1834" s="232"/>
      <c r="T1834" s="232"/>
      <c r="U1834" s="232"/>
      <c r="V1834" s="15"/>
      <c r="W1834" s="15"/>
      <c r="X1834" s="15"/>
      <c r="Y1834" s="15"/>
      <c r="Z1834" s="15"/>
      <c r="AA1834" s="15"/>
    </row>
    <row r="1835" spans="1:27" s="25" customFormat="1" ht="12" customHeight="1" x14ac:dyDescent="0.2">
      <c r="A1835" s="232"/>
      <c r="B1835" s="250"/>
      <c r="C1835" s="286"/>
      <c r="D1835" s="232"/>
      <c r="E1835" s="232"/>
      <c r="F1835" s="232"/>
      <c r="G1835" s="232"/>
      <c r="H1835" s="232"/>
      <c r="I1835" s="232"/>
      <c r="J1835" s="232"/>
      <c r="K1835" s="232"/>
      <c r="L1835" s="232"/>
      <c r="M1835" s="232"/>
      <c r="N1835" s="232"/>
      <c r="O1835" s="232"/>
      <c r="P1835" s="232"/>
      <c r="Q1835" s="232"/>
      <c r="R1835" s="232"/>
      <c r="S1835" s="232"/>
      <c r="T1835" s="232"/>
      <c r="U1835" s="232"/>
      <c r="V1835" s="15"/>
      <c r="W1835" s="15"/>
      <c r="X1835" s="15"/>
      <c r="Y1835" s="15"/>
      <c r="Z1835" s="15"/>
      <c r="AA1835" s="15"/>
    </row>
    <row r="1836" spans="1:27" s="25" customFormat="1" ht="12" customHeight="1" x14ac:dyDescent="0.2">
      <c r="A1836" s="232"/>
      <c r="B1836" s="250"/>
      <c r="C1836" s="286"/>
      <c r="D1836" s="232"/>
      <c r="E1836" s="232"/>
      <c r="F1836" s="232"/>
      <c r="G1836" s="232"/>
      <c r="H1836" s="232"/>
      <c r="I1836" s="232"/>
      <c r="J1836" s="232"/>
      <c r="K1836" s="232"/>
      <c r="L1836" s="232"/>
      <c r="M1836" s="232"/>
      <c r="N1836" s="232"/>
      <c r="O1836" s="232"/>
      <c r="P1836" s="232"/>
      <c r="Q1836" s="232"/>
      <c r="R1836" s="232"/>
      <c r="S1836" s="232"/>
      <c r="T1836" s="232"/>
      <c r="U1836" s="232"/>
      <c r="V1836" s="15"/>
      <c r="W1836" s="15"/>
      <c r="X1836" s="15"/>
      <c r="Y1836" s="15"/>
      <c r="Z1836" s="15"/>
      <c r="AA1836" s="15"/>
    </row>
    <row r="1837" spans="1:27" s="25" customFormat="1" ht="12" customHeight="1" x14ac:dyDescent="0.2">
      <c r="A1837" s="232"/>
      <c r="B1837" s="250"/>
      <c r="C1837" s="286"/>
      <c r="D1837" s="232"/>
      <c r="E1837" s="232"/>
      <c r="F1837" s="232"/>
      <c r="G1837" s="232"/>
      <c r="H1837" s="232"/>
      <c r="I1837" s="232"/>
      <c r="J1837" s="232"/>
      <c r="K1837" s="232"/>
      <c r="L1837" s="232"/>
      <c r="M1837" s="232"/>
      <c r="N1837" s="232"/>
      <c r="O1837" s="232"/>
      <c r="P1837" s="232"/>
      <c r="Q1837" s="232"/>
      <c r="R1837" s="232"/>
      <c r="S1837" s="232"/>
      <c r="T1837" s="232"/>
      <c r="U1837" s="232"/>
      <c r="V1837" s="15"/>
      <c r="W1837" s="15"/>
      <c r="X1837" s="15"/>
      <c r="Y1837" s="15"/>
      <c r="Z1837" s="15"/>
      <c r="AA1837" s="15"/>
    </row>
    <row r="1838" spans="1:27" s="25" customFormat="1" ht="12" customHeight="1" x14ac:dyDescent="0.2">
      <c r="A1838" s="232"/>
      <c r="B1838" s="250"/>
      <c r="C1838" s="286"/>
      <c r="D1838" s="232"/>
      <c r="E1838" s="232"/>
      <c r="F1838" s="232"/>
      <c r="G1838" s="232"/>
      <c r="H1838" s="232"/>
      <c r="I1838" s="232"/>
      <c r="J1838" s="232"/>
      <c r="K1838" s="232"/>
      <c r="L1838" s="232"/>
      <c r="M1838" s="232"/>
      <c r="N1838" s="232"/>
      <c r="O1838" s="232"/>
      <c r="P1838" s="232"/>
      <c r="Q1838" s="232"/>
      <c r="R1838" s="232"/>
      <c r="S1838" s="232"/>
      <c r="T1838" s="232"/>
      <c r="U1838" s="232"/>
      <c r="V1838" s="15"/>
      <c r="W1838" s="15"/>
      <c r="X1838" s="15"/>
      <c r="Y1838" s="15"/>
      <c r="Z1838" s="15"/>
      <c r="AA1838" s="15"/>
    </row>
    <row r="1839" spans="1:27" s="25" customFormat="1" ht="12" customHeight="1" x14ac:dyDescent="0.2">
      <c r="A1839" s="232"/>
      <c r="B1839" s="250"/>
      <c r="C1839" s="286"/>
      <c r="D1839" s="232"/>
      <c r="E1839" s="232"/>
      <c r="F1839" s="232"/>
      <c r="G1839" s="232"/>
      <c r="H1839" s="232"/>
      <c r="I1839" s="232"/>
      <c r="J1839" s="232"/>
      <c r="K1839" s="232"/>
      <c r="L1839" s="232"/>
      <c r="M1839" s="232"/>
      <c r="N1839" s="232"/>
      <c r="O1839" s="232"/>
      <c r="P1839" s="232"/>
      <c r="Q1839" s="232"/>
      <c r="R1839" s="232"/>
      <c r="S1839" s="232"/>
      <c r="T1839" s="232"/>
      <c r="U1839" s="232"/>
      <c r="V1839" s="15"/>
      <c r="W1839" s="15"/>
      <c r="X1839" s="15"/>
      <c r="Y1839" s="15"/>
      <c r="Z1839" s="15"/>
      <c r="AA1839" s="15"/>
    </row>
    <row r="1840" spans="1:27" s="25" customFormat="1" ht="12" customHeight="1" x14ac:dyDescent="0.2">
      <c r="A1840" s="232"/>
      <c r="B1840" s="250"/>
      <c r="C1840" s="286"/>
      <c r="D1840" s="232"/>
      <c r="E1840" s="232"/>
      <c r="F1840" s="232"/>
      <c r="G1840" s="232"/>
      <c r="H1840" s="232"/>
      <c r="I1840" s="232"/>
      <c r="J1840" s="232"/>
      <c r="K1840" s="232"/>
      <c r="L1840" s="232"/>
      <c r="M1840" s="232"/>
      <c r="N1840" s="232"/>
      <c r="O1840" s="232"/>
      <c r="P1840" s="232"/>
      <c r="Q1840" s="232"/>
      <c r="R1840" s="232"/>
      <c r="S1840" s="232"/>
      <c r="T1840" s="232"/>
      <c r="U1840" s="232"/>
      <c r="V1840" s="15"/>
      <c r="W1840" s="15"/>
      <c r="X1840" s="15"/>
      <c r="Y1840" s="15"/>
      <c r="Z1840" s="15"/>
      <c r="AA1840" s="15"/>
    </row>
    <row r="1841" spans="1:27" s="25" customFormat="1" ht="12" customHeight="1" x14ac:dyDescent="0.2">
      <c r="A1841" s="232"/>
      <c r="B1841" s="250"/>
      <c r="C1841" s="286"/>
      <c r="D1841" s="232"/>
      <c r="E1841" s="232"/>
      <c r="F1841" s="232"/>
      <c r="G1841" s="232"/>
      <c r="H1841" s="232"/>
      <c r="I1841" s="232"/>
      <c r="J1841" s="232"/>
      <c r="K1841" s="232"/>
      <c r="L1841" s="232"/>
      <c r="M1841" s="232"/>
      <c r="N1841" s="232"/>
      <c r="O1841" s="232"/>
      <c r="P1841" s="232"/>
      <c r="Q1841" s="232"/>
      <c r="R1841" s="232"/>
      <c r="S1841" s="232"/>
      <c r="T1841" s="232"/>
      <c r="U1841" s="232"/>
      <c r="V1841" s="15"/>
      <c r="W1841" s="15"/>
      <c r="X1841" s="15"/>
      <c r="Y1841" s="15"/>
      <c r="Z1841" s="15"/>
      <c r="AA1841" s="15"/>
    </row>
    <row r="1842" spans="1:27" s="25" customFormat="1" ht="12" customHeight="1" x14ac:dyDescent="0.2">
      <c r="A1842" s="232"/>
      <c r="B1842" s="250"/>
      <c r="C1842" s="286"/>
      <c r="D1842" s="232"/>
      <c r="E1842" s="232"/>
      <c r="F1842" s="232"/>
      <c r="G1842" s="232"/>
      <c r="H1842" s="232"/>
      <c r="I1842" s="232"/>
      <c r="J1842" s="232"/>
      <c r="K1842" s="232"/>
      <c r="L1842" s="232"/>
      <c r="M1842" s="232"/>
      <c r="N1842" s="232"/>
      <c r="O1842" s="232"/>
      <c r="P1842" s="232"/>
      <c r="Q1842" s="232"/>
      <c r="R1842" s="232"/>
      <c r="S1842" s="232"/>
      <c r="T1842" s="232"/>
      <c r="U1842" s="232"/>
      <c r="V1842" s="15"/>
      <c r="W1842" s="15"/>
      <c r="X1842" s="15"/>
      <c r="Y1842" s="15"/>
      <c r="Z1842" s="15"/>
      <c r="AA1842" s="15"/>
    </row>
    <row r="1843" spans="1:27" s="25" customFormat="1" ht="12" customHeight="1" x14ac:dyDescent="0.2">
      <c r="A1843" s="232"/>
      <c r="B1843" s="250"/>
      <c r="C1843" s="286"/>
      <c r="D1843" s="232"/>
      <c r="E1843" s="232"/>
      <c r="F1843" s="232"/>
      <c r="G1843" s="232"/>
      <c r="H1843" s="232"/>
      <c r="I1843" s="232"/>
      <c r="J1843" s="232"/>
      <c r="K1843" s="232"/>
      <c r="L1843" s="232"/>
      <c r="M1843" s="232"/>
      <c r="N1843" s="232"/>
      <c r="O1843" s="232"/>
      <c r="P1843" s="232"/>
      <c r="Q1843" s="232"/>
      <c r="R1843" s="232"/>
      <c r="S1843" s="232"/>
      <c r="T1843" s="232"/>
      <c r="U1843" s="232"/>
      <c r="V1843" s="15"/>
      <c r="W1843" s="15"/>
      <c r="X1843" s="15"/>
      <c r="Y1843" s="15"/>
      <c r="Z1843" s="15"/>
      <c r="AA1843" s="15"/>
    </row>
    <row r="1844" spans="1:27" s="25" customFormat="1" ht="12" customHeight="1" x14ac:dyDescent="0.2">
      <c r="A1844" s="232"/>
      <c r="B1844" s="250"/>
      <c r="C1844" s="286"/>
      <c r="D1844" s="232"/>
      <c r="E1844" s="232"/>
      <c r="F1844" s="232"/>
      <c r="G1844" s="232"/>
      <c r="H1844" s="232"/>
      <c r="I1844" s="232"/>
      <c r="J1844" s="232"/>
      <c r="K1844" s="232"/>
      <c r="L1844" s="232"/>
      <c r="M1844" s="232"/>
      <c r="N1844" s="232"/>
      <c r="O1844" s="232"/>
      <c r="P1844" s="232"/>
      <c r="Q1844" s="232"/>
      <c r="R1844" s="232"/>
      <c r="S1844" s="232"/>
      <c r="T1844" s="232"/>
      <c r="U1844" s="232"/>
      <c r="V1844" s="15"/>
      <c r="W1844" s="15"/>
      <c r="X1844" s="15"/>
      <c r="Y1844" s="15"/>
      <c r="Z1844" s="15"/>
      <c r="AA1844" s="15"/>
    </row>
    <row r="1845" spans="1:27" s="25" customFormat="1" ht="12" customHeight="1" x14ac:dyDescent="0.2">
      <c r="A1845" s="232"/>
      <c r="B1845" s="250"/>
      <c r="C1845" s="286"/>
      <c r="D1845" s="232"/>
      <c r="E1845" s="232"/>
      <c r="F1845" s="232"/>
      <c r="G1845" s="232"/>
      <c r="H1845" s="232"/>
      <c r="I1845" s="232"/>
      <c r="J1845" s="232"/>
      <c r="K1845" s="232"/>
      <c r="L1845" s="232"/>
      <c r="M1845" s="232"/>
      <c r="N1845" s="232"/>
      <c r="O1845" s="232"/>
      <c r="P1845" s="232"/>
      <c r="Q1845" s="232"/>
      <c r="R1845" s="232"/>
      <c r="S1845" s="232"/>
      <c r="T1845" s="232"/>
      <c r="U1845" s="232"/>
      <c r="V1845" s="15"/>
      <c r="W1845" s="15"/>
      <c r="X1845" s="15"/>
      <c r="Y1845" s="15"/>
      <c r="Z1845" s="15"/>
      <c r="AA1845" s="15"/>
    </row>
    <row r="1846" spans="1:27" s="25" customFormat="1" ht="12" customHeight="1" x14ac:dyDescent="0.2">
      <c r="A1846" s="232"/>
      <c r="B1846" s="250"/>
      <c r="C1846" s="286"/>
      <c r="D1846" s="232"/>
      <c r="E1846" s="232"/>
      <c r="F1846" s="232"/>
      <c r="G1846" s="232"/>
      <c r="H1846" s="232"/>
      <c r="I1846" s="232"/>
      <c r="J1846" s="232"/>
      <c r="K1846" s="232"/>
      <c r="L1846" s="232"/>
      <c r="M1846" s="232"/>
      <c r="N1846" s="232"/>
      <c r="O1846" s="232"/>
      <c r="P1846" s="232"/>
      <c r="Q1846" s="232"/>
      <c r="R1846" s="232"/>
      <c r="S1846" s="232"/>
      <c r="T1846" s="232"/>
      <c r="U1846" s="232"/>
      <c r="V1846" s="15"/>
      <c r="W1846" s="15"/>
      <c r="X1846" s="15"/>
      <c r="Y1846" s="15"/>
      <c r="Z1846" s="15"/>
      <c r="AA1846" s="15"/>
    </row>
    <row r="1847" spans="1:27" s="25" customFormat="1" ht="12" customHeight="1" x14ac:dyDescent="0.2">
      <c r="A1847" s="232"/>
      <c r="B1847" s="250"/>
      <c r="C1847" s="286"/>
      <c r="D1847" s="232"/>
      <c r="E1847" s="232"/>
      <c r="F1847" s="232"/>
      <c r="G1847" s="232"/>
      <c r="H1847" s="232"/>
      <c r="I1847" s="232"/>
      <c r="J1847" s="232"/>
      <c r="K1847" s="232"/>
      <c r="L1847" s="232"/>
      <c r="M1847" s="232"/>
      <c r="N1847" s="232"/>
      <c r="O1847" s="232"/>
      <c r="P1847" s="232"/>
      <c r="Q1847" s="232"/>
      <c r="R1847" s="232"/>
      <c r="S1847" s="232"/>
      <c r="T1847" s="232"/>
      <c r="U1847" s="232"/>
      <c r="V1847" s="15"/>
      <c r="W1847" s="15"/>
      <c r="X1847" s="15"/>
      <c r="Y1847" s="15"/>
      <c r="Z1847" s="15"/>
      <c r="AA1847" s="15"/>
    </row>
    <row r="1848" spans="1:27" s="25" customFormat="1" ht="12" customHeight="1" x14ac:dyDescent="0.2">
      <c r="A1848" s="232"/>
      <c r="B1848" s="250"/>
      <c r="C1848" s="286"/>
      <c r="D1848" s="232"/>
      <c r="E1848" s="232"/>
      <c r="F1848" s="232"/>
      <c r="G1848" s="232"/>
      <c r="H1848" s="232"/>
      <c r="I1848" s="232"/>
      <c r="J1848" s="232"/>
      <c r="K1848" s="232"/>
      <c r="L1848" s="232"/>
      <c r="M1848" s="232"/>
      <c r="N1848" s="232"/>
      <c r="O1848" s="232"/>
      <c r="P1848" s="232"/>
      <c r="Q1848" s="232"/>
      <c r="R1848" s="232"/>
      <c r="S1848" s="232"/>
      <c r="T1848" s="232"/>
      <c r="U1848" s="232"/>
      <c r="V1848" s="15"/>
      <c r="W1848" s="15"/>
      <c r="X1848" s="15"/>
      <c r="Y1848" s="15"/>
      <c r="Z1848" s="15"/>
      <c r="AA1848" s="15"/>
    </row>
    <row r="1849" spans="1:27" s="25" customFormat="1" ht="12" customHeight="1" x14ac:dyDescent="0.2">
      <c r="A1849" s="232"/>
      <c r="B1849" s="250"/>
      <c r="C1849" s="286"/>
      <c r="D1849" s="232"/>
      <c r="E1849" s="232"/>
      <c r="F1849" s="232"/>
      <c r="G1849" s="232"/>
      <c r="H1849" s="232"/>
      <c r="I1849" s="232"/>
      <c r="J1849" s="232"/>
      <c r="K1849" s="232"/>
      <c r="L1849" s="232"/>
      <c r="M1849" s="232"/>
      <c r="N1849" s="232"/>
      <c r="O1849" s="232"/>
      <c r="P1849" s="232"/>
      <c r="Q1849" s="232"/>
      <c r="R1849" s="232"/>
      <c r="S1849" s="232"/>
      <c r="T1849" s="232"/>
      <c r="U1849" s="232"/>
      <c r="V1849" s="15"/>
      <c r="W1849" s="15"/>
      <c r="X1849" s="15"/>
      <c r="Y1849" s="15"/>
      <c r="Z1849" s="15"/>
      <c r="AA1849" s="15"/>
    </row>
    <row r="1850" spans="1:27" s="25" customFormat="1" ht="12" customHeight="1" x14ac:dyDescent="0.2">
      <c r="A1850" s="232"/>
      <c r="B1850" s="250"/>
      <c r="C1850" s="286"/>
      <c r="D1850" s="232"/>
      <c r="E1850" s="232"/>
      <c r="F1850" s="232"/>
      <c r="G1850" s="232"/>
      <c r="H1850" s="232"/>
      <c r="I1850" s="232"/>
      <c r="J1850" s="232"/>
      <c r="K1850" s="232"/>
      <c r="L1850" s="232"/>
      <c r="M1850" s="232"/>
      <c r="N1850" s="232"/>
      <c r="O1850" s="232"/>
      <c r="P1850" s="232"/>
      <c r="Q1850" s="232"/>
      <c r="R1850" s="232"/>
      <c r="S1850" s="232"/>
      <c r="T1850" s="232"/>
      <c r="U1850" s="232"/>
      <c r="V1850" s="15"/>
      <c r="W1850" s="15"/>
      <c r="X1850" s="15"/>
      <c r="Y1850" s="15"/>
      <c r="Z1850" s="15"/>
      <c r="AA1850" s="15"/>
    </row>
    <row r="1851" spans="1:27" s="25" customFormat="1" ht="12" customHeight="1" x14ac:dyDescent="0.2">
      <c r="A1851" s="232"/>
      <c r="B1851" s="250"/>
      <c r="C1851" s="286"/>
      <c r="D1851" s="232"/>
      <c r="E1851" s="232"/>
      <c r="F1851" s="232"/>
      <c r="G1851" s="232"/>
      <c r="H1851" s="232"/>
      <c r="I1851" s="232"/>
      <c r="J1851" s="232"/>
      <c r="K1851" s="232"/>
      <c r="L1851" s="232"/>
      <c r="M1851" s="232"/>
      <c r="N1851" s="232"/>
      <c r="O1851" s="232"/>
      <c r="P1851" s="232"/>
      <c r="Q1851" s="232"/>
      <c r="R1851" s="232"/>
      <c r="S1851" s="232"/>
      <c r="T1851" s="232"/>
      <c r="U1851" s="232"/>
      <c r="V1851" s="15"/>
      <c r="W1851" s="15"/>
      <c r="X1851" s="15"/>
      <c r="Y1851" s="15"/>
      <c r="Z1851" s="15"/>
      <c r="AA1851" s="15"/>
    </row>
    <row r="1852" spans="1:27" s="25" customFormat="1" ht="12" customHeight="1" x14ac:dyDescent="0.2">
      <c r="A1852" s="232"/>
      <c r="B1852" s="250"/>
      <c r="C1852" s="286"/>
      <c r="D1852" s="232"/>
      <c r="E1852" s="232"/>
      <c r="F1852" s="232"/>
      <c r="G1852" s="232"/>
      <c r="H1852" s="232"/>
      <c r="I1852" s="232"/>
      <c r="J1852" s="232"/>
      <c r="K1852" s="232"/>
      <c r="L1852" s="232"/>
      <c r="M1852" s="232"/>
      <c r="N1852" s="232"/>
      <c r="O1852" s="232"/>
      <c r="P1852" s="232"/>
      <c r="Q1852" s="232"/>
      <c r="R1852" s="232"/>
      <c r="S1852" s="232"/>
      <c r="T1852" s="232"/>
      <c r="U1852" s="232"/>
      <c r="V1852" s="15"/>
      <c r="W1852" s="15"/>
      <c r="X1852" s="15"/>
      <c r="Y1852" s="15"/>
      <c r="Z1852" s="15"/>
      <c r="AA1852" s="15"/>
    </row>
    <row r="1853" spans="1:27" s="25" customFormat="1" ht="12" customHeight="1" x14ac:dyDescent="0.2">
      <c r="A1853" s="232"/>
      <c r="B1853" s="250"/>
      <c r="C1853" s="286"/>
      <c r="D1853" s="232"/>
      <c r="E1853" s="232"/>
      <c r="F1853" s="232"/>
      <c r="G1853" s="232"/>
      <c r="H1853" s="232"/>
      <c r="I1853" s="232"/>
      <c r="J1853" s="232"/>
      <c r="K1853" s="232"/>
      <c r="L1853" s="232"/>
      <c r="M1853" s="232"/>
      <c r="N1853" s="232"/>
      <c r="O1853" s="232"/>
      <c r="P1853" s="232"/>
      <c r="Q1853" s="232"/>
      <c r="R1853" s="232"/>
      <c r="S1853" s="232"/>
      <c r="T1853" s="232"/>
      <c r="U1853" s="232"/>
      <c r="V1853" s="15"/>
      <c r="W1853" s="15"/>
      <c r="X1853" s="15"/>
      <c r="Y1853" s="15"/>
      <c r="Z1853" s="15"/>
      <c r="AA1853" s="15"/>
    </row>
    <row r="1854" spans="1:27" s="25" customFormat="1" ht="12" customHeight="1" x14ac:dyDescent="0.2">
      <c r="A1854" s="232"/>
      <c r="B1854" s="250"/>
      <c r="C1854" s="286"/>
      <c r="D1854" s="232"/>
      <c r="E1854" s="232"/>
      <c r="F1854" s="232"/>
      <c r="G1854" s="232"/>
      <c r="H1854" s="232"/>
      <c r="I1854" s="232"/>
      <c r="J1854" s="232"/>
      <c r="K1854" s="232"/>
      <c r="L1854" s="232"/>
      <c r="M1854" s="232"/>
      <c r="N1854" s="232"/>
      <c r="O1854" s="232"/>
      <c r="P1854" s="232"/>
      <c r="Q1854" s="232"/>
      <c r="R1854" s="232"/>
      <c r="S1854" s="232"/>
      <c r="T1854" s="232"/>
      <c r="U1854" s="232"/>
      <c r="V1854" s="15"/>
      <c r="W1854" s="15"/>
      <c r="X1854" s="15"/>
      <c r="Y1854" s="15"/>
      <c r="Z1854" s="15"/>
      <c r="AA1854" s="15"/>
    </row>
    <row r="1855" spans="1:27" s="25" customFormat="1" ht="12" customHeight="1" x14ac:dyDescent="0.2">
      <c r="A1855" s="232"/>
      <c r="B1855" s="250"/>
      <c r="C1855" s="286"/>
      <c r="D1855" s="232"/>
      <c r="E1855" s="232"/>
      <c r="F1855" s="232"/>
      <c r="G1855" s="232"/>
      <c r="H1855" s="232"/>
      <c r="I1855" s="232"/>
      <c r="J1855" s="232"/>
      <c r="K1855" s="232"/>
      <c r="L1855" s="232"/>
      <c r="M1855" s="232"/>
      <c r="N1855" s="232"/>
      <c r="O1855" s="232"/>
      <c r="P1855" s="232"/>
      <c r="Q1855" s="232"/>
      <c r="R1855" s="232"/>
      <c r="S1855" s="232"/>
      <c r="T1855" s="232"/>
      <c r="U1855" s="232"/>
      <c r="V1855" s="15"/>
      <c r="W1855" s="15"/>
      <c r="X1855" s="15"/>
      <c r="Y1855" s="15"/>
      <c r="Z1855" s="15"/>
      <c r="AA1855" s="15"/>
    </row>
    <row r="1856" spans="1:27" s="25" customFormat="1" ht="12" customHeight="1" x14ac:dyDescent="0.2">
      <c r="A1856" s="232"/>
      <c r="B1856" s="250"/>
      <c r="C1856" s="286"/>
      <c r="D1856" s="232"/>
      <c r="E1856" s="232"/>
      <c r="F1856" s="232"/>
      <c r="G1856" s="232"/>
      <c r="H1856" s="232"/>
      <c r="I1856" s="232"/>
      <c r="J1856" s="232"/>
      <c r="K1856" s="232"/>
      <c r="L1856" s="232"/>
      <c r="M1856" s="232"/>
      <c r="N1856" s="232"/>
      <c r="O1856" s="232"/>
      <c r="P1856" s="232"/>
      <c r="Q1856" s="232"/>
      <c r="R1856" s="232"/>
      <c r="S1856" s="232"/>
      <c r="T1856" s="232"/>
      <c r="U1856" s="232"/>
      <c r="V1856" s="15"/>
      <c r="W1856" s="15"/>
      <c r="X1856" s="15"/>
      <c r="Y1856" s="15"/>
      <c r="Z1856" s="15"/>
      <c r="AA1856" s="15"/>
    </row>
    <row r="1857" spans="1:27" s="25" customFormat="1" ht="12" customHeight="1" x14ac:dyDescent="0.2">
      <c r="A1857" s="232"/>
      <c r="B1857" s="250"/>
      <c r="C1857" s="286"/>
      <c r="D1857" s="232"/>
      <c r="E1857" s="232"/>
      <c r="F1857" s="232"/>
      <c r="G1857" s="232"/>
      <c r="H1857" s="232"/>
      <c r="I1857" s="232"/>
      <c r="J1857" s="232"/>
      <c r="K1857" s="232"/>
      <c r="L1857" s="232"/>
      <c r="M1857" s="232"/>
      <c r="N1857" s="232"/>
      <c r="O1857" s="232"/>
      <c r="P1857" s="232"/>
      <c r="Q1857" s="232"/>
      <c r="R1857" s="232"/>
      <c r="S1857" s="232"/>
      <c r="T1857" s="232"/>
      <c r="U1857" s="232"/>
      <c r="V1857" s="15"/>
      <c r="W1857" s="15"/>
      <c r="X1857" s="15"/>
      <c r="Y1857" s="15"/>
      <c r="Z1857" s="15"/>
      <c r="AA1857" s="15"/>
    </row>
    <row r="1858" spans="1:27" s="25" customFormat="1" ht="12" customHeight="1" x14ac:dyDescent="0.2">
      <c r="A1858" s="232"/>
      <c r="B1858" s="250"/>
      <c r="C1858" s="286"/>
      <c r="D1858" s="232"/>
      <c r="E1858" s="232"/>
      <c r="F1858" s="232"/>
      <c r="G1858" s="232"/>
      <c r="H1858" s="232"/>
      <c r="I1858" s="232"/>
      <c r="J1858" s="232"/>
      <c r="K1858" s="232"/>
      <c r="L1858" s="232"/>
      <c r="M1858" s="232"/>
      <c r="N1858" s="232"/>
      <c r="O1858" s="232"/>
      <c r="P1858" s="232"/>
      <c r="Q1858" s="232"/>
      <c r="R1858" s="232"/>
      <c r="S1858" s="232"/>
      <c r="T1858" s="232"/>
      <c r="U1858" s="232"/>
      <c r="V1858" s="15"/>
      <c r="W1858" s="15"/>
      <c r="X1858" s="15"/>
      <c r="Y1858" s="15"/>
      <c r="Z1858" s="15"/>
      <c r="AA1858" s="15"/>
    </row>
    <row r="1859" spans="1:27" s="25" customFormat="1" ht="12" customHeight="1" x14ac:dyDescent="0.2">
      <c r="A1859" s="232"/>
      <c r="B1859" s="250"/>
      <c r="C1859" s="286"/>
      <c r="D1859" s="232"/>
      <c r="E1859" s="232"/>
      <c r="F1859" s="232"/>
      <c r="G1859" s="232"/>
      <c r="H1859" s="232"/>
      <c r="I1859" s="232"/>
      <c r="J1859" s="232"/>
      <c r="K1859" s="232"/>
      <c r="L1859" s="232"/>
      <c r="M1859" s="232"/>
      <c r="N1859" s="232"/>
      <c r="O1859" s="232"/>
      <c r="P1859" s="232"/>
      <c r="Q1859" s="232"/>
      <c r="R1859" s="232"/>
      <c r="S1859" s="232"/>
      <c r="T1859" s="232"/>
      <c r="U1859" s="232"/>
      <c r="V1859" s="15"/>
      <c r="W1859" s="15"/>
      <c r="X1859" s="15"/>
      <c r="Y1859" s="15"/>
      <c r="Z1859" s="15"/>
      <c r="AA1859" s="15"/>
    </row>
    <row r="1860" spans="1:27" s="25" customFormat="1" ht="12" customHeight="1" x14ac:dyDescent="0.2">
      <c r="A1860" s="232"/>
      <c r="B1860" s="250"/>
      <c r="C1860" s="286"/>
      <c r="D1860" s="232"/>
      <c r="E1860" s="232"/>
      <c r="F1860" s="232"/>
      <c r="G1860" s="232"/>
      <c r="H1860" s="232"/>
      <c r="I1860" s="232"/>
      <c r="J1860" s="232"/>
      <c r="K1860" s="232"/>
      <c r="L1860" s="232"/>
      <c r="M1860" s="232"/>
      <c r="N1860" s="232"/>
      <c r="O1860" s="232"/>
      <c r="P1860" s="232"/>
      <c r="Q1860" s="232"/>
      <c r="R1860" s="232"/>
      <c r="S1860" s="232"/>
      <c r="T1860" s="232"/>
      <c r="U1860" s="232"/>
      <c r="V1860" s="15"/>
      <c r="W1860" s="15"/>
      <c r="X1860" s="15"/>
      <c r="Y1860" s="15"/>
      <c r="Z1860" s="15"/>
      <c r="AA1860" s="15"/>
    </row>
    <row r="1861" spans="1:27" s="25" customFormat="1" ht="12" customHeight="1" x14ac:dyDescent="0.2">
      <c r="A1861" s="232"/>
      <c r="B1861" s="250"/>
      <c r="C1861" s="286"/>
      <c r="D1861" s="232"/>
      <c r="E1861" s="232"/>
      <c r="F1861" s="232"/>
      <c r="G1861" s="232"/>
      <c r="H1861" s="232"/>
      <c r="I1861" s="232"/>
      <c r="J1861" s="232"/>
      <c r="K1861" s="232"/>
      <c r="L1861" s="232"/>
      <c r="M1861" s="232"/>
      <c r="N1861" s="232"/>
      <c r="O1861" s="232"/>
      <c r="P1861" s="232"/>
      <c r="Q1861" s="232"/>
      <c r="R1861" s="232"/>
      <c r="S1861" s="232"/>
      <c r="T1861" s="232"/>
      <c r="U1861" s="232"/>
      <c r="V1861" s="15"/>
      <c r="W1861" s="15"/>
      <c r="X1861" s="15"/>
      <c r="Y1861" s="15"/>
      <c r="Z1861" s="15"/>
      <c r="AA1861" s="15"/>
    </row>
    <row r="1862" spans="1:27" s="25" customFormat="1" ht="12" customHeight="1" x14ac:dyDescent="0.2">
      <c r="A1862" s="232"/>
      <c r="B1862" s="250"/>
      <c r="C1862" s="286"/>
      <c r="D1862" s="232"/>
      <c r="E1862" s="232"/>
      <c r="F1862" s="232"/>
      <c r="G1862" s="232"/>
      <c r="H1862" s="232"/>
      <c r="I1862" s="232"/>
      <c r="J1862" s="232"/>
      <c r="K1862" s="232"/>
      <c r="L1862" s="232"/>
      <c r="M1862" s="232"/>
      <c r="N1862" s="232"/>
      <c r="O1862" s="232"/>
      <c r="P1862" s="232"/>
      <c r="Q1862" s="232"/>
      <c r="R1862" s="232"/>
      <c r="S1862" s="232"/>
      <c r="T1862" s="232"/>
      <c r="U1862" s="232"/>
      <c r="V1862" s="15"/>
      <c r="W1862" s="15"/>
      <c r="X1862" s="15"/>
      <c r="Y1862" s="15"/>
      <c r="Z1862" s="15"/>
      <c r="AA1862" s="15"/>
    </row>
    <row r="1863" spans="1:27" s="25" customFormat="1" ht="12" customHeight="1" x14ac:dyDescent="0.2">
      <c r="A1863" s="232"/>
      <c r="B1863" s="250"/>
      <c r="C1863" s="286"/>
      <c r="D1863" s="232"/>
      <c r="E1863" s="232"/>
      <c r="F1863" s="232"/>
      <c r="G1863" s="232"/>
      <c r="H1863" s="232"/>
      <c r="I1863" s="232"/>
      <c r="J1863" s="232"/>
      <c r="K1863" s="232"/>
      <c r="L1863" s="232"/>
      <c r="M1863" s="232"/>
      <c r="N1863" s="232"/>
      <c r="O1863" s="232"/>
      <c r="P1863" s="232"/>
      <c r="Q1863" s="232"/>
      <c r="R1863" s="232"/>
      <c r="S1863" s="232"/>
      <c r="T1863" s="232"/>
      <c r="U1863" s="232"/>
      <c r="V1863" s="15"/>
      <c r="W1863" s="15"/>
      <c r="X1863" s="15"/>
      <c r="Y1863" s="15"/>
      <c r="Z1863" s="15"/>
      <c r="AA1863" s="15"/>
    </row>
    <row r="1864" spans="1:27" s="25" customFormat="1" ht="12" customHeight="1" x14ac:dyDescent="0.2">
      <c r="A1864" s="232"/>
      <c r="B1864" s="250"/>
      <c r="C1864" s="286"/>
      <c r="D1864" s="232"/>
      <c r="E1864" s="232"/>
      <c r="F1864" s="232"/>
      <c r="G1864" s="232"/>
      <c r="H1864" s="232"/>
      <c r="I1864" s="232"/>
      <c r="J1864" s="232"/>
      <c r="K1864" s="232"/>
      <c r="L1864" s="232"/>
      <c r="M1864" s="232"/>
      <c r="N1864" s="232"/>
      <c r="O1864" s="232"/>
      <c r="P1864" s="232"/>
      <c r="Q1864" s="232"/>
      <c r="R1864" s="232"/>
      <c r="S1864" s="232"/>
      <c r="T1864" s="232"/>
      <c r="U1864" s="232"/>
      <c r="V1864" s="15"/>
      <c r="W1864" s="15"/>
      <c r="X1864" s="15"/>
      <c r="Y1864" s="15"/>
      <c r="Z1864" s="15"/>
      <c r="AA1864" s="15"/>
    </row>
    <row r="1865" spans="1:27" s="25" customFormat="1" ht="12" customHeight="1" x14ac:dyDescent="0.2">
      <c r="A1865" s="232"/>
      <c r="B1865" s="250"/>
      <c r="C1865" s="286"/>
      <c r="D1865" s="232"/>
      <c r="E1865" s="232"/>
      <c r="F1865" s="232"/>
      <c r="G1865" s="232"/>
      <c r="H1865" s="232"/>
      <c r="I1865" s="232"/>
      <c r="J1865" s="232"/>
      <c r="K1865" s="232"/>
      <c r="L1865" s="232"/>
      <c r="M1865" s="232"/>
      <c r="N1865" s="232"/>
      <c r="O1865" s="232"/>
      <c r="P1865" s="232"/>
      <c r="Q1865" s="232"/>
      <c r="R1865" s="232"/>
      <c r="S1865" s="232"/>
      <c r="T1865" s="232"/>
      <c r="U1865" s="232"/>
      <c r="V1865" s="15"/>
      <c r="W1865" s="15"/>
      <c r="X1865" s="15"/>
      <c r="Y1865" s="15"/>
      <c r="Z1865" s="15"/>
      <c r="AA1865" s="15"/>
    </row>
    <row r="1866" spans="1:27" s="25" customFormat="1" ht="12" customHeight="1" x14ac:dyDescent="0.2">
      <c r="A1866" s="232"/>
      <c r="B1866" s="250"/>
      <c r="C1866" s="286"/>
      <c r="D1866" s="232"/>
      <c r="E1866" s="232"/>
      <c r="F1866" s="232"/>
      <c r="G1866" s="232"/>
      <c r="H1866" s="232"/>
      <c r="I1866" s="232"/>
      <c r="J1866" s="232"/>
      <c r="K1866" s="232"/>
      <c r="L1866" s="232"/>
      <c r="M1866" s="232"/>
      <c r="N1866" s="232"/>
      <c r="O1866" s="232"/>
      <c r="P1866" s="232"/>
      <c r="Q1866" s="232"/>
      <c r="R1866" s="232"/>
      <c r="S1866" s="232"/>
      <c r="T1866" s="232"/>
      <c r="U1866" s="232"/>
      <c r="V1866" s="15"/>
      <c r="W1866" s="15"/>
      <c r="X1866" s="15"/>
      <c r="Y1866" s="15"/>
      <c r="Z1866" s="15"/>
      <c r="AA1866" s="15"/>
    </row>
    <row r="1867" spans="1:27" s="25" customFormat="1" ht="12" customHeight="1" x14ac:dyDescent="0.2">
      <c r="A1867" s="232"/>
      <c r="B1867" s="250"/>
      <c r="C1867" s="286"/>
      <c r="D1867" s="232"/>
      <c r="E1867" s="232"/>
      <c r="F1867" s="232"/>
      <c r="G1867" s="232"/>
      <c r="H1867" s="232"/>
      <c r="I1867" s="232"/>
      <c r="J1867" s="232"/>
      <c r="K1867" s="232"/>
      <c r="L1867" s="232"/>
      <c r="M1867" s="232"/>
      <c r="N1867" s="232"/>
      <c r="O1867" s="232"/>
      <c r="P1867" s="232"/>
      <c r="Q1867" s="232"/>
      <c r="R1867" s="232"/>
      <c r="S1867" s="232"/>
      <c r="T1867" s="232"/>
      <c r="U1867" s="232"/>
      <c r="V1867" s="15"/>
      <c r="W1867" s="15"/>
      <c r="X1867" s="15"/>
      <c r="Y1867" s="15"/>
      <c r="Z1867" s="15"/>
      <c r="AA1867" s="15"/>
    </row>
    <row r="1868" spans="1:27" s="25" customFormat="1" ht="12" customHeight="1" x14ac:dyDescent="0.2">
      <c r="A1868" s="232"/>
      <c r="B1868" s="250"/>
      <c r="C1868" s="286"/>
      <c r="D1868" s="232"/>
      <c r="E1868" s="232"/>
      <c r="F1868" s="232"/>
      <c r="G1868" s="232"/>
      <c r="H1868" s="232"/>
      <c r="I1868" s="232"/>
      <c r="J1868" s="232"/>
      <c r="K1868" s="232"/>
      <c r="L1868" s="232"/>
      <c r="M1868" s="232"/>
      <c r="N1868" s="232"/>
      <c r="O1868" s="232"/>
      <c r="P1868" s="232"/>
      <c r="Q1868" s="232"/>
      <c r="R1868" s="232"/>
      <c r="S1868" s="232"/>
      <c r="T1868" s="232"/>
      <c r="U1868" s="232"/>
      <c r="V1868" s="15"/>
      <c r="W1868" s="15"/>
      <c r="X1868" s="15"/>
      <c r="Y1868" s="15"/>
      <c r="Z1868" s="15"/>
      <c r="AA1868" s="15"/>
    </row>
    <row r="1869" spans="1:27" s="25" customFormat="1" ht="12" customHeight="1" x14ac:dyDescent="0.2">
      <c r="A1869" s="232"/>
      <c r="B1869" s="250"/>
      <c r="C1869" s="286"/>
      <c r="D1869" s="232"/>
      <c r="E1869" s="232"/>
      <c r="F1869" s="232"/>
      <c r="G1869" s="232"/>
      <c r="H1869" s="232"/>
      <c r="I1869" s="232"/>
      <c r="J1869" s="232"/>
      <c r="K1869" s="232"/>
      <c r="L1869" s="232"/>
      <c r="M1869" s="232"/>
      <c r="N1869" s="232"/>
      <c r="O1869" s="232"/>
      <c r="P1869" s="232"/>
      <c r="Q1869" s="232"/>
      <c r="R1869" s="232"/>
      <c r="S1869" s="232"/>
      <c r="T1869" s="232"/>
      <c r="U1869" s="232"/>
      <c r="V1869" s="15"/>
      <c r="W1869" s="15"/>
      <c r="X1869" s="15"/>
      <c r="Y1869" s="15"/>
      <c r="Z1869" s="15"/>
      <c r="AA1869" s="15"/>
    </row>
    <row r="1870" spans="1:27" s="25" customFormat="1" ht="12" customHeight="1" x14ac:dyDescent="0.2">
      <c r="A1870" s="232"/>
      <c r="B1870" s="250"/>
      <c r="C1870" s="286"/>
      <c r="D1870" s="232"/>
      <c r="E1870" s="232"/>
      <c r="F1870" s="232"/>
      <c r="G1870" s="232"/>
      <c r="H1870" s="232"/>
      <c r="I1870" s="232"/>
      <c r="J1870" s="232"/>
      <c r="K1870" s="232"/>
      <c r="L1870" s="232"/>
      <c r="M1870" s="232"/>
      <c r="N1870" s="232"/>
      <c r="O1870" s="232"/>
      <c r="P1870" s="232"/>
      <c r="Q1870" s="232"/>
      <c r="R1870" s="232"/>
      <c r="S1870" s="232"/>
      <c r="T1870" s="232"/>
      <c r="U1870" s="232"/>
      <c r="V1870" s="15"/>
      <c r="W1870" s="15"/>
      <c r="X1870" s="15"/>
      <c r="Y1870" s="15"/>
      <c r="Z1870" s="15"/>
      <c r="AA1870" s="15"/>
    </row>
    <row r="1871" spans="1:27" s="25" customFormat="1" ht="12" customHeight="1" x14ac:dyDescent="0.2">
      <c r="A1871" s="232"/>
      <c r="B1871" s="250"/>
      <c r="C1871" s="286"/>
      <c r="D1871" s="232"/>
      <c r="E1871" s="232"/>
      <c r="F1871" s="232"/>
      <c r="G1871" s="232"/>
      <c r="H1871" s="232"/>
      <c r="I1871" s="232"/>
      <c r="J1871" s="232"/>
      <c r="K1871" s="232"/>
      <c r="L1871" s="232"/>
      <c r="M1871" s="232"/>
      <c r="N1871" s="232"/>
      <c r="O1871" s="232"/>
      <c r="P1871" s="232"/>
      <c r="Q1871" s="232"/>
      <c r="R1871" s="232"/>
      <c r="S1871" s="232"/>
      <c r="T1871" s="232"/>
      <c r="U1871" s="232"/>
      <c r="V1871" s="15"/>
      <c r="W1871" s="15"/>
      <c r="X1871" s="15"/>
      <c r="Y1871" s="15"/>
      <c r="Z1871" s="15"/>
      <c r="AA1871" s="15"/>
    </row>
    <row r="1872" spans="1:27" s="25" customFormat="1" ht="12" customHeight="1" x14ac:dyDescent="0.2">
      <c r="A1872" s="232"/>
      <c r="B1872" s="250"/>
      <c r="C1872" s="286"/>
      <c r="D1872" s="232"/>
      <c r="E1872" s="232"/>
      <c r="F1872" s="232"/>
      <c r="G1872" s="232"/>
      <c r="H1872" s="232"/>
      <c r="I1872" s="232"/>
      <c r="J1872" s="232"/>
      <c r="K1872" s="232"/>
      <c r="L1872" s="232"/>
      <c r="M1872" s="232"/>
      <c r="N1872" s="232"/>
      <c r="O1872" s="232"/>
      <c r="P1872" s="232"/>
      <c r="Q1872" s="232"/>
      <c r="R1872" s="232"/>
      <c r="S1872" s="232"/>
      <c r="T1872" s="232"/>
      <c r="U1872" s="232"/>
      <c r="V1872" s="15"/>
      <c r="W1872" s="15"/>
      <c r="X1872" s="15"/>
      <c r="Y1872" s="15"/>
      <c r="Z1872" s="15"/>
      <c r="AA1872" s="15"/>
    </row>
    <row r="1873" spans="1:27" s="25" customFormat="1" ht="12" customHeight="1" x14ac:dyDescent="0.2">
      <c r="A1873" s="232"/>
      <c r="B1873" s="250"/>
      <c r="C1873" s="286"/>
      <c r="D1873" s="232"/>
      <c r="E1873" s="232"/>
      <c r="F1873" s="232"/>
      <c r="G1873" s="232"/>
      <c r="H1873" s="232"/>
      <c r="I1873" s="232"/>
      <c r="J1873" s="232"/>
      <c r="K1873" s="232"/>
      <c r="L1873" s="232"/>
      <c r="M1873" s="232"/>
      <c r="N1873" s="232"/>
      <c r="O1873" s="232"/>
      <c r="P1873" s="232"/>
      <c r="Q1873" s="232"/>
      <c r="R1873" s="232"/>
      <c r="S1873" s="232"/>
      <c r="T1873" s="232"/>
      <c r="U1873" s="232"/>
      <c r="V1873" s="15"/>
      <c r="W1873" s="15"/>
      <c r="X1873" s="15"/>
      <c r="Y1873" s="15"/>
      <c r="Z1873" s="15"/>
      <c r="AA1873" s="15"/>
    </row>
    <row r="1874" spans="1:27" s="25" customFormat="1" ht="12" customHeight="1" x14ac:dyDescent="0.2">
      <c r="A1874" s="232"/>
      <c r="B1874" s="250"/>
      <c r="C1874" s="286"/>
      <c r="D1874" s="232"/>
      <c r="E1874" s="232"/>
      <c r="F1874" s="232"/>
      <c r="G1874" s="232"/>
      <c r="H1874" s="232"/>
      <c r="I1874" s="232"/>
      <c r="J1874" s="232"/>
      <c r="K1874" s="232"/>
      <c r="L1874" s="232"/>
      <c r="M1874" s="232"/>
      <c r="N1874" s="232"/>
      <c r="O1874" s="232"/>
      <c r="P1874" s="232"/>
      <c r="Q1874" s="232"/>
      <c r="R1874" s="232"/>
      <c r="S1874" s="232"/>
      <c r="T1874" s="232"/>
      <c r="U1874" s="232"/>
      <c r="V1874" s="15"/>
      <c r="W1874" s="15"/>
      <c r="X1874" s="15"/>
      <c r="Y1874" s="15"/>
      <c r="Z1874" s="15"/>
      <c r="AA1874" s="15"/>
    </row>
    <row r="1875" spans="1:27" s="25" customFormat="1" ht="12" customHeight="1" x14ac:dyDescent="0.2">
      <c r="A1875" s="232"/>
      <c r="B1875" s="250"/>
      <c r="C1875" s="286"/>
      <c r="D1875" s="232"/>
      <c r="E1875" s="232"/>
      <c r="F1875" s="232"/>
      <c r="G1875" s="232"/>
      <c r="H1875" s="232"/>
      <c r="I1875" s="232"/>
      <c r="J1875" s="232"/>
      <c r="K1875" s="232"/>
      <c r="L1875" s="232"/>
      <c r="M1875" s="232"/>
      <c r="N1875" s="232"/>
      <c r="O1875" s="232"/>
      <c r="P1875" s="232"/>
      <c r="Q1875" s="232"/>
      <c r="R1875" s="232"/>
      <c r="S1875" s="232"/>
      <c r="T1875" s="232"/>
      <c r="U1875" s="232"/>
      <c r="V1875" s="15"/>
      <c r="W1875" s="15"/>
      <c r="X1875" s="15"/>
      <c r="Y1875" s="15"/>
      <c r="Z1875" s="15"/>
      <c r="AA1875" s="15"/>
    </row>
    <row r="1876" spans="1:27" s="25" customFormat="1" ht="12" customHeight="1" x14ac:dyDescent="0.2">
      <c r="A1876" s="232"/>
      <c r="B1876" s="250"/>
      <c r="C1876" s="286"/>
      <c r="D1876" s="232"/>
      <c r="E1876" s="232"/>
      <c r="F1876" s="232"/>
      <c r="G1876" s="232"/>
      <c r="H1876" s="232"/>
      <c r="I1876" s="232"/>
      <c r="J1876" s="232"/>
      <c r="K1876" s="232"/>
      <c r="L1876" s="232"/>
      <c r="M1876" s="232"/>
      <c r="N1876" s="232"/>
      <c r="O1876" s="232"/>
      <c r="P1876" s="232"/>
      <c r="Q1876" s="232"/>
      <c r="R1876" s="232"/>
      <c r="S1876" s="232"/>
      <c r="T1876" s="232"/>
      <c r="U1876" s="232"/>
      <c r="V1876" s="15"/>
      <c r="W1876" s="15"/>
      <c r="X1876" s="15"/>
      <c r="Y1876" s="15"/>
      <c r="Z1876" s="15"/>
      <c r="AA1876" s="15"/>
    </row>
    <row r="1877" spans="1:27" s="25" customFormat="1" ht="12" customHeight="1" x14ac:dyDescent="0.2">
      <c r="A1877" s="232"/>
      <c r="B1877" s="250"/>
      <c r="C1877" s="286"/>
      <c r="D1877" s="232"/>
      <c r="E1877" s="232"/>
      <c r="F1877" s="232"/>
      <c r="G1877" s="232"/>
      <c r="H1877" s="232"/>
      <c r="I1877" s="232"/>
      <c r="J1877" s="232"/>
      <c r="K1877" s="232"/>
      <c r="L1877" s="232"/>
      <c r="M1877" s="232"/>
      <c r="N1877" s="232"/>
      <c r="O1877" s="232"/>
      <c r="P1877" s="232"/>
      <c r="Q1877" s="232"/>
      <c r="R1877" s="232"/>
      <c r="S1877" s="232"/>
      <c r="T1877" s="232"/>
      <c r="U1877" s="232"/>
      <c r="V1877" s="15"/>
      <c r="W1877" s="15"/>
      <c r="X1877" s="15"/>
      <c r="Y1877" s="15"/>
      <c r="Z1877" s="15"/>
      <c r="AA1877" s="15"/>
    </row>
    <row r="1878" spans="1:27" s="25" customFormat="1" ht="12" customHeight="1" x14ac:dyDescent="0.2">
      <c r="A1878" s="232"/>
      <c r="B1878" s="250"/>
      <c r="C1878" s="286"/>
      <c r="D1878" s="232"/>
      <c r="E1878" s="232"/>
      <c r="F1878" s="232"/>
      <c r="G1878" s="232"/>
      <c r="H1878" s="232"/>
      <c r="I1878" s="232"/>
      <c r="J1878" s="232"/>
      <c r="K1878" s="232"/>
      <c r="L1878" s="232"/>
      <c r="M1878" s="232"/>
      <c r="N1878" s="232"/>
      <c r="O1878" s="232"/>
      <c r="P1878" s="232"/>
      <c r="Q1878" s="232"/>
      <c r="R1878" s="232"/>
      <c r="S1878" s="232"/>
      <c r="T1878" s="232"/>
      <c r="U1878" s="232"/>
      <c r="V1878" s="15"/>
      <c r="W1878" s="15"/>
      <c r="X1878" s="15"/>
      <c r="Y1878" s="15"/>
      <c r="Z1878" s="15"/>
      <c r="AA1878" s="15"/>
    </row>
    <row r="1879" spans="1:27" s="25" customFormat="1" ht="12" customHeight="1" x14ac:dyDescent="0.2">
      <c r="A1879" s="232"/>
      <c r="B1879" s="250"/>
      <c r="C1879" s="286"/>
      <c r="D1879" s="232"/>
      <c r="E1879" s="232"/>
      <c r="F1879" s="232"/>
      <c r="G1879" s="232"/>
      <c r="H1879" s="232"/>
      <c r="I1879" s="232"/>
      <c r="J1879" s="232"/>
      <c r="K1879" s="232"/>
      <c r="L1879" s="232"/>
      <c r="M1879" s="232"/>
      <c r="N1879" s="232"/>
      <c r="O1879" s="232"/>
      <c r="P1879" s="232"/>
      <c r="Q1879" s="232"/>
      <c r="R1879" s="232"/>
      <c r="S1879" s="232"/>
      <c r="T1879" s="232"/>
      <c r="U1879" s="232"/>
      <c r="V1879" s="15"/>
      <c r="W1879" s="15"/>
      <c r="X1879" s="15"/>
      <c r="Y1879" s="15"/>
      <c r="Z1879" s="15"/>
      <c r="AA1879" s="15"/>
    </row>
    <row r="1880" spans="1:27" s="25" customFormat="1" ht="12" customHeight="1" x14ac:dyDescent="0.2">
      <c r="A1880" s="232"/>
      <c r="B1880" s="250"/>
      <c r="C1880" s="286"/>
      <c r="D1880" s="232"/>
      <c r="E1880" s="232"/>
      <c r="F1880" s="232"/>
      <c r="G1880" s="232"/>
      <c r="H1880" s="232"/>
      <c r="I1880" s="232"/>
      <c r="J1880" s="232"/>
      <c r="K1880" s="232"/>
      <c r="L1880" s="232"/>
      <c r="M1880" s="232"/>
      <c r="N1880" s="232"/>
      <c r="O1880" s="232"/>
      <c r="P1880" s="232"/>
      <c r="Q1880" s="232"/>
      <c r="R1880" s="232"/>
      <c r="S1880" s="232"/>
      <c r="T1880" s="232"/>
      <c r="U1880" s="232"/>
      <c r="V1880" s="15"/>
      <c r="W1880" s="15"/>
      <c r="X1880" s="15"/>
      <c r="Y1880" s="15"/>
      <c r="Z1880" s="15"/>
      <c r="AA1880" s="15"/>
    </row>
    <row r="1881" spans="1:27" s="25" customFormat="1" ht="12" customHeight="1" x14ac:dyDescent="0.2">
      <c r="A1881" s="232"/>
      <c r="B1881" s="250"/>
      <c r="C1881" s="286"/>
      <c r="D1881" s="232"/>
      <c r="E1881" s="232"/>
      <c r="F1881" s="232"/>
      <c r="G1881" s="232"/>
      <c r="H1881" s="232"/>
      <c r="I1881" s="232"/>
      <c r="J1881" s="232"/>
      <c r="K1881" s="232"/>
      <c r="L1881" s="232"/>
      <c r="M1881" s="232"/>
      <c r="N1881" s="232"/>
      <c r="O1881" s="232"/>
      <c r="P1881" s="232"/>
      <c r="Q1881" s="232"/>
      <c r="R1881" s="232"/>
      <c r="S1881" s="232"/>
      <c r="T1881" s="232"/>
      <c r="U1881" s="232"/>
      <c r="V1881" s="15"/>
      <c r="W1881" s="15"/>
      <c r="X1881" s="15"/>
      <c r="Y1881" s="15"/>
      <c r="Z1881" s="15"/>
      <c r="AA1881" s="15"/>
    </row>
    <row r="1882" spans="1:27" s="25" customFormat="1" ht="12" customHeight="1" x14ac:dyDescent="0.2">
      <c r="A1882" s="232"/>
      <c r="B1882" s="250"/>
      <c r="C1882" s="286"/>
      <c r="D1882" s="232"/>
      <c r="E1882" s="232"/>
      <c r="F1882" s="232"/>
      <c r="G1882" s="232"/>
      <c r="H1882" s="232"/>
      <c r="I1882" s="232"/>
      <c r="J1882" s="232"/>
      <c r="K1882" s="232"/>
      <c r="L1882" s="232"/>
      <c r="M1882" s="232"/>
      <c r="N1882" s="232"/>
      <c r="O1882" s="232"/>
      <c r="P1882" s="232"/>
      <c r="Q1882" s="232"/>
      <c r="R1882" s="232"/>
      <c r="S1882" s="232"/>
      <c r="T1882" s="232"/>
      <c r="U1882" s="232"/>
      <c r="V1882" s="15"/>
      <c r="W1882" s="15"/>
      <c r="X1882" s="15"/>
      <c r="Y1882" s="15"/>
      <c r="Z1882" s="15"/>
      <c r="AA1882" s="15"/>
    </row>
    <row r="1883" spans="1:27" s="25" customFormat="1" ht="12" customHeight="1" x14ac:dyDescent="0.2">
      <c r="A1883" s="232"/>
      <c r="B1883" s="250"/>
      <c r="C1883" s="286"/>
      <c r="D1883" s="232"/>
      <c r="E1883" s="232"/>
      <c r="F1883" s="232"/>
      <c r="G1883" s="232"/>
      <c r="H1883" s="232"/>
      <c r="I1883" s="232"/>
      <c r="J1883" s="232"/>
      <c r="K1883" s="232"/>
      <c r="L1883" s="232"/>
      <c r="M1883" s="232"/>
      <c r="N1883" s="232"/>
      <c r="O1883" s="232"/>
      <c r="P1883" s="232"/>
      <c r="Q1883" s="232"/>
      <c r="R1883" s="232"/>
      <c r="S1883" s="232"/>
      <c r="T1883" s="232"/>
      <c r="U1883" s="232"/>
      <c r="V1883" s="15"/>
      <c r="W1883" s="15"/>
      <c r="X1883" s="15"/>
      <c r="Y1883" s="15"/>
      <c r="Z1883" s="15"/>
      <c r="AA1883" s="15"/>
    </row>
    <row r="1884" spans="1:27" s="25" customFormat="1" ht="12" customHeight="1" x14ac:dyDescent="0.2">
      <c r="A1884" s="232"/>
      <c r="B1884" s="250"/>
      <c r="C1884" s="286"/>
      <c r="D1884" s="232"/>
      <c r="E1884" s="232"/>
      <c r="F1884" s="232"/>
      <c r="G1884" s="232"/>
      <c r="H1884" s="232"/>
      <c r="I1884" s="232"/>
      <c r="J1884" s="232"/>
      <c r="K1884" s="232"/>
      <c r="L1884" s="232"/>
      <c r="M1884" s="232"/>
      <c r="N1884" s="232"/>
      <c r="O1884" s="232"/>
      <c r="P1884" s="232"/>
      <c r="Q1884" s="232"/>
      <c r="R1884" s="232"/>
      <c r="S1884" s="232"/>
      <c r="T1884" s="232"/>
      <c r="U1884" s="232"/>
      <c r="V1884" s="15"/>
      <c r="W1884" s="15"/>
      <c r="X1884" s="15"/>
      <c r="Y1884" s="15"/>
      <c r="Z1884" s="15"/>
      <c r="AA1884" s="15"/>
    </row>
    <row r="1885" spans="1:27" s="25" customFormat="1" ht="12" customHeight="1" x14ac:dyDescent="0.2">
      <c r="A1885" s="232"/>
      <c r="B1885" s="250"/>
      <c r="C1885" s="286"/>
      <c r="D1885" s="232"/>
      <c r="E1885" s="232"/>
      <c r="F1885" s="232"/>
      <c r="G1885" s="232"/>
      <c r="H1885" s="232"/>
      <c r="I1885" s="232"/>
      <c r="J1885" s="232"/>
      <c r="K1885" s="232"/>
      <c r="L1885" s="232"/>
      <c r="M1885" s="232"/>
      <c r="N1885" s="232"/>
      <c r="O1885" s="232"/>
      <c r="P1885" s="232"/>
      <c r="Q1885" s="232"/>
      <c r="R1885" s="232"/>
      <c r="S1885" s="232"/>
      <c r="T1885" s="232"/>
      <c r="U1885" s="232"/>
      <c r="V1885" s="15"/>
      <c r="W1885" s="15"/>
      <c r="X1885" s="15"/>
      <c r="Y1885" s="15"/>
      <c r="Z1885" s="15"/>
      <c r="AA1885" s="15"/>
    </row>
    <row r="1886" spans="1:27" s="25" customFormat="1" ht="12" customHeight="1" x14ac:dyDescent="0.2">
      <c r="A1886" s="232"/>
      <c r="B1886" s="250"/>
      <c r="C1886" s="286"/>
      <c r="D1886" s="232"/>
      <c r="E1886" s="232"/>
      <c r="F1886" s="232"/>
      <c r="G1886" s="232"/>
      <c r="H1886" s="232"/>
      <c r="I1886" s="232"/>
      <c r="J1886" s="232"/>
      <c r="K1886" s="232"/>
      <c r="L1886" s="232"/>
      <c r="M1886" s="232"/>
      <c r="N1886" s="232"/>
      <c r="O1886" s="232"/>
      <c r="P1886" s="232"/>
      <c r="Q1886" s="232"/>
      <c r="R1886" s="232"/>
      <c r="S1886" s="232"/>
      <c r="T1886" s="232"/>
      <c r="U1886" s="232"/>
      <c r="V1886" s="15"/>
      <c r="W1886" s="15"/>
      <c r="X1886" s="15"/>
      <c r="Y1886" s="15"/>
      <c r="Z1886" s="15"/>
      <c r="AA1886" s="15"/>
    </row>
    <row r="1887" spans="1:27" s="25" customFormat="1" ht="12" customHeight="1" x14ac:dyDescent="0.2">
      <c r="A1887" s="232"/>
      <c r="B1887" s="250"/>
      <c r="C1887" s="286"/>
      <c r="D1887" s="232"/>
      <c r="E1887" s="232"/>
      <c r="F1887" s="232"/>
      <c r="G1887" s="232"/>
      <c r="H1887" s="232"/>
      <c r="I1887" s="232"/>
      <c r="J1887" s="232"/>
      <c r="K1887" s="232"/>
      <c r="L1887" s="232"/>
      <c r="M1887" s="232"/>
      <c r="N1887" s="232"/>
      <c r="O1887" s="232"/>
      <c r="P1887" s="232"/>
      <c r="Q1887" s="232"/>
      <c r="R1887" s="232"/>
      <c r="S1887" s="232"/>
      <c r="T1887" s="232"/>
      <c r="U1887" s="232"/>
      <c r="V1887" s="15"/>
      <c r="W1887" s="15"/>
      <c r="X1887" s="15"/>
      <c r="Y1887" s="15"/>
      <c r="Z1887" s="15"/>
      <c r="AA1887" s="15"/>
    </row>
    <row r="1888" spans="1:27" s="25" customFormat="1" ht="12" customHeight="1" x14ac:dyDescent="0.2">
      <c r="A1888" s="232"/>
      <c r="B1888" s="250"/>
      <c r="C1888" s="286"/>
      <c r="D1888" s="232"/>
      <c r="E1888" s="232"/>
      <c r="F1888" s="232"/>
      <c r="G1888" s="232"/>
      <c r="H1888" s="232"/>
      <c r="I1888" s="232"/>
      <c r="J1888" s="232"/>
      <c r="K1888" s="232"/>
      <c r="L1888" s="232"/>
      <c r="M1888" s="232"/>
      <c r="N1888" s="232"/>
      <c r="O1888" s="232"/>
      <c r="P1888" s="232"/>
      <c r="Q1888" s="232"/>
      <c r="R1888" s="232"/>
      <c r="S1888" s="232"/>
      <c r="T1888" s="232"/>
      <c r="U1888" s="232"/>
      <c r="V1888" s="15"/>
      <c r="W1888" s="15"/>
      <c r="X1888" s="15"/>
      <c r="Y1888" s="15"/>
      <c r="Z1888" s="15"/>
      <c r="AA1888" s="15"/>
    </row>
    <row r="1889" spans="1:27" s="25" customFormat="1" ht="12" customHeight="1" x14ac:dyDescent="0.2">
      <c r="A1889" s="232"/>
      <c r="B1889" s="250"/>
      <c r="C1889" s="286"/>
      <c r="D1889" s="232"/>
      <c r="E1889" s="232"/>
      <c r="F1889" s="232"/>
      <c r="G1889" s="232"/>
      <c r="H1889" s="232"/>
      <c r="I1889" s="232"/>
      <c r="J1889" s="232"/>
      <c r="K1889" s="232"/>
      <c r="L1889" s="232"/>
      <c r="M1889" s="232"/>
      <c r="N1889" s="232"/>
      <c r="O1889" s="232"/>
      <c r="P1889" s="232"/>
      <c r="Q1889" s="232"/>
      <c r="R1889" s="232"/>
      <c r="S1889" s="232"/>
      <c r="T1889" s="232"/>
      <c r="U1889" s="232"/>
      <c r="V1889" s="15"/>
      <c r="W1889" s="15"/>
      <c r="X1889" s="15"/>
      <c r="Y1889" s="15"/>
      <c r="Z1889" s="15"/>
      <c r="AA1889" s="15"/>
    </row>
    <row r="1890" spans="1:27" s="25" customFormat="1" ht="12" customHeight="1" x14ac:dyDescent="0.2">
      <c r="A1890" s="232"/>
      <c r="B1890" s="250"/>
      <c r="C1890" s="286"/>
      <c r="D1890" s="232"/>
      <c r="E1890" s="232"/>
      <c r="F1890" s="232"/>
      <c r="G1890" s="232"/>
      <c r="H1890" s="232"/>
      <c r="I1890" s="232"/>
      <c r="J1890" s="232"/>
      <c r="K1890" s="232"/>
      <c r="L1890" s="232"/>
      <c r="M1890" s="232"/>
      <c r="N1890" s="232"/>
      <c r="O1890" s="232"/>
      <c r="P1890" s="232"/>
      <c r="Q1890" s="232"/>
      <c r="R1890" s="232"/>
      <c r="S1890" s="232"/>
      <c r="T1890" s="232"/>
      <c r="U1890" s="232"/>
      <c r="V1890" s="15"/>
      <c r="W1890" s="15"/>
      <c r="X1890" s="15"/>
      <c r="Y1890" s="15"/>
      <c r="Z1890" s="15"/>
      <c r="AA1890" s="15"/>
    </row>
    <row r="1891" spans="1:27" s="25" customFormat="1" ht="12" customHeight="1" x14ac:dyDescent="0.2">
      <c r="A1891" s="232"/>
      <c r="B1891" s="250"/>
      <c r="C1891" s="286"/>
      <c r="D1891" s="232"/>
      <c r="E1891" s="232"/>
      <c r="F1891" s="232"/>
      <c r="G1891" s="232"/>
      <c r="H1891" s="232"/>
      <c r="I1891" s="232"/>
      <c r="J1891" s="232"/>
      <c r="K1891" s="232"/>
      <c r="L1891" s="232"/>
      <c r="M1891" s="232"/>
      <c r="N1891" s="232"/>
      <c r="O1891" s="232"/>
      <c r="P1891" s="232"/>
      <c r="Q1891" s="232"/>
      <c r="R1891" s="232"/>
      <c r="S1891" s="232"/>
      <c r="T1891" s="232"/>
      <c r="U1891" s="232"/>
      <c r="V1891" s="15"/>
      <c r="W1891" s="15"/>
      <c r="X1891" s="15"/>
      <c r="Y1891" s="15"/>
      <c r="Z1891" s="15"/>
      <c r="AA1891" s="15"/>
    </row>
    <row r="1892" spans="1:27" s="25" customFormat="1" ht="12" customHeight="1" x14ac:dyDescent="0.2">
      <c r="A1892" s="232"/>
      <c r="B1892" s="250"/>
      <c r="C1892" s="286"/>
      <c r="D1892" s="232"/>
      <c r="E1892" s="232"/>
      <c r="F1892" s="232"/>
      <c r="G1892" s="232"/>
      <c r="H1892" s="232"/>
      <c r="I1892" s="232"/>
      <c r="J1892" s="232"/>
      <c r="K1892" s="232"/>
      <c r="L1892" s="232"/>
      <c r="M1892" s="232"/>
      <c r="N1892" s="232"/>
      <c r="O1892" s="232"/>
      <c r="P1892" s="232"/>
      <c r="Q1892" s="232"/>
      <c r="R1892" s="232"/>
      <c r="S1892" s="232"/>
      <c r="T1892" s="232"/>
      <c r="U1892" s="232"/>
      <c r="V1892" s="15"/>
      <c r="W1892" s="15"/>
      <c r="X1892" s="15"/>
      <c r="Y1892" s="15"/>
      <c r="Z1892" s="15"/>
      <c r="AA1892" s="15"/>
    </row>
    <row r="1893" spans="1:27" s="25" customFormat="1" ht="12" customHeight="1" x14ac:dyDescent="0.2">
      <c r="A1893" s="232"/>
      <c r="B1893" s="250"/>
      <c r="C1893" s="286"/>
      <c r="D1893" s="232"/>
      <c r="E1893" s="232"/>
      <c r="F1893" s="232"/>
      <c r="G1893" s="232"/>
      <c r="H1893" s="232"/>
      <c r="I1893" s="232"/>
      <c r="J1893" s="232"/>
      <c r="K1893" s="232"/>
      <c r="L1893" s="232"/>
      <c r="M1893" s="232"/>
      <c r="N1893" s="232"/>
      <c r="O1893" s="232"/>
      <c r="P1893" s="232"/>
      <c r="Q1893" s="232"/>
      <c r="R1893" s="232"/>
      <c r="S1893" s="232"/>
      <c r="T1893" s="232"/>
      <c r="U1893" s="232"/>
      <c r="V1893" s="15"/>
      <c r="W1893" s="15"/>
      <c r="X1893" s="15"/>
      <c r="Y1893" s="15"/>
      <c r="Z1893" s="15"/>
      <c r="AA1893" s="15"/>
    </row>
    <row r="1894" spans="1:27" s="25" customFormat="1" ht="12" customHeight="1" x14ac:dyDescent="0.2">
      <c r="A1894" s="232"/>
      <c r="B1894" s="250"/>
      <c r="C1894" s="286"/>
      <c r="D1894" s="232"/>
      <c r="E1894" s="232"/>
      <c r="F1894" s="232"/>
      <c r="G1894" s="232"/>
      <c r="H1894" s="232"/>
      <c r="I1894" s="232"/>
      <c r="J1894" s="232"/>
      <c r="K1894" s="232"/>
      <c r="L1894" s="232"/>
      <c r="M1894" s="232"/>
      <c r="N1894" s="232"/>
      <c r="O1894" s="232"/>
      <c r="P1894" s="232"/>
      <c r="Q1894" s="232"/>
      <c r="R1894" s="232"/>
      <c r="S1894" s="232"/>
      <c r="T1894" s="232"/>
      <c r="U1894" s="232"/>
      <c r="V1894" s="15"/>
      <c r="W1894" s="15"/>
      <c r="X1894" s="15"/>
      <c r="Y1894" s="15"/>
      <c r="Z1894" s="15"/>
      <c r="AA1894" s="15"/>
    </row>
    <row r="1895" spans="1:27" s="25" customFormat="1" ht="12" customHeight="1" x14ac:dyDescent="0.2">
      <c r="A1895" s="232"/>
      <c r="B1895" s="250"/>
      <c r="C1895" s="286"/>
      <c r="D1895" s="232"/>
      <c r="E1895" s="232"/>
      <c r="F1895" s="232"/>
      <c r="G1895" s="232"/>
      <c r="H1895" s="232"/>
      <c r="I1895" s="232"/>
      <c r="J1895" s="232"/>
      <c r="K1895" s="232"/>
      <c r="L1895" s="232"/>
      <c r="M1895" s="232"/>
      <c r="N1895" s="232"/>
      <c r="O1895" s="232"/>
      <c r="P1895" s="232"/>
      <c r="Q1895" s="232"/>
      <c r="R1895" s="232"/>
      <c r="S1895" s="232"/>
      <c r="T1895" s="232"/>
      <c r="U1895" s="232"/>
      <c r="V1895" s="15"/>
      <c r="W1895" s="15"/>
      <c r="X1895" s="15"/>
      <c r="Y1895" s="15"/>
      <c r="Z1895" s="15"/>
      <c r="AA1895" s="15"/>
    </row>
    <row r="1896" spans="1:27" s="25" customFormat="1" ht="12" customHeight="1" x14ac:dyDescent="0.2">
      <c r="A1896" s="232"/>
      <c r="B1896" s="250"/>
      <c r="C1896" s="286"/>
      <c r="D1896" s="232"/>
      <c r="E1896" s="232"/>
      <c r="F1896" s="232"/>
      <c r="G1896" s="232"/>
      <c r="H1896" s="232"/>
      <c r="I1896" s="232"/>
      <c r="J1896" s="232"/>
      <c r="K1896" s="232"/>
      <c r="L1896" s="232"/>
      <c r="M1896" s="232"/>
      <c r="N1896" s="232"/>
      <c r="O1896" s="232"/>
      <c r="P1896" s="232"/>
      <c r="Q1896" s="232"/>
      <c r="R1896" s="232"/>
      <c r="S1896" s="232"/>
      <c r="T1896" s="232"/>
      <c r="U1896" s="232"/>
      <c r="V1896" s="15"/>
      <c r="W1896" s="15"/>
      <c r="X1896" s="15"/>
      <c r="Y1896" s="15"/>
      <c r="Z1896" s="15"/>
      <c r="AA1896" s="15"/>
    </row>
    <row r="1897" spans="1:27" s="25" customFormat="1" ht="12" customHeight="1" x14ac:dyDescent="0.2">
      <c r="A1897" s="232"/>
      <c r="B1897" s="250"/>
      <c r="C1897" s="286"/>
      <c r="D1897" s="232"/>
      <c r="E1897" s="232"/>
      <c r="F1897" s="232"/>
      <c r="G1897" s="232"/>
      <c r="H1897" s="232"/>
      <c r="I1897" s="232"/>
      <c r="J1897" s="232"/>
      <c r="K1897" s="232"/>
      <c r="L1897" s="232"/>
      <c r="M1897" s="232"/>
      <c r="N1897" s="232"/>
      <c r="O1897" s="232"/>
      <c r="P1897" s="232"/>
      <c r="Q1897" s="232"/>
      <c r="R1897" s="232"/>
      <c r="S1897" s="232"/>
      <c r="T1897" s="232"/>
      <c r="U1897" s="232"/>
      <c r="V1897" s="15"/>
      <c r="W1897" s="15"/>
      <c r="X1897" s="15"/>
      <c r="Y1897" s="15"/>
      <c r="Z1897" s="15"/>
      <c r="AA1897" s="15"/>
    </row>
    <row r="1898" spans="1:27" s="25" customFormat="1" ht="12" customHeight="1" x14ac:dyDescent="0.2">
      <c r="A1898" s="232"/>
      <c r="B1898" s="250"/>
      <c r="C1898" s="286"/>
      <c r="D1898" s="232"/>
      <c r="E1898" s="232"/>
      <c r="F1898" s="232"/>
      <c r="G1898" s="232"/>
      <c r="H1898" s="232"/>
      <c r="I1898" s="232"/>
      <c r="J1898" s="232"/>
      <c r="K1898" s="232"/>
      <c r="L1898" s="232"/>
      <c r="M1898" s="232"/>
      <c r="N1898" s="232"/>
      <c r="O1898" s="232"/>
      <c r="P1898" s="232"/>
      <c r="Q1898" s="232"/>
      <c r="R1898" s="232"/>
      <c r="S1898" s="232"/>
      <c r="T1898" s="232"/>
      <c r="U1898" s="232"/>
      <c r="V1898" s="15"/>
      <c r="W1898" s="15"/>
      <c r="X1898" s="15"/>
      <c r="Y1898" s="15"/>
      <c r="Z1898" s="15"/>
      <c r="AA1898" s="15"/>
    </row>
    <row r="1899" spans="1:27" s="25" customFormat="1" ht="12" customHeight="1" x14ac:dyDescent="0.2">
      <c r="A1899" s="232"/>
      <c r="B1899" s="250"/>
      <c r="C1899" s="286"/>
      <c r="D1899" s="232"/>
      <c r="E1899" s="232"/>
      <c r="F1899" s="232"/>
      <c r="G1899" s="232"/>
      <c r="H1899" s="232"/>
      <c r="I1899" s="232"/>
      <c r="J1899" s="232"/>
      <c r="K1899" s="232"/>
      <c r="L1899" s="232"/>
      <c r="M1899" s="232"/>
      <c r="N1899" s="232"/>
      <c r="O1899" s="232"/>
      <c r="P1899" s="232"/>
      <c r="Q1899" s="232"/>
      <c r="R1899" s="232"/>
      <c r="S1899" s="232"/>
      <c r="T1899" s="232"/>
      <c r="U1899" s="232"/>
      <c r="V1899" s="15"/>
      <c r="W1899" s="15"/>
      <c r="X1899" s="15"/>
      <c r="Y1899" s="15"/>
      <c r="Z1899" s="15"/>
      <c r="AA1899" s="15"/>
    </row>
    <row r="1900" spans="1:27" s="25" customFormat="1" ht="12" customHeight="1" x14ac:dyDescent="0.2">
      <c r="A1900" s="232"/>
      <c r="B1900" s="250"/>
      <c r="C1900" s="286"/>
      <c r="D1900" s="232"/>
      <c r="E1900" s="232"/>
      <c r="F1900" s="232"/>
      <c r="G1900" s="232"/>
      <c r="H1900" s="232"/>
      <c r="I1900" s="232"/>
      <c r="J1900" s="232"/>
      <c r="K1900" s="232"/>
      <c r="L1900" s="232"/>
      <c r="M1900" s="232"/>
      <c r="N1900" s="232"/>
      <c r="O1900" s="232"/>
      <c r="P1900" s="232"/>
      <c r="Q1900" s="232"/>
      <c r="R1900" s="232"/>
      <c r="S1900" s="232"/>
      <c r="T1900" s="232"/>
      <c r="U1900" s="232"/>
      <c r="V1900" s="15"/>
      <c r="W1900" s="15"/>
      <c r="X1900" s="15"/>
      <c r="Y1900" s="15"/>
      <c r="Z1900" s="15"/>
      <c r="AA1900" s="15"/>
    </row>
    <row r="1901" spans="1:27" s="25" customFormat="1" ht="12" customHeight="1" x14ac:dyDescent="0.2">
      <c r="A1901" s="232"/>
      <c r="B1901" s="250"/>
      <c r="C1901" s="286"/>
      <c r="D1901" s="232"/>
      <c r="E1901" s="232"/>
      <c r="F1901" s="232"/>
      <c r="G1901" s="232"/>
      <c r="H1901" s="232"/>
      <c r="I1901" s="232"/>
      <c r="J1901" s="232"/>
      <c r="K1901" s="232"/>
      <c r="L1901" s="232"/>
      <c r="M1901" s="232"/>
      <c r="N1901" s="232"/>
      <c r="O1901" s="232"/>
      <c r="P1901" s="232"/>
      <c r="Q1901" s="232"/>
      <c r="R1901" s="232"/>
      <c r="S1901" s="232"/>
      <c r="T1901" s="232"/>
      <c r="U1901" s="232"/>
      <c r="V1901" s="15"/>
      <c r="W1901" s="15"/>
      <c r="X1901" s="15"/>
      <c r="Y1901" s="15"/>
      <c r="Z1901" s="15"/>
      <c r="AA1901" s="15"/>
    </row>
    <row r="1902" spans="1:27" s="25" customFormat="1" ht="12" customHeight="1" x14ac:dyDescent="0.2">
      <c r="A1902" s="232"/>
      <c r="B1902" s="250"/>
      <c r="C1902" s="286"/>
      <c r="D1902" s="232"/>
      <c r="E1902" s="232"/>
      <c r="F1902" s="232"/>
      <c r="G1902" s="232"/>
      <c r="H1902" s="232"/>
      <c r="I1902" s="232"/>
      <c r="J1902" s="232"/>
      <c r="K1902" s="232"/>
      <c r="L1902" s="232"/>
      <c r="M1902" s="232"/>
      <c r="N1902" s="232"/>
      <c r="O1902" s="232"/>
      <c r="P1902" s="232"/>
      <c r="Q1902" s="232"/>
      <c r="R1902" s="232"/>
      <c r="S1902" s="232"/>
      <c r="T1902" s="232"/>
      <c r="U1902" s="232"/>
      <c r="V1902" s="15"/>
      <c r="W1902" s="15"/>
      <c r="X1902" s="15"/>
      <c r="Y1902" s="15"/>
      <c r="Z1902" s="15"/>
      <c r="AA1902" s="15"/>
    </row>
    <row r="1903" spans="1:27" s="25" customFormat="1" ht="12" customHeight="1" x14ac:dyDescent="0.2">
      <c r="A1903" s="232"/>
      <c r="B1903" s="250"/>
      <c r="C1903" s="286"/>
      <c r="D1903" s="232"/>
      <c r="E1903" s="232"/>
      <c r="F1903" s="232"/>
      <c r="G1903" s="232"/>
      <c r="H1903" s="232"/>
      <c r="I1903" s="232"/>
      <c r="J1903" s="232"/>
      <c r="K1903" s="232"/>
      <c r="L1903" s="232"/>
      <c r="M1903" s="232"/>
      <c r="N1903" s="232"/>
      <c r="O1903" s="232"/>
      <c r="P1903" s="232"/>
      <c r="Q1903" s="232"/>
      <c r="R1903" s="232"/>
      <c r="S1903" s="232"/>
      <c r="T1903" s="232"/>
      <c r="U1903" s="232"/>
      <c r="V1903" s="15"/>
      <c r="W1903" s="15"/>
      <c r="X1903" s="15"/>
      <c r="Y1903" s="15"/>
      <c r="Z1903" s="15"/>
      <c r="AA1903" s="15"/>
    </row>
    <row r="1904" spans="1:27" s="25" customFormat="1" ht="12" customHeight="1" x14ac:dyDescent="0.2">
      <c r="A1904" s="232"/>
      <c r="B1904" s="250"/>
      <c r="C1904" s="286"/>
      <c r="D1904" s="232"/>
      <c r="E1904" s="232"/>
      <c r="F1904" s="232"/>
      <c r="G1904" s="232"/>
      <c r="H1904" s="232"/>
      <c r="I1904" s="232"/>
      <c r="J1904" s="232"/>
      <c r="K1904" s="232"/>
      <c r="L1904" s="232"/>
      <c r="M1904" s="232"/>
      <c r="N1904" s="232"/>
      <c r="O1904" s="232"/>
      <c r="P1904" s="232"/>
      <c r="Q1904" s="232"/>
      <c r="R1904" s="232"/>
      <c r="S1904" s="232"/>
      <c r="T1904" s="232"/>
      <c r="U1904" s="232"/>
      <c r="V1904" s="15"/>
      <c r="W1904" s="15"/>
      <c r="X1904" s="15"/>
      <c r="Y1904" s="15"/>
      <c r="Z1904" s="15"/>
      <c r="AA1904" s="15"/>
    </row>
    <row r="1905" spans="1:27" s="25" customFormat="1" ht="12" customHeight="1" x14ac:dyDescent="0.2">
      <c r="A1905" s="232"/>
      <c r="B1905" s="250"/>
      <c r="C1905" s="286"/>
      <c r="D1905" s="232"/>
      <c r="E1905" s="232"/>
      <c r="F1905" s="232"/>
      <c r="G1905" s="232"/>
      <c r="H1905" s="232"/>
      <c r="I1905" s="232"/>
      <c r="J1905" s="232"/>
      <c r="K1905" s="232"/>
      <c r="L1905" s="232"/>
      <c r="M1905" s="232"/>
      <c r="N1905" s="232"/>
      <c r="O1905" s="232"/>
      <c r="P1905" s="232"/>
      <c r="Q1905" s="232"/>
      <c r="R1905" s="232"/>
      <c r="S1905" s="232"/>
      <c r="T1905" s="232"/>
      <c r="U1905" s="232"/>
      <c r="V1905" s="15"/>
      <c r="W1905" s="15"/>
      <c r="X1905" s="15"/>
      <c r="Y1905" s="15"/>
      <c r="Z1905" s="15"/>
      <c r="AA1905" s="15"/>
    </row>
    <row r="1906" spans="1:27" s="25" customFormat="1" ht="12" customHeight="1" x14ac:dyDescent="0.2">
      <c r="A1906" s="232"/>
      <c r="B1906" s="250"/>
      <c r="C1906" s="286"/>
      <c r="D1906" s="232"/>
      <c r="E1906" s="232"/>
      <c r="F1906" s="232"/>
      <c r="G1906" s="232"/>
      <c r="H1906" s="232"/>
      <c r="I1906" s="232"/>
      <c r="J1906" s="232"/>
      <c r="K1906" s="232"/>
      <c r="L1906" s="232"/>
      <c r="M1906" s="232"/>
      <c r="N1906" s="232"/>
      <c r="O1906" s="232"/>
      <c r="P1906" s="232"/>
      <c r="Q1906" s="232"/>
      <c r="R1906" s="232"/>
      <c r="S1906" s="232"/>
      <c r="T1906" s="232"/>
      <c r="U1906" s="232"/>
      <c r="V1906" s="15"/>
      <c r="W1906" s="15"/>
      <c r="X1906" s="15"/>
      <c r="Y1906" s="15"/>
      <c r="Z1906" s="15"/>
      <c r="AA1906" s="15"/>
    </row>
    <row r="1907" spans="1:27" s="25" customFormat="1" ht="12" customHeight="1" x14ac:dyDescent="0.2">
      <c r="A1907" s="232"/>
      <c r="B1907" s="250"/>
      <c r="C1907" s="286"/>
      <c r="D1907" s="232"/>
      <c r="E1907" s="232"/>
      <c r="F1907" s="232"/>
      <c r="G1907" s="232"/>
      <c r="H1907" s="232"/>
      <c r="I1907" s="232"/>
      <c r="J1907" s="232"/>
      <c r="K1907" s="232"/>
      <c r="L1907" s="232"/>
      <c r="M1907" s="232"/>
      <c r="N1907" s="232"/>
      <c r="O1907" s="232"/>
      <c r="P1907" s="232"/>
      <c r="Q1907" s="232"/>
      <c r="R1907" s="232"/>
      <c r="S1907" s="232"/>
      <c r="T1907" s="232"/>
      <c r="U1907" s="232"/>
      <c r="V1907" s="15"/>
      <c r="W1907" s="15"/>
      <c r="X1907" s="15"/>
      <c r="Y1907" s="15"/>
      <c r="Z1907" s="15"/>
      <c r="AA1907" s="15"/>
    </row>
    <row r="1908" spans="1:27" s="25" customFormat="1" ht="12" customHeight="1" x14ac:dyDescent="0.2">
      <c r="A1908" s="232"/>
      <c r="B1908" s="250"/>
      <c r="C1908" s="286"/>
      <c r="D1908" s="232"/>
      <c r="E1908" s="232"/>
      <c r="F1908" s="232"/>
      <c r="G1908" s="232"/>
      <c r="H1908" s="232"/>
      <c r="I1908" s="232"/>
      <c r="J1908" s="232"/>
      <c r="K1908" s="232"/>
      <c r="L1908" s="232"/>
      <c r="M1908" s="232"/>
      <c r="N1908" s="232"/>
      <c r="O1908" s="232"/>
      <c r="P1908" s="232"/>
      <c r="Q1908" s="232"/>
      <c r="R1908" s="232"/>
      <c r="S1908" s="232"/>
      <c r="T1908" s="232"/>
      <c r="U1908" s="232"/>
      <c r="V1908" s="15"/>
      <c r="W1908" s="15"/>
      <c r="X1908" s="15"/>
      <c r="Y1908" s="15"/>
      <c r="Z1908" s="15"/>
      <c r="AA1908" s="15"/>
    </row>
    <row r="1909" spans="1:27" s="25" customFormat="1" ht="12" customHeight="1" x14ac:dyDescent="0.2">
      <c r="A1909" s="232"/>
      <c r="B1909" s="250"/>
      <c r="C1909" s="286"/>
      <c r="D1909" s="232"/>
      <c r="E1909" s="232"/>
      <c r="F1909" s="232"/>
      <c r="G1909" s="232"/>
      <c r="H1909" s="232"/>
      <c r="I1909" s="232"/>
      <c r="J1909" s="232"/>
      <c r="K1909" s="232"/>
      <c r="L1909" s="232"/>
      <c r="M1909" s="232"/>
      <c r="N1909" s="232"/>
      <c r="O1909" s="232"/>
      <c r="P1909" s="232"/>
      <c r="Q1909" s="232"/>
      <c r="R1909" s="232"/>
      <c r="S1909" s="232"/>
      <c r="T1909" s="232"/>
      <c r="U1909" s="232"/>
      <c r="V1909" s="15"/>
      <c r="W1909" s="15"/>
      <c r="X1909" s="15"/>
      <c r="Y1909" s="15"/>
      <c r="Z1909" s="15"/>
      <c r="AA1909" s="15"/>
    </row>
    <row r="1910" spans="1:27" s="25" customFormat="1" ht="12" customHeight="1" x14ac:dyDescent="0.2">
      <c r="A1910" s="232"/>
      <c r="B1910" s="250"/>
      <c r="C1910" s="286"/>
      <c r="D1910" s="232"/>
      <c r="E1910" s="232"/>
      <c r="F1910" s="232"/>
      <c r="G1910" s="232"/>
      <c r="H1910" s="232"/>
      <c r="I1910" s="232"/>
      <c r="J1910" s="232"/>
      <c r="K1910" s="232"/>
      <c r="L1910" s="232"/>
      <c r="M1910" s="232"/>
      <c r="N1910" s="232"/>
      <c r="O1910" s="232"/>
      <c r="P1910" s="232"/>
      <c r="Q1910" s="232"/>
      <c r="R1910" s="232"/>
      <c r="S1910" s="232"/>
      <c r="T1910" s="232"/>
      <c r="U1910" s="232"/>
      <c r="V1910" s="15"/>
      <c r="W1910" s="15"/>
      <c r="X1910" s="15"/>
      <c r="Y1910" s="15"/>
      <c r="Z1910" s="15"/>
      <c r="AA1910" s="15"/>
    </row>
    <row r="1911" spans="1:27" s="25" customFormat="1" ht="12" customHeight="1" x14ac:dyDescent="0.2">
      <c r="A1911" s="232"/>
      <c r="B1911" s="250"/>
      <c r="C1911" s="286"/>
      <c r="D1911" s="232"/>
      <c r="E1911" s="232"/>
      <c r="F1911" s="232"/>
      <c r="G1911" s="232"/>
      <c r="H1911" s="232"/>
      <c r="I1911" s="232"/>
      <c r="J1911" s="232"/>
      <c r="K1911" s="232"/>
      <c r="L1911" s="232"/>
      <c r="M1911" s="232"/>
      <c r="N1911" s="232"/>
      <c r="O1911" s="232"/>
      <c r="P1911" s="232"/>
      <c r="Q1911" s="232"/>
      <c r="R1911" s="232"/>
      <c r="S1911" s="232"/>
      <c r="T1911" s="232"/>
      <c r="U1911" s="232"/>
      <c r="V1911" s="15"/>
      <c r="W1911" s="15"/>
      <c r="X1911" s="15"/>
      <c r="Y1911" s="15"/>
      <c r="Z1911" s="15"/>
      <c r="AA1911" s="15"/>
    </row>
    <row r="1912" spans="1:27" s="25" customFormat="1" ht="12" customHeight="1" x14ac:dyDescent="0.2">
      <c r="A1912" s="232"/>
      <c r="B1912" s="250"/>
      <c r="C1912" s="286"/>
      <c r="D1912" s="232"/>
      <c r="E1912" s="232"/>
      <c r="F1912" s="232"/>
      <c r="G1912" s="232"/>
      <c r="H1912" s="232"/>
      <c r="I1912" s="232"/>
      <c r="J1912" s="232"/>
      <c r="K1912" s="232"/>
      <c r="L1912" s="232"/>
      <c r="M1912" s="232"/>
      <c r="N1912" s="232"/>
      <c r="O1912" s="232"/>
      <c r="P1912" s="232"/>
      <c r="Q1912" s="232"/>
      <c r="R1912" s="232"/>
      <c r="S1912" s="232"/>
      <c r="T1912" s="232"/>
      <c r="U1912" s="232"/>
      <c r="V1912" s="15"/>
      <c r="W1912" s="15"/>
      <c r="X1912" s="15"/>
      <c r="Y1912" s="15"/>
      <c r="Z1912" s="15"/>
      <c r="AA1912" s="15"/>
    </row>
    <row r="1913" spans="1:27" s="25" customFormat="1" ht="12" customHeight="1" x14ac:dyDescent="0.2">
      <c r="A1913" s="232"/>
      <c r="B1913" s="250"/>
      <c r="C1913" s="286"/>
      <c r="D1913" s="232"/>
      <c r="E1913" s="232"/>
      <c r="F1913" s="232"/>
      <c r="G1913" s="232"/>
      <c r="H1913" s="232"/>
      <c r="I1913" s="232"/>
      <c r="J1913" s="232"/>
      <c r="K1913" s="232"/>
      <c r="L1913" s="232"/>
      <c r="M1913" s="232"/>
      <c r="N1913" s="232"/>
      <c r="O1913" s="232"/>
      <c r="P1913" s="232"/>
      <c r="Q1913" s="232"/>
      <c r="R1913" s="232"/>
      <c r="S1913" s="232"/>
      <c r="T1913" s="232"/>
      <c r="U1913" s="232"/>
      <c r="V1913" s="15"/>
      <c r="W1913" s="15"/>
      <c r="X1913" s="15"/>
      <c r="Y1913" s="15"/>
      <c r="Z1913" s="15"/>
      <c r="AA1913" s="15"/>
    </row>
    <row r="1914" spans="1:27" s="25" customFormat="1" ht="12" customHeight="1" x14ac:dyDescent="0.2">
      <c r="A1914" s="232"/>
      <c r="B1914" s="250"/>
      <c r="C1914" s="286"/>
      <c r="D1914" s="232"/>
      <c r="E1914" s="232"/>
      <c r="F1914" s="232"/>
      <c r="G1914" s="232"/>
      <c r="H1914" s="232"/>
      <c r="I1914" s="232"/>
      <c r="J1914" s="232"/>
      <c r="K1914" s="232"/>
      <c r="L1914" s="232"/>
      <c r="M1914" s="232"/>
      <c r="N1914" s="232"/>
      <c r="O1914" s="232"/>
      <c r="P1914" s="232"/>
      <c r="Q1914" s="232"/>
      <c r="R1914" s="232"/>
      <c r="S1914" s="232"/>
      <c r="T1914" s="232"/>
      <c r="U1914" s="232"/>
      <c r="V1914" s="15"/>
      <c r="W1914" s="15"/>
      <c r="X1914" s="15"/>
      <c r="Y1914" s="15"/>
      <c r="Z1914" s="15"/>
      <c r="AA1914" s="15"/>
    </row>
    <row r="1915" spans="1:27" s="25" customFormat="1" ht="12" customHeight="1" x14ac:dyDescent="0.2">
      <c r="A1915" s="232"/>
      <c r="B1915" s="250"/>
      <c r="C1915" s="286"/>
      <c r="D1915" s="232"/>
      <c r="E1915" s="232"/>
      <c r="F1915" s="232"/>
      <c r="G1915" s="232"/>
      <c r="H1915" s="232"/>
      <c r="I1915" s="232"/>
      <c r="J1915" s="232"/>
      <c r="K1915" s="232"/>
      <c r="L1915" s="232"/>
      <c r="M1915" s="232"/>
      <c r="N1915" s="232"/>
      <c r="O1915" s="232"/>
      <c r="P1915" s="232"/>
      <c r="Q1915" s="232"/>
      <c r="R1915" s="232"/>
      <c r="S1915" s="232"/>
      <c r="T1915" s="232"/>
      <c r="U1915" s="232"/>
      <c r="V1915" s="15"/>
      <c r="W1915" s="15"/>
      <c r="X1915" s="15"/>
      <c r="Y1915" s="15"/>
      <c r="Z1915" s="15"/>
      <c r="AA1915" s="15"/>
    </row>
    <row r="1916" spans="1:27" s="25" customFormat="1" ht="12" customHeight="1" x14ac:dyDescent="0.2">
      <c r="A1916" s="232"/>
      <c r="B1916" s="250"/>
      <c r="C1916" s="286"/>
      <c r="D1916" s="232"/>
      <c r="E1916" s="232"/>
      <c r="F1916" s="232"/>
      <c r="G1916" s="232"/>
      <c r="H1916" s="232"/>
      <c r="I1916" s="232"/>
      <c r="J1916" s="232"/>
      <c r="K1916" s="232"/>
      <c r="L1916" s="232"/>
      <c r="M1916" s="232"/>
      <c r="N1916" s="232"/>
      <c r="O1916" s="232"/>
      <c r="P1916" s="232"/>
      <c r="Q1916" s="232"/>
      <c r="R1916" s="232"/>
      <c r="S1916" s="232"/>
      <c r="T1916" s="232"/>
      <c r="U1916" s="232"/>
      <c r="V1916" s="15"/>
      <c r="W1916" s="15"/>
      <c r="X1916" s="15"/>
      <c r="Y1916" s="15"/>
      <c r="Z1916" s="15"/>
      <c r="AA1916" s="15"/>
    </row>
    <row r="1917" spans="1:27" s="25" customFormat="1" ht="12" customHeight="1" x14ac:dyDescent="0.2">
      <c r="A1917" s="232"/>
      <c r="B1917" s="250"/>
      <c r="C1917" s="286"/>
      <c r="D1917" s="232"/>
      <c r="E1917" s="232"/>
      <c r="F1917" s="232"/>
      <c r="G1917" s="232"/>
      <c r="H1917" s="232"/>
      <c r="I1917" s="232"/>
      <c r="J1917" s="232"/>
      <c r="K1917" s="232"/>
      <c r="L1917" s="232"/>
      <c r="M1917" s="232"/>
      <c r="N1917" s="232"/>
      <c r="O1917" s="232"/>
      <c r="P1917" s="232"/>
      <c r="Q1917" s="232"/>
      <c r="R1917" s="232"/>
      <c r="S1917" s="232"/>
      <c r="T1917" s="232"/>
      <c r="U1917" s="232"/>
      <c r="V1917" s="15"/>
      <c r="W1917" s="15"/>
      <c r="X1917" s="15"/>
      <c r="Y1917" s="15"/>
      <c r="Z1917" s="15"/>
      <c r="AA1917" s="15"/>
    </row>
    <row r="1918" spans="1:27" s="25" customFormat="1" ht="12" customHeight="1" x14ac:dyDescent="0.2">
      <c r="A1918" s="232"/>
      <c r="B1918" s="250"/>
      <c r="C1918" s="286"/>
      <c r="D1918" s="232"/>
      <c r="E1918" s="232"/>
      <c r="F1918" s="232"/>
      <c r="G1918" s="232"/>
      <c r="H1918" s="232"/>
      <c r="I1918" s="232"/>
      <c r="J1918" s="232"/>
      <c r="K1918" s="232"/>
      <c r="L1918" s="232"/>
      <c r="M1918" s="232"/>
      <c r="N1918" s="232"/>
      <c r="O1918" s="232"/>
      <c r="P1918" s="232"/>
      <c r="Q1918" s="232"/>
      <c r="R1918" s="232"/>
      <c r="S1918" s="232"/>
      <c r="T1918" s="232"/>
      <c r="U1918" s="232"/>
      <c r="V1918" s="15"/>
      <c r="W1918" s="15"/>
      <c r="X1918" s="15"/>
      <c r="Y1918" s="15"/>
      <c r="Z1918" s="15"/>
      <c r="AA1918" s="15"/>
    </row>
    <row r="1919" spans="1:27" s="25" customFormat="1" ht="12" customHeight="1" x14ac:dyDescent="0.2">
      <c r="A1919" s="232"/>
      <c r="B1919" s="250"/>
      <c r="C1919" s="286"/>
      <c r="D1919" s="232"/>
      <c r="E1919" s="232"/>
      <c r="F1919" s="232"/>
      <c r="G1919" s="232"/>
      <c r="H1919" s="232"/>
      <c r="I1919" s="232"/>
      <c r="J1919" s="232"/>
      <c r="K1919" s="232"/>
      <c r="L1919" s="232"/>
      <c r="M1919" s="232"/>
      <c r="N1919" s="232"/>
      <c r="O1919" s="232"/>
      <c r="P1919" s="232"/>
      <c r="Q1919" s="232"/>
      <c r="R1919" s="232"/>
      <c r="S1919" s="232"/>
      <c r="T1919" s="232"/>
      <c r="U1919" s="232"/>
      <c r="V1919" s="15"/>
      <c r="W1919" s="15"/>
      <c r="X1919" s="15"/>
      <c r="Y1919" s="15"/>
      <c r="Z1919" s="15"/>
      <c r="AA1919" s="15"/>
    </row>
    <row r="1920" spans="1:27" s="25" customFormat="1" ht="12" customHeight="1" x14ac:dyDescent="0.2">
      <c r="A1920" s="232"/>
      <c r="B1920" s="250"/>
      <c r="C1920" s="286"/>
      <c r="D1920" s="232"/>
      <c r="E1920" s="232"/>
      <c r="F1920" s="232"/>
      <c r="G1920" s="232"/>
      <c r="H1920" s="232"/>
      <c r="I1920" s="232"/>
      <c r="J1920" s="232"/>
      <c r="K1920" s="232"/>
      <c r="L1920" s="232"/>
      <c r="M1920" s="232"/>
      <c r="N1920" s="232"/>
      <c r="O1920" s="232"/>
      <c r="P1920" s="232"/>
      <c r="Q1920" s="232"/>
      <c r="R1920" s="232"/>
      <c r="S1920" s="232"/>
      <c r="T1920" s="232"/>
      <c r="U1920" s="232"/>
      <c r="V1920" s="15"/>
      <c r="W1920" s="15"/>
      <c r="X1920" s="15"/>
      <c r="Y1920" s="15"/>
      <c r="Z1920" s="15"/>
      <c r="AA1920" s="15"/>
    </row>
    <row r="1921" spans="1:27" s="25" customFormat="1" ht="12" customHeight="1" x14ac:dyDescent="0.2">
      <c r="A1921" s="232"/>
      <c r="B1921" s="250"/>
      <c r="C1921" s="286"/>
      <c r="D1921" s="232"/>
      <c r="E1921" s="232"/>
      <c r="F1921" s="232"/>
      <c r="G1921" s="232"/>
      <c r="H1921" s="232"/>
      <c r="I1921" s="232"/>
      <c r="J1921" s="232"/>
      <c r="K1921" s="232"/>
      <c r="L1921" s="232"/>
      <c r="M1921" s="232"/>
      <c r="N1921" s="232"/>
      <c r="O1921" s="232"/>
      <c r="P1921" s="232"/>
      <c r="Q1921" s="232"/>
      <c r="R1921" s="232"/>
      <c r="S1921" s="232"/>
      <c r="T1921" s="232"/>
      <c r="U1921" s="232"/>
      <c r="V1921" s="15"/>
      <c r="W1921" s="15"/>
      <c r="X1921" s="15"/>
      <c r="Y1921" s="15"/>
      <c r="Z1921" s="15"/>
      <c r="AA1921" s="15"/>
    </row>
    <row r="1922" spans="1:27" s="25" customFormat="1" ht="12" customHeight="1" x14ac:dyDescent="0.2">
      <c r="A1922" s="232"/>
      <c r="B1922" s="250"/>
      <c r="C1922" s="286"/>
      <c r="D1922" s="232"/>
      <c r="E1922" s="232"/>
      <c r="F1922" s="232"/>
      <c r="G1922" s="232"/>
      <c r="H1922" s="232"/>
      <c r="I1922" s="232"/>
      <c r="J1922" s="232"/>
      <c r="K1922" s="232"/>
      <c r="L1922" s="232"/>
      <c r="M1922" s="232"/>
      <c r="N1922" s="232"/>
      <c r="O1922" s="232"/>
      <c r="P1922" s="232"/>
      <c r="Q1922" s="232"/>
      <c r="R1922" s="232"/>
      <c r="S1922" s="232"/>
      <c r="T1922" s="232"/>
      <c r="U1922" s="232"/>
      <c r="V1922" s="15"/>
      <c r="W1922" s="15"/>
      <c r="X1922" s="15"/>
      <c r="Y1922" s="15"/>
      <c r="Z1922" s="15"/>
      <c r="AA1922" s="15"/>
    </row>
    <row r="1923" spans="1:27" s="25" customFormat="1" ht="12" customHeight="1" x14ac:dyDescent="0.2">
      <c r="A1923" s="232"/>
      <c r="B1923" s="250"/>
      <c r="C1923" s="286"/>
      <c r="D1923" s="232"/>
      <c r="E1923" s="232"/>
      <c r="F1923" s="232"/>
      <c r="G1923" s="232"/>
      <c r="H1923" s="232"/>
      <c r="I1923" s="232"/>
      <c r="J1923" s="232"/>
      <c r="K1923" s="232"/>
      <c r="L1923" s="232"/>
      <c r="M1923" s="232"/>
      <c r="N1923" s="232"/>
      <c r="O1923" s="232"/>
      <c r="P1923" s="232"/>
      <c r="Q1923" s="232"/>
      <c r="R1923" s="232"/>
      <c r="S1923" s="232"/>
      <c r="T1923" s="232"/>
      <c r="U1923" s="232"/>
      <c r="V1923" s="15"/>
      <c r="W1923" s="15"/>
      <c r="X1923" s="15"/>
      <c r="Y1923" s="15"/>
      <c r="Z1923" s="15"/>
      <c r="AA1923" s="15"/>
    </row>
    <row r="1924" spans="1:27" s="25" customFormat="1" ht="12" customHeight="1" x14ac:dyDescent="0.2">
      <c r="A1924" s="232"/>
      <c r="B1924" s="250"/>
      <c r="C1924" s="286"/>
      <c r="D1924" s="232"/>
      <c r="E1924" s="232"/>
      <c r="F1924" s="232"/>
      <c r="G1924" s="232"/>
      <c r="H1924" s="232"/>
      <c r="I1924" s="232"/>
      <c r="J1924" s="232"/>
      <c r="K1924" s="232"/>
      <c r="L1924" s="232"/>
      <c r="M1924" s="232"/>
      <c r="N1924" s="232"/>
      <c r="O1924" s="232"/>
      <c r="P1924" s="232"/>
      <c r="Q1924" s="232"/>
      <c r="R1924" s="232"/>
      <c r="S1924" s="232"/>
      <c r="T1924" s="232"/>
      <c r="U1924" s="232"/>
      <c r="V1924" s="15"/>
      <c r="W1924" s="15"/>
      <c r="X1924" s="15"/>
      <c r="Y1924" s="15"/>
      <c r="Z1924" s="15"/>
      <c r="AA1924" s="15"/>
    </row>
    <row r="1925" spans="1:27" s="25" customFormat="1" ht="12" customHeight="1" x14ac:dyDescent="0.2">
      <c r="A1925" s="232"/>
      <c r="B1925" s="250"/>
      <c r="C1925" s="286"/>
      <c r="D1925" s="232"/>
      <c r="E1925" s="232"/>
      <c r="F1925" s="232"/>
      <c r="G1925" s="232"/>
      <c r="H1925" s="232"/>
      <c r="I1925" s="232"/>
      <c r="J1925" s="232"/>
      <c r="K1925" s="232"/>
      <c r="L1925" s="232"/>
      <c r="M1925" s="232"/>
      <c r="N1925" s="232"/>
      <c r="O1925" s="232"/>
      <c r="P1925" s="232"/>
      <c r="Q1925" s="232"/>
      <c r="R1925" s="232"/>
      <c r="S1925" s="232"/>
      <c r="T1925" s="232"/>
      <c r="U1925" s="232"/>
      <c r="V1925" s="15"/>
      <c r="W1925" s="15"/>
      <c r="X1925" s="15"/>
      <c r="Y1925" s="15"/>
      <c r="Z1925" s="15"/>
      <c r="AA1925" s="15"/>
    </row>
    <row r="1926" spans="1:27" s="25" customFormat="1" ht="12" customHeight="1" x14ac:dyDescent="0.2">
      <c r="A1926" s="232"/>
      <c r="B1926" s="250"/>
      <c r="C1926" s="286"/>
      <c r="D1926" s="232"/>
      <c r="E1926" s="232"/>
      <c r="F1926" s="232"/>
      <c r="G1926" s="232"/>
      <c r="H1926" s="232"/>
      <c r="I1926" s="232"/>
      <c r="J1926" s="232"/>
      <c r="K1926" s="232"/>
      <c r="L1926" s="232"/>
      <c r="M1926" s="232"/>
      <c r="N1926" s="232"/>
      <c r="O1926" s="232"/>
      <c r="P1926" s="232"/>
      <c r="Q1926" s="232"/>
      <c r="R1926" s="232"/>
      <c r="S1926" s="232"/>
      <c r="T1926" s="232"/>
      <c r="U1926" s="232"/>
      <c r="V1926" s="15"/>
      <c r="W1926" s="15"/>
      <c r="X1926" s="15"/>
      <c r="Y1926" s="15"/>
      <c r="Z1926" s="15"/>
      <c r="AA1926" s="15"/>
    </row>
    <row r="1927" spans="1:27" s="25" customFormat="1" ht="12" customHeight="1" x14ac:dyDescent="0.2">
      <c r="A1927" s="232"/>
      <c r="B1927" s="250"/>
      <c r="C1927" s="286"/>
      <c r="D1927" s="232"/>
      <c r="E1927" s="232"/>
      <c r="F1927" s="232"/>
      <c r="G1927" s="232"/>
      <c r="H1927" s="232"/>
      <c r="I1927" s="232"/>
      <c r="J1927" s="232"/>
      <c r="K1927" s="232"/>
      <c r="L1927" s="232"/>
      <c r="M1927" s="232"/>
      <c r="N1927" s="232"/>
      <c r="O1927" s="232"/>
      <c r="P1927" s="232"/>
      <c r="Q1927" s="232"/>
      <c r="R1927" s="232"/>
      <c r="S1927" s="232"/>
      <c r="T1927" s="232"/>
      <c r="U1927" s="232"/>
      <c r="V1927" s="15"/>
      <c r="W1927" s="15"/>
      <c r="X1927" s="15"/>
      <c r="Y1927" s="15"/>
      <c r="Z1927" s="15"/>
      <c r="AA1927" s="15"/>
    </row>
    <row r="1928" spans="1:27" s="25" customFormat="1" ht="12" customHeight="1" x14ac:dyDescent="0.2">
      <c r="A1928" s="232"/>
      <c r="B1928" s="250"/>
      <c r="C1928" s="286"/>
      <c r="D1928" s="232"/>
      <c r="E1928" s="232"/>
      <c r="F1928" s="232"/>
      <c r="G1928" s="232"/>
      <c r="H1928" s="232"/>
      <c r="I1928" s="232"/>
      <c r="J1928" s="232"/>
      <c r="K1928" s="232"/>
      <c r="L1928" s="232"/>
      <c r="M1928" s="232"/>
      <c r="N1928" s="232"/>
      <c r="O1928" s="232"/>
      <c r="P1928" s="232"/>
      <c r="Q1928" s="232"/>
      <c r="R1928" s="232"/>
      <c r="S1928" s="232"/>
      <c r="T1928" s="232"/>
      <c r="U1928" s="232"/>
      <c r="V1928" s="15"/>
      <c r="W1928" s="15"/>
      <c r="X1928" s="15"/>
      <c r="Y1928" s="15"/>
      <c r="Z1928" s="15"/>
      <c r="AA1928" s="15"/>
    </row>
    <row r="1929" spans="1:27" s="25" customFormat="1" ht="12" customHeight="1" x14ac:dyDescent="0.2">
      <c r="A1929" s="232"/>
      <c r="B1929" s="250"/>
      <c r="C1929" s="286"/>
      <c r="D1929" s="232"/>
      <c r="E1929" s="232"/>
      <c r="F1929" s="232"/>
      <c r="G1929" s="232"/>
      <c r="H1929" s="232"/>
      <c r="I1929" s="232"/>
      <c r="J1929" s="232"/>
      <c r="K1929" s="232"/>
      <c r="L1929" s="232"/>
      <c r="M1929" s="232"/>
      <c r="N1929" s="232"/>
      <c r="O1929" s="232"/>
      <c r="P1929" s="232"/>
      <c r="Q1929" s="232"/>
      <c r="R1929" s="232"/>
      <c r="S1929" s="232"/>
      <c r="T1929" s="232"/>
      <c r="U1929" s="232"/>
      <c r="V1929" s="15"/>
      <c r="W1929" s="15"/>
      <c r="X1929" s="15"/>
      <c r="Y1929" s="15"/>
      <c r="Z1929" s="15"/>
      <c r="AA1929" s="15"/>
    </row>
    <row r="1930" spans="1:27" s="25" customFormat="1" ht="12" customHeight="1" x14ac:dyDescent="0.2">
      <c r="A1930" s="232"/>
      <c r="B1930" s="250"/>
      <c r="C1930" s="286"/>
      <c r="D1930" s="232"/>
      <c r="E1930" s="232"/>
      <c r="F1930" s="232"/>
      <c r="G1930" s="232"/>
      <c r="H1930" s="232"/>
      <c r="I1930" s="232"/>
      <c r="J1930" s="232"/>
      <c r="K1930" s="232"/>
      <c r="L1930" s="232"/>
      <c r="M1930" s="232"/>
      <c r="N1930" s="232"/>
      <c r="O1930" s="232"/>
      <c r="P1930" s="232"/>
      <c r="Q1930" s="232"/>
      <c r="R1930" s="232"/>
      <c r="S1930" s="232"/>
      <c r="T1930" s="232"/>
      <c r="U1930" s="232"/>
      <c r="V1930" s="15"/>
      <c r="W1930" s="15"/>
      <c r="X1930" s="15"/>
      <c r="Y1930" s="15"/>
      <c r="Z1930" s="15"/>
      <c r="AA1930" s="15"/>
    </row>
    <row r="1931" spans="1:27" s="25" customFormat="1" ht="12" customHeight="1" x14ac:dyDescent="0.2">
      <c r="A1931" s="232"/>
      <c r="B1931" s="250"/>
      <c r="C1931" s="286"/>
      <c r="D1931" s="232"/>
      <c r="E1931" s="232"/>
      <c r="F1931" s="232"/>
      <c r="G1931" s="232"/>
      <c r="H1931" s="232"/>
      <c r="I1931" s="232"/>
      <c r="J1931" s="232"/>
      <c r="K1931" s="232"/>
      <c r="L1931" s="232"/>
      <c r="M1931" s="232"/>
      <c r="N1931" s="232"/>
      <c r="O1931" s="232"/>
      <c r="P1931" s="232"/>
      <c r="Q1931" s="232"/>
      <c r="R1931" s="232"/>
      <c r="S1931" s="232"/>
      <c r="T1931" s="232"/>
      <c r="U1931" s="232"/>
      <c r="V1931" s="15"/>
      <c r="W1931" s="15"/>
      <c r="X1931" s="15"/>
      <c r="Y1931" s="15"/>
      <c r="Z1931" s="15"/>
      <c r="AA1931" s="15"/>
    </row>
    <row r="1932" spans="1:27" s="25" customFormat="1" ht="12" customHeight="1" x14ac:dyDescent="0.2">
      <c r="A1932" s="232"/>
      <c r="B1932" s="250"/>
      <c r="C1932" s="286"/>
      <c r="D1932" s="232"/>
      <c r="E1932" s="232"/>
      <c r="F1932" s="232"/>
      <c r="G1932" s="232"/>
      <c r="H1932" s="232"/>
      <c r="I1932" s="232"/>
      <c r="J1932" s="232"/>
      <c r="K1932" s="232"/>
      <c r="L1932" s="232"/>
      <c r="M1932" s="232"/>
      <c r="N1932" s="232"/>
      <c r="O1932" s="232"/>
      <c r="P1932" s="232"/>
      <c r="Q1932" s="232"/>
      <c r="R1932" s="232"/>
      <c r="S1932" s="232"/>
      <c r="T1932" s="232"/>
      <c r="U1932" s="232"/>
      <c r="V1932" s="15"/>
      <c r="W1932" s="15"/>
      <c r="X1932" s="15"/>
      <c r="Y1932" s="15"/>
      <c r="Z1932" s="15"/>
      <c r="AA1932" s="15"/>
    </row>
    <row r="1933" spans="1:27" s="25" customFormat="1" ht="12" customHeight="1" x14ac:dyDescent="0.2">
      <c r="A1933" s="232"/>
      <c r="B1933" s="250"/>
      <c r="C1933" s="286"/>
      <c r="D1933" s="232"/>
      <c r="E1933" s="232"/>
      <c r="F1933" s="232"/>
      <c r="G1933" s="232"/>
      <c r="H1933" s="232"/>
      <c r="I1933" s="232"/>
      <c r="J1933" s="232"/>
      <c r="K1933" s="232"/>
      <c r="L1933" s="232"/>
      <c r="M1933" s="232"/>
      <c r="N1933" s="232"/>
      <c r="O1933" s="232"/>
      <c r="P1933" s="232"/>
      <c r="Q1933" s="232"/>
      <c r="R1933" s="232"/>
      <c r="S1933" s="232"/>
      <c r="T1933" s="232"/>
      <c r="U1933" s="232"/>
      <c r="V1933" s="15"/>
      <c r="W1933" s="15"/>
      <c r="X1933" s="15"/>
      <c r="Y1933" s="15"/>
      <c r="Z1933" s="15"/>
      <c r="AA1933" s="15"/>
    </row>
    <row r="1934" spans="1:27" s="25" customFormat="1" ht="12" customHeight="1" x14ac:dyDescent="0.2">
      <c r="A1934" s="232"/>
      <c r="B1934" s="250"/>
      <c r="C1934" s="286"/>
      <c r="D1934" s="232"/>
      <c r="E1934" s="232"/>
      <c r="F1934" s="232"/>
      <c r="G1934" s="232"/>
      <c r="H1934" s="232"/>
      <c r="I1934" s="232"/>
      <c r="J1934" s="232"/>
      <c r="K1934" s="232"/>
      <c r="L1934" s="232"/>
      <c r="M1934" s="232"/>
      <c r="N1934" s="232"/>
      <c r="O1934" s="232"/>
      <c r="P1934" s="232"/>
      <c r="Q1934" s="232"/>
      <c r="R1934" s="232"/>
      <c r="S1934" s="232"/>
      <c r="T1934" s="232"/>
      <c r="U1934" s="232"/>
      <c r="V1934" s="15"/>
      <c r="W1934" s="15"/>
      <c r="X1934" s="15"/>
      <c r="Y1934" s="15"/>
      <c r="Z1934" s="15"/>
      <c r="AA1934" s="15"/>
    </row>
    <row r="1935" spans="1:27" s="25" customFormat="1" ht="12" customHeight="1" x14ac:dyDescent="0.2">
      <c r="A1935" s="232"/>
      <c r="B1935" s="250"/>
      <c r="C1935" s="286"/>
      <c r="D1935" s="232"/>
      <c r="E1935" s="232"/>
      <c r="F1935" s="232"/>
      <c r="G1935" s="232"/>
      <c r="H1935" s="232"/>
      <c r="I1935" s="232"/>
      <c r="J1935" s="232"/>
      <c r="K1935" s="232"/>
      <c r="L1935" s="232"/>
      <c r="M1935" s="232"/>
      <c r="N1935" s="232"/>
      <c r="O1935" s="232"/>
      <c r="P1935" s="232"/>
      <c r="Q1935" s="232"/>
      <c r="R1935" s="232"/>
      <c r="S1935" s="232"/>
      <c r="T1935" s="232"/>
      <c r="U1935" s="232"/>
      <c r="V1935" s="15"/>
      <c r="W1935" s="15"/>
      <c r="X1935" s="15"/>
      <c r="Y1935" s="15"/>
      <c r="Z1935" s="15"/>
      <c r="AA1935" s="15"/>
    </row>
    <row r="1936" spans="1:27" s="25" customFormat="1" ht="12" customHeight="1" x14ac:dyDescent="0.2">
      <c r="A1936" s="232"/>
      <c r="B1936" s="250"/>
      <c r="C1936" s="286"/>
      <c r="D1936" s="232"/>
      <c r="E1936" s="232"/>
      <c r="F1936" s="232"/>
      <c r="G1936" s="232"/>
      <c r="H1936" s="232"/>
      <c r="I1936" s="232"/>
      <c r="J1936" s="232"/>
      <c r="K1936" s="232"/>
      <c r="L1936" s="232"/>
      <c r="M1936" s="232"/>
      <c r="N1936" s="232"/>
      <c r="O1936" s="232"/>
      <c r="P1936" s="232"/>
      <c r="Q1936" s="232"/>
      <c r="R1936" s="232"/>
      <c r="S1936" s="232"/>
      <c r="T1936" s="232"/>
      <c r="U1936" s="232"/>
      <c r="V1936" s="15"/>
      <c r="W1936" s="15"/>
      <c r="X1936" s="15"/>
      <c r="Y1936" s="15"/>
      <c r="Z1936" s="15"/>
      <c r="AA1936" s="15"/>
    </row>
    <row r="1937" spans="1:27" s="25" customFormat="1" ht="12" customHeight="1" x14ac:dyDescent="0.2">
      <c r="A1937" s="232"/>
      <c r="B1937" s="250"/>
      <c r="C1937" s="286"/>
      <c r="D1937" s="232"/>
      <c r="E1937" s="232"/>
      <c r="F1937" s="232"/>
      <c r="G1937" s="232"/>
      <c r="H1937" s="232"/>
      <c r="I1937" s="232"/>
      <c r="J1937" s="232"/>
      <c r="K1937" s="232"/>
      <c r="L1937" s="232"/>
      <c r="M1937" s="232"/>
      <c r="N1937" s="232"/>
      <c r="O1937" s="232"/>
      <c r="P1937" s="232"/>
      <c r="Q1937" s="232"/>
      <c r="R1937" s="232"/>
      <c r="S1937" s="232"/>
      <c r="T1937" s="232"/>
      <c r="U1937" s="232"/>
      <c r="V1937" s="15"/>
      <c r="W1937" s="15"/>
      <c r="X1937" s="15"/>
      <c r="Y1937" s="15"/>
      <c r="Z1937" s="15"/>
      <c r="AA1937" s="15"/>
    </row>
    <row r="1938" spans="1:27" s="25" customFormat="1" ht="12" customHeight="1" x14ac:dyDescent="0.2">
      <c r="A1938" s="232"/>
      <c r="B1938" s="250"/>
      <c r="C1938" s="286"/>
      <c r="D1938" s="232"/>
      <c r="E1938" s="232"/>
      <c r="F1938" s="232"/>
      <c r="G1938" s="232"/>
      <c r="H1938" s="232"/>
      <c r="I1938" s="232"/>
      <c r="J1938" s="232"/>
      <c r="K1938" s="232"/>
      <c r="L1938" s="232"/>
      <c r="M1938" s="232"/>
      <c r="N1938" s="232"/>
      <c r="O1938" s="232"/>
      <c r="P1938" s="232"/>
      <c r="Q1938" s="232"/>
      <c r="R1938" s="232"/>
      <c r="S1938" s="232"/>
      <c r="T1938" s="232"/>
      <c r="U1938" s="232"/>
      <c r="V1938" s="15"/>
      <c r="W1938" s="15"/>
      <c r="X1938" s="15"/>
      <c r="Y1938" s="15"/>
      <c r="Z1938" s="15"/>
      <c r="AA1938" s="15"/>
    </row>
    <row r="1939" spans="1:27" s="25" customFormat="1" ht="12" customHeight="1" x14ac:dyDescent="0.2">
      <c r="A1939" s="232"/>
      <c r="B1939" s="250"/>
      <c r="C1939" s="286"/>
      <c r="D1939" s="232"/>
      <c r="E1939" s="232"/>
      <c r="F1939" s="232"/>
      <c r="G1939" s="232"/>
      <c r="H1939" s="232"/>
      <c r="I1939" s="232"/>
      <c r="J1939" s="232"/>
      <c r="K1939" s="232"/>
      <c r="L1939" s="232"/>
      <c r="M1939" s="232"/>
      <c r="N1939" s="232"/>
      <c r="O1939" s="232"/>
      <c r="P1939" s="232"/>
      <c r="Q1939" s="232"/>
      <c r="R1939" s="232"/>
      <c r="S1939" s="232"/>
      <c r="T1939" s="232"/>
      <c r="U1939" s="232"/>
      <c r="V1939" s="15"/>
      <c r="W1939" s="15"/>
      <c r="X1939" s="15"/>
      <c r="Y1939" s="15"/>
      <c r="Z1939" s="15"/>
      <c r="AA1939" s="15"/>
    </row>
    <row r="1940" spans="1:27" s="25" customFormat="1" ht="12" customHeight="1" x14ac:dyDescent="0.2">
      <c r="A1940" s="232"/>
      <c r="B1940" s="250"/>
      <c r="C1940" s="286"/>
      <c r="D1940" s="232"/>
      <c r="E1940" s="232"/>
      <c r="F1940" s="232"/>
      <c r="G1940" s="232"/>
      <c r="H1940" s="232"/>
      <c r="I1940" s="232"/>
      <c r="J1940" s="232"/>
      <c r="K1940" s="232"/>
      <c r="L1940" s="232"/>
      <c r="M1940" s="232"/>
      <c r="N1940" s="232"/>
      <c r="O1940" s="232"/>
      <c r="P1940" s="232"/>
      <c r="Q1940" s="232"/>
      <c r="R1940" s="232"/>
      <c r="S1940" s="232"/>
      <c r="T1940" s="232"/>
      <c r="U1940" s="232"/>
      <c r="V1940" s="15"/>
      <c r="W1940" s="15"/>
      <c r="X1940" s="15"/>
      <c r="Y1940" s="15"/>
      <c r="Z1940" s="15"/>
      <c r="AA1940" s="15"/>
    </row>
    <row r="1941" spans="1:27" s="25" customFormat="1" ht="12" customHeight="1" x14ac:dyDescent="0.2">
      <c r="A1941" s="232"/>
      <c r="B1941" s="250"/>
      <c r="C1941" s="286"/>
      <c r="D1941" s="232"/>
      <c r="E1941" s="232"/>
      <c r="F1941" s="232"/>
      <c r="G1941" s="232"/>
      <c r="H1941" s="232"/>
      <c r="I1941" s="232"/>
      <c r="J1941" s="232"/>
      <c r="K1941" s="232"/>
      <c r="L1941" s="232"/>
      <c r="M1941" s="232"/>
      <c r="N1941" s="232"/>
      <c r="O1941" s="232"/>
      <c r="P1941" s="232"/>
      <c r="Q1941" s="232"/>
      <c r="R1941" s="232"/>
      <c r="S1941" s="232"/>
      <c r="T1941" s="232"/>
      <c r="U1941" s="232"/>
      <c r="V1941" s="15"/>
      <c r="W1941" s="15"/>
      <c r="X1941" s="15"/>
      <c r="Y1941" s="15"/>
      <c r="Z1941" s="15"/>
      <c r="AA1941" s="15"/>
    </row>
    <row r="1942" spans="1:27" s="25" customFormat="1" ht="12" customHeight="1" x14ac:dyDescent="0.2">
      <c r="A1942" s="232"/>
      <c r="B1942" s="250"/>
      <c r="C1942" s="286"/>
      <c r="D1942" s="232"/>
      <c r="E1942" s="232"/>
      <c r="F1942" s="232"/>
      <c r="G1942" s="232"/>
      <c r="H1942" s="232"/>
      <c r="I1942" s="232"/>
      <c r="J1942" s="232"/>
      <c r="K1942" s="232"/>
      <c r="L1942" s="232"/>
      <c r="M1942" s="232"/>
      <c r="N1942" s="232"/>
      <c r="O1942" s="232"/>
      <c r="P1942" s="232"/>
      <c r="Q1942" s="232"/>
      <c r="R1942" s="232"/>
      <c r="S1942" s="232"/>
      <c r="T1942" s="232"/>
      <c r="U1942" s="232"/>
      <c r="V1942" s="15"/>
      <c r="W1942" s="15"/>
      <c r="X1942" s="15"/>
      <c r="Y1942" s="15"/>
      <c r="Z1942" s="15"/>
      <c r="AA1942" s="15"/>
    </row>
    <row r="1943" spans="1:27" s="25" customFormat="1" ht="12" customHeight="1" x14ac:dyDescent="0.2">
      <c r="A1943" s="232"/>
      <c r="B1943" s="250"/>
      <c r="C1943" s="286"/>
      <c r="D1943" s="232"/>
      <c r="E1943" s="232"/>
      <c r="F1943" s="232"/>
      <c r="G1943" s="232"/>
      <c r="H1943" s="232"/>
      <c r="I1943" s="232"/>
      <c r="J1943" s="232"/>
      <c r="K1943" s="232"/>
      <c r="L1943" s="232"/>
      <c r="M1943" s="232"/>
      <c r="N1943" s="232"/>
      <c r="O1943" s="232"/>
      <c r="P1943" s="232"/>
      <c r="Q1943" s="232"/>
      <c r="R1943" s="232"/>
      <c r="S1943" s="232"/>
      <c r="T1943" s="232"/>
      <c r="U1943" s="232"/>
      <c r="V1943" s="15"/>
      <c r="W1943" s="15"/>
      <c r="X1943" s="15"/>
      <c r="Y1943" s="15"/>
      <c r="Z1943" s="15"/>
      <c r="AA1943" s="15"/>
    </row>
    <row r="1944" spans="1:27" s="25" customFormat="1" ht="12" customHeight="1" x14ac:dyDescent="0.2">
      <c r="A1944" s="232"/>
      <c r="B1944" s="250"/>
      <c r="C1944" s="286"/>
      <c r="D1944" s="232"/>
      <c r="E1944" s="232"/>
      <c r="F1944" s="232"/>
      <c r="G1944" s="232"/>
      <c r="H1944" s="232"/>
      <c r="I1944" s="232"/>
      <c r="J1944" s="232"/>
      <c r="K1944" s="232"/>
      <c r="L1944" s="232"/>
      <c r="M1944" s="232"/>
      <c r="N1944" s="232"/>
      <c r="O1944" s="232"/>
      <c r="P1944" s="232"/>
      <c r="Q1944" s="232"/>
      <c r="R1944" s="232"/>
      <c r="S1944" s="232"/>
      <c r="T1944" s="232"/>
      <c r="U1944" s="232"/>
      <c r="V1944" s="15"/>
      <c r="W1944" s="15"/>
      <c r="X1944" s="15"/>
      <c r="Y1944" s="15"/>
      <c r="Z1944" s="15"/>
      <c r="AA1944" s="15"/>
    </row>
    <row r="1945" spans="1:27" s="25" customFormat="1" ht="12" customHeight="1" x14ac:dyDescent="0.2">
      <c r="A1945" s="232"/>
      <c r="B1945" s="250"/>
      <c r="C1945" s="286"/>
      <c r="D1945" s="232"/>
      <c r="E1945" s="232"/>
      <c r="F1945" s="232"/>
      <c r="G1945" s="232"/>
      <c r="H1945" s="232"/>
      <c r="I1945" s="232"/>
      <c r="J1945" s="232"/>
      <c r="K1945" s="232"/>
      <c r="L1945" s="232"/>
      <c r="M1945" s="232"/>
      <c r="N1945" s="232"/>
      <c r="O1945" s="232"/>
      <c r="P1945" s="232"/>
      <c r="Q1945" s="232"/>
      <c r="R1945" s="232"/>
      <c r="S1945" s="232"/>
      <c r="T1945" s="232"/>
      <c r="U1945" s="232"/>
      <c r="V1945" s="15"/>
      <c r="W1945" s="15"/>
      <c r="X1945" s="15"/>
      <c r="Y1945" s="15"/>
      <c r="Z1945" s="15"/>
      <c r="AA1945" s="15"/>
    </row>
    <row r="1946" spans="1:27" s="25" customFormat="1" ht="12" customHeight="1" x14ac:dyDescent="0.2">
      <c r="A1946" s="232"/>
      <c r="B1946" s="250"/>
      <c r="C1946" s="286"/>
      <c r="D1946" s="232"/>
      <c r="E1946" s="232"/>
      <c r="F1946" s="232"/>
      <c r="G1946" s="232"/>
      <c r="H1946" s="232"/>
      <c r="I1946" s="232"/>
      <c r="J1946" s="232"/>
      <c r="K1946" s="232"/>
      <c r="L1946" s="232"/>
      <c r="M1946" s="232"/>
      <c r="N1946" s="232"/>
      <c r="O1946" s="232"/>
      <c r="P1946" s="232"/>
      <c r="Q1946" s="232"/>
      <c r="R1946" s="232"/>
      <c r="S1946" s="232"/>
      <c r="T1946" s="232"/>
      <c r="U1946" s="232"/>
      <c r="V1946" s="15"/>
      <c r="W1946" s="15"/>
      <c r="X1946" s="15"/>
      <c r="Y1946" s="15"/>
      <c r="Z1946" s="15"/>
      <c r="AA1946" s="15"/>
    </row>
    <row r="1947" spans="1:27" s="25" customFormat="1" ht="12" customHeight="1" x14ac:dyDescent="0.2">
      <c r="A1947" s="232"/>
      <c r="B1947" s="250"/>
      <c r="C1947" s="286"/>
      <c r="D1947" s="232"/>
      <c r="E1947" s="232"/>
      <c r="F1947" s="232"/>
      <c r="G1947" s="232"/>
      <c r="H1947" s="232"/>
      <c r="I1947" s="232"/>
      <c r="J1947" s="232"/>
      <c r="K1947" s="232"/>
      <c r="L1947" s="232"/>
      <c r="M1947" s="232"/>
      <c r="N1947" s="232"/>
      <c r="O1947" s="232"/>
      <c r="P1947" s="232"/>
      <c r="Q1947" s="232"/>
      <c r="R1947" s="232"/>
      <c r="S1947" s="232"/>
      <c r="T1947" s="232"/>
      <c r="U1947" s="232"/>
      <c r="V1947" s="15"/>
      <c r="W1947" s="15"/>
      <c r="X1947" s="15"/>
      <c r="Y1947" s="15"/>
      <c r="Z1947" s="15"/>
      <c r="AA1947" s="15"/>
    </row>
    <row r="1948" spans="1:27" s="25" customFormat="1" ht="12" customHeight="1" x14ac:dyDescent="0.2">
      <c r="A1948" s="232"/>
      <c r="B1948" s="250"/>
      <c r="C1948" s="286"/>
      <c r="D1948" s="232"/>
      <c r="E1948" s="232"/>
      <c r="F1948" s="232"/>
      <c r="G1948" s="232"/>
      <c r="H1948" s="232"/>
      <c r="I1948" s="232"/>
      <c r="J1948" s="232"/>
      <c r="K1948" s="232"/>
      <c r="L1948" s="232"/>
      <c r="M1948" s="232"/>
      <c r="N1948" s="232"/>
      <c r="O1948" s="232"/>
      <c r="P1948" s="232"/>
      <c r="Q1948" s="232"/>
      <c r="R1948" s="232"/>
      <c r="S1948" s="232"/>
      <c r="T1948" s="232"/>
      <c r="U1948" s="232"/>
      <c r="V1948" s="15"/>
      <c r="W1948" s="15"/>
      <c r="X1948" s="15"/>
      <c r="Y1948" s="15"/>
      <c r="Z1948" s="15"/>
      <c r="AA1948" s="15"/>
    </row>
    <row r="1949" spans="1:27" s="25" customFormat="1" ht="12" customHeight="1" x14ac:dyDescent="0.2">
      <c r="A1949" s="232"/>
      <c r="B1949" s="250"/>
      <c r="C1949" s="286"/>
      <c r="D1949" s="232"/>
      <c r="E1949" s="232"/>
      <c r="F1949" s="232"/>
      <c r="G1949" s="232"/>
      <c r="H1949" s="232"/>
      <c r="I1949" s="232"/>
      <c r="J1949" s="232"/>
      <c r="K1949" s="232"/>
      <c r="L1949" s="232"/>
      <c r="M1949" s="232"/>
      <c r="N1949" s="232"/>
      <c r="O1949" s="232"/>
      <c r="P1949" s="232"/>
      <c r="Q1949" s="232"/>
      <c r="R1949" s="232"/>
      <c r="S1949" s="232"/>
      <c r="T1949" s="232"/>
      <c r="U1949" s="232"/>
      <c r="V1949" s="15"/>
      <c r="W1949" s="15"/>
      <c r="X1949" s="15"/>
      <c r="Y1949" s="15"/>
      <c r="Z1949" s="15"/>
      <c r="AA1949" s="15"/>
    </row>
    <row r="1950" spans="1:27" s="25" customFormat="1" ht="12" customHeight="1" x14ac:dyDescent="0.2">
      <c r="A1950" s="232"/>
      <c r="B1950" s="250"/>
      <c r="C1950" s="286"/>
      <c r="D1950" s="232"/>
      <c r="E1950" s="232"/>
      <c r="F1950" s="232"/>
      <c r="G1950" s="232"/>
      <c r="H1950" s="232"/>
      <c r="I1950" s="232"/>
      <c r="J1950" s="232"/>
      <c r="K1950" s="232"/>
      <c r="L1950" s="232"/>
      <c r="M1950" s="232"/>
      <c r="N1950" s="232"/>
      <c r="O1950" s="232"/>
      <c r="P1950" s="232"/>
      <c r="Q1950" s="232"/>
      <c r="R1950" s="232"/>
      <c r="S1950" s="232"/>
      <c r="T1950" s="232"/>
      <c r="U1950" s="232"/>
      <c r="V1950" s="15"/>
      <c r="W1950" s="15"/>
      <c r="X1950" s="15"/>
      <c r="Y1950" s="15"/>
      <c r="Z1950" s="15"/>
      <c r="AA1950" s="15"/>
    </row>
    <row r="1951" spans="1:27" s="25" customFormat="1" ht="12" customHeight="1" x14ac:dyDescent="0.2">
      <c r="A1951" s="232"/>
      <c r="B1951" s="250"/>
      <c r="C1951" s="286"/>
      <c r="D1951" s="232"/>
      <c r="E1951" s="232"/>
      <c r="F1951" s="232"/>
      <c r="G1951" s="232"/>
      <c r="H1951" s="232"/>
      <c r="I1951" s="232"/>
      <c r="J1951" s="232"/>
      <c r="K1951" s="232"/>
      <c r="L1951" s="232"/>
      <c r="M1951" s="232"/>
      <c r="N1951" s="232"/>
      <c r="O1951" s="232"/>
      <c r="P1951" s="232"/>
      <c r="Q1951" s="232"/>
      <c r="R1951" s="232"/>
      <c r="S1951" s="232"/>
      <c r="T1951" s="232"/>
      <c r="U1951" s="232"/>
      <c r="V1951" s="15"/>
      <c r="W1951" s="15"/>
      <c r="X1951" s="15"/>
      <c r="Y1951" s="15"/>
      <c r="Z1951" s="15"/>
      <c r="AA1951" s="15"/>
    </row>
    <row r="1952" spans="1:27" s="25" customFormat="1" ht="12" customHeight="1" x14ac:dyDescent="0.2">
      <c r="A1952" s="232"/>
      <c r="B1952" s="250"/>
      <c r="C1952" s="286"/>
      <c r="D1952" s="232"/>
      <c r="E1952" s="232"/>
      <c r="F1952" s="232"/>
      <c r="G1952" s="232"/>
      <c r="H1952" s="232"/>
      <c r="I1952" s="232"/>
      <c r="J1952" s="232"/>
      <c r="K1952" s="232"/>
      <c r="L1952" s="232"/>
      <c r="M1952" s="232"/>
      <c r="N1952" s="232"/>
      <c r="O1952" s="232"/>
      <c r="P1952" s="232"/>
      <c r="Q1952" s="232"/>
      <c r="R1952" s="232"/>
      <c r="S1952" s="232"/>
      <c r="T1952" s="232"/>
      <c r="U1952" s="232"/>
      <c r="V1952" s="15"/>
      <c r="W1952" s="15"/>
      <c r="X1952" s="15"/>
      <c r="Y1952" s="15"/>
      <c r="Z1952" s="15"/>
      <c r="AA1952" s="15"/>
    </row>
    <row r="1953" spans="1:27" s="25" customFormat="1" ht="12" customHeight="1" x14ac:dyDescent="0.2">
      <c r="A1953" s="232"/>
      <c r="B1953" s="250"/>
      <c r="C1953" s="286"/>
      <c r="D1953" s="232"/>
      <c r="E1953" s="232"/>
      <c r="F1953" s="232"/>
      <c r="G1953" s="232"/>
      <c r="H1953" s="232"/>
      <c r="I1953" s="232"/>
      <c r="J1953" s="232"/>
      <c r="K1953" s="232"/>
      <c r="L1953" s="232"/>
      <c r="M1953" s="232"/>
      <c r="N1953" s="232"/>
      <c r="O1953" s="232"/>
      <c r="P1953" s="232"/>
      <c r="Q1953" s="232"/>
      <c r="R1953" s="232"/>
      <c r="S1953" s="232"/>
      <c r="T1953" s="232"/>
      <c r="U1953" s="232"/>
      <c r="V1953" s="15"/>
      <c r="W1953" s="15"/>
      <c r="X1953" s="15"/>
      <c r="Y1953" s="15"/>
      <c r="Z1953" s="15"/>
      <c r="AA1953" s="15"/>
    </row>
    <row r="1954" spans="1:27" s="25" customFormat="1" ht="12" customHeight="1" x14ac:dyDescent="0.2">
      <c r="A1954" s="232"/>
      <c r="B1954" s="250"/>
      <c r="C1954" s="286"/>
      <c r="D1954" s="232"/>
      <c r="E1954" s="232"/>
      <c r="F1954" s="232"/>
      <c r="G1954" s="232"/>
      <c r="H1954" s="232"/>
      <c r="I1954" s="232"/>
      <c r="J1954" s="232"/>
      <c r="K1954" s="232"/>
      <c r="L1954" s="232"/>
      <c r="M1954" s="232"/>
      <c r="N1954" s="232"/>
      <c r="O1954" s="232"/>
      <c r="P1954" s="232"/>
      <c r="Q1954" s="232"/>
      <c r="R1954" s="232"/>
      <c r="S1954" s="232"/>
      <c r="T1954" s="232"/>
      <c r="U1954" s="232"/>
      <c r="V1954" s="15"/>
      <c r="W1954" s="15"/>
      <c r="X1954" s="15"/>
      <c r="Y1954" s="15"/>
      <c r="Z1954" s="15"/>
      <c r="AA1954" s="15"/>
    </row>
    <row r="1955" spans="1:27" s="25" customFormat="1" ht="12" customHeight="1" x14ac:dyDescent="0.2">
      <c r="A1955" s="232"/>
      <c r="B1955" s="250"/>
      <c r="C1955" s="286"/>
      <c r="D1955" s="232"/>
      <c r="E1955" s="232"/>
      <c r="F1955" s="232"/>
      <c r="G1955" s="232"/>
      <c r="H1955" s="232"/>
      <c r="I1955" s="232"/>
      <c r="J1955" s="232"/>
      <c r="K1955" s="232"/>
      <c r="L1955" s="232"/>
      <c r="M1955" s="232"/>
      <c r="N1955" s="232"/>
      <c r="O1955" s="232"/>
      <c r="P1955" s="232"/>
      <c r="Q1955" s="232"/>
      <c r="R1955" s="232"/>
      <c r="S1955" s="232"/>
      <c r="T1955" s="232"/>
      <c r="U1955" s="232"/>
      <c r="V1955" s="15"/>
      <c r="W1955" s="15"/>
      <c r="X1955" s="15"/>
      <c r="Y1955" s="15"/>
      <c r="Z1955" s="15"/>
      <c r="AA1955" s="15"/>
    </row>
    <row r="1956" spans="1:27" s="25" customFormat="1" ht="12" customHeight="1" x14ac:dyDescent="0.2">
      <c r="A1956" s="232"/>
      <c r="B1956" s="250"/>
      <c r="C1956" s="286"/>
      <c r="D1956" s="232"/>
      <c r="E1956" s="232"/>
      <c r="F1956" s="232"/>
      <c r="G1956" s="232"/>
      <c r="H1956" s="232"/>
      <c r="I1956" s="232"/>
      <c r="J1956" s="232"/>
      <c r="K1956" s="232"/>
      <c r="L1956" s="232"/>
      <c r="M1956" s="232"/>
      <c r="N1956" s="232"/>
      <c r="O1956" s="232"/>
      <c r="P1956" s="232"/>
      <c r="Q1956" s="232"/>
      <c r="R1956" s="232"/>
      <c r="S1956" s="232"/>
      <c r="T1956" s="232"/>
      <c r="U1956" s="232"/>
      <c r="V1956" s="15"/>
      <c r="W1956" s="15"/>
      <c r="X1956" s="15"/>
      <c r="Y1956" s="15"/>
      <c r="Z1956" s="15"/>
      <c r="AA1956" s="15"/>
    </row>
    <row r="1957" spans="1:27" s="25" customFormat="1" ht="12" customHeight="1" x14ac:dyDescent="0.2">
      <c r="A1957" s="232"/>
      <c r="B1957" s="250"/>
      <c r="C1957" s="286"/>
      <c r="D1957" s="232"/>
      <c r="E1957" s="232"/>
      <c r="F1957" s="232"/>
      <c r="G1957" s="232"/>
      <c r="H1957" s="232"/>
      <c r="I1957" s="232"/>
      <c r="J1957" s="232"/>
      <c r="K1957" s="232"/>
      <c r="L1957" s="232"/>
      <c r="M1957" s="232"/>
      <c r="N1957" s="232"/>
      <c r="O1957" s="232"/>
      <c r="P1957" s="232"/>
      <c r="Q1957" s="232"/>
      <c r="R1957" s="232"/>
      <c r="S1957" s="232"/>
      <c r="T1957" s="232"/>
      <c r="U1957" s="232"/>
      <c r="V1957" s="15"/>
      <c r="W1957" s="15"/>
      <c r="X1957" s="15"/>
      <c r="Y1957" s="15"/>
      <c r="Z1957" s="15"/>
      <c r="AA1957" s="15"/>
    </row>
    <row r="1958" spans="1:27" s="25" customFormat="1" ht="12" customHeight="1" x14ac:dyDescent="0.2">
      <c r="A1958" s="232"/>
      <c r="B1958" s="250"/>
      <c r="C1958" s="286"/>
      <c r="D1958" s="232"/>
      <c r="E1958" s="232"/>
      <c r="F1958" s="232"/>
      <c r="G1958" s="232"/>
      <c r="H1958" s="232"/>
      <c r="I1958" s="232"/>
      <c r="J1958" s="232"/>
      <c r="K1958" s="232"/>
      <c r="L1958" s="232"/>
      <c r="M1958" s="232"/>
      <c r="N1958" s="232"/>
      <c r="O1958" s="232"/>
      <c r="P1958" s="232"/>
      <c r="Q1958" s="232"/>
      <c r="R1958" s="232"/>
      <c r="S1958" s="232"/>
      <c r="T1958" s="232"/>
      <c r="U1958" s="232"/>
      <c r="V1958" s="15"/>
      <c r="W1958" s="15"/>
      <c r="X1958" s="15"/>
      <c r="Y1958" s="15"/>
      <c r="Z1958" s="15"/>
      <c r="AA1958" s="15"/>
    </row>
    <row r="1959" spans="1:27" s="25" customFormat="1" ht="12" customHeight="1" x14ac:dyDescent="0.2">
      <c r="A1959" s="232"/>
      <c r="B1959" s="250"/>
      <c r="C1959" s="286"/>
      <c r="D1959" s="232"/>
      <c r="E1959" s="232"/>
      <c r="F1959" s="232"/>
      <c r="G1959" s="232"/>
      <c r="H1959" s="232"/>
      <c r="I1959" s="232"/>
      <c r="J1959" s="232"/>
      <c r="K1959" s="232"/>
      <c r="L1959" s="232"/>
      <c r="M1959" s="232"/>
      <c r="N1959" s="232"/>
      <c r="O1959" s="232"/>
      <c r="P1959" s="232"/>
      <c r="Q1959" s="232"/>
      <c r="R1959" s="232"/>
      <c r="S1959" s="232"/>
      <c r="T1959" s="232"/>
      <c r="U1959" s="232"/>
      <c r="V1959" s="15"/>
      <c r="W1959" s="15"/>
      <c r="X1959" s="15"/>
      <c r="Y1959" s="15"/>
      <c r="Z1959" s="15"/>
      <c r="AA1959" s="15"/>
    </row>
    <row r="1960" spans="1:27" s="25" customFormat="1" ht="12" customHeight="1" x14ac:dyDescent="0.2">
      <c r="A1960" s="232"/>
      <c r="B1960" s="250"/>
      <c r="C1960" s="286"/>
      <c r="D1960" s="232"/>
      <c r="E1960" s="232"/>
      <c r="F1960" s="232"/>
      <c r="G1960" s="232"/>
      <c r="H1960" s="232"/>
      <c r="I1960" s="232"/>
      <c r="J1960" s="232"/>
      <c r="K1960" s="232"/>
      <c r="L1960" s="232"/>
      <c r="M1960" s="232"/>
      <c r="N1960" s="232"/>
      <c r="O1960" s="232"/>
      <c r="P1960" s="232"/>
      <c r="Q1960" s="232"/>
      <c r="R1960" s="232"/>
      <c r="S1960" s="232"/>
      <c r="T1960" s="232"/>
      <c r="U1960" s="232"/>
      <c r="V1960" s="15"/>
      <c r="W1960" s="15"/>
      <c r="X1960" s="15"/>
      <c r="Y1960" s="15"/>
      <c r="Z1960" s="15"/>
      <c r="AA1960" s="15"/>
    </row>
    <row r="1961" spans="1:27" s="25" customFormat="1" ht="12" customHeight="1" x14ac:dyDescent="0.2">
      <c r="A1961" s="232"/>
      <c r="B1961" s="250"/>
      <c r="C1961" s="286"/>
      <c r="D1961" s="232"/>
      <c r="E1961" s="232"/>
      <c r="F1961" s="232"/>
      <c r="G1961" s="232"/>
      <c r="H1961" s="232"/>
      <c r="I1961" s="232"/>
      <c r="J1961" s="232"/>
      <c r="K1961" s="232"/>
      <c r="L1961" s="232"/>
      <c r="M1961" s="232"/>
      <c r="N1961" s="232"/>
      <c r="O1961" s="232"/>
      <c r="P1961" s="232"/>
      <c r="Q1961" s="232"/>
      <c r="R1961" s="232"/>
      <c r="S1961" s="232"/>
      <c r="T1961" s="232"/>
      <c r="U1961" s="232"/>
      <c r="V1961" s="15"/>
      <c r="W1961" s="15"/>
      <c r="X1961" s="15"/>
      <c r="Y1961" s="15"/>
      <c r="Z1961" s="15"/>
      <c r="AA1961" s="15"/>
    </row>
    <row r="1962" spans="1:27" s="25" customFormat="1" ht="12" customHeight="1" x14ac:dyDescent="0.2">
      <c r="A1962" s="232"/>
      <c r="B1962" s="250"/>
      <c r="C1962" s="286"/>
      <c r="D1962" s="232"/>
      <c r="E1962" s="232"/>
      <c r="F1962" s="232"/>
      <c r="G1962" s="232"/>
      <c r="H1962" s="232"/>
      <c r="I1962" s="232"/>
      <c r="J1962" s="232"/>
      <c r="K1962" s="232"/>
      <c r="L1962" s="232"/>
      <c r="M1962" s="232"/>
      <c r="N1962" s="232"/>
      <c r="O1962" s="232"/>
      <c r="P1962" s="232"/>
      <c r="Q1962" s="232"/>
      <c r="R1962" s="232"/>
      <c r="S1962" s="232"/>
      <c r="T1962" s="232"/>
      <c r="U1962" s="232"/>
      <c r="V1962" s="15"/>
      <c r="W1962" s="15"/>
      <c r="X1962" s="15"/>
      <c r="Y1962" s="15"/>
      <c r="Z1962" s="15"/>
      <c r="AA1962" s="15"/>
    </row>
    <row r="1963" spans="1:27" s="25" customFormat="1" ht="12" customHeight="1" x14ac:dyDescent="0.2">
      <c r="A1963" s="232"/>
      <c r="B1963" s="250"/>
      <c r="C1963" s="286"/>
      <c r="D1963" s="232"/>
      <c r="E1963" s="232"/>
      <c r="F1963" s="232"/>
      <c r="G1963" s="232"/>
      <c r="H1963" s="232"/>
      <c r="I1963" s="232"/>
      <c r="J1963" s="232"/>
      <c r="K1963" s="232"/>
      <c r="L1963" s="232"/>
      <c r="M1963" s="232"/>
      <c r="N1963" s="232"/>
      <c r="O1963" s="232"/>
      <c r="P1963" s="232"/>
      <c r="Q1963" s="232"/>
      <c r="R1963" s="232"/>
      <c r="S1963" s="232"/>
      <c r="T1963" s="232"/>
      <c r="U1963" s="232"/>
      <c r="V1963" s="15"/>
      <c r="W1963" s="15"/>
      <c r="X1963" s="15"/>
      <c r="Y1963" s="15"/>
      <c r="Z1963" s="15"/>
      <c r="AA1963" s="15"/>
    </row>
    <row r="1964" spans="1:27" s="25" customFormat="1" ht="12" customHeight="1" x14ac:dyDescent="0.2">
      <c r="A1964" s="232"/>
      <c r="B1964" s="250"/>
      <c r="C1964" s="286"/>
      <c r="D1964" s="232"/>
      <c r="E1964" s="232"/>
      <c r="F1964" s="232"/>
      <c r="G1964" s="232"/>
      <c r="H1964" s="232"/>
      <c r="I1964" s="232"/>
      <c r="J1964" s="232"/>
      <c r="K1964" s="232"/>
      <c r="L1964" s="232"/>
      <c r="M1964" s="232"/>
      <c r="N1964" s="232"/>
      <c r="O1964" s="232"/>
      <c r="P1964" s="232"/>
      <c r="Q1964" s="232"/>
      <c r="R1964" s="232"/>
      <c r="S1964" s="232"/>
      <c r="T1964" s="232"/>
      <c r="U1964" s="232"/>
      <c r="V1964" s="15"/>
      <c r="W1964" s="15"/>
      <c r="X1964" s="15"/>
      <c r="Y1964" s="15"/>
      <c r="Z1964" s="15"/>
      <c r="AA1964" s="15"/>
    </row>
    <row r="1965" spans="1:27" s="25" customFormat="1" ht="12" customHeight="1" x14ac:dyDescent="0.2">
      <c r="A1965" s="232"/>
      <c r="B1965" s="250"/>
      <c r="C1965" s="286"/>
      <c r="D1965" s="232"/>
      <c r="E1965" s="232"/>
      <c r="F1965" s="232"/>
      <c r="G1965" s="232"/>
      <c r="H1965" s="232"/>
      <c r="I1965" s="232"/>
      <c r="J1965" s="232"/>
      <c r="K1965" s="232"/>
      <c r="L1965" s="232"/>
      <c r="M1965" s="232"/>
      <c r="N1965" s="232"/>
      <c r="O1965" s="232"/>
      <c r="P1965" s="232"/>
      <c r="Q1965" s="232"/>
      <c r="R1965" s="232"/>
      <c r="S1965" s="232"/>
      <c r="T1965" s="232"/>
      <c r="U1965" s="232"/>
      <c r="V1965" s="15"/>
      <c r="W1965" s="15"/>
      <c r="X1965" s="15"/>
      <c r="Y1965" s="15"/>
      <c r="Z1965" s="15"/>
      <c r="AA1965" s="15"/>
    </row>
    <row r="1966" spans="1:27" s="25" customFormat="1" ht="12" customHeight="1" x14ac:dyDescent="0.2">
      <c r="A1966" s="232"/>
      <c r="B1966" s="250"/>
      <c r="C1966" s="286"/>
      <c r="D1966" s="232"/>
      <c r="E1966" s="232"/>
      <c r="F1966" s="232"/>
      <c r="G1966" s="232"/>
      <c r="H1966" s="232"/>
      <c r="I1966" s="232"/>
      <c r="J1966" s="232"/>
      <c r="K1966" s="232"/>
      <c r="L1966" s="232"/>
      <c r="M1966" s="232"/>
      <c r="N1966" s="232"/>
      <c r="O1966" s="232"/>
      <c r="P1966" s="232"/>
      <c r="Q1966" s="232"/>
      <c r="R1966" s="232"/>
      <c r="S1966" s="232"/>
      <c r="T1966" s="232"/>
      <c r="U1966" s="232"/>
      <c r="V1966" s="15"/>
      <c r="W1966" s="15"/>
      <c r="X1966" s="15"/>
      <c r="Y1966" s="15"/>
      <c r="Z1966" s="15"/>
      <c r="AA1966" s="15"/>
    </row>
    <row r="1967" spans="1:27" s="25" customFormat="1" ht="12" customHeight="1" x14ac:dyDescent="0.2">
      <c r="A1967" s="232"/>
      <c r="B1967" s="250"/>
      <c r="C1967" s="286"/>
      <c r="D1967" s="232"/>
      <c r="E1967" s="232"/>
      <c r="F1967" s="232"/>
      <c r="G1967" s="232"/>
      <c r="H1967" s="232"/>
      <c r="I1967" s="232"/>
      <c r="J1967" s="232"/>
      <c r="K1967" s="232"/>
      <c r="L1967" s="232"/>
      <c r="M1967" s="232"/>
      <c r="N1967" s="232"/>
      <c r="O1967" s="232"/>
      <c r="P1967" s="232"/>
      <c r="Q1967" s="232"/>
      <c r="R1967" s="232"/>
      <c r="S1967" s="232"/>
      <c r="T1967" s="232"/>
      <c r="U1967" s="232"/>
      <c r="V1967" s="15"/>
      <c r="W1967" s="15"/>
      <c r="X1967" s="15"/>
      <c r="Y1967" s="15"/>
      <c r="Z1967" s="15"/>
      <c r="AA1967" s="15"/>
    </row>
    <row r="1968" spans="1:27" s="25" customFormat="1" ht="12" customHeight="1" x14ac:dyDescent="0.2">
      <c r="A1968" s="232"/>
      <c r="B1968" s="250"/>
      <c r="C1968" s="286"/>
      <c r="D1968" s="232"/>
      <c r="E1968" s="232"/>
      <c r="F1968" s="232"/>
      <c r="G1968" s="232"/>
      <c r="H1968" s="232"/>
      <c r="I1968" s="232"/>
      <c r="J1968" s="232"/>
      <c r="K1968" s="232"/>
      <c r="L1968" s="232"/>
      <c r="M1968" s="232"/>
      <c r="N1968" s="232"/>
      <c r="O1968" s="232"/>
      <c r="P1968" s="232"/>
      <c r="Q1968" s="232"/>
      <c r="R1968" s="232"/>
      <c r="S1968" s="232"/>
      <c r="T1968" s="232"/>
      <c r="U1968" s="232"/>
      <c r="V1968" s="15"/>
      <c r="W1968" s="15"/>
      <c r="X1968" s="15"/>
      <c r="Y1968" s="15"/>
      <c r="Z1968" s="15"/>
      <c r="AA1968" s="15"/>
    </row>
    <row r="1969" spans="1:27" s="25" customFormat="1" ht="12" customHeight="1" x14ac:dyDescent="0.2">
      <c r="A1969" s="232"/>
      <c r="B1969" s="250"/>
      <c r="C1969" s="286"/>
      <c r="D1969" s="232"/>
      <c r="E1969" s="232"/>
      <c r="F1969" s="232"/>
      <c r="G1969" s="232"/>
      <c r="H1969" s="232"/>
      <c r="I1969" s="232"/>
      <c r="J1969" s="232"/>
      <c r="K1969" s="232"/>
      <c r="L1969" s="232"/>
      <c r="M1969" s="232"/>
      <c r="N1969" s="232"/>
      <c r="O1969" s="232"/>
      <c r="P1969" s="232"/>
      <c r="Q1969" s="232"/>
      <c r="R1969" s="232"/>
      <c r="S1969" s="232"/>
      <c r="T1969" s="232"/>
      <c r="U1969" s="232"/>
      <c r="V1969" s="15"/>
      <c r="W1969" s="15"/>
      <c r="X1969" s="15"/>
      <c r="Y1969" s="15"/>
      <c r="Z1969" s="15"/>
      <c r="AA1969" s="15"/>
    </row>
    <row r="1970" spans="1:27" s="25" customFormat="1" ht="12" customHeight="1" x14ac:dyDescent="0.2">
      <c r="A1970" s="232"/>
      <c r="B1970" s="250"/>
      <c r="C1970" s="286"/>
      <c r="D1970" s="232"/>
      <c r="E1970" s="232"/>
      <c r="F1970" s="232"/>
      <c r="G1970" s="232"/>
      <c r="H1970" s="232"/>
      <c r="I1970" s="232"/>
      <c r="J1970" s="232"/>
      <c r="K1970" s="232"/>
      <c r="L1970" s="232"/>
      <c r="M1970" s="232"/>
      <c r="N1970" s="232"/>
      <c r="O1970" s="232"/>
      <c r="P1970" s="232"/>
      <c r="Q1970" s="232"/>
      <c r="R1970" s="232"/>
      <c r="S1970" s="232"/>
      <c r="T1970" s="232"/>
      <c r="U1970" s="232"/>
      <c r="V1970" s="15"/>
      <c r="W1970" s="15"/>
      <c r="X1970" s="15"/>
      <c r="Y1970" s="15"/>
      <c r="Z1970" s="15"/>
      <c r="AA1970" s="15"/>
    </row>
    <row r="1971" spans="1:27" s="25" customFormat="1" ht="12" customHeight="1" x14ac:dyDescent="0.2">
      <c r="A1971" s="232"/>
      <c r="B1971" s="250"/>
      <c r="C1971" s="286"/>
      <c r="D1971" s="232"/>
      <c r="E1971" s="232"/>
      <c r="F1971" s="232"/>
      <c r="G1971" s="232"/>
      <c r="H1971" s="232"/>
      <c r="I1971" s="232"/>
      <c r="J1971" s="232"/>
      <c r="K1971" s="232"/>
      <c r="L1971" s="232"/>
      <c r="M1971" s="232"/>
      <c r="N1971" s="232"/>
      <c r="O1971" s="232"/>
      <c r="P1971" s="232"/>
      <c r="Q1971" s="232"/>
      <c r="R1971" s="232"/>
      <c r="S1971" s="232"/>
      <c r="T1971" s="232"/>
      <c r="U1971" s="232"/>
      <c r="V1971" s="15"/>
      <c r="W1971" s="15"/>
      <c r="X1971" s="15"/>
      <c r="Y1971" s="15"/>
      <c r="Z1971" s="15"/>
      <c r="AA1971" s="15"/>
    </row>
    <row r="1972" spans="1:27" s="25" customFormat="1" ht="12" customHeight="1" x14ac:dyDescent="0.2">
      <c r="A1972" s="232"/>
      <c r="B1972" s="250"/>
      <c r="C1972" s="286"/>
      <c r="D1972" s="232"/>
      <c r="E1972" s="232"/>
      <c r="F1972" s="232"/>
      <c r="G1972" s="232"/>
      <c r="H1972" s="232"/>
      <c r="I1972" s="232"/>
      <c r="J1972" s="232"/>
      <c r="K1972" s="232"/>
      <c r="L1972" s="232"/>
      <c r="M1972" s="232"/>
      <c r="N1972" s="232"/>
      <c r="O1972" s="232"/>
      <c r="P1972" s="232"/>
      <c r="Q1972" s="232"/>
      <c r="R1972" s="232"/>
      <c r="S1972" s="232"/>
      <c r="T1972" s="232"/>
      <c r="U1972" s="232"/>
      <c r="V1972" s="15"/>
      <c r="W1972" s="15"/>
      <c r="X1972" s="15"/>
      <c r="Y1972" s="15"/>
      <c r="Z1972" s="15"/>
      <c r="AA1972" s="15"/>
    </row>
    <row r="1973" spans="1:27" s="25" customFormat="1" ht="12" customHeight="1" x14ac:dyDescent="0.2">
      <c r="A1973" s="232"/>
      <c r="B1973" s="250"/>
      <c r="C1973" s="286"/>
      <c r="D1973" s="232"/>
      <c r="E1973" s="232"/>
      <c r="F1973" s="232"/>
      <c r="G1973" s="232"/>
      <c r="H1973" s="232"/>
      <c r="I1973" s="232"/>
      <c r="J1973" s="232"/>
      <c r="K1973" s="232"/>
      <c r="L1973" s="232"/>
      <c r="M1973" s="232"/>
      <c r="N1973" s="232"/>
      <c r="O1973" s="232"/>
      <c r="P1973" s="232"/>
      <c r="Q1973" s="232"/>
      <c r="R1973" s="232"/>
      <c r="S1973" s="232"/>
      <c r="T1973" s="232"/>
      <c r="U1973" s="232"/>
      <c r="V1973" s="15"/>
      <c r="W1973" s="15"/>
      <c r="X1973" s="15"/>
      <c r="Y1973" s="15"/>
      <c r="Z1973" s="15"/>
      <c r="AA1973" s="15"/>
    </row>
    <row r="1974" spans="1:27" s="25" customFormat="1" ht="12" customHeight="1" x14ac:dyDescent="0.2">
      <c r="A1974" s="232"/>
      <c r="B1974" s="250"/>
      <c r="C1974" s="286"/>
      <c r="D1974" s="232"/>
      <c r="E1974" s="232"/>
      <c r="F1974" s="232"/>
      <c r="G1974" s="232"/>
      <c r="H1974" s="232"/>
      <c r="I1974" s="232"/>
      <c r="J1974" s="232"/>
      <c r="K1974" s="232"/>
      <c r="L1974" s="232"/>
      <c r="M1974" s="232"/>
      <c r="N1974" s="232"/>
      <c r="O1974" s="232"/>
      <c r="P1974" s="232"/>
      <c r="Q1974" s="232"/>
      <c r="R1974" s="232"/>
      <c r="S1974" s="232"/>
      <c r="T1974" s="232"/>
      <c r="U1974" s="232"/>
      <c r="V1974" s="15"/>
      <c r="W1974" s="15"/>
      <c r="X1974" s="15"/>
      <c r="Y1974" s="15"/>
      <c r="Z1974" s="15"/>
      <c r="AA1974" s="15"/>
    </row>
    <row r="1975" spans="1:27" s="25" customFormat="1" ht="12" customHeight="1" x14ac:dyDescent="0.2">
      <c r="A1975" s="232"/>
      <c r="B1975" s="250"/>
      <c r="C1975" s="286"/>
      <c r="D1975" s="232"/>
      <c r="E1975" s="232"/>
      <c r="F1975" s="232"/>
      <c r="G1975" s="232"/>
      <c r="H1975" s="232"/>
      <c r="I1975" s="232"/>
      <c r="J1975" s="232"/>
      <c r="K1975" s="232"/>
      <c r="L1975" s="232"/>
      <c r="M1975" s="232"/>
      <c r="N1975" s="232"/>
      <c r="O1975" s="232"/>
      <c r="P1975" s="232"/>
      <c r="Q1975" s="232"/>
      <c r="R1975" s="232"/>
      <c r="S1975" s="232"/>
      <c r="T1975" s="232"/>
      <c r="U1975" s="232"/>
      <c r="V1975" s="15"/>
      <c r="W1975" s="15"/>
      <c r="X1975" s="15"/>
      <c r="Y1975" s="15"/>
      <c r="Z1975" s="15"/>
      <c r="AA1975" s="15"/>
    </row>
    <row r="1976" spans="1:27" s="25" customFormat="1" ht="12" customHeight="1" x14ac:dyDescent="0.2">
      <c r="A1976" s="232"/>
      <c r="B1976" s="250"/>
      <c r="C1976" s="286"/>
      <c r="D1976" s="232"/>
      <c r="E1976" s="232"/>
      <c r="F1976" s="232"/>
      <c r="G1976" s="232"/>
      <c r="H1976" s="232"/>
      <c r="I1976" s="232"/>
      <c r="J1976" s="232"/>
      <c r="K1976" s="232"/>
      <c r="L1976" s="232"/>
      <c r="M1976" s="232"/>
      <c r="N1976" s="232"/>
      <c r="O1976" s="232"/>
      <c r="P1976" s="232"/>
      <c r="Q1976" s="232"/>
      <c r="R1976" s="232"/>
      <c r="S1976" s="232"/>
      <c r="T1976" s="232"/>
      <c r="U1976" s="232"/>
      <c r="V1976" s="15"/>
      <c r="W1976" s="15"/>
      <c r="X1976" s="15"/>
      <c r="Y1976" s="15"/>
      <c r="Z1976" s="15"/>
      <c r="AA1976" s="15"/>
    </row>
    <row r="1977" spans="1:27" s="25" customFormat="1" ht="12" customHeight="1" x14ac:dyDescent="0.2">
      <c r="A1977" s="232"/>
      <c r="B1977" s="250"/>
      <c r="C1977" s="286"/>
      <c r="D1977" s="232"/>
      <c r="E1977" s="232"/>
      <c r="F1977" s="232"/>
      <c r="G1977" s="232"/>
      <c r="H1977" s="232"/>
      <c r="I1977" s="232"/>
      <c r="J1977" s="232"/>
      <c r="K1977" s="232"/>
      <c r="L1977" s="232"/>
      <c r="M1977" s="232"/>
      <c r="N1977" s="232"/>
      <c r="O1977" s="232"/>
      <c r="P1977" s="232"/>
      <c r="Q1977" s="232"/>
      <c r="R1977" s="232"/>
      <c r="S1977" s="232"/>
      <c r="T1977" s="232"/>
      <c r="U1977" s="232"/>
      <c r="V1977" s="15"/>
      <c r="W1977" s="15"/>
      <c r="X1977" s="15"/>
      <c r="Y1977" s="15"/>
      <c r="Z1977" s="15"/>
      <c r="AA1977" s="15"/>
    </row>
    <row r="1978" spans="1:27" s="25" customFormat="1" ht="12" customHeight="1" x14ac:dyDescent="0.2">
      <c r="A1978" s="232"/>
      <c r="B1978" s="250"/>
      <c r="C1978" s="286"/>
      <c r="D1978" s="232"/>
      <c r="E1978" s="232"/>
      <c r="F1978" s="232"/>
      <c r="G1978" s="232"/>
      <c r="H1978" s="232"/>
      <c r="I1978" s="232"/>
      <c r="J1978" s="232"/>
      <c r="K1978" s="232"/>
      <c r="L1978" s="232"/>
      <c r="M1978" s="232"/>
      <c r="N1978" s="232"/>
      <c r="O1978" s="232"/>
      <c r="P1978" s="232"/>
      <c r="Q1978" s="232"/>
      <c r="R1978" s="232"/>
      <c r="S1978" s="232"/>
      <c r="T1978" s="232"/>
      <c r="U1978" s="232"/>
      <c r="V1978" s="15"/>
      <c r="W1978" s="15"/>
      <c r="X1978" s="15"/>
      <c r="Y1978" s="15"/>
      <c r="Z1978" s="15"/>
      <c r="AA1978" s="15"/>
    </row>
    <row r="1979" spans="1:27" s="25" customFormat="1" ht="12" customHeight="1" x14ac:dyDescent="0.2">
      <c r="A1979" s="232"/>
      <c r="B1979" s="250"/>
      <c r="C1979" s="286"/>
      <c r="D1979" s="232"/>
      <c r="E1979" s="232"/>
      <c r="F1979" s="232"/>
      <c r="G1979" s="232"/>
      <c r="H1979" s="232"/>
      <c r="I1979" s="232"/>
      <c r="J1979" s="232"/>
      <c r="K1979" s="232"/>
      <c r="L1979" s="232"/>
      <c r="M1979" s="232"/>
      <c r="N1979" s="232"/>
      <c r="O1979" s="232"/>
      <c r="P1979" s="232"/>
      <c r="Q1979" s="232"/>
      <c r="R1979" s="232"/>
      <c r="S1979" s="232"/>
      <c r="T1979" s="232"/>
      <c r="U1979" s="232"/>
      <c r="V1979" s="15"/>
      <c r="W1979" s="15"/>
      <c r="X1979" s="15"/>
      <c r="Y1979" s="15"/>
      <c r="Z1979" s="15"/>
      <c r="AA1979" s="15"/>
    </row>
    <row r="1980" spans="1:27" s="25" customFormat="1" ht="12" customHeight="1" x14ac:dyDescent="0.2">
      <c r="A1980" s="232"/>
      <c r="B1980" s="250"/>
      <c r="C1980" s="286"/>
      <c r="D1980" s="232"/>
      <c r="E1980" s="232"/>
      <c r="F1980" s="232"/>
      <c r="G1980" s="232"/>
      <c r="H1980" s="232"/>
      <c r="I1980" s="232"/>
      <c r="J1980" s="232"/>
      <c r="K1980" s="232"/>
      <c r="L1980" s="232"/>
      <c r="M1980" s="232"/>
      <c r="N1980" s="232"/>
      <c r="O1980" s="232"/>
      <c r="P1980" s="232"/>
      <c r="Q1980" s="232"/>
      <c r="R1980" s="232"/>
      <c r="S1980" s="232"/>
      <c r="T1980" s="232"/>
      <c r="U1980" s="232"/>
      <c r="V1980" s="15"/>
      <c r="W1980" s="15"/>
      <c r="X1980" s="15"/>
      <c r="Y1980" s="15"/>
      <c r="Z1980" s="15"/>
      <c r="AA1980" s="15"/>
    </row>
    <row r="1981" spans="1:27" s="25" customFormat="1" ht="12" customHeight="1" x14ac:dyDescent="0.2">
      <c r="A1981" s="232"/>
      <c r="B1981" s="250"/>
      <c r="C1981" s="286"/>
      <c r="D1981" s="232"/>
      <c r="E1981" s="232"/>
      <c r="F1981" s="232"/>
      <c r="G1981" s="232"/>
      <c r="H1981" s="232"/>
      <c r="I1981" s="232"/>
      <c r="J1981" s="232"/>
      <c r="K1981" s="232"/>
      <c r="L1981" s="232"/>
      <c r="M1981" s="232"/>
      <c r="N1981" s="232"/>
      <c r="O1981" s="232"/>
      <c r="P1981" s="232"/>
      <c r="Q1981" s="232"/>
      <c r="R1981" s="232"/>
      <c r="S1981" s="232"/>
      <c r="T1981" s="232"/>
      <c r="U1981" s="232"/>
      <c r="V1981" s="15"/>
      <c r="W1981" s="15"/>
      <c r="X1981" s="15"/>
      <c r="Y1981" s="15"/>
      <c r="Z1981" s="15"/>
      <c r="AA1981" s="15"/>
    </row>
    <row r="1982" spans="1:27" s="25" customFormat="1" ht="12" customHeight="1" x14ac:dyDescent="0.2">
      <c r="A1982" s="232"/>
      <c r="B1982" s="250"/>
      <c r="C1982" s="286"/>
      <c r="D1982" s="232"/>
      <c r="E1982" s="232"/>
      <c r="F1982" s="232"/>
      <c r="G1982" s="232"/>
      <c r="H1982" s="232"/>
      <c r="I1982" s="232"/>
      <c r="J1982" s="232"/>
      <c r="K1982" s="232"/>
      <c r="L1982" s="232"/>
      <c r="M1982" s="232"/>
      <c r="N1982" s="232"/>
      <c r="O1982" s="232"/>
      <c r="P1982" s="232"/>
      <c r="Q1982" s="232"/>
      <c r="R1982" s="232"/>
      <c r="S1982" s="232"/>
      <c r="T1982" s="232"/>
      <c r="U1982" s="232"/>
      <c r="V1982" s="15"/>
      <c r="W1982" s="15"/>
      <c r="X1982" s="15"/>
      <c r="Y1982" s="15"/>
      <c r="Z1982" s="15"/>
      <c r="AA1982" s="15"/>
    </row>
    <row r="1983" spans="1:27" s="25" customFormat="1" ht="12" customHeight="1" x14ac:dyDescent="0.2">
      <c r="A1983" s="232"/>
      <c r="B1983" s="250"/>
      <c r="C1983" s="286"/>
      <c r="D1983" s="232"/>
      <c r="E1983" s="232"/>
      <c r="F1983" s="232"/>
      <c r="G1983" s="232"/>
      <c r="H1983" s="232"/>
      <c r="I1983" s="232"/>
      <c r="J1983" s="232"/>
      <c r="K1983" s="232"/>
      <c r="L1983" s="232"/>
      <c r="M1983" s="232"/>
      <c r="N1983" s="232"/>
      <c r="O1983" s="232"/>
      <c r="P1983" s="232"/>
      <c r="Q1983" s="232"/>
      <c r="R1983" s="232"/>
      <c r="S1983" s="232"/>
      <c r="T1983" s="232"/>
      <c r="U1983" s="232"/>
      <c r="V1983" s="15"/>
      <c r="W1983" s="15"/>
      <c r="X1983" s="15"/>
      <c r="Y1983" s="15"/>
      <c r="Z1983" s="15"/>
      <c r="AA1983" s="15"/>
    </row>
    <row r="1984" spans="1:27" s="25" customFormat="1" ht="12" customHeight="1" x14ac:dyDescent="0.2">
      <c r="A1984" s="232"/>
      <c r="B1984" s="250"/>
      <c r="C1984" s="286"/>
      <c r="D1984" s="232"/>
      <c r="E1984" s="232"/>
      <c r="F1984" s="232"/>
      <c r="G1984" s="232"/>
      <c r="H1984" s="232"/>
      <c r="I1984" s="232"/>
      <c r="J1984" s="232"/>
      <c r="K1984" s="232"/>
      <c r="L1984" s="232"/>
      <c r="M1984" s="232"/>
      <c r="N1984" s="232"/>
      <c r="O1984" s="232"/>
      <c r="P1984" s="232"/>
      <c r="Q1984" s="232"/>
      <c r="R1984" s="232"/>
      <c r="S1984" s="232"/>
      <c r="T1984" s="232"/>
      <c r="U1984" s="232"/>
      <c r="V1984" s="15"/>
      <c r="W1984" s="15"/>
      <c r="X1984" s="15"/>
      <c r="Y1984" s="15"/>
      <c r="Z1984" s="15"/>
      <c r="AA1984" s="15"/>
    </row>
    <row r="1985" spans="1:27" s="25" customFormat="1" ht="12" customHeight="1" x14ac:dyDescent="0.2">
      <c r="A1985" s="232"/>
      <c r="B1985" s="250"/>
      <c r="C1985" s="286"/>
      <c r="D1985" s="232"/>
      <c r="E1985" s="232"/>
      <c r="F1985" s="232"/>
      <c r="G1985" s="232"/>
      <c r="H1985" s="232"/>
      <c r="I1985" s="232"/>
      <c r="J1985" s="232"/>
      <c r="K1985" s="232"/>
      <c r="L1985" s="232"/>
      <c r="M1985" s="232"/>
      <c r="N1985" s="232"/>
      <c r="O1985" s="232"/>
      <c r="P1985" s="232"/>
      <c r="Q1985" s="232"/>
      <c r="R1985" s="232"/>
      <c r="S1985" s="232"/>
      <c r="T1985" s="232"/>
      <c r="U1985" s="232"/>
      <c r="V1985" s="15"/>
      <c r="W1985" s="15"/>
      <c r="X1985" s="15"/>
      <c r="Y1985" s="15"/>
      <c r="Z1985" s="15"/>
      <c r="AA1985" s="15"/>
    </row>
    <row r="1986" spans="1:27" s="25" customFormat="1" ht="12" customHeight="1" x14ac:dyDescent="0.2">
      <c r="A1986" s="232"/>
      <c r="B1986" s="250"/>
      <c r="C1986" s="286"/>
      <c r="D1986" s="232"/>
      <c r="E1986" s="232"/>
      <c r="F1986" s="232"/>
      <c r="G1986" s="232"/>
      <c r="H1986" s="232"/>
      <c r="I1986" s="232"/>
      <c r="J1986" s="232"/>
      <c r="K1986" s="232"/>
      <c r="L1986" s="232"/>
      <c r="M1986" s="232"/>
      <c r="N1986" s="232"/>
      <c r="O1986" s="232"/>
      <c r="P1986" s="232"/>
      <c r="Q1986" s="232"/>
      <c r="R1986" s="232"/>
      <c r="S1986" s="232"/>
      <c r="T1986" s="232"/>
      <c r="U1986" s="232"/>
      <c r="V1986" s="15"/>
      <c r="W1986" s="15"/>
      <c r="X1986" s="15"/>
      <c r="Y1986" s="15"/>
      <c r="Z1986" s="15"/>
      <c r="AA1986" s="15"/>
    </row>
    <row r="1987" spans="1:27" s="25" customFormat="1" ht="12" customHeight="1" x14ac:dyDescent="0.2">
      <c r="A1987" s="232"/>
      <c r="B1987" s="250"/>
      <c r="C1987" s="286"/>
      <c r="D1987" s="232"/>
      <c r="E1987" s="232"/>
      <c r="F1987" s="232"/>
      <c r="G1987" s="232"/>
      <c r="H1987" s="232"/>
      <c r="I1987" s="232"/>
      <c r="J1987" s="232"/>
      <c r="K1987" s="232"/>
      <c r="L1987" s="232"/>
      <c r="M1987" s="232"/>
      <c r="N1987" s="232"/>
      <c r="O1987" s="232"/>
      <c r="P1987" s="232"/>
      <c r="Q1987" s="232"/>
      <c r="R1987" s="232"/>
      <c r="S1987" s="232"/>
      <c r="T1987" s="232"/>
      <c r="U1987" s="232"/>
      <c r="V1987" s="15"/>
      <c r="W1987" s="15"/>
      <c r="X1987" s="15"/>
      <c r="Y1987" s="15"/>
      <c r="Z1987" s="15"/>
      <c r="AA1987" s="15"/>
    </row>
    <row r="1988" spans="1:27" s="25" customFormat="1" ht="12" customHeight="1" x14ac:dyDescent="0.2">
      <c r="A1988" s="232"/>
      <c r="B1988" s="250"/>
      <c r="C1988" s="286"/>
      <c r="D1988" s="232"/>
      <c r="E1988" s="232"/>
      <c r="F1988" s="232"/>
      <c r="G1988" s="232"/>
      <c r="H1988" s="232"/>
      <c r="I1988" s="232"/>
      <c r="J1988" s="232"/>
      <c r="K1988" s="232"/>
      <c r="L1988" s="232"/>
      <c r="M1988" s="232"/>
      <c r="N1988" s="232"/>
      <c r="O1988" s="232"/>
      <c r="P1988" s="232"/>
      <c r="Q1988" s="232"/>
      <c r="R1988" s="232"/>
      <c r="S1988" s="232"/>
      <c r="T1988" s="232"/>
      <c r="U1988" s="232"/>
      <c r="V1988" s="15"/>
      <c r="W1988" s="15"/>
      <c r="X1988" s="15"/>
      <c r="Y1988" s="15"/>
      <c r="Z1988" s="15"/>
      <c r="AA1988" s="15"/>
    </row>
    <row r="1989" spans="1:27" s="25" customFormat="1" ht="12" customHeight="1" x14ac:dyDescent="0.2">
      <c r="A1989" s="232"/>
      <c r="B1989" s="250"/>
      <c r="C1989" s="286"/>
      <c r="D1989" s="232"/>
      <c r="E1989" s="232"/>
      <c r="F1989" s="232"/>
      <c r="G1989" s="232"/>
      <c r="H1989" s="232"/>
      <c r="I1989" s="232"/>
      <c r="J1989" s="232"/>
      <c r="K1989" s="232"/>
      <c r="L1989" s="232"/>
      <c r="M1989" s="232"/>
      <c r="N1989" s="232"/>
      <c r="O1989" s="232"/>
      <c r="P1989" s="232"/>
      <c r="Q1989" s="232"/>
      <c r="R1989" s="232"/>
      <c r="S1989" s="232"/>
      <c r="T1989" s="232"/>
      <c r="U1989" s="232"/>
      <c r="V1989" s="15"/>
      <c r="W1989" s="15"/>
      <c r="X1989" s="15"/>
      <c r="Y1989" s="15"/>
      <c r="Z1989" s="15"/>
      <c r="AA1989" s="15"/>
    </row>
    <row r="1990" spans="1:27" s="25" customFormat="1" ht="12" customHeight="1" x14ac:dyDescent="0.2">
      <c r="A1990" s="232"/>
      <c r="B1990" s="250"/>
      <c r="C1990" s="286"/>
      <c r="D1990" s="232"/>
      <c r="E1990" s="232"/>
      <c r="F1990" s="232"/>
      <c r="G1990" s="232"/>
      <c r="H1990" s="232"/>
      <c r="I1990" s="232"/>
      <c r="J1990" s="232"/>
      <c r="K1990" s="232"/>
      <c r="L1990" s="232"/>
      <c r="M1990" s="232"/>
      <c r="N1990" s="232"/>
      <c r="O1990" s="232"/>
      <c r="P1990" s="232"/>
      <c r="Q1990" s="232"/>
      <c r="R1990" s="232"/>
      <c r="S1990" s="232"/>
      <c r="T1990" s="232"/>
      <c r="U1990" s="232"/>
      <c r="V1990" s="15"/>
      <c r="W1990" s="15"/>
      <c r="X1990" s="15"/>
      <c r="Y1990" s="15"/>
      <c r="Z1990" s="15"/>
      <c r="AA1990" s="15"/>
    </row>
    <row r="1991" spans="1:27" s="25" customFormat="1" ht="12" customHeight="1" x14ac:dyDescent="0.2">
      <c r="A1991" s="232"/>
      <c r="B1991" s="250"/>
      <c r="C1991" s="286"/>
      <c r="D1991" s="232"/>
      <c r="E1991" s="232"/>
      <c r="F1991" s="232"/>
      <c r="G1991" s="232"/>
      <c r="H1991" s="232"/>
      <c r="I1991" s="232"/>
      <c r="J1991" s="232"/>
      <c r="K1991" s="232"/>
      <c r="L1991" s="232"/>
      <c r="M1991" s="232"/>
      <c r="N1991" s="232"/>
      <c r="O1991" s="232"/>
      <c r="P1991" s="232"/>
      <c r="Q1991" s="232"/>
      <c r="R1991" s="232"/>
      <c r="S1991" s="232"/>
      <c r="T1991" s="232"/>
      <c r="U1991" s="232"/>
      <c r="V1991" s="15"/>
      <c r="W1991" s="15"/>
      <c r="X1991" s="15"/>
      <c r="Y1991" s="15"/>
      <c r="Z1991" s="15"/>
      <c r="AA1991" s="15"/>
    </row>
    <row r="1992" spans="1:27" s="25" customFormat="1" ht="12" customHeight="1" x14ac:dyDescent="0.2">
      <c r="A1992" s="232"/>
      <c r="B1992" s="250"/>
      <c r="C1992" s="286"/>
      <c r="D1992" s="232"/>
      <c r="E1992" s="232"/>
      <c r="F1992" s="232"/>
      <c r="G1992" s="232"/>
      <c r="H1992" s="232"/>
      <c r="I1992" s="232"/>
      <c r="J1992" s="232"/>
      <c r="K1992" s="232"/>
      <c r="L1992" s="232"/>
      <c r="M1992" s="232"/>
      <c r="N1992" s="232"/>
      <c r="O1992" s="232"/>
      <c r="P1992" s="232"/>
      <c r="Q1992" s="232"/>
      <c r="R1992" s="232"/>
      <c r="S1992" s="232"/>
      <c r="T1992" s="232"/>
      <c r="U1992" s="232"/>
      <c r="V1992" s="15"/>
      <c r="W1992" s="15"/>
      <c r="X1992" s="15"/>
      <c r="Y1992" s="15"/>
      <c r="Z1992" s="15"/>
      <c r="AA1992" s="15"/>
    </row>
    <row r="1993" spans="1:27" s="25" customFormat="1" ht="12" customHeight="1" x14ac:dyDescent="0.2">
      <c r="A1993" s="232"/>
      <c r="B1993" s="250"/>
      <c r="C1993" s="286"/>
      <c r="D1993" s="232"/>
      <c r="E1993" s="232"/>
      <c r="F1993" s="232"/>
      <c r="G1993" s="232"/>
      <c r="H1993" s="232"/>
      <c r="I1993" s="232"/>
      <c r="J1993" s="232"/>
      <c r="K1993" s="232"/>
      <c r="L1993" s="232"/>
      <c r="M1993" s="232"/>
      <c r="N1993" s="232"/>
      <c r="O1993" s="232"/>
      <c r="P1993" s="232"/>
      <c r="Q1993" s="232"/>
      <c r="R1993" s="232"/>
      <c r="S1993" s="232"/>
      <c r="T1993" s="232"/>
      <c r="U1993" s="232"/>
      <c r="V1993" s="15"/>
      <c r="W1993" s="15"/>
      <c r="X1993" s="15"/>
      <c r="Y1993" s="15"/>
      <c r="Z1993" s="15"/>
      <c r="AA1993" s="15"/>
    </row>
    <row r="1994" spans="1:27" s="25" customFormat="1" ht="12" customHeight="1" x14ac:dyDescent="0.2">
      <c r="A1994" s="232"/>
      <c r="B1994" s="250"/>
      <c r="C1994" s="286"/>
      <c r="D1994" s="232"/>
      <c r="E1994" s="232"/>
      <c r="F1994" s="232"/>
      <c r="G1994" s="232"/>
      <c r="H1994" s="232"/>
      <c r="I1994" s="232"/>
      <c r="J1994" s="232"/>
      <c r="K1994" s="232"/>
      <c r="L1994" s="232"/>
      <c r="M1994" s="232"/>
      <c r="N1994" s="232"/>
      <c r="O1994" s="232"/>
      <c r="P1994" s="232"/>
      <c r="Q1994" s="232"/>
      <c r="R1994" s="232"/>
      <c r="S1994" s="232"/>
      <c r="T1994" s="232"/>
      <c r="U1994" s="232"/>
      <c r="V1994" s="15"/>
      <c r="W1994" s="15"/>
      <c r="X1994" s="15"/>
      <c r="Y1994" s="15"/>
      <c r="Z1994" s="15"/>
      <c r="AA1994" s="15"/>
    </row>
    <row r="1995" spans="1:27" s="25" customFormat="1" ht="12" customHeight="1" x14ac:dyDescent="0.2">
      <c r="A1995" s="232"/>
      <c r="B1995" s="250"/>
      <c r="C1995" s="286"/>
      <c r="D1995" s="232"/>
      <c r="E1995" s="232"/>
      <c r="F1995" s="232"/>
      <c r="G1995" s="232"/>
      <c r="H1995" s="232"/>
      <c r="I1995" s="232"/>
      <c r="J1995" s="232"/>
      <c r="K1995" s="232"/>
      <c r="L1995" s="232"/>
      <c r="M1995" s="232"/>
      <c r="N1995" s="232"/>
      <c r="O1995" s="232"/>
      <c r="P1995" s="232"/>
      <c r="Q1995" s="232"/>
      <c r="R1995" s="232"/>
      <c r="S1995" s="232"/>
      <c r="T1995" s="232"/>
      <c r="U1995" s="232"/>
      <c r="V1995" s="15"/>
      <c r="W1995" s="15"/>
      <c r="X1995" s="15"/>
      <c r="Y1995" s="15"/>
      <c r="Z1995" s="15"/>
      <c r="AA1995" s="15"/>
    </row>
    <row r="1996" spans="1:27" s="25" customFormat="1" ht="12" customHeight="1" x14ac:dyDescent="0.2">
      <c r="A1996" s="232"/>
      <c r="B1996" s="250"/>
      <c r="C1996" s="286"/>
      <c r="D1996" s="232"/>
      <c r="E1996" s="232"/>
      <c r="F1996" s="232"/>
      <c r="G1996" s="232"/>
      <c r="H1996" s="232"/>
      <c r="I1996" s="232"/>
      <c r="J1996" s="232"/>
      <c r="K1996" s="232"/>
      <c r="L1996" s="232"/>
      <c r="M1996" s="232"/>
      <c r="N1996" s="232"/>
      <c r="O1996" s="232"/>
      <c r="P1996" s="232"/>
      <c r="Q1996" s="232"/>
      <c r="R1996" s="232"/>
      <c r="S1996" s="232"/>
      <c r="T1996" s="232"/>
      <c r="U1996" s="232"/>
      <c r="V1996" s="15"/>
      <c r="W1996" s="15"/>
      <c r="X1996" s="15"/>
      <c r="Y1996" s="15"/>
      <c r="Z1996" s="15"/>
      <c r="AA1996" s="15"/>
    </row>
    <row r="1997" spans="1:27" s="25" customFormat="1" ht="12" customHeight="1" x14ac:dyDescent="0.2">
      <c r="A1997" s="232"/>
      <c r="B1997" s="250"/>
      <c r="C1997" s="286"/>
      <c r="D1997" s="232"/>
      <c r="E1997" s="232"/>
      <c r="F1997" s="232"/>
      <c r="G1997" s="232"/>
      <c r="H1997" s="232"/>
      <c r="I1997" s="232"/>
      <c r="J1997" s="232"/>
      <c r="K1997" s="232"/>
      <c r="L1997" s="232"/>
      <c r="M1997" s="232"/>
      <c r="N1997" s="232"/>
      <c r="O1997" s="232"/>
      <c r="P1997" s="232"/>
      <c r="Q1997" s="232"/>
      <c r="R1997" s="232"/>
      <c r="S1997" s="232"/>
      <c r="T1997" s="232"/>
      <c r="U1997" s="232"/>
      <c r="V1997" s="15"/>
      <c r="W1997" s="15"/>
      <c r="X1997" s="15"/>
      <c r="Y1997" s="15"/>
      <c r="Z1997" s="15"/>
      <c r="AA1997" s="15"/>
    </row>
    <row r="1998" spans="1:27" s="25" customFormat="1" ht="12" customHeight="1" x14ac:dyDescent="0.2">
      <c r="A1998" s="232"/>
      <c r="B1998" s="250"/>
      <c r="C1998" s="286"/>
      <c r="D1998" s="232"/>
      <c r="E1998" s="232"/>
      <c r="F1998" s="232"/>
      <c r="G1998" s="232"/>
      <c r="H1998" s="232"/>
      <c r="I1998" s="232"/>
      <c r="J1998" s="232"/>
      <c r="K1998" s="232"/>
      <c r="L1998" s="232"/>
      <c r="M1998" s="232"/>
      <c r="N1998" s="232"/>
      <c r="O1998" s="232"/>
      <c r="P1998" s="232"/>
      <c r="Q1998" s="232"/>
      <c r="R1998" s="232"/>
      <c r="S1998" s="232"/>
      <c r="T1998" s="232"/>
      <c r="U1998" s="232"/>
      <c r="V1998" s="15"/>
      <c r="W1998" s="15"/>
      <c r="X1998" s="15"/>
      <c r="Y1998" s="15"/>
      <c r="Z1998" s="15"/>
      <c r="AA1998" s="15"/>
    </row>
    <row r="1999" spans="1:27" s="25" customFormat="1" ht="12" customHeight="1" x14ac:dyDescent="0.2">
      <c r="A1999" s="232"/>
      <c r="B1999" s="250"/>
      <c r="C1999" s="286"/>
      <c r="D1999" s="232"/>
      <c r="E1999" s="232"/>
      <c r="F1999" s="232"/>
      <c r="G1999" s="232"/>
      <c r="H1999" s="232"/>
      <c r="I1999" s="232"/>
      <c r="J1999" s="232"/>
      <c r="K1999" s="232"/>
      <c r="L1999" s="232"/>
      <c r="M1999" s="232"/>
      <c r="N1999" s="232"/>
      <c r="O1999" s="232"/>
      <c r="P1999" s="232"/>
      <c r="Q1999" s="232"/>
      <c r="R1999" s="232"/>
      <c r="S1999" s="232"/>
      <c r="T1999" s="232"/>
      <c r="U1999" s="232"/>
      <c r="V1999" s="15"/>
      <c r="W1999" s="15"/>
      <c r="X1999" s="15"/>
      <c r="Y1999" s="15"/>
      <c r="Z1999" s="15"/>
      <c r="AA1999" s="15"/>
    </row>
    <row r="2000" spans="1:27" s="25" customFormat="1" ht="12" customHeight="1" x14ac:dyDescent="0.2">
      <c r="A2000" s="232"/>
      <c r="B2000" s="250"/>
      <c r="C2000" s="286"/>
      <c r="D2000" s="232"/>
      <c r="E2000" s="232"/>
      <c r="F2000" s="232"/>
      <c r="G2000" s="232"/>
      <c r="H2000" s="232"/>
      <c r="I2000" s="232"/>
      <c r="J2000" s="232"/>
      <c r="K2000" s="232"/>
      <c r="L2000" s="232"/>
      <c r="M2000" s="232"/>
      <c r="N2000" s="232"/>
      <c r="O2000" s="232"/>
      <c r="P2000" s="232"/>
      <c r="Q2000" s="232"/>
      <c r="R2000" s="232"/>
      <c r="S2000" s="232"/>
      <c r="T2000" s="232"/>
      <c r="U2000" s="232"/>
      <c r="V2000" s="15"/>
      <c r="W2000" s="15"/>
      <c r="X2000" s="15"/>
      <c r="Y2000" s="15"/>
      <c r="Z2000" s="15"/>
      <c r="AA2000" s="15"/>
    </row>
    <row r="2001" spans="1:27" s="25" customFormat="1" ht="12" customHeight="1" x14ac:dyDescent="0.2">
      <c r="A2001" s="232"/>
      <c r="B2001" s="250"/>
      <c r="C2001" s="286"/>
      <c r="D2001" s="232"/>
      <c r="E2001" s="232"/>
      <c r="F2001" s="232"/>
      <c r="G2001" s="232"/>
      <c r="H2001" s="232"/>
      <c r="I2001" s="232"/>
      <c r="J2001" s="232"/>
      <c r="K2001" s="232"/>
      <c r="L2001" s="232"/>
      <c r="M2001" s="232"/>
      <c r="N2001" s="232"/>
      <c r="O2001" s="232"/>
      <c r="P2001" s="232"/>
      <c r="Q2001" s="232"/>
      <c r="R2001" s="232"/>
      <c r="S2001" s="232"/>
      <c r="T2001" s="232"/>
      <c r="U2001" s="232"/>
      <c r="V2001" s="15"/>
      <c r="W2001" s="15"/>
      <c r="X2001" s="15"/>
      <c r="Y2001" s="15"/>
      <c r="Z2001" s="15"/>
      <c r="AA2001" s="15"/>
    </row>
    <row r="2002" spans="1:27" s="25" customFormat="1" ht="12" customHeight="1" x14ac:dyDescent="0.2">
      <c r="A2002" s="232"/>
      <c r="B2002" s="250"/>
      <c r="C2002" s="286"/>
      <c r="D2002" s="232"/>
      <c r="E2002" s="232"/>
      <c r="F2002" s="232"/>
      <c r="G2002" s="232"/>
      <c r="H2002" s="232"/>
      <c r="I2002" s="232"/>
      <c r="J2002" s="232"/>
      <c r="K2002" s="232"/>
      <c r="L2002" s="232"/>
      <c r="M2002" s="232"/>
      <c r="N2002" s="232"/>
      <c r="O2002" s="232"/>
      <c r="P2002" s="232"/>
      <c r="Q2002" s="232"/>
      <c r="R2002" s="232"/>
      <c r="S2002" s="232"/>
      <c r="T2002" s="232"/>
      <c r="U2002" s="232"/>
      <c r="V2002" s="15"/>
      <c r="W2002" s="15"/>
      <c r="X2002" s="15"/>
      <c r="Y2002" s="15"/>
      <c r="Z2002" s="15"/>
      <c r="AA2002" s="15"/>
    </row>
    <row r="2003" spans="1:27" s="25" customFormat="1" ht="12" customHeight="1" x14ac:dyDescent="0.2">
      <c r="A2003" s="232"/>
      <c r="B2003" s="250"/>
      <c r="C2003" s="286"/>
      <c r="D2003" s="232"/>
      <c r="E2003" s="232"/>
      <c r="F2003" s="232"/>
      <c r="G2003" s="232"/>
      <c r="H2003" s="232"/>
      <c r="I2003" s="232"/>
      <c r="J2003" s="232"/>
      <c r="K2003" s="232"/>
      <c r="L2003" s="232"/>
      <c r="M2003" s="232"/>
      <c r="N2003" s="232"/>
      <c r="O2003" s="232"/>
      <c r="P2003" s="232"/>
      <c r="Q2003" s="232"/>
      <c r="R2003" s="232"/>
      <c r="S2003" s="232"/>
      <c r="T2003" s="232"/>
      <c r="U2003" s="232"/>
      <c r="V2003" s="15"/>
      <c r="W2003" s="15"/>
      <c r="X2003" s="15"/>
      <c r="Y2003" s="15"/>
      <c r="Z2003" s="15"/>
      <c r="AA2003" s="15"/>
    </row>
    <row r="2004" spans="1:27" s="25" customFormat="1" ht="12" customHeight="1" x14ac:dyDescent="0.2">
      <c r="A2004" s="232"/>
      <c r="B2004" s="250"/>
      <c r="C2004" s="286"/>
      <c r="D2004" s="232"/>
      <c r="E2004" s="232"/>
      <c r="F2004" s="232"/>
      <c r="G2004" s="232"/>
      <c r="H2004" s="232"/>
      <c r="I2004" s="232"/>
      <c r="J2004" s="232"/>
      <c r="K2004" s="232"/>
      <c r="L2004" s="232"/>
      <c r="M2004" s="232"/>
      <c r="N2004" s="232"/>
      <c r="O2004" s="232"/>
      <c r="P2004" s="232"/>
      <c r="Q2004" s="232"/>
      <c r="R2004" s="232"/>
      <c r="S2004" s="232"/>
      <c r="T2004" s="232"/>
      <c r="U2004" s="232"/>
      <c r="V2004" s="15"/>
      <c r="W2004" s="15"/>
      <c r="X2004" s="15"/>
      <c r="Y2004" s="15"/>
      <c r="Z2004" s="15"/>
      <c r="AA2004" s="15"/>
    </row>
    <row r="2005" spans="1:27" s="25" customFormat="1" ht="12" customHeight="1" x14ac:dyDescent="0.2">
      <c r="A2005" s="232"/>
      <c r="B2005" s="250"/>
      <c r="C2005" s="286"/>
      <c r="D2005" s="232"/>
      <c r="E2005" s="232"/>
      <c r="F2005" s="232"/>
      <c r="G2005" s="232"/>
      <c r="H2005" s="232"/>
      <c r="I2005" s="232"/>
      <c r="J2005" s="232"/>
      <c r="K2005" s="232"/>
      <c r="L2005" s="232"/>
      <c r="M2005" s="232"/>
      <c r="N2005" s="232"/>
      <c r="O2005" s="232"/>
      <c r="P2005" s="232"/>
      <c r="Q2005" s="232"/>
      <c r="R2005" s="232"/>
      <c r="S2005" s="232"/>
      <c r="T2005" s="232"/>
      <c r="U2005" s="232"/>
      <c r="V2005" s="15"/>
      <c r="W2005" s="15"/>
      <c r="X2005" s="15"/>
      <c r="Y2005" s="15"/>
      <c r="Z2005" s="15"/>
      <c r="AA2005" s="15"/>
    </row>
    <row r="2006" spans="1:27" s="25" customFormat="1" ht="12" customHeight="1" x14ac:dyDescent="0.2">
      <c r="A2006" s="232"/>
      <c r="B2006" s="250"/>
      <c r="C2006" s="286"/>
      <c r="D2006" s="232"/>
      <c r="E2006" s="232"/>
      <c r="F2006" s="232"/>
      <c r="G2006" s="232"/>
      <c r="H2006" s="232"/>
      <c r="I2006" s="232"/>
      <c r="J2006" s="232"/>
      <c r="K2006" s="232"/>
      <c r="L2006" s="232"/>
      <c r="M2006" s="232"/>
      <c r="N2006" s="232"/>
      <c r="O2006" s="232"/>
      <c r="P2006" s="232"/>
      <c r="Q2006" s="232"/>
      <c r="R2006" s="232"/>
      <c r="S2006" s="232"/>
      <c r="T2006" s="232"/>
      <c r="U2006" s="232"/>
      <c r="V2006" s="15"/>
      <c r="W2006" s="15"/>
      <c r="X2006" s="15"/>
      <c r="Y2006" s="15"/>
      <c r="Z2006" s="15"/>
      <c r="AA2006" s="15"/>
    </row>
    <row r="2007" spans="1:27" s="25" customFormat="1" ht="12" customHeight="1" x14ac:dyDescent="0.2">
      <c r="A2007" s="232"/>
      <c r="B2007" s="250"/>
      <c r="C2007" s="286"/>
      <c r="D2007" s="232"/>
      <c r="E2007" s="232"/>
      <c r="F2007" s="232"/>
      <c r="G2007" s="232"/>
      <c r="H2007" s="232"/>
      <c r="I2007" s="232"/>
      <c r="J2007" s="232"/>
      <c r="K2007" s="232"/>
      <c r="L2007" s="232"/>
      <c r="M2007" s="232"/>
      <c r="N2007" s="232"/>
      <c r="O2007" s="232"/>
      <c r="P2007" s="232"/>
      <c r="Q2007" s="232"/>
      <c r="R2007" s="232"/>
      <c r="S2007" s="232"/>
      <c r="T2007" s="232"/>
      <c r="U2007" s="232"/>
      <c r="V2007" s="15"/>
      <c r="W2007" s="15"/>
      <c r="X2007" s="15"/>
      <c r="Y2007" s="15"/>
      <c r="Z2007" s="15"/>
      <c r="AA2007" s="15"/>
    </row>
    <row r="2008" spans="1:27" s="25" customFormat="1" ht="12" customHeight="1" x14ac:dyDescent="0.2">
      <c r="A2008" s="232"/>
      <c r="B2008" s="250"/>
      <c r="C2008" s="286"/>
      <c r="D2008" s="232"/>
      <c r="E2008" s="232"/>
      <c r="F2008" s="232"/>
      <c r="G2008" s="232"/>
      <c r="H2008" s="232"/>
      <c r="I2008" s="232"/>
      <c r="J2008" s="232"/>
      <c r="K2008" s="232"/>
      <c r="L2008" s="232"/>
      <c r="M2008" s="232"/>
      <c r="N2008" s="232"/>
      <c r="O2008" s="232"/>
      <c r="P2008" s="232"/>
      <c r="Q2008" s="232"/>
      <c r="R2008" s="232"/>
      <c r="S2008" s="232"/>
      <c r="T2008" s="232"/>
      <c r="U2008" s="232"/>
      <c r="V2008" s="15"/>
      <c r="W2008" s="15"/>
      <c r="X2008" s="15"/>
      <c r="Y2008" s="15"/>
      <c r="Z2008" s="15"/>
      <c r="AA2008" s="15"/>
    </row>
    <row r="2009" spans="1:27" s="25" customFormat="1" ht="12" customHeight="1" x14ac:dyDescent="0.2">
      <c r="A2009" s="232"/>
      <c r="B2009" s="250"/>
      <c r="C2009" s="286"/>
      <c r="D2009" s="232"/>
      <c r="E2009" s="232"/>
      <c r="F2009" s="232"/>
      <c r="G2009" s="232"/>
      <c r="H2009" s="232"/>
      <c r="I2009" s="232"/>
      <c r="J2009" s="232"/>
      <c r="K2009" s="232"/>
      <c r="L2009" s="232"/>
      <c r="M2009" s="232"/>
      <c r="N2009" s="232"/>
      <c r="O2009" s="232"/>
      <c r="P2009" s="232"/>
      <c r="Q2009" s="232"/>
      <c r="R2009" s="232"/>
      <c r="S2009" s="232"/>
      <c r="T2009" s="232"/>
      <c r="U2009" s="232"/>
      <c r="V2009" s="15"/>
      <c r="W2009" s="15"/>
      <c r="X2009" s="15"/>
      <c r="Y2009" s="15"/>
      <c r="Z2009" s="15"/>
      <c r="AA2009" s="15"/>
    </row>
    <row r="2010" spans="1:27" s="25" customFormat="1" ht="12" customHeight="1" x14ac:dyDescent="0.2">
      <c r="A2010" s="232"/>
      <c r="B2010" s="250"/>
      <c r="C2010" s="286"/>
      <c r="D2010" s="232"/>
      <c r="E2010" s="232"/>
      <c r="F2010" s="232"/>
      <c r="G2010" s="232"/>
      <c r="H2010" s="232"/>
      <c r="I2010" s="232"/>
      <c r="J2010" s="232"/>
      <c r="K2010" s="232"/>
      <c r="L2010" s="232"/>
      <c r="M2010" s="232"/>
      <c r="N2010" s="232"/>
      <c r="O2010" s="232"/>
      <c r="P2010" s="232"/>
      <c r="Q2010" s="232"/>
      <c r="R2010" s="232"/>
      <c r="S2010" s="232"/>
      <c r="T2010" s="232"/>
      <c r="U2010" s="232"/>
      <c r="V2010" s="15"/>
      <c r="W2010" s="15"/>
      <c r="X2010" s="15"/>
      <c r="Y2010" s="15"/>
      <c r="Z2010" s="15"/>
      <c r="AA2010" s="15"/>
    </row>
    <row r="2011" spans="1:27" s="25" customFormat="1" ht="12" customHeight="1" x14ac:dyDescent="0.2">
      <c r="A2011" s="232"/>
      <c r="B2011" s="250"/>
      <c r="C2011" s="286"/>
      <c r="D2011" s="232"/>
      <c r="E2011" s="232"/>
      <c r="F2011" s="232"/>
      <c r="G2011" s="232"/>
      <c r="H2011" s="232"/>
      <c r="I2011" s="232"/>
      <c r="J2011" s="232"/>
      <c r="K2011" s="232"/>
      <c r="L2011" s="232"/>
      <c r="M2011" s="232"/>
      <c r="N2011" s="232"/>
      <c r="O2011" s="232"/>
      <c r="P2011" s="232"/>
      <c r="Q2011" s="232"/>
      <c r="R2011" s="232"/>
      <c r="S2011" s="232"/>
      <c r="T2011" s="232"/>
      <c r="U2011" s="232"/>
      <c r="V2011" s="15"/>
      <c r="W2011" s="15"/>
      <c r="X2011" s="15"/>
      <c r="Y2011" s="15"/>
      <c r="Z2011" s="15"/>
      <c r="AA2011" s="15"/>
    </row>
    <row r="2012" spans="1:27" s="25" customFormat="1" ht="12" customHeight="1" x14ac:dyDescent="0.2">
      <c r="A2012" s="232"/>
      <c r="B2012" s="250"/>
      <c r="C2012" s="286"/>
      <c r="D2012" s="232"/>
      <c r="E2012" s="232"/>
      <c r="F2012" s="232"/>
      <c r="G2012" s="232"/>
      <c r="H2012" s="232"/>
      <c r="I2012" s="232"/>
      <c r="J2012" s="232"/>
      <c r="K2012" s="232"/>
      <c r="L2012" s="232"/>
      <c r="M2012" s="232"/>
      <c r="N2012" s="232"/>
      <c r="O2012" s="232"/>
      <c r="P2012" s="232"/>
      <c r="Q2012" s="232"/>
      <c r="R2012" s="232"/>
      <c r="S2012" s="232"/>
      <c r="T2012" s="232"/>
      <c r="U2012" s="232"/>
      <c r="V2012" s="15"/>
      <c r="W2012" s="15"/>
      <c r="X2012" s="15"/>
      <c r="Y2012" s="15"/>
      <c r="Z2012" s="15"/>
      <c r="AA2012" s="15"/>
    </row>
    <row r="2013" spans="1:27" s="25" customFormat="1" ht="12" customHeight="1" x14ac:dyDescent="0.2">
      <c r="A2013" s="232"/>
      <c r="B2013" s="250"/>
      <c r="C2013" s="286"/>
      <c r="D2013" s="232"/>
      <c r="E2013" s="232"/>
      <c r="F2013" s="232"/>
      <c r="G2013" s="232"/>
      <c r="H2013" s="232"/>
      <c r="I2013" s="232"/>
      <c r="J2013" s="232"/>
      <c r="K2013" s="232"/>
      <c r="L2013" s="232"/>
      <c r="M2013" s="232"/>
      <c r="N2013" s="232"/>
      <c r="O2013" s="232"/>
      <c r="P2013" s="232"/>
      <c r="Q2013" s="232"/>
      <c r="R2013" s="232"/>
      <c r="S2013" s="232"/>
      <c r="T2013" s="232"/>
      <c r="U2013" s="232"/>
      <c r="V2013" s="15"/>
      <c r="W2013" s="15"/>
      <c r="X2013" s="15"/>
      <c r="Y2013" s="15"/>
      <c r="Z2013" s="15"/>
      <c r="AA2013" s="15"/>
    </row>
    <row r="2014" spans="1:27" s="25" customFormat="1" ht="12" customHeight="1" x14ac:dyDescent="0.2">
      <c r="A2014" s="232"/>
      <c r="B2014" s="250"/>
      <c r="C2014" s="286"/>
      <c r="D2014" s="232"/>
      <c r="E2014" s="232"/>
      <c r="F2014" s="232"/>
      <c r="G2014" s="232"/>
      <c r="H2014" s="232"/>
      <c r="I2014" s="232"/>
      <c r="J2014" s="232"/>
      <c r="K2014" s="232"/>
      <c r="L2014" s="232"/>
      <c r="M2014" s="232"/>
      <c r="N2014" s="232"/>
      <c r="O2014" s="232"/>
      <c r="P2014" s="232"/>
      <c r="Q2014" s="232"/>
      <c r="R2014" s="232"/>
      <c r="S2014" s="232"/>
      <c r="T2014" s="232"/>
      <c r="U2014" s="232"/>
      <c r="V2014" s="15"/>
      <c r="W2014" s="15"/>
      <c r="X2014" s="15"/>
      <c r="Y2014" s="15"/>
      <c r="Z2014" s="15"/>
      <c r="AA2014" s="15"/>
    </row>
    <row r="2015" spans="1:27" s="25" customFormat="1" ht="12" customHeight="1" x14ac:dyDescent="0.2">
      <c r="A2015" s="232"/>
      <c r="B2015" s="250"/>
      <c r="C2015" s="286"/>
      <c r="D2015" s="232"/>
      <c r="E2015" s="232"/>
      <c r="F2015" s="232"/>
      <c r="G2015" s="232"/>
      <c r="H2015" s="232"/>
      <c r="I2015" s="232"/>
      <c r="J2015" s="232"/>
      <c r="K2015" s="232"/>
      <c r="L2015" s="232"/>
      <c r="M2015" s="232"/>
      <c r="N2015" s="232"/>
      <c r="O2015" s="232"/>
      <c r="P2015" s="232"/>
      <c r="Q2015" s="232"/>
      <c r="R2015" s="232"/>
      <c r="S2015" s="232"/>
      <c r="T2015" s="232"/>
      <c r="U2015" s="232"/>
      <c r="V2015" s="15"/>
      <c r="W2015" s="15"/>
      <c r="X2015" s="15"/>
      <c r="Y2015" s="15"/>
      <c r="Z2015" s="15"/>
      <c r="AA2015" s="15"/>
    </row>
    <row r="2016" spans="1:27" s="25" customFormat="1" ht="12" customHeight="1" x14ac:dyDescent="0.2">
      <c r="A2016" s="232"/>
      <c r="B2016" s="250"/>
      <c r="C2016" s="286"/>
      <c r="D2016" s="232"/>
      <c r="E2016" s="232"/>
      <c r="F2016" s="232"/>
      <c r="G2016" s="232"/>
      <c r="H2016" s="232"/>
      <c r="I2016" s="232"/>
      <c r="J2016" s="232"/>
      <c r="K2016" s="232"/>
      <c r="L2016" s="232"/>
      <c r="M2016" s="232"/>
      <c r="N2016" s="232"/>
      <c r="O2016" s="232"/>
      <c r="P2016" s="232"/>
      <c r="Q2016" s="232"/>
      <c r="R2016" s="232"/>
      <c r="S2016" s="232"/>
      <c r="T2016" s="232"/>
      <c r="U2016" s="232"/>
      <c r="V2016" s="15"/>
      <c r="W2016" s="15"/>
      <c r="X2016" s="15"/>
      <c r="Y2016" s="15"/>
      <c r="Z2016" s="15"/>
      <c r="AA2016" s="15"/>
    </row>
    <row r="2017" spans="1:27" s="25" customFormat="1" ht="12" customHeight="1" x14ac:dyDescent="0.2">
      <c r="A2017" s="232"/>
      <c r="B2017" s="250"/>
      <c r="C2017" s="286"/>
      <c r="D2017" s="232"/>
      <c r="E2017" s="232"/>
      <c r="F2017" s="232"/>
      <c r="G2017" s="232"/>
      <c r="H2017" s="232"/>
      <c r="I2017" s="232"/>
      <c r="J2017" s="232"/>
      <c r="K2017" s="232"/>
      <c r="L2017" s="232"/>
      <c r="M2017" s="232"/>
      <c r="N2017" s="232"/>
      <c r="O2017" s="232"/>
      <c r="P2017" s="232"/>
      <c r="Q2017" s="232"/>
      <c r="R2017" s="232"/>
      <c r="S2017" s="232"/>
      <c r="T2017" s="232"/>
      <c r="U2017" s="232"/>
      <c r="V2017" s="15"/>
      <c r="W2017" s="15"/>
      <c r="X2017" s="15"/>
      <c r="Y2017" s="15"/>
      <c r="Z2017" s="15"/>
      <c r="AA2017" s="15"/>
    </row>
    <row r="2018" spans="1:27" s="25" customFormat="1" ht="12" customHeight="1" x14ac:dyDescent="0.2">
      <c r="A2018" s="232"/>
      <c r="B2018" s="250"/>
      <c r="C2018" s="286"/>
      <c r="D2018" s="232"/>
      <c r="E2018" s="232"/>
      <c r="F2018" s="232"/>
      <c r="G2018" s="232"/>
      <c r="H2018" s="232"/>
      <c r="I2018" s="232"/>
      <c r="J2018" s="232"/>
      <c r="K2018" s="232"/>
      <c r="L2018" s="232"/>
      <c r="M2018" s="232"/>
      <c r="N2018" s="232"/>
      <c r="O2018" s="232"/>
      <c r="P2018" s="232"/>
      <c r="Q2018" s="232"/>
      <c r="R2018" s="232"/>
      <c r="S2018" s="232"/>
      <c r="T2018" s="232"/>
      <c r="U2018" s="232"/>
      <c r="V2018" s="15"/>
      <c r="W2018" s="15"/>
      <c r="X2018" s="15"/>
      <c r="Y2018" s="15"/>
      <c r="Z2018" s="15"/>
      <c r="AA2018" s="15"/>
    </row>
    <row r="2019" spans="1:27" s="25" customFormat="1" ht="12" customHeight="1" x14ac:dyDescent="0.2">
      <c r="A2019" s="232"/>
      <c r="B2019" s="250"/>
      <c r="C2019" s="286"/>
      <c r="D2019" s="232"/>
      <c r="E2019" s="232"/>
      <c r="F2019" s="232"/>
      <c r="G2019" s="232"/>
      <c r="H2019" s="232"/>
      <c r="I2019" s="232"/>
      <c r="J2019" s="232"/>
      <c r="K2019" s="232"/>
      <c r="L2019" s="232"/>
      <c r="M2019" s="232"/>
      <c r="N2019" s="232"/>
      <c r="O2019" s="232"/>
      <c r="P2019" s="232"/>
      <c r="Q2019" s="232"/>
      <c r="R2019" s="232"/>
      <c r="S2019" s="232"/>
      <c r="T2019" s="232"/>
      <c r="U2019" s="232"/>
      <c r="V2019" s="15"/>
      <c r="W2019" s="15"/>
      <c r="X2019" s="15"/>
      <c r="Y2019" s="15"/>
      <c r="Z2019" s="15"/>
      <c r="AA2019" s="15"/>
    </row>
    <row r="2020" spans="1:27" s="25" customFormat="1" ht="12" customHeight="1" x14ac:dyDescent="0.2">
      <c r="A2020" s="232"/>
      <c r="B2020" s="250"/>
      <c r="C2020" s="286"/>
      <c r="D2020" s="232"/>
      <c r="E2020" s="232"/>
      <c r="F2020" s="232"/>
      <c r="G2020" s="232"/>
      <c r="H2020" s="232"/>
      <c r="I2020" s="232"/>
      <c r="J2020" s="232"/>
      <c r="K2020" s="232"/>
      <c r="L2020" s="232"/>
      <c r="M2020" s="232"/>
      <c r="N2020" s="232"/>
      <c r="O2020" s="232"/>
      <c r="P2020" s="232"/>
      <c r="Q2020" s="232"/>
      <c r="R2020" s="232"/>
      <c r="S2020" s="232"/>
      <c r="T2020" s="232"/>
      <c r="U2020" s="232"/>
      <c r="V2020" s="15"/>
      <c r="W2020" s="15"/>
      <c r="X2020" s="15"/>
      <c r="Y2020" s="15"/>
      <c r="Z2020" s="15"/>
      <c r="AA2020" s="15"/>
    </row>
    <row r="2021" spans="1:27" s="25" customFormat="1" ht="12" customHeight="1" x14ac:dyDescent="0.2">
      <c r="A2021" s="232"/>
      <c r="B2021" s="250"/>
      <c r="C2021" s="286"/>
      <c r="D2021" s="232"/>
      <c r="E2021" s="232"/>
      <c r="F2021" s="232"/>
      <c r="G2021" s="232"/>
      <c r="H2021" s="232"/>
      <c r="I2021" s="232"/>
      <c r="J2021" s="232"/>
      <c r="K2021" s="232"/>
      <c r="L2021" s="232"/>
      <c r="M2021" s="232"/>
      <c r="N2021" s="232"/>
      <c r="O2021" s="232"/>
      <c r="P2021" s="232"/>
      <c r="Q2021" s="232"/>
      <c r="R2021" s="232"/>
      <c r="S2021" s="232"/>
      <c r="T2021" s="232"/>
      <c r="U2021" s="232"/>
      <c r="V2021" s="15"/>
      <c r="W2021" s="15"/>
      <c r="X2021" s="15"/>
      <c r="Y2021" s="15"/>
      <c r="Z2021" s="15"/>
      <c r="AA2021" s="15"/>
    </row>
    <row r="2022" spans="1:27" s="25" customFormat="1" ht="12" customHeight="1" x14ac:dyDescent="0.2">
      <c r="A2022" s="232"/>
      <c r="B2022" s="250"/>
      <c r="C2022" s="286"/>
      <c r="D2022" s="232"/>
      <c r="E2022" s="232"/>
      <c r="F2022" s="232"/>
      <c r="G2022" s="232"/>
      <c r="H2022" s="232"/>
      <c r="I2022" s="232"/>
      <c r="J2022" s="232"/>
      <c r="K2022" s="232"/>
      <c r="L2022" s="232"/>
      <c r="M2022" s="232"/>
      <c r="N2022" s="232"/>
      <c r="O2022" s="232"/>
      <c r="P2022" s="232"/>
      <c r="Q2022" s="232"/>
      <c r="R2022" s="232"/>
      <c r="S2022" s="232"/>
      <c r="T2022" s="232"/>
      <c r="U2022" s="232"/>
      <c r="V2022" s="15"/>
      <c r="W2022" s="15"/>
      <c r="X2022" s="15"/>
      <c r="Y2022" s="15"/>
      <c r="Z2022" s="15"/>
      <c r="AA2022" s="15"/>
    </row>
    <row r="2023" spans="1:27" s="25" customFormat="1" ht="12" customHeight="1" x14ac:dyDescent="0.2">
      <c r="A2023" s="232"/>
      <c r="B2023" s="250"/>
      <c r="C2023" s="286"/>
      <c r="D2023" s="232"/>
      <c r="E2023" s="232"/>
      <c r="F2023" s="232"/>
      <c r="G2023" s="232"/>
      <c r="H2023" s="232"/>
      <c r="I2023" s="232"/>
      <c r="J2023" s="232"/>
      <c r="K2023" s="232"/>
      <c r="L2023" s="232"/>
      <c r="M2023" s="232"/>
      <c r="N2023" s="232"/>
      <c r="O2023" s="232"/>
      <c r="P2023" s="232"/>
      <c r="Q2023" s="232"/>
      <c r="R2023" s="232"/>
      <c r="S2023" s="232"/>
      <c r="T2023" s="232"/>
      <c r="U2023" s="232"/>
      <c r="V2023" s="15"/>
      <c r="W2023" s="15"/>
      <c r="X2023" s="15"/>
      <c r="Y2023" s="15"/>
      <c r="Z2023" s="15"/>
      <c r="AA2023" s="15"/>
    </row>
    <row r="2024" spans="1:27" s="25" customFormat="1" ht="12" customHeight="1" x14ac:dyDescent="0.2">
      <c r="A2024" s="232"/>
      <c r="B2024" s="250"/>
      <c r="C2024" s="286"/>
      <c r="D2024" s="232"/>
      <c r="E2024" s="232"/>
      <c r="F2024" s="232"/>
      <c r="G2024" s="232"/>
      <c r="H2024" s="232"/>
      <c r="I2024" s="232"/>
      <c r="J2024" s="232"/>
      <c r="K2024" s="232"/>
      <c r="L2024" s="232"/>
      <c r="M2024" s="232"/>
      <c r="N2024" s="232"/>
      <c r="O2024" s="232"/>
      <c r="P2024" s="232"/>
      <c r="Q2024" s="232"/>
      <c r="R2024" s="232"/>
      <c r="S2024" s="232"/>
      <c r="T2024" s="232"/>
      <c r="U2024" s="232"/>
      <c r="V2024" s="15"/>
      <c r="W2024" s="15"/>
      <c r="X2024" s="15"/>
      <c r="Y2024" s="15"/>
      <c r="Z2024" s="15"/>
      <c r="AA2024" s="15"/>
    </row>
    <row r="2025" spans="1:27" s="25" customFormat="1" ht="12" customHeight="1" x14ac:dyDescent="0.2">
      <c r="A2025" s="232"/>
      <c r="B2025" s="250"/>
      <c r="C2025" s="286"/>
      <c r="D2025" s="232"/>
      <c r="E2025" s="232"/>
      <c r="F2025" s="232"/>
      <c r="G2025" s="232"/>
      <c r="H2025" s="232"/>
      <c r="I2025" s="232"/>
      <c r="J2025" s="232"/>
      <c r="K2025" s="232"/>
      <c r="L2025" s="232"/>
      <c r="M2025" s="232"/>
      <c r="N2025" s="232"/>
      <c r="O2025" s="232"/>
      <c r="P2025" s="232"/>
      <c r="Q2025" s="232"/>
      <c r="R2025" s="232"/>
      <c r="S2025" s="232"/>
      <c r="T2025" s="232"/>
      <c r="U2025" s="232"/>
      <c r="V2025" s="15"/>
      <c r="W2025" s="15"/>
      <c r="X2025" s="15"/>
      <c r="Y2025" s="15"/>
      <c r="Z2025" s="15"/>
      <c r="AA2025" s="15"/>
    </row>
    <row r="2026" spans="1:27" s="25" customFormat="1" ht="12" customHeight="1" x14ac:dyDescent="0.2">
      <c r="A2026" s="232"/>
      <c r="B2026" s="250"/>
      <c r="C2026" s="286"/>
      <c r="D2026" s="232"/>
      <c r="E2026" s="232"/>
      <c r="F2026" s="232"/>
      <c r="G2026" s="232"/>
      <c r="H2026" s="232"/>
      <c r="I2026" s="232"/>
      <c r="J2026" s="232"/>
      <c r="K2026" s="232"/>
      <c r="L2026" s="232"/>
      <c r="M2026" s="232"/>
      <c r="N2026" s="232"/>
      <c r="O2026" s="232"/>
      <c r="P2026" s="232"/>
      <c r="Q2026" s="232"/>
      <c r="R2026" s="232"/>
      <c r="S2026" s="232"/>
      <c r="T2026" s="232"/>
      <c r="U2026" s="232"/>
      <c r="V2026" s="15"/>
      <c r="W2026" s="15"/>
      <c r="X2026" s="15"/>
      <c r="Y2026" s="15"/>
      <c r="Z2026" s="15"/>
      <c r="AA2026" s="15"/>
    </row>
    <row r="2027" spans="1:27" s="25" customFormat="1" ht="12" customHeight="1" x14ac:dyDescent="0.2">
      <c r="A2027" s="232"/>
      <c r="B2027" s="250"/>
      <c r="C2027" s="286"/>
      <c r="D2027" s="232"/>
      <c r="E2027" s="232"/>
      <c r="F2027" s="232"/>
      <c r="G2027" s="232"/>
      <c r="H2027" s="232"/>
      <c r="I2027" s="232"/>
      <c r="J2027" s="232"/>
      <c r="K2027" s="232"/>
      <c r="L2027" s="232"/>
      <c r="M2027" s="232"/>
      <c r="N2027" s="232"/>
      <c r="O2027" s="232"/>
      <c r="P2027" s="232"/>
      <c r="Q2027" s="232"/>
      <c r="R2027" s="232"/>
      <c r="S2027" s="232"/>
      <c r="T2027" s="232"/>
      <c r="U2027" s="232"/>
      <c r="V2027" s="15"/>
      <c r="W2027" s="15"/>
      <c r="X2027" s="15"/>
      <c r="Y2027" s="15"/>
      <c r="Z2027" s="15"/>
      <c r="AA2027" s="15"/>
    </row>
    <row r="2028" spans="1:27" s="25" customFormat="1" ht="12" customHeight="1" x14ac:dyDescent="0.2">
      <c r="A2028" s="232"/>
      <c r="B2028" s="250"/>
      <c r="C2028" s="286"/>
      <c r="D2028" s="232"/>
      <c r="E2028" s="232"/>
      <c r="F2028" s="232"/>
      <c r="G2028" s="232"/>
      <c r="H2028" s="232"/>
      <c r="I2028" s="232"/>
      <c r="J2028" s="232"/>
      <c r="K2028" s="232"/>
      <c r="L2028" s="232"/>
      <c r="M2028" s="232"/>
      <c r="N2028" s="232"/>
      <c r="O2028" s="232"/>
      <c r="P2028" s="232"/>
      <c r="Q2028" s="232"/>
      <c r="R2028" s="232"/>
      <c r="S2028" s="232"/>
      <c r="T2028" s="232"/>
      <c r="U2028" s="232"/>
      <c r="V2028" s="15"/>
      <c r="W2028" s="15"/>
      <c r="X2028" s="15"/>
      <c r="Y2028" s="15"/>
      <c r="Z2028" s="15"/>
      <c r="AA2028" s="15"/>
    </row>
    <row r="2029" spans="1:27" s="25" customFormat="1" ht="12" customHeight="1" x14ac:dyDescent="0.2">
      <c r="A2029" s="232"/>
      <c r="B2029" s="250"/>
      <c r="C2029" s="286"/>
      <c r="D2029" s="232"/>
      <c r="E2029" s="232"/>
      <c r="F2029" s="232"/>
      <c r="G2029" s="232"/>
      <c r="H2029" s="232"/>
      <c r="I2029" s="232"/>
      <c r="J2029" s="232"/>
      <c r="K2029" s="232"/>
      <c r="L2029" s="232"/>
      <c r="M2029" s="232"/>
      <c r="N2029" s="232"/>
      <c r="O2029" s="232"/>
      <c r="P2029" s="232"/>
      <c r="Q2029" s="232"/>
      <c r="R2029" s="232"/>
      <c r="S2029" s="232"/>
      <c r="T2029" s="232"/>
      <c r="U2029" s="232"/>
      <c r="V2029" s="15"/>
      <c r="W2029" s="15"/>
      <c r="X2029" s="15"/>
      <c r="Y2029" s="15"/>
      <c r="Z2029" s="15"/>
      <c r="AA2029" s="15"/>
    </row>
    <row r="2030" spans="1:27" s="25" customFormat="1" ht="12" customHeight="1" x14ac:dyDescent="0.2">
      <c r="A2030" s="232"/>
      <c r="B2030" s="250"/>
      <c r="C2030" s="286"/>
      <c r="D2030" s="232"/>
      <c r="E2030" s="232"/>
      <c r="F2030" s="232"/>
      <c r="G2030" s="232"/>
      <c r="H2030" s="232"/>
      <c r="I2030" s="232"/>
      <c r="J2030" s="232"/>
      <c r="K2030" s="232"/>
      <c r="L2030" s="232"/>
      <c r="M2030" s="232"/>
      <c r="N2030" s="232"/>
      <c r="O2030" s="232"/>
      <c r="P2030" s="232"/>
      <c r="Q2030" s="232"/>
      <c r="R2030" s="232"/>
      <c r="S2030" s="232"/>
      <c r="T2030" s="232"/>
      <c r="U2030" s="232"/>
      <c r="V2030" s="15"/>
      <c r="W2030" s="15"/>
      <c r="X2030" s="15"/>
      <c r="Y2030" s="15"/>
      <c r="Z2030" s="15"/>
      <c r="AA2030" s="15"/>
    </row>
    <row r="2031" spans="1:27" s="25" customFormat="1" ht="12" customHeight="1" x14ac:dyDescent="0.2">
      <c r="A2031" s="232"/>
      <c r="B2031" s="250"/>
      <c r="C2031" s="286"/>
      <c r="D2031" s="232"/>
      <c r="E2031" s="232"/>
      <c r="F2031" s="232"/>
      <c r="G2031" s="232"/>
      <c r="H2031" s="232"/>
      <c r="I2031" s="232"/>
      <c r="J2031" s="232"/>
      <c r="K2031" s="232"/>
      <c r="L2031" s="232"/>
      <c r="M2031" s="232"/>
      <c r="N2031" s="232"/>
      <c r="O2031" s="232"/>
      <c r="P2031" s="232"/>
      <c r="Q2031" s="232"/>
      <c r="R2031" s="232"/>
      <c r="S2031" s="232"/>
      <c r="T2031" s="232"/>
      <c r="U2031" s="232"/>
      <c r="V2031" s="15"/>
      <c r="W2031" s="15"/>
      <c r="X2031" s="15"/>
      <c r="Y2031" s="15"/>
      <c r="Z2031" s="15"/>
      <c r="AA2031" s="15"/>
    </row>
    <row r="2032" spans="1:27" s="25" customFormat="1" ht="12" customHeight="1" x14ac:dyDescent="0.2">
      <c r="A2032" s="232"/>
      <c r="B2032" s="250"/>
      <c r="C2032" s="286"/>
      <c r="D2032" s="232"/>
      <c r="E2032" s="232"/>
      <c r="F2032" s="232"/>
      <c r="G2032" s="232"/>
      <c r="H2032" s="232"/>
      <c r="I2032" s="232"/>
      <c r="J2032" s="232"/>
      <c r="K2032" s="232"/>
      <c r="L2032" s="232"/>
      <c r="M2032" s="232"/>
      <c r="N2032" s="232"/>
      <c r="O2032" s="232"/>
      <c r="P2032" s="232"/>
      <c r="Q2032" s="232"/>
      <c r="R2032" s="232"/>
      <c r="S2032" s="232"/>
      <c r="T2032" s="232"/>
      <c r="U2032" s="232"/>
      <c r="V2032" s="15"/>
      <c r="W2032" s="15"/>
      <c r="X2032" s="15"/>
      <c r="Y2032" s="15"/>
      <c r="Z2032" s="15"/>
      <c r="AA2032" s="15"/>
    </row>
    <row r="2033" spans="1:27" s="25" customFormat="1" ht="12" customHeight="1" x14ac:dyDescent="0.2">
      <c r="A2033" s="232"/>
      <c r="B2033" s="250"/>
      <c r="C2033" s="286"/>
      <c r="D2033" s="232"/>
      <c r="E2033" s="232"/>
      <c r="F2033" s="232"/>
      <c r="G2033" s="232"/>
      <c r="H2033" s="232"/>
      <c r="I2033" s="232"/>
      <c r="J2033" s="232"/>
      <c r="K2033" s="232"/>
      <c r="L2033" s="232"/>
      <c r="M2033" s="232"/>
      <c r="N2033" s="232"/>
      <c r="O2033" s="232"/>
      <c r="P2033" s="232"/>
      <c r="Q2033" s="232"/>
      <c r="R2033" s="232"/>
      <c r="S2033" s="232"/>
      <c r="T2033" s="232"/>
      <c r="U2033" s="232"/>
      <c r="V2033" s="15"/>
      <c r="W2033" s="15"/>
      <c r="X2033" s="15"/>
      <c r="Y2033" s="15"/>
      <c r="Z2033" s="15"/>
      <c r="AA2033" s="15"/>
    </row>
    <row r="2034" spans="1:27" s="25" customFormat="1" ht="12" customHeight="1" x14ac:dyDescent="0.2">
      <c r="A2034" s="232"/>
      <c r="B2034" s="250"/>
      <c r="C2034" s="286"/>
      <c r="D2034" s="232"/>
      <c r="E2034" s="232"/>
      <c r="F2034" s="232"/>
      <c r="G2034" s="232"/>
      <c r="H2034" s="232"/>
      <c r="I2034" s="232"/>
      <c r="J2034" s="232"/>
      <c r="K2034" s="232"/>
      <c r="L2034" s="232"/>
      <c r="M2034" s="232"/>
      <c r="N2034" s="232"/>
      <c r="O2034" s="232"/>
      <c r="P2034" s="232"/>
      <c r="Q2034" s="232"/>
      <c r="R2034" s="232"/>
      <c r="S2034" s="232"/>
      <c r="T2034" s="232"/>
      <c r="U2034" s="232"/>
      <c r="V2034" s="15"/>
      <c r="W2034" s="15"/>
      <c r="X2034" s="15"/>
      <c r="Y2034" s="15"/>
      <c r="Z2034" s="15"/>
      <c r="AA2034" s="15"/>
    </row>
    <row r="2035" spans="1:27" s="25" customFormat="1" ht="12" customHeight="1" x14ac:dyDescent="0.2">
      <c r="A2035" s="232"/>
      <c r="B2035" s="250"/>
      <c r="C2035" s="286"/>
      <c r="D2035" s="232"/>
      <c r="E2035" s="232"/>
      <c r="F2035" s="232"/>
      <c r="G2035" s="232"/>
      <c r="H2035" s="232"/>
      <c r="I2035" s="232"/>
      <c r="J2035" s="232"/>
      <c r="K2035" s="232"/>
      <c r="L2035" s="232"/>
      <c r="M2035" s="232"/>
      <c r="N2035" s="232"/>
      <c r="O2035" s="232"/>
      <c r="P2035" s="232"/>
      <c r="Q2035" s="232"/>
      <c r="R2035" s="232"/>
      <c r="S2035" s="232"/>
      <c r="T2035" s="232"/>
      <c r="U2035" s="232"/>
      <c r="V2035" s="15"/>
      <c r="W2035" s="15"/>
      <c r="X2035" s="15"/>
      <c r="Y2035" s="15"/>
      <c r="Z2035" s="15"/>
      <c r="AA2035" s="15"/>
    </row>
    <row r="2036" spans="1:27" s="25" customFormat="1" ht="12" customHeight="1" x14ac:dyDescent="0.2">
      <c r="A2036" s="232"/>
      <c r="B2036" s="250"/>
      <c r="C2036" s="286"/>
      <c r="D2036" s="232"/>
      <c r="E2036" s="232"/>
      <c r="F2036" s="232"/>
      <c r="G2036" s="232"/>
      <c r="H2036" s="232"/>
      <c r="I2036" s="232"/>
      <c r="J2036" s="232"/>
      <c r="K2036" s="232"/>
      <c r="L2036" s="232"/>
      <c r="M2036" s="232"/>
      <c r="N2036" s="232"/>
      <c r="O2036" s="232"/>
      <c r="P2036" s="232"/>
      <c r="Q2036" s="232"/>
      <c r="R2036" s="232"/>
      <c r="S2036" s="232"/>
      <c r="T2036" s="232"/>
      <c r="U2036" s="232"/>
      <c r="V2036" s="15"/>
      <c r="W2036" s="15"/>
      <c r="X2036" s="15"/>
      <c r="Y2036" s="15"/>
      <c r="Z2036" s="15"/>
      <c r="AA2036" s="15"/>
    </row>
    <row r="2037" spans="1:27" s="25" customFormat="1" ht="12" customHeight="1" x14ac:dyDescent="0.2">
      <c r="A2037" s="232"/>
      <c r="B2037" s="250"/>
      <c r="C2037" s="286"/>
      <c r="D2037" s="232"/>
      <c r="E2037" s="232"/>
      <c r="F2037" s="232"/>
      <c r="G2037" s="232"/>
      <c r="H2037" s="232"/>
      <c r="I2037" s="232"/>
      <c r="J2037" s="232"/>
      <c r="K2037" s="232"/>
      <c r="L2037" s="232"/>
      <c r="M2037" s="232"/>
      <c r="N2037" s="232"/>
      <c r="O2037" s="232"/>
      <c r="P2037" s="232"/>
      <c r="Q2037" s="232"/>
      <c r="R2037" s="232"/>
      <c r="S2037" s="232"/>
      <c r="T2037" s="232"/>
      <c r="U2037" s="232"/>
      <c r="V2037" s="15"/>
      <c r="W2037" s="15"/>
      <c r="X2037" s="15"/>
      <c r="Y2037" s="15"/>
      <c r="Z2037" s="15"/>
      <c r="AA2037" s="15"/>
    </row>
    <row r="2038" spans="1:27" s="25" customFormat="1" ht="12" customHeight="1" x14ac:dyDescent="0.2">
      <c r="A2038" s="232"/>
      <c r="B2038" s="250"/>
      <c r="C2038" s="286"/>
      <c r="D2038" s="232"/>
      <c r="E2038" s="232"/>
      <c r="F2038" s="232"/>
      <c r="G2038" s="232"/>
      <c r="H2038" s="232"/>
      <c r="I2038" s="232"/>
      <c r="J2038" s="232"/>
      <c r="K2038" s="232"/>
      <c r="L2038" s="232"/>
      <c r="M2038" s="232"/>
      <c r="N2038" s="232"/>
      <c r="O2038" s="232"/>
      <c r="P2038" s="232"/>
      <c r="Q2038" s="232"/>
      <c r="R2038" s="232"/>
      <c r="S2038" s="232"/>
      <c r="T2038" s="232"/>
      <c r="U2038" s="232"/>
      <c r="V2038" s="15"/>
      <c r="W2038" s="15"/>
      <c r="X2038" s="15"/>
      <c r="Y2038" s="15"/>
      <c r="Z2038" s="15"/>
      <c r="AA2038" s="15"/>
    </row>
    <row r="2039" spans="1:27" s="25" customFormat="1" ht="12" customHeight="1" x14ac:dyDescent="0.2">
      <c r="A2039" s="232"/>
      <c r="B2039" s="250"/>
      <c r="C2039" s="286"/>
      <c r="D2039" s="232"/>
      <c r="E2039" s="232"/>
      <c r="F2039" s="232"/>
      <c r="G2039" s="232"/>
      <c r="H2039" s="232"/>
      <c r="I2039" s="232"/>
      <c r="J2039" s="232"/>
      <c r="K2039" s="232"/>
      <c r="L2039" s="232"/>
      <c r="M2039" s="232"/>
      <c r="N2039" s="232"/>
      <c r="O2039" s="232"/>
      <c r="P2039" s="232"/>
      <c r="Q2039" s="232"/>
      <c r="R2039" s="232"/>
      <c r="S2039" s="232"/>
      <c r="T2039" s="232"/>
      <c r="U2039" s="232"/>
      <c r="V2039" s="15"/>
      <c r="W2039" s="15"/>
      <c r="X2039" s="15"/>
      <c r="Y2039" s="15"/>
      <c r="Z2039" s="15"/>
      <c r="AA2039" s="15"/>
    </row>
    <row r="2040" spans="1:27" s="25" customFormat="1" ht="12" customHeight="1" x14ac:dyDescent="0.2">
      <c r="A2040" s="232"/>
      <c r="B2040" s="250"/>
      <c r="C2040" s="286"/>
      <c r="D2040" s="232"/>
      <c r="E2040" s="232"/>
      <c r="F2040" s="232"/>
      <c r="G2040" s="232"/>
      <c r="H2040" s="232"/>
      <c r="I2040" s="232"/>
      <c r="J2040" s="232"/>
      <c r="K2040" s="232"/>
      <c r="L2040" s="232"/>
      <c r="M2040" s="232"/>
      <c r="N2040" s="232"/>
      <c r="O2040" s="232"/>
      <c r="P2040" s="232"/>
      <c r="Q2040" s="232"/>
      <c r="R2040" s="232"/>
      <c r="S2040" s="232"/>
      <c r="T2040" s="232"/>
      <c r="U2040" s="232"/>
      <c r="V2040" s="15"/>
      <c r="W2040" s="15"/>
      <c r="X2040" s="15"/>
      <c r="Y2040" s="15"/>
      <c r="Z2040" s="15"/>
      <c r="AA2040" s="15"/>
    </row>
    <row r="2041" spans="1:27" s="25" customFormat="1" ht="12" customHeight="1" x14ac:dyDescent="0.2">
      <c r="A2041" s="232"/>
      <c r="B2041" s="250"/>
      <c r="C2041" s="286"/>
      <c r="D2041" s="232"/>
      <c r="E2041" s="232"/>
      <c r="F2041" s="232"/>
      <c r="G2041" s="232"/>
      <c r="H2041" s="232"/>
      <c r="I2041" s="232"/>
      <c r="J2041" s="232"/>
      <c r="K2041" s="232"/>
      <c r="L2041" s="232"/>
      <c r="M2041" s="232"/>
      <c r="N2041" s="232"/>
      <c r="O2041" s="232"/>
      <c r="P2041" s="232"/>
      <c r="Q2041" s="232"/>
      <c r="R2041" s="232"/>
      <c r="S2041" s="232"/>
      <c r="T2041" s="232"/>
      <c r="U2041" s="232"/>
      <c r="V2041" s="15"/>
      <c r="W2041" s="15"/>
      <c r="X2041" s="15"/>
      <c r="Y2041" s="15"/>
      <c r="Z2041" s="15"/>
      <c r="AA2041" s="15"/>
    </row>
    <row r="2042" spans="1:27" s="25" customFormat="1" ht="12" customHeight="1" x14ac:dyDescent="0.2">
      <c r="A2042" s="232"/>
      <c r="B2042" s="250"/>
      <c r="C2042" s="286"/>
      <c r="D2042" s="232"/>
      <c r="E2042" s="232"/>
      <c r="F2042" s="232"/>
      <c r="G2042" s="232"/>
      <c r="H2042" s="232"/>
      <c r="I2042" s="232"/>
      <c r="J2042" s="232"/>
      <c r="K2042" s="232"/>
      <c r="L2042" s="232"/>
      <c r="M2042" s="232"/>
      <c r="N2042" s="232"/>
      <c r="O2042" s="232"/>
      <c r="P2042" s="232"/>
      <c r="Q2042" s="232"/>
      <c r="R2042" s="232"/>
      <c r="S2042" s="232"/>
      <c r="T2042" s="232"/>
      <c r="U2042" s="232"/>
      <c r="V2042" s="15"/>
      <c r="W2042" s="15"/>
      <c r="X2042" s="15"/>
      <c r="Y2042" s="15"/>
      <c r="Z2042" s="15"/>
      <c r="AA2042" s="15"/>
    </row>
    <row r="2043" spans="1:27" s="25" customFormat="1" ht="12" customHeight="1" x14ac:dyDescent="0.2">
      <c r="A2043" s="232"/>
      <c r="B2043" s="250"/>
      <c r="C2043" s="286"/>
      <c r="D2043" s="232"/>
      <c r="E2043" s="232"/>
      <c r="F2043" s="232"/>
      <c r="G2043" s="232"/>
      <c r="H2043" s="232"/>
      <c r="I2043" s="232"/>
      <c r="J2043" s="232"/>
      <c r="K2043" s="232"/>
      <c r="L2043" s="232"/>
      <c r="M2043" s="232"/>
      <c r="N2043" s="232"/>
      <c r="O2043" s="232"/>
      <c r="P2043" s="232"/>
      <c r="Q2043" s="232"/>
      <c r="R2043" s="232"/>
      <c r="S2043" s="232"/>
      <c r="T2043" s="232"/>
      <c r="U2043" s="232"/>
      <c r="V2043" s="15"/>
      <c r="W2043" s="15"/>
      <c r="X2043" s="15"/>
      <c r="Y2043" s="15"/>
      <c r="Z2043" s="15"/>
      <c r="AA2043" s="15"/>
    </row>
    <row r="2044" spans="1:27" s="25" customFormat="1" ht="12" customHeight="1" x14ac:dyDescent="0.2">
      <c r="A2044" s="232"/>
      <c r="B2044" s="250"/>
      <c r="C2044" s="286"/>
      <c r="D2044" s="232"/>
      <c r="E2044" s="232"/>
      <c r="F2044" s="232"/>
      <c r="G2044" s="232"/>
      <c r="H2044" s="232"/>
      <c r="I2044" s="232"/>
      <c r="J2044" s="232"/>
      <c r="K2044" s="232"/>
      <c r="L2044" s="232"/>
      <c r="M2044" s="232"/>
      <c r="N2044" s="232"/>
      <c r="O2044" s="232"/>
      <c r="P2044" s="232"/>
      <c r="Q2044" s="232"/>
      <c r="R2044" s="232"/>
      <c r="S2044" s="232"/>
      <c r="T2044" s="232"/>
      <c r="U2044" s="232"/>
      <c r="V2044" s="15"/>
      <c r="W2044" s="15"/>
      <c r="X2044" s="15"/>
      <c r="Y2044" s="15"/>
      <c r="Z2044" s="15"/>
      <c r="AA2044" s="15"/>
    </row>
    <row r="2045" spans="1:27" s="25" customFormat="1" ht="12" customHeight="1" x14ac:dyDescent="0.2">
      <c r="A2045" s="232"/>
      <c r="B2045" s="250"/>
      <c r="C2045" s="286"/>
      <c r="D2045" s="232"/>
      <c r="E2045" s="232"/>
      <c r="F2045" s="232"/>
      <c r="G2045" s="232"/>
      <c r="H2045" s="232"/>
      <c r="I2045" s="232"/>
      <c r="J2045" s="232"/>
      <c r="K2045" s="232"/>
      <c r="L2045" s="232"/>
      <c r="M2045" s="232"/>
      <c r="N2045" s="232"/>
      <c r="O2045" s="232"/>
      <c r="P2045" s="232"/>
      <c r="Q2045" s="232"/>
      <c r="R2045" s="232"/>
      <c r="S2045" s="232"/>
      <c r="T2045" s="232"/>
      <c r="U2045" s="232"/>
      <c r="V2045" s="15"/>
      <c r="W2045" s="15"/>
      <c r="X2045" s="15"/>
      <c r="Y2045" s="15"/>
      <c r="Z2045" s="15"/>
      <c r="AA2045" s="15"/>
    </row>
    <row r="2046" spans="1:27" s="25" customFormat="1" ht="12" customHeight="1" x14ac:dyDescent="0.2">
      <c r="A2046" s="232"/>
      <c r="B2046" s="250"/>
      <c r="C2046" s="286"/>
      <c r="D2046" s="232"/>
      <c r="E2046" s="232"/>
      <c r="F2046" s="232"/>
      <c r="G2046" s="232"/>
      <c r="H2046" s="232"/>
      <c r="I2046" s="232"/>
      <c r="J2046" s="232"/>
      <c r="K2046" s="232"/>
      <c r="L2046" s="232"/>
      <c r="M2046" s="232"/>
      <c r="N2046" s="232"/>
      <c r="O2046" s="232"/>
      <c r="P2046" s="232"/>
      <c r="Q2046" s="232"/>
      <c r="R2046" s="232"/>
      <c r="S2046" s="232"/>
      <c r="T2046" s="232"/>
      <c r="U2046" s="232"/>
      <c r="V2046" s="15"/>
      <c r="W2046" s="15"/>
      <c r="X2046" s="15"/>
      <c r="Y2046" s="15"/>
      <c r="Z2046" s="15"/>
      <c r="AA2046" s="15"/>
    </row>
    <row r="2047" spans="1:27" s="25" customFormat="1" ht="12" customHeight="1" x14ac:dyDescent="0.2">
      <c r="A2047" s="232"/>
      <c r="B2047" s="250"/>
      <c r="C2047" s="286"/>
      <c r="D2047" s="232"/>
      <c r="E2047" s="232"/>
      <c r="F2047" s="232"/>
      <c r="G2047" s="232"/>
      <c r="H2047" s="232"/>
      <c r="I2047" s="232"/>
      <c r="J2047" s="232"/>
      <c r="K2047" s="232"/>
      <c r="L2047" s="232"/>
      <c r="M2047" s="232"/>
      <c r="N2047" s="232"/>
      <c r="O2047" s="232"/>
      <c r="P2047" s="232"/>
      <c r="Q2047" s="232"/>
      <c r="R2047" s="232"/>
      <c r="S2047" s="232"/>
      <c r="T2047" s="232"/>
      <c r="U2047" s="232"/>
      <c r="V2047" s="15"/>
      <c r="W2047" s="15"/>
      <c r="X2047" s="15"/>
      <c r="Y2047" s="15"/>
      <c r="Z2047" s="15"/>
      <c r="AA2047" s="15"/>
    </row>
    <row r="2048" spans="1:27" s="25" customFormat="1" ht="12" customHeight="1" x14ac:dyDescent="0.2">
      <c r="A2048" s="232"/>
      <c r="B2048" s="250"/>
      <c r="C2048" s="286"/>
      <c r="D2048" s="232"/>
      <c r="E2048" s="232"/>
      <c r="F2048" s="232"/>
      <c r="G2048" s="232"/>
      <c r="H2048" s="232"/>
      <c r="I2048" s="232"/>
      <c r="J2048" s="232"/>
      <c r="K2048" s="232"/>
      <c r="L2048" s="232"/>
      <c r="M2048" s="232"/>
      <c r="N2048" s="232"/>
      <c r="O2048" s="232"/>
      <c r="P2048" s="232"/>
      <c r="Q2048" s="232"/>
      <c r="R2048" s="232"/>
      <c r="S2048" s="232"/>
      <c r="T2048" s="232"/>
      <c r="U2048" s="232"/>
      <c r="V2048" s="15"/>
      <c r="W2048" s="15"/>
      <c r="X2048" s="15"/>
      <c r="Y2048" s="15"/>
      <c r="Z2048" s="15"/>
      <c r="AA2048" s="15"/>
    </row>
    <row r="2049" spans="1:27" s="25" customFormat="1" ht="12" customHeight="1" x14ac:dyDescent="0.2">
      <c r="A2049" s="232"/>
      <c r="B2049" s="250"/>
      <c r="C2049" s="286"/>
      <c r="D2049" s="232"/>
      <c r="E2049" s="232"/>
      <c r="F2049" s="232"/>
      <c r="G2049" s="232"/>
      <c r="H2049" s="232"/>
      <c r="I2049" s="232"/>
      <c r="J2049" s="232"/>
      <c r="K2049" s="232"/>
      <c r="L2049" s="232"/>
      <c r="M2049" s="232"/>
      <c r="N2049" s="232"/>
      <c r="O2049" s="232"/>
      <c r="P2049" s="232"/>
      <c r="Q2049" s="232"/>
      <c r="R2049" s="232"/>
      <c r="S2049" s="232"/>
      <c r="T2049" s="232"/>
      <c r="U2049" s="232"/>
      <c r="V2049" s="15"/>
      <c r="W2049" s="15"/>
      <c r="X2049" s="15"/>
      <c r="Y2049" s="15"/>
      <c r="Z2049" s="15"/>
      <c r="AA2049" s="15"/>
    </row>
    <row r="2050" spans="1:27" s="25" customFormat="1" ht="12" customHeight="1" x14ac:dyDescent="0.2">
      <c r="A2050" s="232"/>
      <c r="B2050" s="250"/>
      <c r="C2050" s="286"/>
      <c r="D2050" s="232"/>
      <c r="E2050" s="232"/>
      <c r="F2050" s="232"/>
      <c r="G2050" s="232"/>
      <c r="H2050" s="232"/>
      <c r="I2050" s="232"/>
      <c r="J2050" s="232"/>
      <c r="K2050" s="232"/>
      <c r="L2050" s="232"/>
      <c r="M2050" s="232"/>
      <c r="N2050" s="232"/>
      <c r="O2050" s="232"/>
      <c r="P2050" s="232"/>
      <c r="Q2050" s="232"/>
      <c r="R2050" s="232"/>
      <c r="S2050" s="232"/>
      <c r="T2050" s="232"/>
      <c r="U2050" s="232"/>
      <c r="V2050" s="15"/>
      <c r="W2050" s="15"/>
      <c r="X2050" s="15"/>
      <c r="Y2050" s="15"/>
      <c r="Z2050" s="15"/>
      <c r="AA2050" s="15"/>
    </row>
    <row r="2051" spans="1:27" s="25" customFormat="1" ht="12" customHeight="1" x14ac:dyDescent="0.2">
      <c r="A2051" s="232"/>
      <c r="B2051" s="250"/>
      <c r="C2051" s="286"/>
      <c r="D2051" s="232"/>
      <c r="E2051" s="232"/>
      <c r="F2051" s="232"/>
      <c r="G2051" s="232"/>
      <c r="H2051" s="232"/>
      <c r="I2051" s="232"/>
      <c r="J2051" s="232"/>
      <c r="K2051" s="232"/>
      <c r="L2051" s="232"/>
      <c r="M2051" s="232"/>
      <c r="N2051" s="232"/>
      <c r="O2051" s="232"/>
      <c r="P2051" s="232"/>
      <c r="Q2051" s="232"/>
      <c r="R2051" s="232"/>
      <c r="S2051" s="232"/>
      <c r="T2051" s="232"/>
      <c r="U2051" s="232"/>
      <c r="V2051" s="15"/>
      <c r="W2051" s="15"/>
      <c r="X2051" s="15"/>
      <c r="Y2051" s="15"/>
      <c r="Z2051" s="15"/>
      <c r="AA2051" s="15"/>
    </row>
    <row r="2052" spans="1:27" s="25" customFormat="1" ht="12" customHeight="1" x14ac:dyDescent="0.2">
      <c r="A2052" s="232"/>
      <c r="B2052" s="250"/>
      <c r="C2052" s="286"/>
      <c r="D2052" s="232"/>
      <c r="E2052" s="232"/>
      <c r="F2052" s="232"/>
      <c r="G2052" s="232"/>
      <c r="H2052" s="232"/>
      <c r="I2052" s="232"/>
      <c r="J2052" s="232"/>
      <c r="K2052" s="232"/>
      <c r="L2052" s="232"/>
      <c r="M2052" s="232"/>
      <c r="N2052" s="232"/>
      <c r="O2052" s="232"/>
      <c r="P2052" s="232"/>
      <c r="Q2052" s="232"/>
      <c r="R2052" s="232"/>
      <c r="S2052" s="232"/>
      <c r="T2052" s="232"/>
      <c r="U2052" s="232"/>
      <c r="V2052" s="15"/>
      <c r="W2052" s="15"/>
      <c r="X2052" s="15"/>
      <c r="Y2052" s="15"/>
      <c r="Z2052" s="15"/>
      <c r="AA2052" s="15"/>
    </row>
    <row r="2053" spans="1:27" s="25" customFormat="1" ht="12" customHeight="1" x14ac:dyDescent="0.2">
      <c r="A2053" s="232"/>
      <c r="B2053" s="250"/>
      <c r="C2053" s="286"/>
      <c r="D2053" s="232"/>
      <c r="E2053" s="232"/>
      <c r="F2053" s="232"/>
      <c r="G2053" s="232"/>
      <c r="H2053" s="232"/>
      <c r="I2053" s="232"/>
      <c r="J2053" s="232"/>
      <c r="K2053" s="232"/>
      <c r="L2053" s="232"/>
      <c r="M2053" s="232"/>
      <c r="N2053" s="232"/>
      <c r="O2053" s="232"/>
      <c r="P2053" s="232"/>
      <c r="Q2053" s="232"/>
      <c r="R2053" s="232"/>
      <c r="S2053" s="232"/>
      <c r="T2053" s="232"/>
      <c r="U2053" s="232"/>
      <c r="V2053" s="15"/>
      <c r="W2053" s="15"/>
      <c r="X2053" s="15"/>
      <c r="Y2053" s="15"/>
      <c r="Z2053" s="15"/>
      <c r="AA2053" s="15"/>
    </row>
    <row r="2054" spans="1:27" s="25" customFormat="1" ht="12" customHeight="1" x14ac:dyDescent="0.2">
      <c r="A2054" s="232"/>
      <c r="B2054" s="250"/>
      <c r="C2054" s="286"/>
      <c r="D2054" s="232"/>
      <c r="E2054" s="232"/>
      <c r="F2054" s="232"/>
      <c r="G2054" s="232"/>
      <c r="H2054" s="232"/>
      <c r="I2054" s="232"/>
      <c r="J2054" s="232"/>
      <c r="K2054" s="232"/>
      <c r="L2054" s="232"/>
      <c r="M2054" s="232"/>
      <c r="N2054" s="232"/>
      <c r="O2054" s="232"/>
      <c r="P2054" s="232"/>
      <c r="Q2054" s="232"/>
      <c r="R2054" s="232"/>
      <c r="S2054" s="232"/>
      <c r="T2054" s="232"/>
      <c r="U2054" s="232"/>
      <c r="V2054" s="15"/>
      <c r="W2054" s="15"/>
      <c r="X2054" s="15"/>
      <c r="Y2054" s="15"/>
      <c r="Z2054" s="15"/>
      <c r="AA2054" s="15"/>
    </row>
    <row r="2055" spans="1:27" s="25" customFormat="1" ht="12" customHeight="1" x14ac:dyDescent="0.2">
      <c r="A2055" s="232"/>
      <c r="B2055" s="250"/>
      <c r="C2055" s="286"/>
      <c r="D2055" s="232"/>
      <c r="E2055" s="232"/>
      <c r="F2055" s="232"/>
      <c r="G2055" s="232"/>
      <c r="H2055" s="232"/>
      <c r="I2055" s="232"/>
      <c r="J2055" s="232"/>
      <c r="K2055" s="232"/>
      <c r="L2055" s="232"/>
      <c r="M2055" s="232"/>
      <c r="N2055" s="232"/>
      <c r="O2055" s="232"/>
      <c r="P2055" s="232"/>
      <c r="Q2055" s="232"/>
      <c r="R2055" s="232"/>
      <c r="S2055" s="232"/>
      <c r="T2055" s="232"/>
      <c r="U2055" s="232"/>
      <c r="V2055" s="15"/>
      <c r="W2055" s="15"/>
      <c r="X2055" s="15"/>
      <c r="Y2055" s="15"/>
      <c r="Z2055" s="15"/>
      <c r="AA2055" s="15"/>
    </row>
    <row r="2056" spans="1:27" s="25" customFormat="1" ht="12" customHeight="1" x14ac:dyDescent="0.2">
      <c r="A2056" s="232"/>
      <c r="B2056" s="250"/>
      <c r="C2056" s="286"/>
      <c r="D2056" s="232"/>
      <c r="E2056" s="232"/>
      <c r="F2056" s="232"/>
      <c r="G2056" s="232"/>
      <c r="H2056" s="232"/>
      <c r="I2056" s="232"/>
      <c r="J2056" s="232"/>
      <c r="K2056" s="232"/>
      <c r="L2056" s="232"/>
      <c r="M2056" s="232"/>
      <c r="N2056" s="232"/>
      <c r="O2056" s="232"/>
      <c r="P2056" s="232"/>
      <c r="Q2056" s="232"/>
      <c r="R2056" s="232"/>
      <c r="S2056" s="232"/>
      <c r="T2056" s="232"/>
      <c r="U2056" s="232"/>
      <c r="V2056" s="15"/>
      <c r="W2056" s="15"/>
      <c r="X2056" s="15"/>
      <c r="Y2056" s="15"/>
      <c r="Z2056" s="15"/>
      <c r="AA2056" s="15"/>
    </row>
    <row r="2057" spans="1:27" s="25" customFormat="1" ht="12" customHeight="1" x14ac:dyDescent="0.2">
      <c r="A2057" s="232"/>
      <c r="B2057" s="250"/>
      <c r="C2057" s="286"/>
      <c r="D2057" s="232"/>
      <c r="E2057" s="232"/>
      <c r="F2057" s="232"/>
      <c r="G2057" s="232"/>
      <c r="H2057" s="232"/>
      <c r="I2057" s="232"/>
      <c r="J2057" s="232"/>
      <c r="K2057" s="232"/>
      <c r="L2057" s="232"/>
      <c r="M2057" s="232"/>
      <c r="N2057" s="232"/>
      <c r="O2057" s="232"/>
      <c r="P2057" s="232"/>
      <c r="Q2057" s="232"/>
      <c r="R2057" s="232"/>
      <c r="S2057" s="232"/>
      <c r="T2057" s="232"/>
      <c r="U2057" s="232"/>
      <c r="V2057" s="15"/>
      <c r="W2057" s="15"/>
      <c r="X2057" s="15"/>
      <c r="Y2057" s="15"/>
      <c r="Z2057" s="15"/>
      <c r="AA2057" s="15"/>
    </row>
    <row r="2058" spans="1:27" s="25" customFormat="1" ht="12" customHeight="1" x14ac:dyDescent="0.2">
      <c r="A2058" s="232"/>
      <c r="B2058" s="250"/>
      <c r="C2058" s="286"/>
      <c r="D2058" s="232"/>
      <c r="E2058" s="232"/>
      <c r="F2058" s="232"/>
      <c r="G2058" s="232"/>
      <c r="H2058" s="232"/>
      <c r="I2058" s="232"/>
      <c r="J2058" s="232"/>
      <c r="K2058" s="232"/>
      <c r="L2058" s="232"/>
      <c r="M2058" s="232"/>
      <c r="N2058" s="232"/>
      <c r="O2058" s="232"/>
      <c r="P2058" s="232"/>
      <c r="Q2058" s="232"/>
      <c r="R2058" s="232"/>
      <c r="S2058" s="232"/>
      <c r="T2058" s="232"/>
      <c r="U2058" s="232"/>
      <c r="V2058" s="15"/>
      <c r="W2058" s="15"/>
      <c r="X2058" s="15"/>
      <c r="Y2058" s="15"/>
      <c r="Z2058" s="15"/>
      <c r="AA2058" s="15"/>
    </row>
    <row r="2059" spans="1:27" s="25" customFormat="1" ht="12" customHeight="1" x14ac:dyDescent="0.2">
      <c r="A2059" s="232"/>
      <c r="B2059" s="250"/>
      <c r="C2059" s="286"/>
      <c r="D2059" s="232"/>
      <c r="E2059" s="232"/>
      <c r="F2059" s="232"/>
      <c r="G2059" s="232"/>
      <c r="H2059" s="232"/>
      <c r="I2059" s="232"/>
      <c r="J2059" s="232"/>
      <c r="K2059" s="232"/>
      <c r="L2059" s="232"/>
      <c r="M2059" s="232"/>
      <c r="N2059" s="232"/>
      <c r="O2059" s="232"/>
      <c r="P2059" s="232"/>
      <c r="Q2059" s="232"/>
      <c r="R2059" s="232"/>
      <c r="S2059" s="232"/>
      <c r="T2059" s="232"/>
      <c r="U2059" s="232"/>
      <c r="V2059" s="15"/>
      <c r="W2059" s="15"/>
      <c r="X2059" s="15"/>
      <c r="Y2059" s="15"/>
      <c r="Z2059" s="15"/>
      <c r="AA2059" s="15"/>
    </row>
    <row r="2060" spans="1:27" s="25" customFormat="1" ht="12" customHeight="1" x14ac:dyDescent="0.2">
      <c r="A2060" s="232"/>
      <c r="B2060" s="250"/>
      <c r="C2060" s="286"/>
      <c r="D2060" s="232"/>
      <c r="E2060" s="232"/>
      <c r="F2060" s="232"/>
      <c r="G2060" s="232"/>
      <c r="H2060" s="232"/>
      <c r="I2060" s="232"/>
      <c r="J2060" s="232"/>
      <c r="K2060" s="232"/>
      <c r="L2060" s="232"/>
      <c r="M2060" s="232"/>
      <c r="N2060" s="232"/>
      <c r="O2060" s="232"/>
      <c r="P2060" s="232"/>
      <c r="Q2060" s="232"/>
      <c r="R2060" s="232"/>
      <c r="S2060" s="232"/>
      <c r="T2060" s="232"/>
      <c r="U2060" s="232"/>
      <c r="V2060" s="15"/>
      <c r="W2060" s="15"/>
      <c r="X2060" s="15"/>
      <c r="Y2060" s="15"/>
      <c r="Z2060" s="15"/>
      <c r="AA2060" s="15"/>
    </row>
    <row r="2061" spans="1:27" s="25" customFormat="1" ht="12" customHeight="1" x14ac:dyDescent="0.2">
      <c r="A2061" s="232"/>
      <c r="B2061" s="250"/>
      <c r="C2061" s="286"/>
      <c r="D2061" s="232"/>
      <c r="E2061" s="232"/>
      <c r="F2061" s="232"/>
      <c r="G2061" s="232"/>
      <c r="H2061" s="232"/>
      <c r="I2061" s="232"/>
      <c r="J2061" s="232"/>
      <c r="K2061" s="232"/>
      <c r="L2061" s="232"/>
      <c r="M2061" s="232"/>
      <c r="N2061" s="232"/>
      <c r="O2061" s="232"/>
      <c r="P2061" s="232"/>
      <c r="Q2061" s="232"/>
      <c r="R2061" s="232"/>
      <c r="S2061" s="232"/>
      <c r="T2061" s="232"/>
      <c r="U2061" s="232"/>
      <c r="V2061" s="15"/>
      <c r="W2061" s="15"/>
      <c r="X2061" s="15"/>
      <c r="Y2061" s="15"/>
      <c r="Z2061" s="15"/>
      <c r="AA2061" s="15"/>
    </row>
    <row r="2062" spans="1:27" s="25" customFormat="1" ht="12" customHeight="1" x14ac:dyDescent="0.2">
      <c r="A2062" s="232"/>
      <c r="B2062" s="250"/>
      <c r="C2062" s="286"/>
      <c r="D2062" s="232"/>
      <c r="E2062" s="232"/>
      <c r="F2062" s="232"/>
      <c r="G2062" s="232"/>
      <c r="H2062" s="232"/>
      <c r="I2062" s="232"/>
      <c r="J2062" s="232"/>
      <c r="K2062" s="232"/>
      <c r="L2062" s="232"/>
      <c r="M2062" s="232"/>
      <c r="N2062" s="232"/>
      <c r="O2062" s="232"/>
      <c r="P2062" s="232"/>
      <c r="Q2062" s="232"/>
      <c r="R2062" s="232"/>
      <c r="S2062" s="232"/>
      <c r="T2062" s="232"/>
      <c r="U2062" s="232"/>
      <c r="V2062" s="15"/>
      <c r="W2062" s="15"/>
      <c r="X2062" s="15"/>
      <c r="Y2062" s="15"/>
      <c r="Z2062" s="15"/>
      <c r="AA2062" s="15"/>
    </row>
    <row r="2063" spans="1:27" s="25" customFormat="1" ht="12" customHeight="1" x14ac:dyDescent="0.2">
      <c r="A2063" s="232"/>
      <c r="B2063" s="250"/>
      <c r="C2063" s="286"/>
      <c r="D2063" s="232"/>
      <c r="E2063" s="232"/>
      <c r="F2063" s="232"/>
      <c r="G2063" s="232"/>
      <c r="H2063" s="232"/>
      <c r="I2063" s="232"/>
      <c r="J2063" s="232"/>
      <c r="K2063" s="232"/>
      <c r="L2063" s="232"/>
      <c r="M2063" s="232"/>
      <c r="N2063" s="232"/>
      <c r="O2063" s="232"/>
      <c r="P2063" s="232"/>
      <c r="Q2063" s="232"/>
      <c r="R2063" s="232"/>
      <c r="S2063" s="232"/>
      <c r="T2063" s="232"/>
      <c r="U2063" s="232"/>
      <c r="V2063" s="15"/>
      <c r="W2063" s="15"/>
      <c r="X2063" s="15"/>
      <c r="Y2063" s="15"/>
      <c r="Z2063" s="15"/>
      <c r="AA2063" s="15"/>
    </row>
    <row r="2064" spans="1:27" s="25" customFormat="1" ht="12" customHeight="1" x14ac:dyDescent="0.2">
      <c r="A2064" s="232"/>
      <c r="B2064" s="250"/>
      <c r="C2064" s="286"/>
      <c r="D2064" s="232"/>
      <c r="E2064" s="232"/>
      <c r="F2064" s="232"/>
      <c r="G2064" s="232"/>
      <c r="H2064" s="232"/>
      <c r="I2064" s="232"/>
      <c r="J2064" s="232"/>
      <c r="K2064" s="232"/>
      <c r="L2064" s="232"/>
      <c r="M2064" s="232"/>
      <c r="N2064" s="232"/>
      <c r="O2064" s="232"/>
      <c r="P2064" s="232"/>
      <c r="Q2064" s="232"/>
      <c r="R2064" s="232"/>
      <c r="S2064" s="232"/>
      <c r="T2064" s="232"/>
      <c r="U2064" s="232"/>
      <c r="V2064" s="15"/>
      <c r="W2064" s="15"/>
      <c r="X2064" s="15"/>
      <c r="Y2064" s="15"/>
      <c r="Z2064" s="15"/>
      <c r="AA2064" s="15"/>
    </row>
    <row r="2065" spans="1:27" s="25" customFormat="1" ht="12" customHeight="1" x14ac:dyDescent="0.2">
      <c r="A2065" s="232"/>
      <c r="B2065" s="250"/>
      <c r="C2065" s="286"/>
      <c r="D2065" s="232"/>
      <c r="E2065" s="232"/>
      <c r="F2065" s="232"/>
      <c r="G2065" s="232"/>
      <c r="H2065" s="232"/>
      <c r="I2065" s="232"/>
      <c r="J2065" s="232"/>
      <c r="K2065" s="232"/>
      <c r="L2065" s="232"/>
      <c r="M2065" s="232"/>
      <c r="N2065" s="232"/>
      <c r="O2065" s="232"/>
      <c r="P2065" s="232"/>
      <c r="Q2065" s="232"/>
      <c r="R2065" s="232"/>
      <c r="S2065" s="232"/>
      <c r="T2065" s="232"/>
      <c r="U2065" s="232"/>
      <c r="V2065" s="15"/>
      <c r="W2065" s="15"/>
      <c r="X2065" s="15"/>
      <c r="Y2065" s="15"/>
      <c r="Z2065" s="15"/>
      <c r="AA2065" s="15"/>
    </row>
    <row r="2066" spans="1:27" s="25" customFormat="1" ht="12" customHeight="1" x14ac:dyDescent="0.2">
      <c r="A2066" s="232"/>
      <c r="B2066" s="250"/>
      <c r="C2066" s="286"/>
      <c r="D2066" s="232"/>
      <c r="E2066" s="232"/>
      <c r="F2066" s="232"/>
      <c r="G2066" s="232"/>
      <c r="H2066" s="232"/>
      <c r="I2066" s="232"/>
      <c r="J2066" s="232"/>
      <c r="K2066" s="232"/>
      <c r="L2066" s="232"/>
      <c r="M2066" s="232"/>
      <c r="N2066" s="232"/>
      <c r="O2066" s="232"/>
      <c r="P2066" s="232"/>
      <c r="Q2066" s="232"/>
      <c r="R2066" s="232"/>
      <c r="S2066" s="232"/>
      <c r="T2066" s="232"/>
      <c r="U2066" s="232"/>
      <c r="V2066" s="15"/>
      <c r="W2066" s="15"/>
      <c r="X2066" s="15"/>
      <c r="Y2066" s="15"/>
      <c r="Z2066" s="15"/>
      <c r="AA2066" s="15"/>
    </row>
    <row r="2067" spans="1:27" s="25" customFormat="1" ht="12" customHeight="1" x14ac:dyDescent="0.2">
      <c r="A2067" s="232"/>
      <c r="B2067" s="250"/>
      <c r="C2067" s="286"/>
      <c r="D2067" s="232"/>
      <c r="E2067" s="232"/>
      <c r="F2067" s="232"/>
      <c r="G2067" s="232"/>
      <c r="H2067" s="232"/>
      <c r="I2067" s="232"/>
      <c r="J2067" s="232"/>
      <c r="K2067" s="232"/>
      <c r="L2067" s="232"/>
      <c r="M2067" s="232"/>
      <c r="N2067" s="232"/>
      <c r="O2067" s="232"/>
      <c r="P2067" s="232"/>
      <c r="Q2067" s="232"/>
      <c r="R2067" s="232"/>
      <c r="S2067" s="232"/>
      <c r="T2067" s="232"/>
      <c r="U2067" s="232"/>
      <c r="V2067" s="15"/>
      <c r="W2067" s="15"/>
      <c r="X2067" s="15"/>
      <c r="Y2067" s="15"/>
      <c r="Z2067" s="15"/>
      <c r="AA2067" s="15"/>
    </row>
    <row r="2068" spans="1:27" s="25" customFormat="1" ht="12" customHeight="1" x14ac:dyDescent="0.2">
      <c r="A2068" s="232"/>
      <c r="B2068" s="250"/>
      <c r="C2068" s="286"/>
      <c r="D2068" s="232"/>
      <c r="E2068" s="232"/>
      <c r="F2068" s="232"/>
      <c r="G2068" s="232"/>
      <c r="H2068" s="232"/>
      <c r="I2068" s="232"/>
      <c r="J2068" s="232"/>
      <c r="K2068" s="232"/>
      <c r="L2068" s="232"/>
      <c r="M2068" s="232"/>
      <c r="N2068" s="232"/>
      <c r="O2068" s="232"/>
      <c r="P2068" s="232"/>
      <c r="Q2068" s="232"/>
      <c r="R2068" s="232"/>
      <c r="S2068" s="232"/>
      <c r="T2068" s="232"/>
      <c r="U2068" s="232"/>
      <c r="V2068" s="15"/>
      <c r="W2068" s="15"/>
      <c r="X2068" s="15"/>
      <c r="Y2068" s="15"/>
      <c r="Z2068" s="15"/>
      <c r="AA2068" s="15"/>
    </row>
    <row r="2069" spans="1:27" s="25" customFormat="1" ht="12" customHeight="1" x14ac:dyDescent="0.2">
      <c r="A2069" s="232"/>
      <c r="B2069" s="250"/>
      <c r="C2069" s="286"/>
      <c r="D2069" s="232"/>
      <c r="E2069" s="232"/>
      <c r="F2069" s="232"/>
      <c r="G2069" s="232"/>
      <c r="H2069" s="232"/>
      <c r="I2069" s="232"/>
      <c r="J2069" s="232"/>
      <c r="K2069" s="232"/>
      <c r="L2069" s="232"/>
      <c r="M2069" s="232"/>
      <c r="N2069" s="232"/>
      <c r="O2069" s="232"/>
      <c r="P2069" s="232"/>
      <c r="Q2069" s="232"/>
      <c r="R2069" s="232"/>
      <c r="S2069" s="232"/>
      <c r="T2069" s="232"/>
      <c r="U2069" s="232"/>
      <c r="V2069" s="15"/>
      <c r="W2069" s="15"/>
      <c r="X2069" s="15"/>
      <c r="Y2069" s="15"/>
      <c r="Z2069" s="15"/>
      <c r="AA2069" s="15"/>
    </row>
    <row r="2070" spans="1:27" s="25" customFormat="1" ht="12" customHeight="1" x14ac:dyDescent="0.2">
      <c r="A2070" s="232"/>
      <c r="B2070" s="250"/>
      <c r="C2070" s="286"/>
      <c r="D2070" s="232"/>
      <c r="E2070" s="232"/>
      <c r="F2070" s="232"/>
      <c r="G2070" s="232"/>
      <c r="H2070" s="232"/>
      <c r="I2070" s="232"/>
      <c r="J2070" s="232"/>
      <c r="K2070" s="232"/>
      <c r="L2070" s="232"/>
      <c r="M2070" s="232"/>
      <c r="N2070" s="232"/>
      <c r="O2070" s="232"/>
      <c r="P2070" s="232"/>
      <c r="Q2070" s="232"/>
      <c r="R2070" s="232"/>
      <c r="S2070" s="232"/>
      <c r="T2070" s="232"/>
      <c r="U2070" s="232"/>
      <c r="V2070" s="15"/>
      <c r="W2070" s="15"/>
      <c r="X2070" s="15"/>
      <c r="Y2070" s="15"/>
      <c r="Z2070" s="15"/>
      <c r="AA2070" s="15"/>
    </row>
    <row r="2071" spans="1:27" s="25" customFormat="1" ht="12" customHeight="1" x14ac:dyDescent="0.2">
      <c r="A2071" s="232"/>
      <c r="B2071" s="250"/>
      <c r="C2071" s="286"/>
      <c r="D2071" s="232"/>
      <c r="E2071" s="232"/>
      <c r="F2071" s="232"/>
      <c r="G2071" s="232"/>
      <c r="H2071" s="232"/>
      <c r="I2071" s="232"/>
      <c r="J2071" s="232"/>
      <c r="K2071" s="232"/>
      <c r="L2071" s="232"/>
      <c r="M2071" s="232"/>
      <c r="N2071" s="232"/>
      <c r="O2071" s="232"/>
      <c r="P2071" s="232"/>
      <c r="Q2071" s="232"/>
      <c r="R2071" s="232"/>
      <c r="S2071" s="232"/>
      <c r="T2071" s="232"/>
      <c r="U2071" s="232"/>
      <c r="V2071" s="15"/>
      <c r="W2071" s="15"/>
      <c r="X2071" s="15"/>
      <c r="Y2071" s="15"/>
      <c r="Z2071" s="15"/>
      <c r="AA2071" s="15"/>
    </row>
    <row r="2072" spans="1:27" s="25" customFormat="1" ht="12" customHeight="1" x14ac:dyDescent="0.2">
      <c r="A2072" s="232"/>
      <c r="B2072" s="250"/>
      <c r="C2072" s="286"/>
      <c r="D2072" s="232"/>
      <c r="E2072" s="232"/>
      <c r="F2072" s="232"/>
      <c r="G2072" s="232"/>
      <c r="H2072" s="232"/>
      <c r="I2072" s="232"/>
      <c r="J2072" s="232"/>
      <c r="K2072" s="232"/>
      <c r="L2072" s="232"/>
      <c r="M2072" s="232"/>
      <c r="N2072" s="232"/>
      <c r="O2072" s="232"/>
      <c r="P2072" s="232"/>
      <c r="Q2072" s="232"/>
      <c r="R2072" s="232"/>
      <c r="S2072" s="232"/>
      <c r="T2072" s="232"/>
      <c r="U2072" s="232"/>
      <c r="V2072" s="15"/>
      <c r="W2072" s="15"/>
      <c r="X2072" s="15"/>
      <c r="Y2072" s="15"/>
      <c r="Z2072" s="15"/>
      <c r="AA2072" s="15"/>
    </row>
    <row r="2073" spans="1:27" s="25" customFormat="1" ht="12" customHeight="1" x14ac:dyDescent="0.2">
      <c r="A2073" s="232"/>
      <c r="B2073" s="250"/>
      <c r="C2073" s="286"/>
      <c r="D2073" s="232"/>
      <c r="E2073" s="232"/>
      <c r="F2073" s="232"/>
      <c r="G2073" s="232"/>
      <c r="H2073" s="232"/>
      <c r="I2073" s="232"/>
      <c r="J2073" s="232"/>
      <c r="K2073" s="232"/>
      <c r="L2073" s="232"/>
      <c r="M2073" s="232"/>
      <c r="N2073" s="232"/>
      <c r="O2073" s="232"/>
      <c r="P2073" s="232"/>
      <c r="Q2073" s="232"/>
      <c r="R2073" s="232"/>
      <c r="S2073" s="232"/>
      <c r="T2073" s="232"/>
      <c r="U2073" s="232"/>
      <c r="V2073" s="15"/>
      <c r="W2073" s="15"/>
      <c r="X2073" s="15"/>
      <c r="Y2073" s="15"/>
      <c r="Z2073" s="15"/>
      <c r="AA2073" s="15"/>
    </row>
    <row r="2074" spans="1:27" s="25" customFormat="1" ht="12" customHeight="1" x14ac:dyDescent="0.2">
      <c r="A2074" s="232"/>
      <c r="B2074" s="250"/>
      <c r="C2074" s="286"/>
      <c r="D2074" s="232"/>
      <c r="E2074" s="232"/>
      <c r="F2074" s="232"/>
      <c r="G2074" s="232"/>
      <c r="H2074" s="232"/>
      <c r="I2074" s="232"/>
      <c r="J2074" s="232"/>
      <c r="K2074" s="232"/>
      <c r="L2074" s="232"/>
      <c r="M2074" s="232"/>
      <c r="N2074" s="232"/>
      <c r="O2074" s="232"/>
      <c r="P2074" s="232"/>
      <c r="Q2074" s="232"/>
      <c r="R2074" s="232"/>
      <c r="S2074" s="232"/>
      <c r="T2074" s="232"/>
      <c r="U2074" s="232"/>
      <c r="V2074" s="15"/>
      <c r="W2074" s="15"/>
      <c r="X2074" s="15"/>
      <c r="Y2074" s="15"/>
      <c r="Z2074" s="15"/>
      <c r="AA2074" s="15"/>
    </row>
    <row r="2075" spans="1:27" s="25" customFormat="1" ht="12" customHeight="1" x14ac:dyDescent="0.2">
      <c r="A2075" s="232"/>
      <c r="B2075" s="250"/>
      <c r="C2075" s="286"/>
      <c r="D2075" s="232"/>
      <c r="E2075" s="232"/>
      <c r="F2075" s="232"/>
      <c r="G2075" s="232"/>
      <c r="H2075" s="232"/>
      <c r="I2075" s="232"/>
      <c r="J2075" s="232"/>
      <c r="K2075" s="232"/>
      <c r="L2075" s="232"/>
      <c r="M2075" s="232"/>
      <c r="N2075" s="232"/>
      <c r="O2075" s="232"/>
      <c r="P2075" s="232"/>
      <c r="Q2075" s="232"/>
      <c r="R2075" s="232"/>
      <c r="S2075" s="232"/>
      <c r="T2075" s="232"/>
      <c r="U2075" s="232"/>
      <c r="V2075" s="15"/>
      <c r="W2075" s="15"/>
      <c r="X2075" s="15"/>
      <c r="Y2075" s="15"/>
      <c r="Z2075" s="15"/>
      <c r="AA2075" s="15"/>
    </row>
    <row r="2076" spans="1:27" s="25" customFormat="1" ht="12" customHeight="1" x14ac:dyDescent="0.2">
      <c r="A2076" s="232"/>
      <c r="B2076" s="250"/>
      <c r="C2076" s="286"/>
      <c r="D2076" s="232"/>
      <c r="E2076" s="232"/>
      <c r="F2076" s="232"/>
      <c r="G2076" s="232"/>
      <c r="H2076" s="232"/>
      <c r="I2076" s="232"/>
      <c r="J2076" s="232"/>
      <c r="K2076" s="232"/>
      <c r="L2076" s="232"/>
      <c r="M2076" s="232"/>
      <c r="N2076" s="232"/>
      <c r="O2076" s="232"/>
      <c r="P2076" s="232"/>
      <c r="Q2076" s="232"/>
      <c r="R2076" s="232"/>
      <c r="S2076" s="232"/>
      <c r="T2076" s="232"/>
      <c r="U2076" s="232"/>
      <c r="V2076" s="15"/>
      <c r="W2076" s="15"/>
      <c r="X2076" s="15"/>
      <c r="Y2076" s="15"/>
      <c r="Z2076" s="15"/>
      <c r="AA2076" s="15"/>
    </row>
    <row r="2077" spans="1:27" s="25" customFormat="1" ht="12" customHeight="1" x14ac:dyDescent="0.2">
      <c r="A2077" s="232"/>
      <c r="B2077" s="250"/>
      <c r="C2077" s="286"/>
      <c r="D2077" s="232"/>
      <c r="E2077" s="232"/>
      <c r="F2077" s="232"/>
      <c r="G2077" s="232"/>
      <c r="H2077" s="232"/>
      <c r="I2077" s="232"/>
      <c r="J2077" s="232"/>
      <c r="K2077" s="232"/>
      <c r="L2077" s="232"/>
      <c r="M2077" s="232"/>
      <c r="N2077" s="232"/>
      <c r="O2077" s="232"/>
      <c r="P2077" s="232"/>
      <c r="Q2077" s="232"/>
      <c r="R2077" s="232"/>
      <c r="S2077" s="232"/>
      <c r="T2077" s="232"/>
      <c r="U2077" s="232"/>
      <c r="V2077" s="15"/>
      <c r="W2077" s="15"/>
      <c r="X2077" s="15"/>
      <c r="Y2077" s="15"/>
      <c r="Z2077" s="15"/>
      <c r="AA2077" s="15"/>
    </row>
    <row r="2078" spans="1:27" s="25" customFormat="1" ht="12" customHeight="1" x14ac:dyDescent="0.2">
      <c r="A2078" s="232"/>
      <c r="B2078" s="250"/>
      <c r="C2078" s="286"/>
      <c r="D2078" s="232"/>
      <c r="E2078" s="232"/>
      <c r="F2078" s="232"/>
      <c r="G2078" s="232"/>
      <c r="H2078" s="232"/>
      <c r="I2078" s="232"/>
      <c r="J2078" s="232"/>
      <c r="K2078" s="232"/>
      <c r="L2078" s="232"/>
      <c r="M2078" s="232"/>
      <c r="N2078" s="232"/>
      <c r="O2078" s="232"/>
      <c r="P2078" s="232"/>
      <c r="Q2078" s="232"/>
      <c r="R2078" s="232"/>
      <c r="S2078" s="232"/>
      <c r="T2078" s="232"/>
      <c r="U2078" s="232"/>
      <c r="V2078" s="15"/>
      <c r="W2078" s="15"/>
      <c r="X2078" s="15"/>
      <c r="Y2078" s="15"/>
      <c r="Z2078" s="15"/>
      <c r="AA2078" s="15"/>
    </row>
    <row r="2079" spans="1:27" s="25" customFormat="1" ht="12" customHeight="1" x14ac:dyDescent="0.2">
      <c r="A2079" s="232"/>
      <c r="B2079" s="250"/>
      <c r="C2079" s="286"/>
      <c r="D2079" s="232"/>
      <c r="E2079" s="232"/>
      <c r="F2079" s="232"/>
      <c r="G2079" s="232"/>
      <c r="H2079" s="232"/>
      <c r="I2079" s="232"/>
      <c r="J2079" s="232"/>
      <c r="K2079" s="232"/>
      <c r="L2079" s="232"/>
      <c r="M2079" s="232"/>
      <c r="N2079" s="232"/>
      <c r="O2079" s="232"/>
      <c r="P2079" s="232"/>
      <c r="Q2079" s="232"/>
      <c r="R2079" s="232"/>
      <c r="S2079" s="232"/>
      <c r="T2079" s="232"/>
      <c r="U2079" s="232"/>
      <c r="V2079" s="15"/>
      <c r="W2079" s="15"/>
      <c r="X2079" s="15"/>
      <c r="Y2079" s="15"/>
      <c r="Z2079" s="15"/>
      <c r="AA2079" s="15"/>
    </row>
    <row r="2080" spans="1:27" s="25" customFormat="1" ht="12" customHeight="1" x14ac:dyDescent="0.2">
      <c r="A2080" s="232"/>
      <c r="B2080" s="250"/>
      <c r="C2080" s="286"/>
      <c r="D2080" s="232"/>
      <c r="E2080" s="232"/>
      <c r="F2080" s="232"/>
      <c r="G2080" s="232"/>
      <c r="H2080" s="232"/>
      <c r="I2080" s="232"/>
      <c r="J2080" s="232"/>
      <c r="K2080" s="232"/>
      <c r="L2080" s="232"/>
      <c r="M2080" s="232"/>
      <c r="N2080" s="232"/>
      <c r="O2080" s="232"/>
      <c r="P2080" s="232"/>
      <c r="Q2080" s="232"/>
      <c r="R2080" s="232"/>
      <c r="S2080" s="232"/>
      <c r="T2080" s="232"/>
      <c r="U2080" s="232"/>
      <c r="V2080" s="15"/>
      <c r="W2080" s="15"/>
      <c r="X2080" s="15"/>
      <c r="Y2080" s="15"/>
      <c r="Z2080" s="15"/>
      <c r="AA2080" s="15"/>
    </row>
    <row r="2081" spans="1:27" s="25" customFormat="1" ht="12" customHeight="1" x14ac:dyDescent="0.2">
      <c r="A2081" s="232"/>
      <c r="B2081" s="250"/>
      <c r="C2081" s="286"/>
      <c r="D2081" s="232"/>
      <c r="E2081" s="232"/>
      <c r="F2081" s="232"/>
      <c r="G2081" s="232"/>
      <c r="H2081" s="232"/>
      <c r="I2081" s="232"/>
      <c r="J2081" s="232"/>
      <c r="K2081" s="232"/>
      <c r="L2081" s="232"/>
      <c r="M2081" s="232"/>
      <c r="N2081" s="232"/>
      <c r="O2081" s="232"/>
      <c r="P2081" s="232"/>
      <c r="Q2081" s="232"/>
      <c r="R2081" s="232"/>
      <c r="S2081" s="232"/>
      <c r="T2081" s="232"/>
      <c r="U2081" s="232"/>
      <c r="V2081" s="15"/>
      <c r="W2081" s="15"/>
      <c r="X2081" s="15"/>
      <c r="Y2081" s="15"/>
      <c r="Z2081" s="15"/>
      <c r="AA2081" s="15"/>
    </row>
    <row r="2082" spans="1:27" s="25" customFormat="1" ht="12" customHeight="1" x14ac:dyDescent="0.2">
      <c r="A2082" s="232"/>
      <c r="B2082" s="250"/>
      <c r="C2082" s="286"/>
      <c r="D2082" s="232"/>
      <c r="E2082" s="232"/>
      <c r="F2082" s="232"/>
      <c r="G2082" s="232"/>
      <c r="H2082" s="232"/>
      <c r="I2082" s="232"/>
      <c r="J2082" s="232"/>
      <c r="K2082" s="232"/>
      <c r="L2082" s="232"/>
      <c r="M2082" s="232"/>
      <c r="N2082" s="232"/>
      <c r="O2082" s="232"/>
      <c r="P2082" s="232"/>
      <c r="Q2082" s="232"/>
      <c r="R2082" s="232"/>
      <c r="S2082" s="232"/>
      <c r="T2082" s="232"/>
      <c r="U2082" s="232"/>
      <c r="V2082" s="15"/>
      <c r="W2082" s="15"/>
      <c r="X2082" s="15"/>
      <c r="Y2082" s="15"/>
      <c r="Z2082" s="15"/>
      <c r="AA2082" s="15"/>
    </row>
    <row r="2083" spans="1:27" s="25" customFormat="1" ht="12" customHeight="1" x14ac:dyDescent="0.2">
      <c r="A2083" s="232"/>
      <c r="B2083" s="250"/>
      <c r="C2083" s="286"/>
      <c r="D2083" s="232"/>
      <c r="E2083" s="232"/>
      <c r="F2083" s="232"/>
      <c r="G2083" s="232"/>
      <c r="H2083" s="232"/>
      <c r="I2083" s="232"/>
      <c r="J2083" s="232"/>
      <c r="K2083" s="232"/>
      <c r="L2083" s="232"/>
      <c r="M2083" s="232"/>
      <c r="N2083" s="232"/>
      <c r="O2083" s="232"/>
      <c r="P2083" s="232"/>
      <c r="Q2083" s="232"/>
      <c r="R2083" s="232"/>
      <c r="S2083" s="232"/>
      <c r="T2083" s="232"/>
      <c r="U2083" s="232"/>
      <c r="V2083" s="15"/>
      <c r="W2083" s="15"/>
      <c r="X2083" s="15"/>
      <c r="Y2083" s="15"/>
      <c r="Z2083" s="15"/>
      <c r="AA2083" s="15"/>
    </row>
    <row r="2084" spans="1:27" s="25" customFormat="1" ht="12" customHeight="1" x14ac:dyDescent="0.2">
      <c r="A2084" s="232"/>
      <c r="B2084" s="250"/>
      <c r="C2084" s="286"/>
      <c r="D2084" s="232"/>
      <c r="E2084" s="232"/>
      <c r="F2084" s="232"/>
      <c r="G2084" s="232"/>
      <c r="H2084" s="232"/>
      <c r="I2084" s="232"/>
      <c r="J2084" s="232"/>
      <c r="K2084" s="232"/>
      <c r="L2084" s="232"/>
      <c r="M2084" s="232"/>
      <c r="N2084" s="232"/>
      <c r="O2084" s="232"/>
      <c r="P2084" s="232"/>
      <c r="Q2084" s="232"/>
      <c r="R2084" s="232"/>
      <c r="S2084" s="232"/>
      <c r="T2084" s="232"/>
      <c r="U2084" s="232"/>
      <c r="V2084" s="15"/>
      <c r="W2084" s="15"/>
      <c r="X2084" s="15"/>
      <c r="Y2084" s="15"/>
      <c r="Z2084" s="15"/>
      <c r="AA2084" s="15"/>
    </row>
    <row r="2085" spans="1:27" s="25" customFormat="1" ht="12" customHeight="1" x14ac:dyDescent="0.2">
      <c r="A2085" s="232"/>
      <c r="B2085" s="250"/>
      <c r="C2085" s="286"/>
      <c r="D2085" s="232"/>
      <c r="E2085" s="232"/>
      <c r="F2085" s="232"/>
      <c r="G2085" s="232"/>
      <c r="H2085" s="232"/>
      <c r="I2085" s="232"/>
      <c r="J2085" s="232"/>
      <c r="K2085" s="232"/>
      <c r="L2085" s="232"/>
      <c r="M2085" s="232"/>
      <c r="N2085" s="232"/>
      <c r="O2085" s="232"/>
      <c r="P2085" s="232"/>
      <c r="Q2085" s="232"/>
      <c r="R2085" s="232"/>
      <c r="S2085" s="232"/>
      <c r="T2085" s="232"/>
      <c r="U2085" s="232"/>
      <c r="V2085" s="15"/>
      <c r="W2085" s="15"/>
      <c r="X2085" s="15"/>
      <c r="Y2085" s="15"/>
      <c r="Z2085" s="15"/>
      <c r="AA2085" s="15"/>
    </row>
    <row r="2086" spans="1:27" s="25" customFormat="1" ht="12" customHeight="1" x14ac:dyDescent="0.2">
      <c r="A2086" s="232"/>
      <c r="B2086" s="250"/>
      <c r="C2086" s="286"/>
      <c r="D2086" s="232"/>
      <c r="E2086" s="232"/>
      <c r="F2086" s="232"/>
      <c r="G2086" s="232"/>
      <c r="H2086" s="232"/>
      <c r="I2086" s="232"/>
      <c r="J2086" s="232"/>
      <c r="K2086" s="232"/>
      <c r="L2086" s="232"/>
      <c r="M2086" s="232"/>
      <c r="N2086" s="232"/>
      <c r="O2086" s="232"/>
      <c r="P2086" s="232"/>
      <c r="Q2086" s="232"/>
      <c r="R2086" s="232"/>
      <c r="S2086" s="232"/>
      <c r="T2086" s="232"/>
      <c r="U2086" s="232"/>
      <c r="V2086" s="15"/>
      <c r="W2086" s="15"/>
      <c r="X2086" s="15"/>
      <c r="Y2086" s="15"/>
      <c r="Z2086" s="15"/>
      <c r="AA2086" s="15"/>
    </row>
    <row r="2087" spans="1:27" s="25" customFormat="1" ht="12" customHeight="1" x14ac:dyDescent="0.2">
      <c r="A2087" s="232"/>
      <c r="B2087" s="250"/>
      <c r="C2087" s="286"/>
      <c r="D2087" s="232"/>
      <c r="E2087" s="232"/>
      <c r="F2087" s="232"/>
      <c r="G2087" s="232"/>
      <c r="H2087" s="232"/>
      <c r="I2087" s="232"/>
      <c r="J2087" s="232"/>
      <c r="K2087" s="232"/>
      <c r="L2087" s="232"/>
      <c r="M2087" s="232"/>
      <c r="N2087" s="232"/>
      <c r="O2087" s="232"/>
      <c r="P2087" s="232"/>
      <c r="Q2087" s="232"/>
      <c r="R2087" s="232"/>
      <c r="S2087" s="232"/>
      <c r="T2087" s="232"/>
      <c r="U2087" s="232"/>
      <c r="V2087" s="15"/>
      <c r="W2087" s="15"/>
      <c r="X2087" s="15"/>
      <c r="Y2087" s="15"/>
      <c r="Z2087" s="15"/>
      <c r="AA2087" s="15"/>
    </row>
    <row r="2088" spans="1:27" s="25" customFormat="1" ht="12" customHeight="1" x14ac:dyDescent="0.2">
      <c r="A2088" s="232"/>
      <c r="B2088" s="250"/>
      <c r="C2088" s="286"/>
      <c r="D2088" s="232"/>
      <c r="E2088" s="232"/>
      <c r="F2088" s="232"/>
      <c r="G2088" s="232"/>
      <c r="H2088" s="232"/>
      <c r="I2088" s="232"/>
      <c r="J2088" s="232"/>
      <c r="K2088" s="232"/>
      <c r="L2088" s="232"/>
      <c r="M2088" s="232"/>
      <c r="N2088" s="232"/>
      <c r="O2088" s="232"/>
      <c r="P2088" s="232"/>
      <c r="Q2088" s="232"/>
      <c r="R2088" s="232"/>
      <c r="S2088" s="232"/>
      <c r="T2088" s="232"/>
      <c r="U2088" s="232"/>
      <c r="V2088" s="15"/>
      <c r="W2088" s="15"/>
      <c r="X2088" s="15"/>
      <c r="Y2088" s="15"/>
      <c r="Z2088" s="15"/>
      <c r="AA2088" s="15"/>
    </row>
    <row r="2089" spans="1:27" s="25" customFormat="1" ht="12" customHeight="1" x14ac:dyDescent="0.2">
      <c r="A2089" s="232"/>
      <c r="B2089" s="250"/>
      <c r="C2089" s="286"/>
      <c r="D2089" s="232"/>
      <c r="E2089" s="232"/>
      <c r="F2089" s="232"/>
      <c r="G2089" s="232"/>
      <c r="H2089" s="232"/>
      <c r="I2089" s="232"/>
      <c r="J2089" s="232"/>
      <c r="K2089" s="232"/>
      <c r="L2089" s="232"/>
      <c r="M2089" s="232"/>
      <c r="N2089" s="232"/>
      <c r="O2089" s="232"/>
      <c r="P2089" s="232"/>
      <c r="Q2089" s="232"/>
      <c r="R2089" s="232"/>
      <c r="S2089" s="232"/>
      <c r="T2089" s="232"/>
      <c r="U2089" s="232"/>
      <c r="V2089" s="15"/>
      <c r="W2089" s="15"/>
      <c r="X2089" s="15"/>
      <c r="Y2089" s="15"/>
      <c r="Z2089" s="15"/>
      <c r="AA2089" s="15"/>
    </row>
    <row r="2090" spans="1:27" s="25" customFormat="1" ht="12" customHeight="1" x14ac:dyDescent="0.2">
      <c r="A2090" s="232"/>
      <c r="B2090" s="250"/>
      <c r="C2090" s="286"/>
      <c r="D2090" s="232"/>
      <c r="E2090" s="232"/>
      <c r="F2090" s="232"/>
      <c r="G2090" s="232"/>
      <c r="H2090" s="232"/>
      <c r="I2090" s="232"/>
      <c r="J2090" s="232"/>
      <c r="K2090" s="232"/>
      <c r="L2090" s="232"/>
      <c r="M2090" s="232"/>
      <c r="N2090" s="232"/>
      <c r="O2090" s="232"/>
      <c r="P2090" s="232"/>
      <c r="Q2090" s="232"/>
      <c r="R2090" s="232"/>
      <c r="S2090" s="232"/>
      <c r="T2090" s="232"/>
      <c r="U2090" s="232"/>
      <c r="V2090" s="15"/>
      <c r="W2090" s="15"/>
      <c r="X2090" s="15"/>
      <c r="Y2090" s="15"/>
      <c r="Z2090" s="15"/>
      <c r="AA2090" s="15"/>
    </row>
    <row r="2091" spans="1:27" s="25" customFormat="1" ht="12" customHeight="1" x14ac:dyDescent="0.2">
      <c r="A2091" s="232"/>
      <c r="B2091" s="250"/>
      <c r="C2091" s="286"/>
      <c r="D2091" s="232"/>
      <c r="E2091" s="232"/>
      <c r="F2091" s="232"/>
      <c r="G2091" s="232"/>
      <c r="H2091" s="232"/>
      <c r="I2091" s="232"/>
      <c r="J2091" s="232"/>
      <c r="K2091" s="232"/>
      <c r="L2091" s="232"/>
      <c r="M2091" s="232"/>
      <c r="N2091" s="232"/>
      <c r="O2091" s="232"/>
      <c r="P2091" s="232"/>
      <c r="Q2091" s="232"/>
      <c r="R2091" s="232"/>
      <c r="S2091" s="232"/>
      <c r="T2091" s="232"/>
      <c r="U2091" s="232"/>
      <c r="V2091" s="15"/>
      <c r="W2091" s="15"/>
      <c r="X2091" s="15"/>
      <c r="Y2091" s="15"/>
      <c r="Z2091" s="15"/>
      <c r="AA2091" s="15"/>
    </row>
    <row r="2092" spans="1:27" s="25" customFormat="1" ht="12" customHeight="1" x14ac:dyDescent="0.2">
      <c r="A2092" s="232"/>
      <c r="B2092" s="250"/>
      <c r="C2092" s="286"/>
      <c r="D2092" s="232"/>
      <c r="E2092" s="232"/>
      <c r="F2092" s="232"/>
      <c r="G2092" s="232"/>
      <c r="H2092" s="232"/>
      <c r="I2092" s="232"/>
      <c r="J2092" s="232"/>
      <c r="K2092" s="232"/>
      <c r="L2092" s="232"/>
      <c r="M2092" s="232"/>
      <c r="N2092" s="232"/>
      <c r="O2092" s="232"/>
      <c r="P2092" s="232"/>
      <c r="Q2092" s="232"/>
      <c r="R2092" s="232"/>
      <c r="S2092" s="232"/>
      <c r="T2092" s="232"/>
      <c r="U2092" s="232"/>
      <c r="V2092" s="15"/>
      <c r="W2092" s="15"/>
      <c r="X2092" s="15"/>
      <c r="Y2092" s="15"/>
      <c r="Z2092" s="15"/>
      <c r="AA2092" s="15"/>
    </row>
    <row r="2093" spans="1:27" s="25" customFormat="1" ht="12" customHeight="1" x14ac:dyDescent="0.2">
      <c r="A2093" s="232"/>
      <c r="B2093" s="250"/>
      <c r="C2093" s="286"/>
      <c r="D2093" s="232"/>
      <c r="E2093" s="232"/>
      <c r="F2093" s="232"/>
      <c r="G2093" s="232"/>
      <c r="H2093" s="232"/>
      <c r="I2093" s="232"/>
      <c r="J2093" s="232"/>
      <c r="K2093" s="232"/>
      <c r="L2093" s="232"/>
      <c r="M2093" s="232"/>
      <c r="N2093" s="232"/>
      <c r="O2093" s="232"/>
      <c r="P2093" s="232"/>
      <c r="Q2093" s="232"/>
      <c r="R2093" s="232"/>
      <c r="S2093" s="232"/>
      <c r="T2093" s="232"/>
      <c r="U2093" s="232"/>
      <c r="V2093" s="15"/>
      <c r="W2093" s="15"/>
      <c r="X2093" s="15"/>
      <c r="Y2093" s="15"/>
      <c r="Z2093" s="15"/>
      <c r="AA2093" s="15"/>
    </row>
    <row r="2094" spans="1:27" s="25" customFormat="1" ht="12" customHeight="1" x14ac:dyDescent="0.2">
      <c r="A2094" s="232"/>
      <c r="B2094" s="250"/>
      <c r="C2094" s="286"/>
      <c r="D2094" s="232"/>
      <c r="E2094" s="232"/>
      <c r="F2094" s="232"/>
      <c r="G2094" s="232"/>
      <c r="H2094" s="232"/>
      <c r="I2094" s="232"/>
      <c r="J2094" s="232"/>
      <c r="K2094" s="232"/>
      <c r="L2094" s="232"/>
      <c r="M2094" s="232"/>
      <c r="N2094" s="232"/>
      <c r="O2094" s="232"/>
      <c r="P2094" s="232"/>
      <c r="Q2094" s="232"/>
      <c r="R2094" s="232"/>
      <c r="S2094" s="232"/>
      <c r="T2094" s="232"/>
      <c r="U2094" s="232"/>
      <c r="V2094" s="15"/>
      <c r="W2094" s="15"/>
      <c r="X2094" s="15"/>
      <c r="Y2094" s="15"/>
      <c r="Z2094" s="15"/>
      <c r="AA2094" s="15"/>
    </row>
    <row r="2095" spans="1:27" s="25" customFormat="1" ht="12" customHeight="1" x14ac:dyDescent="0.2">
      <c r="A2095" s="232"/>
      <c r="B2095" s="250"/>
      <c r="C2095" s="286"/>
      <c r="D2095" s="232"/>
      <c r="E2095" s="232"/>
      <c r="F2095" s="232"/>
      <c r="G2095" s="232"/>
      <c r="H2095" s="232"/>
      <c r="I2095" s="232"/>
      <c r="J2095" s="232"/>
      <c r="K2095" s="232"/>
      <c r="L2095" s="232"/>
      <c r="M2095" s="232"/>
      <c r="N2095" s="232"/>
      <c r="O2095" s="232"/>
      <c r="P2095" s="232"/>
      <c r="Q2095" s="232"/>
      <c r="R2095" s="232"/>
      <c r="S2095" s="232"/>
      <c r="T2095" s="232"/>
      <c r="U2095" s="232"/>
      <c r="V2095" s="15"/>
      <c r="W2095" s="15"/>
      <c r="X2095" s="15"/>
      <c r="Y2095" s="15"/>
      <c r="Z2095" s="15"/>
      <c r="AA2095" s="15"/>
    </row>
    <row r="2096" spans="1:27" s="25" customFormat="1" ht="12" customHeight="1" x14ac:dyDescent="0.2">
      <c r="A2096" s="232"/>
      <c r="B2096" s="250"/>
      <c r="C2096" s="286"/>
      <c r="D2096" s="232"/>
      <c r="E2096" s="232"/>
      <c r="F2096" s="232"/>
      <c r="G2096" s="232"/>
      <c r="H2096" s="232"/>
      <c r="I2096" s="232"/>
      <c r="J2096" s="232"/>
      <c r="K2096" s="232"/>
      <c r="L2096" s="232"/>
      <c r="M2096" s="232"/>
      <c r="N2096" s="232"/>
      <c r="O2096" s="232"/>
      <c r="P2096" s="232"/>
      <c r="Q2096" s="232"/>
      <c r="R2096" s="232"/>
      <c r="S2096" s="232"/>
      <c r="T2096" s="232"/>
      <c r="U2096" s="232"/>
      <c r="V2096" s="15"/>
      <c r="W2096" s="15"/>
      <c r="X2096" s="15"/>
      <c r="Y2096" s="15"/>
      <c r="Z2096" s="15"/>
      <c r="AA2096" s="15"/>
    </row>
    <row r="2097" spans="1:27" s="25" customFormat="1" ht="12" customHeight="1" x14ac:dyDescent="0.2">
      <c r="A2097" s="232"/>
      <c r="B2097" s="250"/>
      <c r="C2097" s="286"/>
      <c r="D2097" s="232"/>
      <c r="E2097" s="232"/>
      <c r="F2097" s="232"/>
      <c r="G2097" s="232"/>
      <c r="H2097" s="232"/>
      <c r="I2097" s="232"/>
      <c r="J2097" s="232"/>
      <c r="K2097" s="232"/>
      <c r="L2097" s="232"/>
      <c r="M2097" s="232"/>
      <c r="N2097" s="232"/>
      <c r="O2097" s="232"/>
      <c r="P2097" s="232"/>
      <c r="Q2097" s="232"/>
      <c r="R2097" s="232"/>
      <c r="S2097" s="232"/>
      <c r="T2097" s="232"/>
      <c r="U2097" s="232"/>
      <c r="V2097" s="15"/>
      <c r="W2097" s="15"/>
      <c r="X2097" s="15"/>
      <c r="Y2097" s="15"/>
      <c r="Z2097" s="15"/>
      <c r="AA2097" s="15"/>
    </row>
    <row r="2098" spans="1:27" s="25" customFormat="1" ht="12" customHeight="1" x14ac:dyDescent="0.2">
      <c r="A2098" s="232"/>
      <c r="B2098" s="250"/>
      <c r="C2098" s="286"/>
      <c r="D2098" s="232"/>
      <c r="E2098" s="232"/>
      <c r="F2098" s="232"/>
      <c r="G2098" s="232"/>
      <c r="H2098" s="232"/>
      <c r="I2098" s="232"/>
      <c r="J2098" s="232"/>
      <c r="K2098" s="232"/>
      <c r="L2098" s="232"/>
      <c r="M2098" s="232"/>
      <c r="N2098" s="232"/>
      <c r="O2098" s="232"/>
      <c r="P2098" s="232"/>
      <c r="Q2098" s="232"/>
      <c r="R2098" s="232"/>
      <c r="S2098" s="232"/>
      <c r="T2098" s="232"/>
      <c r="U2098" s="232"/>
      <c r="V2098" s="15"/>
      <c r="W2098" s="15"/>
      <c r="X2098" s="15"/>
      <c r="Y2098" s="15"/>
      <c r="Z2098" s="15"/>
      <c r="AA2098" s="15"/>
    </row>
    <row r="2099" spans="1:27" s="25" customFormat="1" ht="12" customHeight="1" x14ac:dyDescent="0.2">
      <c r="A2099" s="232"/>
      <c r="B2099" s="250"/>
      <c r="C2099" s="286"/>
      <c r="D2099" s="232"/>
      <c r="E2099" s="232"/>
      <c r="F2099" s="232"/>
      <c r="G2099" s="232"/>
      <c r="H2099" s="232"/>
      <c r="I2099" s="232"/>
      <c r="J2099" s="232"/>
      <c r="K2099" s="232"/>
      <c r="L2099" s="232"/>
      <c r="M2099" s="232"/>
      <c r="N2099" s="232"/>
      <c r="O2099" s="232"/>
      <c r="P2099" s="232"/>
      <c r="Q2099" s="232"/>
      <c r="R2099" s="232"/>
      <c r="S2099" s="232"/>
      <c r="T2099" s="232"/>
      <c r="U2099" s="232"/>
      <c r="V2099" s="15"/>
      <c r="W2099" s="15"/>
      <c r="X2099" s="15"/>
      <c r="Y2099" s="15"/>
      <c r="Z2099" s="15"/>
      <c r="AA2099" s="15"/>
    </row>
    <row r="2100" spans="1:27" s="25" customFormat="1" ht="12" customHeight="1" x14ac:dyDescent="0.2">
      <c r="A2100" s="232"/>
      <c r="B2100" s="250"/>
      <c r="C2100" s="286"/>
      <c r="D2100" s="232"/>
      <c r="E2100" s="232"/>
      <c r="F2100" s="232"/>
      <c r="G2100" s="232"/>
      <c r="H2100" s="232"/>
      <c r="I2100" s="232"/>
      <c r="J2100" s="232"/>
      <c r="K2100" s="232"/>
      <c r="L2100" s="232"/>
      <c r="M2100" s="232"/>
      <c r="N2100" s="232"/>
      <c r="O2100" s="232"/>
      <c r="P2100" s="232"/>
      <c r="Q2100" s="232"/>
      <c r="R2100" s="232"/>
      <c r="S2100" s="232"/>
      <c r="T2100" s="232"/>
      <c r="U2100" s="232"/>
      <c r="V2100" s="15"/>
      <c r="W2100" s="15"/>
      <c r="X2100" s="15"/>
      <c r="Y2100" s="15"/>
      <c r="Z2100" s="15"/>
      <c r="AA2100" s="15"/>
    </row>
    <row r="2101" spans="1:27" s="25" customFormat="1" ht="12" customHeight="1" x14ac:dyDescent="0.2">
      <c r="A2101" s="232"/>
      <c r="B2101" s="250"/>
      <c r="C2101" s="286"/>
      <c r="D2101" s="232"/>
      <c r="E2101" s="232"/>
      <c r="F2101" s="232"/>
      <c r="G2101" s="232"/>
      <c r="H2101" s="232"/>
      <c r="I2101" s="232"/>
      <c r="J2101" s="232"/>
      <c r="K2101" s="232"/>
      <c r="L2101" s="232"/>
      <c r="M2101" s="232"/>
      <c r="N2101" s="232"/>
      <c r="O2101" s="232"/>
      <c r="P2101" s="232"/>
      <c r="Q2101" s="232"/>
      <c r="R2101" s="232"/>
      <c r="S2101" s="232"/>
      <c r="T2101" s="232"/>
      <c r="U2101" s="232"/>
      <c r="V2101" s="15"/>
      <c r="W2101" s="15"/>
      <c r="X2101" s="15"/>
      <c r="Y2101" s="15"/>
      <c r="Z2101" s="15"/>
      <c r="AA2101" s="15"/>
    </row>
    <row r="2102" spans="1:27" s="25" customFormat="1" ht="12" customHeight="1" x14ac:dyDescent="0.2">
      <c r="A2102" s="232"/>
      <c r="B2102" s="250"/>
      <c r="C2102" s="286"/>
      <c r="D2102" s="232"/>
      <c r="E2102" s="232"/>
      <c r="F2102" s="232"/>
      <c r="G2102" s="232"/>
      <c r="H2102" s="232"/>
      <c r="I2102" s="232"/>
      <c r="J2102" s="232"/>
      <c r="K2102" s="232"/>
      <c r="L2102" s="232"/>
      <c r="M2102" s="232"/>
      <c r="N2102" s="232"/>
      <c r="O2102" s="232"/>
      <c r="P2102" s="232"/>
      <c r="Q2102" s="232"/>
      <c r="R2102" s="232"/>
      <c r="S2102" s="232"/>
      <c r="T2102" s="232"/>
      <c r="U2102" s="232"/>
      <c r="V2102" s="15"/>
      <c r="W2102" s="15"/>
      <c r="X2102" s="15"/>
      <c r="Y2102" s="15"/>
      <c r="Z2102" s="15"/>
      <c r="AA2102" s="15"/>
    </row>
    <row r="2103" spans="1:27" s="25" customFormat="1" ht="12" customHeight="1" x14ac:dyDescent="0.2">
      <c r="A2103" s="232"/>
      <c r="B2103" s="250"/>
      <c r="C2103" s="286"/>
      <c r="D2103" s="232"/>
      <c r="E2103" s="232"/>
      <c r="F2103" s="232"/>
      <c r="G2103" s="232"/>
      <c r="H2103" s="232"/>
      <c r="I2103" s="232"/>
      <c r="J2103" s="232"/>
      <c r="K2103" s="232"/>
      <c r="L2103" s="232"/>
      <c r="M2103" s="232"/>
      <c r="N2103" s="232"/>
      <c r="O2103" s="232"/>
      <c r="P2103" s="232"/>
      <c r="Q2103" s="232"/>
      <c r="R2103" s="232"/>
      <c r="S2103" s="232"/>
      <c r="T2103" s="232"/>
      <c r="U2103" s="232"/>
      <c r="V2103" s="15"/>
      <c r="W2103" s="15"/>
      <c r="X2103" s="15"/>
      <c r="Y2103" s="15"/>
      <c r="Z2103" s="15"/>
      <c r="AA2103" s="15"/>
    </row>
    <row r="2104" spans="1:27" s="25" customFormat="1" ht="12" customHeight="1" x14ac:dyDescent="0.2">
      <c r="A2104" s="232"/>
      <c r="B2104" s="250"/>
      <c r="C2104" s="286"/>
      <c r="D2104" s="232"/>
      <c r="E2104" s="232"/>
      <c r="F2104" s="232"/>
      <c r="G2104" s="232"/>
      <c r="H2104" s="232"/>
      <c r="I2104" s="232"/>
      <c r="J2104" s="232"/>
      <c r="K2104" s="232"/>
      <c r="L2104" s="232"/>
      <c r="M2104" s="232"/>
      <c r="N2104" s="232"/>
      <c r="O2104" s="232"/>
      <c r="P2104" s="232"/>
      <c r="Q2104" s="232"/>
      <c r="R2104" s="232"/>
      <c r="S2104" s="232"/>
      <c r="T2104" s="232"/>
      <c r="U2104" s="232"/>
      <c r="V2104" s="15"/>
      <c r="W2104" s="15"/>
      <c r="X2104" s="15"/>
      <c r="Y2104" s="15"/>
      <c r="Z2104" s="15"/>
      <c r="AA2104" s="15"/>
    </row>
    <row r="2105" spans="1:27" s="25" customFormat="1" ht="12" customHeight="1" x14ac:dyDescent="0.2">
      <c r="A2105" s="232"/>
      <c r="B2105" s="250"/>
      <c r="C2105" s="286"/>
      <c r="D2105" s="232"/>
      <c r="E2105" s="232"/>
      <c r="F2105" s="232"/>
      <c r="G2105" s="232"/>
      <c r="H2105" s="232"/>
      <c r="I2105" s="232"/>
      <c r="J2105" s="232"/>
      <c r="K2105" s="232"/>
      <c r="L2105" s="232"/>
      <c r="M2105" s="232"/>
      <c r="N2105" s="232"/>
      <c r="O2105" s="232"/>
      <c r="P2105" s="232"/>
      <c r="Q2105" s="232"/>
      <c r="R2105" s="232"/>
      <c r="S2105" s="232"/>
      <c r="T2105" s="232"/>
      <c r="U2105" s="232"/>
      <c r="V2105" s="15"/>
      <c r="W2105" s="15"/>
      <c r="X2105" s="15"/>
      <c r="Y2105" s="15"/>
      <c r="Z2105" s="15"/>
      <c r="AA2105" s="15"/>
    </row>
    <row r="2106" spans="1:27" s="25" customFormat="1" ht="12" customHeight="1" x14ac:dyDescent="0.2">
      <c r="A2106" s="232"/>
      <c r="B2106" s="250"/>
      <c r="C2106" s="286"/>
      <c r="D2106" s="232"/>
      <c r="E2106" s="232"/>
      <c r="F2106" s="232"/>
      <c r="G2106" s="232"/>
      <c r="H2106" s="232"/>
      <c r="I2106" s="232"/>
      <c r="J2106" s="232"/>
      <c r="K2106" s="232"/>
      <c r="L2106" s="232"/>
      <c r="M2106" s="232"/>
      <c r="N2106" s="232"/>
      <c r="O2106" s="232"/>
      <c r="P2106" s="232"/>
      <c r="Q2106" s="232"/>
      <c r="R2106" s="232"/>
      <c r="S2106" s="232"/>
      <c r="T2106" s="232"/>
      <c r="U2106" s="232"/>
      <c r="V2106" s="15"/>
      <c r="W2106" s="15"/>
      <c r="X2106" s="15"/>
      <c r="Y2106" s="15"/>
      <c r="Z2106" s="15"/>
      <c r="AA2106" s="15"/>
    </row>
    <row r="2107" spans="1:27" s="25" customFormat="1" ht="12" customHeight="1" x14ac:dyDescent="0.2">
      <c r="A2107" s="232"/>
      <c r="B2107" s="250"/>
      <c r="C2107" s="286"/>
      <c r="D2107" s="232"/>
      <c r="E2107" s="232"/>
      <c r="F2107" s="232"/>
      <c r="G2107" s="232"/>
      <c r="H2107" s="232"/>
      <c r="I2107" s="232"/>
      <c r="J2107" s="232"/>
      <c r="K2107" s="232"/>
      <c r="L2107" s="232"/>
      <c r="M2107" s="232"/>
      <c r="N2107" s="232"/>
      <c r="O2107" s="232"/>
      <c r="P2107" s="232"/>
      <c r="Q2107" s="232"/>
      <c r="R2107" s="232"/>
      <c r="S2107" s="232"/>
      <c r="T2107" s="232"/>
      <c r="U2107" s="232"/>
      <c r="V2107" s="15"/>
      <c r="W2107" s="15"/>
      <c r="X2107" s="15"/>
      <c r="Y2107" s="15"/>
      <c r="Z2107" s="15"/>
      <c r="AA2107" s="15"/>
    </row>
    <row r="2108" spans="1:27" s="25" customFormat="1" ht="12" customHeight="1" x14ac:dyDescent="0.2">
      <c r="A2108" s="232"/>
      <c r="B2108" s="250"/>
      <c r="C2108" s="286"/>
      <c r="D2108" s="232"/>
      <c r="E2108" s="232"/>
      <c r="F2108" s="232"/>
      <c r="G2108" s="232"/>
      <c r="H2108" s="232"/>
      <c r="I2108" s="232"/>
      <c r="J2108" s="232"/>
      <c r="K2108" s="232"/>
      <c r="L2108" s="232"/>
      <c r="M2108" s="232"/>
      <c r="N2108" s="232"/>
      <c r="O2108" s="232"/>
      <c r="P2108" s="232"/>
      <c r="Q2108" s="232"/>
      <c r="R2108" s="232"/>
      <c r="S2108" s="232"/>
      <c r="T2108" s="232"/>
      <c r="U2108" s="232"/>
      <c r="V2108" s="15"/>
      <c r="W2108" s="15"/>
      <c r="X2108" s="15"/>
      <c r="Y2108" s="15"/>
      <c r="Z2108" s="15"/>
      <c r="AA2108" s="15"/>
    </row>
    <row r="2109" spans="1:27" s="25" customFormat="1" ht="12" customHeight="1" x14ac:dyDescent="0.2">
      <c r="A2109" s="232"/>
      <c r="B2109" s="250"/>
      <c r="C2109" s="286"/>
      <c r="D2109" s="232"/>
      <c r="E2109" s="232"/>
      <c r="F2109" s="232"/>
      <c r="G2109" s="232"/>
      <c r="H2109" s="232"/>
      <c r="I2109" s="232"/>
      <c r="J2109" s="232"/>
      <c r="K2109" s="232"/>
      <c r="L2109" s="232"/>
      <c r="M2109" s="232"/>
      <c r="N2109" s="232"/>
      <c r="O2109" s="232"/>
      <c r="P2109" s="232"/>
      <c r="Q2109" s="232"/>
      <c r="R2109" s="232"/>
      <c r="S2109" s="232"/>
      <c r="T2109" s="232"/>
      <c r="U2109" s="232"/>
      <c r="V2109" s="15"/>
      <c r="W2109" s="15"/>
      <c r="X2109" s="15"/>
      <c r="Y2109" s="15"/>
      <c r="Z2109" s="15"/>
      <c r="AA2109" s="15"/>
    </row>
    <row r="2110" spans="1:27" s="25" customFormat="1" ht="12" customHeight="1" x14ac:dyDescent="0.2">
      <c r="A2110" s="232"/>
      <c r="B2110" s="250"/>
      <c r="C2110" s="286"/>
      <c r="D2110" s="232"/>
      <c r="E2110" s="232"/>
      <c r="F2110" s="232"/>
      <c r="G2110" s="232"/>
      <c r="H2110" s="232"/>
      <c r="I2110" s="232"/>
      <c r="J2110" s="232"/>
      <c r="K2110" s="232"/>
      <c r="L2110" s="232"/>
      <c r="M2110" s="232"/>
      <c r="N2110" s="232"/>
      <c r="O2110" s="232"/>
      <c r="P2110" s="232"/>
      <c r="Q2110" s="232"/>
      <c r="R2110" s="232"/>
      <c r="S2110" s="232"/>
      <c r="T2110" s="232"/>
      <c r="U2110" s="232"/>
      <c r="V2110" s="15"/>
      <c r="W2110" s="15"/>
      <c r="X2110" s="15"/>
      <c r="Y2110" s="15"/>
      <c r="Z2110" s="15"/>
      <c r="AA2110" s="15"/>
    </row>
    <row r="2111" spans="1:27" s="25" customFormat="1" ht="12" customHeight="1" x14ac:dyDescent="0.2">
      <c r="A2111" s="232"/>
      <c r="B2111" s="250"/>
      <c r="C2111" s="286"/>
      <c r="D2111" s="232"/>
      <c r="E2111" s="232"/>
      <c r="F2111" s="232"/>
      <c r="G2111" s="232"/>
      <c r="H2111" s="232"/>
      <c r="I2111" s="232"/>
      <c r="J2111" s="232"/>
      <c r="K2111" s="232"/>
      <c r="L2111" s="232"/>
      <c r="M2111" s="232"/>
      <c r="N2111" s="232"/>
      <c r="O2111" s="232"/>
      <c r="P2111" s="232"/>
      <c r="Q2111" s="232"/>
      <c r="R2111" s="232"/>
      <c r="S2111" s="232"/>
      <c r="T2111" s="232"/>
      <c r="U2111" s="232"/>
      <c r="V2111" s="15"/>
      <c r="W2111" s="15"/>
      <c r="X2111" s="15"/>
      <c r="Y2111" s="15"/>
      <c r="Z2111" s="15"/>
      <c r="AA2111" s="15"/>
    </row>
    <row r="2112" spans="1:27" s="25" customFormat="1" ht="12" customHeight="1" x14ac:dyDescent="0.2">
      <c r="A2112" s="232"/>
      <c r="B2112" s="250"/>
      <c r="C2112" s="286"/>
      <c r="D2112" s="232"/>
      <c r="E2112" s="232"/>
      <c r="F2112" s="232"/>
      <c r="G2112" s="232"/>
      <c r="H2112" s="232"/>
      <c r="I2112" s="232"/>
      <c r="J2112" s="232"/>
      <c r="K2112" s="232"/>
      <c r="L2112" s="232"/>
      <c r="M2112" s="232"/>
      <c r="N2112" s="232"/>
      <c r="O2112" s="232"/>
      <c r="P2112" s="232"/>
      <c r="Q2112" s="232"/>
      <c r="R2112" s="232"/>
      <c r="S2112" s="232"/>
      <c r="T2112" s="232"/>
      <c r="U2112" s="232"/>
      <c r="V2112" s="15"/>
      <c r="W2112" s="15"/>
      <c r="X2112" s="15"/>
      <c r="Y2112" s="15"/>
      <c r="Z2112" s="15"/>
      <c r="AA2112" s="15"/>
    </row>
    <row r="2113" spans="1:27" s="25" customFormat="1" ht="12" customHeight="1" x14ac:dyDescent="0.2">
      <c r="A2113" s="232"/>
      <c r="B2113" s="250"/>
      <c r="C2113" s="286"/>
      <c r="D2113" s="232"/>
      <c r="E2113" s="232"/>
      <c r="F2113" s="232"/>
      <c r="G2113" s="232"/>
      <c r="H2113" s="232"/>
      <c r="I2113" s="232"/>
      <c r="J2113" s="232"/>
      <c r="K2113" s="232"/>
      <c r="L2113" s="232"/>
      <c r="M2113" s="232"/>
      <c r="N2113" s="232"/>
      <c r="O2113" s="232"/>
      <c r="P2113" s="232"/>
      <c r="Q2113" s="232"/>
      <c r="R2113" s="232"/>
      <c r="S2113" s="232"/>
      <c r="T2113" s="232"/>
      <c r="U2113" s="232"/>
      <c r="V2113" s="15"/>
      <c r="W2113" s="15"/>
      <c r="X2113" s="15"/>
      <c r="Y2113" s="15"/>
      <c r="Z2113" s="15"/>
      <c r="AA2113" s="15"/>
    </row>
    <row r="2114" spans="1:27" s="25" customFormat="1" ht="12" customHeight="1" x14ac:dyDescent="0.2">
      <c r="A2114" s="232"/>
      <c r="B2114" s="250"/>
      <c r="C2114" s="286"/>
      <c r="D2114" s="232"/>
      <c r="E2114" s="232"/>
      <c r="F2114" s="232"/>
      <c r="G2114" s="232"/>
      <c r="H2114" s="232"/>
      <c r="I2114" s="232"/>
      <c r="J2114" s="232"/>
      <c r="K2114" s="232"/>
      <c r="L2114" s="232"/>
      <c r="M2114" s="232"/>
      <c r="N2114" s="232"/>
      <c r="O2114" s="232"/>
      <c r="P2114" s="232"/>
      <c r="Q2114" s="232"/>
      <c r="R2114" s="232"/>
      <c r="S2114" s="232"/>
      <c r="T2114" s="232"/>
      <c r="U2114" s="232"/>
      <c r="V2114" s="15"/>
      <c r="W2114" s="15"/>
      <c r="X2114" s="15"/>
      <c r="Y2114" s="15"/>
      <c r="Z2114" s="15"/>
      <c r="AA2114" s="15"/>
    </row>
    <row r="2115" spans="1:27" s="25" customFormat="1" ht="12" customHeight="1" x14ac:dyDescent="0.2">
      <c r="A2115" s="232"/>
      <c r="B2115" s="250"/>
      <c r="C2115" s="286"/>
      <c r="D2115" s="232"/>
      <c r="E2115" s="232"/>
      <c r="F2115" s="232"/>
      <c r="G2115" s="232"/>
      <c r="H2115" s="232"/>
      <c r="I2115" s="232"/>
      <c r="J2115" s="232"/>
      <c r="K2115" s="232"/>
      <c r="L2115" s="232"/>
      <c r="M2115" s="232"/>
      <c r="N2115" s="232"/>
      <c r="O2115" s="232"/>
      <c r="P2115" s="232"/>
      <c r="Q2115" s="232"/>
      <c r="R2115" s="232"/>
      <c r="S2115" s="232"/>
      <c r="T2115" s="232"/>
      <c r="U2115" s="232"/>
      <c r="V2115" s="15"/>
      <c r="W2115" s="15"/>
      <c r="X2115" s="15"/>
      <c r="Y2115" s="15"/>
      <c r="Z2115" s="15"/>
      <c r="AA2115" s="15"/>
    </row>
    <row r="2116" spans="1:27" s="25" customFormat="1" ht="12" customHeight="1" x14ac:dyDescent="0.2">
      <c r="A2116" s="232"/>
      <c r="B2116" s="250"/>
      <c r="C2116" s="286"/>
      <c r="D2116" s="232"/>
      <c r="E2116" s="232"/>
      <c r="F2116" s="232"/>
      <c r="G2116" s="232"/>
      <c r="H2116" s="232"/>
      <c r="I2116" s="232"/>
      <c r="J2116" s="232"/>
      <c r="K2116" s="232"/>
      <c r="L2116" s="232"/>
      <c r="M2116" s="232"/>
      <c r="N2116" s="232"/>
      <c r="O2116" s="232"/>
      <c r="P2116" s="232"/>
      <c r="Q2116" s="232"/>
      <c r="R2116" s="232"/>
      <c r="S2116" s="232"/>
      <c r="T2116" s="232"/>
      <c r="U2116" s="232"/>
      <c r="V2116" s="15"/>
      <c r="W2116" s="15"/>
      <c r="X2116" s="15"/>
      <c r="Y2116" s="15"/>
      <c r="Z2116" s="15"/>
      <c r="AA2116" s="15"/>
    </row>
    <row r="2117" spans="1:27" s="25" customFormat="1" ht="12" customHeight="1" x14ac:dyDescent="0.2">
      <c r="A2117" s="232"/>
      <c r="B2117" s="250"/>
      <c r="C2117" s="286"/>
      <c r="D2117" s="232"/>
      <c r="E2117" s="232"/>
      <c r="F2117" s="232"/>
      <c r="G2117" s="232"/>
      <c r="H2117" s="232"/>
      <c r="I2117" s="232"/>
      <c r="J2117" s="232"/>
      <c r="K2117" s="232"/>
      <c r="L2117" s="232"/>
      <c r="M2117" s="232"/>
      <c r="N2117" s="232"/>
      <c r="O2117" s="232"/>
      <c r="P2117" s="232"/>
      <c r="Q2117" s="232"/>
      <c r="R2117" s="232"/>
      <c r="S2117" s="232"/>
      <c r="T2117" s="232"/>
      <c r="U2117" s="232"/>
      <c r="V2117" s="15"/>
      <c r="W2117" s="15"/>
      <c r="X2117" s="15"/>
      <c r="Y2117" s="15"/>
      <c r="Z2117" s="15"/>
      <c r="AA2117" s="15"/>
    </row>
    <row r="2118" spans="1:27" s="25" customFormat="1" ht="12" customHeight="1" x14ac:dyDescent="0.2">
      <c r="A2118" s="232"/>
      <c r="B2118" s="250"/>
      <c r="C2118" s="286"/>
      <c r="D2118" s="232"/>
      <c r="E2118" s="232"/>
      <c r="F2118" s="232"/>
      <c r="G2118" s="232"/>
      <c r="H2118" s="232"/>
      <c r="I2118" s="232"/>
      <c r="J2118" s="232"/>
      <c r="K2118" s="232"/>
      <c r="L2118" s="232"/>
      <c r="M2118" s="232"/>
      <c r="N2118" s="232"/>
      <c r="O2118" s="232"/>
      <c r="P2118" s="232"/>
      <c r="Q2118" s="232"/>
      <c r="R2118" s="232"/>
      <c r="S2118" s="232"/>
      <c r="T2118" s="232"/>
      <c r="U2118" s="232"/>
      <c r="V2118" s="15"/>
      <c r="W2118" s="15"/>
      <c r="X2118" s="15"/>
      <c r="Y2118" s="15"/>
      <c r="Z2118" s="15"/>
      <c r="AA2118" s="15"/>
    </row>
    <row r="2119" spans="1:27" s="25" customFormat="1" ht="12" customHeight="1" x14ac:dyDescent="0.2">
      <c r="A2119" s="232"/>
      <c r="B2119" s="250"/>
      <c r="C2119" s="286"/>
      <c r="D2119" s="232"/>
      <c r="E2119" s="232"/>
      <c r="F2119" s="232"/>
      <c r="G2119" s="232"/>
      <c r="H2119" s="232"/>
      <c r="I2119" s="232"/>
      <c r="J2119" s="232"/>
      <c r="K2119" s="232"/>
      <c r="L2119" s="232"/>
      <c r="M2119" s="232"/>
      <c r="N2119" s="232"/>
      <c r="O2119" s="232"/>
      <c r="P2119" s="232"/>
      <c r="Q2119" s="232"/>
      <c r="R2119" s="232"/>
      <c r="S2119" s="232"/>
      <c r="T2119" s="232"/>
      <c r="U2119" s="232"/>
      <c r="V2119" s="15"/>
      <c r="W2119" s="15"/>
      <c r="X2119" s="15"/>
      <c r="Y2119" s="15"/>
      <c r="Z2119" s="15"/>
      <c r="AA2119" s="15"/>
    </row>
    <row r="2120" spans="1:27" s="25" customFormat="1" ht="12" customHeight="1" x14ac:dyDescent="0.2">
      <c r="A2120" s="232"/>
      <c r="B2120" s="250"/>
      <c r="C2120" s="286"/>
      <c r="D2120" s="232"/>
      <c r="E2120" s="232"/>
      <c r="F2120" s="232"/>
      <c r="G2120" s="232"/>
      <c r="H2120" s="232"/>
      <c r="I2120" s="232"/>
      <c r="J2120" s="232"/>
      <c r="K2120" s="232"/>
      <c r="L2120" s="232"/>
      <c r="M2120" s="232"/>
      <c r="N2120" s="232"/>
      <c r="O2120" s="232"/>
      <c r="P2120" s="232"/>
      <c r="Q2120" s="232"/>
      <c r="R2120" s="232"/>
      <c r="S2120" s="232"/>
      <c r="T2120" s="232"/>
      <c r="U2120" s="232"/>
      <c r="V2120" s="15"/>
      <c r="W2120" s="15"/>
      <c r="X2120" s="15"/>
      <c r="Y2120" s="15"/>
      <c r="Z2120" s="15"/>
      <c r="AA2120" s="15"/>
    </row>
    <row r="2121" spans="1:27" s="25" customFormat="1" ht="12" customHeight="1" x14ac:dyDescent="0.2">
      <c r="A2121" s="232"/>
      <c r="B2121" s="250"/>
      <c r="C2121" s="286"/>
      <c r="D2121" s="232"/>
      <c r="E2121" s="232"/>
      <c r="F2121" s="232"/>
      <c r="G2121" s="232"/>
      <c r="H2121" s="232"/>
      <c r="I2121" s="232"/>
      <c r="J2121" s="232"/>
      <c r="K2121" s="232"/>
      <c r="L2121" s="232"/>
      <c r="M2121" s="232"/>
      <c r="N2121" s="232"/>
      <c r="O2121" s="232"/>
      <c r="P2121" s="232"/>
      <c r="Q2121" s="232"/>
      <c r="R2121" s="232"/>
      <c r="S2121" s="232"/>
      <c r="T2121" s="232"/>
      <c r="U2121" s="232"/>
      <c r="V2121" s="15"/>
      <c r="W2121" s="15"/>
      <c r="X2121" s="15"/>
      <c r="Y2121" s="15"/>
      <c r="Z2121" s="15"/>
      <c r="AA2121" s="15"/>
    </row>
    <row r="2122" spans="1:27" s="25" customFormat="1" ht="12" customHeight="1" x14ac:dyDescent="0.2">
      <c r="A2122" s="232"/>
      <c r="B2122" s="250"/>
      <c r="C2122" s="286"/>
      <c r="D2122" s="232"/>
      <c r="E2122" s="232"/>
      <c r="F2122" s="232"/>
      <c r="G2122" s="232"/>
      <c r="H2122" s="232"/>
      <c r="I2122" s="232"/>
      <c r="J2122" s="232"/>
      <c r="K2122" s="232"/>
      <c r="L2122" s="232"/>
      <c r="M2122" s="232"/>
      <c r="N2122" s="232"/>
      <c r="O2122" s="232"/>
      <c r="P2122" s="232"/>
      <c r="Q2122" s="232"/>
      <c r="R2122" s="232"/>
      <c r="S2122" s="232"/>
      <c r="T2122" s="232"/>
      <c r="U2122" s="232"/>
      <c r="V2122" s="15"/>
      <c r="W2122" s="15"/>
      <c r="X2122" s="15"/>
      <c r="Y2122" s="15"/>
      <c r="Z2122" s="15"/>
      <c r="AA2122" s="15"/>
    </row>
    <row r="2123" spans="1:27" s="25" customFormat="1" ht="12" customHeight="1" x14ac:dyDescent="0.2">
      <c r="A2123" s="232"/>
      <c r="B2123" s="250"/>
      <c r="C2123" s="286"/>
      <c r="D2123" s="232"/>
      <c r="E2123" s="232"/>
      <c r="F2123" s="232"/>
      <c r="G2123" s="232"/>
      <c r="H2123" s="232"/>
      <c r="I2123" s="232"/>
      <c r="J2123" s="232"/>
      <c r="K2123" s="232"/>
      <c r="L2123" s="232"/>
      <c r="M2123" s="232"/>
      <c r="N2123" s="232"/>
      <c r="O2123" s="232"/>
      <c r="P2123" s="232"/>
      <c r="Q2123" s="232"/>
      <c r="R2123" s="232"/>
      <c r="S2123" s="232"/>
      <c r="T2123" s="232"/>
      <c r="U2123" s="232"/>
      <c r="V2123" s="15"/>
      <c r="W2123" s="15"/>
      <c r="X2123" s="15"/>
      <c r="Y2123" s="15"/>
      <c r="Z2123" s="15"/>
      <c r="AA2123" s="15"/>
    </row>
    <row r="2124" spans="1:27" s="25" customFormat="1" ht="12" customHeight="1" x14ac:dyDescent="0.2">
      <c r="A2124" s="232"/>
      <c r="B2124" s="250"/>
      <c r="C2124" s="286"/>
      <c r="D2124" s="232"/>
      <c r="E2124" s="232"/>
      <c r="F2124" s="232"/>
      <c r="G2124" s="232"/>
      <c r="H2124" s="232"/>
      <c r="I2124" s="232"/>
      <c r="J2124" s="232"/>
      <c r="K2124" s="232"/>
      <c r="L2124" s="232"/>
      <c r="M2124" s="232"/>
      <c r="N2124" s="232"/>
      <c r="O2124" s="232"/>
      <c r="P2124" s="232"/>
      <c r="Q2124" s="232"/>
      <c r="R2124" s="232"/>
      <c r="S2124" s="232"/>
      <c r="T2124" s="232"/>
      <c r="U2124" s="232"/>
      <c r="V2124" s="15"/>
      <c r="W2124" s="15"/>
      <c r="X2124" s="15"/>
      <c r="Y2124" s="15"/>
      <c r="Z2124" s="15"/>
      <c r="AA2124" s="15"/>
    </row>
    <row r="2125" spans="1:27" s="25" customFormat="1" ht="12" customHeight="1" x14ac:dyDescent="0.2">
      <c r="A2125" s="232"/>
      <c r="B2125" s="250"/>
      <c r="C2125" s="286"/>
      <c r="D2125" s="232"/>
      <c r="E2125" s="232"/>
      <c r="F2125" s="232"/>
      <c r="G2125" s="232"/>
      <c r="H2125" s="232"/>
      <c r="I2125" s="232"/>
      <c r="J2125" s="232"/>
      <c r="K2125" s="232"/>
      <c r="L2125" s="232"/>
      <c r="M2125" s="232"/>
      <c r="N2125" s="232"/>
      <c r="O2125" s="232"/>
      <c r="P2125" s="232"/>
      <c r="Q2125" s="232"/>
      <c r="R2125" s="232"/>
      <c r="S2125" s="232"/>
      <c r="T2125" s="232"/>
      <c r="U2125" s="232"/>
      <c r="V2125" s="15"/>
      <c r="W2125" s="15"/>
      <c r="X2125" s="15"/>
      <c r="Y2125" s="15"/>
      <c r="Z2125" s="15"/>
      <c r="AA2125" s="15"/>
    </row>
    <row r="2126" spans="1:27" s="25" customFormat="1" ht="12" customHeight="1" x14ac:dyDescent="0.2">
      <c r="A2126" s="232"/>
      <c r="B2126" s="250"/>
      <c r="C2126" s="286"/>
      <c r="D2126" s="232"/>
      <c r="E2126" s="232"/>
      <c r="F2126" s="232"/>
      <c r="G2126" s="232"/>
      <c r="H2126" s="232"/>
      <c r="I2126" s="232"/>
      <c r="J2126" s="232"/>
      <c r="K2126" s="232"/>
      <c r="L2126" s="232"/>
      <c r="M2126" s="232"/>
      <c r="N2126" s="232"/>
      <c r="O2126" s="232"/>
      <c r="P2126" s="232"/>
      <c r="Q2126" s="232"/>
      <c r="R2126" s="232"/>
      <c r="S2126" s="232"/>
      <c r="T2126" s="232"/>
      <c r="U2126" s="232"/>
      <c r="V2126" s="15"/>
      <c r="W2126" s="15"/>
      <c r="X2126" s="15"/>
      <c r="Y2126" s="15"/>
      <c r="Z2126" s="15"/>
      <c r="AA2126" s="15"/>
    </row>
    <row r="2127" spans="1:27" s="25" customFormat="1" ht="12" customHeight="1" x14ac:dyDescent="0.2">
      <c r="A2127" s="232"/>
      <c r="B2127" s="250"/>
      <c r="C2127" s="286"/>
      <c r="D2127" s="232"/>
      <c r="E2127" s="232"/>
      <c r="F2127" s="232"/>
      <c r="G2127" s="232"/>
      <c r="H2127" s="232"/>
      <c r="I2127" s="232"/>
      <c r="J2127" s="232"/>
      <c r="K2127" s="232"/>
      <c r="L2127" s="232"/>
      <c r="M2127" s="232"/>
      <c r="N2127" s="232"/>
      <c r="O2127" s="232"/>
      <c r="P2127" s="232"/>
      <c r="Q2127" s="232"/>
      <c r="R2127" s="232"/>
      <c r="S2127" s="232"/>
      <c r="T2127" s="232"/>
      <c r="U2127" s="232"/>
      <c r="V2127" s="15"/>
      <c r="W2127" s="15"/>
      <c r="X2127" s="15"/>
      <c r="Y2127" s="15"/>
      <c r="Z2127" s="15"/>
      <c r="AA2127" s="15"/>
    </row>
    <row r="2128" spans="1:27" s="25" customFormat="1" ht="12" customHeight="1" x14ac:dyDescent="0.2">
      <c r="A2128" s="232"/>
      <c r="B2128" s="250"/>
      <c r="C2128" s="286"/>
      <c r="D2128" s="232"/>
      <c r="E2128" s="232"/>
      <c r="F2128" s="232"/>
      <c r="G2128" s="232"/>
      <c r="H2128" s="232"/>
      <c r="I2128" s="232"/>
      <c r="J2128" s="232"/>
      <c r="K2128" s="232"/>
      <c r="L2128" s="232"/>
      <c r="M2128" s="232"/>
      <c r="N2128" s="232"/>
      <c r="O2128" s="232"/>
      <c r="P2128" s="232"/>
      <c r="Q2128" s="232"/>
      <c r="R2128" s="232"/>
      <c r="S2128" s="232"/>
      <c r="T2128" s="232"/>
      <c r="U2128" s="232"/>
      <c r="V2128" s="15"/>
      <c r="W2128" s="15"/>
      <c r="X2128" s="15"/>
      <c r="Y2128" s="15"/>
      <c r="Z2128" s="15"/>
      <c r="AA2128" s="15"/>
    </row>
    <row r="2129" spans="1:27" s="25" customFormat="1" ht="12" customHeight="1" x14ac:dyDescent="0.2">
      <c r="A2129" s="232"/>
      <c r="B2129" s="250"/>
      <c r="C2129" s="286"/>
      <c r="D2129" s="232"/>
      <c r="E2129" s="232"/>
      <c r="F2129" s="232"/>
      <c r="G2129" s="232"/>
      <c r="H2129" s="232"/>
      <c r="I2129" s="232"/>
      <c r="J2129" s="232"/>
      <c r="K2129" s="232"/>
      <c r="L2129" s="232"/>
      <c r="M2129" s="232"/>
      <c r="N2129" s="232"/>
      <c r="O2129" s="232"/>
      <c r="P2129" s="232"/>
      <c r="Q2129" s="232"/>
      <c r="R2129" s="232"/>
      <c r="S2129" s="232"/>
      <c r="T2129" s="232"/>
      <c r="U2129" s="232"/>
      <c r="V2129" s="15"/>
      <c r="W2129" s="15"/>
      <c r="X2129" s="15"/>
      <c r="Y2129" s="15"/>
      <c r="Z2129" s="15"/>
      <c r="AA2129" s="15"/>
    </row>
    <row r="2130" spans="1:27" s="25" customFormat="1" ht="12" customHeight="1" x14ac:dyDescent="0.2">
      <c r="A2130" s="232"/>
      <c r="B2130" s="250"/>
      <c r="C2130" s="286"/>
      <c r="D2130" s="232"/>
      <c r="E2130" s="232"/>
      <c r="F2130" s="232"/>
      <c r="G2130" s="232"/>
      <c r="H2130" s="232"/>
      <c r="I2130" s="232"/>
      <c r="J2130" s="232"/>
      <c r="K2130" s="232"/>
      <c r="L2130" s="232"/>
      <c r="M2130" s="232"/>
      <c r="N2130" s="232"/>
      <c r="O2130" s="232"/>
      <c r="P2130" s="232"/>
      <c r="Q2130" s="232"/>
      <c r="R2130" s="232"/>
      <c r="S2130" s="232"/>
      <c r="T2130" s="232"/>
      <c r="U2130" s="232"/>
      <c r="V2130" s="15"/>
      <c r="W2130" s="15"/>
      <c r="X2130" s="15"/>
      <c r="Y2130" s="15"/>
      <c r="Z2130" s="15"/>
      <c r="AA2130" s="15"/>
    </row>
    <row r="2131" spans="1:27" s="25" customFormat="1" ht="12" customHeight="1" x14ac:dyDescent="0.2">
      <c r="A2131" s="232"/>
      <c r="B2131" s="250"/>
      <c r="C2131" s="286"/>
      <c r="D2131" s="232"/>
      <c r="E2131" s="232"/>
      <c r="F2131" s="232"/>
      <c r="G2131" s="232"/>
      <c r="H2131" s="232"/>
      <c r="I2131" s="232"/>
      <c r="J2131" s="232"/>
      <c r="K2131" s="232"/>
      <c r="L2131" s="232"/>
      <c r="M2131" s="232"/>
      <c r="N2131" s="232"/>
      <c r="O2131" s="232"/>
      <c r="P2131" s="232"/>
      <c r="Q2131" s="232"/>
      <c r="R2131" s="232"/>
      <c r="S2131" s="232"/>
      <c r="T2131" s="232"/>
      <c r="U2131" s="232"/>
      <c r="V2131" s="15"/>
      <c r="W2131" s="15"/>
      <c r="X2131" s="15"/>
      <c r="Y2131" s="15"/>
      <c r="Z2131" s="15"/>
      <c r="AA2131" s="15"/>
    </row>
    <row r="2132" spans="1:27" s="25" customFormat="1" ht="12" customHeight="1" x14ac:dyDescent="0.2">
      <c r="A2132" s="232"/>
      <c r="B2132" s="250"/>
      <c r="C2132" s="286"/>
      <c r="D2132" s="232"/>
      <c r="E2132" s="232"/>
      <c r="F2132" s="232"/>
      <c r="G2132" s="232"/>
      <c r="H2132" s="232"/>
      <c r="I2132" s="232"/>
      <c r="J2132" s="232"/>
      <c r="K2132" s="232"/>
      <c r="L2132" s="232"/>
      <c r="M2132" s="232"/>
      <c r="N2132" s="232"/>
      <c r="O2132" s="232"/>
      <c r="P2132" s="232"/>
      <c r="Q2132" s="232"/>
      <c r="R2132" s="232"/>
      <c r="S2132" s="232"/>
      <c r="T2132" s="232"/>
      <c r="U2132" s="232"/>
      <c r="V2132" s="15"/>
      <c r="W2132" s="15"/>
      <c r="X2132" s="15"/>
      <c r="Y2132" s="15"/>
      <c r="Z2132" s="15"/>
      <c r="AA2132" s="15"/>
    </row>
    <row r="2133" spans="1:27" s="25" customFormat="1" ht="12" customHeight="1" x14ac:dyDescent="0.2">
      <c r="A2133" s="232"/>
      <c r="B2133" s="250"/>
      <c r="C2133" s="286"/>
      <c r="D2133" s="232"/>
      <c r="E2133" s="232"/>
      <c r="F2133" s="232"/>
      <c r="G2133" s="232"/>
      <c r="H2133" s="232"/>
      <c r="I2133" s="232"/>
      <c r="J2133" s="232"/>
      <c r="K2133" s="232"/>
      <c r="L2133" s="232"/>
      <c r="M2133" s="232"/>
      <c r="N2133" s="232"/>
      <c r="O2133" s="232"/>
      <c r="P2133" s="232"/>
      <c r="Q2133" s="232"/>
      <c r="R2133" s="232"/>
      <c r="S2133" s="232"/>
      <c r="T2133" s="232"/>
      <c r="U2133" s="232"/>
      <c r="V2133" s="15"/>
      <c r="W2133" s="15"/>
      <c r="X2133" s="15"/>
      <c r="Y2133" s="15"/>
      <c r="Z2133" s="15"/>
      <c r="AA2133" s="15"/>
    </row>
    <row r="2134" spans="1:27" s="25" customFormat="1" ht="12" customHeight="1" x14ac:dyDescent="0.2">
      <c r="A2134" s="232"/>
      <c r="B2134" s="250"/>
      <c r="C2134" s="286"/>
      <c r="D2134" s="232"/>
      <c r="E2134" s="232"/>
      <c r="F2134" s="232"/>
      <c r="G2134" s="232"/>
      <c r="H2134" s="232"/>
      <c r="I2134" s="232"/>
      <c r="J2134" s="232"/>
      <c r="K2134" s="232"/>
      <c r="L2134" s="232"/>
      <c r="M2134" s="232"/>
      <c r="N2134" s="232"/>
      <c r="O2134" s="232"/>
      <c r="P2134" s="232"/>
      <c r="Q2134" s="232"/>
      <c r="R2134" s="232"/>
      <c r="S2134" s="232"/>
      <c r="T2134" s="232"/>
      <c r="U2134" s="232"/>
      <c r="V2134" s="15"/>
      <c r="W2134" s="15"/>
      <c r="X2134" s="15"/>
      <c r="Y2134" s="15"/>
      <c r="Z2134" s="15"/>
      <c r="AA2134" s="15"/>
    </row>
    <row r="2135" spans="1:27" s="25" customFormat="1" ht="12" customHeight="1" x14ac:dyDescent="0.2">
      <c r="A2135" s="232"/>
      <c r="B2135" s="250"/>
      <c r="C2135" s="286"/>
      <c r="D2135" s="232"/>
      <c r="E2135" s="232"/>
      <c r="F2135" s="232"/>
      <c r="G2135" s="232"/>
      <c r="H2135" s="232"/>
      <c r="I2135" s="232"/>
      <c r="J2135" s="232"/>
      <c r="K2135" s="232"/>
      <c r="L2135" s="232"/>
      <c r="M2135" s="232"/>
      <c r="N2135" s="232"/>
      <c r="O2135" s="232"/>
      <c r="P2135" s="232"/>
      <c r="Q2135" s="232"/>
      <c r="R2135" s="232"/>
      <c r="S2135" s="232"/>
      <c r="T2135" s="232"/>
      <c r="U2135" s="232"/>
      <c r="V2135" s="15"/>
      <c r="W2135" s="15"/>
      <c r="X2135" s="15"/>
      <c r="Y2135" s="15"/>
      <c r="Z2135" s="15"/>
      <c r="AA2135" s="15"/>
    </row>
    <row r="2136" spans="1:27" s="25" customFormat="1" ht="12" customHeight="1" x14ac:dyDescent="0.2">
      <c r="A2136" s="232"/>
      <c r="B2136" s="250"/>
      <c r="C2136" s="286"/>
      <c r="D2136" s="232"/>
      <c r="E2136" s="232"/>
      <c r="F2136" s="232"/>
      <c r="G2136" s="232"/>
      <c r="H2136" s="232"/>
      <c r="I2136" s="232"/>
      <c r="J2136" s="232"/>
      <c r="K2136" s="232"/>
      <c r="L2136" s="232"/>
      <c r="M2136" s="232"/>
      <c r="N2136" s="232"/>
      <c r="O2136" s="232"/>
      <c r="P2136" s="232"/>
      <c r="Q2136" s="232"/>
      <c r="R2136" s="232"/>
      <c r="S2136" s="232"/>
      <c r="T2136" s="232"/>
      <c r="U2136" s="232"/>
      <c r="V2136" s="15"/>
      <c r="W2136" s="15"/>
      <c r="X2136" s="15"/>
      <c r="Y2136" s="15"/>
      <c r="Z2136" s="15"/>
      <c r="AA2136" s="15"/>
    </row>
    <row r="2137" spans="1:27" s="25" customFormat="1" ht="12" customHeight="1" x14ac:dyDescent="0.2">
      <c r="A2137" s="232"/>
      <c r="B2137" s="250"/>
      <c r="C2137" s="286"/>
      <c r="D2137" s="232"/>
      <c r="E2137" s="232"/>
      <c r="F2137" s="232"/>
      <c r="G2137" s="232"/>
      <c r="H2137" s="232"/>
      <c r="I2137" s="232"/>
      <c r="J2137" s="232"/>
      <c r="K2137" s="232"/>
      <c r="L2137" s="232"/>
      <c r="M2137" s="232"/>
      <c r="N2137" s="232"/>
      <c r="O2137" s="232"/>
      <c r="P2137" s="232"/>
      <c r="Q2137" s="232"/>
      <c r="R2137" s="232"/>
      <c r="S2137" s="232"/>
      <c r="T2137" s="232"/>
      <c r="U2137" s="232"/>
      <c r="V2137" s="15"/>
      <c r="W2137" s="15"/>
      <c r="X2137" s="15"/>
      <c r="Y2137" s="15"/>
      <c r="Z2137" s="15"/>
      <c r="AA2137" s="15"/>
    </row>
    <row r="2138" spans="1:27" s="25" customFormat="1" ht="12" customHeight="1" x14ac:dyDescent="0.2">
      <c r="A2138" s="232"/>
      <c r="B2138" s="250"/>
      <c r="C2138" s="286"/>
      <c r="D2138" s="232"/>
      <c r="E2138" s="232"/>
      <c r="F2138" s="232"/>
      <c r="G2138" s="232"/>
      <c r="H2138" s="232"/>
      <c r="I2138" s="232"/>
      <c r="J2138" s="232"/>
      <c r="K2138" s="232"/>
      <c r="L2138" s="232"/>
      <c r="M2138" s="232"/>
      <c r="N2138" s="232"/>
      <c r="O2138" s="232"/>
      <c r="P2138" s="232"/>
      <c r="Q2138" s="232"/>
      <c r="R2138" s="232"/>
      <c r="S2138" s="232"/>
      <c r="T2138" s="232"/>
      <c r="U2138" s="232"/>
      <c r="V2138" s="15"/>
      <c r="W2138" s="15"/>
      <c r="X2138" s="15"/>
      <c r="Y2138" s="15"/>
      <c r="Z2138" s="15"/>
      <c r="AA2138" s="15"/>
    </row>
    <row r="2139" spans="1:27" s="25" customFormat="1" ht="12" customHeight="1" x14ac:dyDescent="0.2">
      <c r="A2139" s="232"/>
      <c r="B2139" s="250"/>
      <c r="C2139" s="286"/>
      <c r="D2139" s="232"/>
      <c r="E2139" s="232"/>
      <c r="F2139" s="232"/>
      <c r="G2139" s="232"/>
      <c r="H2139" s="232"/>
      <c r="I2139" s="232"/>
      <c r="J2139" s="232"/>
      <c r="K2139" s="232"/>
      <c r="L2139" s="232"/>
      <c r="M2139" s="232"/>
      <c r="N2139" s="232"/>
      <c r="O2139" s="232"/>
      <c r="P2139" s="232"/>
      <c r="Q2139" s="232"/>
      <c r="R2139" s="232"/>
      <c r="S2139" s="232"/>
      <c r="T2139" s="232"/>
      <c r="U2139" s="232"/>
      <c r="V2139" s="15"/>
      <c r="W2139" s="15"/>
      <c r="X2139" s="15"/>
      <c r="Y2139" s="15"/>
      <c r="Z2139" s="15"/>
      <c r="AA2139" s="15"/>
    </row>
    <row r="2140" spans="1:27" s="25" customFormat="1" ht="12" customHeight="1" x14ac:dyDescent="0.2">
      <c r="A2140" s="232"/>
      <c r="B2140" s="250"/>
      <c r="C2140" s="286"/>
      <c r="D2140" s="232"/>
      <c r="E2140" s="232"/>
      <c r="F2140" s="232"/>
      <c r="G2140" s="232"/>
      <c r="H2140" s="232"/>
      <c r="I2140" s="232"/>
      <c r="J2140" s="232"/>
      <c r="K2140" s="232"/>
      <c r="L2140" s="232"/>
      <c r="M2140" s="232"/>
      <c r="N2140" s="232"/>
      <c r="O2140" s="232"/>
      <c r="P2140" s="232"/>
      <c r="Q2140" s="232"/>
      <c r="R2140" s="232"/>
      <c r="S2140" s="232"/>
      <c r="T2140" s="232"/>
      <c r="U2140" s="232"/>
      <c r="V2140" s="15"/>
      <c r="W2140" s="15"/>
      <c r="X2140" s="15"/>
      <c r="Y2140" s="15"/>
      <c r="Z2140" s="15"/>
      <c r="AA2140" s="15"/>
    </row>
    <row r="2141" spans="1:27" s="25" customFormat="1" ht="12" customHeight="1" x14ac:dyDescent="0.2">
      <c r="A2141" s="232"/>
      <c r="B2141" s="250"/>
      <c r="C2141" s="286"/>
      <c r="D2141" s="232"/>
      <c r="E2141" s="232"/>
      <c r="F2141" s="232"/>
      <c r="G2141" s="232"/>
      <c r="H2141" s="232"/>
      <c r="I2141" s="232"/>
      <c r="J2141" s="232"/>
      <c r="K2141" s="232"/>
      <c r="L2141" s="232"/>
      <c r="M2141" s="232"/>
      <c r="N2141" s="232"/>
      <c r="O2141" s="232"/>
      <c r="P2141" s="232"/>
      <c r="Q2141" s="232"/>
      <c r="R2141" s="232"/>
      <c r="S2141" s="232"/>
      <c r="T2141" s="232"/>
      <c r="U2141" s="232"/>
      <c r="V2141" s="15"/>
      <c r="W2141" s="15"/>
      <c r="X2141" s="15"/>
      <c r="Y2141" s="15"/>
      <c r="Z2141" s="15"/>
      <c r="AA2141" s="15"/>
    </row>
    <row r="2142" spans="1:27" s="25" customFormat="1" ht="12" customHeight="1" x14ac:dyDescent="0.2">
      <c r="A2142" s="232"/>
      <c r="B2142" s="250"/>
      <c r="C2142" s="286"/>
      <c r="D2142" s="232"/>
      <c r="E2142" s="232"/>
      <c r="F2142" s="232"/>
      <c r="G2142" s="232"/>
      <c r="H2142" s="232"/>
      <c r="I2142" s="232"/>
      <c r="J2142" s="232"/>
      <c r="K2142" s="232"/>
      <c r="L2142" s="232"/>
      <c r="M2142" s="232"/>
      <c r="N2142" s="232"/>
      <c r="O2142" s="232"/>
      <c r="P2142" s="232"/>
      <c r="Q2142" s="232"/>
      <c r="R2142" s="232"/>
      <c r="S2142" s="232"/>
      <c r="T2142" s="232"/>
      <c r="U2142" s="232"/>
      <c r="V2142" s="15"/>
      <c r="W2142" s="15"/>
      <c r="X2142" s="15"/>
      <c r="Y2142" s="15"/>
      <c r="Z2142" s="15"/>
      <c r="AA2142" s="15"/>
    </row>
    <row r="2143" spans="1:27" s="25" customFormat="1" ht="12" customHeight="1" x14ac:dyDescent="0.2">
      <c r="A2143" s="232"/>
      <c r="B2143" s="250"/>
      <c r="C2143" s="286"/>
      <c r="D2143" s="232"/>
      <c r="E2143" s="232"/>
      <c r="F2143" s="232"/>
      <c r="G2143" s="232"/>
      <c r="H2143" s="232"/>
      <c r="I2143" s="232"/>
      <c r="J2143" s="232"/>
      <c r="K2143" s="232"/>
      <c r="L2143" s="232"/>
      <c r="M2143" s="232"/>
      <c r="N2143" s="232"/>
      <c r="O2143" s="232"/>
      <c r="P2143" s="232"/>
      <c r="Q2143" s="232"/>
      <c r="R2143" s="232"/>
      <c r="S2143" s="232"/>
      <c r="T2143" s="232"/>
      <c r="U2143" s="232"/>
      <c r="V2143" s="15"/>
      <c r="W2143" s="15"/>
      <c r="X2143" s="15"/>
      <c r="Y2143" s="15"/>
      <c r="Z2143" s="15"/>
      <c r="AA2143" s="15"/>
    </row>
    <row r="2144" spans="1:27" s="25" customFormat="1" ht="12" customHeight="1" x14ac:dyDescent="0.2">
      <c r="A2144" s="232"/>
      <c r="B2144" s="250"/>
      <c r="C2144" s="286"/>
      <c r="D2144" s="232"/>
      <c r="E2144" s="232"/>
      <c r="F2144" s="232"/>
      <c r="G2144" s="232"/>
      <c r="H2144" s="232"/>
      <c r="I2144" s="232"/>
      <c r="J2144" s="232"/>
      <c r="K2144" s="232"/>
      <c r="L2144" s="232"/>
      <c r="M2144" s="232"/>
      <c r="N2144" s="232"/>
      <c r="O2144" s="232"/>
      <c r="P2144" s="232"/>
      <c r="Q2144" s="232"/>
      <c r="R2144" s="232"/>
      <c r="S2144" s="232"/>
      <c r="T2144" s="232"/>
      <c r="U2144" s="232"/>
      <c r="V2144" s="15"/>
      <c r="W2144" s="15"/>
      <c r="X2144" s="15"/>
      <c r="Y2144" s="15"/>
      <c r="Z2144" s="15"/>
      <c r="AA2144" s="15"/>
    </row>
    <row r="2145" spans="1:27" s="25" customFormat="1" ht="12" customHeight="1" x14ac:dyDescent="0.2">
      <c r="A2145" s="232"/>
      <c r="B2145" s="250"/>
      <c r="C2145" s="286"/>
      <c r="D2145" s="232"/>
      <c r="E2145" s="232"/>
      <c r="F2145" s="232"/>
      <c r="G2145" s="232"/>
      <c r="H2145" s="232"/>
      <c r="I2145" s="232"/>
      <c r="J2145" s="232"/>
      <c r="K2145" s="232"/>
      <c r="L2145" s="232"/>
      <c r="M2145" s="232"/>
      <c r="N2145" s="232"/>
      <c r="O2145" s="232"/>
      <c r="P2145" s="232"/>
      <c r="Q2145" s="232"/>
      <c r="R2145" s="232"/>
      <c r="S2145" s="232"/>
      <c r="T2145" s="232"/>
      <c r="U2145" s="232"/>
      <c r="V2145" s="15"/>
      <c r="W2145" s="15"/>
      <c r="X2145" s="15"/>
      <c r="Y2145" s="15"/>
      <c r="Z2145" s="15"/>
      <c r="AA2145" s="15"/>
    </row>
    <row r="2146" spans="1:27" s="25" customFormat="1" ht="12" customHeight="1" x14ac:dyDescent="0.2">
      <c r="A2146" s="232"/>
      <c r="B2146" s="250"/>
      <c r="C2146" s="286"/>
      <c r="D2146" s="232"/>
      <c r="E2146" s="232"/>
      <c r="F2146" s="232"/>
      <c r="G2146" s="232"/>
      <c r="H2146" s="232"/>
      <c r="I2146" s="232"/>
      <c r="J2146" s="232"/>
      <c r="K2146" s="232"/>
      <c r="L2146" s="232"/>
      <c r="M2146" s="232"/>
      <c r="N2146" s="232"/>
      <c r="O2146" s="232"/>
      <c r="P2146" s="232"/>
      <c r="Q2146" s="232"/>
      <c r="R2146" s="232"/>
      <c r="S2146" s="232"/>
      <c r="T2146" s="232"/>
      <c r="U2146" s="232"/>
      <c r="V2146" s="15"/>
      <c r="W2146" s="15"/>
      <c r="X2146" s="15"/>
      <c r="Y2146" s="15"/>
      <c r="Z2146" s="15"/>
      <c r="AA2146" s="15"/>
    </row>
    <row r="2147" spans="1:27" s="25" customFormat="1" ht="12" customHeight="1" x14ac:dyDescent="0.2">
      <c r="A2147" s="232"/>
      <c r="B2147" s="250"/>
      <c r="C2147" s="286"/>
      <c r="D2147" s="232"/>
      <c r="E2147" s="232"/>
      <c r="F2147" s="232"/>
      <c r="G2147" s="232"/>
      <c r="H2147" s="232"/>
      <c r="I2147" s="232"/>
      <c r="J2147" s="232"/>
      <c r="K2147" s="232"/>
      <c r="L2147" s="232"/>
      <c r="M2147" s="232"/>
      <c r="N2147" s="232"/>
      <c r="O2147" s="232"/>
      <c r="P2147" s="232"/>
      <c r="Q2147" s="232"/>
      <c r="R2147" s="232"/>
      <c r="S2147" s="232"/>
      <c r="T2147" s="232"/>
      <c r="U2147" s="232"/>
      <c r="V2147" s="15"/>
      <c r="W2147" s="15"/>
      <c r="X2147" s="15"/>
      <c r="Y2147" s="15"/>
      <c r="Z2147" s="15"/>
      <c r="AA2147" s="15"/>
    </row>
    <row r="2148" spans="1:27" s="25" customFormat="1" ht="12" customHeight="1" x14ac:dyDescent="0.2">
      <c r="A2148" s="232"/>
      <c r="B2148" s="250"/>
      <c r="C2148" s="286"/>
      <c r="D2148" s="232"/>
      <c r="E2148" s="232"/>
      <c r="F2148" s="232"/>
      <c r="G2148" s="232"/>
      <c r="H2148" s="232"/>
      <c r="I2148" s="232"/>
      <c r="J2148" s="232"/>
      <c r="K2148" s="232"/>
      <c r="L2148" s="232"/>
      <c r="M2148" s="232"/>
      <c r="N2148" s="232"/>
      <c r="O2148" s="232"/>
      <c r="P2148" s="232"/>
      <c r="Q2148" s="232"/>
      <c r="R2148" s="232"/>
      <c r="S2148" s="232"/>
      <c r="T2148" s="232"/>
      <c r="U2148" s="232"/>
      <c r="V2148" s="15"/>
      <c r="W2148" s="15"/>
      <c r="X2148" s="15"/>
      <c r="Y2148" s="15"/>
      <c r="Z2148" s="15"/>
      <c r="AA2148" s="15"/>
    </row>
    <row r="2149" spans="1:27" s="25" customFormat="1" ht="12" customHeight="1" x14ac:dyDescent="0.2">
      <c r="A2149" s="232"/>
      <c r="B2149" s="250"/>
      <c r="C2149" s="286"/>
      <c r="D2149" s="232"/>
      <c r="E2149" s="232"/>
      <c r="F2149" s="232"/>
      <c r="G2149" s="232"/>
      <c r="H2149" s="232"/>
      <c r="I2149" s="232"/>
      <c r="J2149" s="232"/>
      <c r="K2149" s="232"/>
      <c r="L2149" s="232"/>
      <c r="M2149" s="232"/>
      <c r="N2149" s="232"/>
      <c r="O2149" s="232"/>
      <c r="P2149" s="232"/>
      <c r="Q2149" s="232"/>
      <c r="R2149" s="232"/>
      <c r="S2149" s="232"/>
      <c r="T2149" s="232"/>
      <c r="U2149" s="232"/>
      <c r="V2149" s="15"/>
      <c r="W2149" s="15"/>
      <c r="X2149" s="15"/>
      <c r="Y2149" s="15"/>
      <c r="Z2149" s="15"/>
      <c r="AA2149" s="15"/>
    </row>
    <row r="2150" spans="1:27" s="25" customFormat="1" ht="12" customHeight="1" x14ac:dyDescent="0.2">
      <c r="A2150" s="232"/>
      <c r="B2150" s="250"/>
      <c r="C2150" s="286"/>
      <c r="D2150" s="232"/>
      <c r="E2150" s="232"/>
      <c r="F2150" s="232"/>
      <c r="G2150" s="232"/>
      <c r="H2150" s="232"/>
      <c r="I2150" s="232"/>
      <c r="J2150" s="232"/>
      <c r="K2150" s="232"/>
      <c r="L2150" s="232"/>
      <c r="M2150" s="232"/>
      <c r="N2150" s="232"/>
      <c r="O2150" s="232"/>
      <c r="P2150" s="232"/>
      <c r="Q2150" s="232"/>
      <c r="R2150" s="232"/>
      <c r="S2150" s="232"/>
      <c r="T2150" s="232"/>
      <c r="U2150" s="232"/>
      <c r="V2150" s="15"/>
      <c r="W2150" s="15"/>
      <c r="X2150" s="15"/>
      <c r="Y2150" s="15"/>
      <c r="Z2150" s="15"/>
      <c r="AA2150" s="15"/>
    </row>
    <row r="2151" spans="1:27" s="25" customFormat="1" ht="12" customHeight="1" x14ac:dyDescent="0.2">
      <c r="A2151" s="232"/>
      <c r="B2151" s="250"/>
      <c r="C2151" s="286"/>
      <c r="D2151" s="232"/>
      <c r="E2151" s="232"/>
      <c r="F2151" s="232"/>
      <c r="G2151" s="232"/>
      <c r="H2151" s="232"/>
      <c r="I2151" s="232"/>
      <c r="J2151" s="232"/>
      <c r="K2151" s="232"/>
      <c r="L2151" s="232"/>
      <c r="M2151" s="232"/>
      <c r="N2151" s="232"/>
      <c r="O2151" s="232"/>
      <c r="P2151" s="232"/>
      <c r="Q2151" s="232"/>
      <c r="R2151" s="232"/>
      <c r="S2151" s="232"/>
      <c r="T2151" s="232"/>
      <c r="U2151" s="232"/>
      <c r="V2151" s="15"/>
      <c r="W2151" s="15"/>
      <c r="X2151" s="15"/>
      <c r="Y2151" s="15"/>
      <c r="Z2151" s="15"/>
      <c r="AA2151" s="15"/>
    </row>
    <row r="2152" spans="1:27" s="25" customFormat="1" ht="12" customHeight="1" x14ac:dyDescent="0.2">
      <c r="A2152" s="232"/>
      <c r="B2152" s="250"/>
      <c r="C2152" s="286"/>
      <c r="D2152" s="232"/>
      <c r="E2152" s="232"/>
      <c r="F2152" s="232"/>
      <c r="G2152" s="232"/>
      <c r="H2152" s="232"/>
      <c r="I2152" s="232"/>
      <c r="J2152" s="232"/>
      <c r="K2152" s="232"/>
      <c r="L2152" s="232"/>
      <c r="M2152" s="232"/>
      <c r="N2152" s="232"/>
      <c r="O2152" s="232"/>
      <c r="P2152" s="232"/>
      <c r="Q2152" s="232"/>
      <c r="R2152" s="232"/>
      <c r="S2152" s="232"/>
      <c r="T2152" s="232"/>
      <c r="U2152" s="232"/>
      <c r="V2152" s="15"/>
      <c r="W2152" s="15"/>
      <c r="X2152" s="15"/>
      <c r="Y2152" s="15"/>
      <c r="Z2152" s="15"/>
      <c r="AA2152" s="15"/>
    </row>
    <row r="2153" spans="1:27" s="25" customFormat="1" ht="12" customHeight="1" x14ac:dyDescent="0.2">
      <c r="A2153" s="232"/>
      <c r="B2153" s="250"/>
      <c r="C2153" s="286"/>
      <c r="D2153" s="232"/>
      <c r="E2153" s="232"/>
      <c r="F2153" s="232"/>
      <c r="G2153" s="232"/>
      <c r="H2153" s="232"/>
      <c r="I2153" s="232"/>
      <c r="J2153" s="232"/>
      <c r="K2153" s="232"/>
      <c r="L2153" s="232"/>
      <c r="M2153" s="232"/>
      <c r="N2153" s="232"/>
      <c r="O2153" s="232"/>
      <c r="P2153" s="232"/>
      <c r="Q2153" s="232"/>
      <c r="R2153" s="232"/>
      <c r="S2153" s="232"/>
      <c r="T2153" s="232"/>
      <c r="U2153" s="232"/>
      <c r="V2153" s="15"/>
      <c r="W2153" s="15"/>
      <c r="X2153" s="15"/>
      <c r="Y2153" s="15"/>
      <c r="Z2153" s="15"/>
      <c r="AA2153" s="15"/>
    </row>
    <row r="2154" spans="1:27" s="25" customFormat="1" ht="12" customHeight="1" x14ac:dyDescent="0.2">
      <c r="A2154" s="232"/>
      <c r="B2154" s="250"/>
      <c r="C2154" s="286"/>
      <c r="D2154" s="232"/>
      <c r="E2154" s="232"/>
      <c r="F2154" s="232"/>
      <c r="G2154" s="232"/>
      <c r="H2154" s="232"/>
      <c r="I2154" s="232"/>
      <c r="J2154" s="232"/>
      <c r="K2154" s="232"/>
      <c r="L2154" s="232"/>
      <c r="M2154" s="232"/>
      <c r="N2154" s="232"/>
      <c r="O2154" s="232"/>
      <c r="P2154" s="232"/>
      <c r="Q2154" s="232"/>
      <c r="R2154" s="232"/>
      <c r="S2154" s="232"/>
      <c r="T2154" s="232"/>
      <c r="U2154" s="232"/>
      <c r="V2154" s="15"/>
      <c r="W2154" s="15"/>
      <c r="X2154" s="15"/>
      <c r="Y2154" s="15"/>
      <c r="Z2154" s="15"/>
      <c r="AA2154" s="15"/>
    </row>
    <row r="2155" spans="1:27" s="25" customFormat="1" ht="12" customHeight="1" x14ac:dyDescent="0.2">
      <c r="A2155" s="232"/>
      <c r="B2155" s="250"/>
      <c r="C2155" s="286"/>
      <c r="D2155" s="232"/>
      <c r="E2155" s="232"/>
      <c r="F2155" s="232"/>
      <c r="G2155" s="232"/>
      <c r="H2155" s="232"/>
      <c r="I2155" s="232"/>
      <c r="J2155" s="232"/>
      <c r="K2155" s="232"/>
      <c r="L2155" s="232"/>
      <c r="M2155" s="232"/>
      <c r="N2155" s="232"/>
      <c r="O2155" s="232"/>
      <c r="P2155" s="232"/>
      <c r="Q2155" s="232"/>
      <c r="R2155" s="232"/>
      <c r="S2155" s="232"/>
      <c r="T2155" s="232"/>
      <c r="U2155" s="232"/>
      <c r="V2155" s="15"/>
      <c r="W2155" s="15"/>
      <c r="X2155" s="15"/>
      <c r="Y2155" s="15"/>
      <c r="Z2155" s="15"/>
      <c r="AA2155" s="15"/>
    </row>
    <row r="2156" spans="1:27" s="25" customFormat="1" ht="12" customHeight="1" x14ac:dyDescent="0.2">
      <c r="A2156" s="232"/>
      <c r="B2156" s="250"/>
      <c r="C2156" s="286"/>
      <c r="D2156" s="232"/>
      <c r="E2156" s="232"/>
      <c r="F2156" s="232"/>
      <c r="G2156" s="232"/>
      <c r="H2156" s="232"/>
      <c r="I2156" s="232"/>
      <c r="J2156" s="232"/>
      <c r="K2156" s="232"/>
      <c r="L2156" s="232"/>
      <c r="M2156" s="232"/>
      <c r="N2156" s="232"/>
      <c r="O2156" s="232"/>
      <c r="P2156" s="232"/>
      <c r="Q2156" s="232"/>
      <c r="R2156" s="232"/>
      <c r="S2156" s="232"/>
      <c r="T2156" s="232"/>
      <c r="U2156" s="232"/>
      <c r="V2156" s="15"/>
      <c r="W2156" s="15"/>
      <c r="X2156" s="15"/>
      <c r="Y2156" s="15"/>
      <c r="Z2156" s="15"/>
      <c r="AA2156" s="15"/>
    </row>
    <row r="2157" spans="1:27" s="25" customFormat="1" ht="12" customHeight="1" x14ac:dyDescent="0.2">
      <c r="A2157" s="232"/>
      <c r="B2157" s="250"/>
      <c r="C2157" s="286"/>
      <c r="D2157" s="232"/>
      <c r="E2157" s="232"/>
      <c r="F2157" s="232"/>
      <c r="G2157" s="232"/>
      <c r="H2157" s="232"/>
      <c r="I2157" s="232"/>
      <c r="J2157" s="232"/>
      <c r="K2157" s="232"/>
      <c r="L2157" s="232"/>
      <c r="M2157" s="232"/>
      <c r="N2157" s="232"/>
      <c r="O2157" s="232"/>
      <c r="P2157" s="232"/>
      <c r="Q2157" s="232"/>
      <c r="R2157" s="232"/>
      <c r="S2157" s="232"/>
      <c r="T2157" s="232"/>
      <c r="U2157" s="232"/>
      <c r="V2157" s="15"/>
      <c r="W2157" s="15"/>
      <c r="X2157" s="15"/>
      <c r="Y2157" s="15"/>
      <c r="Z2157" s="15"/>
      <c r="AA2157" s="15"/>
    </row>
    <row r="2158" spans="1:27" s="25" customFormat="1" ht="12" customHeight="1" x14ac:dyDescent="0.2">
      <c r="A2158" s="232"/>
      <c r="B2158" s="250"/>
      <c r="C2158" s="286"/>
      <c r="D2158" s="232"/>
      <c r="E2158" s="232"/>
      <c r="F2158" s="232"/>
      <c r="G2158" s="232"/>
      <c r="H2158" s="232"/>
      <c r="I2158" s="232"/>
      <c r="J2158" s="232"/>
      <c r="K2158" s="232"/>
      <c r="L2158" s="232"/>
      <c r="M2158" s="232"/>
      <c r="N2158" s="232"/>
      <c r="O2158" s="232"/>
      <c r="P2158" s="232"/>
      <c r="Q2158" s="232"/>
      <c r="R2158" s="232"/>
      <c r="S2158" s="232"/>
      <c r="T2158" s="232"/>
      <c r="U2158" s="232"/>
      <c r="V2158" s="15"/>
      <c r="W2158" s="15"/>
      <c r="X2158" s="15"/>
      <c r="Y2158" s="15"/>
      <c r="Z2158" s="15"/>
      <c r="AA2158" s="15"/>
    </row>
    <row r="2159" spans="1:27" s="25" customFormat="1" ht="12" customHeight="1" x14ac:dyDescent="0.2">
      <c r="A2159" s="232"/>
      <c r="B2159" s="250"/>
      <c r="C2159" s="286"/>
      <c r="D2159" s="232"/>
      <c r="E2159" s="232"/>
      <c r="F2159" s="232"/>
      <c r="G2159" s="232"/>
      <c r="H2159" s="232"/>
      <c r="I2159" s="232"/>
      <c r="J2159" s="232"/>
      <c r="K2159" s="232"/>
      <c r="L2159" s="232"/>
      <c r="M2159" s="232"/>
      <c r="N2159" s="232"/>
      <c r="O2159" s="232"/>
      <c r="P2159" s="232"/>
      <c r="Q2159" s="232"/>
      <c r="R2159" s="232"/>
      <c r="S2159" s="232"/>
      <c r="T2159" s="232"/>
      <c r="U2159" s="232"/>
      <c r="V2159" s="15"/>
      <c r="W2159" s="15"/>
      <c r="X2159" s="15"/>
      <c r="Y2159" s="15"/>
      <c r="Z2159" s="15"/>
      <c r="AA2159" s="15"/>
    </row>
    <row r="2160" spans="1:27" s="25" customFormat="1" ht="12" customHeight="1" x14ac:dyDescent="0.2">
      <c r="A2160" s="232"/>
      <c r="B2160" s="250"/>
      <c r="C2160" s="286"/>
      <c r="D2160" s="232"/>
      <c r="E2160" s="232"/>
      <c r="F2160" s="232"/>
      <c r="G2160" s="232"/>
      <c r="H2160" s="232"/>
      <c r="I2160" s="232"/>
      <c r="J2160" s="232"/>
      <c r="K2160" s="232"/>
      <c r="L2160" s="232"/>
      <c r="M2160" s="232"/>
      <c r="N2160" s="232"/>
      <c r="O2160" s="232"/>
      <c r="P2160" s="232"/>
      <c r="Q2160" s="232"/>
      <c r="R2160" s="232"/>
      <c r="S2160" s="232"/>
      <c r="T2160" s="232"/>
      <c r="U2160" s="232"/>
      <c r="V2160" s="15"/>
      <c r="W2160" s="15"/>
      <c r="X2160" s="15"/>
      <c r="Y2160" s="15"/>
      <c r="Z2160" s="15"/>
      <c r="AA2160" s="15"/>
    </row>
    <row r="2161" spans="1:27" s="25" customFormat="1" ht="12" customHeight="1" x14ac:dyDescent="0.2">
      <c r="A2161" s="232"/>
      <c r="B2161" s="250"/>
      <c r="C2161" s="286"/>
      <c r="D2161" s="232"/>
      <c r="E2161" s="232"/>
      <c r="F2161" s="232"/>
      <c r="G2161" s="232"/>
      <c r="H2161" s="232"/>
      <c r="I2161" s="232"/>
      <c r="J2161" s="232"/>
      <c r="K2161" s="232"/>
      <c r="L2161" s="232"/>
      <c r="M2161" s="232"/>
      <c r="N2161" s="232"/>
      <c r="O2161" s="232"/>
      <c r="P2161" s="232"/>
      <c r="Q2161" s="232"/>
      <c r="R2161" s="232"/>
      <c r="S2161" s="232"/>
      <c r="T2161" s="232"/>
      <c r="U2161" s="232"/>
      <c r="V2161" s="15"/>
      <c r="W2161" s="15"/>
      <c r="X2161" s="15"/>
      <c r="Y2161" s="15"/>
      <c r="Z2161" s="15"/>
      <c r="AA2161" s="15"/>
    </row>
    <row r="2162" spans="1:27" s="25" customFormat="1" ht="12" customHeight="1" x14ac:dyDescent="0.2">
      <c r="A2162" s="232"/>
      <c r="B2162" s="250"/>
      <c r="C2162" s="286"/>
      <c r="D2162" s="232"/>
      <c r="E2162" s="232"/>
      <c r="F2162" s="232"/>
      <c r="G2162" s="232"/>
      <c r="H2162" s="232"/>
      <c r="I2162" s="232"/>
      <c r="J2162" s="232"/>
      <c r="K2162" s="232"/>
      <c r="L2162" s="232"/>
      <c r="M2162" s="232"/>
      <c r="N2162" s="232"/>
      <c r="O2162" s="232"/>
      <c r="P2162" s="232"/>
      <c r="Q2162" s="232"/>
      <c r="R2162" s="232"/>
      <c r="S2162" s="232"/>
      <c r="T2162" s="232"/>
      <c r="U2162" s="232"/>
      <c r="V2162" s="15"/>
      <c r="W2162" s="15"/>
      <c r="X2162" s="15"/>
      <c r="Y2162" s="15"/>
      <c r="Z2162" s="15"/>
      <c r="AA2162" s="15"/>
    </row>
    <row r="2163" spans="1:27" s="25" customFormat="1" ht="12" customHeight="1" x14ac:dyDescent="0.2">
      <c r="A2163" s="232"/>
      <c r="B2163" s="250"/>
      <c r="C2163" s="286"/>
      <c r="D2163" s="232"/>
      <c r="E2163" s="232"/>
      <c r="F2163" s="232"/>
      <c r="G2163" s="232"/>
      <c r="H2163" s="232"/>
      <c r="I2163" s="232"/>
      <c r="J2163" s="232"/>
      <c r="K2163" s="232"/>
      <c r="L2163" s="232"/>
      <c r="M2163" s="232"/>
      <c r="N2163" s="232"/>
      <c r="O2163" s="232"/>
      <c r="P2163" s="232"/>
      <c r="Q2163" s="232"/>
      <c r="R2163" s="232"/>
      <c r="S2163" s="232"/>
      <c r="T2163" s="232"/>
      <c r="U2163" s="232"/>
      <c r="V2163" s="15"/>
      <c r="W2163" s="15"/>
      <c r="X2163" s="15"/>
      <c r="Y2163" s="15"/>
      <c r="Z2163" s="15"/>
      <c r="AA2163" s="15"/>
    </row>
    <row r="2164" spans="1:27" s="25" customFormat="1" ht="12" customHeight="1" x14ac:dyDescent="0.2">
      <c r="A2164" s="232"/>
      <c r="B2164" s="250"/>
      <c r="C2164" s="286"/>
      <c r="D2164" s="232"/>
      <c r="E2164" s="232"/>
      <c r="F2164" s="232"/>
      <c r="G2164" s="232"/>
      <c r="H2164" s="232"/>
      <c r="I2164" s="232"/>
      <c r="J2164" s="232"/>
      <c r="K2164" s="232"/>
      <c r="L2164" s="232"/>
      <c r="M2164" s="232"/>
      <c r="N2164" s="232"/>
      <c r="O2164" s="232"/>
      <c r="P2164" s="232"/>
      <c r="Q2164" s="232"/>
      <c r="R2164" s="232"/>
      <c r="S2164" s="232"/>
      <c r="T2164" s="232"/>
      <c r="U2164" s="232"/>
      <c r="V2164" s="15"/>
      <c r="W2164" s="15"/>
      <c r="X2164" s="15"/>
      <c r="Y2164" s="15"/>
      <c r="Z2164" s="15"/>
      <c r="AA2164" s="15"/>
    </row>
    <row r="2165" spans="1:27" s="25" customFormat="1" ht="12" customHeight="1" x14ac:dyDescent="0.2">
      <c r="A2165" s="232"/>
      <c r="B2165" s="250"/>
      <c r="C2165" s="286"/>
      <c r="D2165" s="232"/>
      <c r="E2165" s="232"/>
      <c r="F2165" s="232"/>
      <c r="G2165" s="232"/>
      <c r="H2165" s="232"/>
      <c r="I2165" s="232"/>
      <c r="J2165" s="232"/>
      <c r="K2165" s="232"/>
      <c r="L2165" s="232"/>
      <c r="M2165" s="232"/>
      <c r="N2165" s="232"/>
      <c r="O2165" s="232"/>
      <c r="P2165" s="232"/>
      <c r="Q2165" s="232"/>
      <c r="R2165" s="232"/>
      <c r="S2165" s="232"/>
      <c r="T2165" s="232"/>
      <c r="U2165" s="232"/>
      <c r="V2165" s="15"/>
      <c r="W2165" s="15"/>
      <c r="X2165" s="15"/>
      <c r="Y2165" s="15"/>
      <c r="Z2165" s="15"/>
      <c r="AA2165" s="15"/>
    </row>
    <row r="2166" spans="1:27" s="25" customFormat="1" ht="12" customHeight="1" x14ac:dyDescent="0.2">
      <c r="A2166" s="232"/>
      <c r="B2166" s="250"/>
      <c r="C2166" s="286"/>
      <c r="D2166" s="232"/>
      <c r="E2166" s="232"/>
      <c r="F2166" s="232"/>
      <c r="G2166" s="232"/>
      <c r="H2166" s="232"/>
      <c r="I2166" s="232"/>
      <c r="J2166" s="232"/>
      <c r="K2166" s="232"/>
      <c r="L2166" s="232"/>
      <c r="M2166" s="232"/>
      <c r="N2166" s="232"/>
      <c r="O2166" s="232"/>
      <c r="P2166" s="232"/>
      <c r="Q2166" s="232"/>
      <c r="R2166" s="232"/>
      <c r="S2166" s="232"/>
      <c r="T2166" s="232"/>
      <c r="U2166" s="232"/>
      <c r="V2166" s="15"/>
      <c r="W2166" s="15"/>
      <c r="X2166" s="15"/>
      <c r="Y2166" s="15"/>
      <c r="Z2166" s="15"/>
      <c r="AA2166" s="15"/>
    </row>
    <row r="2167" spans="1:27" s="25" customFormat="1" ht="12" customHeight="1" x14ac:dyDescent="0.2">
      <c r="A2167" s="232"/>
      <c r="B2167" s="250"/>
      <c r="C2167" s="286"/>
      <c r="D2167" s="232"/>
      <c r="E2167" s="232"/>
      <c r="F2167" s="232"/>
      <c r="G2167" s="232"/>
      <c r="H2167" s="232"/>
      <c r="I2167" s="232"/>
      <c r="J2167" s="232"/>
      <c r="K2167" s="232"/>
      <c r="L2167" s="232"/>
      <c r="M2167" s="232"/>
      <c r="N2167" s="232"/>
      <c r="O2167" s="232"/>
      <c r="P2167" s="232"/>
      <c r="Q2167" s="232"/>
      <c r="R2167" s="232"/>
      <c r="S2167" s="232"/>
      <c r="T2167" s="232"/>
      <c r="U2167" s="232"/>
      <c r="V2167" s="15"/>
      <c r="W2167" s="15"/>
      <c r="X2167" s="15"/>
      <c r="Y2167" s="15"/>
      <c r="Z2167" s="15"/>
      <c r="AA2167" s="15"/>
    </row>
    <row r="2168" spans="1:27" s="25" customFormat="1" ht="12" customHeight="1" x14ac:dyDescent="0.2">
      <c r="A2168" s="232"/>
      <c r="B2168" s="250"/>
      <c r="C2168" s="286"/>
      <c r="D2168" s="232"/>
      <c r="E2168" s="232"/>
      <c r="F2168" s="232"/>
      <c r="G2168" s="232"/>
      <c r="H2168" s="232"/>
      <c r="I2168" s="232"/>
      <c r="J2168" s="232"/>
      <c r="K2168" s="232"/>
      <c r="L2168" s="232"/>
      <c r="M2168" s="232"/>
      <c r="N2168" s="232"/>
      <c r="O2168" s="232"/>
      <c r="P2168" s="232"/>
      <c r="Q2168" s="232"/>
      <c r="R2168" s="232"/>
      <c r="S2168" s="232"/>
      <c r="T2168" s="232"/>
      <c r="U2168" s="232"/>
      <c r="V2168" s="15"/>
      <c r="W2168" s="15"/>
      <c r="X2168" s="15"/>
      <c r="Y2168" s="15"/>
      <c r="Z2168" s="15"/>
      <c r="AA2168" s="15"/>
    </row>
    <row r="2169" spans="1:27" s="25" customFormat="1" ht="12" customHeight="1" x14ac:dyDescent="0.2">
      <c r="A2169" s="232"/>
      <c r="B2169" s="250"/>
      <c r="C2169" s="286"/>
      <c r="D2169" s="232"/>
      <c r="E2169" s="232"/>
      <c r="F2169" s="232"/>
      <c r="G2169" s="232"/>
      <c r="H2169" s="232"/>
      <c r="I2169" s="232"/>
      <c r="J2169" s="232"/>
      <c r="K2169" s="232"/>
      <c r="L2169" s="232"/>
      <c r="M2169" s="232"/>
      <c r="N2169" s="232"/>
      <c r="O2169" s="232"/>
      <c r="P2169" s="232"/>
      <c r="Q2169" s="232"/>
      <c r="R2169" s="232"/>
      <c r="S2169" s="232"/>
      <c r="T2169" s="232"/>
      <c r="U2169" s="232"/>
      <c r="V2169" s="15"/>
      <c r="W2169" s="15"/>
      <c r="X2169" s="15"/>
      <c r="Y2169" s="15"/>
      <c r="Z2169" s="15"/>
      <c r="AA2169" s="15"/>
    </row>
    <row r="2170" spans="1:27" s="25" customFormat="1" ht="12" customHeight="1" x14ac:dyDescent="0.2">
      <c r="A2170" s="232"/>
      <c r="B2170" s="250"/>
      <c r="C2170" s="286"/>
      <c r="D2170" s="232"/>
      <c r="E2170" s="232"/>
      <c r="F2170" s="232"/>
      <c r="G2170" s="232"/>
      <c r="H2170" s="232"/>
      <c r="I2170" s="232"/>
      <c r="J2170" s="232"/>
      <c r="K2170" s="232"/>
      <c r="L2170" s="232"/>
      <c r="M2170" s="232"/>
      <c r="N2170" s="232"/>
      <c r="O2170" s="232"/>
      <c r="P2170" s="232"/>
      <c r="Q2170" s="232"/>
      <c r="R2170" s="232"/>
      <c r="S2170" s="232"/>
      <c r="T2170" s="232"/>
      <c r="U2170" s="232"/>
      <c r="V2170" s="15"/>
      <c r="W2170" s="15"/>
      <c r="X2170" s="15"/>
      <c r="Y2170" s="15"/>
      <c r="Z2170" s="15"/>
      <c r="AA2170" s="15"/>
    </row>
    <row r="2171" spans="1:27" s="25" customFormat="1" ht="12" customHeight="1" x14ac:dyDescent="0.2">
      <c r="A2171" s="232"/>
      <c r="B2171" s="250"/>
      <c r="C2171" s="286"/>
      <c r="D2171" s="232"/>
      <c r="E2171" s="232"/>
      <c r="F2171" s="232"/>
      <c r="G2171" s="232"/>
      <c r="H2171" s="232"/>
      <c r="I2171" s="232"/>
      <c r="J2171" s="232"/>
      <c r="K2171" s="232"/>
      <c r="L2171" s="232"/>
      <c r="M2171" s="232"/>
      <c r="N2171" s="232"/>
      <c r="O2171" s="232"/>
      <c r="P2171" s="232"/>
      <c r="Q2171" s="232"/>
      <c r="R2171" s="232"/>
      <c r="S2171" s="232"/>
      <c r="T2171" s="232"/>
      <c r="U2171" s="232"/>
      <c r="V2171" s="15"/>
      <c r="W2171" s="15"/>
      <c r="X2171" s="15"/>
      <c r="Y2171" s="15"/>
      <c r="Z2171" s="15"/>
      <c r="AA2171" s="15"/>
    </row>
    <row r="2172" spans="1:27" s="25" customFormat="1" ht="12" customHeight="1" x14ac:dyDescent="0.2">
      <c r="A2172" s="232"/>
      <c r="B2172" s="250"/>
      <c r="C2172" s="286"/>
      <c r="D2172" s="232"/>
      <c r="E2172" s="232"/>
      <c r="F2172" s="232"/>
      <c r="G2172" s="232"/>
      <c r="H2172" s="232"/>
      <c r="I2172" s="232"/>
      <c r="J2172" s="232"/>
      <c r="K2172" s="232"/>
      <c r="L2172" s="232"/>
      <c r="M2172" s="232"/>
      <c r="N2172" s="232"/>
      <c r="O2172" s="232"/>
      <c r="P2172" s="232"/>
      <c r="Q2172" s="232"/>
      <c r="R2172" s="232"/>
      <c r="S2172" s="232"/>
      <c r="T2172" s="232"/>
      <c r="U2172" s="232"/>
      <c r="V2172" s="15"/>
      <c r="W2172" s="15"/>
      <c r="X2172" s="15"/>
      <c r="Y2172" s="15"/>
      <c r="Z2172" s="15"/>
      <c r="AA2172" s="15"/>
    </row>
    <row r="2173" spans="1:27" s="25" customFormat="1" ht="12" customHeight="1" x14ac:dyDescent="0.2">
      <c r="A2173" s="232"/>
      <c r="B2173" s="250"/>
      <c r="C2173" s="286"/>
      <c r="D2173" s="232"/>
      <c r="E2173" s="232"/>
      <c r="F2173" s="232"/>
      <c r="G2173" s="232"/>
      <c r="H2173" s="232"/>
      <c r="I2173" s="232"/>
      <c r="J2173" s="232"/>
      <c r="K2173" s="232"/>
      <c r="L2173" s="232"/>
      <c r="M2173" s="232"/>
      <c r="N2173" s="232"/>
      <c r="O2173" s="232"/>
      <c r="P2173" s="232"/>
      <c r="Q2173" s="232"/>
      <c r="R2173" s="232"/>
      <c r="S2173" s="232"/>
      <c r="T2173" s="232"/>
      <c r="U2173" s="232"/>
      <c r="V2173" s="15"/>
      <c r="W2173" s="15"/>
      <c r="X2173" s="15"/>
      <c r="Y2173" s="15"/>
      <c r="Z2173" s="15"/>
      <c r="AA2173" s="15"/>
    </row>
    <row r="2174" spans="1:27" s="25" customFormat="1" ht="12" customHeight="1" x14ac:dyDescent="0.2">
      <c r="A2174" s="232"/>
      <c r="B2174" s="250"/>
      <c r="C2174" s="286"/>
      <c r="D2174" s="232"/>
      <c r="E2174" s="232"/>
      <c r="F2174" s="232"/>
      <c r="G2174" s="232"/>
      <c r="H2174" s="232"/>
      <c r="I2174" s="232"/>
      <c r="J2174" s="232"/>
      <c r="K2174" s="232"/>
      <c r="L2174" s="232"/>
      <c r="M2174" s="232"/>
      <c r="N2174" s="232"/>
      <c r="O2174" s="232"/>
      <c r="P2174" s="232"/>
      <c r="Q2174" s="232"/>
      <c r="R2174" s="232"/>
      <c r="S2174" s="232"/>
      <c r="T2174" s="232"/>
      <c r="U2174" s="232"/>
      <c r="V2174" s="15"/>
      <c r="W2174" s="15"/>
      <c r="X2174" s="15"/>
      <c r="Y2174" s="15"/>
      <c r="Z2174" s="15"/>
      <c r="AA2174" s="15"/>
    </row>
    <row r="2175" spans="1:27" s="25" customFormat="1" ht="12" customHeight="1" x14ac:dyDescent="0.2">
      <c r="A2175" s="232"/>
      <c r="B2175" s="250"/>
      <c r="C2175" s="286"/>
      <c r="D2175" s="232"/>
      <c r="E2175" s="232"/>
      <c r="F2175" s="232"/>
      <c r="G2175" s="232"/>
      <c r="H2175" s="232"/>
      <c r="I2175" s="232"/>
      <c r="J2175" s="232"/>
      <c r="K2175" s="232"/>
      <c r="L2175" s="232"/>
      <c r="M2175" s="232"/>
      <c r="N2175" s="232"/>
      <c r="O2175" s="232"/>
      <c r="P2175" s="232"/>
      <c r="Q2175" s="232"/>
      <c r="R2175" s="232"/>
      <c r="S2175" s="232"/>
      <c r="T2175" s="232"/>
      <c r="U2175" s="232"/>
      <c r="V2175" s="15"/>
      <c r="W2175" s="15"/>
      <c r="X2175" s="15"/>
      <c r="Y2175" s="15"/>
      <c r="Z2175" s="15"/>
      <c r="AA2175" s="15"/>
    </row>
    <row r="2176" spans="1:27" s="25" customFormat="1" ht="12" customHeight="1" x14ac:dyDescent="0.2">
      <c r="A2176" s="232"/>
      <c r="B2176" s="250"/>
      <c r="C2176" s="286"/>
      <c r="D2176" s="232"/>
      <c r="E2176" s="232"/>
      <c r="F2176" s="232"/>
      <c r="G2176" s="232"/>
      <c r="H2176" s="232"/>
      <c r="I2176" s="232"/>
      <c r="J2176" s="232"/>
      <c r="K2176" s="232"/>
      <c r="L2176" s="232"/>
      <c r="M2176" s="232"/>
      <c r="N2176" s="232"/>
      <c r="O2176" s="232"/>
      <c r="P2176" s="232"/>
      <c r="Q2176" s="232"/>
      <c r="R2176" s="232"/>
      <c r="S2176" s="232"/>
      <c r="T2176" s="232"/>
      <c r="U2176" s="232"/>
      <c r="V2176" s="15"/>
      <c r="W2176" s="15"/>
      <c r="X2176" s="15"/>
      <c r="Y2176" s="15"/>
      <c r="Z2176" s="15"/>
      <c r="AA2176" s="15"/>
    </row>
    <row r="2177" spans="1:27" s="25" customFormat="1" ht="12" customHeight="1" x14ac:dyDescent="0.2">
      <c r="A2177" s="232"/>
      <c r="B2177" s="250"/>
      <c r="C2177" s="286"/>
      <c r="D2177" s="232"/>
      <c r="E2177" s="232"/>
      <c r="F2177" s="232"/>
      <c r="G2177" s="232"/>
      <c r="H2177" s="232"/>
      <c r="I2177" s="232"/>
      <c r="J2177" s="232"/>
      <c r="K2177" s="232"/>
      <c r="L2177" s="232"/>
      <c r="M2177" s="232"/>
      <c r="N2177" s="232"/>
      <c r="O2177" s="232"/>
      <c r="P2177" s="232"/>
      <c r="Q2177" s="232"/>
      <c r="R2177" s="232"/>
      <c r="S2177" s="232"/>
      <c r="T2177" s="232"/>
      <c r="U2177" s="232"/>
      <c r="V2177" s="15"/>
      <c r="W2177" s="15"/>
      <c r="X2177" s="15"/>
      <c r="Y2177" s="15"/>
      <c r="Z2177" s="15"/>
      <c r="AA2177" s="15"/>
    </row>
    <row r="2178" spans="1:27" s="25" customFormat="1" ht="12" customHeight="1" x14ac:dyDescent="0.2">
      <c r="A2178" s="232"/>
      <c r="B2178" s="250"/>
      <c r="C2178" s="286"/>
      <c r="D2178" s="232"/>
      <c r="E2178" s="232"/>
      <c r="F2178" s="232"/>
      <c r="G2178" s="232"/>
      <c r="H2178" s="232"/>
      <c r="I2178" s="232"/>
      <c r="J2178" s="232"/>
      <c r="K2178" s="232"/>
      <c r="L2178" s="232"/>
      <c r="M2178" s="232"/>
      <c r="N2178" s="232"/>
      <c r="O2178" s="232"/>
      <c r="P2178" s="232"/>
      <c r="Q2178" s="232"/>
      <c r="R2178" s="232"/>
      <c r="S2178" s="232"/>
      <c r="T2178" s="232"/>
      <c r="U2178" s="232"/>
      <c r="V2178" s="15"/>
      <c r="W2178" s="15"/>
      <c r="X2178" s="15"/>
      <c r="Y2178" s="15"/>
      <c r="Z2178" s="15"/>
      <c r="AA2178" s="15"/>
    </row>
    <row r="2179" spans="1:27" s="25" customFormat="1" ht="12" customHeight="1" x14ac:dyDescent="0.2">
      <c r="A2179" s="232"/>
      <c r="B2179" s="250"/>
      <c r="C2179" s="286"/>
      <c r="D2179" s="232"/>
      <c r="E2179" s="232"/>
      <c r="F2179" s="232"/>
      <c r="G2179" s="232"/>
      <c r="H2179" s="232"/>
      <c r="I2179" s="232"/>
      <c r="J2179" s="232"/>
      <c r="K2179" s="232"/>
      <c r="L2179" s="232"/>
      <c r="M2179" s="232"/>
      <c r="N2179" s="232"/>
      <c r="O2179" s="232"/>
      <c r="P2179" s="232"/>
      <c r="Q2179" s="232"/>
      <c r="R2179" s="232"/>
      <c r="S2179" s="232"/>
      <c r="T2179" s="232"/>
      <c r="U2179" s="232"/>
      <c r="V2179" s="15"/>
      <c r="W2179" s="15"/>
      <c r="X2179" s="15"/>
      <c r="Y2179" s="15"/>
      <c r="Z2179" s="15"/>
      <c r="AA2179" s="15"/>
    </row>
    <row r="2180" spans="1:27" s="25" customFormat="1" ht="12" customHeight="1" x14ac:dyDescent="0.2">
      <c r="A2180" s="232"/>
      <c r="B2180" s="250"/>
      <c r="C2180" s="286"/>
      <c r="D2180" s="232"/>
      <c r="E2180" s="232"/>
      <c r="F2180" s="232"/>
      <c r="G2180" s="232"/>
      <c r="H2180" s="232"/>
      <c r="I2180" s="232"/>
      <c r="J2180" s="232"/>
      <c r="K2180" s="232"/>
      <c r="L2180" s="232"/>
      <c r="M2180" s="232"/>
      <c r="N2180" s="232"/>
      <c r="O2180" s="232"/>
      <c r="P2180" s="232"/>
      <c r="Q2180" s="232"/>
      <c r="R2180" s="232"/>
      <c r="S2180" s="232"/>
      <c r="T2180" s="232"/>
      <c r="U2180" s="232"/>
      <c r="V2180" s="15"/>
      <c r="W2180" s="15"/>
      <c r="X2180" s="15"/>
      <c r="Y2180" s="15"/>
      <c r="Z2180" s="15"/>
      <c r="AA2180" s="15"/>
    </row>
    <row r="2181" spans="1:27" s="25" customFormat="1" ht="12" customHeight="1" x14ac:dyDescent="0.2">
      <c r="A2181" s="232"/>
      <c r="B2181" s="250"/>
      <c r="C2181" s="286"/>
      <c r="D2181" s="232"/>
      <c r="E2181" s="232"/>
      <c r="F2181" s="232"/>
      <c r="G2181" s="232"/>
      <c r="H2181" s="232"/>
      <c r="I2181" s="232"/>
      <c r="J2181" s="232"/>
      <c r="K2181" s="232"/>
      <c r="L2181" s="232"/>
      <c r="M2181" s="232"/>
      <c r="N2181" s="232"/>
      <c r="O2181" s="232"/>
      <c r="P2181" s="232"/>
      <c r="Q2181" s="232"/>
      <c r="R2181" s="232"/>
      <c r="S2181" s="232"/>
      <c r="T2181" s="232"/>
      <c r="U2181" s="232"/>
      <c r="V2181" s="15"/>
      <c r="W2181" s="15"/>
      <c r="X2181" s="15"/>
      <c r="Y2181" s="15"/>
      <c r="Z2181" s="15"/>
      <c r="AA2181" s="15"/>
    </row>
    <row r="2182" spans="1:27" s="25" customFormat="1" ht="12" customHeight="1" x14ac:dyDescent="0.2">
      <c r="A2182" s="232"/>
      <c r="B2182" s="250"/>
      <c r="C2182" s="286"/>
      <c r="D2182" s="232"/>
      <c r="E2182" s="232"/>
      <c r="F2182" s="232"/>
      <c r="G2182" s="232"/>
      <c r="H2182" s="232"/>
      <c r="I2182" s="232"/>
      <c r="J2182" s="232"/>
      <c r="K2182" s="232"/>
      <c r="L2182" s="232"/>
      <c r="M2182" s="232"/>
      <c r="N2182" s="232"/>
      <c r="O2182" s="232"/>
      <c r="P2182" s="232"/>
      <c r="Q2182" s="232"/>
      <c r="R2182" s="232"/>
      <c r="S2182" s="232"/>
      <c r="T2182" s="232"/>
      <c r="U2182" s="232"/>
      <c r="V2182" s="15"/>
      <c r="W2182" s="15"/>
      <c r="X2182" s="15"/>
      <c r="Y2182" s="15"/>
      <c r="Z2182" s="15"/>
      <c r="AA2182" s="15"/>
    </row>
    <row r="2183" spans="1:27" s="25" customFormat="1" ht="12" customHeight="1" x14ac:dyDescent="0.2">
      <c r="A2183" s="232"/>
      <c r="B2183" s="250"/>
      <c r="C2183" s="286"/>
      <c r="D2183" s="232"/>
      <c r="E2183" s="232"/>
      <c r="F2183" s="232"/>
      <c r="G2183" s="232"/>
      <c r="H2183" s="232"/>
      <c r="I2183" s="232"/>
      <c r="J2183" s="232"/>
      <c r="K2183" s="232"/>
      <c r="L2183" s="232"/>
      <c r="M2183" s="232"/>
      <c r="N2183" s="232"/>
      <c r="O2183" s="232"/>
      <c r="P2183" s="232"/>
      <c r="Q2183" s="232"/>
      <c r="R2183" s="232"/>
      <c r="S2183" s="232"/>
      <c r="T2183" s="232"/>
      <c r="U2183" s="232"/>
      <c r="V2183" s="15"/>
      <c r="W2183" s="15"/>
      <c r="X2183" s="15"/>
      <c r="Y2183" s="15"/>
      <c r="Z2183" s="15"/>
      <c r="AA2183" s="15"/>
    </row>
    <row r="2184" spans="1:27" s="25" customFormat="1" ht="12" customHeight="1" x14ac:dyDescent="0.2">
      <c r="A2184" s="232"/>
      <c r="B2184" s="250"/>
      <c r="C2184" s="286"/>
      <c r="D2184" s="232"/>
      <c r="E2184" s="232"/>
      <c r="F2184" s="232"/>
      <c r="G2184" s="232"/>
      <c r="H2184" s="232"/>
      <c r="I2184" s="232"/>
      <c r="J2184" s="232"/>
      <c r="K2184" s="232"/>
      <c r="L2184" s="232"/>
      <c r="M2184" s="232"/>
      <c r="N2184" s="232"/>
      <c r="O2184" s="232"/>
      <c r="P2184" s="232"/>
      <c r="Q2184" s="232"/>
      <c r="R2184" s="232"/>
      <c r="S2184" s="232"/>
      <c r="T2184" s="232"/>
      <c r="U2184" s="232"/>
      <c r="V2184" s="15"/>
      <c r="W2184" s="15"/>
      <c r="X2184" s="15"/>
      <c r="Y2184" s="15"/>
      <c r="Z2184" s="15"/>
      <c r="AA2184" s="15"/>
    </row>
    <row r="2185" spans="1:27" s="25" customFormat="1" ht="12" customHeight="1" x14ac:dyDescent="0.2">
      <c r="A2185" s="232"/>
      <c r="B2185" s="250"/>
      <c r="C2185" s="286"/>
      <c r="D2185" s="232"/>
      <c r="E2185" s="232"/>
      <c r="F2185" s="232"/>
      <c r="G2185" s="232"/>
      <c r="H2185" s="232"/>
      <c r="I2185" s="232"/>
      <c r="J2185" s="232"/>
      <c r="K2185" s="232"/>
      <c r="L2185" s="232"/>
      <c r="M2185" s="232"/>
      <c r="N2185" s="232"/>
      <c r="O2185" s="232"/>
      <c r="P2185" s="232"/>
      <c r="Q2185" s="232"/>
      <c r="R2185" s="232"/>
      <c r="S2185" s="232"/>
      <c r="T2185" s="232"/>
      <c r="U2185" s="232"/>
      <c r="V2185" s="15"/>
      <c r="W2185" s="15"/>
      <c r="X2185" s="15"/>
      <c r="Y2185" s="15"/>
      <c r="Z2185" s="15"/>
      <c r="AA2185" s="15"/>
    </row>
    <row r="2186" spans="1:27" s="25" customFormat="1" ht="12" customHeight="1" x14ac:dyDescent="0.2">
      <c r="A2186" s="232"/>
      <c r="B2186" s="250"/>
      <c r="C2186" s="286"/>
      <c r="D2186" s="232"/>
      <c r="E2186" s="232"/>
      <c r="F2186" s="232"/>
      <c r="G2186" s="232"/>
      <c r="H2186" s="232"/>
      <c r="I2186" s="232"/>
      <c r="J2186" s="232"/>
      <c r="K2186" s="232"/>
      <c r="L2186" s="232"/>
      <c r="M2186" s="232"/>
      <c r="N2186" s="232"/>
      <c r="O2186" s="232"/>
      <c r="P2186" s="232"/>
      <c r="Q2186" s="232"/>
      <c r="R2186" s="232"/>
      <c r="S2186" s="232"/>
      <c r="T2186" s="232"/>
      <c r="U2186" s="232"/>
      <c r="V2186" s="15"/>
      <c r="W2186" s="15"/>
      <c r="X2186" s="15"/>
      <c r="Y2186" s="15"/>
      <c r="Z2186" s="15"/>
      <c r="AA2186" s="15"/>
    </row>
    <row r="2187" spans="1:27" s="25" customFormat="1" ht="12" customHeight="1" x14ac:dyDescent="0.2">
      <c r="A2187" s="232"/>
      <c r="B2187" s="250"/>
      <c r="C2187" s="286"/>
      <c r="D2187" s="232"/>
      <c r="E2187" s="232"/>
      <c r="F2187" s="232"/>
      <c r="G2187" s="232"/>
      <c r="H2187" s="232"/>
      <c r="I2187" s="232"/>
      <c r="J2187" s="232"/>
      <c r="K2187" s="232"/>
      <c r="L2187" s="232"/>
      <c r="M2187" s="232"/>
      <c r="N2187" s="232"/>
      <c r="O2187" s="232"/>
      <c r="P2187" s="232"/>
      <c r="Q2187" s="232"/>
      <c r="R2187" s="232"/>
      <c r="S2187" s="232"/>
      <c r="T2187" s="232"/>
      <c r="U2187" s="232"/>
      <c r="V2187" s="15"/>
      <c r="W2187" s="15"/>
      <c r="X2187" s="15"/>
      <c r="Y2187" s="15"/>
      <c r="Z2187" s="15"/>
      <c r="AA2187" s="15"/>
    </row>
    <row r="2188" spans="1:27" s="25" customFormat="1" ht="12" customHeight="1" x14ac:dyDescent="0.2">
      <c r="A2188" s="232"/>
      <c r="B2188" s="250"/>
      <c r="C2188" s="286"/>
      <c r="D2188" s="232"/>
      <c r="E2188" s="232"/>
      <c r="F2188" s="232"/>
      <c r="G2188" s="232"/>
      <c r="H2188" s="232"/>
      <c r="I2188" s="232"/>
      <c r="J2188" s="232"/>
      <c r="K2188" s="232"/>
      <c r="L2188" s="232"/>
      <c r="M2188" s="232"/>
      <c r="N2188" s="232"/>
      <c r="O2188" s="232"/>
      <c r="P2188" s="232"/>
      <c r="Q2188" s="232"/>
      <c r="R2188" s="232"/>
      <c r="S2188" s="232"/>
      <c r="T2188" s="232"/>
      <c r="U2188" s="232"/>
      <c r="V2188" s="15"/>
      <c r="W2188" s="15"/>
      <c r="X2188" s="15"/>
      <c r="Y2188" s="15"/>
      <c r="Z2188" s="15"/>
      <c r="AA2188" s="15"/>
    </row>
    <row r="2189" spans="1:27" s="25" customFormat="1" ht="12" customHeight="1" x14ac:dyDescent="0.2">
      <c r="A2189" s="232"/>
      <c r="B2189" s="250"/>
      <c r="C2189" s="286"/>
      <c r="D2189" s="232"/>
      <c r="E2189" s="232"/>
      <c r="F2189" s="232"/>
      <c r="G2189" s="232"/>
      <c r="H2189" s="232"/>
      <c r="I2189" s="232"/>
      <c r="J2189" s="232"/>
      <c r="K2189" s="232"/>
      <c r="L2189" s="232"/>
      <c r="M2189" s="232"/>
      <c r="N2189" s="232"/>
      <c r="O2189" s="232"/>
      <c r="P2189" s="232"/>
      <c r="Q2189" s="232"/>
      <c r="R2189" s="232"/>
      <c r="S2189" s="232"/>
      <c r="T2189" s="232"/>
      <c r="U2189" s="232"/>
      <c r="V2189" s="15"/>
      <c r="W2189" s="15"/>
      <c r="X2189" s="15"/>
      <c r="Y2189" s="15"/>
      <c r="Z2189" s="15"/>
      <c r="AA2189" s="15"/>
    </row>
    <row r="2190" spans="1:27" s="25" customFormat="1" ht="12" customHeight="1" x14ac:dyDescent="0.2">
      <c r="A2190" s="232"/>
      <c r="B2190" s="250"/>
      <c r="C2190" s="286"/>
      <c r="D2190" s="232"/>
      <c r="E2190" s="232"/>
      <c r="F2190" s="232"/>
      <c r="G2190" s="232"/>
      <c r="H2190" s="232"/>
      <c r="I2190" s="232"/>
      <c r="J2190" s="232"/>
      <c r="K2190" s="232"/>
      <c r="L2190" s="232"/>
      <c r="M2190" s="232"/>
      <c r="N2190" s="232"/>
      <c r="O2190" s="232"/>
      <c r="P2190" s="232"/>
      <c r="Q2190" s="232"/>
      <c r="R2190" s="232"/>
      <c r="S2190" s="232"/>
      <c r="T2190" s="232"/>
      <c r="U2190" s="232"/>
      <c r="V2190" s="15"/>
      <c r="W2190" s="15"/>
      <c r="X2190" s="15"/>
      <c r="Y2190" s="15"/>
      <c r="Z2190" s="15"/>
      <c r="AA2190" s="15"/>
    </row>
    <row r="2191" spans="1:27" s="25" customFormat="1" ht="12" customHeight="1" x14ac:dyDescent="0.2">
      <c r="A2191" s="232"/>
      <c r="B2191" s="250"/>
      <c r="C2191" s="286"/>
      <c r="D2191" s="232"/>
      <c r="E2191" s="232"/>
      <c r="F2191" s="232"/>
      <c r="G2191" s="232"/>
      <c r="H2191" s="232"/>
      <c r="I2191" s="232"/>
      <c r="J2191" s="232"/>
      <c r="K2191" s="232"/>
      <c r="L2191" s="232"/>
      <c r="M2191" s="232"/>
      <c r="N2191" s="232"/>
      <c r="O2191" s="232"/>
      <c r="P2191" s="232"/>
      <c r="Q2191" s="232"/>
      <c r="R2191" s="232"/>
      <c r="S2191" s="232"/>
      <c r="T2191" s="232"/>
      <c r="U2191" s="232"/>
      <c r="V2191" s="15"/>
      <c r="W2191" s="15"/>
      <c r="X2191" s="15"/>
      <c r="Y2191" s="15"/>
      <c r="Z2191" s="15"/>
      <c r="AA2191" s="15"/>
    </row>
    <row r="2192" spans="1:27" s="25" customFormat="1" ht="12" customHeight="1" x14ac:dyDescent="0.2">
      <c r="A2192" s="232"/>
      <c r="B2192" s="250"/>
      <c r="C2192" s="286"/>
      <c r="D2192" s="232"/>
      <c r="E2192" s="232"/>
      <c r="F2192" s="232"/>
      <c r="G2192" s="232"/>
      <c r="H2192" s="232"/>
      <c r="I2192" s="232"/>
      <c r="J2192" s="232"/>
      <c r="K2192" s="232"/>
      <c r="L2192" s="232"/>
      <c r="M2192" s="232"/>
      <c r="N2192" s="232"/>
      <c r="O2192" s="232"/>
      <c r="P2192" s="232"/>
      <c r="Q2192" s="232"/>
      <c r="R2192" s="232"/>
      <c r="S2192" s="232"/>
      <c r="T2192" s="232"/>
      <c r="U2192" s="232"/>
      <c r="V2192" s="15"/>
      <c r="W2192" s="15"/>
      <c r="X2192" s="15"/>
      <c r="Y2192" s="15"/>
      <c r="Z2192" s="15"/>
      <c r="AA2192" s="15"/>
    </row>
    <row r="2193" spans="1:27" s="25" customFormat="1" ht="12" customHeight="1" x14ac:dyDescent="0.2">
      <c r="A2193" s="232"/>
      <c r="B2193" s="250"/>
      <c r="C2193" s="286"/>
      <c r="D2193" s="232"/>
      <c r="E2193" s="232"/>
      <c r="F2193" s="232"/>
      <c r="G2193" s="232"/>
      <c r="H2193" s="232"/>
      <c r="I2193" s="232"/>
      <c r="J2193" s="232"/>
      <c r="K2193" s="232"/>
      <c r="L2193" s="232"/>
      <c r="M2193" s="232"/>
      <c r="N2193" s="232"/>
      <c r="O2193" s="232"/>
      <c r="P2193" s="232"/>
      <c r="Q2193" s="232"/>
      <c r="R2193" s="232"/>
      <c r="S2193" s="232"/>
      <c r="T2193" s="232"/>
      <c r="U2193" s="232"/>
      <c r="V2193" s="15"/>
      <c r="W2193" s="15"/>
      <c r="X2193" s="15"/>
      <c r="Y2193" s="15"/>
      <c r="Z2193" s="15"/>
      <c r="AA2193" s="15"/>
    </row>
    <row r="2194" spans="1:27" s="25" customFormat="1" ht="12" customHeight="1" x14ac:dyDescent="0.2">
      <c r="A2194" s="232"/>
      <c r="B2194" s="250"/>
      <c r="C2194" s="286"/>
      <c r="D2194" s="232"/>
      <c r="E2194" s="232"/>
      <c r="F2194" s="232"/>
      <c r="G2194" s="232"/>
      <c r="H2194" s="232"/>
      <c r="I2194" s="232"/>
      <c r="J2194" s="232"/>
      <c r="K2194" s="232"/>
      <c r="L2194" s="232"/>
      <c r="M2194" s="232"/>
      <c r="N2194" s="232"/>
      <c r="O2194" s="232"/>
      <c r="P2194" s="232"/>
      <c r="Q2194" s="232"/>
      <c r="R2194" s="232"/>
      <c r="S2194" s="232"/>
      <c r="T2194" s="232"/>
      <c r="U2194" s="232"/>
      <c r="V2194" s="15"/>
      <c r="W2194" s="15"/>
      <c r="X2194" s="15"/>
      <c r="Y2194" s="15"/>
      <c r="Z2194" s="15"/>
      <c r="AA2194" s="15"/>
    </row>
    <row r="2195" spans="1:27" s="25" customFormat="1" ht="12" customHeight="1" x14ac:dyDescent="0.2">
      <c r="A2195" s="232"/>
      <c r="B2195" s="250"/>
      <c r="C2195" s="286"/>
      <c r="D2195" s="232"/>
      <c r="E2195" s="232"/>
      <c r="F2195" s="232"/>
      <c r="G2195" s="232"/>
      <c r="H2195" s="232"/>
      <c r="I2195" s="232"/>
      <c r="J2195" s="232"/>
      <c r="K2195" s="232"/>
      <c r="L2195" s="232"/>
      <c r="M2195" s="232"/>
      <c r="N2195" s="232"/>
      <c r="O2195" s="232"/>
      <c r="P2195" s="232"/>
      <c r="Q2195" s="232"/>
      <c r="R2195" s="232"/>
      <c r="S2195" s="232"/>
      <c r="T2195" s="232"/>
      <c r="U2195" s="232"/>
      <c r="V2195" s="15"/>
      <c r="W2195" s="15"/>
      <c r="X2195" s="15"/>
      <c r="Y2195" s="15"/>
      <c r="Z2195" s="15"/>
      <c r="AA2195" s="15"/>
    </row>
    <row r="2196" spans="1:27" s="25" customFormat="1" ht="12" customHeight="1" x14ac:dyDescent="0.2">
      <c r="A2196" s="232"/>
      <c r="B2196" s="250"/>
      <c r="C2196" s="286"/>
      <c r="D2196" s="232"/>
      <c r="E2196" s="232"/>
      <c r="F2196" s="232"/>
      <c r="G2196" s="232"/>
      <c r="H2196" s="232"/>
      <c r="I2196" s="232"/>
      <c r="J2196" s="232"/>
      <c r="K2196" s="232"/>
      <c r="L2196" s="232"/>
      <c r="M2196" s="232"/>
      <c r="N2196" s="232"/>
      <c r="O2196" s="232"/>
      <c r="P2196" s="232"/>
      <c r="Q2196" s="232"/>
      <c r="R2196" s="232"/>
      <c r="S2196" s="232"/>
      <c r="T2196" s="232"/>
      <c r="U2196" s="232"/>
      <c r="V2196" s="15"/>
      <c r="W2196" s="15"/>
      <c r="X2196" s="15"/>
      <c r="Y2196" s="15"/>
      <c r="Z2196" s="15"/>
      <c r="AA2196" s="15"/>
    </row>
    <row r="2197" spans="1:27" s="25" customFormat="1" ht="12" customHeight="1" x14ac:dyDescent="0.2">
      <c r="A2197" s="232"/>
      <c r="B2197" s="250"/>
      <c r="C2197" s="286"/>
      <c r="D2197" s="232"/>
      <c r="E2197" s="232"/>
      <c r="F2197" s="232"/>
      <c r="G2197" s="232"/>
      <c r="H2197" s="232"/>
      <c r="I2197" s="232"/>
      <c r="J2197" s="232"/>
      <c r="K2197" s="232"/>
      <c r="L2197" s="232"/>
      <c r="M2197" s="232"/>
      <c r="N2197" s="232"/>
      <c r="O2197" s="232"/>
      <c r="P2197" s="232"/>
      <c r="Q2197" s="232"/>
      <c r="R2197" s="232"/>
      <c r="S2197" s="232"/>
      <c r="T2197" s="232"/>
      <c r="U2197" s="232"/>
      <c r="V2197" s="15"/>
      <c r="W2197" s="15"/>
      <c r="X2197" s="15"/>
      <c r="Y2197" s="15"/>
      <c r="Z2197" s="15"/>
      <c r="AA2197" s="15"/>
    </row>
    <row r="2198" spans="1:27" s="25" customFormat="1" ht="12" customHeight="1" x14ac:dyDescent="0.2">
      <c r="A2198" s="232"/>
      <c r="B2198" s="250"/>
      <c r="C2198" s="286"/>
      <c r="D2198" s="232"/>
      <c r="E2198" s="232"/>
      <c r="F2198" s="232"/>
      <c r="G2198" s="232"/>
      <c r="H2198" s="232"/>
      <c r="I2198" s="232"/>
      <c r="J2198" s="232"/>
      <c r="K2198" s="232"/>
      <c r="L2198" s="232"/>
      <c r="M2198" s="232"/>
      <c r="N2198" s="232"/>
      <c r="O2198" s="232"/>
      <c r="P2198" s="232"/>
      <c r="Q2198" s="232"/>
      <c r="R2198" s="232"/>
      <c r="S2198" s="232"/>
      <c r="T2198" s="232"/>
      <c r="U2198" s="232"/>
      <c r="V2198" s="15"/>
      <c r="W2198" s="15"/>
      <c r="X2198" s="15"/>
      <c r="Y2198" s="15"/>
      <c r="Z2198" s="15"/>
      <c r="AA2198" s="15"/>
    </row>
    <row r="2199" spans="1:27" s="25" customFormat="1" ht="12" customHeight="1" x14ac:dyDescent="0.2">
      <c r="A2199" s="232"/>
      <c r="B2199" s="250"/>
      <c r="C2199" s="286"/>
      <c r="D2199" s="232"/>
      <c r="E2199" s="232"/>
      <c r="F2199" s="232"/>
      <c r="G2199" s="232"/>
      <c r="H2199" s="232"/>
      <c r="I2199" s="232"/>
      <c r="J2199" s="232"/>
      <c r="K2199" s="232"/>
      <c r="L2199" s="232"/>
      <c r="M2199" s="232"/>
      <c r="N2199" s="232"/>
      <c r="O2199" s="232"/>
      <c r="P2199" s="232"/>
      <c r="Q2199" s="232"/>
      <c r="R2199" s="232"/>
      <c r="S2199" s="232"/>
      <c r="T2199" s="232"/>
      <c r="U2199" s="232"/>
      <c r="V2199" s="15"/>
      <c r="W2199" s="15"/>
      <c r="X2199" s="15"/>
      <c r="Y2199" s="15"/>
      <c r="Z2199" s="15"/>
      <c r="AA2199" s="15"/>
    </row>
    <row r="2200" spans="1:27" s="25" customFormat="1" ht="12" customHeight="1" x14ac:dyDescent="0.2">
      <c r="A2200" s="232"/>
      <c r="B2200" s="250"/>
      <c r="C2200" s="286"/>
      <c r="D2200" s="232"/>
      <c r="E2200" s="232"/>
      <c r="F2200" s="232"/>
      <c r="G2200" s="232"/>
      <c r="H2200" s="232"/>
      <c r="I2200" s="232"/>
      <c r="J2200" s="232"/>
      <c r="K2200" s="232"/>
      <c r="L2200" s="232"/>
      <c r="M2200" s="232"/>
      <c r="N2200" s="232"/>
      <c r="O2200" s="232"/>
      <c r="P2200" s="232"/>
      <c r="Q2200" s="232"/>
      <c r="R2200" s="232"/>
      <c r="S2200" s="232"/>
      <c r="T2200" s="232"/>
      <c r="U2200" s="232"/>
      <c r="V2200" s="15"/>
      <c r="W2200" s="15"/>
      <c r="X2200" s="15"/>
      <c r="Y2200" s="15"/>
      <c r="Z2200" s="15"/>
      <c r="AA2200" s="15"/>
    </row>
    <row r="2201" spans="1:27" s="25" customFormat="1" ht="12" customHeight="1" x14ac:dyDescent="0.2">
      <c r="A2201" s="232"/>
      <c r="B2201" s="250"/>
      <c r="C2201" s="286"/>
      <c r="D2201" s="232"/>
      <c r="E2201" s="232"/>
      <c r="F2201" s="232"/>
      <c r="G2201" s="232"/>
      <c r="H2201" s="232"/>
      <c r="I2201" s="232"/>
      <c r="J2201" s="232"/>
      <c r="K2201" s="232"/>
      <c r="L2201" s="232"/>
      <c r="M2201" s="232"/>
      <c r="N2201" s="232"/>
      <c r="O2201" s="232"/>
      <c r="P2201" s="232"/>
      <c r="Q2201" s="232"/>
      <c r="R2201" s="232"/>
      <c r="S2201" s="232"/>
      <c r="T2201" s="232"/>
      <c r="U2201" s="232"/>
      <c r="V2201" s="15"/>
      <c r="W2201" s="15"/>
      <c r="X2201" s="15"/>
      <c r="Y2201" s="15"/>
      <c r="Z2201" s="15"/>
      <c r="AA2201" s="15"/>
    </row>
    <row r="2202" spans="1:27" s="25" customFormat="1" ht="12" customHeight="1" x14ac:dyDescent="0.2">
      <c r="A2202" s="232"/>
      <c r="B2202" s="250"/>
      <c r="C2202" s="286"/>
      <c r="D2202" s="232"/>
      <c r="E2202" s="232"/>
      <c r="F2202" s="232"/>
      <c r="G2202" s="232"/>
      <c r="H2202" s="232"/>
      <c r="I2202" s="232"/>
      <c r="J2202" s="232"/>
      <c r="K2202" s="232"/>
      <c r="L2202" s="232"/>
      <c r="M2202" s="232"/>
      <c r="N2202" s="232"/>
      <c r="O2202" s="232"/>
      <c r="P2202" s="232"/>
      <c r="Q2202" s="232"/>
      <c r="R2202" s="232"/>
      <c r="S2202" s="232"/>
      <c r="T2202" s="232"/>
      <c r="U2202" s="232"/>
      <c r="V2202" s="15"/>
      <c r="W2202" s="15"/>
      <c r="X2202" s="15"/>
      <c r="Y2202" s="15"/>
      <c r="Z2202" s="15"/>
      <c r="AA2202" s="15"/>
    </row>
    <row r="2203" spans="1:27" s="25" customFormat="1" ht="12" customHeight="1" x14ac:dyDescent="0.2">
      <c r="A2203" s="232"/>
      <c r="B2203" s="250"/>
      <c r="C2203" s="286"/>
      <c r="D2203" s="232"/>
      <c r="E2203" s="232"/>
      <c r="F2203" s="232"/>
      <c r="G2203" s="232"/>
      <c r="H2203" s="232"/>
      <c r="I2203" s="232"/>
      <c r="J2203" s="232"/>
      <c r="K2203" s="232"/>
      <c r="L2203" s="232"/>
      <c r="M2203" s="232"/>
      <c r="N2203" s="232"/>
      <c r="O2203" s="232"/>
      <c r="P2203" s="232"/>
      <c r="Q2203" s="232"/>
      <c r="R2203" s="232"/>
      <c r="S2203" s="232"/>
      <c r="T2203" s="232"/>
      <c r="U2203" s="232"/>
      <c r="V2203" s="15"/>
      <c r="W2203" s="15"/>
      <c r="X2203" s="15"/>
      <c r="Y2203" s="15"/>
      <c r="Z2203" s="15"/>
      <c r="AA2203" s="15"/>
    </row>
    <row r="2204" spans="1:27" s="25" customFormat="1" ht="12" customHeight="1" x14ac:dyDescent="0.2">
      <c r="A2204" s="232"/>
      <c r="B2204" s="250"/>
      <c r="C2204" s="286"/>
      <c r="D2204" s="232"/>
      <c r="E2204" s="232"/>
      <c r="F2204" s="232"/>
      <c r="G2204" s="232"/>
      <c r="H2204" s="232"/>
      <c r="I2204" s="232"/>
      <c r="J2204" s="232"/>
      <c r="K2204" s="232"/>
      <c r="L2204" s="232"/>
      <c r="M2204" s="232"/>
      <c r="N2204" s="232"/>
      <c r="O2204" s="232"/>
      <c r="P2204" s="232"/>
      <c r="Q2204" s="232"/>
      <c r="R2204" s="232"/>
      <c r="S2204" s="232"/>
      <c r="T2204" s="232"/>
      <c r="U2204" s="232"/>
      <c r="V2204" s="15"/>
      <c r="W2204" s="15"/>
      <c r="X2204" s="15"/>
      <c r="Y2204" s="15"/>
      <c r="Z2204" s="15"/>
      <c r="AA2204" s="15"/>
    </row>
    <row r="2205" spans="1:27" s="25" customFormat="1" ht="12" customHeight="1" x14ac:dyDescent="0.2">
      <c r="A2205" s="232"/>
      <c r="B2205" s="250"/>
      <c r="C2205" s="286"/>
      <c r="D2205" s="232"/>
      <c r="E2205" s="232"/>
      <c r="F2205" s="232"/>
      <c r="G2205" s="232"/>
      <c r="H2205" s="232"/>
      <c r="I2205" s="232"/>
      <c r="J2205" s="232"/>
      <c r="K2205" s="232"/>
      <c r="L2205" s="232"/>
      <c r="M2205" s="232"/>
      <c r="N2205" s="232"/>
      <c r="O2205" s="232"/>
      <c r="P2205" s="232"/>
      <c r="Q2205" s="232"/>
      <c r="R2205" s="232"/>
      <c r="S2205" s="232"/>
      <c r="T2205" s="232"/>
      <c r="U2205" s="232"/>
      <c r="V2205" s="15"/>
      <c r="W2205" s="15"/>
      <c r="X2205" s="15"/>
      <c r="Y2205" s="15"/>
      <c r="Z2205" s="15"/>
      <c r="AA2205" s="15"/>
    </row>
    <row r="2206" spans="1:27" s="25" customFormat="1" ht="12" customHeight="1" x14ac:dyDescent="0.2">
      <c r="A2206" s="232"/>
      <c r="B2206" s="250"/>
      <c r="C2206" s="286"/>
      <c r="D2206" s="232"/>
      <c r="E2206" s="232"/>
      <c r="F2206" s="232"/>
      <c r="G2206" s="232"/>
      <c r="H2206" s="232"/>
      <c r="I2206" s="232"/>
      <c r="J2206" s="232"/>
      <c r="K2206" s="232"/>
      <c r="L2206" s="232"/>
      <c r="M2206" s="232"/>
      <c r="N2206" s="232"/>
      <c r="O2206" s="232"/>
      <c r="P2206" s="232"/>
      <c r="Q2206" s="232"/>
      <c r="R2206" s="232"/>
      <c r="S2206" s="232"/>
      <c r="T2206" s="232"/>
      <c r="U2206" s="232"/>
      <c r="V2206" s="15"/>
      <c r="W2206" s="15"/>
      <c r="X2206" s="15"/>
      <c r="Y2206" s="15"/>
      <c r="Z2206" s="15"/>
      <c r="AA2206" s="15"/>
    </row>
    <row r="2207" spans="1:27" s="25" customFormat="1" ht="12" customHeight="1" x14ac:dyDescent="0.2">
      <c r="A2207" s="232"/>
      <c r="B2207" s="250"/>
      <c r="C2207" s="286"/>
      <c r="D2207" s="232"/>
      <c r="E2207" s="232"/>
      <c r="F2207" s="232"/>
      <c r="G2207" s="232"/>
      <c r="H2207" s="232"/>
      <c r="I2207" s="232"/>
      <c r="J2207" s="232"/>
      <c r="K2207" s="232"/>
      <c r="L2207" s="232"/>
      <c r="M2207" s="232"/>
      <c r="N2207" s="232"/>
      <c r="O2207" s="232"/>
      <c r="P2207" s="232"/>
      <c r="Q2207" s="232"/>
      <c r="R2207" s="232"/>
      <c r="S2207" s="232"/>
      <c r="T2207" s="232"/>
      <c r="U2207" s="232"/>
      <c r="V2207" s="15"/>
      <c r="W2207" s="15"/>
      <c r="X2207" s="15"/>
      <c r="Y2207" s="15"/>
      <c r="Z2207" s="15"/>
      <c r="AA2207" s="15"/>
    </row>
    <row r="2208" spans="1:27" s="25" customFormat="1" ht="12" customHeight="1" x14ac:dyDescent="0.2">
      <c r="A2208" s="232"/>
      <c r="B2208" s="250"/>
      <c r="C2208" s="286"/>
      <c r="D2208" s="232"/>
      <c r="E2208" s="232"/>
      <c r="F2208" s="232"/>
      <c r="G2208" s="232"/>
      <c r="H2208" s="232"/>
      <c r="I2208" s="232"/>
      <c r="J2208" s="232"/>
      <c r="K2208" s="232"/>
      <c r="L2208" s="232"/>
      <c r="M2208" s="232"/>
      <c r="N2208" s="232"/>
      <c r="O2208" s="232"/>
      <c r="P2208" s="232"/>
      <c r="Q2208" s="232"/>
      <c r="R2208" s="232"/>
      <c r="S2208" s="232"/>
      <c r="T2208" s="232"/>
      <c r="U2208" s="232"/>
      <c r="V2208" s="15"/>
      <c r="W2208" s="15"/>
      <c r="X2208" s="15"/>
      <c r="Y2208" s="15"/>
      <c r="Z2208" s="15"/>
      <c r="AA2208" s="15"/>
    </row>
    <row r="2209" spans="1:27" s="25" customFormat="1" ht="12" customHeight="1" x14ac:dyDescent="0.2">
      <c r="A2209" s="232"/>
      <c r="B2209" s="250"/>
      <c r="C2209" s="286"/>
      <c r="D2209" s="232"/>
      <c r="E2209" s="232"/>
      <c r="F2209" s="232"/>
      <c r="G2209" s="232"/>
      <c r="H2209" s="232"/>
      <c r="I2209" s="232"/>
      <c r="J2209" s="232"/>
      <c r="K2209" s="232"/>
      <c r="L2209" s="232"/>
      <c r="M2209" s="232"/>
      <c r="N2209" s="232"/>
      <c r="O2209" s="232"/>
      <c r="P2209" s="232"/>
      <c r="Q2209" s="232"/>
      <c r="R2209" s="232"/>
      <c r="S2209" s="232"/>
      <c r="T2209" s="232"/>
      <c r="U2209" s="232"/>
      <c r="V2209" s="15"/>
      <c r="W2209" s="15"/>
      <c r="X2209" s="15"/>
      <c r="Y2209" s="15"/>
      <c r="Z2209" s="15"/>
      <c r="AA2209" s="15"/>
    </row>
    <row r="2210" spans="1:27" s="25" customFormat="1" ht="12" customHeight="1" x14ac:dyDescent="0.2">
      <c r="A2210" s="232"/>
      <c r="B2210" s="250"/>
      <c r="C2210" s="286"/>
      <c r="D2210" s="232"/>
      <c r="E2210" s="232"/>
      <c r="F2210" s="232"/>
      <c r="G2210" s="232"/>
      <c r="H2210" s="232"/>
      <c r="I2210" s="232"/>
      <c r="J2210" s="232"/>
      <c r="K2210" s="232"/>
      <c r="L2210" s="232"/>
      <c r="M2210" s="232"/>
      <c r="N2210" s="232"/>
      <c r="O2210" s="232"/>
      <c r="P2210" s="232"/>
      <c r="Q2210" s="232"/>
      <c r="R2210" s="232"/>
      <c r="S2210" s="232"/>
      <c r="T2210" s="232"/>
      <c r="U2210" s="232"/>
      <c r="V2210" s="15"/>
      <c r="W2210" s="15"/>
      <c r="X2210" s="15"/>
      <c r="Y2210" s="15"/>
      <c r="Z2210" s="15"/>
      <c r="AA2210" s="15"/>
    </row>
    <row r="2211" spans="1:27" s="25" customFormat="1" ht="12" customHeight="1" x14ac:dyDescent="0.2">
      <c r="A2211" s="232"/>
      <c r="B2211" s="250"/>
      <c r="C2211" s="286"/>
      <c r="D2211" s="232"/>
      <c r="E2211" s="232"/>
      <c r="F2211" s="232"/>
      <c r="G2211" s="232"/>
      <c r="H2211" s="232"/>
      <c r="I2211" s="232"/>
      <c r="J2211" s="232"/>
      <c r="K2211" s="232"/>
      <c r="L2211" s="232"/>
      <c r="M2211" s="232"/>
      <c r="N2211" s="232"/>
      <c r="O2211" s="232"/>
      <c r="P2211" s="232"/>
      <c r="Q2211" s="232"/>
      <c r="R2211" s="232"/>
      <c r="S2211" s="232"/>
      <c r="T2211" s="232"/>
      <c r="U2211" s="232"/>
      <c r="V2211" s="15"/>
      <c r="W2211" s="15"/>
      <c r="X2211" s="15"/>
      <c r="Y2211" s="15"/>
      <c r="Z2211" s="15"/>
      <c r="AA2211" s="15"/>
    </row>
    <row r="2212" spans="1:27" s="25" customFormat="1" ht="12" customHeight="1" x14ac:dyDescent="0.2">
      <c r="A2212" s="232"/>
      <c r="B2212" s="250"/>
      <c r="C2212" s="286"/>
      <c r="D2212" s="232"/>
      <c r="E2212" s="232"/>
      <c r="F2212" s="232"/>
      <c r="G2212" s="232"/>
      <c r="H2212" s="232"/>
      <c r="I2212" s="232"/>
      <c r="J2212" s="232"/>
      <c r="K2212" s="232"/>
      <c r="L2212" s="232"/>
      <c r="M2212" s="232"/>
      <c r="N2212" s="232"/>
      <c r="O2212" s="232"/>
      <c r="P2212" s="232"/>
      <c r="Q2212" s="232"/>
      <c r="R2212" s="232"/>
      <c r="S2212" s="232"/>
      <c r="T2212" s="232"/>
      <c r="U2212" s="232"/>
      <c r="V2212" s="15"/>
      <c r="W2212" s="15"/>
      <c r="X2212" s="15"/>
      <c r="Y2212" s="15"/>
      <c r="Z2212" s="15"/>
      <c r="AA2212" s="15"/>
    </row>
    <row r="2213" spans="1:27" s="25" customFormat="1" ht="12" customHeight="1" x14ac:dyDescent="0.2">
      <c r="A2213" s="232"/>
      <c r="B2213" s="250"/>
      <c r="C2213" s="286"/>
      <c r="D2213" s="232"/>
      <c r="E2213" s="232"/>
      <c r="F2213" s="232"/>
      <c r="G2213" s="232"/>
      <c r="H2213" s="232"/>
      <c r="I2213" s="232"/>
      <c r="J2213" s="232"/>
      <c r="K2213" s="232"/>
      <c r="L2213" s="232"/>
      <c r="M2213" s="232"/>
      <c r="N2213" s="232"/>
      <c r="O2213" s="232"/>
      <c r="P2213" s="232"/>
      <c r="Q2213" s="232"/>
      <c r="R2213" s="232"/>
      <c r="S2213" s="232"/>
      <c r="T2213" s="232"/>
      <c r="U2213" s="232"/>
      <c r="V2213" s="15"/>
      <c r="W2213" s="15"/>
      <c r="X2213" s="15"/>
      <c r="Y2213" s="15"/>
      <c r="Z2213" s="15"/>
      <c r="AA2213" s="15"/>
    </row>
    <row r="2214" spans="1:27" s="25" customFormat="1" ht="12" customHeight="1" x14ac:dyDescent="0.2">
      <c r="A2214" s="232"/>
      <c r="B2214" s="250"/>
      <c r="C2214" s="286"/>
      <c r="D2214" s="232"/>
      <c r="E2214" s="232"/>
      <c r="F2214" s="232"/>
      <c r="G2214" s="232"/>
      <c r="H2214" s="232"/>
      <c r="I2214" s="232"/>
      <c r="J2214" s="232"/>
      <c r="K2214" s="232"/>
      <c r="L2214" s="232"/>
      <c r="M2214" s="232"/>
      <c r="N2214" s="232"/>
      <c r="O2214" s="232"/>
      <c r="P2214" s="232"/>
      <c r="Q2214" s="232"/>
      <c r="R2214" s="232"/>
      <c r="S2214" s="232"/>
      <c r="T2214" s="232"/>
      <c r="U2214" s="232"/>
      <c r="V2214" s="15"/>
      <c r="W2214" s="15"/>
      <c r="X2214" s="15"/>
      <c r="Y2214" s="15"/>
      <c r="Z2214" s="15"/>
      <c r="AA2214" s="15"/>
    </row>
    <row r="2215" spans="1:27" s="25" customFormat="1" ht="12" customHeight="1" x14ac:dyDescent="0.2">
      <c r="A2215" s="232"/>
      <c r="B2215" s="250"/>
      <c r="C2215" s="286"/>
      <c r="D2215" s="232"/>
      <c r="E2215" s="232"/>
      <c r="F2215" s="232"/>
      <c r="G2215" s="232"/>
      <c r="H2215" s="232"/>
      <c r="I2215" s="232"/>
      <c r="J2215" s="232"/>
      <c r="K2215" s="232"/>
      <c r="L2215" s="232"/>
      <c r="M2215" s="232"/>
      <c r="N2215" s="232"/>
      <c r="O2215" s="232"/>
      <c r="P2215" s="232"/>
      <c r="Q2215" s="232"/>
      <c r="R2215" s="232"/>
      <c r="S2215" s="232"/>
      <c r="T2215" s="232"/>
      <c r="U2215" s="232"/>
      <c r="V2215" s="15"/>
      <c r="W2215" s="15"/>
      <c r="X2215" s="15"/>
      <c r="Y2215" s="15"/>
      <c r="Z2215" s="15"/>
      <c r="AA2215" s="15"/>
    </row>
    <row r="2216" spans="1:27" s="25" customFormat="1" ht="12" customHeight="1" x14ac:dyDescent="0.2">
      <c r="A2216" s="232"/>
      <c r="B2216" s="250"/>
      <c r="C2216" s="286"/>
      <c r="D2216" s="232"/>
      <c r="E2216" s="232"/>
      <c r="F2216" s="232"/>
      <c r="G2216" s="232"/>
      <c r="H2216" s="232"/>
      <c r="I2216" s="232"/>
      <c r="J2216" s="232"/>
      <c r="K2216" s="232"/>
      <c r="L2216" s="232"/>
      <c r="M2216" s="232"/>
      <c r="N2216" s="232"/>
      <c r="O2216" s="232"/>
      <c r="P2216" s="232"/>
      <c r="Q2216" s="232"/>
      <c r="R2216" s="232"/>
      <c r="S2216" s="232"/>
      <c r="T2216" s="232"/>
      <c r="U2216" s="232"/>
      <c r="V2216" s="15"/>
      <c r="W2216" s="15"/>
      <c r="X2216" s="15"/>
      <c r="Y2216" s="15"/>
      <c r="Z2216" s="15"/>
      <c r="AA2216" s="15"/>
    </row>
    <row r="2217" spans="1:27" s="25" customFormat="1" ht="12" customHeight="1" x14ac:dyDescent="0.2">
      <c r="A2217" s="232"/>
      <c r="B2217" s="250"/>
      <c r="C2217" s="286"/>
      <c r="D2217" s="232"/>
      <c r="E2217" s="232"/>
      <c r="F2217" s="232"/>
      <c r="G2217" s="232"/>
      <c r="H2217" s="232"/>
      <c r="I2217" s="232"/>
      <c r="J2217" s="232"/>
      <c r="K2217" s="232"/>
      <c r="L2217" s="232"/>
      <c r="M2217" s="232"/>
      <c r="N2217" s="232"/>
      <c r="O2217" s="232"/>
      <c r="P2217" s="232"/>
      <c r="Q2217" s="232"/>
      <c r="R2217" s="232"/>
      <c r="S2217" s="232"/>
      <c r="T2217" s="232"/>
      <c r="U2217" s="232"/>
      <c r="V2217" s="15"/>
      <c r="W2217" s="15"/>
      <c r="X2217" s="15"/>
      <c r="Y2217" s="15"/>
      <c r="Z2217" s="15"/>
      <c r="AA2217" s="15"/>
    </row>
    <row r="2218" spans="1:27" s="25" customFormat="1" ht="12" customHeight="1" x14ac:dyDescent="0.2">
      <c r="A2218" s="232"/>
      <c r="B2218" s="250"/>
      <c r="C2218" s="286"/>
      <c r="D2218" s="232"/>
      <c r="E2218" s="232"/>
      <c r="F2218" s="232"/>
      <c r="G2218" s="232"/>
      <c r="H2218" s="232"/>
      <c r="I2218" s="232"/>
      <c r="J2218" s="232"/>
      <c r="K2218" s="232"/>
      <c r="L2218" s="232"/>
      <c r="M2218" s="232"/>
      <c r="N2218" s="232"/>
      <c r="O2218" s="232"/>
      <c r="P2218" s="232"/>
      <c r="Q2218" s="232"/>
      <c r="R2218" s="232"/>
      <c r="S2218" s="232"/>
      <c r="T2218" s="232"/>
      <c r="U2218" s="232"/>
      <c r="V2218" s="15"/>
      <c r="W2218" s="15"/>
      <c r="X2218" s="15"/>
      <c r="Y2218" s="15"/>
      <c r="Z2218" s="15"/>
      <c r="AA2218" s="15"/>
    </row>
    <row r="2219" spans="1:27" s="25" customFormat="1" ht="12" customHeight="1" x14ac:dyDescent="0.2">
      <c r="A2219" s="232"/>
      <c r="B2219" s="250"/>
      <c r="C2219" s="286"/>
      <c r="D2219" s="232"/>
      <c r="E2219" s="232"/>
      <c r="F2219" s="232"/>
      <c r="G2219" s="232"/>
      <c r="H2219" s="232"/>
      <c r="I2219" s="232"/>
      <c r="J2219" s="232"/>
      <c r="K2219" s="232"/>
      <c r="L2219" s="232"/>
      <c r="M2219" s="232"/>
      <c r="N2219" s="232"/>
      <c r="O2219" s="232"/>
      <c r="P2219" s="232"/>
      <c r="Q2219" s="232"/>
      <c r="R2219" s="232"/>
      <c r="S2219" s="232"/>
      <c r="T2219" s="232"/>
      <c r="U2219" s="232"/>
      <c r="V2219" s="15"/>
      <c r="W2219" s="15"/>
      <c r="X2219" s="15"/>
      <c r="Y2219" s="15"/>
      <c r="Z2219" s="15"/>
      <c r="AA2219" s="15"/>
    </row>
    <row r="2220" spans="1:27" s="25" customFormat="1" ht="12" customHeight="1" x14ac:dyDescent="0.2">
      <c r="A2220" s="232"/>
      <c r="B2220" s="250"/>
      <c r="C2220" s="286"/>
      <c r="D2220" s="232"/>
      <c r="E2220" s="232"/>
      <c r="F2220" s="232"/>
      <c r="G2220" s="232"/>
      <c r="H2220" s="232"/>
      <c r="I2220" s="232"/>
      <c r="J2220" s="232"/>
      <c r="K2220" s="232"/>
      <c r="L2220" s="232"/>
      <c r="M2220" s="232"/>
      <c r="N2220" s="232"/>
      <c r="O2220" s="232"/>
      <c r="P2220" s="232"/>
      <c r="Q2220" s="232"/>
      <c r="R2220" s="232"/>
      <c r="S2220" s="232"/>
      <c r="T2220" s="232"/>
      <c r="U2220" s="232"/>
      <c r="V2220" s="15"/>
      <c r="W2220" s="15"/>
      <c r="X2220" s="15"/>
      <c r="Y2220" s="15"/>
      <c r="Z2220" s="15"/>
      <c r="AA2220" s="15"/>
    </row>
    <row r="2221" spans="1:27" s="25" customFormat="1" ht="12" customHeight="1" x14ac:dyDescent="0.2">
      <c r="A2221" s="232"/>
      <c r="B2221" s="250"/>
      <c r="C2221" s="286"/>
      <c r="D2221" s="232"/>
      <c r="E2221" s="232"/>
      <c r="F2221" s="232"/>
      <c r="G2221" s="232"/>
      <c r="H2221" s="232"/>
      <c r="I2221" s="232"/>
      <c r="J2221" s="232"/>
      <c r="K2221" s="232"/>
      <c r="L2221" s="232"/>
      <c r="M2221" s="232"/>
      <c r="N2221" s="232"/>
      <c r="O2221" s="232"/>
      <c r="P2221" s="232"/>
      <c r="Q2221" s="232"/>
      <c r="R2221" s="232"/>
      <c r="S2221" s="232"/>
      <c r="T2221" s="232"/>
      <c r="U2221" s="232"/>
      <c r="V2221" s="15"/>
      <c r="W2221" s="15"/>
      <c r="X2221" s="15"/>
      <c r="Y2221" s="15"/>
      <c r="Z2221" s="15"/>
      <c r="AA2221" s="15"/>
    </row>
    <row r="2222" spans="1:27" s="25" customFormat="1" ht="12" customHeight="1" x14ac:dyDescent="0.2">
      <c r="A2222" s="232"/>
      <c r="B2222" s="250"/>
      <c r="C2222" s="286"/>
      <c r="D2222" s="232"/>
      <c r="E2222" s="232"/>
      <c r="F2222" s="232"/>
      <c r="G2222" s="232"/>
      <c r="H2222" s="232"/>
      <c r="I2222" s="232"/>
      <c r="J2222" s="232"/>
      <c r="K2222" s="232"/>
      <c r="L2222" s="232"/>
      <c r="M2222" s="232"/>
      <c r="N2222" s="232"/>
      <c r="O2222" s="232"/>
      <c r="P2222" s="232"/>
      <c r="Q2222" s="232"/>
      <c r="R2222" s="232"/>
      <c r="S2222" s="232"/>
      <c r="T2222" s="232"/>
      <c r="U2222" s="232"/>
      <c r="V2222" s="15"/>
      <c r="W2222" s="15"/>
      <c r="X2222" s="15"/>
      <c r="Y2222" s="15"/>
      <c r="Z2222" s="15"/>
      <c r="AA2222" s="15"/>
    </row>
    <row r="2223" spans="1:27" s="25" customFormat="1" ht="12" customHeight="1" x14ac:dyDescent="0.2">
      <c r="A2223" s="232"/>
      <c r="B2223" s="250"/>
      <c r="C2223" s="286"/>
      <c r="D2223" s="232"/>
      <c r="E2223" s="232"/>
      <c r="F2223" s="232"/>
      <c r="G2223" s="232"/>
      <c r="H2223" s="232"/>
      <c r="I2223" s="232"/>
      <c r="J2223" s="232"/>
      <c r="K2223" s="232"/>
      <c r="L2223" s="232"/>
      <c r="M2223" s="232"/>
      <c r="N2223" s="232"/>
      <c r="O2223" s="232"/>
      <c r="P2223" s="232"/>
      <c r="Q2223" s="232"/>
      <c r="R2223" s="232"/>
      <c r="S2223" s="232"/>
      <c r="T2223" s="232"/>
      <c r="U2223" s="232"/>
      <c r="V2223" s="15"/>
      <c r="W2223" s="15"/>
      <c r="X2223" s="15"/>
      <c r="Y2223" s="15"/>
      <c r="Z2223" s="15"/>
      <c r="AA2223" s="15"/>
    </row>
    <row r="2224" spans="1:27" s="25" customFormat="1" ht="12" customHeight="1" x14ac:dyDescent="0.2">
      <c r="A2224" s="232"/>
      <c r="B2224" s="250"/>
      <c r="C2224" s="286"/>
      <c r="D2224" s="232"/>
      <c r="E2224" s="232"/>
      <c r="F2224" s="232"/>
      <c r="G2224" s="232"/>
      <c r="H2224" s="232"/>
      <c r="I2224" s="232"/>
      <c r="J2224" s="232"/>
      <c r="K2224" s="232"/>
      <c r="L2224" s="232"/>
      <c r="M2224" s="232"/>
      <c r="N2224" s="232"/>
      <c r="O2224" s="232"/>
      <c r="P2224" s="232"/>
      <c r="Q2224" s="232"/>
      <c r="R2224" s="232"/>
      <c r="S2224" s="232"/>
      <c r="T2224" s="232"/>
      <c r="U2224" s="232"/>
      <c r="V2224" s="15"/>
      <c r="W2224" s="15"/>
      <c r="X2224" s="15"/>
      <c r="Y2224" s="15"/>
      <c r="Z2224" s="15"/>
      <c r="AA2224" s="15"/>
    </row>
    <row r="2225" spans="1:27" s="25" customFormat="1" ht="12" customHeight="1" x14ac:dyDescent="0.2">
      <c r="A2225" s="232"/>
      <c r="B2225" s="250"/>
      <c r="C2225" s="286"/>
      <c r="D2225" s="232"/>
      <c r="E2225" s="232"/>
      <c r="F2225" s="232"/>
      <c r="G2225" s="232"/>
      <c r="H2225" s="232"/>
      <c r="I2225" s="232"/>
      <c r="J2225" s="232"/>
      <c r="K2225" s="232"/>
      <c r="L2225" s="232"/>
      <c r="M2225" s="232"/>
      <c r="N2225" s="232"/>
      <c r="O2225" s="232"/>
      <c r="P2225" s="232"/>
      <c r="Q2225" s="232"/>
      <c r="R2225" s="232"/>
      <c r="S2225" s="232"/>
      <c r="T2225" s="232"/>
      <c r="U2225" s="232"/>
      <c r="V2225" s="15"/>
      <c r="W2225" s="15"/>
      <c r="X2225" s="15"/>
      <c r="Y2225" s="15"/>
      <c r="Z2225" s="15"/>
      <c r="AA2225" s="15"/>
    </row>
    <row r="2226" spans="1:27" s="25" customFormat="1" ht="12" customHeight="1" x14ac:dyDescent="0.2">
      <c r="A2226" s="232"/>
      <c r="B2226" s="250"/>
      <c r="C2226" s="286"/>
      <c r="D2226" s="232"/>
      <c r="E2226" s="232"/>
      <c r="F2226" s="232"/>
      <c r="G2226" s="232"/>
      <c r="H2226" s="232"/>
      <c r="I2226" s="232"/>
      <c r="J2226" s="232"/>
      <c r="K2226" s="232"/>
      <c r="L2226" s="232"/>
      <c r="M2226" s="232"/>
      <c r="N2226" s="232"/>
      <c r="O2226" s="232"/>
      <c r="P2226" s="232"/>
      <c r="Q2226" s="232"/>
      <c r="R2226" s="232"/>
      <c r="S2226" s="232"/>
      <c r="T2226" s="232"/>
      <c r="U2226" s="232"/>
      <c r="V2226" s="15"/>
      <c r="W2226" s="15"/>
      <c r="X2226" s="15"/>
      <c r="Y2226" s="15"/>
      <c r="Z2226" s="15"/>
      <c r="AA2226" s="15"/>
    </row>
    <row r="2227" spans="1:27" s="25" customFormat="1" ht="12" customHeight="1" x14ac:dyDescent="0.2">
      <c r="A2227" s="232"/>
      <c r="B2227" s="250"/>
      <c r="C2227" s="286"/>
      <c r="D2227" s="232"/>
      <c r="E2227" s="232"/>
      <c r="F2227" s="232"/>
      <c r="G2227" s="232"/>
      <c r="H2227" s="232"/>
      <c r="I2227" s="232"/>
      <c r="J2227" s="232"/>
      <c r="K2227" s="232"/>
      <c r="L2227" s="232"/>
      <c r="M2227" s="232"/>
      <c r="N2227" s="232"/>
      <c r="O2227" s="232"/>
      <c r="P2227" s="232"/>
      <c r="Q2227" s="232"/>
      <c r="R2227" s="232"/>
      <c r="S2227" s="232"/>
      <c r="T2227" s="232"/>
      <c r="U2227" s="232"/>
      <c r="V2227" s="15"/>
      <c r="W2227" s="15"/>
      <c r="X2227" s="15"/>
      <c r="Y2227" s="15"/>
      <c r="Z2227" s="15"/>
      <c r="AA2227" s="15"/>
    </row>
    <row r="2228" spans="1:27" s="25" customFormat="1" ht="12" customHeight="1" x14ac:dyDescent="0.2">
      <c r="A2228" s="232"/>
      <c r="B2228" s="250"/>
      <c r="C2228" s="286"/>
      <c r="D2228" s="232"/>
      <c r="E2228" s="232"/>
      <c r="F2228" s="232"/>
      <c r="G2228" s="232"/>
      <c r="H2228" s="232"/>
      <c r="I2228" s="232"/>
      <c r="J2228" s="232"/>
      <c r="K2228" s="232"/>
      <c r="L2228" s="232"/>
      <c r="M2228" s="232"/>
      <c r="N2228" s="232"/>
      <c r="O2228" s="232"/>
      <c r="P2228" s="232"/>
      <c r="Q2228" s="232"/>
      <c r="R2228" s="232"/>
      <c r="S2228" s="232"/>
      <c r="T2228" s="232"/>
      <c r="U2228" s="232"/>
      <c r="V2228" s="15"/>
      <c r="W2228" s="15"/>
      <c r="X2228" s="15"/>
      <c r="Y2228" s="15"/>
      <c r="Z2228" s="15"/>
      <c r="AA2228" s="15"/>
    </row>
    <row r="2229" spans="1:27" s="25" customFormat="1" ht="12" customHeight="1" x14ac:dyDescent="0.2">
      <c r="A2229" s="232"/>
      <c r="B2229" s="250"/>
      <c r="C2229" s="286"/>
      <c r="D2229" s="232"/>
      <c r="E2229" s="232"/>
      <c r="F2229" s="232"/>
      <c r="G2229" s="232"/>
      <c r="H2229" s="232"/>
      <c r="I2229" s="232"/>
      <c r="J2229" s="232"/>
      <c r="K2229" s="232"/>
      <c r="L2229" s="232"/>
      <c r="M2229" s="232"/>
      <c r="N2229" s="232"/>
      <c r="O2229" s="232"/>
      <c r="P2229" s="232"/>
      <c r="Q2229" s="232"/>
      <c r="R2229" s="232"/>
      <c r="S2229" s="232"/>
      <c r="T2229" s="232"/>
      <c r="U2229" s="232"/>
      <c r="V2229" s="15"/>
      <c r="W2229" s="15"/>
      <c r="X2229" s="15"/>
      <c r="Y2229" s="15"/>
      <c r="Z2229" s="15"/>
      <c r="AA2229" s="15"/>
    </row>
    <row r="2230" spans="1:27" s="25" customFormat="1" ht="12" customHeight="1" x14ac:dyDescent="0.2">
      <c r="A2230" s="232"/>
      <c r="B2230" s="250"/>
      <c r="C2230" s="286"/>
      <c r="D2230" s="232"/>
      <c r="E2230" s="232"/>
      <c r="F2230" s="232"/>
      <c r="G2230" s="232"/>
      <c r="H2230" s="232"/>
      <c r="I2230" s="232"/>
      <c r="J2230" s="232"/>
      <c r="K2230" s="232"/>
      <c r="L2230" s="232"/>
      <c r="M2230" s="232"/>
      <c r="N2230" s="232"/>
      <c r="O2230" s="232"/>
      <c r="P2230" s="232"/>
      <c r="Q2230" s="232"/>
      <c r="R2230" s="232"/>
      <c r="S2230" s="232"/>
      <c r="T2230" s="232"/>
      <c r="U2230" s="232"/>
      <c r="V2230" s="15"/>
      <c r="W2230" s="15"/>
      <c r="X2230" s="15"/>
      <c r="Y2230" s="15"/>
      <c r="Z2230" s="15"/>
      <c r="AA2230" s="15"/>
    </row>
    <row r="2231" spans="1:27" s="25" customFormat="1" ht="12" customHeight="1" x14ac:dyDescent="0.2">
      <c r="A2231" s="232"/>
      <c r="B2231" s="250"/>
      <c r="C2231" s="286"/>
      <c r="D2231" s="232"/>
      <c r="E2231" s="232"/>
      <c r="F2231" s="232"/>
      <c r="G2231" s="232"/>
      <c r="H2231" s="232"/>
      <c r="I2231" s="232"/>
      <c r="J2231" s="232"/>
      <c r="K2231" s="232"/>
      <c r="L2231" s="232"/>
      <c r="M2231" s="232"/>
      <c r="N2231" s="232"/>
      <c r="O2231" s="232"/>
      <c r="P2231" s="232"/>
      <c r="Q2231" s="232"/>
      <c r="R2231" s="232"/>
      <c r="S2231" s="232"/>
      <c r="T2231" s="232"/>
      <c r="U2231" s="232"/>
      <c r="V2231" s="15"/>
      <c r="W2231" s="15"/>
      <c r="X2231" s="15"/>
      <c r="Y2231" s="15"/>
      <c r="Z2231" s="15"/>
      <c r="AA2231" s="15"/>
    </row>
    <row r="2232" spans="1:27" s="25" customFormat="1" ht="12" customHeight="1" x14ac:dyDescent="0.2">
      <c r="A2232" s="232"/>
      <c r="B2232" s="250"/>
      <c r="C2232" s="286"/>
      <c r="D2232" s="232"/>
      <c r="E2232" s="232"/>
      <c r="F2232" s="232"/>
      <c r="G2232" s="232"/>
      <c r="H2232" s="232"/>
      <c r="I2232" s="232"/>
      <c r="J2232" s="232"/>
      <c r="K2232" s="232"/>
      <c r="L2232" s="232"/>
      <c r="M2232" s="232"/>
      <c r="N2232" s="232"/>
      <c r="O2232" s="232"/>
      <c r="P2232" s="232"/>
      <c r="Q2232" s="232"/>
      <c r="R2232" s="232"/>
      <c r="S2232" s="232"/>
      <c r="T2232" s="232"/>
      <c r="U2232" s="232"/>
      <c r="V2232" s="15"/>
      <c r="W2232" s="15"/>
      <c r="X2232" s="15"/>
      <c r="Y2232" s="15"/>
      <c r="Z2232" s="15"/>
      <c r="AA2232" s="15"/>
    </row>
    <row r="2233" spans="1:27" s="25" customFormat="1" ht="12" customHeight="1" x14ac:dyDescent="0.2">
      <c r="A2233" s="232"/>
      <c r="B2233" s="250"/>
      <c r="C2233" s="286"/>
      <c r="D2233" s="232"/>
      <c r="E2233" s="232"/>
      <c r="F2233" s="232"/>
      <c r="G2233" s="232"/>
      <c r="H2233" s="232"/>
      <c r="I2233" s="232"/>
      <c r="J2233" s="232"/>
      <c r="K2233" s="232"/>
      <c r="L2233" s="232"/>
      <c r="M2233" s="232"/>
      <c r="N2233" s="232"/>
      <c r="O2233" s="232"/>
      <c r="P2233" s="232"/>
      <c r="Q2233" s="232"/>
      <c r="R2233" s="232"/>
      <c r="S2233" s="232"/>
      <c r="T2233" s="232"/>
      <c r="U2233" s="232"/>
      <c r="V2233" s="15"/>
      <c r="W2233" s="15"/>
      <c r="X2233" s="15"/>
      <c r="Y2233" s="15"/>
      <c r="Z2233" s="15"/>
      <c r="AA2233" s="15"/>
    </row>
    <row r="2234" spans="1:27" s="25" customFormat="1" ht="12" customHeight="1" x14ac:dyDescent="0.2">
      <c r="A2234" s="232"/>
      <c r="B2234" s="250"/>
      <c r="C2234" s="286"/>
      <c r="D2234" s="232"/>
      <c r="E2234" s="232"/>
      <c r="F2234" s="232"/>
      <c r="G2234" s="232"/>
      <c r="H2234" s="232"/>
      <c r="I2234" s="232"/>
      <c r="J2234" s="232"/>
      <c r="K2234" s="232"/>
      <c r="L2234" s="232"/>
      <c r="M2234" s="232"/>
      <c r="N2234" s="232"/>
      <c r="O2234" s="232"/>
      <c r="P2234" s="232"/>
      <c r="Q2234" s="232"/>
      <c r="R2234" s="232"/>
      <c r="S2234" s="232"/>
      <c r="T2234" s="232"/>
      <c r="U2234" s="232"/>
      <c r="V2234" s="15"/>
      <c r="W2234" s="15"/>
      <c r="X2234" s="15"/>
      <c r="Y2234" s="15"/>
      <c r="Z2234" s="15"/>
      <c r="AA2234" s="15"/>
    </row>
    <row r="2235" spans="1:27" s="25" customFormat="1" ht="12" customHeight="1" x14ac:dyDescent="0.2">
      <c r="A2235" s="232"/>
      <c r="B2235" s="250"/>
      <c r="C2235" s="286"/>
      <c r="D2235" s="232"/>
      <c r="E2235" s="232"/>
      <c r="F2235" s="232"/>
      <c r="G2235" s="232"/>
      <c r="H2235" s="232"/>
      <c r="I2235" s="232"/>
      <c r="J2235" s="232"/>
      <c r="K2235" s="232"/>
      <c r="L2235" s="232"/>
      <c r="M2235" s="232"/>
      <c r="N2235" s="232"/>
      <c r="O2235" s="232"/>
      <c r="P2235" s="232"/>
      <c r="Q2235" s="232"/>
      <c r="R2235" s="232"/>
      <c r="S2235" s="232"/>
      <c r="T2235" s="232"/>
      <c r="U2235" s="232"/>
      <c r="V2235" s="15"/>
      <c r="W2235" s="15"/>
      <c r="X2235" s="15"/>
      <c r="Y2235" s="15"/>
      <c r="Z2235" s="15"/>
      <c r="AA2235" s="15"/>
    </row>
    <row r="2236" spans="1:27" s="25" customFormat="1" ht="12" customHeight="1" x14ac:dyDescent="0.2">
      <c r="A2236" s="232"/>
      <c r="B2236" s="250"/>
      <c r="C2236" s="286"/>
      <c r="D2236" s="232"/>
      <c r="E2236" s="232"/>
      <c r="F2236" s="232"/>
      <c r="G2236" s="232"/>
      <c r="H2236" s="232"/>
      <c r="I2236" s="232"/>
      <c r="J2236" s="232"/>
      <c r="K2236" s="232"/>
      <c r="L2236" s="232"/>
      <c r="M2236" s="232"/>
      <c r="N2236" s="232"/>
      <c r="O2236" s="232"/>
      <c r="P2236" s="232"/>
      <c r="Q2236" s="232"/>
      <c r="R2236" s="232"/>
      <c r="S2236" s="232"/>
      <c r="T2236" s="232"/>
      <c r="U2236" s="232"/>
      <c r="V2236" s="15"/>
      <c r="W2236" s="15"/>
      <c r="X2236" s="15"/>
      <c r="Y2236" s="15"/>
      <c r="Z2236" s="15"/>
      <c r="AA2236" s="15"/>
    </row>
    <row r="2237" spans="1:27" s="25" customFormat="1" ht="12" customHeight="1" x14ac:dyDescent="0.2">
      <c r="A2237" s="232"/>
      <c r="B2237" s="250"/>
      <c r="C2237" s="286"/>
      <c r="D2237" s="232"/>
      <c r="E2237" s="232"/>
      <c r="F2237" s="232"/>
      <c r="G2237" s="232"/>
      <c r="H2237" s="232"/>
      <c r="I2237" s="232"/>
      <c r="J2237" s="232"/>
      <c r="K2237" s="232"/>
      <c r="L2237" s="232"/>
      <c r="M2237" s="232"/>
      <c r="N2237" s="232"/>
      <c r="O2237" s="232"/>
      <c r="P2237" s="232"/>
      <c r="Q2237" s="232"/>
      <c r="R2237" s="232"/>
      <c r="S2237" s="232"/>
      <c r="T2237" s="232"/>
      <c r="U2237" s="232"/>
      <c r="V2237" s="15"/>
      <c r="W2237" s="15"/>
      <c r="X2237" s="15"/>
      <c r="Y2237" s="15"/>
      <c r="Z2237" s="15"/>
      <c r="AA2237" s="15"/>
    </row>
    <row r="2238" spans="1:27" s="25" customFormat="1" ht="12" customHeight="1" x14ac:dyDescent="0.2">
      <c r="A2238" s="232"/>
      <c r="B2238" s="250"/>
      <c r="C2238" s="286"/>
      <c r="D2238" s="232"/>
      <c r="E2238" s="232"/>
      <c r="F2238" s="232"/>
      <c r="G2238" s="232"/>
      <c r="H2238" s="232"/>
      <c r="I2238" s="232"/>
      <c r="J2238" s="232"/>
      <c r="K2238" s="232"/>
      <c r="L2238" s="232"/>
      <c r="M2238" s="232"/>
      <c r="N2238" s="232"/>
      <c r="O2238" s="232"/>
      <c r="P2238" s="232"/>
      <c r="Q2238" s="232"/>
      <c r="R2238" s="232"/>
      <c r="S2238" s="232"/>
      <c r="T2238" s="232"/>
      <c r="U2238" s="232"/>
      <c r="V2238" s="15"/>
      <c r="W2238" s="15"/>
      <c r="X2238" s="15"/>
      <c r="Y2238" s="15"/>
      <c r="Z2238" s="15"/>
      <c r="AA2238" s="15"/>
    </row>
    <row r="2239" spans="1:27" s="25" customFormat="1" ht="12" customHeight="1" x14ac:dyDescent="0.2">
      <c r="A2239" s="232"/>
      <c r="B2239" s="250"/>
      <c r="C2239" s="286"/>
      <c r="D2239" s="232"/>
      <c r="E2239" s="232"/>
      <c r="F2239" s="232"/>
      <c r="G2239" s="232"/>
      <c r="H2239" s="232"/>
      <c r="I2239" s="232"/>
      <c r="J2239" s="232"/>
      <c r="K2239" s="232"/>
      <c r="L2239" s="232"/>
      <c r="M2239" s="232"/>
      <c r="N2239" s="232"/>
      <c r="O2239" s="232"/>
      <c r="P2239" s="232"/>
      <c r="Q2239" s="232"/>
      <c r="R2239" s="232"/>
      <c r="S2239" s="232"/>
      <c r="T2239" s="232"/>
      <c r="U2239" s="232"/>
      <c r="V2239" s="15"/>
      <c r="W2239" s="15"/>
      <c r="X2239" s="15"/>
      <c r="Y2239" s="15"/>
      <c r="Z2239" s="15"/>
      <c r="AA2239" s="15"/>
    </row>
    <row r="2240" spans="1:27" s="25" customFormat="1" ht="12" customHeight="1" x14ac:dyDescent="0.2">
      <c r="A2240" s="232"/>
      <c r="B2240" s="250"/>
      <c r="C2240" s="286"/>
      <c r="D2240" s="232"/>
      <c r="E2240" s="232"/>
      <c r="F2240" s="232"/>
      <c r="G2240" s="232"/>
      <c r="H2240" s="232"/>
      <c r="I2240" s="232"/>
      <c r="J2240" s="232"/>
      <c r="K2240" s="232"/>
      <c r="L2240" s="232"/>
      <c r="M2240" s="232"/>
      <c r="N2240" s="232"/>
      <c r="O2240" s="232"/>
      <c r="P2240" s="232"/>
      <c r="Q2240" s="232"/>
      <c r="R2240" s="232"/>
      <c r="S2240" s="232"/>
      <c r="T2240" s="232"/>
      <c r="U2240" s="232"/>
      <c r="V2240" s="15"/>
      <c r="W2240" s="15"/>
      <c r="X2240" s="15"/>
      <c r="Y2240" s="15"/>
      <c r="Z2240" s="15"/>
      <c r="AA2240" s="15"/>
    </row>
    <row r="2241" spans="1:27" s="25" customFormat="1" ht="12" customHeight="1" x14ac:dyDescent="0.2">
      <c r="A2241" s="232"/>
      <c r="B2241" s="250"/>
      <c r="C2241" s="286"/>
      <c r="D2241" s="232"/>
      <c r="E2241" s="232"/>
      <c r="F2241" s="232"/>
      <c r="G2241" s="232"/>
      <c r="H2241" s="232"/>
      <c r="I2241" s="232"/>
      <c r="J2241" s="232"/>
      <c r="K2241" s="232"/>
      <c r="L2241" s="232"/>
      <c r="M2241" s="232"/>
      <c r="N2241" s="232"/>
      <c r="O2241" s="232"/>
      <c r="P2241" s="232"/>
      <c r="Q2241" s="232"/>
      <c r="R2241" s="232"/>
      <c r="S2241" s="232"/>
      <c r="T2241" s="232"/>
      <c r="U2241" s="232"/>
      <c r="V2241" s="15"/>
      <c r="W2241" s="15"/>
      <c r="X2241" s="15"/>
      <c r="Y2241" s="15"/>
      <c r="Z2241" s="15"/>
      <c r="AA2241" s="15"/>
    </row>
    <row r="2242" spans="1:27" s="25" customFormat="1" ht="12" customHeight="1" x14ac:dyDescent="0.2">
      <c r="A2242" s="232"/>
      <c r="B2242" s="250"/>
      <c r="C2242" s="286"/>
      <c r="D2242" s="232"/>
      <c r="E2242" s="232"/>
      <c r="F2242" s="232"/>
      <c r="G2242" s="232"/>
      <c r="H2242" s="232"/>
      <c r="I2242" s="232"/>
      <c r="J2242" s="232"/>
      <c r="K2242" s="232"/>
      <c r="L2242" s="232"/>
      <c r="M2242" s="232"/>
      <c r="N2242" s="232"/>
      <c r="O2242" s="232"/>
      <c r="P2242" s="232"/>
      <c r="Q2242" s="232"/>
      <c r="R2242" s="232"/>
      <c r="S2242" s="232"/>
      <c r="T2242" s="232"/>
      <c r="U2242" s="232"/>
      <c r="V2242" s="15"/>
      <c r="W2242" s="15"/>
      <c r="X2242" s="15"/>
      <c r="Y2242" s="15"/>
      <c r="Z2242" s="15"/>
      <c r="AA2242" s="15"/>
    </row>
    <row r="2243" spans="1:27" s="25" customFormat="1" ht="12" customHeight="1" x14ac:dyDescent="0.2">
      <c r="A2243" s="232"/>
      <c r="B2243" s="250"/>
      <c r="C2243" s="286"/>
      <c r="D2243" s="232"/>
      <c r="E2243" s="232"/>
      <c r="F2243" s="232"/>
      <c r="G2243" s="232"/>
      <c r="H2243" s="232"/>
      <c r="I2243" s="232"/>
      <c r="J2243" s="232"/>
      <c r="K2243" s="232"/>
      <c r="L2243" s="232"/>
      <c r="M2243" s="232"/>
      <c r="N2243" s="232"/>
      <c r="O2243" s="232"/>
      <c r="P2243" s="232"/>
      <c r="Q2243" s="232"/>
      <c r="R2243" s="232"/>
      <c r="S2243" s="232"/>
      <c r="T2243" s="232"/>
      <c r="U2243" s="232"/>
      <c r="V2243" s="15"/>
      <c r="W2243" s="15"/>
      <c r="X2243" s="15"/>
      <c r="Y2243" s="15"/>
      <c r="Z2243" s="15"/>
      <c r="AA2243" s="15"/>
    </row>
    <row r="2244" spans="1:27" s="25" customFormat="1" ht="12" customHeight="1" x14ac:dyDescent="0.2">
      <c r="A2244" s="232"/>
      <c r="B2244" s="250"/>
      <c r="C2244" s="286"/>
      <c r="D2244" s="232"/>
      <c r="E2244" s="232"/>
      <c r="F2244" s="232"/>
      <c r="G2244" s="232"/>
      <c r="H2244" s="232"/>
      <c r="I2244" s="232"/>
      <c r="J2244" s="232"/>
      <c r="K2244" s="232"/>
      <c r="L2244" s="232"/>
      <c r="M2244" s="232"/>
      <c r="N2244" s="232"/>
      <c r="O2244" s="232"/>
      <c r="P2244" s="232"/>
      <c r="Q2244" s="232"/>
      <c r="R2244" s="232"/>
      <c r="S2244" s="232"/>
      <c r="T2244" s="232"/>
      <c r="U2244" s="232"/>
      <c r="V2244" s="15"/>
      <c r="W2244" s="15"/>
      <c r="X2244" s="15"/>
      <c r="Y2244" s="15"/>
      <c r="Z2244" s="15"/>
      <c r="AA2244" s="15"/>
    </row>
    <row r="2245" spans="1:27" s="25" customFormat="1" ht="12" customHeight="1" x14ac:dyDescent="0.2">
      <c r="A2245" s="232"/>
      <c r="B2245" s="250"/>
      <c r="C2245" s="286"/>
      <c r="D2245" s="232"/>
      <c r="E2245" s="232"/>
      <c r="F2245" s="232"/>
      <c r="G2245" s="232"/>
      <c r="H2245" s="232"/>
      <c r="I2245" s="232"/>
      <c r="J2245" s="232"/>
      <c r="K2245" s="232"/>
      <c r="L2245" s="232"/>
      <c r="M2245" s="232"/>
      <c r="N2245" s="232"/>
      <c r="O2245" s="232"/>
      <c r="P2245" s="232"/>
      <c r="Q2245" s="232"/>
      <c r="R2245" s="232"/>
      <c r="S2245" s="232"/>
      <c r="T2245" s="232"/>
      <c r="U2245" s="232"/>
      <c r="V2245" s="15"/>
      <c r="W2245" s="15"/>
      <c r="X2245" s="15"/>
      <c r="Y2245" s="15"/>
      <c r="Z2245" s="15"/>
      <c r="AA2245" s="15"/>
    </row>
    <row r="2246" spans="1:27" s="25" customFormat="1" ht="12" customHeight="1" x14ac:dyDescent="0.2">
      <c r="A2246" s="232"/>
      <c r="B2246" s="250"/>
      <c r="C2246" s="286"/>
      <c r="D2246" s="232"/>
      <c r="E2246" s="232"/>
      <c r="F2246" s="232"/>
      <c r="G2246" s="232"/>
      <c r="H2246" s="232"/>
      <c r="I2246" s="232"/>
      <c r="J2246" s="232"/>
      <c r="K2246" s="232"/>
      <c r="L2246" s="232"/>
      <c r="M2246" s="232"/>
      <c r="N2246" s="232"/>
      <c r="O2246" s="232"/>
      <c r="P2246" s="232"/>
      <c r="Q2246" s="232"/>
      <c r="R2246" s="232"/>
      <c r="S2246" s="232"/>
      <c r="T2246" s="232"/>
      <c r="U2246" s="232"/>
      <c r="V2246" s="15"/>
      <c r="W2246" s="15"/>
      <c r="X2246" s="15"/>
      <c r="Y2246" s="15"/>
      <c r="Z2246" s="15"/>
      <c r="AA2246" s="15"/>
    </row>
    <row r="2247" spans="1:27" s="25" customFormat="1" ht="12" customHeight="1" x14ac:dyDescent="0.2">
      <c r="A2247" s="232"/>
      <c r="B2247" s="250"/>
      <c r="C2247" s="286"/>
      <c r="D2247" s="232"/>
      <c r="E2247" s="232"/>
      <c r="F2247" s="232"/>
      <c r="G2247" s="232"/>
      <c r="H2247" s="232"/>
      <c r="I2247" s="232"/>
      <c r="J2247" s="232"/>
      <c r="K2247" s="232"/>
      <c r="L2247" s="232"/>
      <c r="M2247" s="232"/>
      <c r="N2247" s="232"/>
      <c r="O2247" s="232"/>
      <c r="P2247" s="232"/>
      <c r="Q2247" s="232"/>
      <c r="R2247" s="232"/>
      <c r="S2247" s="232"/>
      <c r="T2247" s="232"/>
      <c r="U2247" s="232"/>
      <c r="V2247" s="15"/>
      <c r="W2247" s="15"/>
      <c r="X2247" s="15"/>
      <c r="Y2247" s="15"/>
      <c r="Z2247" s="15"/>
      <c r="AA2247" s="15"/>
    </row>
    <row r="2248" spans="1:27" s="25" customFormat="1" ht="12" customHeight="1" x14ac:dyDescent="0.2">
      <c r="A2248" s="232"/>
      <c r="B2248" s="250"/>
      <c r="C2248" s="286"/>
      <c r="D2248" s="232"/>
      <c r="E2248" s="232"/>
      <c r="F2248" s="232"/>
      <c r="G2248" s="232"/>
      <c r="H2248" s="232"/>
      <c r="I2248" s="232"/>
      <c r="J2248" s="232"/>
      <c r="K2248" s="232"/>
      <c r="L2248" s="232"/>
      <c r="M2248" s="232"/>
      <c r="N2248" s="232"/>
      <c r="O2248" s="232"/>
      <c r="P2248" s="232"/>
      <c r="Q2248" s="232"/>
      <c r="R2248" s="232"/>
      <c r="S2248" s="232"/>
      <c r="T2248" s="232"/>
      <c r="U2248" s="232"/>
      <c r="V2248" s="15"/>
      <c r="W2248" s="15"/>
      <c r="X2248" s="15"/>
      <c r="Y2248" s="15"/>
      <c r="Z2248" s="15"/>
      <c r="AA2248" s="15"/>
    </row>
    <row r="2249" spans="1:27" s="25" customFormat="1" ht="12" customHeight="1" x14ac:dyDescent="0.2">
      <c r="A2249" s="232"/>
      <c r="B2249" s="250"/>
      <c r="C2249" s="286"/>
      <c r="D2249" s="232"/>
      <c r="E2249" s="232"/>
      <c r="F2249" s="232"/>
      <c r="G2249" s="232"/>
      <c r="H2249" s="232"/>
      <c r="I2249" s="232"/>
      <c r="J2249" s="232"/>
      <c r="K2249" s="232"/>
      <c r="L2249" s="232"/>
      <c r="M2249" s="232"/>
      <c r="N2249" s="232"/>
      <c r="O2249" s="232"/>
      <c r="P2249" s="232"/>
      <c r="Q2249" s="232"/>
      <c r="R2249" s="232"/>
      <c r="S2249" s="232"/>
      <c r="T2249" s="232"/>
      <c r="U2249" s="232"/>
      <c r="V2249" s="15"/>
      <c r="W2249" s="15"/>
      <c r="X2249" s="15"/>
      <c r="Y2249" s="15"/>
      <c r="Z2249" s="15"/>
      <c r="AA2249" s="15"/>
    </row>
    <row r="2250" spans="1:27" s="25" customFormat="1" ht="12" customHeight="1" x14ac:dyDescent="0.2">
      <c r="A2250" s="232"/>
      <c r="B2250" s="250"/>
      <c r="C2250" s="286"/>
      <c r="D2250" s="232"/>
      <c r="E2250" s="232"/>
      <c r="F2250" s="232"/>
      <c r="G2250" s="232"/>
      <c r="H2250" s="232"/>
      <c r="I2250" s="232"/>
      <c r="J2250" s="232"/>
      <c r="K2250" s="232"/>
      <c r="L2250" s="232"/>
      <c r="M2250" s="232"/>
      <c r="N2250" s="232"/>
      <c r="O2250" s="232"/>
      <c r="P2250" s="232"/>
      <c r="Q2250" s="232"/>
      <c r="R2250" s="232"/>
      <c r="S2250" s="232"/>
      <c r="T2250" s="232"/>
      <c r="U2250" s="232"/>
      <c r="V2250" s="15"/>
      <c r="W2250" s="15"/>
      <c r="X2250" s="15"/>
      <c r="Y2250" s="15"/>
      <c r="Z2250" s="15"/>
      <c r="AA2250" s="15"/>
    </row>
    <row r="2251" spans="1:27" s="25" customFormat="1" ht="12" customHeight="1" x14ac:dyDescent="0.2">
      <c r="A2251" s="232"/>
      <c r="B2251" s="250"/>
      <c r="C2251" s="286"/>
      <c r="D2251" s="232"/>
      <c r="E2251" s="232"/>
      <c r="F2251" s="232"/>
      <c r="G2251" s="232"/>
      <c r="H2251" s="232"/>
      <c r="I2251" s="232"/>
      <c r="J2251" s="232"/>
      <c r="K2251" s="232"/>
      <c r="L2251" s="232"/>
      <c r="M2251" s="232"/>
      <c r="N2251" s="232"/>
      <c r="O2251" s="232"/>
      <c r="P2251" s="232"/>
      <c r="Q2251" s="232"/>
      <c r="R2251" s="232"/>
      <c r="S2251" s="232"/>
      <c r="T2251" s="232"/>
      <c r="U2251" s="232"/>
      <c r="V2251" s="15"/>
      <c r="W2251" s="15"/>
      <c r="X2251" s="15"/>
      <c r="Y2251" s="15"/>
      <c r="Z2251" s="15"/>
      <c r="AA2251" s="15"/>
    </row>
    <row r="2252" spans="1:27" s="25" customFormat="1" ht="12" customHeight="1" x14ac:dyDescent="0.2">
      <c r="A2252" s="232"/>
      <c r="B2252" s="250"/>
      <c r="C2252" s="286"/>
      <c r="D2252" s="232"/>
      <c r="E2252" s="232"/>
      <c r="F2252" s="232"/>
      <c r="G2252" s="232"/>
      <c r="H2252" s="232"/>
      <c r="I2252" s="232"/>
      <c r="J2252" s="232"/>
      <c r="K2252" s="232"/>
      <c r="L2252" s="232"/>
      <c r="M2252" s="232"/>
      <c r="N2252" s="232"/>
      <c r="O2252" s="232"/>
      <c r="P2252" s="232"/>
      <c r="Q2252" s="232"/>
      <c r="R2252" s="232"/>
      <c r="S2252" s="232"/>
      <c r="T2252" s="232"/>
      <c r="U2252" s="232"/>
      <c r="V2252" s="15"/>
      <c r="W2252" s="15"/>
      <c r="X2252" s="15"/>
      <c r="Y2252" s="15"/>
      <c r="Z2252" s="15"/>
      <c r="AA2252" s="15"/>
    </row>
    <row r="2253" spans="1:27" s="25" customFormat="1" ht="12" customHeight="1" x14ac:dyDescent="0.2">
      <c r="A2253" s="232"/>
      <c r="B2253" s="250"/>
      <c r="C2253" s="286"/>
      <c r="D2253" s="232"/>
      <c r="E2253" s="232"/>
      <c r="F2253" s="232"/>
      <c r="G2253" s="232"/>
      <c r="H2253" s="232"/>
      <c r="I2253" s="232"/>
      <c r="J2253" s="232"/>
      <c r="K2253" s="232"/>
      <c r="L2253" s="232"/>
      <c r="M2253" s="232"/>
      <c r="N2253" s="232"/>
      <c r="O2253" s="232"/>
      <c r="P2253" s="232"/>
      <c r="Q2253" s="232"/>
      <c r="R2253" s="232"/>
      <c r="S2253" s="232"/>
      <c r="T2253" s="232"/>
      <c r="U2253" s="232"/>
      <c r="V2253" s="15"/>
      <c r="W2253" s="15"/>
      <c r="X2253" s="15"/>
      <c r="Y2253" s="15"/>
      <c r="Z2253" s="15"/>
      <c r="AA2253" s="15"/>
    </row>
    <row r="2254" spans="1:27" s="25" customFormat="1" ht="12" customHeight="1" x14ac:dyDescent="0.2">
      <c r="A2254" s="232"/>
      <c r="B2254" s="250"/>
      <c r="C2254" s="286"/>
      <c r="D2254" s="232"/>
      <c r="E2254" s="232"/>
      <c r="F2254" s="232"/>
      <c r="G2254" s="232"/>
      <c r="H2254" s="232"/>
      <c r="I2254" s="232"/>
      <c r="J2254" s="232"/>
      <c r="K2254" s="232"/>
      <c r="L2254" s="232"/>
      <c r="M2254" s="232"/>
      <c r="N2254" s="232"/>
      <c r="O2254" s="232"/>
      <c r="P2254" s="232"/>
      <c r="Q2254" s="232"/>
      <c r="R2254" s="232"/>
      <c r="S2254" s="232"/>
      <c r="T2254" s="232"/>
      <c r="U2254" s="232"/>
      <c r="V2254" s="15"/>
      <c r="W2254" s="15"/>
      <c r="X2254" s="15"/>
      <c r="Y2254" s="15"/>
      <c r="Z2254" s="15"/>
      <c r="AA2254" s="15"/>
    </row>
    <row r="2255" spans="1:27" s="25" customFormat="1" ht="12" customHeight="1" x14ac:dyDescent="0.2">
      <c r="A2255" s="232"/>
      <c r="B2255" s="250"/>
      <c r="C2255" s="286"/>
      <c r="D2255" s="232"/>
      <c r="E2255" s="232"/>
      <c r="F2255" s="232"/>
      <c r="G2255" s="232"/>
      <c r="H2255" s="232"/>
      <c r="I2255" s="232"/>
      <c r="J2255" s="232"/>
      <c r="K2255" s="232"/>
      <c r="L2255" s="232"/>
      <c r="M2255" s="232"/>
      <c r="N2255" s="232"/>
      <c r="O2255" s="232"/>
      <c r="P2255" s="232"/>
      <c r="Q2255" s="232"/>
      <c r="R2255" s="232"/>
      <c r="S2255" s="232"/>
      <c r="T2255" s="232"/>
      <c r="U2255" s="232"/>
      <c r="V2255" s="15"/>
      <c r="W2255" s="15"/>
      <c r="X2255" s="15"/>
      <c r="Y2255" s="15"/>
      <c r="Z2255" s="15"/>
      <c r="AA2255" s="15"/>
    </row>
    <row r="2256" spans="1:27" s="25" customFormat="1" ht="12" customHeight="1" x14ac:dyDescent="0.2">
      <c r="A2256" s="232"/>
      <c r="B2256" s="250"/>
      <c r="C2256" s="286"/>
      <c r="D2256" s="232"/>
      <c r="E2256" s="232"/>
      <c r="F2256" s="232"/>
      <c r="G2256" s="232"/>
      <c r="H2256" s="232"/>
      <c r="I2256" s="232"/>
      <c r="J2256" s="232"/>
      <c r="K2256" s="232"/>
      <c r="L2256" s="232"/>
      <c r="M2256" s="232"/>
      <c r="N2256" s="232"/>
      <c r="O2256" s="232"/>
      <c r="P2256" s="232"/>
      <c r="Q2256" s="232"/>
      <c r="R2256" s="232"/>
      <c r="S2256" s="232"/>
      <c r="T2256" s="232"/>
      <c r="U2256" s="232"/>
      <c r="V2256" s="15"/>
      <c r="W2256" s="15"/>
      <c r="X2256" s="15"/>
      <c r="Y2256" s="15"/>
      <c r="Z2256" s="15"/>
      <c r="AA2256" s="15"/>
    </row>
    <row r="2257" spans="1:27" s="25" customFormat="1" ht="12" customHeight="1" x14ac:dyDescent="0.2">
      <c r="A2257" s="232"/>
      <c r="B2257" s="250"/>
      <c r="C2257" s="286"/>
      <c r="D2257" s="232"/>
      <c r="E2257" s="232"/>
      <c r="F2257" s="232"/>
      <c r="G2257" s="232"/>
      <c r="H2257" s="232"/>
      <c r="I2257" s="232"/>
      <c r="J2257" s="232"/>
      <c r="K2257" s="232"/>
      <c r="L2257" s="232"/>
      <c r="M2257" s="232"/>
      <c r="N2257" s="232"/>
      <c r="O2257" s="232"/>
      <c r="P2257" s="232"/>
      <c r="Q2257" s="232"/>
      <c r="R2257" s="232"/>
      <c r="S2257" s="232"/>
      <c r="T2257" s="232"/>
      <c r="U2257" s="232"/>
      <c r="V2257" s="15"/>
      <c r="W2257" s="15"/>
      <c r="X2257" s="15"/>
      <c r="Y2257" s="15"/>
      <c r="Z2257" s="15"/>
      <c r="AA2257" s="15"/>
    </row>
    <row r="2258" spans="1:27" s="25" customFormat="1" ht="12" customHeight="1" x14ac:dyDescent="0.2">
      <c r="A2258" s="232"/>
      <c r="B2258" s="250"/>
      <c r="C2258" s="286"/>
      <c r="D2258" s="232"/>
      <c r="E2258" s="232"/>
      <c r="F2258" s="232"/>
      <c r="G2258" s="232"/>
      <c r="H2258" s="232"/>
      <c r="I2258" s="232"/>
      <c r="J2258" s="232"/>
      <c r="K2258" s="232"/>
      <c r="L2258" s="232"/>
      <c r="M2258" s="232"/>
      <c r="N2258" s="232"/>
      <c r="O2258" s="232"/>
      <c r="P2258" s="232"/>
      <c r="Q2258" s="232"/>
      <c r="R2258" s="232"/>
      <c r="S2258" s="232"/>
      <c r="T2258" s="232"/>
      <c r="U2258" s="232"/>
      <c r="V2258" s="15"/>
      <c r="W2258" s="15"/>
      <c r="X2258" s="15"/>
      <c r="Y2258" s="15"/>
      <c r="Z2258" s="15"/>
      <c r="AA2258" s="15"/>
    </row>
    <row r="2259" spans="1:27" s="25" customFormat="1" ht="12" customHeight="1" x14ac:dyDescent="0.2">
      <c r="A2259" s="232"/>
      <c r="B2259" s="250"/>
      <c r="C2259" s="286"/>
      <c r="D2259" s="232"/>
      <c r="E2259" s="232"/>
      <c r="F2259" s="232"/>
      <c r="G2259" s="232"/>
      <c r="H2259" s="232"/>
      <c r="I2259" s="232"/>
      <c r="J2259" s="232"/>
      <c r="K2259" s="232"/>
      <c r="L2259" s="232"/>
      <c r="M2259" s="232"/>
      <c r="N2259" s="232"/>
      <c r="O2259" s="232"/>
      <c r="P2259" s="232"/>
      <c r="Q2259" s="232"/>
      <c r="R2259" s="232"/>
      <c r="S2259" s="232"/>
      <c r="T2259" s="232"/>
      <c r="U2259" s="232"/>
      <c r="V2259" s="15"/>
      <c r="W2259" s="15"/>
      <c r="X2259" s="15"/>
      <c r="Y2259" s="15"/>
      <c r="Z2259" s="15"/>
      <c r="AA2259" s="15"/>
    </row>
    <row r="2260" spans="1:27" s="25" customFormat="1" ht="12" customHeight="1" x14ac:dyDescent="0.2">
      <c r="A2260" s="232"/>
      <c r="B2260" s="250"/>
      <c r="C2260" s="286"/>
      <c r="D2260" s="232"/>
      <c r="E2260" s="232"/>
      <c r="F2260" s="232"/>
      <c r="G2260" s="232"/>
      <c r="H2260" s="232"/>
      <c r="I2260" s="232"/>
      <c r="J2260" s="232"/>
      <c r="K2260" s="232"/>
      <c r="L2260" s="232"/>
      <c r="M2260" s="232"/>
      <c r="N2260" s="232"/>
      <c r="O2260" s="232"/>
      <c r="P2260" s="232"/>
      <c r="Q2260" s="232"/>
      <c r="R2260" s="232"/>
      <c r="S2260" s="232"/>
      <c r="T2260" s="232"/>
      <c r="U2260" s="232"/>
      <c r="V2260" s="15"/>
      <c r="W2260" s="15"/>
      <c r="X2260" s="15"/>
      <c r="Y2260" s="15"/>
      <c r="Z2260" s="15"/>
      <c r="AA2260" s="15"/>
    </row>
    <row r="2261" spans="1:27" s="25" customFormat="1" ht="12" customHeight="1" x14ac:dyDescent="0.2">
      <c r="A2261" s="232"/>
      <c r="B2261" s="250"/>
      <c r="C2261" s="286"/>
      <c r="D2261" s="232"/>
      <c r="E2261" s="232"/>
      <c r="F2261" s="232"/>
      <c r="G2261" s="232"/>
      <c r="H2261" s="232"/>
      <c r="I2261" s="232"/>
      <c r="J2261" s="232"/>
      <c r="K2261" s="232"/>
      <c r="L2261" s="232"/>
      <c r="M2261" s="232"/>
      <c r="N2261" s="232"/>
      <c r="O2261" s="232"/>
      <c r="P2261" s="232"/>
      <c r="Q2261" s="232"/>
      <c r="R2261" s="232"/>
      <c r="S2261" s="232"/>
      <c r="T2261" s="232"/>
      <c r="U2261" s="232"/>
      <c r="V2261" s="15"/>
      <c r="W2261" s="15"/>
      <c r="X2261" s="15"/>
      <c r="Y2261" s="15"/>
      <c r="Z2261" s="15"/>
      <c r="AA2261" s="15"/>
    </row>
    <row r="2262" spans="1:27" s="25" customFormat="1" ht="12" customHeight="1" x14ac:dyDescent="0.2">
      <c r="A2262" s="232"/>
      <c r="B2262" s="250"/>
      <c r="C2262" s="286"/>
      <c r="D2262" s="232"/>
      <c r="E2262" s="232"/>
      <c r="F2262" s="232"/>
      <c r="G2262" s="232"/>
      <c r="H2262" s="232"/>
      <c r="I2262" s="232"/>
      <c r="J2262" s="232"/>
      <c r="K2262" s="232"/>
      <c r="L2262" s="232"/>
      <c r="M2262" s="232"/>
      <c r="N2262" s="232"/>
      <c r="O2262" s="232"/>
      <c r="P2262" s="232"/>
      <c r="Q2262" s="232"/>
      <c r="R2262" s="232"/>
      <c r="S2262" s="232"/>
      <c r="T2262" s="232"/>
      <c r="U2262" s="232"/>
      <c r="V2262" s="15"/>
      <c r="W2262" s="15"/>
      <c r="X2262" s="15"/>
      <c r="Y2262" s="15"/>
      <c r="Z2262" s="15"/>
      <c r="AA2262" s="15"/>
    </row>
    <row r="2263" spans="1:27" s="25" customFormat="1" ht="12" customHeight="1" x14ac:dyDescent="0.2">
      <c r="A2263" s="232"/>
      <c r="B2263" s="250"/>
      <c r="C2263" s="286"/>
      <c r="D2263" s="232"/>
      <c r="E2263" s="232"/>
      <c r="F2263" s="232"/>
      <c r="G2263" s="232"/>
      <c r="H2263" s="232"/>
      <c r="I2263" s="232"/>
      <c r="J2263" s="232"/>
      <c r="K2263" s="232"/>
      <c r="L2263" s="232"/>
      <c r="M2263" s="232"/>
      <c r="N2263" s="232"/>
      <c r="O2263" s="232"/>
      <c r="P2263" s="232"/>
      <c r="Q2263" s="232"/>
      <c r="R2263" s="232"/>
      <c r="S2263" s="232"/>
      <c r="T2263" s="232"/>
      <c r="U2263" s="232"/>
      <c r="V2263" s="15"/>
      <c r="W2263" s="15"/>
      <c r="X2263" s="15"/>
      <c r="Y2263" s="15"/>
      <c r="Z2263" s="15"/>
      <c r="AA2263" s="15"/>
    </row>
    <row r="2264" spans="1:27" s="25" customFormat="1" ht="12" customHeight="1" x14ac:dyDescent="0.2">
      <c r="A2264" s="232"/>
      <c r="B2264" s="250"/>
      <c r="C2264" s="286"/>
      <c r="D2264" s="232"/>
      <c r="E2264" s="232"/>
      <c r="F2264" s="232"/>
      <c r="G2264" s="232"/>
      <c r="H2264" s="232"/>
      <c r="I2264" s="232"/>
      <c r="J2264" s="232"/>
      <c r="K2264" s="232"/>
      <c r="L2264" s="232"/>
      <c r="M2264" s="232"/>
      <c r="N2264" s="232"/>
      <c r="O2264" s="232"/>
      <c r="P2264" s="232"/>
      <c r="Q2264" s="232"/>
      <c r="R2264" s="232"/>
      <c r="S2264" s="232"/>
      <c r="T2264" s="232"/>
      <c r="U2264" s="232"/>
      <c r="V2264" s="15"/>
      <c r="W2264" s="15"/>
      <c r="X2264" s="15"/>
      <c r="Y2264" s="15"/>
      <c r="Z2264" s="15"/>
      <c r="AA2264" s="15"/>
    </row>
    <row r="2265" spans="1:27" s="25" customFormat="1" ht="12" customHeight="1" x14ac:dyDescent="0.2">
      <c r="A2265" s="232"/>
      <c r="B2265" s="250"/>
      <c r="C2265" s="286"/>
      <c r="D2265" s="232"/>
      <c r="E2265" s="232"/>
      <c r="F2265" s="232"/>
      <c r="G2265" s="232"/>
      <c r="H2265" s="232"/>
      <c r="I2265" s="232"/>
      <c r="J2265" s="232"/>
      <c r="K2265" s="232"/>
      <c r="L2265" s="232"/>
      <c r="M2265" s="232"/>
      <c r="N2265" s="232"/>
      <c r="O2265" s="232"/>
      <c r="P2265" s="232"/>
      <c r="Q2265" s="232"/>
      <c r="R2265" s="232"/>
      <c r="S2265" s="232"/>
      <c r="T2265" s="232"/>
      <c r="U2265" s="232"/>
      <c r="V2265" s="15"/>
      <c r="W2265" s="15"/>
      <c r="X2265" s="15"/>
      <c r="Y2265" s="15"/>
      <c r="Z2265" s="15"/>
      <c r="AA2265" s="15"/>
    </row>
    <row r="2266" spans="1:27" s="25" customFormat="1" ht="12" customHeight="1" x14ac:dyDescent="0.2">
      <c r="A2266" s="232"/>
      <c r="B2266" s="250"/>
      <c r="C2266" s="286"/>
      <c r="D2266" s="232"/>
      <c r="E2266" s="232"/>
      <c r="F2266" s="232"/>
      <c r="G2266" s="232"/>
      <c r="H2266" s="232"/>
      <c r="I2266" s="232"/>
      <c r="J2266" s="232"/>
      <c r="K2266" s="232"/>
      <c r="L2266" s="232"/>
      <c r="M2266" s="232"/>
      <c r="N2266" s="232"/>
      <c r="O2266" s="232"/>
      <c r="P2266" s="232"/>
      <c r="Q2266" s="232"/>
      <c r="R2266" s="232"/>
      <c r="S2266" s="232"/>
      <c r="T2266" s="232"/>
      <c r="U2266" s="232"/>
      <c r="V2266" s="15"/>
      <c r="W2266" s="15"/>
      <c r="X2266" s="15"/>
      <c r="Y2266" s="15"/>
      <c r="Z2266" s="15"/>
      <c r="AA2266" s="15"/>
    </row>
    <row r="2267" spans="1:27" s="25" customFormat="1" ht="12" customHeight="1" x14ac:dyDescent="0.2">
      <c r="A2267" s="232"/>
      <c r="B2267" s="250"/>
      <c r="C2267" s="286"/>
      <c r="D2267" s="232"/>
      <c r="E2267" s="232"/>
      <c r="F2267" s="232"/>
      <c r="G2267" s="232"/>
      <c r="H2267" s="232"/>
      <c r="I2267" s="232"/>
      <c r="J2267" s="232"/>
      <c r="K2267" s="232"/>
      <c r="L2267" s="232"/>
      <c r="M2267" s="232"/>
      <c r="N2267" s="232"/>
      <c r="O2267" s="232"/>
      <c r="P2267" s="232"/>
      <c r="Q2267" s="232"/>
      <c r="R2267" s="232"/>
      <c r="S2267" s="232"/>
      <c r="T2267" s="232"/>
      <c r="U2267" s="232"/>
      <c r="V2267" s="15"/>
      <c r="W2267" s="15"/>
      <c r="X2267" s="15"/>
      <c r="Y2267" s="15"/>
      <c r="Z2267" s="15"/>
      <c r="AA2267" s="15"/>
    </row>
    <row r="2268" spans="1:27" s="25" customFormat="1" ht="12" customHeight="1" x14ac:dyDescent="0.2">
      <c r="A2268" s="232"/>
      <c r="B2268" s="250"/>
      <c r="C2268" s="286"/>
      <c r="D2268" s="232"/>
      <c r="E2268" s="232"/>
      <c r="F2268" s="232"/>
      <c r="G2268" s="232"/>
      <c r="H2268" s="232"/>
      <c r="I2268" s="232"/>
      <c r="J2268" s="232"/>
      <c r="K2268" s="232"/>
      <c r="L2268" s="232"/>
      <c r="M2268" s="232"/>
      <c r="N2268" s="232"/>
      <c r="O2268" s="232"/>
      <c r="P2268" s="232"/>
      <c r="Q2268" s="232"/>
      <c r="R2268" s="232"/>
      <c r="S2268" s="232"/>
      <c r="T2268" s="232"/>
      <c r="U2268" s="232"/>
      <c r="V2268" s="15"/>
      <c r="W2268" s="15"/>
      <c r="X2268" s="15"/>
      <c r="Y2268" s="15"/>
      <c r="Z2268" s="15"/>
      <c r="AA2268" s="15"/>
    </row>
    <row r="2269" spans="1:27" s="25" customFormat="1" ht="12" customHeight="1" x14ac:dyDescent="0.2">
      <c r="A2269" s="232"/>
      <c r="B2269" s="250"/>
      <c r="C2269" s="286"/>
      <c r="D2269" s="232"/>
      <c r="E2269" s="232"/>
      <c r="F2269" s="232"/>
      <c r="G2269" s="232"/>
      <c r="H2269" s="232"/>
      <c r="I2269" s="232"/>
      <c r="J2269" s="232"/>
      <c r="K2269" s="232"/>
      <c r="L2269" s="232"/>
      <c r="M2269" s="232"/>
      <c r="N2269" s="232"/>
      <c r="O2269" s="232"/>
      <c r="P2269" s="232"/>
      <c r="Q2269" s="232"/>
      <c r="R2269" s="232"/>
      <c r="S2269" s="232"/>
      <c r="T2269" s="232"/>
      <c r="U2269" s="232"/>
      <c r="V2269" s="15"/>
      <c r="W2269" s="15"/>
      <c r="X2269" s="15"/>
      <c r="Y2269" s="15"/>
      <c r="Z2269" s="15"/>
      <c r="AA2269" s="15"/>
    </row>
    <row r="2270" spans="1:27" s="25" customFormat="1" ht="12" customHeight="1" x14ac:dyDescent="0.2">
      <c r="A2270" s="232"/>
      <c r="B2270" s="250"/>
      <c r="C2270" s="286"/>
      <c r="D2270" s="232"/>
      <c r="E2270" s="232"/>
      <c r="F2270" s="232"/>
      <c r="G2270" s="232"/>
      <c r="H2270" s="232"/>
      <c r="I2270" s="232"/>
      <c r="J2270" s="232"/>
      <c r="K2270" s="232"/>
      <c r="L2270" s="232"/>
      <c r="M2270" s="232"/>
      <c r="N2270" s="232"/>
      <c r="O2270" s="232"/>
      <c r="P2270" s="232"/>
      <c r="Q2270" s="232"/>
      <c r="R2270" s="232"/>
      <c r="S2270" s="232"/>
      <c r="T2270" s="232"/>
      <c r="U2270" s="232"/>
      <c r="V2270" s="15"/>
      <c r="W2270" s="15"/>
      <c r="X2270" s="15"/>
      <c r="Y2270" s="15"/>
      <c r="Z2270" s="15"/>
      <c r="AA2270" s="15"/>
    </row>
    <row r="2271" spans="1:27" s="25" customFormat="1" ht="12" customHeight="1" x14ac:dyDescent="0.2">
      <c r="A2271" s="232"/>
      <c r="B2271" s="250"/>
      <c r="C2271" s="286"/>
      <c r="D2271" s="232"/>
      <c r="E2271" s="232"/>
      <c r="F2271" s="232"/>
      <c r="G2271" s="232"/>
      <c r="H2271" s="232"/>
      <c r="I2271" s="232"/>
      <c r="J2271" s="232"/>
      <c r="K2271" s="232"/>
      <c r="L2271" s="232"/>
      <c r="M2271" s="232"/>
      <c r="N2271" s="232"/>
      <c r="O2271" s="232"/>
      <c r="P2271" s="232"/>
      <c r="Q2271" s="232"/>
      <c r="R2271" s="232"/>
      <c r="S2271" s="232"/>
      <c r="T2271" s="232"/>
      <c r="U2271" s="232"/>
      <c r="V2271" s="15"/>
      <c r="W2271" s="15"/>
      <c r="X2271" s="15"/>
      <c r="Y2271" s="15"/>
      <c r="Z2271" s="15"/>
      <c r="AA2271" s="15"/>
    </row>
    <row r="2272" spans="1:27" s="25" customFormat="1" ht="12" customHeight="1" x14ac:dyDescent="0.2">
      <c r="A2272" s="232"/>
      <c r="B2272" s="250"/>
      <c r="C2272" s="286"/>
      <c r="D2272" s="232"/>
      <c r="E2272" s="232"/>
      <c r="F2272" s="232"/>
      <c r="G2272" s="232"/>
      <c r="H2272" s="232"/>
      <c r="I2272" s="232"/>
      <c r="J2272" s="232"/>
      <c r="K2272" s="232"/>
      <c r="L2272" s="232"/>
      <c r="M2272" s="232"/>
      <c r="N2272" s="232"/>
      <c r="O2272" s="232"/>
      <c r="P2272" s="232"/>
      <c r="Q2272" s="232"/>
      <c r="R2272" s="232"/>
      <c r="S2272" s="232"/>
      <c r="T2272" s="232"/>
      <c r="U2272" s="232"/>
      <c r="V2272" s="15"/>
      <c r="W2272" s="15"/>
      <c r="X2272" s="15"/>
      <c r="Y2272" s="15"/>
      <c r="Z2272" s="15"/>
      <c r="AA2272" s="15"/>
    </row>
    <row r="2273" spans="1:27" s="25" customFormat="1" ht="12" customHeight="1" x14ac:dyDescent="0.2">
      <c r="A2273" s="232"/>
      <c r="B2273" s="250"/>
      <c r="C2273" s="286"/>
      <c r="D2273" s="232"/>
      <c r="E2273" s="232"/>
      <c r="F2273" s="232"/>
      <c r="G2273" s="232"/>
      <c r="H2273" s="232"/>
      <c r="I2273" s="232"/>
      <c r="J2273" s="232"/>
      <c r="K2273" s="232"/>
      <c r="L2273" s="232"/>
      <c r="M2273" s="232"/>
      <c r="N2273" s="232"/>
      <c r="O2273" s="232"/>
      <c r="P2273" s="232"/>
      <c r="Q2273" s="232"/>
      <c r="R2273" s="232"/>
      <c r="S2273" s="232"/>
      <c r="T2273" s="232"/>
      <c r="U2273" s="232"/>
      <c r="V2273" s="15"/>
      <c r="W2273" s="15"/>
      <c r="X2273" s="15"/>
      <c r="Y2273" s="15"/>
      <c r="Z2273" s="15"/>
      <c r="AA2273" s="15"/>
    </row>
    <row r="2274" spans="1:27" s="25" customFormat="1" ht="12" customHeight="1" x14ac:dyDescent="0.2">
      <c r="A2274" s="232"/>
      <c r="B2274" s="250"/>
      <c r="C2274" s="286"/>
      <c r="D2274" s="232"/>
      <c r="E2274" s="232"/>
      <c r="F2274" s="232"/>
      <c r="G2274" s="232"/>
      <c r="H2274" s="232"/>
      <c r="I2274" s="232"/>
      <c r="J2274" s="232"/>
      <c r="K2274" s="232"/>
      <c r="L2274" s="232"/>
      <c r="M2274" s="232"/>
      <c r="N2274" s="232"/>
      <c r="O2274" s="232"/>
      <c r="P2274" s="232"/>
      <c r="Q2274" s="232"/>
      <c r="R2274" s="232"/>
      <c r="S2274" s="232"/>
      <c r="T2274" s="232"/>
      <c r="U2274" s="232"/>
      <c r="V2274" s="15"/>
      <c r="W2274" s="15"/>
      <c r="X2274" s="15"/>
      <c r="Y2274" s="15"/>
      <c r="Z2274" s="15"/>
      <c r="AA2274" s="15"/>
    </row>
    <row r="2275" spans="1:27" s="25" customFormat="1" ht="12" customHeight="1" x14ac:dyDescent="0.2">
      <c r="A2275" s="232"/>
      <c r="B2275" s="250"/>
      <c r="C2275" s="286"/>
      <c r="D2275" s="232"/>
      <c r="E2275" s="232"/>
      <c r="F2275" s="232"/>
      <c r="G2275" s="232"/>
      <c r="H2275" s="232"/>
      <c r="I2275" s="232"/>
      <c r="J2275" s="232"/>
      <c r="K2275" s="232"/>
      <c r="L2275" s="232"/>
      <c r="M2275" s="232"/>
      <c r="N2275" s="232"/>
      <c r="O2275" s="232"/>
      <c r="P2275" s="232"/>
      <c r="Q2275" s="232"/>
      <c r="R2275" s="232"/>
      <c r="S2275" s="232"/>
      <c r="T2275" s="232"/>
      <c r="U2275" s="232"/>
      <c r="V2275" s="15"/>
      <c r="W2275" s="15"/>
      <c r="X2275" s="15"/>
      <c r="Y2275" s="15"/>
      <c r="Z2275" s="15"/>
      <c r="AA2275" s="15"/>
    </row>
    <row r="2276" spans="1:27" s="25" customFormat="1" ht="12" customHeight="1" x14ac:dyDescent="0.2">
      <c r="A2276" s="232"/>
      <c r="B2276" s="250"/>
      <c r="C2276" s="286"/>
      <c r="D2276" s="232"/>
      <c r="E2276" s="232"/>
      <c r="F2276" s="232"/>
      <c r="G2276" s="232"/>
      <c r="H2276" s="232"/>
      <c r="I2276" s="232"/>
      <c r="J2276" s="232"/>
      <c r="K2276" s="232"/>
      <c r="L2276" s="232"/>
      <c r="M2276" s="232"/>
      <c r="N2276" s="232"/>
      <c r="O2276" s="232"/>
      <c r="P2276" s="232"/>
      <c r="Q2276" s="232"/>
      <c r="R2276" s="232"/>
      <c r="S2276" s="232"/>
      <c r="T2276" s="232"/>
      <c r="U2276" s="232"/>
      <c r="V2276" s="15"/>
      <c r="W2276" s="15"/>
      <c r="X2276" s="15"/>
      <c r="Y2276" s="15"/>
      <c r="Z2276" s="15"/>
      <c r="AA2276" s="15"/>
    </row>
    <row r="2277" spans="1:27" s="25" customFormat="1" ht="12" customHeight="1" x14ac:dyDescent="0.2">
      <c r="A2277" s="232"/>
      <c r="B2277" s="250"/>
      <c r="C2277" s="286"/>
      <c r="D2277" s="232"/>
      <c r="E2277" s="232"/>
      <c r="F2277" s="232"/>
      <c r="G2277" s="232"/>
      <c r="H2277" s="232"/>
      <c r="I2277" s="232"/>
      <c r="J2277" s="232"/>
      <c r="K2277" s="232"/>
      <c r="L2277" s="232"/>
      <c r="M2277" s="232"/>
      <c r="N2277" s="232"/>
      <c r="O2277" s="232"/>
      <c r="P2277" s="232"/>
      <c r="Q2277" s="232"/>
      <c r="R2277" s="232"/>
      <c r="S2277" s="232"/>
      <c r="T2277" s="232"/>
      <c r="U2277" s="232"/>
      <c r="V2277" s="15"/>
      <c r="W2277" s="15"/>
      <c r="X2277" s="15"/>
      <c r="Y2277" s="15"/>
      <c r="Z2277" s="15"/>
      <c r="AA2277" s="15"/>
    </row>
    <row r="2278" spans="1:27" s="25" customFormat="1" ht="12" customHeight="1" x14ac:dyDescent="0.2">
      <c r="A2278" s="232"/>
      <c r="B2278" s="250"/>
      <c r="C2278" s="286"/>
      <c r="D2278" s="232"/>
      <c r="E2278" s="232"/>
      <c r="F2278" s="232"/>
      <c r="G2278" s="232"/>
      <c r="H2278" s="232"/>
      <c r="I2278" s="232"/>
      <c r="J2278" s="232"/>
      <c r="K2278" s="232"/>
      <c r="L2278" s="232"/>
      <c r="M2278" s="232"/>
      <c r="N2278" s="232"/>
      <c r="O2278" s="232"/>
      <c r="P2278" s="232"/>
      <c r="Q2278" s="232"/>
      <c r="R2278" s="232"/>
      <c r="S2278" s="232"/>
      <c r="T2278" s="232"/>
      <c r="U2278" s="232"/>
      <c r="V2278" s="15"/>
      <c r="W2278" s="15"/>
      <c r="X2278" s="15"/>
      <c r="Y2278" s="15"/>
      <c r="Z2278" s="15"/>
      <c r="AA2278" s="15"/>
    </row>
    <row r="2279" spans="1:27" s="25" customFormat="1" ht="12" customHeight="1" x14ac:dyDescent="0.2">
      <c r="A2279" s="232"/>
      <c r="B2279" s="250"/>
      <c r="C2279" s="286"/>
      <c r="D2279" s="232"/>
      <c r="E2279" s="232"/>
      <c r="F2279" s="232"/>
      <c r="G2279" s="232"/>
      <c r="H2279" s="232"/>
      <c r="I2279" s="232"/>
      <c r="J2279" s="232"/>
      <c r="K2279" s="232"/>
      <c r="L2279" s="232"/>
      <c r="M2279" s="232"/>
      <c r="N2279" s="232"/>
      <c r="O2279" s="232"/>
      <c r="P2279" s="232"/>
      <c r="Q2279" s="232"/>
      <c r="R2279" s="232"/>
      <c r="S2279" s="232"/>
      <c r="T2279" s="232"/>
      <c r="U2279" s="232"/>
      <c r="V2279" s="15"/>
      <c r="W2279" s="15"/>
      <c r="X2279" s="15"/>
      <c r="Y2279" s="15"/>
      <c r="Z2279" s="15"/>
      <c r="AA2279" s="15"/>
    </row>
    <row r="2280" spans="1:27" s="25" customFormat="1" ht="12" customHeight="1" x14ac:dyDescent="0.2">
      <c r="A2280" s="232"/>
      <c r="B2280" s="250"/>
      <c r="C2280" s="286"/>
      <c r="D2280" s="232"/>
      <c r="E2280" s="232"/>
      <c r="F2280" s="232"/>
      <c r="G2280" s="232"/>
      <c r="H2280" s="232"/>
      <c r="I2280" s="232"/>
      <c r="J2280" s="232"/>
      <c r="K2280" s="232"/>
      <c r="L2280" s="232"/>
      <c r="M2280" s="232"/>
      <c r="N2280" s="232"/>
      <c r="O2280" s="232"/>
      <c r="P2280" s="232"/>
      <c r="Q2280" s="232"/>
      <c r="R2280" s="232"/>
      <c r="S2280" s="232"/>
      <c r="T2280" s="232"/>
      <c r="U2280" s="232"/>
      <c r="V2280" s="15"/>
      <c r="W2280" s="15"/>
      <c r="X2280" s="15"/>
      <c r="Y2280" s="15"/>
      <c r="Z2280" s="15"/>
      <c r="AA2280" s="15"/>
    </row>
    <row r="2281" spans="1:27" s="25" customFormat="1" ht="12" customHeight="1" x14ac:dyDescent="0.2">
      <c r="A2281" s="232"/>
      <c r="B2281" s="250"/>
      <c r="C2281" s="286"/>
      <c r="D2281" s="232"/>
      <c r="E2281" s="232"/>
      <c r="F2281" s="232"/>
      <c r="G2281" s="232"/>
      <c r="H2281" s="232"/>
      <c r="I2281" s="232"/>
      <c r="J2281" s="232"/>
      <c r="K2281" s="232"/>
      <c r="L2281" s="232"/>
      <c r="M2281" s="232"/>
      <c r="N2281" s="232"/>
      <c r="O2281" s="232"/>
      <c r="P2281" s="232"/>
      <c r="Q2281" s="232"/>
      <c r="R2281" s="232"/>
      <c r="S2281" s="232"/>
      <c r="T2281" s="232"/>
      <c r="U2281" s="232"/>
      <c r="V2281" s="15"/>
      <c r="W2281" s="15"/>
      <c r="X2281" s="15"/>
      <c r="Y2281" s="15"/>
      <c r="Z2281" s="15"/>
      <c r="AA2281" s="15"/>
    </row>
    <row r="2282" spans="1:27" s="25" customFormat="1" ht="12" customHeight="1" x14ac:dyDescent="0.2">
      <c r="A2282" s="232"/>
      <c r="B2282" s="250"/>
      <c r="C2282" s="286"/>
      <c r="D2282" s="232"/>
      <c r="E2282" s="232"/>
      <c r="F2282" s="232"/>
      <c r="G2282" s="232"/>
      <c r="H2282" s="232"/>
      <c r="I2282" s="232"/>
      <c r="J2282" s="232"/>
      <c r="K2282" s="232"/>
      <c r="L2282" s="232"/>
      <c r="M2282" s="232"/>
      <c r="N2282" s="232"/>
      <c r="O2282" s="232"/>
      <c r="P2282" s="232"/>
      <c r="Q2282" s="232"/>
      <c r="R2282" s="232"/>
      <c r="S2282" s="232"/>
      <c r="T2282" s="232"/>
      <c r="U2282" s="232"/>
      <c r="V2282" s="15"/>
      <c r="W2282" s="15"/>
      <c r="X2282" s="15"/>
      <c r="Y2282" s="15"/>
      <c r="Z2282" s="15"/>
      <c r="AA2282" s="15"/>
    </row>
    <row r="2283" spans="1:27" s="25" customFormat="1" ht="12" customHeight="1" x14ac:dyDescent="0.2">
      <c r="A2283" s="232"/>
      <c r="B2283" s="250"/>
      <c r="C2283" s="286"/>
      <c r="D2283" s="232"/>
      <c r="E2283" s="232"/>
      <c r="F2283" s="232"/>
      <c r="G2283" s="232"/>
      <c r="H2283" s="232"/>
      <c r="I2283" s="232"/>
      <c r="J2283" s="232"/>
      <c r="K2283" s="232"/>
      <c r="L2283" s="232"/>
      <c r="M2283" s="232"/>
      <c r="N2283" s="232"/>
      <c r="O2283" s="232"/>
      <c r="P2283" s="232"/>
      <c r="Q2283" s="232"/>
      <c r="R2283" s="232"/>
      <c r="S2283" s="232"/>
      <c r="T2283" s="232"/>
      <c r="U2283" s="232"/>
      <c r="V2283" s="15"/>
      <c r="W2283" s="15"/>
      <c r="X2283" s="15"/>
      <c r="Y2283" s="15"/>
      <c r="Z2283" s="15"/>
      <c r="AA2283" s="15"/>
    </row>
    <row r="2284" spans="1:27" s="25" customFormat="1" ht="12" customHeight="1" x14ac:dyDescent="0.2">
      <c r="A2284" s="232"/>
      <c r="B2284" s="250"/>
      <c r="C2284" s="286"/>
      <c r="D2284" s="232"/>
      <c r="E2284" s="232"/>
      <c r="F2284" s="232"/>
      <c r="G2284" s="232"/>
      <c r="H2284" s="232"/>
      <c r="I2284" s="232"/>
      <c r="J2284" s="232"/>
      <c r="K2284" s="232"/>
      <c r="L2284" s="232"/>
      <c r="M2284" s="232"/>
      <c r="N2284" s="232"/>
      <c r="O2284" s="232"/>
      <c r="P2284" s="232"/>
      <c r="Q2284" s="232"/>
      <c r="R2284" s="232"/>
      <c r="S2284" s="232"/>
      <c r="T2284" s="232"/>
      <c r="U2284" s="232"/>
      <c r="V2284" s="15"/>
      <c r="W2284" s="15"/>
      <c r="X2284" s="15"/>
      <c r="Y2284" s="15"/>
      <c r="Z2284" s="15"/>
      <c r="AA2284" s="15"/>
    </row>
    <row r="2285" spans="1:27" s="25" customFormat="1" ht="12" customHeight="1" x14ac:dyDescent="0.2">
      <c r="A2285" s="232"/>
      <c r="B2285" s="250"/>
      <c r="C2285" s="286"/>
      <c r="D2285" s="232"/>
      <c r="E2285" s="232"/>
      <c r="F2285" s="232"/>
      <c r="G2285" s="232"/>
      <c r="H2285" s="232"/>
      <c r="I2285" s="232"/>
      <c r="J2285" s="232"/>
      <c r="K2285" s="232"/>
      <c r="L2285" s="232"/>
      <c r="M2285" s="232"/>
      <c r="N2285" s="232"/>
      <c r="O2285" s="232"/>
      <c r="P2285" s="232"/>
      <c r="Q2285" s="232"/>
      <c r="R2285" s="232"/>
      <c r="S2285" s="232"/>
      <c r="T2285" s="232"/>
      <c r="U2285" s="232"/>
      <c r="V2285" s="15"/>
      <c r="W2285" s="15"/>
      <c r="X2285" s="15"/>
      <c r="Y2285" s="15"/>
      <c r="Z2285" s="15"/>
      <c r="AA2285" s="15"/>
    </row>
    <row r="2286" spans="1:27" s="25" customFormat="1" ht="12" customHeight="1" x14ac:dyDescent="0.2">
      <c r="A2286" s="232"/>
      <c r="B2286" s="250"/>
      <c r="C2286" s="286"/>
      <c r="D2286" s="232"/>
      <c r="E2286" s="232"/>
      <c r="F2286" s="232"/>
      <c r="G2286" s="232"/>
      <c r="H2286" s="232"/>
      <c r="I2286" s="232"/>
      <c r="J2286" s="232"/>
      <c r="K2286" s="232"/>
      <c r="L2286" s="232"/>
      <c r="M2286" s="232"/>
      <c r="N2286" s="232"/>
      <c r="O2286" s="232"/>
      <c r="P2286" s="232"/>
      <c r="Q2286" s="232"/>
      <c r="R2286" s="232"/>
      <c r="S2286" s="232"/>
      <c r="T2286" s="232"/>
      <c r="U2286" s="232"/>
      <c r="V2286" s="15"/>
      <c r="W2286" s="15"/>
      <c r="X2286" s="15"/>
      <c r="Y2286" s="15"/>
      <c r="Z2286" s="15"/>
      <c r="AA2286" s="15"/>
    </row>
    <row r="2287" spans="1:27" s="25" customFormat="1" ht="12" customHeight="1" x14ac:dyDescent="0.2">
      <c r="A2287" s="232"/>
      <c r="B2287" s="250"/>
      <c r="C2287" s="286"/>
      <c r="D2287" s="232"/>
      <c r="E2287" s="232"/>
      <c r="F2287" s="232"/>
      <c r="G2287" s="232"/>
      <c r="H2287" s="232"/>
      <c r="I2287" s="232"/>
      <c r="J2287" s="232"/>
      <c r="K2287" s="232"/>
      <c r="L2287" s="232"/>
      <c r="M2287" s="232"/>
      <c r="N2287" s="232"/>
      <c r="O2287" s="232"/>
      <c r="P2287" s="232"/>
      <c r="Q2287" s="232"/>
      <c r="R2287" s="232"/>
      <c r="S2287" s="232"/>
      <c r="T2287" s="232"/>
      <c r="U2287" s="232"/>
      <c r="V2287" s="15"/>
      <c r="W2287" s="15"/>
      <c r="X2287" s="15"/>
      <c r="Y2287" s="15"/>
      <c r="Z2287" s="15"/>
      <c r="AA2287" s="15"/>
    </row>
    <row r="2288" spans="1:27" s="25" customFormat="1" ht="12" customHeight="1" x14ac:dyDescent="0.2">
      <c r="A2288" s="232"/>
      <c r="B2288" s="250"/>
      <c r="C2288" s="286"/>
      <c r="D2288" s="232"/>
      <c r="E2288" s="232"/>
      <c r="F2288" s="232"/>
      <c r="G2288" s="232"/>
      <c r="H2288" s="232"/>
      <c r="I2288" s="232"/>
      <c r="J2288" s="232"/>
      <c r="K2288" s="232"/>
      <c r="L2288" s="232"/>
      <c r="M2288" s="232"/>
      <c r="N2288" s="232"/>
      <c r="O2288" s="232"/>
      <c r="P2288" s="232"/>
      <c r="Q2288" s="232"/>
      <c r="R2288" s="232"/>
      <c r="S2288" s="232"/>
      <c r="T2288" s="232"/>
      <c r="U2288" s="232"/>
      <c r="V2288" s="15"/>
      <c r="W2288" s="15"/>
      <c r="X2288" s="15"/>
      <c r="Y2288" s="15"/>
      <c r="Z2288" s="15"/>
      <c r="AA2288" s="15"/>
    </row>
    <row r="2289" spans="1:27" s="25" customFormat="1" ht="12" customHeight="1" x14ac:dyDescent="0.2">
      <c r="A2289" s="232"/>
      <c r="B2289" s="250"/>
      <c r="C2289" s="286"/>
      <c r="D2289" s="232"/>
      <c r="E2289" s="232"/>
      <c r="F2289" s="232"/>
      <c r="G2289" s="232"/>
      <c r="H2289" s="232"/>
      <c r="I2289" s="232"/>
      <c r="J2289" s="232"/>
      <c r="K2289" s="232"/>
      <c r="L2289" s="232"/>
      <c r="M2289" s="232"/>
      <c r="N2289" s="232"/>
      <c r="O2289" s="232"/>
      <c r="P2289" s="232"/>
      <c r="Q2289" s="232"/>
      <c r="R2289" s="232"/>
      <c r="S2289" s="232"/>
      <c r="T2289" s="232"/>
      <c r="U2289" s="232"/>
      <c r="V2289" s="15"/>
      <c r="W2289" s="15"/>
      <c r="X2289" s="15"/>
      <c r="Y2289" s="15"/>
      <c r="Z2289" s="15"/>
      <c r="AA2289" s="15"/>
    </row>
    <row r="2290" spans="1:27" s="25" customFormat="1" ht="12" customHeight="1" x14ac:dyDescent="0.2">
      <c r="A2290" s="232"/>
      <c r="B2290" s="250"/>
      <c r="C2290" s="286"/>
      <c r="D2290" s="232"/>
      <c r="E2290" s="232"/>
      <c r="F2290" s="232"/>
      <c r="G2290" s="232"/>
      <c r="H2290" s="232"/>
      <c r="I2290" s="232"/>
      <c r="J2290" s="232"/>
      <c r="K2290" s="232"/>
      <c r="L2290" s="232"/>
      <c r="M2290" s="232"/>
      <c r="N2290" s="232"/>
      <c r="O2290" s="232"/>
      <c r="P2290" s="232"/>
      <c r="Q2290" s="232"/>
      <c r="R2290" s="232"/>
      <c r="S2290" s="232"/>
      <c r="T2290" s="232"/>
      <c r="U2290" s="232"/>
      <c r="V2290" s="15"/>
      <c r="W2290" s="15"/>
      <c r="X2290" s="15"/>
      <c r="Y2290" s="15"/>
      <c r="Z2290" s="15"/>
      <c r="AA2290" s="15"/>
    </row>
    <row r="2291" spans="1:27" s="25" customFormat="1" ht="12" customHeight="1" x14ac:dyDescent="0.2">
      <c r="A2291" s="232"/>
      <c r="B2291" s="250"/>
      <c r="C2291" s="286"/>
      <c r="D2291" s="232"/>
      <c r="E2291" s="232"/>
      <c r="F2291" s="232"/>
      <c r="G2291" s="232"/>
      <c r="H2291" s="232"/>
      <c r="I2291" s="232"/>
      <c r="J2291" s="232"/>
      <c r="K2291" s="232"/>
      <c r="L2291" s="232"/>
      <c r="M2291" s="232"/>
      <c r="N2291" s="232"/>
      <c r="O2291" s="232"/>
      <c r="P2291" s="232"/>
      <c r="Q2291" s="232"/>
      <c r="R2291" s="232"/>
      <c r="S2291" s="232"/>
      <c r="T2291" s="232"/>
      <c r="U2291" s="232"/>
      <c r="V2291" s="15"/>
      <c r="W2291" s="15"/>
      <c r="X2291" s="15"/>
      <c r="Y2291" s="15"/>
      <c r="Z2291" s="15"/>
      <c r="AA2291" s="15"/>
    </row>
    <row r="2292" spans="1:27" s="25" customFormat="1" ht="12" customHeight="1" x14ac:dyDescent="0.2">
      <c r="A2292" s="232"/>
      <c r="B2292" s="250"/>
      <c r="C2292" s="286"/>
      <c r="D2292" s="232"/>
      <c r="E2292" s="232"/>
      <c r="F2292" s="232"/>
      <c r="G2292" s="232"/>
      <c r="H2292" s="232"/>
      <c r="I2292" s="232"/>
      <c r="J2292" s="232"/>
      <c r="K2292" s="232"/>
      <c r="L2292" s="232"/>
      <c r="M2292" s="232"/>
      <c r="N2292" s="232"/>
      <c r="O2292" s="232"/>
      <c r="P2292" s="232"/>
      <c r="Q2292" s="232"/>
      <c r="R2292" s="232"/>
      <c r="S2292" s="232"/>
      <c r="T2292" s="232"/>
      <c r="U2292" s="232"/>
      <c r="V2292" s="15"/>
      <c r="W2292" s="15"/>
      <c r="X2292" s="15"/>
      <c r="Y2292" s="15"/>
      <c r="Z2292" s="15"/>
      <c r="AA2292" s="15"/>
    </row>
    <row r="2293" spans="1:27" s="25" customFormat="1" ht="12" customHeight="1" x14ac:dyDescent="0.2">
      <c r="A2293" s="232"/>
      <c r="B2293" s="250"/>
      <c r="C2293" s="286"/>
      <c r="D2293" s="232"/>
      <c r="E2293" s="232"/>
      <c r="F2293" s="232"/>
      <c r="G2293" s="232"/>
      <c r="H2293" s="232"/>
      <c r="I2293" s="232"/>
      <c r="J2293" s="232"/>
      <c r="K2293" s="232"/>
      <c r="L2293" s="232"/>
      <c r="M2293" s="232"/>
      <c r="N2293" s="232"/>
      <c r="O2293" s="232"/>
      <c r="P2293" s="232"/>
      <c r="Q2293" s="232"/>
      <c r="R2293" s="232"/>
      <c r="S2293" s="232"/>
      <c r="T2293" s="232"/>
      <c r="U2293" s="232"/>
      <c r="V2293" s="15"/>
      <c r="W2293" s="15"/>
      <c r="X2293" s="15"/>
      <c r="Y2293" s="15"/>
      <c r="Z2293" s="15"/>
      <c r="AA2293" s="15"/>
    </row>
    <row r="2294" spans="1:27" s="25" customFormat="1" ht="12" customHeight="1" x14ac:dyDescent="0.2">
      <c r="A2294" s="232"/>
      <c r="B2294" s="250"/>
      <c r="C2294" s="286"/>
      <c r="D2294" s="232"/>
      <c r="E2294" s="232"/>
      <c r="F2294" s="232"/>
      <c r="G2294" s="232"/>
      <c r="H2294" s="232"/>
      <c r="I2294" s="232"/>
      <c r="J2294" s="232"/>
      <c r="K2294" s="232"/>
      <c r="L2294" s="232"/>
      <c r="M2294" s="232"/>
      <c r="N2294" s="232"/>
      <c r="O2294" s="232"/>
      <c r="P2294" s="232"/>
      <c r="Q2294" s="232"/>
      <c r="R2294" s="232"/>
      <c r="S2294" s="232"/>
      <c r="T2294" s="232"/>
      <c r="U2294" s="232"/>
      <c r="V2294" s="15"/>
      <c r="W2294" s="15"/>
      <c r="X2294" s="15"/>
      <c r="Y2294" s="15"/>
      <c r="Z2294" s="15"/>
      <c r="AA2294" s="15"/>
    </row>
    <row r="2295" spans="1:27" s="25" customFormat="1" ht="12" customHeight="1" x14ac:dyDescent="0.2">
      <c r="A2295" s="232"/>
      <c r="B2295" s="250"/>
      <c r="C2295" s="286"/>
      <c r="D2295" s="232"/>
      <c r="E2295" s="232"/>
      <c r="F2295" s="232"/>
      <c r="G2295" s="232"/>
      <c r="H2295" s="232"/>
      <c r="I2295" s="232"/>
      <c r="J2295" s="232"/>
      <c r="K2295" s="232"/>
      <c r="L2295" s="232"/>
      <c r="M2295" s="232"/>
      <c r="N2295" s="232"/>
      <c r="O2295" s="232"/>
      <c r="P2295" s="232"/>
      <c r="Q2295" s="232"/>
      <c r="R2295" s="232"/>
      <c r="S2295" s="232"/>
      <c r="T2295" s="232"/>
      <c r="U2295" s="232"/>
      <c r="V2295" s="15"/>
      <c r="W2295" s="15"/>
      <c r="X2295" s="15"/>
      <c r="Y2295" s="15"/>
      <c r="Z2295" s="15"/>
      <c r="AA2295" s="15"/>
    </row>
    <row r="2296" spans="1:27" s="25" customFormat="1" ht="12" customHeight="1" x14ac:dyDescent="0.2">
      <c r="A2296" s="232"/>
      <c r="B2296" s="250"/>
      <c r="C2296" s="286"/>
      <c r="D2296" s="232"/>
      <c r="E2296" s="232"/>
      <c r="F2296" s="232"/>
      <c r="G2296" s="232"/>
      <c r="H2296" s="232"/>
      <c r="I2296" s="232"/>
      <c r="J2296" s="232"/>
      <c r="K2296" s="232"/>
      <c r="L2296" s="232"/>
      <c r="M2296" s="232"/>
      <c r="N2296" s="232"/>
      <c r="O2296" s="232"/>
      <c r="P2296" s="232"/>
      <c r="Q2296" s="232"/>
      <c r="R2296" s="232"/>
      <c r="S2296" s="232"/>
      <c r="T2296" s="232"/>
      <c r="U2296" s="232"/>
      <c r="V2296" s="15"/>
      <c r="W2296" s="15"/>
      <c r="X2296" s="15"/>
      <c r="Y2296" s="15"/>
      <c r="Z2296" s="15"/>
      <c r="AA2296" s="15"/>
    </row>
    <row r="2297" spans="1:27" s="25" customFormat="1" ht="12" customHeight="1" x14ac:dyDescent="0.2">
      <c r="A2297" s="232"/>
      <c r="B2297" s="250"/>
      <c r="C2297" s="286"/>
      <c r="D2297" s="232"/>
      <c r="E2297" s="232"/>
      <c r="F2297" s="232"/>
      <c r="G2297" s="232"/>
      <c r="H2297" s="232"/>
      <c r="I2297" s="232"/>
      <c r="J2297" s="232"/>
      <c r="K2297" s="232"/>
      <c r="L2297" s="232"/>
      <c r="M2297" s="232"/>
      <c r="N2297" s="232"/>
      <c r="O2297" s="232"/>
      <c r="P2297" s="232"/>
      <c r="Q2297" s="232"/>
      <c r="R2297" s="232"/>
      <c r="S2297" s="232"/>
      <c r="T2297" s="232"/>
      <c r="U2297" s="232"/>
      <c r="V2297" s="15"/>
      <c r="W2297" s="15"/>
      <c r="X2297" s="15"/>
      <c r="Y2297" s="15"/>
      <c r="Z2297" s="15"/>
      <c r="AA2297" s="15"/>
    </row>
    <row r="2298" spans="1:27" s="25" customFormat="1" ht="12" customHeight="1" x14ac:dyDescent="0.2">
      <c r="A2298" s="232"/>
      <c r="B2298" s="250"/>
      <c r="C2298" s="286"/>
      <c r="D2298" s="232"/>
      <c r="E2298" s="232"/>
      <c r="F2298" s="232"/>
      <c r="G2298" s="232"/>
      <c r="H2298" s="232"/>
      <c r="I2298" s="232"/>
      <c r="J2298" s="232"/>
      <c r="K2298" s="232"/>
      <c r="L2298" s="232"/>
      <c r="M2298" s="232"/>
      <c r="N2298" s="232"/>
      <c r="O2298" s="232"/>
      <c r="P2298" s="232"/>
      <c r="Q2298" s="232"/>
      <c r="R2298" s="232"/>
      <c r="S2298" s="232"/>
      <c r="T2298" s="232"/>
      <c r="U2298" s="232"/>
      <c r="V2298" s="15"/>
      <c r="W2298" s="15"/>
      <c r="X2298" s="15"/>
      <c r="Y2298" s="15"/>
      <c r="Z2298" s="15"/>
      <c r="AA2298" s="15"/>
    </row>
    <row r="2299" spans="1:27" s="25" customFormat="1" ht="12" customHeight="1" x14ac:dyDescent="0.2">
      <c r="A2299" s="232"/>
      <c r="B2299" s="250"/>
      <c r="C2299" s="286"/>
      <c r="D2299" s="232"/>
      <c r="E2299" s="232"/>
      <c r="F2299" s="232"/>
      <c r="G2299" s="232"/>
      <c r="H2299" s="232"/>
      <c r="I2299" s="232"/>
      <c r="J2299" s="232"/>
      <c r="K2299" s="232"/>
      <c r="L2299" s="232"/>
      <c r="M2299" s="232"/>
      <c r="N2299" s="232"/>
      <c r="O2299" s="232"/>
      <c r="P2299" s="232"/>
      <c r="Q2299" s="232"/>
      <c r="R2299" s="232"/>
      <c r="S2299" s="232"/>
      <c r="T2299" s="232"/>
      <c r="U2299" s="232"/>
      <c r="V2299" s="15"/>
      <c r="W2299" s="15"/>
      <c r="X2299" s="15"/>
      <c r="Y2299" s="15"/>
      <c r="Z2299" s="15"/>
      <c r="AA2299" s="15"/>
    </row>
    <row r="2300" spans="1:27" s="25" customFormat="1" ht="12" customHeight="1" x14ac:dyDescent="0.2">
      <c r="A2300" s="232"/>
      <c r="B2300" s="250"/>
      <c r="C2300" s="286"/>
      <c r="D2300" s="232"/>
      <c r="E2300" s="232"/>
      <c r="F2300" s="232"/>
      <c r="G2300" s="232"/>
      <c r="H2300" s="232"/>
      <c r="I2300" s="232"/>
      <c r="J2300" s="232"/>
      <c r="K2300" s="232"/>
      <c r="L2300" s="232"/>
      <c r="M2300" s="232"/>
      <c r="N2300" s="232"/>
      <c r="O2300" s="232"/>
      <c r="P2300" s="232"/>
      <c r="Q2300" s="232"/>
      <c r="R2300" s="232"/>
      <c r="S2300" s="232"/>
      <c r="T2300" s="232"/>
      <c r="U2300" s="232"/>
      <c r="V2300" s="15"/>
      <c r="W2300" s="15"/>
      <c r="X2300" s="15"/>
      <c r="Y2300" s="15"/>
      <c r="Z2300" s="15"/>
      <c r="AA2300" s="15"/>
    </row>
    <row r="2301" spans="1:27" s="25" customFormat="1" ht="12" customHeight="1" x14ac:dyDescent="0.2">
      <c r="A2301" s="232"/>
      <c r="B2301" s="250"/>
      <c r="C2301" s="286"/>
      <c r="D2301" s="232"/>
      <c r="E2301" s="232"/>
      <c r="F2301" s="232"/>
      <c r="G2301" s="232"/>
      <c r="H2301" s="232"/>
      <c r="I2301" s="232"/>
      <c r="J2301" s="232"/>
      <c r="K2301" s="232"/>
      <c r="L2301" s="232"/>
      <c r="M2301" s="232"/>
      <c r="N2301" s="232"/>
      <c r="O2301" s="232"/>
      <c r="P2301" s="232"/>
      <c r="Q2301" s="232"/>
      <c r="R2301" s="232"/>
      <c r="S2301" s="232"/>
      <c r="T2301" s="232"/>
      <c r="U2301" s="232"/>
      <c r="V2301" s="15"/>
      <c r="W2301" s="15"/>
      <c r="X2301" s="15"/>
      <c r="Y2301" s="15"/>
      <c r="Z2301" s="15"/>
      <c r="AA2301" s="15"/>
    </row>
    <row r="2302" spans="1:27" s="25" customFormat="1" ht="12" customHeight="1" x14ac:dyDescent="0.2">
      <c r="A2302" s="232"/>
      <c r="B2302" s="250"/>
      <c r="C2302" s="286"/>
      <c r="D2302" s="232"/>
      <c r="E2302" s="232"/>
      <c r="F2302" s="232"/>
      <c r="G2302" s="232"/>
      <c r="H2302" s="232"/>
      <c r="I2302" s="232"/>
      <c r="J2302" s="232"/>
      <c r="K2302" s="232"/>
      <c r="L2302" s="232"/>
      <c r="M2302" s="232"/>
      <c r="N2302" s="232"/>
      <c r="O2302" s="232"/>
      <c r="P2302" s="232"/>
      <c r="Q2302" s="232"/>
      <c r="R2302" s="232"/>
      <c r="S2302" s="232"/>
      <c r="T2302" s="232"/>
      <c r="U2302" s="232"/>
      <c r="V2302" s="15"/>
      <c r="W2302" s="15"/>
      <c r="X2302" s="15"/>
      <c r="Y2302" s="15"/>
      <c r="Z2302" s="15"/>
      <c r="AA2302" s="15"/>
    </row>
    <row r="2303" spans="1:27" s="25" customFormat="1" ht="12" customHeight="1" x14ac:dyDescent="0.2">
      <c r="A2303" s="232"/>
      <c r="B2303" s="250"/>
      <c r="C2303" s="286"/>
      <c r="D2303" s="232"/>
      <c r="E2303" s="232"/>
      <c r="F2303" s="232"/>
      <c r="G2303" s="232"/>
      <c r="H2303" s="232"/>
      <c r="I2303" s="232"/>
      <c r="J2303" s="232"/>
      <c r="K2303" s="232"/>
      <c r="L2303" s="232"/>
      <c r="M2303" s="232"/>
      <c r="N2303" s="232"/>
      <c r="O2303" s="232"/>
      <c r="P2303" s="232"/>
      <c r="Q2303" s="232"/>
      <c r="R2303" s="232"/>
      <c r="S2303" s="232"/>
      <c r="T2303" s="232"/>
      <c r="U2303" s="232"/>
      <c r="V2303" s="15"/>
      <c r="W2303" s="15"/>
      <c r="X2303" s="15"/>
      <c r="Y2303" s="15"/>
      <c r="Z2303" s="15"/>
      <c r="AA2303" s="15"/>
    </row>
    <row r="2304" spans="1:27" s="25" customFormat="1" ht="12" customHeight="1" x14ac:dyDescent="0.2">
      <c r="A2304" s="232"/>
      <c r="B2304" s="250"/>
      <c r="C2304" s="286"/>
      <c r="D2304" s="232"/>
      <c r="E2304" s="232"/>
      <c r="F2304" s="232"/>
      <c r="G2304" s="232"/>
      <c r="H2304" s="232"/>
      <c r="I2304" s="232"/>
      <c r="J2304" s="232"/>
      <c r="K2304" s="232"/>
      <c r="L2304" s="232"/>
      <c r="M2304" s="232"/>
      <c r="N2304" s="232"/>
      <c r="O2304" s="232"/>
      <c r="P2304" s="232"/>
      <c r="Q2304" s="232"/>
      <c r="R2304" s="232"/>
      <c r="S2304" s="232"/>
      <c r="T2304" s="232"/>
      <c r="U2304" s="232"/>
      <c r="V2304" s="15"/>
      <c r="W2304" s="15"/>
      <c r="X2304" s="15"/>
      <c r="Y2304" s="15"/>
      <c r="Z2304" s="15"/>
      <c r="AA2304" s="15"/>
    </row>
    <row r="2305" spans="1:27" s="25" customFormat="1" ht="12" customHeight="1" x14ac:dyDescent="0.2">
      <c r="A2305" s="232"/>
      <c r="B2305" s="250"/>
      <c r="C2305" s="286"/>
      <c r="D2305" s="232"/>
      <c r="E2305" s="232"/>
      <c r="F2305" s="232"/>
      <c r="G2305" s="232"/>
      <c r="H2305" s="232"/>
      <c r="I2305" s="232"/>
      <c r="J2305" s="232"/>
      <c r="K2305" s="232"/>
      <c r="L2305" s="232"/>
      <c r="M2305" s="232"/>
      <c r="N2305" s="232"/>
      <c r="O2305" s="232"/>
      <c r="P2305" s="232"/>
      <c r="Q2305" s="232"/>
      <c r="R2305" s="232"/>
      <c r="S2305" s="232"/>
      <c r="T2305" s="232"/>
      <c r="U2305" s="232"/>
      <c r="V2305" s="15"/>
      <c r="W2305" s="15"/>
      <c r="X2305" s="15"/>
      <c r="Y2305" s="15"/>
      <c r="Z2305" s="15"/>
      <c r="AA2305" s="15"/>
    </row>
    <row r="2306" spans="1:27" s="25" customFormat="1" ht="12" customHeight="1" x14ac:dyDescent="0.2">
      <c r="A2306" s="232"/>
      <c r="B2306" s="250"/>
      <c r="C2306" s="286"/>
      <c r="D2306" s="232"/>
      <c r="E2306" s="232"/>
      <c r="F2306" s="232"/>
      <c r="G2306" s="232"/>
      <c r="H2306" s="232"/>
      <c r="I2306" s="232"/>
      <c r="J2306" s="232"/>
      <c r="K2306" s="232"/>
      <c r="L2306" s="232"/>
      <c r="M2306" s="232"/>
      <c r="N2306" s="232"/>
      <c r="O2306" s="232"/>
      <c r="P2306" s="232"/>
      <c r="Q2306" s="232"/>
      <c r="R2306" s="232"/>
      <c r="S2306" s="232"/>
      <c r="T2306" s="232"/>
      <c r="U2306" s="232"/>
      <c r="V2306" s="15"/>
      <c r="W2306" s="15"/>
      <c r="X2306" s="15"/>
      <c r="Y2306" s="15"/>
      <c r="Z2306" s="15"/>
      <c r="AA2306" s="15"/>
    </row>
    <row r="2307" spans="1:27" s="25" customFormat="1" ht="12" customHeight="1" x14ac:dyDescent="0.2">
      <c r="A2307" s="232"/>
      <c r="B2307" s="250"/>
      <c r="C2307" s="286"/>
      <c r="D2307" s="232"/>
      <c r="E2307" s="232"/>
      <c r="F2307" s="232"/>
      <c r="G2307" s="232"/>
      <c r="H2307" s="232"/>
      <c r="I2307" s="232"/>
      <c r="J2307" s="232"/>
      <c r="K2307" s="232"/>
      <c r="L2307" s="232"/>
      <c r="M2307" s="232"/>
      <c r="N2307" s="232"/>
      <c r="O2307" s="232"/>
      <c r="P2307" s="232"/>
      <c r="Q2307" s="232"/>
      <c r="R2307" s="232"/>
      <c r="S2307" s="232"/>
      <c r="T2307" s="232"/>
      <c r="U2307" s="232"/>
      <c r="V2307" s="15"/>
      <c r="W2307" s="15"/>
      <c r="X2307" s="15"/>
      <c r="Y2307" s="15"/>
      <c r="Z2307" s="15"/>
      <c r="AA2307" s="15"/>
    </row>
    <row r="2308" spans="1:27" s="25" customFormat="1" ht="12" customHeight="1" x14ac:dyDescent="0.2">
      <c r="A2308" s="232"/>
      <c r="B2308" s="250"/>
      <c r="C2308" s="286"/>
      <c r="D2308" s="232"/>
      <c r="E2308" s="232"/>
      <c r="F2308" s="232"/>
      <c r="G2308" s="232"/>
      <c r="H2308" s="232"/>
      <c r="I2308" s="232"/>
      <c r="J2308" s="232"/>
      <c r="K2308" s="232"/>
      <c r="L2308" s="232"/>
      <c r="M2308" s="232"/>
      <c r="N2308" s="232"/>
      <c r="O2308" s="232"/>
      <c r="P2308" s="232"/>
      <c r="Q2308" s="232"/>
      <c r="R2308" s="232"/>
      <c r="S2308" s="232"/>
      <c r="T2308" s="232"/>
      <c r="U2308" s="232"/>
      <c r="V2308" s="15"/>
      <c r="W2308" s="15"/>
      <c r="X2308" s="15"/>
      <c r="Y2308" s="15"/>
      <c r="Z2308" s="15"/>
      <c r="AA2308" s="15"/>
    </row>
    <row r="2309" spans="1:27" s="25" customFormat="1" ht="12" customHeight="1" x14ac:dyDescent="0.2">
      <c r="A2309" s="232"/>
      <c r="B2309" s="250"/>
      <c r="C2309" s="286"/>
      <c r="D2309" s="232"/>
      <c r="E2309" s="232"/>
      <c r="F2309" s="232"/>
      <c r="G2309" s="232"/>
      <c r="H2309" s="232"/>
      <c r="I2309" s="232"/>
      <c r="J2309" s="232"/>
      <c r="K2309" s="232"/>
      <c r="L2309" s="232"/>
      <c r="M2309" s="232"/>
      <c r="N2309" s="232"/>
      <c r="O2309" s="232"/>
      <c r="P2309" s="232"/>
      <c r="Q2309" s="232"/>
      <c r="R2309" s="232"/>
      <c r="S2309" s="232"/>
      <c r="T2309" s="232"/>
      <c r="U2309" s="232"/>
      <c r="V2309" s="15"/>
      <c r="W2309" s="15"/>
      <c r="X2309" s="15"/>
      <c r="Y2309" s="15"/>
      <c r="Z2309" s="15"/>
      <c r="AA2309" s="15"/>
    </row>
    <row r="2310" spans="1:27" s="25" customFormat="1" ht="12" customHeight="1" x14ac:dyDescent="0.2">
      <c r="A2310" s="232"/>
      <c r="B2310" s="250"/>
      <c r="C2310" s="286"/>
      <c r="D2310" s="232"/>
      <c r="E2310" s="232"/>
      <c r="F2310" s="232"/>
      <c r="G2310" s="232"/>
      <c r="H2310" s="232"/>
      <c r="I2310" s="232"/>
      <c r="J2310" s="232"/>
      <c r="K2310" s="232"/>
      <c r="L2310" s="232"/>
      <c r="M2310" s="232"/>
      <c r="N2310" s="232"/>
      <c r="O2310" s="232"/>
      <c r="P2310" s="232"/>
      <c r="Q2310" s="232"/>
      <c r="R2310" s="232"/>
      <c r="S2310" s="232"/>
      <c r="T2310" s="232"/>
      <c r="U2310" s="232"/>
      <c r="V2310" s="15"/>
      <c r="W2310" s="15"/>
      <c r="X2310" s="15"/>
      <c r="Y2310" s="15"/>
      <c r="Z2310" s="15"/>
      <c r="AA2310" s="15"/>
    </row>
    <row r="2311" spans="1:27" s="25" customFormat="1" ht="12" customHeight="1" x14ac:dyDescent="0.2">
      <c r="A2311" s="232"/>
      <c r="B2311" s="250"/>
      <c r="C2311" s="286"/>
      <c r="D2311" s="232"/>
      <c r="E2311" s="232"/>
      <c r="F2311" s="232"/>
      <c r="G2311" s="232"/>
      <c r="H2311" s="232"/>
      <c r="I2311" s="232"/>
      <c r="J2311" s="232"/>
      <c r="K2311" s="232"/>
      <c r="L2311" s="232"/>
      <c r="M2311" s="232"/>
      <c r="N2311" s="232"/>
      <c r="O2311" s="232"/>
      <c r="P2311" s="232"/>
      <c r="Q2311" s="232"/>
      <c r="R2311" s="232"/>
      <c r="S2311" s="232"/>
      <c r="T2311" s="232"/>
      <c r="U2311" s="232"/>
      <c r="V2311" s="15"/>
      <c r="W2311" s="15"/>
      <c r="X2311" s="15"/>
      <c r="Y2311" s="15"/>
      <c r="Z2311" s="15"/>
      <c r="AA2311" s="15"/>
    </row>
    <row r="2312" spans="1:27" s="25" customFormat="1" ht="12" customHeight="1" x14ac:dyDescent="0.2">
      <c r="A2312" s="232"/>
      <c r="B2312" s="250"/>
      <c r="C2312" s="286"/>
      <c r="D2312" s="232"/>
      <c r="E2312" s="232"/>
      <c r="F2312" s="232"/>
      <c r="G2312" s="232"/>
      <c r="H2312" s="232"/>
      <c r="I2312" s="232"/>
      <c r="J2312" s="232"/>
      <c r="K2312" s="232"/>
      <c r="L2312" s="232"/>
      <c r="M2312" s="232"/>
      <c r="N2312" s="232"/>
      <c r="O2312" s="232"/>
      <c r="P2312" s="232"/>
      <c r="Q2312" s="232"/>
      <c r="R2312" s="232"/>
      <c r="S2312" s="232"/>
      <c r="T2312" s="232"/>
      <c r="U2312" s="232"/>
      <c r="V2312" s="15"/>
      <c r="W2312" s="15"/>
      <c r="X2312" s="15"/>
      <c r="Y2312" s="15"/>
      <c r="Z2312" s="15"/>
      <c r="AA2312" s="15"/>
    </row>
    <row r="2313" spans="1:27" s="25" customFormat="1" ht="12" customHeight="1" x14ac:dyDescent="0.2">
      <c r="A2313" s="232"/>
      <c r="B2313" s="250"/>
      <c r="C2313" s="286"/>
      <c r="D2313" s="232"/>
      <c r="E2313" s="232"/>
      <c r="F2313" s="232"/>
      <c r="G2313" s="232"/>
      <c r="H2313" s="232"/>
      <c r="I2313" s="232"/>
      <c r="J2313" s="232"/>
      <c r="K2313" s="232"/>
      <c r="L2313" s="232"/>
      <c r="M2313" s="232"/>
      <c r="N2313" s="232"/>
      <c r="O2313" s="232"/>
      <c r="P2313" s="232"/>
      <c r="Q2313" s="232"/>
      <c r="R2313" s="232"/>
      <c r="S2313" s="232"/>
      <c r="T2313" s="232"/>
      <c r="U2313" s="232"/>
      <c r="V2313" s="15"/>
      <c r="W2313" s="15"/>
      <c r="X2313" s="15"/>
      <c r="Y2313" s="15"/>
      <c r="Z2313" s="15"/>
      <c r="AA2313" s="15"/>
    </row>
    <row r="2314" spans="1:27" s="25" customFormat="1" ht="12" customHeight="1" x14ac:dyDescent="0.2">
      <c r="A2314" s="232"/>
      <c r="B2314" s="250"/>
      <c r="C2314" s="286"/>
      <c r="D2314" s="232"/>
      <c r="E2314" s="232"/>
      <c r="F2314" s="232"/>
      <c r="G2314" s="232"/>
      <c r="H2314" s="232"/>
      <c r="I2314" s="232"/>
      <c r="J2314" s="232"/>
      <c r="K2314" s="232"/>
      <c r="L2314" s="232"/>
      <c r="M2314" s="232"/>
      <c r="N2314" s="232"/>
      <c r="O2314" s="232"/>
      <c r="P2314" s="232"/>
      <c r="Q2314" s="232"/>
      <c r="R2314" s="232"/>
      <c r="S2314" s="232"/>
      <c r="T2314" s="232"/>
      <c r="U2314" s="232"/>
      <c r="V2314" s="15"/>
      <c r="W2314" s="15"/>
      <c r="X2314" s="15"/>
      <c r="Y2314" s="15"/>
      <c r="Z2314" s="15"/>
      <c r="AA2314" s="15"/>
    </row>
    <row r="2315" spans="1:27" s="25" customFormat="1" ht="12" customHeight="1" x14ac:dyDescent="0.2">
      <c r="A2315" s="232"/>
      <c r="B2315" s="250"/>
      <c r="C2315" s="286"/>
      <c r="D2315" s="232"/>
      <c r="E2315" s="232"/>
      <c r="F2315" s="232"/>
      <c r="G2315" s="232"/>
      <c r="H2315" s="232"/>
      <c r="I2315" s="232"/>
      <c r="J2315" s="232"/>
      <c r="K2315" s="232"/>
      <c r="L2315" s="232"/>
      <c r="M2315" s="232"/>
      <c r="N2315" s="232"/>
      <c r="O2315" s="232"/>
      <c r="P2315" s="232"/>
      <c r="Q2315" s="232"/>
      <c r="R2315" s="232"/>
      <c r="S2315" s="232"/>
      <c r="T2315" s="232"/>
      <c r="U2315" s="232"/>
      <c r="V2315" s="15"/>
      <c r="W2315" s="15"/>
      <c r="X2315" s="15"/>
      <c r="Y2315" s="15"/>
      <c r="Z2315" s="15"/>
      <c r="AA2315" s="15"/>
    </row>
    <row r="2316" spans="1:27" s="25" customFormat="1" ht="12" customHeight="1" x14ac:dyDescent="0.2">
      <c r="A2316" s="232"/>
      <c r="B2316" s="250"/>
      <c r="C2316" s="286"/>
      <c r="D2316" s="232"/>
      <c r="E2316" s="232"/>
      <c r="F2316" s="232"/>
      <c r="G2316" s="232"/>
      <c r="H2316" s="232"/>
      <c r="I2316" s="232"/>
      <c r="J2316" s="232"/>
      <c r="K2316" s="232"/>
      <c r="L2316" s="232"/>
      <c r="M2316" s="232"/>
      <c r="N2316" s="232"/>
      <c r="O2316" s="232"/>
      <c r="P2316" s="232"/>
      <c r="Q2316" s="232"/>
      <c r="R2316" s="232"/>
      <c r="S2316" s="232"/>
      <c r="T2316" s="232"/>
      <c r="U2316" s="232"/>
      <c r="V2316" s="15"/>
      <c r="W2316" s="15"/>
      <c r="X2316" s="15"/>
      <c r="Y2316" s="15"/>
      <c r="Z2316" s="15"/>
      <c r="AA2316" s="15"/>
    </row>
    <row r="2317" spans="1:27" s="25" customFormat="1" ht="12" customHeight="1" x14ac:dyDescent="0.2">
      <c r="A2317" s="232"/>
      <c r="B2317" s="250"/>
      <c r="C2317" s="286"/>
      <c r="D2317" s="232"/>
      <c r="E2317" s="232"/>
      <c r="F2317" s="232"/>
      <c r="G2317" s="232"/>
      <c r="H2317" s="232"/>
      <c r="I2317" s="232"/>
      <c r="J2317" s="232"/>
      <c r="K2317" s="232"/>
      <c r="L2317" s="232"/>
      <c r="M2317" s="232"/>
      <c r="N2317" s="232"/>
      <c r="O2317" s="232"/>
      <c r="P2317" s="232"/>
      <c r="Q2317" s="232"/>
      <c r="R2317" s="232"/>
      <c r="S2317" s="232"/>
      <c r="T2317" s="232"/>
      <c r="U2317" s="232"/>
      <c r="V2317" s="15"/>
      <c r="W2317" s="15"/>
      <c r="X2317" s="15"/>
      <c r="Y2317" s="15"/>
      <c r="Z2317" s="15"/>
      <c r="AA2317" s="15"/>
    </row>
    <row r="2318" spans="1:27" s="25" customFormat="1" ht="12" customHeight="1" x14ac:dyDescent="0.2">
      <c r="A2318" s="232"/>
      <c r="B2318" s="250"/>
      <c r="C2318" s="286"/>
      <c r="D2318" s="232"/>
      <c r="E2318" s="232"/>
      <c r="F2318" s="232"/>
      <c r="G2318" s="232"/>
      <c r="H2318" s="232"/>
      <c r="I2318" s="232"/>
      <c r="J2318" s="232"/>
      <c r="K2318" s="232"/>
      <c r="L2318" s="232"/>
      <c r="M2318" s="232"/>
      <c r="N2318" s="232"/>
      <c r="O2318" s="232"/>
      <c r="P2318" s="232"/>
      <c r="Q2318" s="232"/>
      <c r="R2318" s="232"/>
      <c r="S2318" s="232"/>
      <c r="T2318" s="232"/>
      <c r="U2318" s="232"/>
      <c r="V2318" s="15"/>
      <c r="W2318" s="15"/>
      <c r="X2318" s="15"/>
      <c r="Y2318" s="15"/>
      <c r="Z2318" s="15"/>
      <c r="AA2318" s="15"/>
    </row>
    <row r="2319" spans="1:27" s="25" customFormat="1" ht="12" customHeight="1" x14ac:dyDescent="0.2">
      <c r="A2319" s="232"/>
      <c r="B2319" s="250"/>
      <c r="C2319" s="286"/>
      <c r="D2319" s="232"/>
      <c r="E2319" s="232"/>
      <c r="F2319" s="232"/>
      <c r="G2319" s="232"/>
      <c r="H2319" s="232"/>
      <c r="I2319" s="232"/>
      <c r="J2319" s="232"/>
      <c r="K2319" s="232"/>
      <c r="L2319" s="232"/>
      <c r="M2319" s="232"/>
      <c r="N2319" s="232"/>
      <c r="O2319" s="232"/>
      <c r="P2319" s="232"/>
      <c r="Q2319" s="232"/>
      <c r="R2319" s="232"/>
      <c r="S2319" s="232"/>
      <c r="T2319" s="232"/>
      <c r="U2319" s="232"/>
      <c r="V2319" s="15"/>
      <c r="W2319" s="15"/>
      <c r="X2319" s="15"/>
      <c r="Y2319" s="15"/>
      <c r="Z2319" s="15"/>
      <c r="AA2319" s="15"/>
    </row>
    <row r="2320" spans="1:27" s="25" customFormat="1" ht="12" customHeight="1" x14ac:dyDescent="0.2">
      <c r="A2320" s="232"/>
      <c r="B2320" s="250"/>
      <c r="C2320" s="286"/>
      <c r="D2320" s="232"/>
      <c r="E2320" s="232"/>
      <c r="F2320" s="232"/>
      <c r="G2320" s="232"/>
      <c r="H2320" s="232"/>
      <c r="I2320" s="232"/>
      <c r="J2320" s="232"/>
      <c r="K2320" s="232"/>
      <c r="L2320" s="232"/>
      <c r="M2320" s="232"/>
      <c r="N2320" s="232"/>
      <c r="O2320" s="232"/>
      <c r="P2320" s="232"/>
      <c r="Q2320" s="232"/>
      <c r="R2320" s="232"/>
      <c r="S2320" s="232"/>
      <c r="T2320" s="232"/>
      <c r="U2320" s="232"/>
      <c r="V2320" s="15"/>
      <c r="W2320" s="15"/>
      <c r="X2320" s="15"/>
      <c r="Y2320" s="15"/>
      <c r="Z2320" s="15"/>
      <c r="AA2320" s="15"/>
    </row>
    <row r="2321" spans="1:27" s="25" customFormat="1" ht="12" customHeight="1" x14ac:dyDescent="0.2">
      <c r="A2321" s="232"/>
      <c r="B2321" s="250"/>
      <c r="C2321" s="286"/>
      <c r="D2321" s="232"/>
      <c r="E2321" s="232"/>
      <c r="F2321" s="232"/>
      <c r="G2321" s="232"/>
      <c r="H2321" s="232"/>
      <c r="I2321" s="232"/>
      <c r="J2321" s="232"/>
      <c r="K2321" s="232"/>
      <c r="L2321" s="232"/>
      <c r="M2321" s="232"/>
      <c r="N2321" s="232"/>
      <c r="O2321" s="232"/>
      <c r="P2321" s="232"/>
      <c r="Q2321" s="232"/>
      <c r="R2321" s="232"/>
      <c r="S2321" s="232"/>
      <c r="T2321" s="232"/>
      <c r="U2321" s="232"/>
      <c r="V2321" s="15"/>
      <c r="W2321" s="15"/>
      <c r="X2321" s="15"/>
      <c r="Y2321" s="15"/>
      <c r="Z2321" s="15"/>
      <c r="AA2321" s="15"/>
    </row>
    <row r="2322" spans="1:27" s="25" customFormat="1" ht="12" customHeight="1" x14ac:dyDescent="0.2">
      <c r="A2322" s="232"/>
      <c r="B2322" s="250"/>
      <c r="C2322" s="286"/>
      <c r="D2322" s="232"/>
      <c r="E2322" s="232"/>
      <c r="F2322" s="232"/>
      <c r="G2322" s="232"/>
      <c r="H2322" s="232"/>
      <c r="I2322" s="232"/>
      <c r="J2322" s="232"/>
      <c r="K2322" s="232"/>
      <c r="L2322" s="232"/>
      <c r="M2322" s="232"/>
      <c r="N2322" s="232"/>
      <c r="O2322" s="232"/>
      <c r="P2322" s="232"/>
      <c r="Q2322" s="232"/>
      <c r="R2322" s="232"/>
      <c r="S2322" s="232"/>
      <c r="T2322" s="232"/>
      <c r="U2322" s="232"/>
      <c r="V2322" s="15"/>
      <c r="W2322" s="15"/>
      <c r="X2322" s="15"/>
      <c r="Y2322" s="15"/>
      <c r="Z2322" s="15"/>
      <c r="AA2322" s="15"/>
    </row>
    <row r="2323" spans="1:27" s="25" customFormat="1" ht="12" customHeight="1" x14ac:dyDescent="0.2">
      <c r="A2323" s="232"/>
      <c r="B2323" s="250"/>
      <c r="C2323" s="286"/>
      <c r="D2323" s="232"/>
      <c r="E2323" s="232"/>
      <c r="F2323" s="232"/>
      <c r="G2323" s="232"/>
      <c r="H2323" s="232"/>
      <c r="I2323" s="232"/>
      <c r="J2323" s="232"/>
      <c r="K2323" s="232"/>
      <c r="L2323" s="232"/>
      <c r="M2323" s="232"/>
      <c r="N2323" s="232"/>
      <c r="O2323" s="232"/>
      <c r="P2323" s="232"/>
      <c r="Q2323" s="232"/>
      <c r="R2323" s="232"/>
      <c r="S2323" s="232"/>
      <c r="T2323" s="232"/>
      <c r="U2323" s="232"/>
      <c r="V2323" s="15"/>
      <c r="W2323" s="15"/>
      <c r="X2323" s="15"/>
      <c r="Y2323" s="15"/>
      <c r="Z2323" s="15"/>
      <c r="AA2323" s="15"/>
    </row>
    <row r="2324" spans="1:27" s="25" customFormat="1" ht="12" customHeight="1" x14ac:dyDescent="0.2">
      <c r="A2324" s="232"/>
      <c r="B2324" s="250"/>
      <c r="C2324" s="286"/>
      <c r="D2324" s="232"/>
      <c r="E2324" s="232"/>
      <c r="F2324" s="232"/>
      <c r="G2324" s="232"/>
      <c r="H2324" s="232"/>
      <c r="I2324" s="232"/>
      <c r="J2324" s="232"/>
      <c r="K2324" s="232"/>
      <c r="L2324" s="232"/>
      <c r="M2324" s="232"/>
      <c r="N2324" s="232"/>
      <c r="O2324" s="232"/>
      <c r="P2324" s="232"/>
      <c r="Q2324" s="232"/>
      <c r="R2324" s="232"/>
      <c r="S2324" s="232"/>
      <c r="T2324" s="232"/>
      <c r="U2324" s="232"/>
      <c r="V2324" s="15"/>
      <c r="W2324" s="15"/>
      <c r="X2324" s="15"/>
      <c r="Y2324" s="15"/>
      <c r="Z2324" s="15"/>
      <c r="AA2324" s="15"/>
    </row>
    <row r="2325" spans="1:27" s="25" customFormat="1" ht="12" customHeight="1" x14ac:dyDescent="0.2">
      <c r="A2325" s="232"/>
      <c r="B2325" s="250"/>
      <c r="C2325" s="286"/>
      <c r="D2325" s="232"/>
      <c r="E2325" s="232"/>
      <c r="F2325" s="232"/>
      <c r="G2325" s="232"/>
      <c r="H2325" s="232"/>
      <c r="I2325" s="232"/>
      <c r="J2325" s="232"/>
      <c r="K2325" s="232"/>
      <c r="L2325" s="232"/>
      <c r="M2325" s="232"/>
      <c r="N2325" s="232"/>
      <c r="O2325" s="232"/>
      <c r="P2325" s="232"/>
      <c r="Q2325" s="232"/>
      <c r="R2325" s="232"/>
      <c r="S2325" s="232"/>
      <c r="T2325" s="232"/>
      <c r="U2325" s="232"/>
      <c r="V2325" s="15"/>
      <c r="W2325" s="15"/>
      <c r="X2325" s="15"/>
      <c r="Y2325" s="15"/>
      <c r="Z2325" s="15"/>
      <c r="AA2325" s="15"/>
    </row>
    <row r="2326" spans="1:27" s="25" customFormat="1" ht="12" customHeight="1" x14ac:dyDescent="0.2">
      <c r="A2326" s="232"/>
      <c r="B2326" s="250"/>
      <c r="C2326" s="286"/>
      <c r="D2326" s="232"/>
      <c r="E2326" s="232"/>
      <c r="F2326" s="232"/>
      <c r="G2326" s="232"/>
      <c r="H2326" s="232"/>
      <c r="I2326" s="232"/>
      <c r="J2326" s="232"/>
      <c r="K2326" s="232"/>
      <c r="L2326" s="232"/>
      <c r="M2326" s="232"/>
      <c r="N2326" s="232"/>
      <c r="O2326" s="232"/>
      <c r="P2326" s="232"/>
      <c r="Q2326" s="232"/>
      <c r="R2326" s="232"/>
      <c r="S2326" s="232"/>
      <c r="T2326" s="232"/>
      <c r="U2326" s="232"/>
      <c r="V2326" s="15"/>
      <c r="W2326" s="15"/>
      <c r="X2326" s="15"/>
      <c r="Y2326" s="15"/>
      <c r="Z2326" s="15"/>
      <c r="AA2326" s="15"/>
    </row>
    <row r="2327" spans="1:27" s="25" customFormat="1" ht="12" customHeight="1" x14ac:dyDescent="0.2">
      <c r="A2327" s="232"/>
      <c r="B2327" s="250"/>
      <c r="C2327" s="286"/>
      <c r="D2327" s="232"/>
      <c r="E2327" s="232"/>
      <c r="F2327" s="232"/>
      <c r="G2327" s="232"/>
      <c r="H2327" s="232"/>
      <c r="I2327" s="232"/>
      <c r="J2327" s="232"/>
      <c r="K2327" s="232"/>
      <c r="L2327" s="232"/>
      <c r="M2327" s="232"/>
      <c r="N2327" s="232"/>
      <c r="O2327" s="232"/>
      <c r="P2327" s="232"/>
      <c r="Q2327" s="232"/>
      <c r="R2327" s="232"/>
      <c r="S2327" s="232"/>
      <c r="T2327" s="232"/>
      <c r="U2327" s="232"/>
      <c r="V2327" s="15"/>
      <c r="W2327" s="15"/>
      <c r="X2327" s="15"/>
      <c r="Y2327" s="15"/>
      <c r="Z2327" s="15"/>
      <c r="AA2327" s="15"/>
    </row>
    <row r="2328" spans="1:27" s="25" customFormat="1" ht="12" customHeight="1" x14ac:dyDescent="0.2">
      <c r="A2328" s="232"/>
      <c r="B2328" s="250"/>
      <c r="C2328" s="286"/>
      <c r="D2328" s="232"/>
      <c r="E2328" s="232"/>
      <c r="F2328" s="232"/>
      <c r="G2328" s="232"/>
      <c r="H2328" s="232"/>
      <c r="I2328" s="232"/>
      <c r="J2328" s="232"/>
      <c r="K2328" s="232"/>
      <c r="L2328" s="232"/>
      <c r="M2328" s="232"/>
      <c r="N2328" s="232"/>
      <c r="O2328" s="232"/>
      <c r="P2328" s="232"/>
      <c r="Q2328" s="232"/>
      <c r="R2328" s="232"/>
      <c r="S2328" s="232"/>
      <c r="T2328" s="232"/>
      <c r="U2328" s="232"/>
      <c r="V2328" s="15"/>
      <c r="W2328" s="15"/>
      <c r="X2328" s="15"/>
      <c r="Y2328" s="15"/>
      <c r="Z2328" s="15"/>
      <c r="AA2328" s="15"/>
    </row>
    <row r="2329" spans="1:27" s="25" customFormat="1" ht="12" customHeight="1" x14ac:dyDescent="0.2">
      <c r="A2329" s="232"/>
      <c r="B2329" s="250"/>
      <c r="C2329" s="286"/>
      <c r="D2329" s="232"/>
      <c r="E2329" s="232"/>
      <c r="F2329" s="232"/>
      <c r="G2329" s="232"/>
      <c r="H2329" s="232"/>
      <c r="I2329" s="232"/>
      <c r="J2329" s="232"/>
      <c r="K2329" s="232"/>
      <c r="L2329" s="232"/>
      <c r="M2329" s="232"/>
      <c r="N2329" s="232"/>
      <c r="O2329" s="232"/>
      <c r="P2329" s="232"/>
      <c r="Q2329" s="232"/>
      <c r="R2329" s="232"/>
      <c r="S2329" s="232"/>
      <c r="T2329" s="232"/>
      <c r="U2329" s="232"/>
      <c r="V2329" s="15"/>
      <c r="W2329" s="15"/>
      <c r="X2329" s="15"/>
      <c r="Y2329" s="15"/>
      <c r="Z2329" s="15"/>
      <c r="AA2329" s="15"/>
    </row>
    <row r="2330" spans="1:27" s="25" customFormat="1" ht="12" customHeight="1" x14ac:dyDescent="0.2">
      <c r="A2330" s="232"/>
      <c r="B2330" s="250"/>
      <c r="C2330" s="286"/>
      <c r="D2330" s="232"/>
      <c r="E2330" s="232"/>
      <c r="F2330" s="232"/>
      <c r="G2330" s="232"/>
      <c r="H2330" s="232"/>
      <c r="I2330" s="232"/>
      <c r="J2330" s="232"/>
      <c r="K2330" s="232"/>
      <c r="L2330" s="232"/>
      <c r="M2330" s="232"/>
      <c r="N2330" s="232"/>
      <c r="O2330" s="232"/>
      <c r="P2330" s="232"/>
      <c r="Q2330" s="232"/>
      <c r="R2330" s="232"/>
      <c r="S2330" s="232"/>
      <c r="T2330" s="232"/>
      <c r="U2330" s="232"/>
      <c r="V2330" s="15"/>
      <c r="W2330" s="15"/>
      <c r="X2330" s="15"/>
      <c r="Y2330" s="15"/>
      <c r="Z2330" s="15"/>
      <c r="AA2330" s="15"/>
    </row>
    <row r="2331" spans="1:27" s="25" customFormat="1" ht="12" customHeight="1" x14ac:dyDescent="0.2">
      <c r="A2331" s="232"/>
      <c r="B2331" s="250"/>
      <c r="C2331" s="286"/>
      <c r="D2331" s="232"/>
      <c r="E2331" s="232"/>
      <c r="F2331" s="232"/>
      <c r="G2331" s="232"/>
      <c r="H2331" s="232"/>
      <c r="I2331" s="232"/>
      <c r="J2331" s="232"/>
      <c r="K2331" s="232"/>
      <c r="L2331" s="232"/>
      <c r="M2331" s="232"/>
      <c r="N2331" s="232"/>
      <c r="O2331" s="232"/>
      <c r="P2331" s="232"/>
      <c r="Q2331" s="232"/>
      <c r="R2331" s="232"/>
      <c r="S2331" s="232"/>
      <c r="T2331" s="232"/>
      <c r="U2331" s="232"/>
      <c r="V2331" s="15"/>
      <c r="W2331" s="15"/>
      <c r="X2331" s="15"/>
      <c r="Y2331" s="15"/>
      <c r="Z2331" s="15"/>
      <c r="AA2331" s="15"/>
    </row>
    <row r="2332" spans="1:27" s="25" customFormat="1" ht="12" customHeight="1" x14ac:dyDescent="0.2">
      <c r="A2332" s="232"/>
      <c r="B2332" s="250"/>
      <c r="C2332" s="286"/>
      <c r="D2332" s="232"/>
      <c r="E2332" s="232"/>
      <c r="F2332" s="232"/>
      <c r="G2332" s="232"/>
      <c r="H2332" s="232"/>
      <c r="I2332" s="232"/>
      <c r="J2332" s="232"/>
      <c r="K2332" s="232"/>
      <c r="L2332" s="232"/>
      <c r="M2332" s="232"/>
      <c r="N2332" s="232"/>
      <c r="O2332" s="232"/>
      <c r="P2332" s="232"/>
      <c r="Q2332" s="232"/>
      <c r="R2332" s="232"/>
      <c r="S2332" s="232"/>
      <c r="T2332" s="232"/>
      <c r="U2332" s="232"/>
      <c r="V2332" s="15"/>
      <c r="W2332" s="15"/>
      <c r="X2332" s="15"/>
      <c r="Y2332" s="15"/>
      <c r="Z2332" s="15"/>
      <c r="AA2332" s="15"/>
    </row>
    <row r="2333" spans="1:27" s="25" customFormat="1" ht="12" customHeight="1" x14ac:dyDescent="0.2">
      <c r="A2333" s="232"/>
      <c r="B2333" s="250"/>
      <c r="C2333" s="286"/>
      <c r="D2333" s="232"/>
      <c r="E2333" s="232"/>
      <c r="F2333" s="232"/>
      <c r="G2333" s="232"/>
      <c r="H2333" s="232"/>
      <c r="I2333" s="232"/>
      <c r="J2333" s="232"/>
      <c r="K2333" s="232"/>
      <c r="L2333" s="232"/>
      <c r="M2333" s="232"/>
      <c r="N2333" s="232"/>
      <c r="O2333" s="232"/>
      <c r="P2333" s="232"/>
      <c r="Q2333" s="232"/>
      <c r="R2333" s="232"/>
      <c r="S2333" s="232"/>
      <c r="T2333" s="232"/>
      <c r="U2333" s="232"/>
      <c r="V2333" s="15"/>
      <c r="W2333" s="15"/>
      <c r="X2333" s="15"/>
      <c r="Y2333" s="15"/>
      <c r="Z2333" s="15"/>
      <c r="AA2333" s="15"/>
    </row>
    <row r="2334" spans="1:27" s="25" customFormat="1" ht="12" customHeight="1" x14ac:dyDescent="0.2">
      <c r="A2334" s="232"/>
      <c r="B2334" s="250"/>
      <c r="C2334" s="286"/>
      <c r="D2334" s="232"/>
      <c r="E2334" s="232"/>
      <c r="F2334" s="232"/>
      <c r="G2334" s="232"/>
      <c r="H2334" s="232"/>
      <c r="I2334" s="232"/>
      <c r="J2334" s="232"/>
      <c r="K2334" s="232"/>
      <c r="L2334" s="232"/>
      <c r="M2334" s="232"/>
      <c r="N2334" s="232"/>
      <c r="O2334" s="232"/>
      <c r="P2334" s="232"/>
      <c r="Q2334" s="232"/>
      <c r="R2334" s="232"/>
      <c r="S2334" s="232"/>
      <c r="T2334" s="232"/>
      <c r="U2334" s="232"/>
      <c r="V2334" s="15"/>
      <c r="W2334" s="15"/>
      <c r="X2334" s="15"/>
      <c r="Y2334" s="15"/>
      <c r="Z2334" s="15"/>
      <c r="AA2334" s="15"/>
    </row>
    <row r="2335" spans="1:27" s="25" customFormat="1" ht="12" customHeight="1" x14ac:dyDescent="0.2">
      <c r="A2335" s="232"/>
      <c r="B2335" s="250"/>
      <c r="C2335" s="286"/>
      <c r="D2335" s="232"/>
      <c r="E2335" s="232"/>
      <c r="F2335" s="232"/>
      <c r="G2335" s="232"/>
      <c r="H2335" s="232"/>
      <c r="I2335" s="232"/>
      <c r="J2335" s="232"/>
      <c r="K2335" s="232"/>
      <c r="L2335" s="232"/>
      <c r="M2335" s="232"/>
      <c r="N2335" s="232"/>
      <c r="O2335" s="232"/>
      <c r="P2335" s="232"/>
      <c r="Q2335" s="232"/>
      <c r="R2335" s="232"/>
      <c r="S2335" s="232"/>
      <c r="T2335" s="232"/>
      <c r="U2335" s="232"/>
      <c r="V2335" s="15"/>
      <c r="W2335" s="15"/>
      <c r="X2335" s="15"/>
      <c r="Y2335" s="15"/>
      <c r="Z2335" s="15"/>
      <c r="AA2335" s="15"/>
    </row>
    <row r="2336" spans="1:27" s="25" customFormat="1" ht="12" customHeight="1" x14ac:dyDescent="0.2">
      <c r="A2336" s="232"/>
      <c r="B2336" s="250"/>
      <c r="C2336" s="286"/>
      <c r="D2336" s="232"/>
      <c r="E2336" s="232"/>
      <c r="F2336" s="232"/>
      <c r="G2336" s="232"/>
      <c r="H2336" s="232"/>
      <c r="I2336" s="232"/>
      <c r="J2336" s="232"/>
      <c r="K2336" s="232"/>
      <c r="L2336" s="232"/>
      <c r="M2336" s="232"/>
      <c r="N2336" s="232"/>
      <c r="O2336" s="232"/>
      <c r="P2336" s="232"/>
      <c r="Q2336" s="232"/>
      <c r="R2336" s="232"/>
      <c r="S2336" s="232"/>
      <c r="T2336" s="232"/>
      <c r="U2336" s="232"/>
      <c r="V2336" s="15"/>
      <c r="W2336" s="15"/>
      <c r="X2336" s="15"/>
      <c r="Y2336" s="15"/>
      <c r="Z2336" s="15"/>
      <c r="AA2336" s="15"/>
    </row>
    <row r="2337" spans="1:27" s="25" customFormat="1" ht="12" customHeight="1" x14ac:dyDescent="0.2">
      <c r="A2337" s="232"/>
      <c r="B2337" s="250"/>
      <c r="C2337" s="286"/>
      <c r="D2337" s="232"/>
      <c r="E2337" s="232"/>
      <c r="F2337" s="232"/>
      <c r="G2337" s="232"/>
      <c r="H2337" s="232"/>
      <c r="I2337" s="232"/>
      <c r="J2337" s="232"/>
      <c r="K2337" s="232"/>
      <c r="L2337" s="232"/>
      <c r="M2337" s="232"/>
      <c r="N2337" s="232"/>
      <c r="O2337" s="232"/>
      <c r="P2337" s="232"/>
      <c r="Q2337" s="232"/>
      <c r="R2337" s="232"/>
      <c r="S2337" s="232"/>
      <c r="T2337" s="232"/>
      <c r="U2337" s="232"/>
      <c r="V2337" s="15"/>
      <c r="W2337" s="15"/>
      <c r="X2337" s="15"/>
      <c r="Y2337" s="15"/>
      <c r="Z2337" s="15"/>
      <c r="AA2337" s="15"/>
    </row>
    <row r="2338" spans="1:27" s="25" customFormat="1" ht="12" customHeight="1" x14ac:dyDescent="0.2">
      <c r="A2338" s="232"/>
      <c r="B2338" s="250"/>
      <c r="C2338" s="286"/>
      <c r="D2338" s="232"/>
      <c r="E2338" s="232"/>
      <c r="F2338" s="232"/>
      <c r="G2338" s="232"/>
      <c r="H2338" s="232"/>
      <c r="I2338" s="232"/>
      <c r="J2338" s="232"/>
      <c r="K2338" s="232"/>
      <c r="L2338" s="232"/>
      <c r="M2338" s="232"/>
      <c r="N2338" s="232"/>
      <c r="O2338" s="232"/>
      <c r="P2338" s="232"/>
      <c r="Q2338" s="232"/>
      <c r="R2338" s="232"/>
      <c r="S2338" s="232"/>
      <c r="T2338" s="232"/>
      <c r="U2338" s="232"/>
      <c r="V2338" s="15"/>
      <c r="W2338" s="15"/>
      <c r="X2338" s="15"/>
      <c r="Y2338" s="15"/>
      <c r="Z2338" s="15"/>
      <c r="AA2338" s="15"/>
    </row>
    <row r="2339" spans="1:27" s="25" customFormat="1" ht="12" customHeight="1" x14ac:dyDescent="0.2">
      <c r="A2339" s="232"/>
      <c r="B2339" s="250"/>
      <c r="C2339" s="286"/>
      <c r="D2339" s="232"/>
      <c r="E2339" s="232"/>
      <c r="F2339" s="232"/>
      <c r="G2339" s="232"/>
      <c r="H2339" s="232"/>
      <c r="I2339" s="232"/>
      <c r="J2339" s="232"/>
      <c r="K2339" s="232"/>
      <c r="L2339" s="232"/>
      <c r="M2339" s="232"/>
      <c r="N2339" s="232"/>
      <c r="O2339" s="232"/>
      <c r="P2339" s="232"/>
      <c r="Q2339" s="232"/>
      <c r="R2339" s="232"/>
      <c r="S2339" s="232"/>
      <c r="T2339" s="232"/>
      <c r="U2339" s="232"/>
      <c r="V2339" s="15"/>
      <c r="W2339" s="15"/>
      <c r="X2339" s="15"/>
      <c r="Y2339" s="15"/>
      <c r="Z2339" s="15"/>
      <c r="AA2339" s="15"/>
    </row>
    <row r="2340" spans="1:27" s="25" customFormat="1" ht="12" customHeight="1" x14ac:dyDescent="0.2">
      <c r="A2340" s="232"/>
      <c r="B2340" s="250"/>
      <c r="C2340" s="286"/>
      <c r="D2340" s="232"/>
      <c r="E2340" s="232"/>
      <c r="F2340" s="232"/>
      <c r="G2340" s="232"/>
      <c r="H2340" s="232"/>
      <c r="I2340" s="232"/>
      <c r="J2340" s="232"/>
      <c r="K2340" s="232"/>
      <c r="L2340" s="232"/>
      <c r="M2340" s="232"/>
      <c r="N2340" s="232"/>
      <c r="O2340" s="232"/>
      <c r="P2340" s="232"/>
      <c r="Q2340" s="232"/>
      <c r="R2340" s="232"/>
      <c r="S2340" s="232"/>
      <c r="T2340" s="232"/>
      <c r="U2340" s="232"/>
      <c r="V2340" s="15"/>
      <c r="W2340" s="15"/>
      <c r="X2340" s="15"/>
      <c r="Y2340" s="15"/>
      <c r="Z2340" s="15"/>
      <c r="AA2340" s="15"/>
    </row>
    <row r="2341" spans="1:27" s="25" customFormat="1" ht="12" customHeight="1" x14ac:dyDescent="0.2">
      <c r="A2341" s="232"/>
      <c r="B2341" s="250"/>
      <c r="C2341" s="286"/>
      <c r="D2341" s="232"/>
      <c r="E2341" s="232"/>
      <c r="F2341" s="232"/>
      <c r="G2341" s="232"/>
      <c r="H2341" s="232"/>
      <c r="I2341" s="232"/>
      <c r="J2341" s="232"/>
      <c r="K2341" s="232"/>
      <c r="L2341" s="232"/>
      <c r="M2341" s="232"/>
      <c r="N2341" s="232"/>
      <c r="O2341" s="232"/>
      <c r="P2341" s="232"/>
      <c r="Q2341" s="232"/>
      <c r="R2341" s="232"/>
      <c r="S2341" s="232"/>
      <c r="T2341" s="232"/>
      <c r="U2341" s="232"/>
      <c r="V2341" s="15"/>
      <c r="W2341" s="15"/>
      <c r="X2341" s="15"/>
      <c r="Y2341" s="15"/>
      <c r="Z2341" s="15"/>
      <c r="AA2341" s="15"/>
    </row>
    <row r="2342" spans="1:27" s="25" customFormat="1" ht="12" customHeight="1" x14ac:dyDescent="0.2">
      <c r="A2342" s="232"/>
      <c r="B2342" s="250"/>
      <c r="C2342" s="286"/>
      <c r="D2342" s="232"/>
      <c r="E2342" s="232"/>
      <c r="F2342" s="232"/>
      <c r="G2342" s="232"/>
      <c r="H2342" s="232"/>
      <c r="I2342" s="232"/>
      <c r="J2342" s="232"/>
      <c r="K2342" s="232"/>
      <c r="L2342" s="232"/>
      <c r="M2342" s="232"/>
      <c r="N2342" s="232"/>
      <c r="O2342" s="232"/>
      <c r="P2342" s="232"/>
      <c r="Q2342" s="232"/>
      <c r="R2342" s="232"/>
      <c r="S2342" s="232"/>
      <c r="T2342" s="232"/>
      <c r="U2342" s="232"/>
      <c r="V2342" s="15"/>
      <c r="W2342" s="15"/>
      <c r="X2342" s="15"/>
      <c r="Y2342" s="15"/>
      <c r="Z2342" s="15"/>
      <c r="AA2342" s="15"/>
    </row>
    <row r="2343" spans="1:27" s="25" customFormat="1" ht="12" customHeight="1" x14ac:dyDescent="0.2">
      <c r="A2343" s="232"/>
      <c r="B2343" s="250"/>
      <c r="C2343" s="286"/>
      <c r="D2343" s="232"/>
      <c r="E2343" s="232"/>
      <c r="F2343" s="232"/>
      <c r="G2343" s="232"/>
      <c r="H2343" s="232"/>
      <c r="I2343" s="232"/>
      <c r="J2343" s="232"/>
      <c r="K2343" s="232"/>
      <c r="L2343" s="232"/>
      <c r="M2343" s="232"/>
      <c r="N2343" s="232"/>
      <c r="O2343" s="232"/>
      <c r="P2343" s="232"/>
      <c r="Q2343" s="232"/>
      <c r="R2343" s="232"/>
      <c r="S2343" s="232"/>
      <c r="T2343" s="232"/>
      <c r="U2343" s="232"/>
      <c r="V2343" s="15"/>
      <c r="W2343" s="15"/>
      <c r="X2343" s="15"/>
      <c r="Y2343" s="15"/>
      <c r="Z2343" s="15"/>
      <c r="AA2343" s="15"/>
    </row>
    <row r="2344" spans="1:27" s="25" customFormat="1" ht="12" customHeight="1" x14ac:dyDescent="0.2">
      <c r="A2344" s="232"/>
      <c r="B2344" s="250"/>
      <c r="C2344" s="286"/>
      <c r="D2344" s="232"/>
      <c r="E2344" s="232"/>
      <c r="F2344" s="232"/>
      <c r="G2344" s="232"/>
      <c r="H2344" s="232"/>
      <c r="I2344" s="232"/>
      <c r="J2344" s="232"/>
      <c r="K2344" s="232"/>
      <c r="L2344" s="232"/>
      <c r="M2344" s="232"/>
      <c r="N2344" s="232"/>
      <c r="O2344" s="232"/>
      <c r="P2344" s="232"/>
      <c r="Q2344" s="232"/>
      <c r="R2344" s="232"/>
      <c r="S2344" s="232"/>
      <c r="T2344" s="232"/>
      <c r="U2344" s="232"/>
      <c r="V2344" s="15"/>
      <c r="W2344" s="15"/>
      <c r="X2344" s="15"/>
      <c r="Y2344" s="15"/>
      <c r="Z2344" s="15"/>
      <c r="AA2344" s="15"/>
    </row>
    <row r="2345" spans="1:27" s="25" customFormat="1" ht="12" customHeight="1" x14ac:dyDescent="0.2">
      <c r="A2345" s="232"/>
      <c r="B2345" s="250"/>
      <c r="C2345" s="286"/>
      <c r="D2345" s="232"/>
      <c r="E2345" s="232"/>
      <c r="F2345" s="232"/>
      <c r="G2345" s="232"/>
      <c r="H2345" s="232"/>
      <c r="I2345" s="232"/>
      <c r="J2345" s="232"/>
      <c r="K2345" s="232"/>
      <c r="L2345" s="232"/>
      <c r="M2345" s="232"/>
      <c r="N2345" s="232"/>
      <c r="O2345" s="232"/>
      <c r="P2345" s="232"/>
      <c r="Q2345" s="232"/>
      <c r="R2345" s="232"/>
      <c r="S2345" s="232"/>
      <c r="T2345" s="232"/>
      <c r="U2345" s="232"/>
      <c r="V2345" s="15"/>
      <c r="W2345" s="15"/>
      <c r="X2345" s="15"/>
      <c r="Y2345" s="15"/>
      <c r="Z2345" s="15"/>
      <c r="AA2345" s="15"/>
    </row>
    <row r="2346" spans="1:27" s="25" customFormat="1" ht="12" customHeight="1" x14ac:dyDescent="0.2">
      <c r="A2346" s="232"/>
      <c r="B2346" s="250"/>
      <c r="C2346" s="286"/>
      <c r="D2346" s="232"/>
      <c r="E2346" s="232"/>
      <c r="F2346" s="232"/>
      <c r="G2346" s="232"/>
      <c r="H2346" s="232"/>
      <c r="I2346" s="232"/>
      <c r="J2346" s="232"/>
      <c r="K2346" s="232"/>
      <c r="L2346" s="232"/>
      <c r="M2346" s="232"/>
      <c r="N2346" s="232"/>
      <c r="O2346" s="232"/>
      <c r="P2346" s="232"/>
      <c r="Q2346" s="232"/>
      <c r="R2346" s="232"/>
      <c r="S2346" s="232"/>
      <c r="T2346" s="232"/>
      <c r="U2346" s="232"/>
      <c r="V2346" s="15"/>
      <c r="W2346" s="15"/>
      <c r="X2346" s="15"/>
      <c r="Y2346" s="15"/>
      <c r="Z2346" s="15"/>
      <c r="AA2346" s="15"/>
    </row>
    <row r="2347" spans="1:27" s="25" customFormat="1" ht="12" customHeight="1" x14ac:dyDescent="0.2">
      <c r="A2347" s="232"/>
      <c r="B2347" s="250"/>
      <c r="C2347" s="286"/>
      <c r="D2347" s="232"/>
      <c r="E2347" s="232"/>
      <c r="F2347" s="232"/>
      <c r="G2347" s="232"/>
      <c r="H2347" s="232"/>
      <c r="I2347" s="232"/>
      <c r="J2347" s="232"/>
      <c r="K2347" s="232"/>
      <c r="L2347" s="232"/>
      <c r="M2347" s="232"/>
      <c r="N2347" s="232"/>
      <c r="O2347" s="232"/>
      <c r="P2347" s="232"/>
      <c r="Q2347" s="232"/>
      <c r="R2347" s="232"/>
      <c r="S2347" s="232"/>
      <c r="T2347" s="232"/>
      <c r="U2347" s="232"/>
      <c r="V2347" s="15"/>
      <c r="W2347" s="15"/>
      <c r="X2347" s="15"/>
      <c r="Y2347" s="15"/>
      <c r="Z2347" s="15"/>
      <c r="AA2347" s="15"/>
    </row>
    <row r="2348" spans="1:27" s="25" customFormat="1" ht="12" customHeight="1" x14ac:dyDescent="0.2">
      <c r="A2348" s="232"/>
      <c r="B2348" s="250"/>
      <c r="C2348" s="286"/>
      <c r="D2348" s="232"/>
      <c r="E2348" s="232"/>
      <c r="F2348" s="232"/>
      <c r="G2348" s="232"/>
      <c r="H2348" s="232"/>
      <c r="I2348" s="232"/>
      <c r="J2348" s="232"/>
      <c r="K2348" s="232"/>
      <c r="L2348" s="232"/>
      <c r="M2348" s="232"/>
      <c r="N2348" s="232"/>
      <c r="O2348" s="232"/>
      <c r="P2348" s="232"/>
      <c r="Q2348" s="232"/>
      <c r="R2348" s="232"/>
      <c r="S2348" s="232"/>
      <c r="T2348" s="232"/>
      <c r="U2348" s="232"/>
      <c r="V2348" s="15"/>
      <c r="W2348" s="15"/>
      <c r="X2348" s="15"/>
      <c r="Y2348" s="15"/>
      <c r="Z2348" s="15"/>
      <c r="AA2348" s="15"/>
    </row>
    <row r="2349" spans="1:27" s="25" customFormat="1" ht="12" customHeight="1" x14ac:dyDescent="0.2">
      <c r="A2349" s="232"/>
      <c r="B2349" s="250"/>
      <c r="C2349" s="286"/>
      <c r="D2349" s="232"/>
      <c r="E2349" s="232"/>
      <c r="F2349" s="232"/>
      <c r="G2349" s="232"/>
      <c r="H2349" s="232"/>
      <c r="I2349" s="232"/>
      <c r="J2349" s="232"/>
      <c r="K2349" s="232"/>
      <c r="L2349" s="232"/>
      <c r="M2349" s="232"/>
      <c r="N2349" s="232"/>
      <c r="O2349" s="232"/>
      <c r="P2349" s="232"/>
      <c r="Q2349" s="232"/>
      <c r="R2349" s="232"/>
      <c r="S2349" s="232"/>
      <c r="T2349" s="232"/>
      <c r="U2349" s="232"/>
      <c r="V2349" s="15"/>
      <c r="W2349" s="15"/>
      <c r="X2349" s="15"/>
      <c r="Y2349" s="15"/>
      <c r="Z2349" s="15"/>
      <c r="AA2349" s="15"/>
    </row>
    <row r="2350" spans="1:27" s="25" customFormat="1" ht="12" customHeight="1" x14ac:dyDescent="0.2">
      <c r="A2350" s="232"/>
      <c r="B2350" s="250"/>
      <c r="C2350" s="286"/>
      <c r="D2350" s="232"/>
      <c r="E2350" s="232"/>
      <c r="F2350" s="232"/>
      <c r="G2350" s="232"/>
      <c r="H2350" s="232"/>
      <c r="I2350" s="232"/>
      <c r="J2350" s="232"/>
      <c r="K2350" s="232"/>
      <c r="L2350" s="232"/>
      <c r="M2350" s="232"/>
      <c r="N2350" s="232"/>
      <c r="O2350" s="232"/>
      <c r="P2350" s="232"/>
      <c r="Q2350" s="232"/>
      <c r="R2350" s="232"/>
      <c r="S2350" s="232"/>
      <c r="T2350" s="232"/>
      <c r="U2350" s="232"/>
      <c r="V2350" s="15"/>
      <c r="W2350" s="15"/>
      <c r="X2350" s="15"/>
      <c r="Y2350" s="15"/>
      <c r="Z2350" s="15"/>
      <c r="AA2350" s="15"/>
    </row>
    <row r="2351" spans="1:27" s="25" customFormat="1" ht="12" customHeight="1" x14ac:dyDescent="0.2">
      <c r="A2351" s="232"/>
      <c r="B2351" s="250"/>
      <c r="C2351" s="286"/>
      <c r="D2351" s="232"/>
      <c r="E2351" s="232"/>
      <c r="F2351" s="232"/>
      <c r="G2351" s="232"/>
      <c r="H2351" s="232"/>
      <c r="I2351" s="232"/>
      <c r="J2351" s="232"/>
      <c r="K2351" s="232"/>
      <c r="L2351" s="232"/>
      <c r="M2351" s="232"/>
      <c r="N2351" s="232"/>
      <c r="O2351" s="232"/>
      <c r="P2351" s="232"/>
      <c r="Q2351" s="232"/>
      <c r="R2351" s="232"/>
      <c r="S2351" s="232"/>
      <c r="T2351" s="232"/>
      <c r="U2351" s="232"/>
      <c r="V2351" s="15"/>
      <c r="W2351" s="15"/>
      <c r="X2351" s="15"/>
      <c r="Y2351" s="15"/>
      <c r="Z2351" s="15"/>
      <c r="AA2351" s="15"/>
    </row>
    <row r="2352" spans="1:27" s="25" customFormat="1" ht="12" customHeight="1" x14ac:dyDescent="0.2">
      <c r="A2352" s="232"/>
      <c r="B2352" s="250"/>
      <c r="C2352" s="286"/>
      <c r="D2352" s="232"/>
      <c r="E2352" s="232"/>
      <c r="F2352" s="232"/>
      <c r="G2352" s="232"/>
      <c r="H2352" s="232"/>
      <c r="I2352" s="232"/>
      <c r="J2352" s="232"/>
      <c r="K2352" s="232"/>
      <c r="L2352" s="232"/>
      <c r="M2352" s="232"/>
      <c r="N2352" s="232"/>
      <c r="O2352" s="232"/>
      <c r="P2352" s="232"/>
      <c r="Q2352" s="232"/>
      <c r="R2352" s="232"/>
      <c r="S2352" s="232"/>
      <c r="T2352" s="232"/>
      <c r="U2352" s="232"/>
      <c r="V2352" s="15"/>
      <c r="W2352" s="15"/>
      <c r="X2352" s="15"/>
      <c r="Y2352" s="15"/>
      <c r="Z2352" s="15"/>
      <c r="AA2352" s="15"/>
    </row>
    <row r="2353" spans="1:27" s="25" customFormat="1" ht="12" customHeight="1" x14ac:dyDescent="0.2">
      <c r="A2353" s="232"/>
      <c r="B2353" s="250"/>
      <c r="C2353" s="286"/>
      <c r="D2353" s="232"/>
      <c r="E2353" s="232"/>
      <c r="F2353" s="232"/>
      <c r="G2353" s="232"/>
      <c r="H2353" s="232"/>
      <c r="I2353" s="232"/>
      <c r="J2353" s="232"/>
      <c r="K2353" s="232"/>
      <c r="L2353" s="232"/>
      <c r="M2353" s="232"/>
      <c r="N2353" s="232"/>
      <c r="O2353" s="232"/>
      <c r="P2353" s="232"/>
      <c r="Q2353" s="232"/>
      <c r="R2353" s="232"/>
      <c r="S2353" s="232"/>
      <c r="T2353" s="232"/>
      <c r="U2353" s="232"/>
      <c r="V2353" s="15"/>
      <c r="W2353" s="15"/>
      <c r="X2353" s="15"/>
      <c r="Y2353" s="15"/>
      <c r="Z2353" s="15"/>
      <c r="AA2353" s="15"/>
    </row>
    <row r="2354" spans="1:27" s="25" customFormat="1" ht="12" customHeight="1" x14ac:dyDescent="0.2">
      <c r="A2354" s="232"/>
      <c r="B2354" s="250"/>
      <c r="C2354" s="286"/>
      <c r="D2354" s="232"/>
      <c r="E2354" s="232"/>
      <c r="F2354" s="232"/>
      <c r="G2354" s="232"/>
      <c r="H2354" s="232"/>
      <c r="I2354" s="232"/>
      <c r="J2354" s="232"/>
      <c r="K2354" s="232"/>
      <c r="L2354" s="232"/>
      <c r="M2354" s="232"/>
      <c r="N2354" s="232"/>
      <c r="O2354" s="232"/>
      <c r="P2354" s="232"/>
      <c r="Q2354" s="232"/>
      <c r="R2354" s="232"/>
      <c r="S2354" s="232"/>
      <c r="T2354" s="232"/>
      <c r="U2354" s="232"/>
      <c r="V2354" s="15"/>
      <c r="W2354" s="15"/>
      <c r="X2354" s="15"/>
      <c r="Y2354" s="15"/>
      <c r="Z2354" s="15"/>
      <c r="AA2354" s="15"/>
    </row>
    <row r="2355" spans="1:27" s="25" customFormat="1" ht="12" customHeight="1" x14ac:dyDescent="0.2">
      <c r="A2355" s="232"/>
      <c r="B2355" s="250"/>
      <c r="C2355" s="286"/>
      <c r="D2355" s="232"/>
      <c r="E2355" s="232"/>
      <c r="F2355" s="232"/>
      <c r="G2355" s="232"/>
      <c r="H2355" s="232"/>
      <c r="I2355" s="232"/>
      <c r="J2355" s="232"/>
      <c r="K2355" s="232"/>
      <c r="L2355" s="232"/>
      <c r="M2355" s="232"/>
      <c r="N2355" s="232"/>
      <c r="O2355" s="232"/>
      <c r="P2355" s="232"/>
      <c r="Q2355" s="232"/>
      <c r="R2355" s="232"/>
      <c r="S2355" s="232"/>
      <c r="T2355" s="232"/>
      <c r="U2355" s="232"/>
      <c r="V2355" s="15"/>
      <c r="W2355" s="15"/>
      <c r="X2355" s="15"/>
      <c r="Y2355" s="15"/>
      <c r="Z2355" s="15"/>
      <c r="AA2355" s="15"/>
    </row>
    <row r="2356" spans="1:27" s="25" customFormat="1" ht="12" customHeight="1" x14ac:dyDescent="0.2">
      <c r="A2356" s="232"/>
      <c r="B2356" s="250"/>
      <c r="C2356" s="286"/>
      <c r="D2356" s="232"/>
      <c r="E2356" s="232"/>
      <c r="F2356" s="232"/>
      <c r="G2356" s="232"/>
      <c r="H2356" s="232"/>
      <c r="I2356" s="232"/>
      <c r="J2356" s="232"/>
      <c r="K2356" s="232"/>
      <c r="L2356" s="232"/>
      <c r="M2356" s="232"/>
      <c r="N2356" s="232"/>
      <c r="O2356" s="232"/>
      <c r="P2356" s="232"/>
      <c r="Q2356" s="232"/>
      <c r="R2356" s="232"/>
      <c r="S2356" s="232"/>
      <c r="T2356" s="232"/>
      <c r="U2356" s="232"/>
      <c r="V2356" s="15"/>
      <c r="W2356" s="15"/>
      <c r="X2356" s="15"/>
      <c r="Y2356" s="15"/>
      <c r="Z2356" s="15"/>
      <c r="AA2356" s="15"/>
    </row>
    <row r="2357" spans="1:27" s="25" customFormat="1" ht="12" customHeight="1" x14ac:dyDescent="0.2">
      <c r="A2357" s="232"/>
      <c r="B2357" s="250"/>
      <c r="C2357" s="286"/>
      <c r="D2357" s="232"/>
      <c r="E2357" s="232"/>
      <c r="F2357" s="232"/>
      <c r="G2357" s="232"/>
      <c r="H2357" s="232"/>
      <c r="I2357" s="232"/>
      <c r="J2357" s="232"/>
      <c r="K2357" s="232"/>
      <c r="L2357" s="232"/>
      <c r="M2357" s="232"/>
      <c r="N2357" s="232"/>
      <c r="O2357" s="232"/>
      <c r="P2357" s="232"/>
      <c r="Q2357" s="232"/>
      <c r="R2357" s="232"/>
      <c r="S2357" s="232"/>
      <c r="T2357" s="232"/>
      <c r="U2357" s="232"/>
      <c r="V2357" s="15"/>
      <c r="W2357" s="15"/>
      <c r="X2357" s="15"/>
      <c r="Y2357" s="15"/>
      <c r="Z2357" s="15"/>
      <c r="AA2357" s="15"/>
    </row>
    <row r="2358" spans="1:27" s="25" customFormat="1" ht="12" customHeight="1" x14ac:dyDescent="0.2">
      <c r="A2358" s="232"/>
      <c r="B2358" s="250"/>
      <c r="C2358" s="286"/>
      <c r="D2358" s="232"/>
      <c r="E2358" s="232"/>
      <c r="F2358" s="232"/>
      <c r="G2358" s="232"/>
      <c r="H2358" s="232"/>
      <c r="I2358" s="232"/>
      <c r="J2358" s="232"/>
      <c r="K2358" s="232"/>
      <c r="L2358" s="232"/>
      <c r="M2358" s="232"/>
      <c r="N2358" s="232"/>
      <c r="O2358" s="232"/>
      <c r="P2358" s="232"/>
      <c r="Q2358" s="232"/>
      <c r="R2358" s="232"/>
      <c r="S2358" s="232"/>
      <c r="T2358" s="232"/>
      <c r="U2358" s="232"/>
      <c r="V2358" s="15"/>
      <c r="W2358" s="15"/>
      <c r="X2358" s="15"/>
      <c r="Y2358" s="15"/>
      <c r="Z2358" s="15"/>
      <c r="AA2358" s="15"/>
    </row>
    <row r="2359" spans="1:27" s="25" customFormat="1" ht="12" customHeight="1" x14ac:dyDescent="0.2">
      <c r="A2359" s="232"/>
      <c r="B2359" s="250"/>
      <c r="C2359" s="286"/>
      <c r="D2359" s="232"/>
      <c r="E2359" s="232"/>
      <c r="F2359" s="232"/>
      <c r="G2359" s="232"/>
      <c r="H2359" s="232"/>
      <c r="I2359" s="232"/>
      <c r="J2359" s="232"/>
      <c r="K2359" s="232"/>
      <c r="L2359" s="232"/>
      <c r="M2359" s="232"/>
      <c r="N2359" s="232"/>
      <c r="O2359" s="232"/>
      <c r="P2359" s="232"/>
      <c r="Q2359" s="232"/>
      <c r="R2359" s="232"/>
      <c r="S2359" s="232"/>
      <c r="T2359" s="232"/>
      <c r="U2359" s="232"/>
      <c r="V2359" s="15"/>
      <c r="W2359" s="15"/>
      <c r="X2359" s="15"/>
      <c r="Y2359" s="15"/>
      <c r="Z2359" s="15"/>
      <c r="AA2359" s="15"/>
    </row>
    <row r="2360" spans="1:27" s="25" customFormat="1" ht="12" customHeight="1" x14ac:dyDescent="0.2">
      <c r="A2360" s="232"/>
      <c r="B2360" s="250"/>
      <c r="C2360" s="286"/>
      <c r="D2360" s="232"/>
      <c r="E2360" s="232"/>
      <c r="F2360" s="232"/>
      <c r="G2360" s="232"/>
      <c r="H2360" s="232"/>
      <c r="I2360" s="232"/>
      <c r="J2360" s="232"/>
      <c r="K2360" s="232"/>
      <c r="L2360" s="232"/>
      <c r="M2360" s="232"/>
      <c r="N2360" s="232"/>
      <c r="O2360" s="232"/>
      <c r="P2360" s="232"/>
      <c r="Q2360" s="232"/>
      <c r="R2360" s="232"/>
      <c r="S2360" s="232"/>
      <c r="T2360" s="232"/>
      <c r="U2360" s="232"/>
      <c r="V2360" s="15"/>
      <c r="W2360" s="15"/>
      <c r="X2360" s="15"/>
      <c r="Y2360" s="15"/>
      <c r="Z2360" s="15"/>
      <c r="AA2360" s="15"/>
    </row>
    <row r="2361" spans="1:27" s="25" customFormat="1" ht="12" customHeight="1" x14ac:dyDescent="0.2">
      <c r="A2361" s="232"/>
      <c r="B2361" s="250"/>
      <c r="C2361" s="286"/>
      <c r="D2361" s="232"/>
      <c r="E2361" s="232"/>
      <c r="F2361" s="232"/>
      <c r="G2361" s="232"/>
      <c r="H2361" s="232"/>
      <c r="I2361" s="232"/>
      <c r="J2361" s="232"/>
      <c r="K2361" s="232"/>
      <c r="L2361" s="232"/>
      <c r="M2361" s="232"/>
      <c r="N2361" s="232"/>
      <c r="O2361" s="232"/>
      <c r="P2361" s="232"/>
      <c r="Q2361" s="232"/>
      <c r="R2361" s="232"/>
      <c r="S2361" s="232"/>
      <c r="T2361" s="232"/>
      <c r="U2361" s="232"/>
      <c r="V2361" s="15"/>
      <c r="W2361" s="15"/>
      <c r="X2361" s="15"/>
      <c r="Y2361" s="15"/>
      <c r="Z2361" s="15"/>
      <c r="AA2361" s="15"/>
    </row>
    <row r="2362" spans="1:27" s="25" customFormat="1" ht="12" customHeight="1" x14ac:dyDescent="0.2">
      <c r="A2362" s="232"/>
      <c r="B2362" s="250"/>
      <c r="C2362" s="286"/>
      <c r="D2362" s="232"/>
      <c r="E2362" s="232"/>
      <c r="F2362" s="232"/>
      <c r="G2362" s="232"/>
      <c r="H2362" s="232"/>
      <c r="I2362" s="232"/>
      <c r="J2362" s="232"/>
      <c r="K2362" s="232"/>
      <c r="L2362" s="232"/>
      <c r="M2362" s="232"/>
      <c r="N2362" s="232"/>
      <c r="O2362" s="232"/>
      <c r="P2362" s="232"/>
      <c r="Q2362" s="232"/>
      <c r="R2362" s="232"/>
      <c r="S2362" s="232"/>
      <c r="T2362" s="232"/>
      <c r="U2362" s="232"/>
      <c r="V2362" s="15"/>
      <c r="W2362" s="15"/>
      <c r="X2362" s="15"/>
      <c r="Y2362" s="15"/>
      <c r="Z2362" s="15"/>
      <c r="AA2362" s="15"/>
    </row>
    <row r="2363" spans="1:27" s="25" customFormat="1" ht="12" customHeight="1" x14ac:dyDescent="0.2">
      <c r="A2363" s="232"/>
      <c r="B2363" s="250"/>
      <c r="C2363" s="286"/>
      <c r="D2363" s="232"/>
      <c r="E2363" s="232"/>
      <c r="F2363" s="232"/>
      <c r="G2363" s="232"/>
      <c r="H2363" s="232"/>
      <c r="I2363" s="232"/>
      <c r="J2363" s="232"/>
      <c r="K2363" s="232"/>
      <c r="L2363" s="232"/>
      <c r="M2363" s="232"/>
      <c r="N2363" s="232"/>
      <c r="O2363" s="232"/>
      <c r="P2363" s="232"/>
      <c r="Q2363" s="232"/>
      <c r="R2363" s="232"/>
      <c r="S2363" s="232"/>
      <c r="T2363" s="232"/>
      <c r="U2363" s="232"/>
      <c r="V2363" s="15"/>
      <c r="W2363" s="15"/>
      <c r="X2363" s="15"/>
      <c r="Y2363" s="15"/>
      <c r="Z2363" s="15"/>
      <c r="AA2363" s="15"/>
    </row>
    <row r="2364" spans="1:27" s="25" customFormat="1" ht="12" customHeight="1" x14ac:dyDescent="0.2">
      <c r="A2364" s="232"/>
      <c r="B2364" s="250"/>
      <c r="C2364" s="286"/>
      <c r="D2364" s="232"/>
      <c r="E2364" s="232"/>
      <c r="F2364" s="232"/>
      <c r="G2364" s="232"/>
      <c r="H2364" s="232"/>
      <c r="I2364" s="232"/>
      <c r="J2364" s="232"/>
      <c r="K2364" s="232"/>
      <c r="L2364" s="232"/>
      <c r="M2364" s="232"/>
      <c r="N2364" s="232"/>
      <c r="O2364" s="232"/>
      <c r="P2364" s="232"/>
      <c r="Q2364" s="232"/>
      <c r="R2364" s="232"/>
      <c r="S2364" s="232"/>
      <c r="T2364" s="232"/>
      <c r="U2364" s="232"/>
      <c r="V2364" s="15"/>
      <c r="W2364" s="15"/>
      <c r="X2364" s="15"/>
      <c r="Y2364" s="15"/>
      <c r="Z2364" s="15"/>
      <c r="AA2364" s="15"/>
    </row>
    <row r="2365" spans="1:27" s="25" customFormat="1" ht="12" customHeight="1" x14ac:dyDescent="0.2">
      <c r="A2365" s="232"/>
      <c r="B2365" s="250"/>
      <c r="C2365" s="286"/>
      <c r="D2365" s="232"/>
      <c r="E2365" s="232"/>
      <c r="F2365" s="232"/>
      <c r="G2365" s="232"/>
      <c r="H2365" s="232"/>
      <c r="I2365" s="232"/>
      <c r="J2365" s="232"/>
      <c r="K2365" s="232"/>
      <c r="L2365" s="232"/>
      <c r="M2365" s="232"/>
      <c r="N2365" s="232"/>
      <c r="O2365" s="232"/>
      <c r="P2365" s="232"/>
      <c r="Q2365" s="232"/>
      <c r="R2365" s="232"/>
      <c r="S2365" s="232"/>
      <c r="T2365" s="232"/>
      <c r="U2365" s="232"/>
      <c r="V2365" s="15"/>
      <c r="W2365" s="15"/>
      <c r="X2365" s="15"/>
      <c r="Y2365" s="15"/>
      <c r="Z2365" s="15"/>
      <c r="AA2365" s="15"/>
    </row>
    <row r="2366" spans="1:27" s="25" customFormat="1" ht="12" customHeight="1" x14ac:dyDescent="0.2">
      <c r="A2366" s="232"/>
      <c r="B2366" s="250"/>
      <c r="C2366" s="286"/>
      <c r="D2366" s="232"/>
      <c r="E2366" s="232"/>
      <c r="F2366" s="232"/>
      <c r="G2366" s="232"/>
      <c r="H2366" s="232"/>
      <c r="I2366" s="232"/>
      <c r="J2366" s="232"/>
      <c r="K2366" s="232"/>
      <c r="L2366" s="232"/>
      <c r="M2366" s="232"/>
      <c r="N2366" s="232"/>
      <c r="O2366" s="232"/>
      <c r="P2366" s="232"/>
      <c r="Q2366" s="232"/>
      <c r="R2366" s="232"/>
      <c r="S2366" s="232"/>
      <c r="T2366" s="232"/>
      <c r="U2366" s="232"/>
      <c r="V2366" s="15"/>
      <c r="W2366" s="15"/>
      <c r="X2366" s="15"/>
      <c r="Y2366" s="15"/>
      <c r="Z2366" s="15"/>
      <c r="AA2366" s="15"/>
    </row>
    <row r="2367" spans="1:27" s="25" customFormat="1" ht="12" customHeight="1" x14ac:dyDescent="0.2">
      <c r="A2367" s="232"/>
      <c r="B2367" s="250"/>
      <c r="C2367" s="286"/>
      <c r="D2367" s="232"/>
      <c r="E2367" s="232"/>
      <c r="F2367" s="232"/>
      <c r="G2367" s="232"/>
      <c r="H2367" s="232"/>
      <c r="I2367" s="232"/>
      <c r="J2367" s="232"/>
      <c r="K2367" s="232"/>
      <c r="L2367" s="232"/>
      <c r="M2367" s="232"/>
      <c r="N2367" s="232"/>
      <c r="O2367" s="232"/>
      <c r="P2367" s="232"/>
      <c r="Q2367" s="232"/>
      <c r="R2367" s="232"/>
      <c r="S2367" s="232"/>
      <c r="T2367" s="232"/>
      <c r="U2367" s="232"/>
      <c r="V2367" s="15"/>
      <c r="W2367" s="15"/>
      <c r="X2367" s="15"/>
      <c r="Y2367" s="15"/>
      <c r="Z2367" s="15"/>
      <c r="AA2367" s="15"/>
    </row>
    <row r="2368" spans="1:27" s="25" customFormat="1" ht="12" customHeight="1" x14ac:dyDescent="0.2">
      <c r="A2368" s="232"/>
      <c r="B2368" s="250"/>
      <c r="C2368" s="286"/>
      <c r="D2368" s="232"/>
      <c r="E2368" s="232"/>
      <c r="F2368" s="232"/>
      <c r="G2368" s="232"/>
      <c r="H2368" s="232"/>
      <c r="I2368" s="232"/>
      <c r="J2368" s="232"/>
      <c r="K2368" s="232"/>
      <c r="L2368" s="232"/>
      <c r="M2368" s="232"/>
      <c r="N2368" s="232"/>
      <c r="O2368" s="232"/>
      <c r="P2368" s="232"/>
      <c r="Q2368" s="232"/>
      <c r="R2368" s="232"/>
      <c r="S2368" s="232"/>
      <c r="T2368" s="232"/>
      <c r="U2368" s="232"/>
      <c r="V2368" s="15"/>
      <c r="W2368" s="15"/>
      <c r="X2368" s="15"/>
      <c r="Y2368" s="15"/>
      <c r="Z2368" s="15"/>
      <c r="AA2368" s="15"/>
    </row>
    <row r="2369" spans="1:27" s="25" customFormat="1" ht="12" customHeight="1" x14ac:dyDescent="0.2">
      <c r="A2369" s="232"/>
      <c r="B2369" s="250"/>
      <c r="C2369" s="286"/>
      <c r="D2369" s="232"/>
      <c r="E2369" s="232"/>
      <c r="F2369" s="232"/>
      <c r="G2369" s="232"/>
      <c r="H2369" s="232"/>
      <c r="I2369" s="232"/>
      <c r="J2369" s="232"/>
      <c r="K2369" s="232"/>
      <c r="L2369" s="232"/>
      <c r="M2369" s="232"/>
      <c r="N2369" s="232"/>
      <c r="O2369" s="232"/>
      <c r="P2369" s="232"/>
      <c r="Q2369" s="232"/>
      <c r="R2369" s="232"/>
      <c r="S2369" s="232"/>
      <c r="T2369" s="232"/>
      <c r="U2369" s="232"/>
      <c r="V2369" s="15"/>
      <c r="W2369" s="15"/>
      <c r="X2369" s="15"/>
      <c r="Y2369" s="15"/>
      <c r="Z2369" s="15"/>
      <c r="AA2369" s="15"/>
    </row>
    <row r="2370" spans="1:27" s="25" customFormat="1" ht="12" customHeight="1" x14ac:dyDescent="0.2">
      <c r="A2370" s="232"/>
      <c r="B2370" s="250"/>
      <c r="C2370" s="286"/>
      <c r="D2370" s="232"/>
      <c r="E2370" s="232"/>
      <c r="F2370" s="232"/>
      <c r="G2370" s="232"/>
      <c r="H2370" s="232"/>
      <c r="I2370" s="232"/>
      <c r="J2370" s="232"/>
      <c r="K2370" s="232"/>
      <c r="L2370" s="232"/>
      <c r="M2370" s="232"/>
      <c r="N2370" s="232"/>
      <c r="O2370" s="232"/>
      <c r="P2370" s="232"/>
      <c r="Q2370" s="232"/>
      <c r="R2370" s="232"/>
      <c r="S2370" s="232"/>
      <c r="T2370" s="232"/>
      <c r="U2370" s="232"/>
      <c r="V2370" s="15"/>
      <c r="W2370" s="15"/>
      <c r="X2370" s="15"/>
      <c r="Y2370" s="15"/>
      <c r="Z2370" s="15"/>
      <c r="AA2370" s="15"/>
    </row>
    <row r="2371" spans="1:27" s="25" customFormat="1" ht="12" customHeight="1" x14ac:dyDescent="0.2">
      <c r="A2371" s="232"/>
      <c r="B2371" s="250"/>
      <c r="C2371" s="286"/>
      <c r="D2371" s="232"/>
      <c r="E2371" s="232"/>
      <c r="F2371" s="232"/>
      <c r="G2371" s="232"/>
      <c r="H2371" s="232"/>
      <c r="I2371" s="232"/>
      <c r="J2371" s="232"/>
      <c r="K2371" s="232"/>
      <c r="L2371" s="232"/>
      <c r="M2371" s="232"/>
      <c r="N2371" s="232"/>
      <c r="O2371" s="232"/>
      <c r="P2371" s="232"/>
      <c r="Q2371" s="232"/>
      <c r="R2371" s="232"/>
      <c r="S2371" s="232"/>
      <c r="T2371" s="232"/>
      <c r="U2371" s="232"/>
      <c r="V2371" s="15"/>
      <c r="W2371" s="15"/>
      <c r="X2371" s="15"/>
      <c r="Y2371" s="15"/>
      <c r="Z2371" s="15"/>
      <c r="AA2371" s="15"/>
    </row>
    <row r="2372" spans="1:27" s="25" customFormat="1" ht="12" customHeight="1" x14ac:dyDescent="0.2">
      <c r="A2372" s="232"/>
      <c r="B2372" s="250"/>
      <c r="C2372" s="286"/>
      <c r="D2372" s="232"/>
      <c r="E2372" s="232"/>
      <c r="F2372" s="232"/>
      <c r="G2372" s="232"/>
      <c r="H2372" s="232"/>
      <c r="I2372" s="232"/>
      <c r="J2372" s="232"/>
      <c r="K2372" s="232"/>
      <c r="L2372" s="232"/>
      <c r="M2372" s="232"/>
      <c r="N2372" s="232"/>
      <c r="O2372" s="232"/>
      <c r="P2372" s="232"/>
      <c r="Q2372" s="232"/>
      <c r="R2372" s="232"/>
      <c r="S2372" s="232"/>
      <c r="T2372" s="232"/>
      <c r="U2372" s="232"/>
      <c r="V2372" s="15"/>
      <c r="W2372" s="15"/>
      <c r="X2372" s="15"/>
      <c r="Y2372" s="15"/>
      <c r="Z2372" s="15"/>
      <c r="AA2372" s="15"/>
    </row>
    <row r="2373" spans="1:27" s="25" customFormat="1" ht="12" customHeight="1" x14ac:dyDescent="0.2">
      <c r="A2373" s="232"/>
      <c r="B2373" s="250"/>
      <c r="C2373" s="286"/>
      <c r="D2373" s="232"/>
      <c r="E2373" s="232"/>
      <c r="F2373" s="232"/>
      <c r="G2373" s="232"/>
      <c r="H2373" s="232"/>
      <c r="I2373" s="232"/>
      <c r="J2373" s="232"/>
      <c r="K2373" s="232"/>
      <c r="L2373" s="232"/>
      <c r="M2373" s="232"/>
      <c r="N2373" s="232"/>
      <c r="O2373" s="232"/>
      <c r="P2373" s="232"/>
      <c r="Q2373" s="232"/>
      <c r="R2373" s="232"/>
      <c r="S2373" s="232"/>
      <c r="T2373" s="232"/>
      <c r="U2373" s="232"/>
      <c r="V2373" s="15"/>
      <c r="W2373" s="15"/>
      <c r="X2373" s="15"/>
      <c r="Y2373" s="15"/>
      <c r="Z2373" s="15"/>
      <c r="AA2373" s="15"/>
    </row>
    <row r="2374" spans="1:27" s="25" customFormat="1" ht="12" customHeight="1" x14ac:dyDescent="0.2">
      <c r="A2374" s="232"/>
      <c r="B2374" s="250"/>
      <c r="C2374" s="286"/>
      <c r="D2374" s="232"/>
      <c r="E2374" s="232"/>
      <c r="F2374" s="232"/>
      <c r="G2374" s="232"/>
      <c r="H2374" s="232"/>
      <c r="I2374" s="232"/>
      <c r="J2374" s="232"/>
      <c r="K2374" s="232"/>
      <c r="L2374" s="232"/>
      <c r="M2374" s="232"/>
      <c r="N2374" s="232"/>
      <c r="O2374" s="232"/>
      <c r="P2374" s="232"/>
      <c r="Q2374" s="232"/>
      <c r="R2374" s="232"/>
      <c r="S2374" s="232"/>
      <c r="T2374" s="232"/>
      <c r="U2374" s="232"/>
      <c r="V2374" s="15"/>
      <c r="W2374" s="15"/>
      <c r="X2374" s="15"/>
      <c r="Y2374" s="15"/>
      <c r="Z2374" s="15"/>
      <c r="AA2374" s="15"/>
    </row>
    <row r="2375" spans="1:27" s="25" customFormat="1" ht="12" customHeight="1" x14ac:dyDescent="0.2">
      <c r="A2375" s="232"/>
      <c r="B2375" s="250"/>
      <c r="C2375" s="286"/>
      <c r="D2375" s="232"/>
      <c r="E2375" s="232"/>
      <c r="F2375" s="232"/>
      <c r="G2375" s="232"/>
      <c r="H2375" s="232"/>
      <c r="I2375" s="232"/>
      <c r="J2375" s="232"/>
      <c r="K2375" s="232"/>
      <c r="L2375" s="232"/>
      <c r="M2375" s="232"/>
      <c r="N2375" s="232"/>
      <c r="O2375" s="232"/>
      <c r="P2375" s="232"/>
      <c r="Q2375" s="232"/>
      <c r="R2375" s="232"/>
      <c r="S2375" s="232"/>
      <c r="T2375" s="232"/>
      <c r="U2375" s="232"/>
      <c r="V2375" s="15"/>
      <c r="W2375" s="15"/>
      <c r="X2375" s="15"/>
      <c r="Y2375" s="15"/>
      <c r="Z2375" s="15"/>
      <c r="AA2375" s="15"/>
    </row>
    <row r="2376" spans="1:27" s="25" customFormat="1" ht="12" customHeight="1" x14ac:dyDescent="0.2">
      <c r="A2376" s="232"/>
      <c r="B2376" s="250"/>
      <c r="C2376" s="286"/>
      <c r="D2376" s="232"/>
      <c r="E2376" s="232"/>
      <c r="F2376" s="232"/>
      <c r="G2376" s="232"/>
      <c r="H2376" s="232"/>
      <c r="I2376" s="232"/>
      <c r="J2376" s="232"/>
      <c r="K2376" s="232"/>
      <c r="L2376" s="232"/>
      <c r="M2376" s="232"/>
      <c r="N2376" s="232"/>
      <c r="O2376" s="232"/>
      <c r="P2376" s="232"/>
      <c r="Q2376" s="232"/>
      <c r="R2376" s="232"/>
      <c r="S2376" s="232"/>
      <c r="T2376" s="232"/>
      <c r="U2376" s="232"/>
      <c r="V2376" s="15"/>
      <c r="W2376" s="15"/>
      <c r="X2376" s="15"/>
      <c r="Y2376" s="15"/>
      <c r="Z2376" s="15"/>
      <c r="AA2376" s="15"/>
    </row>
    <row r="2377" spans="1:27" s="25" customFormat="1" ht="12" customHeight="1" x14ac:dyDescent="0.2">
      <c r="A2377" s="232"/>
      <c r="B2377" s="250"/>
      <c r="C2377" s="286"/>
      <c r="D2377" s="232"/>
      <c r="E2377" s="232"/>
      <c r="F2377" s="232"/>
      <c r="G2377" s="232"/>
      <c r="H2377" s="232"/>
      <c r="I2377" s="232"/>
      <c r="J2377" s="232"/>
      <c r="K2377" s="232"/>
      <c r="L2377" s="232"/>
      <c r="M2377" s="232"/>
      <c r="N2377" s="232"/>
      <c r="O2377" s="232"/>
      <c r="P2377" s="232"/>
      <c r="Q2377" s="232"/>
      <c r="R2377" s="232"/>
      <c r="S2377" s="232"/>
      <c r="T2377" s="232"/>
      <c r="U2377" s="232"/>
      <c r="V2377" s="15"/>
      <c r="W2377" s="15"/>
      <c r="X2377" s="15"/>
      <c r="Y2377" s="15"/>
      <c r="Z2377" s="15"/>
      <c r="AA2377" s="15"/>
    </row>
    <row r="2378" spans="1:27" s="25" customFormat="1" ht="12" customHeight="1" x14ac:dyDescent="0.2">
      <c r="A2378" s="232"/>
      <c r="B2378" s="250"/>
      <c r="C2378" s="286"/>
      <c r="D2378" s="232"/>
      <c r="E2378" s="232"/>
      <c r="F2378" s="232"/>
      <c r="G2378" s="232"/>
      <c r="H2378" s="232"/>
      <c r="I2378" s="232"/>
      <c r="J2378" s="232"/>
      <c r="K2378" s="232"/>
      <c r="L2378" s="232"/>
      <c r="M2378" s="232"/>
      <c r="N2378" s="232"/>
      <c r="O2378" s="232"/>
      <c r="P2378" s="232"/>
      <c r="Q2378" s="232"/>
      <c r="R2378" s="232"/>
      <c r="S2378" s="232"/>
      <c r="T2378" s="232"/>
      <c r="U2378" s="232"/>
      <c r="V2378" s="15"/>
      <c r="W2378" s="15"/>
      <c r="X2378" s="15"/>
      <c r="Y2378" s="15"/>
      <c r="Z2378" s="15"/>
      <c r="AA2378" s="15"/>
    </row>
    <row r="2379" spans="1:27" s="25" customFormat="1" ht="12" customHeight="1" x14ac:dyDescent="0.2">
      <c r="A2379" s="232"/>
      <c r="B2379" s="250"/>
      <c r="C2379" s="286"/>
      <c r="D2379" s="232"/>
      <c r="E2379" s="232"/>
      <c r="F2379" s="232"/>
      <c r="G2379" s="232"/>
      <c r="H2379" s="232"/>
      <c r="I2379" s="232"/>
      <c r="J2379" s="232"/>
      <c r="K2379" s="232"/>
      <c r="L2379" s="232"/>
      <c r="M2379" s="232"/>
      <c r="N2379" s="232"/>
      <c r="O2379" s="232"/>
      <c r="P2379" s="232"/>
      <c r="Q2379" s="232"/>
      <c r="R2379" s="232"/>
      <c r="S2379" s="232"/>
      <c r="T2379" s="232"/>
      <c r="U2379" s="232"/>
      <c r="V2379" s="15"/>
      <c r="W2379" s="15"/>
      <c r="X2379" s="15"/>
      <c r="Y2379" s="15"/>
      <c r="Z2379" s="15"/>
      <c r="AA2379" s="15"/>
    </row>
    <row r="2380" spans="1:27" s="25" customFormat="1" ht="12" customHeight="1" x14ac:dyDescent="0.2">
      <c r="A2380" s="232"/>
      <c r="B2380" s="250"/>
      <c r="C2380" s="286"/>
      <c r="D2380" s="232"/>
      <c r="E2380" s="232"/>
      <c r="F2380" s="232"/>
      <c r="G2380" s="232"/>
      <c r="H2380" s="232"/>
      <c r="I2380" s="232"/>
      <c r="J2380" s="232"/>
      <c r="K2380" s="232"/>
      <c r="L2380" s="232"/>
      <c r="M2380" s="232"/>
      <c r="N2380" s="232"/>
      <c r="O2380" s="232"/>
      <c r="P2380" s="232"/>
      <c r="Q2380" s="232"/>
      <c r="R2380" s="232"/>
      <c r="S2380" s="232"/>
      <c r="T2380" s="232"/>
      <c r="U2380" s="232"/>
      <c r="V2380" s="15"/>
      <c r="W2380" s="15"/>
      <c r="X2380" s="15"/>
      <c r="Y2380" s="15"/>
      <c r="Z2380" s="15"/>
      <c r="AA2380" s="15"/>
    </row>
    <row r="2381" spans="1:27" s="25" customFormat="1" ht="12" customHeight="1" x14ac:dyDescent="0.2">
      <c r="A2381" s="232"/>
      <c r="B2381" s="250"/>
      <c r="C2381" s="286"/>
      <c r="D2381" s="232"/>
      <c r="E2381" s="232"/>
      <c r="F2381" s="232"/>
      <c r="G2381" s="232"/>
      <c r="H2381" s="232"/>
      <c r="I2381" s="232"/>
      <c r="J2381" s="232"/>
      <c r="K2381" s="232"/>
      <c r="L2381" s="232"/>
      <c r="M2381" s="232"/>
      <c r="N2381" s="232"/>
      <c r="O2381" s="232"/>
      <c r="P2381" s="232"/>
      <c r="Q2381" s="232"/>
      <c r="R2381" s="232"/>
      <c r="S2381" s="232"/>
      <c r="T2381" s="232"/>
      <c r="U2381" s="232"/>
      <c r="V2381" s="15"/>
      <c r="W2381" s="15"/>
      <c r="X2381" s="15"/>
      <c r="Y2381" s="15"/>
      <c r="Z2381" s="15"/>
      <c r="AA2381" s="15"/>
    </row>
    <row r="2382" spans="1:27" s="25" customFormat="1" ht="12" customHeight="1" x14ac:dyDescent="0.2">
      <c r="A2382" s="232"/>
      <c r="B2382" s="250"/>
      <c r="C2382" s="286"/>
      <c r="D2382" s="232"/>
      <c r="E2382" s="232"/>
      <c r="F2382" s="232"/>
      <c r="G2382" s="232"/>
      <c r="H2382" s="232"/>
      <c r="I2382" s="232"/>
      <c r="J2382" s="232"/>
      <c r="K2382" s="232"/>
      <c r="L2382" s="232"/>
      <c r="M2382" s="232"/>
      <c r="N2382" s="232"/>
      <c r="O2382" s="232"/>
      <c r="P2382" s="232"/>
      <c r="Q2382" s="232"/>
      <c r="R2382" s="232"/>
      <c r="S2382" s="232"/>
      <c r="T2382" s="232"/>
      <c r="U2382" s="232"/>
      <c r="V2382" s="15"/>
      <c r="W2382" s="15"/>
      <c r="X2382" s="15"/>
      <c r="Y2382" s="15"/>
      <c r="Z2382" s="15"/>
      <c r="AA2382" s="15"/>
    </row>
    <row r="2383" spans="1:27" s="25" customFormat="1" ht="12" customHeight="1" x14ac:dyDescent="0.2">
      <c r="A2383" s="232"/>
      <c r="B2383" s="250"/>
      <c r="C2383" s="286"/>
      <c r="D2383" s="232"/>
      <c r="E2383" s="232"/>
      <c r="F2383" s="232"/>
      <c r="G2383" s="232"/>
      <c r="H2383" s="232"/>
      <c r="I2383" s="232"/>
      <c r="J2383" s="232"/>
      <c r="K2383" s="232"/>
      <c r="L2383" s="232"/>
      <c r="M2383" s="232"/>
      <c r="N2383" s="232"/>
      <c r="O2383" s="232"/>
      <c r="P2383" s="232"/>
      <c r="Q2383" s="232"/>
      <c r="R2383" s="232"/>
      <c r="S2383" s="232"/>
      <c r="T2383" s="232"/>
      <c r="U2383" s="232"/>
      <c r="V2383" s="15"/>
      <c r="W2383" s="15"/>
      <c r="X2383" s="15"/>
      <c r="Y2383" s="15"/>
      <c r="Z2383" s="15"/>
      <c r="AA2383" s="15"/>
    </row>
    <row r="2384" spans="1:27" s="25" customFormat="1" ht="12" customHeight="1" x14ac:dyDescent="0.2">
      <c r="A2384" s="232"/>
      <c r="B2384" s="250"/>
      <c r="C2384" s="286"/>
      <c r="D2384" s="232"/>
      <c r="E2384" s="232"/>
      <c r="F2384" s="232"/>
      <c r="G2384" s="232"/>
      <c r="H2384" s="232"/>
      <c r="I2384" s="232"/>
      <c r="J2384" s="232"/>
      <c r="K2384" s="232"/>
      <c r="L2384" s="232"/>
      <c r="M2384" s="232"/>
      <c r="N2384" s="232"/>
      <c r="O2384" s="232"/>
      <c r="P2384" s="232"/>
      <c r="Q2384" s="232"/>
      <c r="R2384" s="232"/>
      <c r="S2384" s="232"/>
      <c r="T2384" s="232"/>
      <c r="U2384" s="232"/>
      <c r="V2384" s="15"/>
      <c r="W2384" s="15"/>
      <c r="X2384" s="15"/>
      <c r="Y2384" s="15"/>
      <c r="Z2384" s="15"/>
      <c r="AA2384" s="15"/>
    </row>
    <row r="2385" spans="1:27" s="25" customFormat="1" ht="12" customHeight="1" x14ac:dyDescent="0.2">
      <c r="A2385" s="232"/>
      <c r="B2385" s="250"/>
      <c r="C2385" s="286"/>
      <c r="D2385" s="232"/>
      <c r="E2385" s="232"/>
      <c r="F2385" s="232"/>
      <c r="G2385" s="232"/>
      <c r="H2385" s="232"/>
      <c r="I2385" s="232"/>
      <c r="J2385" s="232"/>
      <c r="K2385" s="232"/>
      <c r="L2385" s="232"/>
      <c r="M2385" s="232"/>
      <c r="N2385" s="232"/>
      <c r="O2385" s="232"/>
      <c r="P2385" s="232"/>
      <c r="Q2385" s="232"/>
      <c r="R2385" s="232"/>
      <c r="S2385" s="232"/>
      <c r="T2385" s="232"/>
      <c r="U2385" s="232"/>
      <c r="V2385" s="15"/>
      <c r="W2385" s="15"/>
      <c r="X2385" s="15"/>
      <c r="Y2385" s="15"/>
      <c r="Z2385" s="15"/>
      <c r="AA2385" s="15"/>
    </row>
    <row r="2386" spans="1:27" s="25" customFormat="1" ht="12" customHeight="1" x14ac:dyDescent="0.2">
      <c r="A2386" s="232"/>
      <c r="B2386" s="250"/>
      <c r="C2386" s="286"/>
      <c r="D2386" s="232"/>
      <c r="E2386" s="232"/>
      <c r="F2386" s="232"/>
      <c r="G2386" s="232"/>
      <c r="H2386" s="232"/>
      <c r="I2386" s="232"/>
      <c r="J2386" s="232"/>
      <c r="K2386" s="232"/>
      <c r="L2386" s="232"/>
      <c r="M2386" s="232"/>
      <c r="N2386" s="232"/>
      <c r="O2386" s="232"/>
      <c r="P2386" s="232"/>
      <c r="Q2386" s="232"/>
      <c r="R2386" s="232"/>
      <c r="S2386" s="232"/>
      <c r="T2386" s="232"/>
      <c r="U2386" s="232"/>
      <c r="V2386" s="15"/>
      <c r="W2386" s="15"/>
      <c r="X2386" s="15"/>
      <c r="Y2386" s="15"/>
      <c r="Z2386" s="15"/>
      <c r="AA2386" s="15"/>
    </row>
    <row r="2387" spans="1:27" s="25" customFormat="1" ht="12" customHeight="1" x14ac:dyDescent="0.2">
      <c r="A2387" s="232"/>
      <c r="B2387" s="250"/>
      <c r="C2387" s="286"/>
      <c r="D2387" s="232"/>
      <c r="E2387" s="232"/>
      <c r="F2387" s="232"/>
      <c r="G2387" s="232"/>
      <c r="H2387" s="232"/>
      <c r="I2387" s="232"/>
      <c r="J2387" s="232"/>
      <c r="K2387" s="232"/>
      <c r="L2387" s="232"/>
      <c r="M2387" s="232"/>
      <c r="N2387" s="232"/>
      <c r="O2387" s="232"/>
      <c r="P2387" s="232"/>
      <c r="Q2387" s="232"/>
      <c r="R2387" s="232"/>
      <c r="S2387" s="232"/>
      <c r="T2387" s="232"/>
      <c r="U2387" s="232"/>
      <c r="V2387" s="15"/>
      <c r="W2387" s="15"/>
      <c r="X2387" s="15"/>
      <c r="Y2387" s="15"/>
      <c r="Z2387" s="15"/>
      <c r="AA2387" s="15"/>
    </row>
    <row r="2388" spans="1:27" s="25" customFormat="1" ht="12" customHeight="1" x14ac:dyDescent="0.2">
      <c r="A2388" s="232"/>
      <c r="B2388" s="250"/>
      <c r="C2388" s="286"/>
      <c r="D2388" s="232"/>
      <c r="E2388" s="232"/>
      <c r="F2388" s="232"/>
      <c r="G2388" s="232"/>
      <c r="H2388" s="232"/>
      <c r="I2388" s="232"/>
      <c r="J2388" s="232"/>
      <c r="K2388" s="232"/>
      <c r="L2388" s="232"/>
      <c r="M2388" s="232"/>
      <c r="N2388" s="232"/>
      <c r="O2388" s="232"/>
      <c r="P2388" s="232"/>
      <c r="Q2388" s="232"/>
      <c r="R2388" s="232"/>
      <c r="S2388" s="232"/>
      <c r="T2388" s="232"/>
      <c r="U2388" s="232"/>
      <c r="V2388" s="15"/>
      <c r="W2388" s="15"/>
      <c r="X2388" s="15"/>
      <c r="Y2388" s="15"/>
      <c r="Z2388" s="15"/>
      <c r="AA2388" s="15"/>
    </row>
    <row r="2389" spans="1:27" s="25" customFormat="1" ht="12" customHeight="1" x14ac:dyDescent="0.2">
      <c r="A2389" s="232"/>
      <c r="B2389" s="250"/>
      <c r="C2389" s="286"/>
      <c r="D2389" s="232"/>
      <c r="E2389" s="232"/>
      <c r="F2389" s="232"/>
      <c r="G2389" s="232"/>
      <c r="H2389" s="232"/>
      <c r="I2389" s="232"/>
      <c r="J2389" s="232"/>
      <c r="K2389" s="232"/>
      <c r="L2389" s="232"/>
      <c r="M2389" s="232"/>
      <c r="N2389" s="232"/>
      <c r="O2389" s="232"/>
      <c r="P2389" s="232"/>
      <c r="Q2389" s="232"/>
      <c r="R2389" s="232"/>
      <c r="S2389" s="232"/>
      <c r="T2389" s="232"/>
      <c r="U2389" s="232"/>
      <c r="V2389" s="15"/>
      <c r="W2389" s="15"/>
      <c r="X2389" s="15"/>
      <c r="Y2389" s="15"/>
      <c r="Z2389" s="15"/>
      <c r="AA2389" s="15"/>
    </row>
    <row r="2390" spans="1:27" s="25" customFormat="1" ht="12" customHeight="1" x14ac:dyDescent="0.2">
      <c r="A2390" s="232"/>
      <c r="B2390" s="250"/>
      <c r="C2390" s="286"/>
      <c r="D2390" s="232"/>
      <c r="E2390" s="232"/>
      <c r="F2390" s="232"/>
      <c r="G2390" s="232"/>
      <c r="H2390" s="232"/>
      <c r="I2390" s="232"/>
      <c r="J2390" s="232"/>
      <c r="K2390" s="232"/>
      <c r="L2390" s="232"/>
      <c r="M2390" s="232"/>
      <c r="N2390" s="232"/>
      <c r="O2390" s="232"/>
      <c r="P2390" s="232"/>
      <c r="Q2390" s="232"/>
      <c r="R2390" s="232"/>
      <c r="S2390" s="232"/>
      <c r="T2390" s="232"/>
      <c r="U2390" s="232"/>
      <c r="V2390" s="15"/>
      <c r="W2390" s="15"/>
      <c r="X2390" s="15"/>
      <c r="Y2390" s="15"/>
      <c r="Z2390" s="15"/>
      <c r="AA2390" s="15"/>
    </row>
    <row r="2391" spans="1:27" s="25" customFormat="1" ht="12" customHeight="1" x14ac:dyDescent="0.2">
      <c r="A2391" s="232"/>
      <c r="B2391" s="250"/>
      <c r="C2391" s="286"/>
      <c r="D2391" s="232"/>
      <c r="E2391" s="232"/>
      <c r="F2391" s="232"/>
      <c r="G2391" s="232"/>
      <c r="H2391" s="232"/>
      <c r="I2391" s="232"/>
      <c r="J2391" s="232"/>
      <c r="K2391" s="232"/>
      <c r="L2391" s="232"/>
      <c r="M2391" s="232"/>
      <c r="N2391" s="232"/>
      <c r="O2391" s="232"/>
      <c r="P2391" s="232"/>
      <c r="Q2391" s="232"/>
      <c r="R2391" s="232"/>
      <c r="S2391" s="232"/>
      <c r="T2391" s="232"/>
      <c r="U2391" s="232"/>
      <c r="V2391" s="15"/>
      <c r="W2391" s="15"/>
      <c r="X2391" s="15"/>
      <c r="Y2391" s="15"/>
      <c r="Z2391" s="15"/>
      <c r="AA2391" s="15"/>
    </row>
    <row r="2392" spans="1:27" s="25" customFormat="1" ht="12" customHeight="1" x14ac:dyDescent="0.2">
      <c r="A2392" s="232"/>
      <c r="B2392" s="250"/>
      <c r="C2392" s="286"/>
      <c r="D2392" s="232"/>
      <c r="E2392" s="232"/>
      <c r="F2392" s="232"/>
      <c r="G2392" s="232"/>
      <c r="H2392" s="232"/>
      <c r="I2392" s="232"/>
      <c r="J2392" s="232"/>
      <c r="K2392" s="232"/>
      <c r="L2392" s="232"/>
      <c r="M2392" s="232"/>
      <c r="N2392" s="232"/>
      <c r="O2392" s="232"/>
      <c r="P2392" s="232"/>
      <c r="Q2392" s="232"/>
      <c r="R2392" s="232"/>
      <c r="S2392" s="232"/>
      <c r="T2392" s="232"/>
      <c r="U2392" s="232"/>
      <c r="V2392" s="15"/>
      <c r="W2392" s="15"/>
      <c r="X2392" s="15"/>
      <c r="Y2392" s="15"/>
      <c r="Z2392" s="15"/>
      <c r="AA2392" s="15"/>
    </row>
    <row r="2393" spans="1:27" s="25" customFormat="1" ht="12" customHeight="1" x14ac:dyDescent="0.2">
      <c r="A2393" s="232"/>
      <c r="B2393" s="250"/>
      <c r="C2393" s="286"/>
      <c r="D2393" s="232"/>
      <c r="E2393" s="232"/>
      <c r="F2393" s="232"/>
      <c r="G2393" s="232"/>
      <c r="H2393" s="232"/>
      <c r="I2393" s="232"/>
      <c r="J2393" s="232"/>
      <c r="K2393" s="232"/>
      <c r="L2393" s="232"/>
      <c r="M2393" s="232"/>
      <c r="N2393" s="232"/>
      <c r="O2393" s="232"/>
      <c r="P2393" s="232"/>
      <c r="Q2393" s="232"/>
      <c r="R2393" s="232"/>
      <c r="S2393" s="232"/>
      <c r="T2393" s="232"/>
      <c r="U2393" s="232"/>
      <c r="V2393" s="15"/>
      <c r="W2393" s="15"/>
      <c r="X2393" s="15"/>
      <c r="Y2393" s="15"/>
      <c r="Z2393" s="15"/>
      <c r="AA2393" s="15"/>
    </row>
    <row r="2394" spans="1:27" s="25" customFormat="1" ht="12" customHeight="1" x14ac:dyDescent="0.2">
      <c r="A2394" s="232"/>
      <c r="B2394" s="250"/>
      <c r="C2394" s="286"/>
      <c r="D2394" s="232"/>
      <c r="E2394" s="232"/>
      <c r="F2394" s="232"/>
      <c r="G2394" s="232"/>
      <c r="H2394" s="232"/>
      <c r="I2394" s="232"/>
      <c r="J2394" s="232"/>
      <c r="K2394" s="232"/>
      <c r="L2394" s="232"/>
      <c r="M2394" s="232"/>
      <c r="N2394" s="232"/>
      <c r="O2394" s="232"/>
      <c r="P2394" s="232"/>
      <c r="Q2394" s="232"/>
      <c r="R2394" s="232"/>
      <c r="S2394" s="232"/>
      <c r="T2394" s="232"/>
      <c r="U2394" s="232"/>
      <c r="V2394" s="15"/>
      <c r="W2394" s="15"/>
      <c r="X2394" s="15"/>
      <c r="Y2394" s="15"/>
      <c r="Z2394" s="15"/>
      <c r="AA2394" s="15"/>
    </row>
    <row r="2395" spans="1:27" s="25" customFormat="1" ht="12" customHeight="1" x14ac:dyDescent="0.2">
      <c r="A2395" s="232"/>
      <c r="B2395" s="250"/>
      <c r="C2395" s="286"/>
      <c r="D2395" s="232"/>
      <c r="E2395" s="232"/>
      <c r="F2395" s="232"/>
      <c r="G2395" s="232"/>
      <c r="H2395" s="232"/>
      <c r="I2395" s="232"/>
      <c r="J2395" s="232"/>
      <c r="K2395" s="232"/>
      <c r="L2395" s="232"/>
      <c r="M2395" s="232"/>
      <c r="N2395" s="232"/>
      <c r="O2395" s="232"/>
      <c r="P2395" s="232"/>
      <c r="Q2395" s="232"/>
      <c r="R2395" s="232"/>
      <c r="S2395" s="232"/>
      <c r="T2395" s="232"/>
      <c r="U2395" s="232"/>
      <c r="V2395" s="15"/>
      <c r="W2395" s="15"/>
      <c r="X2395" s="15"/>
      <c r="Y2395" s="15"/>
      <c r="Z2395" s="15"/>
      <c r="AA2395" s="15"/>
    </row>
    <row r="2396" spans="1:27" s="25" customFormat="1" ht="12" customHeight="1" x14ac:dyDescent="0.2">
      <c r="A2396" s="232"/>
      <c r="B2396" s="250"/>
      <c r="C2396" s="286"/>
      <c r="D2396" s="232"/>
      <c r="E2396" s="232"/>
      <c r="F2396" s="232"/>
      <c r="G2396" s="232"/>
      <c r="H2396" s="232"/>
      <c r="I2396" s="232"/>
      <c r="J2396" s="232"/>
      <c r="K2396" s="232"/>
      <c r="L2396" s="232"/>
      <c r="M2396" s="232"/>
      <c r="N2396" s="232"/>
      <c r="O2396" s="232"/>
      <c r="P2396" s="232"/>
      <c r="Q2396" s="232"/>
      <c r="R2396" s="232"/>
      <c r="S2396" s="232"/>
      <c r="T2396" s="232"/>
      <c r="U2396" s="232"/>
      <c r="V2396" s="15"/>
      <c r="W2396" s="15"/>
      <c r="X2396" s="15"/>
      <c r="Y2396" s="15"/>
      <c r="Z2396" s="15"/>
      <c r="AA2396" s="15"/>
    </row>
    <row r="2397" spans="1:27" s="25" customFormat="1" ht="12" customHeight="1" x14ac:dyDescent="0.2">
      <c r="A2397" s="232"/>
      <c r="B2397" s="250"/>
      <c r="C2397" s="286"/>
      <c r="D2397" s="232"/>
      <c r="E2397" s="232"/>
      <c r="F2397" s="232"/>
      <c r="G2397" s="232"/>
      <c r="H2397" s="232"/>
      <c r="I2397" s="232"/>
      <c r="J2397" s="232"/>
      <c r="K2397" s="232"/>
      <c r="L2397" s="232"/>
      <c r="M2397" s="232"/>
      <c r="N2397" s="232"/>
      <c r="O2397" s="232"/>
      <c r="P2397" s="232"/>
      <c r="Q2397" s="232"/>
      <c r="R2397" s="232"/>
      <c r="S2397" s="232"/>
      <c r="T2397" s="232"/>
      <c r="U2397" s="232"/>
      <c r="V2397" s="15"/>
      <c r="W2397" s="15"/>
      <c r="X2397" s="15"/>
      <c r="Y2397" s="15"/>
      <c r="Z2397" s="15"/>
      <c r="AA2397" s="15"/>
    </row>
    <row r="2398" spans="1:27" s="25" customFormat="1" ht="12" customHeight="1" x14ac:dyDescent="0.2">
      <c r="A2398" s="232"/>
      <c r="B2398" s="250"/>
      <c r="C2398" s="286"/>
      <c r="D2398" s="232"/>
      <c r="E2398" s="232"/>
      <c r="F2398" s="232"/>
      <c r="G2398" s="232"/>
      <c r="H2398" s="232"/>
      <c r="I2398" s="232"/>
      <c r="J2398" s="232"/>
      <c r="K2398" s="232"/>
      <c r="L2398" s="232"/>
      <c r="M2398" s="232"/>
      <c r="N2398" s="232"/>
      <c r="O2398" s="232"/>
      <c r="P2398" s="232"/>
      <c r="Q2398" s="232"/>
      <c r="R2398" s="232"/>
      <c r="S2398" s="232"/>
      <c r="T2398" s="232"/>
      <c r="U2398" s="232"/>
      <c r="V2398" s="15"/>
      <c r="W2398" s="15"/>
      <c r="X2398" s="15"/>
      <c r="Y2398" s="15"/>
      <c r="Z2398" s="15"/>
      <c r="AA2398" s="15"/>
    </row>
    <row r="2399" spans="1:27" s="25" customFormat="1" ht="12" customHeight="1" x14ac:dyDescent="0.2">
      <c r="A2399" s="232"/>
      <c r="B2399" s="250"/>
      <c r="C2399" s="286"/>
      <c r="D2399" s="232"/>
      <c r="E2399" s="232"/>
      <c r="F2399" s="232"/>
      <c r="G2399" s="232"/>
      <c r="H2399" s="232"/>
      <c r="I2399" s="232"/>
      <c r="J2399" s="232"/>
      <c r="K2399" s="232"/>
      <c r="L2399" s="232"/>
      <c r="M2399" s="232"/>
      <c r="N2399" s="232"/>
      <c r="O2399" s="232"/>
      <c r="P2399" s="232"/>
      <c r="Q2399" s="232"/>
      <c r="R2399" s="232"/>
      <c r="S2399" s="232"/>
      <c r="T2399" s="232"/>
      <c r="U2399" s="232"/>
      <c r="V2399" s="15"/>
      <c r="W2399" s="15"/>
      <c r="X2399" s="15"/>
      <c r="Y2399" s="15"/>
      <c r="Z2399" s="15"/>
      <c r="AA2399" s="15"/>
    </row>
    <row r="2400" spans="1:27" s="25" customFormat="1" ht="12" customHeight="1" x14ac:dyDescent="0.2">
      <c r="A2400" s="232"/>
      <c r="B2400" s="250"/>
      <c r="C2400" s="286"/>
      <c r="D2400" s="232"/>
      <c r="E2400" s="232"/>
      <c r="F2400" s="232"/>
      <c r="G2400" s="232"/>
      <c r="H2400" s="232"/>
      <c r="I2400" s="232"/>
      <c r="J2400" s="232"/>
      <c r="K2400" s="232"/>
      <c r="L2400" s="232"/>
      <c r="M2400" s="232"/>
      <c r="N2400" s="232"/>
      <c r="O2400" s="232"/>
      <c r="P2400" s="232"/>
      <c r="Q2400" s="232"/>
      <c r="R2400" s="232"/>
      <c r="S2400" s="232"/>
      <c r="T2400" s="232"/>
      <c r="U2400" s="232"/>
      <c r="V2400" s="15"/>
      <c r="W2400" s="15"/>
      <c r="X2400" s="15"/>
      <c r="Y2400" s="15"/>
      <c r="Z2400" s="15"/>
      <c r="AA2400" s="15"/>
    </row>
    <row r="2401" spans="1:27" s="25" customFormat="1" ht="12" customHeight="1" x14ac:dyDescent="0.2">
      <c r="A2401" s="232"/>
      <c r="B2401" s="250"/>
      <c r="C2401" s="286"/>
      <c r="D2401" s="232"/>
      <c r="E2401" s="232"/>
      <c r="F2401" s="232"/>
      <c r="G2401" s="232"/>
      <c r="H2401" s="232"/>
      <c r="I2401" s="232"/>
      <c r="J2401" s="232"/>
      <c r="K2401" s="232"/>
      <c r="L2401" s="232"/>
      <c r="M2401" s="232"/>
      <c r="N2401" s="232"/>
      <c r="O2401" s="232"/>
      <c r="P2401" s="232"/>
      <c r="Q2401" s="232"/>
      <c r="R2401" s="232"/>
      <c r="S2401" s="232"/>
      <c r="T2401" s="232"/>
      <c r="U2401" s="232"/>
      <c r="V2401" s="15"/>
      <c r="W2401" s="15"/>
      <c r="X2401" s="15"/>
      <c r="Y2401" s="15"/>
      <c r="Z2401" s="15"/>
      <c r="AA2401" s="15"/>
    </row>
    <row r="2402" spans="1:27" s="25" customFormat="1" ht="12" customHeight="1" x14ac:dyDescent="0.2">
      <c r="A2402" s="232"/>
      <c r="B2402" s="250"/>
      <c r="C2402" s="286"/>
      <c r="D2402" s="232"/>
      <c r="E2402" s="232"/>
      <c r="F2402" s="232"/>
      <c r="G2402" s="232"/>
      <c r="H2402" s="232"/>
      <c r="I2402" s="232"/>
      <c r="J2402" s="232"/>
      <c r="K2402" s="232"/>
      <c r="L2402" s="232"/>
      <c r="M2402" s="232"/>
      <c r="N2402" s="232"/>
      <c r="O2402" s="232"/>
      <c r="P2402" s="232"/>
      <c r="Q2402" s="232"/>
      <c r="R2402" s="232"/>
      <c r="S2402" s="232"/>
      <c r="T2402" s="232"/>
      <c r="U2402" s="232"/>
      <c r="V2402" s="15"/>
      <c r="W2402" s="15"/>
      <c r="X2402" s="15"/>
      <c r="Y2402" s="15"/>
      <c r="Z2402" s="15"/>
      <c r="AA2402" s="15"/>
    </row>
    <row r="2403" spans="1:27" s="25" customFormat="1" ht="12" customHeight="1" x14ac:dyDescent="0.2">
      <c r="A2403" s="232"/>
      <c r="B2403" s="250"/>
      <c r="C2403" s="286"/>
      <c r="D2403" s="232"/>
      <c r="E2403" s="232"/>
      <c r="F2403" s="232"/>
      <c r="G2403" s="232"/>
      <c r="H2403" s="232"/>
      <c r="I2403" s="232"/>
      <c r="J2403" s="232"/>
      <c r="K2403" s="232"/>
      <c r="L2403" s="232"/>
      <c r="M2403" s="232"/>
      <c r="N2403" s="232"/>
      <c r="O2403" s="232"/>
      <c r="P2403" s="232"/>
      <c r="Q2403" s="232"/>
      <c r="R2403" s="232"/>
      <c r="S2403" s="232"/>
      <c r="T2403" s="232"/>
      <c r="U2403" s="232"/>
      <c r="V2403" s="15"/>
      <c r="W2403" s="15"/>
      <c r="X2403" s="15"/>
      <c r="Y2403" s="15"/>
      <c r="Z2403" s="15"/>
      <c r="AA2403" s="15"/>
    </row>
    <row r="2404" spans="1:27" s="25" customFormat="1" ht="12" customHeight="1" x14ac:dyDescent="0.2">
      <c r="A2404" s="232"/>
      <c r="B2404" s="250"/>
      <c r="C2404" s="286"/>
      <c r="D2404" s="232"/>
      <c r="E2404" s="232"/>
      <c r="F2404" s="232"/>
      <c r="G2404" s="232"/>
      <c r="H2404" s="232"/>
      <c r="I2404" s="232"/>
      <c r="J2404" s="232"/>
      <c r="K2404" s="232"/>
      <c r="L2404" s="232"/>
      <c r="M2404" s="232"/>
      <c r="N2404" s="232"/>
      <c r="O2404" s="232"/>
      <c r="P2404" s="232"/>
      <c r="Q2404" s="232"/>
      <c r="R2404" s="232"/>
      <c r="S2404" s="232"/>
      <c r="T2404" s="232"/>
      <c r="U2404" s="232"/>
      <c r="V2404" s="15"/>
      <c r="W2404" s="15"/>
      <c r="X2404" s="15"/>
      <c r="Y2404" s="15"/>
      <c r="Z2404" s="15"/>
      <c r="AA2404" s="15"/>
    </row>
    <row r="2405" spans="1:27" s="25" customFormat="1" ht="12" customHeight="1" x14ac:dyDescent="0.2">
      <c r="A2405" s="232"/>
      <c r="B2405" s="250"/>
      <c r="C2405" s="286"/>
      <c r="D2405" s="232"/>
      <c r="E2405" s="232"/>
      <c r="F2405" s="232"/>
      <c r="G2405" s="232"/>
      <c r="H2405" s="232"/>
      <c r="I2405" s="232"/>
      <c r="J2405" s="232"/>
      <c r="K2405" s="232"/>
      <c r="L2405" s="232"/>
      <c r="M2405" s="232"/>
      <c r="N2405" s="232"/>
      <c r="O2405" s="232"/>
      <c r="P2405" s="232"/>
      <c r="Q2405" s="232"/>
      <c r="R2405" s="232"/>
      <c r="S2405" s="232"/>
      <c r="T2405" s="232"/>
      <c r="U2405" s="232"/>
      <c r="V2405" s="15"/>
      <c r="W2405" s="15"/>
      <c r="X2405" s="15"/>
      <c r="Y2405" s="15"/>
      <c r="Z2405" s="15"/>
      <c r="AA2405" s="15"/>
    </row>
    <row r="2406" spans="1:27" s="25" customFormat="1" ht="12" customHeight="1" x14ac:dyDescent="0.2">
      <c r="A2406" s="232"/>
      <c r="B2406" s="250"/>
      <c r="C2406" s="286"/>
      <c r="D2406" s="232"/>
      <c r="E2406" s="232"/>
      <c r="F2406" s="232"/>
      <c r="G2406" s="232"/>
      <c r="H2406" s="232"/>
      <c r="I2406" s="232"/>
      <c r="J2406" s="232"/>
      <c r="K2406" s="232"/>
      <c r="L2406" s="232"/>
      <c r="M2406" s="232"/>
      <c r="N2406" s="232"/>
      <c r="O2406" s="232"/>
      <c r="P2406" s="232"/>
      <c r="Q2406" s="232"/>
      <c r="R2406" s="232"/>
      <c r="S2406" s="232"/>
      <c r="T2406" s="232"/>
      <c r="U2406" s="232"/>
      <c r="V2406" s="15"/>
      <c r="W2406" s="15"/>
      <c r="X2406" s="15"/>
      <c r="Y2406" s="15"/>
      <c r="Z2406" s="15"/>
      <c r="AA2406" s="15"/>
    </row>
    <row r="2407" spans="1:27" s="25" customFormat="1" ht="12" customHeight="1" x14ac:dyDescent="0.2">
      <c r="A2407" s="232"/>
      <c r="B2407" s="250"/>
      <c r="C2407" s="286"/>
      <c r="D2407" s="232"/>
      <c r="E2407" s="232"/>
      <c r="F2407" s="232"/>
      <c r="G2407" s="232"/>
      <c r="H2407" s="232"/>
      <c r="I2407" s="232"/>
      <c r="J2407" s="232"/>
      <c r="K2407" s="232"/>
      <c r="L2407" s="232"/>
      <c r="M2407" s="232"/>
      <c r="N2407" s="232"/>
      <c r="O2407" s="232"/>
      <c r="P2407" s="232"/>
      <c r="Q2407" s="232"/>
      <c r="R2407" s="232"/>
      <c r="S2407" s="232"/>
      <c r="T2407" s="232"/>
      <c r="U2407" s="232"/>
      <c r="V2407" s="15"/>
      <c r="W2407" s="15"/>
      <c r="X2407" s="15"/>
      <c r="Y2407" s="15"/>
      <c r="Z2407" s="15"/>
      <c r="AA2407" s="15"/>
    </row>
    <row r="2408" spans="1:27" s="25" customFormat="1" ht="12" customHeight="1" x14ac:dyDescent="0.2">
      <c r="A2408" s="232"/>
      <c r="B2408" s="250"/>
      <c r="C2408" s="286"/>
      <c r="D2408" s="232"/>
      <c r="E2408" s="232"/>
      <c r="F2408" s="232"/>
      <c r="G2408" s="232"/>
      <c r="H2408" s="232"/>
      <c r="I2408" s="232"/>
      <c r="J2408" s="232"/>
      <c r="K2408" s="232"/>
      <c r="L2408" s="232"/>
      <c r="M2408" s="232"/>
      <c r="N2408" s="232"/>
      <c r="O2408" s="232"/>
      <c r="P2408" s="232"/>
      <c r="Q2408" s="232"/>
      <c r="R2408" s="232"/>
      <c r="S2408" s="232"/>
      <c r="T2408" s="232"/>
      <c r="U2408" s="232"/>
      <c r="V2408" s="15"/>
      <c r="W2408" s="15"/>
      <c r="X2408" s="15"/>
      <c r="Y2408" s="15"/>
      <c r="Z2408" s="15"/>
      <c r="AA2408" s="15"/>
    </row>
    <row r="2409" spans="1:27" s="25" customFormat="1" ht="12" customHeight="1" x14ac:dyDescent="0.2">
      <c r="A2409" s="232"/>
      <c r="B2409" s="250"/>
      <c r="C2409" s="286"/>
      <c r="D2409" s="232"/>
      <c r="E2409" s="232"/>
      <c r="F2409" s="232"/>
      <c r="G2409" s="232"/>
      <c r="H2409" s="232"/>
      <c r="I2409" s="232"/>
      <c r="J2409" s="232"/>
      <c r="K2409" s="232"/>
      <c r="L2409" s="232"/>
      <c r="M2409" s="232"/>
      <c r="N2409" s="232"/>
      <c r="O2409" s="232"/>
      <c r="P2409" s="232"/>
      <c r="Q2409" s="232"/>
      <c r="R2409" s="232"/>
      <c r="S2409" s="232"/>
      <c r="T2409" s="232"/>
      <c r="U2409" s="232"/>
      <c r="V2409" s="15"/>
      <c r="W2409" s="15"/>
      <c r="X2409" s="15"/>
      <c r="Y2409" s="15"/>
      <c r="Z2409" s="15"/>
      <c r="AA2409" s="15"/>
    </row>
    <row r="2410" spans="1:27" s="25" customFormat="1" ht="12" customHeight="1" x14ac:dyDescent="0.2">
      <c r="A2410" s="232"/>
      <c r="B2410" s="250"/>
      <c r="C2410" s="286"/>
      <c r="D2410" s="232"/>
      <c r="E2410" s="232"/>
      <c r="F2410" s="232"/>
      <c r="G2410" s="232"/>
      <c r="H2410" s="232"/>
      <c r="I2410" s="232"/>
      <c r="J2410" s="232"/>
      <c r="K2410" s="232"/>
      <c r="L2410" s="232"/>
      <c r="M2410" s="232"/>
      <c r="N2410" s="232"/>
      <c r="O2410" s="232"/>
      <c r="P2410" s="232"/>
      <c r="Q2410" s="232"/>
      <c r="R2410" s="232"/>
      <c r="S2410" s="232"/>
      <c r="T2410" s="232"/>
      <c r="U2410" s="232"/>
      <c r="V2410" s="15"/>
      <c r="W2410" s="15"/>
      <c r="X2410" s="15"/>
      <c r="Y2410" s="15"/>
      <c r="Z2410" s="15"/>
      <c r="AA2410" s="15"/>
    </row>
    <row r="2411" spans="1:27" s="25" customFormat="1" ht="12" customHeight="1" x14ac:dyDescent="0.2">
      <c r="A2411" s="232"/>
      <c r="B2411" s="250"/>
      <c r="C2411" s="286"/>
      <c r="D2411" s="232"/>
      <c r="E2411" s="232"/>
      <c r="F2411" s="232"/>
      <c r="G2411" s="232"/>
      <c r="H2411" s="232"/>
      <c r="I2411" s="232"/>
      <c r="J2411" s="232"/>
      <c r="K2411" s="232"/>
      <c r="L2411" s="232"/>
      <c r="M2411" s="232"/>
      <c r="N2411" s="232"/>
      <c r="O2411" s="232"/>
      <c r="P2411" s="232"/>
      <c r="Q2411" s="232"/>
      <c r="R2411" s="232"/>
      <c r="S2411" s="232"/>
      <c r="T2411" s="232"/>
      <c r="U2411" s="232"/>
      <c r="V2411" s="15"/>
      <c r="W2411" s="15"/>
      <c r="X2411" s="15"/>
      <c r="Y2411" s="15"/>
      <c r="Z2411" s="15"/>
      <c r="AA2411" s="15"/>
    </row>
    <row r="2412" spans="1:27" s="25" customFormat="1" ht="12" customHeight="1" x14ac:dyDescent="0.2">
      <c r="A2412" s="232"/>
      <c r="B2412" s="250"/>
      <c r="C2412" s="286"/>
      <c r="D2412" s="232"/>
      <c r="E2412" s="232"/>
      <c r="F2412" s="232"/>
      <c r="G2412" s="232"/>
      <c r="H2412" s="232"/>
      <c r="I2412" s="232"/>
      <c r="J2412" s="232"/>
      <c r="K2412" s="232"/>
      <c r="L2412" s="232"/>
      <c r="M2412" s="232"/>
      <c r="N2412" s="232"/>
      <c r="O2412" s="232"/>
      <c r="P2412" s="232"/>
      <c r="Q2412" s="232"/>
      <c r="R2412" s="232"/>
      <c r="S2412" s="232"/>
      <c r="T2412" s="232"/>
      <c r="U2412" s="232"/>
      <c r="V2412" s="15"/>
      <c r="W2412" s="15"/>
      <c r="X2412" s="15"/>
      <c r="Y2412" s="15"/>
      <c r="Z2412" s="15"/>
      <c r="AA2412" s="15"/>
    </row>
    <row r="2413" spans="1:27" s="25" customFormat="1" ht="12" customHeight="1" x14ac:dyDescent="0.2">
      <c r="A2413" s="232"/>
      <c r="B2413" s="250"/>
      <c r="C2413" s="286"/>
      <c r="D2413" s="232"/>
      <c r="E2413" s="232"/>
      <c r="F2413" s="232"/>
      <c r="G2413" s="232"/>
      <c r="H2413" s="232"/>
      <c r="I2413" s="232"/>
      <c r="J2413" s="232"/>
      <c r="K2413" s="232"/>
      <c r="L2413" s="232"/>
      <c r="M2413" s="232"/>
      <c r="N2413" s="232"/>
      <c r="O2413" s="232"/>
      <c r="P2413" s="232"/>
      <c r="Q2413" s="232"/>
      <c r="R2413" s="232"/>
      <c r="S2413" s="232"/>
      <c r="T2413" s="232"/>
      <c r="U2413" s="232"/>
      <c r="V2413" s="15"/>
      <c r="W2413" s="15"/>
      <c r="X2413" s="15"/>
      <c r="Y2413" s="15"/>
      <c r="Z2413" s="15"/>
      <c r="AA2413" s="15"/>
    </row>
    <row r="2414" spans="1:27" s="25" customFormat="1" ht="12" customHeight="1" x14ac:dyDescent="0.2">
      <c r="A2414" s="232"/>
      <c r="B2414" s="250"/>
      <c r="C2414" s="286"/>
      <c r="D2414" s="232"/>
      <c r="E2414" s="232"/>
      <c r="F2414" s="232"/>
      <c r="G2414" s="232"/>
      <c r="H2414" s="232"/>
      <c r="I2414" s="232"/>
      <c r="J2414" s="232"/>
      <c r="K2414" s="232"/>
      <c r="L2414" s="232"/>
      <c r="M2414" s="232"/>
      <c r="N2414" s="232"/>
      <c r="O2414" s="232"/>
      <c r="P2414" s="232"/>
      <c r="Q2414" s="232"/>
      <c r="R2414" s="232"/>
      <c r="S2414" s="232"/>
      <c r="T2414" s="232"/>
      <c r="U2414" s="232"/>
      <c r="V2414" s="15"/>
      <c r="W2414" s="15"/>
      <c r="X2414" s="15"/>
      <c r="Y2414" s="15"/>
      <c r="Z2414" s="15"/>
      <c r="AA2414" s="15"/>
    </row>
    <row r="2415" spans="1:27" s="25" customFormat="1" ht="12" customHeight="1" x14ac:dyDescent="0.2">
      <c r="A2415" s="232"/>
      <c r="B2415" s="250"/>
      <c r="C2415" s="286"/>
      <c r="D2415" s="232"/>
      <c r="E2415" s="232"/>
      <c r="F2415" s="232"/>
      <c r="G2415" s="232"/>
      <c r="H2415" s="232"/>
      <c r="I2415" s="232"/>
      <c r="J2415" s="232"/>
      <c r="K2415" s="232"/>
      <c r="L2415" s="232"/>
      <c r="M2415" s="232"/>
      <c r="N2415" s="232"/>
      <c r="O2415" s="232"/>
      <c r="P2415" s="232"/>
      <c r="Q2415" s="232"/>
      <c r="R2415" s="232"/>
      <c r="S2415" s="232"/>
      <c r="T2415" s="232"/>
      <c r="U2415" s="232"/>
      <c r="V2415" s="15"/>
      <c r="W2415" s="15"/>
      <c r="X2415" s="15"/>
      <c r="Y2415" s="15"/>
      <c r="Z2415" s="15"/>
      <c r="AA2415" s="15"/>
    </row>
    <row r="2416" spans="1:27" s="25" customFormat="1" ht="12" customHeight="1" x14ac:dyDescent="0.2">
      <c r="A2416" s="232"/>
      <c r="B2416" s="250"/>
      <c r="C2416" s="286"/>
      <c r="D2416" s="232"/>
      <c r="E2416" s="232"/>
      <c r="F2416" s="232"/>
      <c r="G2416" s="232"/>
      <c r="H2416" s="232"/>
      <c r="I2416" s="232"/>
      <c r="J2416" s="232"/>
      <c r="K2416" s="232"/>
      <c r="L2416" s="232"/>
      <c r="M2416" s="232"/>
      <c r="N2416" s="232"/>
      <c r="O2416" s="232"/>
      <c r="P2416" s="232"/>
      <c r="Q2416" s="232"/>
      <c r="R2416" s="232"/>
      <c r="S2416" s="232"/>
      <c r="T2416" s="232"/>
      <c r="U2416" s="232"/>
      <c r="V2416" s="15"/>
      <c r="W2416" s="15"/>
      <c r="X2416" s="15"/>
      <c r="Y2416" s="15"/>
      <c r="Z2416" s="15"/>
      <c r="AA2416" s="15"/>
    </row>
    <row r="2417" spans="1:27" s="25" customFormat="1" ht="12" customHeight="1" x14ac:dyDescent="0.2">
      <c r="A2417" s="232"/>
      <c r="B2417" s="250"/>
      <c r="C2417" s="286"/>
      <c r="D2417" s="232"/>
      <c r="E2417" s="232"/>
      <c r="F2417" s="232"/>
      <c r="G2417" s="232"/>
      <c r="H2417" s="232"/>
      <c r="I2417" s="232"/>
      <c r="J2417" s="232"/>
      <c r="K2417" s="232"/>
      <c r="L2417" s="232"/>
      <c r="M2417" s="232"/>
      <c r="N2417" s="232"/>
      <c r="O2417" s="232"/>
      <c r="P2417" s="232"/>
      <c r="Q2417" s="232"/>
      <c r="R2417" s="232"/>
      <c r="S2417" s="232"/>
      <c r="T2417" s="232"/>
      <c r="U2417" s="232"/>
      <c r="V2417" s="15"/>
      <c r="W2417" s="15"/>
      <c r="X2417" s="15"/>
      <c r="Y2417" s="15"/>
      <c r="Z2417" s="15"/>
      <c r="AA2417" s="15"/>
    </row>
    <row r="2418" spans="1:27" s="25" customFormat="1" ht="12" customHeight="1" x14ac:dyDescent="0.2">
      <c r="A2418" s="232"/>
      <c r="B2418" s="250"/>
      <c r="C2418" s="286"/>
      <c r="D2418" s="232"/>
      <c r="E2418" s="232"/>
      <c r="F2418" s="232"/>
      <c r="G2418" s="232"/>
      <c r="H2418" s="232"/>
      <c r="I2418" s="232"/>
      <c r="J2418" s="232"/>
      <c r="K2418" s="232"/>
      <c r="L2418" s="232"/>
      <c r="M2418" s="232"/>
      <c r="N2418" s="232"/>
      <c r="O2418" s="232"/>
      <c r="P2418" s="232"/>
      <c r="Q2418" s="232"/>
      <c r="R2418" s="232"/>
      <c r="S2418" s="232"/>
      <c r="T2418" s="232"/>
      <c r="U2418" s="232"/>
      <c r="V2418" s="15"/>
      <c r="W2418" s="15"/>
      <c r="X2418" s="15"/>
      <c r="Y2418" s="15"/>
      <c r="Z2418" s="15"/>
      <c r="AA2418" s="15"/>
    </row>
    <row r="2419" spans="1:27" s="25" customFormat="1" ht="12" customHeight="1" x14ac:dyDescent="0.2">
      <c r="A2419" s="232"/>
      <c r="B2419" s="250"/>
      <c r="C2419" s="286"/>
      <c r="D2419" s="232"/>
      <c r="E2419" s="232"/>
      <c r="F2419" s="232"/>
      <c r="G2419" s="232"/>
      <c r="H2419" s="232"/>
      <c r="I2419" s="232"/>
      <c r="J2419" s="232"/>
      <c r="K2419" s="232"/>
      <c r="L2419" s="232"/>
      <c r="M2419" s="232"/>
      <c r="N2419" s="232"/>
      <c r="O2419" s="232"/>
      <c r="P2419" s="232"/>
      <c r="Q2419" s="232"/>
      <c r="R2419" s="232"/>
      <c r="S2419" s="232"/>
      <c r="T2419" s="232"/>
      <c r="U2419" s="232"/>
      <c r="V2419" s="15"/>
      <c r="W2419" s="15"/>
      <c r="X2419" s="15"/>
      <c r="Y2419" s="15"/>
      <c r="Z2419" s="15"/>
      <c r="AA2419" s="15"/>
    </row>
    <row r="2420" spans="1:27" s="25" customFormat="1" ht="12" customHeight="1" x14ac:dyDescent="0.2">
      <c r="A2420" s="232"/>
      <c r="B2420" s="250"/>
      <c r="C2420" s="286"/>
      <c r="D2420" s="232"/>
      <c r="E2420" s="232"/>
      <c r="F2420" s="232"/>
      <c r="G2420" s="232"/>
      <c r="H2420" s="232"/>
      <c r="I2420" s="232"/>
      <c r="J2420" s="232"/>
      <c r="K2420" s="232"/>
      <c r="L2420" s="232"/>
      <c r="M2420" s="232"/>
      <c r="N2420" s="232"/>
      <c r="O2420" s="232"/>
      <c r="P2420" s="232"/>
      <c r="Q2420" s="232"/>
      <c r="R2420" s="232"/>
      <c r="S2420" s="232"/>
      <c r="T2420" s="232"/>
      <c r="U2420" s="232"/>
      <c r="V2420" s="15"/>
      <c r="W2420" s="15"/>
      <c r="X2420" s="15"/>
      <c r="Y2420" s="15"/>
      <c r="Z2420" s="15"/>
      <c r="AA2420" s="15"/>
    </row>
    <row r="2421" spans="1:27" s="25" customFormat="1" ht="12" customHeight="1" x14ac:dyDescent="0.2">
      <c r="A2421" s="232"/>
      <c r="B2421" s="250"/>
      <c r="C2421" s="286"/>
      <c r="D2421" s="232"/>
      <c r="E2421" s="232"/>
      <c r="F2421" s="232"/>
      <c r="G2421" s="232"/>
      <c r="H2421" s="232"/>
      <c r="I2421" s="232"/>
      <c r="J2421" s="232"/>
      <c r="K2421" s="232"/>
      <c r="L2421" s="232"/>
      <c r="M2421" s="232"/>
      <c r="N2421" s="232"/>
      <c r="O2421" s="232"/>
      <c r="P2421" s="232"/>
      <c r="Q2421" s="232"/>
      <c r="R2421" s="232"/>
      <c r="S2421" s="232"/>
      <c r="T2421" s="232"/>
      <c r="U2421" s="232"/>
      <c r="V2421" s="15"/>
      <c r="W2421" s="15"/>
      <c r="X2421" s="15"/>
      <c r="Y2421" s="15"/>
      <c r="Z2421" s="15"/>
      <c r="AA2421" s="15"/>
    </row>
    <row r="2422" spans="1:27" s="25" customFormat="1" ht="12" customHeight="1" x14ac:dyDescent="0.2">
      <c r="A2422" s="232"/>
      <c r="B2422" s="250"/>
      <c r="C2422" s="286"/>
      <c r="D2422" s="232"/>
      <c r="E2422" s="232"/>
      <c r="F2422" s="232"/>
      <c r="G2422" s="232"/>
      <c r="H2422" s="232"/>
      <c r="I2422" s="232"/>
      <c r="J2422" s="232"/>
      <c r="K2422" s="232"/>
      <c r="L2422" s="232"/>
      <c r="M2422" s="232"/>
      <c r="N2422" s="232"/>
      <c r="O2422" s="232"/>
      <c r="P2422" s="232"/>
      <c r="Q2422" s="232"/>
      <c r="R2422" s="232"/>
      <c r="S2422" s="232"/>
      <c r="T2422" s="232"/>
      <c r="U2422" s="232"/>
      <c r="V2422" s="15"/>
      <c r="W2422" s="15"/>
      <c r="X2422" s="15"/>
      <c r="Y2422" s="15"/>
      <c r="Z2422" s="15"/>
      <c r="AA2422" s="15"/>
    </row>
    <row r="2423" spans="1:27" s="25" customFormat="1" ht="12" customHeight="1" x14ac:dyDescent="0.2">
      <c r="A2423" s="232"/>
      <c r="B2423" s="250"/>
      <c r="C2423" s="286"/>
      <c r="D2423" s="232"/>
      <c r="E2423" s="232"/>
      <c r="F2423" s="232"/>
      <c r="G2423" s="232"/>
      <c r="H2423" s="232"/>
      <c r="I2423" s="232"/>
      <c r="J2423" s="232"/>
      <c r="K2423" s="232"/>
      <c r="L2423" s="232"/>
      <c r="M2423" s="232"/>
      <c r="N2423" s="232"/>
      <c r="O2423" s="232"/>
      <c r="P2423" s="232"/>
      <c r="Q2423" s="232"/>
      <c r="R2423" s="232"/>
      <c r="S2423" s="232"/>
      <c r="T2423" s="232"/>
      <c r="U2423" s="232"/>
      <c r="V2423" s="15"/>
      <c r="W2423" s="15"/>
      <c r="X2423" s="15"/>
      <c r="Y2423" s="15"/>
      <c r="Z2423" s="15"/>
      <c r="AA2423" s="15"/>
    </row>
    <row r="2424" spans="1:27" s="25" customFormat="1" ht="12" customHeight="1" x14ac:dyDescent="0.2">
      <c r="A2424" s="232"/>
      <c r="B2424" s="250"/>
      <c r="C2424" s="286"/>
      <c r="D2424" s="232"/>
      <c r="E2424" s="232"/>
      <c r="F2424" s="232"/>
      <c r="G2424" s="232"/>
      <c r="H2424" s="232"/>
      <c r="I2424" s="232"/>
      <c r="J2424" s="232"/>
      <c r="K2424" s="232"/>
      <c r="L2424" s="232"/>
      <c r="M2424" s="232"/>
      <c r="N2424" s="232"/>
      <c r="O2424" s="232"/>
      <c r="P2424" s="232"/>
      <c r="Q2424" s="232"/>
      <c r="R2424" s="232"/>
      <c r="S2424" s="232"/>
      <c r="T2424" s="232"/>
      <c r="U2424" s="232"/>
      <c r="V2424" s="15"/>
      <c r="W2424" s="15"/>
      <c r="X2424" s="15"/>
      <c r="Y2424" s="15"/>
      <c r="Z2424" s="15"/>
      <c r="AA2424" s="15"/>
    </row>
    <row r="2425" spans="1:27" s="25" customFormat="1" ht="12" customHeight="1" x14ac:dyDescent="0.2">
      <c r="A2425" s="232"/>
      <c r="B2425" s="250"/>
      <c r="C2425" s="286"/>
      <c r="D2425" s="232"/>
      <c r="E2425" s="232"/>
      <c r="F2425" s="232"/>
      <c r="G2425" s="232"/>
      <c r="H2425" s="232"/>
      <c r="I2425" s="232"/>
      <c r="J2425" s="232"/>
      <c r="K2425" s="232"/>
      <c r="L2425" s="232"/>
      <c r="M2425" s="232"/>
      <c r="N2425" s="232"/>
      <c r="O2425" s="232"/>
      <c r="P2425" s="232"/>
      <c r="Q2425" s="232"/>
      <c r="R2425" s="232"/>
      <c r="S2425" s="232"/>
      <c r="T2425" s="232"/>
      <c r="U2425" s="232"/>
      <c r="V2425" s="15"/>
      <c r="W2425" s="15"/>
      <c r="X2425" s="15"/>
      <c r="Y2425" s="15"/>
      <c r="Z2425" s="15"/>
      <c r="AA2425" s="15"/>
    </row>
    <row r="2426" spans="1:27" s="25" customFormat="1" ht="12" customHeight="1" x14ac:dyDescent="0.2">
      <c r="A2426" s="232"/>
      <c r="B2426" s="250"/>
      <c r="C2426" s="286"/>
      <c r="D2426" s="232"/>
      <c r="E2426" s="232"/>
      <c r="F2426" s="232"/>
      <c r="G2426" s="232"/>
      <c r="H2426" s="232"/>
      <c r="I2426" s="232"/>
      <c r="J2426" s="232"/>
      <c r="K2426" s="232"/>
      <c r="L2426" s="232"/>
      <c r="M2426" s="232"/>
      <c r="N2426" s="232"/>
      <c r="O2426" s="232"/>
      <c r="P2426" s="232"/>
      <c r="Q2426" s="232"/>
      <c r="R2426" s="232"/>
      <c r="S2426" s="232"/>
      <c r="T2426" s="232"/>
      <c r="U2426" s="232"/>
      <c r="V2426" s="15"/>
      <c r="W2426" s="15"/>
      <c r="X2426" s="15"/>
      <c r="Y2426" s="15"/>
      <c r="Z2426" s="15"/>
      <c r="AA2426" s="15"/>
    </row>
    <row r="2427" spans="1:27" s="25" customFormat="1" ht="12" customHeight="1" x14ac:dyDescent="0.2">
      <c r="A2427" s="232"/>
      <c r="B2427" s="250"/>
      <c r="C2427" s="286"/>
      <c r="D2427" s="232"/>
      <c r="E2427" s="232"/>
      <c r="F2427" s="232"/>
      <c r="G2427" s="232"/>
      <c r="H2427" s="232"/>
      <c r="I2427" s="232"/>
      <c r="J2427" s="232"/>
      <c r="K2427" s="232"/>
      <c r="L2427" s="232"/>
      <c r="M2427" s="232"/>
      <c r="N2427" s="232"/>
      <c r="O2427" s="232"/>
      <c r="P2427" s="232"/>
      <c r="Q2427" s="232"/>
      <c r="R2427" s="232"/>
      <c r="S2427" s="232"/>
      <c r="T2427" s="232"/>
      <c r="U2427" s="232"/>
      <c r="V2427" s="15"/>
      <c r="W2427" s="15"/>
      <c r="X2427" s="15"/>
      <c r="Y2427" s="15"/>
      <c r="Z2427" s="15"/>
      <c r="AA2427" s="15"/>
    </row>
    <row r="2428" spans="1:27" s="25" customFormat="1" ht="12" customHeight="1" x14ac:dyDescent="0.2">
      <c r="A2428" s="232"/>
      <c r="B2428" s="250"/>
      <c r="C2428" s="286"/>
      <c r="D2428" s="232"/>
      <c r="E2428" s="232"/>
      <c r="F2428" s="232"/>
      <c r="G2428" s="232"/>
      <c r="H2428" s="232"/>
      <c r="I2428" s="232"/>
      <c r="J2428" s="232"/>
      <c r="K2428" s="232"/>
      <c r="L2428" s="232"/>
      <c r="M2428" s="232"/>
      <c r="N2428" s="232"/>
      <c r="O2428" s="232"/>
      <c r="P2428" s="232"/>
      <c r="Q2428" s="232"/>
      <c r="R2428" s="232"/>
      <c r="S2428" s="232"/>
      <c r="T2428" s="232"/>
      <c r="U2428" s="232"/>
      <c r="V2428" s="15"/>
      <c r="W2428" s="15"/>
      <c r="X2428" s="15"/>
      <c r="Y2428" s="15"/>
      <c r="Z2428" s="15"/>
      <c r="AA2428" s="15"/>
    </row>
    <row r="2429" spans="1:27" s="25" customFormat="1" ht="12" customHeight="1" x14ac:dyDescent="0.2">
      <c r="A2429" s="232"/>
      <c r="B2429" s="250"/>
      <c r="C2429" s="286"/>
      <c r="D2429" s="232"/>
      <c r="E2429" s="232"/>
      <c r="F2429" s="232"/>
      <c r="G2429" s="232"/>
      <c r="H2429" s="232"/>
      <c r="I2429" s="232"/>
      <c r="J2429" s="232"/>
      <c r="K2429" s="232"/>
      <c r="L2429" s="232"/>
      <c r="M2429" s="232"/>
      <c r="N2429" s="232"/>
      <c r="O2429" s="232"/>
      <c r="P2429" s="232"/>
      <c r="Q2429" s="232"/>
      <c r="R2429" s="232"/>
      <c r="S2429" s="232"/>
      <c r="T2429" s="232"/>
      <c r="U2429" s="232"/>
      <c r="V2429" s="15"/>
      <c r="W2429" s="15"/>
      <c r="X2429" s="15"/>
      <c r="Y2429" s="15"/>
      <c r="Z2429" s="15"/>
      <c r="AA2429" s="15"/>
    </row>
    <row r="2430" spans="1:27" s="25" customFormat="1" ht="12" customHeight="1" x14ac:dyDescent="0.2">
      <c r="A2430" s="232"/>
      <c r="B2430" s="250"/>
      <c r="C2430" s="286"/>
      <c r="D2430" s="232"/>
      <c r="E2430" s="232"/>
      <c r="F2430" s="232"/>
      <c r="G2430" s="232"/>
      <c r="H2430" s="232"/>
      <c r="I2430" s="232"/>
      <c r="J2430" s="232"/>
      <c r="K2430" s="232"/>
      <c r="L2430" s="232"/>
      <c r="M2430" s="232"/>
      <c r="N2430" s="232"/>
      <c r="O2430" s="232"/>
      <c r="P2430" s="232"/>
      <c r="Q2430" s="232"/>
      <c r="R2430" s="232"/>
      <c r="S2430" s="232"/>
      <c r="T2430" s="232"/>
      <c r="U2430" s="232"/>
      <c r="V2430" s="15"/>
      <c r="W2430" s="15"/>
      <c r="X2430" s="15"/>
      <c r="Y2430" s="15"/>
      <c r="Z2430" s="15"/>
      <c r="AA2430" s="15"/>
    </row>
    <row r="2431" spans="1:27" s="25" customFormat="1" ht="12" customHeight="1" x14ac:dyDescent="0.2">
      <c r="A2431" s="232"/>
      <c r="B2431" s="250"/>
      <c r="C2431" s="286"/>
      <c r="D2431" s="232"/>
      <c r="E2431" s="232"/>
      <c r="F2431" s="232"/>
      <c r="G2431" s="232"/>
      <c r="H2431" s="232"/>
      <c r="I2431" s="232"/>
      <c r="J2431" s="232"/>
      <c r="K2431" s="232"/>
      <c r="L2431" s="232"/>
      <c r="M2431" s="232"/>
      <c r="N2431" s="232"/>
      <c r="O2431" s="232"/>
      <c r="P2431" s="232"/>
      <c r="Q2431" s="232"/>
      <c r="R2431" s="232"/>
      <c r="S2431" s="232"/>
      <c r="T2431" s="232"/>
      <c r="U2431" s="232"/>
      <c r="V2431" s="15"/>
      <c r="W2431" s="15"/>
      <c r="X2431" s="15"/>
      <c r="Y2431" s="15"/>
      <c r="Z2431" s="15"/>
      <c r="AA2431" s="15"/>
    </row>
    <row r="2432" spans="1:27" s="25" customFormat="1" ht="12" customHeight="1" x14ac:dyDescent="0.2">
      <c r="A2432" s="232"/>
      <c r="B2432" s="250"/>
      <c r="C2432" s="286"/>
      <c r="D2432" s="232"/>
      <c r="E2432" s="232"/>
      <c r="F2432" s="232"/>
      <c r="G2432" s="232"/>
      <c r="H2432" s="232"/>
      <c r="I2432" s="232"/>
      <c r="J2432" s="232"/>
      <c r="K2432" s="232"/>
      <c r="L2432" s="232"/>
      <c r="M2432" s="232"/>
      <c r="N2432" s="232"/>
      <c r="O2432" s="232"/>
      <c r="P2432" s="232"/>
      <c r="Q2432" s="232"/>
      <c r="R2432" s="232"/>
      <c r="S2432" s="232"/>
      <c r="T2432" s="232"/>
      <c r="U2432" s="232"/>
      <c r="V2432" s="15"/>
      <c r="W2432" s="15"/>
      <c r="X2432" s="15"/>
      <c r="Y2432" s="15"/>
      <c r="Z2432" s="15"/>
      <c r="AA2432" s="15"/>
    </row>
    <row r="2433" spans="1:27" s="25" customFormat="1" ht="12" customHeight="1" x14ac:dyDescent="0.2">
      <c r="A2433" s="232"/>
      <c r="B2433" s="250"/>
      <c r="C2433" s="286"/>
      <c r="D2433" s="232"/>
      <c r="E2433" s="232"/>
      <c r="F2433" s="232"/>
      <c r="G2433" s="232"/>
      <c r="H2433" s="232"/>
      <c r="I2433" s="232"/>
      <c r="J2433" s="232"/>
      <c r="K2433" s="232"/>
      <c r="L2433" s="232"/>
      <c r="M2433" s="232"/>
      <c r="N2433" s="232"/>
      <c r="O2433" s="232"/>
      <c r="P2433" s="232"/>
      <c r="Q2433" s="232"/>
      <c r="R2433" s="232"/>
      <c r="S2433" s="232"/>
      <c r="T2433" s="232"/>
      <c r="U2433" s="232"/>
      <c r="V2433" s="15"/>
      <c r="W2433" s="15"/>
      <c r="X2433" s="15"/>
      <c r="Y2433" s="15"/>
      <c r="Z2433" s="15"/>
      <c r="AA2433" s="15"/>
    </row>
    <row r="2434" spans="1:27" s="25" customFormat="1" ht="12" customHeight="1" x14ac:dyDescent="0.2">
      <c r="A2434" s="232"/>
      <c r="B2434" s="250"/>
      <c r="C2434" s="286"/>
      <c r="D2434" s="232"/>
      <c r="E2434" s="232"/>
      <c r="F2434" s="232"/>
      <c r="G2434" s="232"/>
      <c r="H2434" s="232"/>
      <c r="I2434" s="232"/>
      <c r="J2434" s="232"/>
      <c r="K2434" s="232"/>
      <c r="L2434" s="232"/>
      <c r="M2434" s="232"/>
      <c r="N2434" s="232"/>
      <c r="O2434" s="232"/>
      <c r="P2434" s="232"/>
      <c r="Q2434" s="232"/>
      <c r="R2434" s="232"/>
      <c r="S2434" s="232"/>
      <c r="T2434" s="232"/>
      <c r="U2434" s="232"/>
      <c r="V2434" s="15"/>
      <c r="W2434" s="15"/>
      <c r="X2434" s="15"/>
      <c r="Y2434" s="15"/>
      <c r="Z2434" s="15"/>
      <c r="AA2434" s="15"/>
    </row>
    <row r="2435" spans="1:27" s="25" customFormat="1" ht="12" customHeight="1" x14ac:dyDescent="0.2">
      <c r="A2435" s="232"/>
      <c r="B2435" s="250"/>
      <c r="C2435" s="286"/>
      <c r="D2435" s="232"/>
      <c r="E2435" s="232"/>
      <c r="F2435" s="232"/>
      <c r="G2435" s="232"/>
      <c r="H2435" s="232"/>
      <c r="I2435" s="232"/>
      <c r="J2435" s="232"/>
      <c r="K2435" s="232"/>
      <c r="L2435" s="232"/>
      <c r="M2435" s="232"/>
      <c r="N2435" s="232"/>
      <c r="O2435" s="232"/>
      <c r="P2435" s="232"/>
      <c r="Q2435" s="232"/>
      <c r="R2435" s="232"/>
      <c r="S2435" s="232"/>
      <c r="T2435" s="232"/>
      <c r="U2435" s="232"/>
      <c r="V2435" s="15"/>
      <c r="W2435" s="15"/>
      <c r="X2435" s="15"/>
      <c r="Y2435" s="15"/>
      <c r="Z2435" s="15"/>
      <c r="AA2435" s="15"/>
    </row>
    <row r="2436" spans="1:27" s="25" customFormat="1" ht="12" customHeight="1" x14ac:dyDescent="0.2">
      <c r="A2436" s="232"/>
      <c r="B2436" s="250"/>
      <c r="C2436" s="286"/>
      <c r="D2436" s="232"/>
      <c r="E2436" s="232"/>
      <c r="F2436" s="232"/>
      <c r="G2436" s="232"/>
      <c r="H2436" s="232"/>
      <c r="I2436" s="232"/>
      <c r="J2436" s="232"/>
      <c r="K2436" s="232"/>
      <c r="L2436" s="232"/>
      <c r="M2436" s="232"/>
      <c r="N2436" s="232"/>
      <c r="O2436" s="232"/>
      <c r="P2436" s="232"/>
      <c r="Q2436" s="232"/>
      <c r="R2436" s="232"/>
      <c r="S2436" s="232"/>
      <c r="T2436" s="232"/>
      <c r="U2436" s="232"/>
      <c r="V2436" s="15"/>
      <c r="W2436" s="15"/>
      <c r="X2436" s="15"/>
      <c r="Y2436" s="15"/>
      <c r="Z2436" s="15"/>
      <c r="AA2436" s="15"/>
    </row>
    <row r="2437" spans="1:27" s="25" customFormat="1" ht="12" customHeight="1" x14ac:dyDescent="0.2">
      <c r="A2437" s="232"/>
      <c r="B2437" s="250"/>
      <c r="C2437" s="286"/>
      <c r="D2437" s="232"/>
      <c r="E2437" s="232"/>
      <c r="F2437" s="232"/>
      <c r="G2437" s="232"/>
      <c r="H2437" s="232"/>
      <c r="I2437" s="232"/>
      <c r="J2437" s="232"/>
      <c r="K2437" s="232"/>
      <c r="L2437" s="232"/>
      <c r="M2437" s="232"/>
      <c r="N2437" s="232"/>
      <c r="O2437" s="232"/>
      <c r="P2437" s="232"/>
      <c r="Q2437" s="232"/>
      <c r="R2437" s="232"/>
      <c r="S2437" s="232"/>
      <c r="T2437" s="232"/>
      <c r="U2437" s="232"/>
      <c r="V2437" s="15"/>
      <c r="W2437" s="15"/>
      <c r="X2437" s="15"/>
      <c r="Y2437" s="15"/>
      <c r="Z2437" s="15"/>
      <c r="AA2437" s="15"/>
    </row>
    <row r="2438" spans="1:27" s="25" customFormat="1" ht="12" customHeight="1" x14ac:dyDescent="0.2">
      <c r="A2438" s="232"/>
      <c r="B2438" s="250"/>
      <c r="C2438" s="286"/>
      <c r="D2438" s="232"/>
      <c r="E2438" s="232"/>
      <c r="F2438" s="232"/>
      <c r="G2438" s="232"/>
      <c r="H2438" s="232"/>
      <c r="I2438" s="232"/>
      <c r="J2438" s="232"/>
      <c r="K2438" s="232"/>
      <c r="L2438" s="232"/>
      <c r="M2438" s="232"/>
      <c r="N2438" s="232"/>
      <c r="O2438" s="232"/>
      <c r="P2438" s="232"/>
      <c r="Q2438" s="232"/>
      <c r="R2438" s="232"/>
      <c r="S2438" s="232"/>
      <c r="T2438" s="232"/>
      <c r="U2438" s="232"/>
      <c r="V2438" s="15"/>
      <c r="W2438" s="15"/>
      <c r="X2438" s="15"/>
      <c r="Y2438" s="15"/>
      <c r="Z2438" s="15"/>
      <c r="AA2438" s="15"/>
    </row>
    <row r="2439" spans="1:27" s="25" customFormat="1" ht="12" customHeight="1" x14ac:dyDescent="0.2">
      <c r="A2439" s="232"/>
      <c r="B2439" s="250"/>
      <c r="C2439" s="286"/>
      <c r="D2439" s="232"/>
      <c r="E2439" s="232"/>
      <c r="F2439" s="232"/>
      <c r="G2439" s="232"/>
      <c r="H2439" s="232"/>
      <c r="I2439" s="232"/>
      <c r="J2439" s="232"/>
      <c r="K2439" s="232"/>
      <c r="L2439" s="232"/>
      <c r="M2439" s="232"/>
      <c r="N2439" s="232"/>
      <c r="O2439" s="232"/>
      <c r="P2439" s="232"/>
      <c r="Q2439" s="232"/>
      <c r="R2439" s="232"/>
      <c r="S2439" s="232"/>
      <c r="T2439" s="232"/>
      <c r="U2439" s="232"/>
      <c r="V2439" s="15"/>
      <c r="W2439" s="15"/>
      <c r="X2439" s="15"/>
      <c r="Y2439" s="15"/>
      <c r="Z2439" s="15"/>
      <c r="AA2439" s="15"/>
    </row>
    <row r="2440" spans="1:27" s="25" customFormat="1" ht="12" customHeight="1" x14ac:dyDescent="0.2">
      <c r="A2440" s="232"/>
      <c r="B2440" s="250"/>
      <c r="C2440" s="286"/>
      <c r="D2440" s="232"/>
      <c r="E2440" s="232"/>
      <c r="F2440" s="232"/>
      <c r="G2440" s="232"/>
      <c r="H2440" s="232"/>
      <c r="I2440" s="232"/>
      <c r="J2440" s="232"/>
      <c r="K2440" s="232"/>
      <c r="L2440" s="232"/>
      <c r="M2440" s="232"/>
      <c r="N2440" s="232"/>
      <c r="O2440" s="232"/>
      <c r="P2440" s="232"/>
      <c r="Q2440" s="232"/>
      <c r="R2440" s="232"/>
      <c r="S2440" s="232"/>
      <c r="T2440" s="232"/>
      <c r="U2440" s="232"/>
      <c r="V2440" s="15"/>
      <c r="W2440" s="15"/>
      <c r="X2440" s="15"/>
      <c r="Y2440" s="15"/>
      <c r="Z2440" s="15"/>
      <c r="AA2440" s="15"/>
    </row>
    <row r="2441" spans="1:27" s="25" customFormat="1" ht="12" customHeight="1" x14ac:dyDescent="0.2">
      <c r="A2441" s="232"/>
      <c r="B2441" s="250"/>
      <c r="C2441" s="286"/>
      <c r="D2441" s="232"/>
      <c r="E2441" s="232"/>
      <c r="F2441" s="232"/>
      <c r="G2441" s="232"/>
      <c r="H2441" s="232"/>
      <c r="I2441" s="232"/>
      <c r="J2441" s="232"/>
      <c r="K2441" s="232"/>
      <c r="L2441" s="232"/>
      <c r="M2441" s="232"/>
      <c r="N2441" s="232"/>
      <c r="O2441" s="232"/>
      <c r="P2441" s="232"/>
      <c r="Q2441" s="232"/>
      <c r="R2441" s="232"/>
      <c r="S2441" s="232"/>
      <c r="T2441" s="232"/>
      <c r="U2441" s="232"/>
      <c r="V2441" s="15"/>
      <c r="W2441" s="15"/>
      <c r="X2441" s="15"/>
      <c r="Y2441" s="15"/>
      <c r="Z2441" s="15"/>
      <c r="AA2441" s="15"/>
    </row>
    <row r="2442" spans="1:27" s="25" customFormat="1" ht="12" customHeight="1" x14ac:dyDescent="0.2">
      <c r="A2442" s="232"/>
      <c r="B2442" s="250"/>
      <c r="C2442" s="286"/>
      <c r="D2442" s="232"/>
      <c r="E2442" s="232"/>
      <c r="F2442" s="232"/>
      <c r="G2442" s="232"/>
      <c r="H2442" s="232"/>
      <c r="I2442" s="232"/>
      <c r="J2442" s="232"/>
      <c r="K2442" s="232"/>
      <c r="L2442" s="232"/>
      <c r="M2442" s="232"/>
      <c r="N2442" s="232"/>
      <c r="O2442" s="232"/>
      <c r="P2442" s="232"/>
      <c r="Q2442" s="232"/>
      <c r="R2442" s="232"/>
      <c r="S2442" s="232"/>
      <c r="T2442" s="232"/>
      <c r="U2442" s="232"/>
      <c r="V2442" s="15"/>
      <c r="W2442" s="15"/>
      <c r="X2442" s="15"/>
      <c r="Y2442" s="15"/>
      <c r="Z2442" s="15"/>
      <c r="AA2442" s="15"/>
    </row>
    <row r="2443" spans="1:27" s="25" customFormat="1" ht="12" customHeight="1" x14ac:dyDescent="0.2">
      <c r="A2443" s="232"/>
      <c r="B2443" s="250"/>
      <c r="C2443" s="286"/>
      <c r="D2443" s="232"/>
      <c r="E2443" s="232"/>
      <c r="F2443" s="232"/>
      <c r="G2443" s="232"/>
      <c r="H2443" s="232"/>
      <c r="I2443" s="232"/>
      <c r="J2443" s="232"/>
      <c r="K2443" s="232"/>
      <c r="L2443" s="232"/>
      <c r="M2443" s="232"/>
      <c r="N2443" s="232"/>
      <c r="O2443" s="232"/>
      <c r="P2443" s="232"/>
      <c r="Q2443" s="232"/>
      <c r="R2443" s="232"/>
      <c r="S2443" s="232"/>
      <c r="T2443" s="232"/>
      <c r="U2443" s="232"/>
      <c r="V2443" s="15"/>
      <c r="W2443" s="15"/>
      <c r="X2443" s="15"/>
      <c r="Y2443" s="15"/>
      <c r="Z2443" s="15"/>
      <c r="AA2443" s="15"/>
    </row>
    <row r="2444" spans="1:27" s="25" customFormat="1" ht="12" customHeight="1" x14ac:dyDescent="0.2">
      <c r="A2444" s="232"/>
      <c r="B2444" s="250"/>
      <c r="C2444" s="286"/>
      <c r="D2444" s="232"/>
      <c r="E2444" s="232"/>
      <c r="F2444" s="232"/>
      <c r="G2444" s="232"/>
      <c r="H2444" s="232"/>
      <c r="I2444" s="232"/>
      <c r="J2444" s="232"/>
      <c r="K2444" s="232"/>
      <c r="L2444" s="232"/>
      <c r="M2444" s="232"/>
      <c r="N2444" s="232"/>
      <c r="O2444" s="232"/>
      <c r="P2444" s="232"/>
      <c r="Q2444" s="232"/>
      <c r="R2444" s="232"/>
      <c r="S2444" s="232"/>
      <c r="T2444" s="232"/>
      <c r="U2444" s="232"/>
      <c r="V2444" s="15"/>
      <c r="W2444" s="15"/>
      <c r="X2444" s="15"/>
      <c r="Y2444" s="15"/>
      <c r="Z2444" s="15"/>
      <c r="AA2444" s="15"/>
    </row>
    <row r="2445" spans="1:27" s="25" customFormat="1" ht="12" customHeight="1" x14ac:dyDescent="0.2">
      <c r="A2445" s="232"/>
      <c r="B2445" s="250"/>
      <c r="C2445" s="286"/>
      <c r="D2445" s="232"/>
      <c r="E2445" s="232"/>
      <c r="F2445" s="232"/>
      <c r="G2445" s="232"/>
      <c r="H2445" s="232"/>
      <c r="I2445" s="232"/>
      <c r="J2445" s="232"/>
      <c r="K2445" s="232"/>
      <c r="L2445" s="232"/>
      <c r="M2445" s="232"/>
      <c r="N2445" s="232"/>
      <c r="O2445" s="232"/>
      <c r="P2445" s="232"/>
      <c r="Q2445" s="232"/>
      <c r="R2445" s="232"/>
      <c r="S2445" s="232"/>
      <c r="T2445" s="232"/>
      <c r="U2445" s="232"/>
      <c r="V2445" s="15"/>
      <c r="W2445" s="15"/>
      <c r="X2445" s="15"/>
      <c r="Y2445" s="15"/>
      <c r="Z2445" s="15"/>
      <c r="AA2445" s="15"/>
    </row>
    <row r="2446" spans="1:27" s="25" customFormat="1" ht="12" customHeight="1" x14ac:dyDescent="0.2">
      <c r="A2446" s="232"/>
      <c r="B2446" s="250"/>
      <c r="C2446" s="286"/>
      <c r="D2446" s="232"/>
      <c r="E2446" s="232"/>
      <c r="F2446" s="232"/>
      <c r="G2446" s="232"/>
      <c r="H2446" s="232"/>
      <c r="I2446" s="232"/>
      <c r="J2446" s="232"/>
      <c r="K2446" s="232"/>
      <c r="L2446" s="232"/>
      <c r="M2446" s="232"/>
      <c r="N2446" s="232"/>
      <c r="O2446" s="232"/>
      <c r="P2446" s="232"/>
      <c r="Q2446" s="232"/>
      <c r="R2446" s="232"/>
      <c r="S2446" s="232"/>
      <c r="T2446" s="232"/>
      <c r="U2446" s="232"/>
      <c r="V2446" s="15"/>
      <c r="W2446" s="15"/>
      <c r="X2446" s="15"/>
      <c r="Y2446" s="15"/>
      <c r="Z2446" s="15"/>
      <c r="AA2446" s="15"/>
    </row>
    <row r="2447" spans="1:27" s="25" customFormat="1" ht="12" customHeight="1" x14ac:dyDescent="0.2">
      <c r="A2447" s="232"/>
      <c r="B2447" s="250"/>
      <c r="C2447" s="286"/>
      <c r="D2447" s="232"/>
      <c r="E2447" s="232"/>
      <c r="F2447" s="232"/>
      <c r="G2447" s="232"/>
      <c r="H2447" s="232"/>
      <c r="I2447" s="232"/>
      <c r="J2447" s="232"/>
      <c r="K2447" s="232"/>
      <c r="L2447" s="232"/>
      <c r="M2447" s="232"/>
      <c r="N2447" s="232"/>
      <c r="O2447" s="232"/>
      <c r="P2447" s="232"/>
      <c r="Q2447" s="232"/>
      <c r="R2447" s="232"/>
      <c r="S2447" s="232"/>
      <c r="T2447" s="232"/>
      <c r="U2447" s="232"/>
      <c r="V2447" s="15"/>
      <c r="W2447" s="15"/>
      <c r="X2447" s="15"/>
      <c r="Y2447" s="15"/>
      <c r="Z2447" s="15"/>
      <c r="AA2447" s="15"/>
    </row>
    <row r="2448" spans="1:27" s="25" customFormat="1" ht="12" customHeight="1" x14ac:dyDescent="0.2">
      <c r="A2448" s="232"/>
      <c r="B2448" s="250"/>
      <c r="C2448" s="286"/>
      <c r="D2448" s="232"/>
      <c r="E2448" s="232"/>
      <c r="F2448" s="232"/>
      <c r="G2448" s="232"/>
      <c r="H2448" s="232"/>
      <c r="I2448" s="232"/>
      <c r="J2448" s="232"/>
      <c r="K2448" s="232"/>
      <c r="L2448" s="232"/>
      <c r="M2448" s="232"/>
      <c r="N2448" s="232"/>
      <c r="O2448" s="232"/>
      <c r="P2448" s="232"/>
      <c r="Q2448" s="232"/>
      <c r="R2448" s="232"/>
      <c r="S2448" s="232"/>
      <c r="T2448" s="232"/>
      <c r="U2448" s="232"/>
      <c r="V2448" s="15"/>
      <c r="W2448" s="15"/>
      <c r="X2448" s="15"/>
      <c r="Y2448" s="15"/>
      <c r="Z2448" s="15"/>
      <c r="AA2448" s="15"/>
    </row>
    <row r="2449" spans="1:27" s="25" customFormat="1" ht="12" customHeight="1" x14ac:dyDescent="0.2">
      <c r="A2449" s="232"/>
      <c r="B2449" s="250"/>
      <c r="C2449" s="286"/>
      <c r="D2449" s="232"/>
      <c r="E2449" s="232"/>
      <c r="F2449" s="232"/>
      <c r="G2449" s="232"/>
      <c r="H2449" s="232"/>
      <c r="I2449" s="232"/>
      <c r="J2449" s="232"/>
      <c r="K2449" s="232"/>
      <c r="L2449" s="232"/>
      <c r="M2449" s="232"/>
      <c r="N2449" s="232"/>
      <c r="O2449" s="232"/>
      <c r="P2449" s="232"/>
      <c r="Q2449" s="232"/>
      <c r="R2449" s="232"/>
      <c r="S2449" s="232"/>
      <c r="T2449" s="232"/>
      <c r="U2449" s="232"/>
      <c r="V2449" s="15"/>
      <c r="W2449" s="15"/>
      <c r="X2449" s="15"/>
      <c r="Y2449" s="15"/>
      <c r="Z2449" s="15"/>
      <c r="AA2449" s="15"/>
    </row>
    <row r="2450" spans="1:27" s="25" customFormat="1" ht="12" customHeight="1" x14ac:dyDescent="0.2">
      <c r="A2450" s="232"/>
      <c r="B2450" s="250"/>
      <c r="C2450" s="286"/>
      <c r="D2450" s="232"/>
      <c r="E2450" s="232"/>
      <c r="F2450" s="232"/>
      <c r="G2450" s="232"/>
      <c r="H2450" s="232"/>
      <c r="I2450" s="232"/>
      <c r="J2450" s="232"/>
      <c r="K2450" s="232"/>
      <c r="L2450" s="232"/>
      <c r="M2450" s="232"/>
      <c r="N2450" s="232"/>
      <c r="O2450" s="232"/>
      <c r="P2450" s="232"/>
      <c r="Q2450" s="232"/>
      <c r="R2450" s="232"/>
      <c r="S2450" s="232"/>
      <c r="T2450" s="232"/>
      <c r="U2450" s="232"/>
      <c r="V2450" s="15"/>
      <c r="W2450" s="15"/>
      <c r="X2450" s="15"/>
      <c r="Y2450" s="15"/>
      <c r="Z2450" s="15"/>
      <c r="AA2450" s="15"/>
    </row>
    <row r="2451" spans="1:27" s="25" customFormat="1" ht="12" customHeight="1" x14ac:dyDescent="0.2">
      <c r="A2451" s="232"/>
      <c r="B2451" s="250"/>
      <c r="C2451" s="286"/>
      <c r="D2451" s="232"/>
      <c r="E2451" s="232"/>
      <c r="F2451" s="232"/>
      <c r="G2451" s="232"/>
      <c r="H2451" s="232"/>
      <c r="I2451" s="232"/>
      <c r="J2451" s="232"/>
      <c r="K2451" s="232"/>
      <c r="L2451" s="232"/>
      <c r="M2451" s="232"/>
      <c r="N2451" s="232"/>
      <c r="O2451" s="232"/>
      <c r="P2451" s="232"/>
      <c r="Q2451" s="232"/>
      <c r="R2451" s="232"/>
      <c r="S2451" s="232"/>
      <c r="T2451" s="232"/>
      <c r="U2451" s="232"/>
      <c r="V2451" s="15"/>
      <c r="W2451" s="15"/>
      <c r="X2451" s="15"/>
      <c r="Y2451" s="15"/>
      <c r="Z2451" s="15"/>
      <c r="AA2451" s="15"/>
    </row>
    <row r="2452" spans="1:27" s="25" customFormat="1" ht="12" customHeight="1" x14ac:dyDescent="0.2">
      <c r="A2452" s="232"/>
      <c r="B2452" s="250"/>
      <c r="C2452" s="286"/>
      <c r="D2452" s="232"/>
      <c r="E2452" s="232"/>
      <c r="F2452" s="232"/>
      <c r="G2452" s="232"/>
      <c r="H2452" s="232"/>
      <c r="I2452" s="232"/>
      <c r="J2452" s="232"/>
      <c r="K2452" s="232"/>
      <c r="L2452" s="232"/>
      <c r="M2452" s="232"/>
      <c r="N2452" s="232"/>
      <c r="O2452" s="232"/>
      <c r="P2452" s="232"/>
      <c r="Q2452" s="232"/>
      <c r="R2452" s="232"/>
      <c r="S2452" s="232"/>
      <c r="T2452" s="232"/>
      <c r="U2452" s="232"/>
      <c r="V2452" s="15"/>
      <c r="W2452" s="15"/>
      <c r="X2452" s="15"/>
      <c r="Y2452" s="15"/>
      <c r="Z2452" s="15"/>
      <c r="AA2452" s="15"/>
    </row>
    <row r="2453" spans="1:27" s="25" customFormat="1" ht="12" customHeight="1" x14ac:dyDescent="0.2">
      <c r="A2453" s="232"/>
      <c r="B2453" s="250"/>
      <c r="C2453" s="286"/>
      <c r="D2453" s="232"/>
      <c r="E2453" s="232"/>
      <c r="F2453" s="232"/>
      <c r="G2453" s="232"/>
      <c r="H2453" s="232"/>
      <c r="I2453" s="232"/>
      <c r="J2453" s="232"/>
      <c r="K2453" s="232"/>
      <c r="L2453" s="232"/>
      <c r="M2453" s="232"/>
      <c r="N2453" s="232"/>
      <c r="O2453" s="232"/>
      <c r="P2453" s="232"/>
      <c r="Q2453" s="232"/>
      <c r="R2453" s="232"/>
      <c r="S2453" s="232"/>
      <c r="T2453" s="232"/>
      <c r="U2453" s="232"/>
      <c r="V2453" s="15"/>
      <c r="W2453" s="15"/>
      <c r="X2453" s="15"/>
      <c r="Y2453" s="15"/>
      <c r="Z2453" s="15"/>
      <c r="AA2453" s="15"/>
    </row>
    <row r="2454" spans="1:27" s="25" customFormat="1" ht="12" customHeight="1" x14ac:dyDescent="0.2">
      <c r="A2454" s="232"/>
      <c r="B2454" s="250"/>
      <c r="C2454" s="286"/>
      <c r="D2454" s="232"/>
      <c r="E2454" s="232"/>
      <c r="F2454" s="232"/>
      <c r="G2454" s="232"/>
      <c r="H2454" s="232"/>
      <c r="I2454" s="232"/>
      <c r="J2454" s="232"/>
      <c r="K2454" s="232"/>
      <c r="L2454" s="232"/>
      <c r="M2454" s="232"/>
      <c r="N2454" s="232"/>
      <c r="O2454" s="232"/>
      <c r="P2454" s="232"/>
      <c r="Q2454" s="232"/>
      <c r="R2454" s="232"/>
      <c r="S2454" s="232"/>
      <c r="T2454" s="232"/>
      <c r="U2454" s="232"/>
      <c r="V2454" s="15"/>
      <c r="W2454" s="15"/>
      <c r="X2454" s="15"/>
      <c r="Y2454" s="15"/>
      <c r="Z2454" s="15"/>
      <c r="AA2454" s="15"/>
    </row>
    <row r="2455" spans="1:27" s="25" customFormat="1" ht="12" customHeight="1" x14ac:dyDescent="0.2">
      <c r="A2455" s="232"/>
      <c r="B2455" s="250"/>
      <c r="C2455" s="286"/>
      <c r="D2455" s="232"/>
      <c r="E2455" s="232"/>
      <c r="F2455" s="232"/>
      <c r="G2455" s="232"/>
      <c r="H2455" s="232"/>
      <c r="I2455" s="232"/>
      <c r="J2455" s="232"/>
      <c r="K2455" s="232"/>
      <c r="L2455" s="232"/>
      <c r="M2455" s="232"/>
      <c r="N2455" s="232"/>
      <c r="O2455" s="232"/>
      <c r="P2455" s="232"/>
      <c r="Q2455" s="232"/>
      <c r="R2455" s="232"/>
      <c r="S2455" s="232"/>
      <c r="T2455" s="232"/>
      <c r="U2455" s="232"/>
      <c r="V2455" s="15"/>
      <c r="W2455" s="15"/>
      <c r="X2455" s="15"/>
      <c r="Y2455" s="15"/>
      <c r="Z2455" s="15"/>
      <c r="AA2455" s="15"/>
    </row>
    <row r="2456" spans="1:27" s="25" customFormat="1" ht="12" customHeight="1" x14ac:dyDescent="0.2">
      <c r="A2456" s="232"/>
      <c r="B2456" s="250"/>
      <c r="C2456" s="286"/>
      <c r="D2456" s="232"/>
      <c r="E2456" s="232"/>
      <c r="F2456" s="232"/>
      <c r="G2456" s="232"/>
      <c r="H2456" s="232"/>
      <c r="I2456" s="232"/>
      <c r="J2456" s="232"/>
      <c r="K2456" s="232"/>
      <c r="L2456" s="232"/>
      <c r="M2456" s="232"/>
      <c r="N2456" s="232"/>
      <c r="O2456" s="232"/>
      <c r="P2456" s="232"/>
      <c r="Q2456" s="232"/>
      <c r="R2456" s="232"/>
      <c r="S2456" s="232"/>
      <c r="T2456" s="232"/>
      <c r="U2456" s="232"/>
      <c r="V2456" s="15"/>
      <c r="W2456" s="15"/>
      <c r="X2456" s="15"/>
      <c r="Y2456" s="15"/>
      <c r="Z2456" s="15"/>
      <c r="AA2456" s="15"/>
    </row>
    <row r="2457" spans="1:27" s="25" customFormat="1" ht="12" customHeight="1" x14ac:dyDescent="0.2">
      <c r="A2457" s="232"/>
      <c r="B2457" s="250"/>
      <c r="C2457" s="286"/>
      <c r="D2457" s="232"/>
      <c r="E2457" s="232"/>
      <c r="F2457" s="232"/>
      <c r="G2457" s="232"/>
      <c r="H2457" s="232"/>
      <c r="I2457" s="232"/>
      <c r="J2457" s="232"/>
      <c r="K2457" s="232"/>
      <c r="L2457" s="232"/>
      <c r="M2457" s="232"/>
      <c r="N2457" s="232"/>
      <c r="O2457" s="232"/>
      <c r="P2457" s="232"/>
      <c r="Q2457" s="232"/>
      <c r="R2457" s="232"/>
      <c r="S2457" s="232"/>
      <c r="T2457" s="232"/>
      <c r="U2457" s="232"/>
      <c r="V2457" s="15"/>
      <c r="W2457" s="15"/>
      <c r="X2457" s="15"/>
      <c r="Y2457" s="15"/>
      <c r="Z2457" s="15"/>
      <c r="AA2457" s="15"/>
    </row>
    <row r="2458" spans="1:27" s="25" customFormat="1" ht="12" customHeight="1" x14ac:dyDescent="0.2">
      <c r="A2458" s="232"/>
      <c r="B2458" s="250"/>
      <c r="C2458" s="286"/>
      <c r="D2458" s="232"/>
      <c r="E2458" s="232"/>
      <c r="F2458" s="232"/>
      <c r="G2458" s="232"/>
      <c r="H2458" s="232"/>
      <c r="I2458" s="232"/>
      <c r="J2458" s="232"/>
      <c r="K2458" s="232"/>
      <c r="L2458" s="232"/>
      <c r="M2458" s="232"/>
      <c r="N2458" s="232"/>
      <c r="O2458" s="232"/>
      <c r="P2458" s="232"/>
      <c r="Q2458" s="232"/>
      <c r="R2458" s="232"/>
      <c r="S2458" s="232"/>
      <c r="T2458" s="232"/>
      <c r="U2458" s="232"/>
      <c r="V2458" s="15"/>
      <c r="W2458" s="15"/>
      <c r="X2458" s="15"/>
      <c r="Y2458" s="15"/>
      <c r="Z2458" s="15"/>
      <c r="AA2458" s="15"/>
    </row>
    <row r="2459" spans="1:27" s="25" customFormat="1" ht="12" customHeight="1" x14ac:dyDescent="0.2">
      <c r="A2459" s="232"/>
      <c r="B2459" s="250"/>
      <c r="C2459" s="286"/>
      <c r="D2459" s="232"/>
      <c r="E2459" s="232"/>
      <c r="F2459" s="232"/>
      <c r="G2459" s="232"/>
      <c r="H2459" s="232"/>
      <c r="I2459" s="232"/>
      <c r="J2459" s="232"/>
      <c r="K2459" s="232"/>
      <c r="L2459" s="232"/>
      <c r="M2459" s="232"/>
      <c r="N2459" s="232"/>
      <c r="O2459" s="232"/>
      <c r="P2459" s="232"/>
      <c r="Q2459" s="232"/>
      <c r="R2459" s="232"/>
      <c r="S2459" s="232"/>
      <c r="T2459" s="232"/>
      <c r="U2459" s="232"/>
      <c r="V2459" s="15"/>
      <c r="W2459" s="15"/>
      <c r="X2459" s="15"/>
      <c r="Y2459" s="15"/>
      <c r="Z2459" s="15"/>
      <c r="AA2459" s="15"/>
    </row>
    <row r="2460" spans="1:27" s="25" customFormat="1" ht="12" customHeight="1" x14ac:dyDescent="0.2">
      <c r="A2460" s="232"/>
      <c r="B2460" s="250"/>
      <c r="C2460" s="286"/>
      <c r="D2460" s="232"/>
      <c r="E2460" s="232"/>
      <c r="F2460" s="232"/>
      <c r="G2460" s="232"/>
      <c r="H2460" s="232"/>
      <c r="I2460" s="232"/>
      <c r="J2460" s="232"/>
      <c r="K2460" s="232"/>
      <c r="L2460" s="232"/>
      <c r="M2460" s="232"/>
      <c r="N2460" s="232"/>
      <c r="O2460" s="232"/>
      <c r="P2460" s="232"/>
      <c r="Q2460" s="232"/>
      <c r="R2460" s="232"/>
      <c r="S2460" s="232"/>
      <c r="T2460" s="232"/>
      <c r="U2460" s="232"/>
      <c r="V2460" s="15"/>
      <c r="W2460" s="15"/>
      <c r="X2460" s="15"/>
      <c r="Y2460" s="15"/>
      <c r="Z2460" s="15"/>
      <c r="AA2460" s="15"/>
    </row>
    <row r="2461" spans="1:27" s="25" customFormat="1" ht="12" customHeight="1" x14ac:dyDescent="0.2">
      <c r="A2461" s="232"/>
      <c r="B2461" s="250"/>
      <c r="C2461" s="286"/>
      <c r="D2461" s="232"/>
      <c r="E2461" s="232"/>
      <c r="F2461" s="232"/>
      <c r="G2461" s="232"/>
      <c r="H2461" s="232"/>
      <c r="I2461" s="232"/>
      <c r="J2461" s="232"/>
      <c r="K2461" s="232"/>
      <c r="L2461" s="232"/>
      <c r="M2461" s="232"/>
      <c r="N2461" s="232"/>
      <c r="O2461" s="232"/>
      <c r="P2461" s="232"/>
      <c r="Q2461" s="232"/>
      <c r="R2461" s="232"/>
      <c r="S2461" s="232"/>
      <c r="T2461" s="232"/>
      <c r="U2461" s="232"/>
      <c r="V2461" s="15"/>
      <c r="W2461" s="15"/>
      <c r="X2461" s="15"/>
      <c r="Y2461" s="15"/>
      <c r="Z2461" s="15"/>
      <c r="AA2461" s="15"/>
    </row>
    <row r="2462" spans="1:27" s="25" customFormat="1" ht="12" customHeight="1" x14ac:dyDescent="0.2">
      <c r="A2462" s="232"/>
      <c r="B2462" s="250"/>
      <c r="C2462" s="286"/>
      <c r="D2462" s="232"/>
      <c r="E2462" s="232"/>
      <c r="F2462" s="232"/>
      <c r="G2462" s="232"/>
      <c r="H2462" s="232"/>
      <c r="I2462" s="232"/>
      <c r="J2462" s="232"/>
      <c r="K2462" s="232"/>
      <c r="L2462" s="232"/>
      <c r="M2462" s="232"/>
      <c r="N2462" s="232"/>
      <c r="O2462" s="232"/>
      <c r="P2462" s="232"/>
      <c r="Q2462" s="232"/>
      <c r="R2462" s="232"/>
      <c r="S2462" s="232"/>
      <c r="T2462" s="232"/>
      <c r="U2462" s="232"/>
      <c r="V2462" s="15"/>
      <c r="W2462" s="15"/>
      <c r="X2462" s="15"/>
      <c r="Y2462" s="15"/>
      <c r="Z2462" s="15"/>
      <c r="AA2462" s="15"/>
    </row>
    <row r="2463" spans="1:27" s="25" customFormat="1" ht="12" customHeight="1" x14ac:dyDescent="0.2">
      <c r="A2463" s="232"/>
      <c r="B2463" s="250"/>
      <c r="C2463" s="286"/>
      <c r="D2463" s="232"/>
      <c r="E2463" s="232"/>
      <c r="F2463" s="232"/>
      <c r="G2463" s="232"/>
      <c r="H2463" s="232"/>
      <c r="I2463" s="232"/>
      <c r="J2463" s="232"/>
      <c r="K2463" s="232"/>
      <c r="L2463" s="232"/>
      <c r="M2463" s="232"/>
      <c r="N2463" s="232"/>
      <c r="O2463" s="232"/>
      <c r="P2463" s="232"/>
      <c r="Q2463" s="232"/>
      <c r="R2463" s="232"/>
      <c r="S2463" s="232"/>
      <c r="T2463" s="232"/>
      <c r="U2463" s="232"/>
      <c r="V2463" s="15"/>
      <c r="W2463" s="15"/>
      <c r="X2463" s="15"/>
      <c r="Y2463" s="15"/>
      <c r="Z2463" s="15"/>
      <c r="AA2463" s="15"/>
    </row>
    <row r="2464" spans="1:27" s="25" customFormat="1" ht="12" customHeight="1" x14ac:dyDescent="0.2">
      <c r="A2464" s="232"/>
      <c r="B2464" s="250"/>
      <c r="C2464" s="286"/>
      <c r="D2464" s="232"/>
      <c r="E2464" s="232"/>
      <c r="F2464" s="232"/>
      <c r="G2464" s="232"/>
      <c r="H2464" s="232"/>
      <c r="I2464" s="232"/>
      <c r="J2464" s="232"/>
      <c r="K2464" s="232"/>
      <c r="L2464" s="232"/>
      <c r="M2464" s="232"/>
      <c r="N2464" s="232"/>
      <c r="O2464" s="232"/>
      <c r="P2464" s="232"/>
      <c r="Q2464" s="232"/>
      <c r="R2464" s="232"/>
      <c r="S2464" s="232"/>
      <c r="T2464" s="232"/>
      <c r="U2464" s="232"/>
      <c r="V2464" s="15"/>
      <c r="W2464" s="15"/>
      <c r="X2464" s="15"/>
      <c r="Y2464" s="15"/>
      <c r="Z2464" s="15"/>
      <c r="AA2464" s="15"/>
    </row>
    <row r="2465" spans="1:27" s="25" customFormat="1" ht="12" customHeight="1" x14ac:dyDescent="0.2">
      <c r="A2465" s="232"/>
      <c r="B2465" s="250"/>
      <c r="C2465" s="286"/>
      <c r="D2465" s="232"/>
      <c r="E2465" s="232"/>
      <c r="F2465" s="232"/>
      <c r="G2465" s="232"/>
      <c r="H2465" s="232"/>
      <c r="I2465" s="232"/>
      <c r="J2465" s="232"/>
      <c r="K2465" s="232"/>
      <c r="L2465" s="232"/>
      <c r="M2465" s="232"/>
      <c r="N2465" s="232"/>
      <c r="O2465" s="232"/>
      <c r="P2465" s="232"/>
      <c r="Q2465" s="232"/>
      <c r="R2465" s="232"/>
      <c r="S2465" s="232"/>
      <c r="T2465" s="232"/>
      <c r="U2465" s="232"/>
      <c r="V2465" s="15"/>
      <c r="W2465" s="15"/>
      <c r="X2465" s="15"/>
      <c r="Y2465" s="15"/>
      <c r="Z2465" s="15"/>
      <c r="AA2465" s="15"/>
    </row>
    <row r="2466" spans="1:27" s="25" customFormat="1" ht="12" customHeight="1" x14ac:dyDescent="0.2">
      <c r="A2466" s="232"/>
      <c r="B2466" s="250"/>
      <c r="C2466" s="286"/>
      <c r="D2466" s="232"/>
      <c r="E2466" s="232"/>
      <c r="F2466" s="232"/>
      <c r="G2466" s="232"/>
      <c r="H2466" s="232"/>
      <c r="I2466" s="232"/>
      <c r="J2466" s="232"/>
      <c r="K2466" s="232"/>
      <c r="L2466" s="232"/>
      <c r="M2466" s="232"/>
      <c r="N2466" s="232"/>
      <c r="O2466" s="232"/>
      <c r="P2466" s="232"/>
      <c r="Q2466" s="232"/>
      <c r="R2466" s="232"/>
      <c r="S2466" s="232"/>
      <c r="T2466" s="232"/>
      <c r="U2466" s="232"/>
      <c r="V2466" s="15"/>
      <c r="W2466" s="15"/>
      <c r="X2466" s="15"/>
      <c r="Y2466" s="15"/>
      <c r="Z2466" s="15"/>
      <c r="AA2466" s="15"/>
    </row>
    <row r="2467" spans="1:27" s="25" customFormat="1" ht="12" customHeight="1" x14ac:dyDescent="0.2">
      <c r="A2467" s="232"/>
      <c r="B2467" s="250"/>
      <c r="C2467" s="286"/>
      <c r="D2467" s="232"/>
      <c r="E2467" s="232"/>
      <c r="F2467" s="232"/>
      <c r="G2467" s="232"/>
      <c r="H2467" s="232"/>
      <c r="I2467" s="232"/>
      <c r="J2467" s="232"/>
      <c r="K2467" s="232"/>
      <c r="L2467" s="232"/>
      <c r="M2467" s="232"/>
      <c r="N2467" s="232"/>
      <c r="O2467" s="232"/>
      <c r="P2467" s="232"/>
      <c r="Q2467" s="232"/>
      <c r="R2467" s="232"/>
      <c r="S2467" s="232"/>
      <c r="T2467" s="232"/>
      <c r="U2467" s="232"/>
      <c r="V2467" s="15"/>
      <c r="W2467" s="15"/>
      <c r="X2467" s="15"/>
      <c r="Y2467" s="15"/>
      <c r="Z2467" s="15"/>
      <c r="AA2467" s="15"/>
    </row>
    <row r="2468" spans="1:27" s="25" customFormat="1" ht="12" customHeight="1" x14ac:dyDescent="0.2">
      <c r="A2468" s="232"/>
      <c r="B2468" s="250"/>
      <c r="C2468" s="286"/>
      <c r="D2468" s="232"/>
      <c r="E2468" s="232"/>
      <c r="F2468" s="232"/>
      <c r="G2468" s="232"/>
      <c r="H2468" s="232"/>
      <c r="I2468" s="232"/>
      <c r="J2468" s="232"/>
      <c r="K2468" s="232"/>
      <c r="L2468" s="232"/>
      <c r="M2468" s="232"/>
      <c r="N2468" s="232"/>
      <c r="O2468" s="232"/>
      <c r="P2468" s="232"/>
      <c r="Q2468" s="232"/>
      <c r="R2468" s="232"/>
      <c r="S2468" s="232"/>
      <c r="T2468" s="232"/>
      <c r="U2468" s="232"/>
      <c r="V2468" s="15"/>
      <c r="W2468" s="15"/>
      <c r="X2468" s="15"/>
      <c r="Y2468" s="15"/>
      <c r="Z2468" s="15"/>
      <c r="AA2468" s="15"/>
    </row>
    <row r="2469" spans="1:27" s="25" customFormat="1" ht="12" customHeight="1" x14ac:dyDescent="0.2">
      <c r="A2469" s="232"/>
      <c r="B2469" s="250"/>
      <c r="C2469" s="286"/>
      <c r="D2469" s="232"/>
      <c r="E2469" s="232"/>
      <c r="F2469" s="232"/>
      <c r="G2469" s="232"/>
      <c r="H2469" s="232"/>
      <c r="I2469" s="232"/>
      <c r="J2469" s="232"/>
      <c r="K2469" s="232"/>
      <c r="L2469" s="232"/>
      <c r="M2469" s="232"/>
      <c r="N2469" s="232"/>
      <c r="O2469" s="232"/>
      <c r="P2469" s="232"/>
      <c r="Q2469" s="232"/>
      <c r="R2469" s="232"/>
      <c r="S2469" s="232"/>
      <c r="T2469" s="232"/>
      <c r="U2469" s="232"/>
      <c r="V2469" s="15"/>
      <c r="W2469" s="15"/>
      <c r="X2469" s="15"/>
      <c r="Y2469" s="15"/>
      <c r="Z2469" s="15"/>
      <c r="AA2469" s="15"/>
    </row>
    <row r="2470" spans="1:27" s="25" customFormat="1" ht="12" customHeight="1" x14ac:dyDescent="0.2">
      <c r="A2470" s="232"/>
      <c r="B2470" s="250"/>
      <c r="C2470" s="286"/>
      <c r="D2470" s="232"/>
      <c r="E2470" s="232"/>
      <c r="F2470" s="232"/>
      <c r="G2470" s="232"/>
      <c r="H2470" s="232"/>
      <c r="I2470" s="232"/>
      <c r="J2470" s="232"/>
      <c r="K2470" s="232"/>
      <c r="L2470" s="232"/>
      <c r="M2470" s="232"/>
      <c r="N2470" s="232"/>
      <c r="O2470" s="232"/>
      <c r="P2470" s="232"/>
      <c r="Q2470" s="232"/>
      <c r="R2470" s="232"/>
      <c r="S2470" s="232"/>
      <c r="T2470" s="232"/>
      <c r="U2470" s="232"/>
      <c r="V2470" s="15"/>
      <c r="W2470" s="15"/>
      <c r="X2470" s="15"/>
      <c r="Y2470" s="15"/>
      <c r="Z2470" s="15"/>
      <c r="AA2470" s="15"/>
    </row>
    <row r="2471" spans="1:27" s="25" customFormat="1" ht="12" customHeight="1" x14ac:dyDescent="0.2">
      <c r="A2471" s="232"/>
      <c r="B2471" s="250"/>
      <c r="C2471" s="286"/>
      <c r="D2471" s="232"/>
      <c r="E2471" s="232"/>
      <c r="F2471" s="232"/>
      <c r="G2471" s="232"/>
      <c r="H2471" s="232"/>
      <c r="I2471" s="232"/>
      <c r="J2471" s="232"/>
      <c r="K2471" s="232"/>
      <c r="L2471" s="232"/>
      <c r="M2471" s="232"/>
      <c r="N2471" s="232"/>
      <c r="O2471" s="232"/>
      <c r="P2471" s="232"/>
      <c r="Q2471" s="232"/>
      <c r="R2471" s="232"/>
      <c r="S2471" s="232"/>
      <c r="T2471" s="232"/>
      <c r="U2471" s="232"/>
      <c r="V2471" s="15"/>
      <c r="W2471" s="15"/>
      <c r="X2471" s="15"/>
      <c r="Y2471" s="15"/>
      <c r="Z2471" s="15"/>
      <c r="AA2471" s="15"/>
    </row>
    <row r="2472" spans="1:27" s="25" customFormat="1" ht="12" customHeight="1" x14ac:dyDescent="0.2">
      <c r="A2472" s="232"/>
      <c r="B2472" s="250"/>
      <c r="C2472" s="286"/>
      <c r="D2472" s="232"/>
      <c r="E2472" s="232"/>
      <c r="F2472" s="232"/>
      <c r="G2472" s="232"/>
      <c r="H2472" s="232"/>
      <c r="I2472" s="232"/>
      <c r="J2472" s="232"/>
      <c r="K2472" s="232"/>
      <c r="L2472" s="232"/>
      <c r="M2472" s="232"/>
      <c r="N2472" s="232"/>
      <c r="O2472" s="232"/>
      <c r="P2472" s="232"/>
      <c r="Q2472" s="232"/>
      <c r="R2472" s="232"/>
      <c r="S2472" s="232"/>
      <c r="T2472" s="232"/>
      <c r="U2472" s="232"/>
      <c r="V2472" s="15"/>
      <c r="W2472" s="15"/>
      <c r="X2472" s="15"/>
      <c r="Y2472" s="15"/>
      <c r="Z2472" s="15"/>
      <c r="AA2472" s="15"/>
    </row>
    <row r="2473" spans="1:27" s="25" customFormat="1" ht="12" customHeight="1" x14ac:dyDescent="0.2">
      <c r="A2473" s="232"/>
      <c r="B2473" s="250"/>
      <c r="C2473" s="286"/>
      <c r="D2473" s="232"/>
      <c r="E2473" s="232"/>
      <c r="F2473" s="232"/>
      <c r="G2473" s="232"/>
      <c r="H2473" s="232"/>
      <c r="I2473" s="232"/>
      <c r="J2473" s="232"/>
      <c r="K2473" s="232"/>
      <c r="L2473" s="232"/>
      <c r="M2473" s="232"/>
      <c r="N2473" s="232"/>
      <c r="O2473" s="232"/>
      <c r="P2473" s="232"/>
      <c r="Q2473" s="232"/>
      <c r="R2473" s="232"/>
      <c r="S2473" s="232"/>
      <c r="T2473" s="232"/>
      <c r="U2473" s="232"/>
      <c r="V2473" s="15"/>
      <c r="W2473" s="15"/>
      <c r="X2473" s="15"/>
      <c r="Y2473" s="15"/>
      <c r="Z2473" s="15"/>
      <c r="AA2473" s="15"/>
    </row>
    <row r="2474" spans="1:27" s="25" customFormat="1" ht="12" customHeight="1" x14ac:dyDescent="0.2">
      <c r="A2474" s="232"/>
      <c r="B2474" s="250"/>
      <c r="C2474" s="286"/>
      <c r="D2474" s="232"/>
      <c r="E2474" s="232"/>
      <c r="F2474" s="232"/>
      <c r="G2474" s="232"/>
      <c r="H2474" s="232"/>
      <c r="I2474" s="232"/>
      <c r="J2474" s="232"/>
      <c r="K2474" s="232"/>
      <c r="L2474" s="232"/>
      <c r="M2474" s="232"/>
      <c r="N2474" s="232"/>
      <c r="O2474" s="232"/>
      <c r="P2474" s="232"/>
      <c r="Q2474" s="232"/>
      <c r="R2474" s="232"/>
      <c r="S2474" s="232"/>
      <c r="T2474" s="232"/>
      <c r="U2474" s="232"/>
      <c r="V2474" s="15"/>
      <c r="W2474" s="15"/>
      <c r="X2474" s="15"/>
      <c r="Y2474" s="15"/>
      <c r="Z2474" s="15"/>
      <c r="AA2474" s="15"/>
    </row>
    <row r="2475" spans="1:27" s="25" customFormat="1" ht="12" customHeight="1" x14ac:dyDescent="0.2">
      <c r="A2475" s="232"/>
      <c r="B2475" s="250"/>
      <c r="C2475" s="286"/>
      <c r="D2475" s="232"/>
      <c r="E2475" s="232"/>
      <c r="F2475" s="232"/>
      <c r="G2475" s="232"/>
      <c r="H2475" s="232"/>
      <c r="I2475" s="232"/>
      <c r="J2475" s="232"/>
      <c r="K2475" s="232"/>
      <c r="L2475" s="232"/>
      <c r="M2475" s="232"/>
      <c r="N2475" s="232"/>
      <c r="O2475" s="232"/>
      <c r="P2475" s="232"/>
      <c r="Q2475" s="232"/>
      <c r="R2475" s="232"/>
      <c r="S2475" s="232"/>
      <c r="T2475" s="232"/>
      <c r="U2475" s="232"/>
      <c r="V2475" s="15"/>
      <c r="W2475" s="15"/>
      <c r="X2475" s="15"/>
      <c r="Y2475" s="15"/>
      <c r="Z2475" s="15"/>
      <c r="AA2475" s="15"/>
    </row>
    <row r="2476" spans="1:27" s="25" customFormat="1" ht="12" customHeight="1" x14ac:dyDescent="0.2">
      <c r="A2476" s="232"/>
      <c r="B2476" s="250"/>
      <c r="C2476" s="286"/>
      <c r="D2476" s="232"/>
      <c r="E2476" s="232"/>
      <c r="F2476" s="232"/>
      <c r="G2476" s="232"/>
      <c r="H2476" s="232"/>
      <c r="I2476" s="232"/>
      <c r="J2476" s="232"/>
      <c r="K2476" s="232"/>
      <c r="L2476" s="232"/>
      <c r="M2476" s="232"/>
      <c r="N2476" s="232"/>
      <c r="O2476" s="232"/>
      <c r="P2476" s="232"/>
      <c r="Q2476" s="232"/>
      <c r="R2476" s="232"/>
      <c r="S2476" s="232"/>
      <c r="T2476" s="232"/>
      <c r="U2476" s="232"/>
      <c r="V2476" s="15"/>
      <c r="W2476" s="15"/>
      <c r="X2476" s="15"/>
      <c r="Y2476" s="15"/>
      <c r="Z2476" s="15"/>
      <c r="AA2476" s="15"/>
    </row>
    <row r="2477" spans="1:27" s="25" customFormat="1" ht="12" customHeight="1" x14ac:dyDescent="0.2">
      <c r="A2477" s="232"/>
      <c r="B2477" s="250"/>
      <c r="C2477" s="286"/>
      <c r="D2477" s="232"/>
      <c r="E2477" s="232"/>
      <c r="F2477" s="232"/>
      <c r="G2477" s="232"/>
      <c r="H2477" s="232"/>
      <c r="I2477" s="232"/>
      <c r="J2477" s="232"/>
      <c r="K2477" s="232"/>
      <c r="L2477" s="232"/>
      <c r="M2477" s="232"/>
      <c r="N2477" s="232"/>
      <c r="O2477" s="232"/>
      <c r="P2477" s="232"/>
      <c r="Q2477" s="232"/>
      <c r="R2477" s="232"/>
      <c r="S2477" s="232"/>
      <c r="T2477" s="232"/>
      <c r="U2477" s="232"/>
      <c r="V2477" s="15"/>
      <c r="W2477" s="15"/>
      <c r="X2477" s="15"/>
      <c r="Y2477" s="15"/>
      <c r="Z2477" s="15"/>
      <c r="AA2477" s="15"/>
    </row>
    <row r="2478" spans="1:27" s="25" customFormat="1" ht="12" customHeight="1" x14ac:dyDescent="0.2">
      <c r="A2478" s="232"/>
      <c r="B2478" s="250"/>
      <c r="C2478" s="286"/>
      <c r="D2478" s="232"/>
      <c r="E2478" s="232"/>
      <c r="F2478" s="232"/>
      <c r="G2478" s="232"/>
      <c r="H2478" s="232"/>
      <c r="I2478" s="232"/>
      <c r="J2478" s="232"/>
      <c r="K2478" s="232"/>
      <c r="L2478" s="232"/>
      <c r="M2478" s="232"/>
      <c r="N2478" s="232"/>
      <c r="O2478" s="232"/>
      <c r="P2478" s="232"/>
      <c r="Q2478" s="232"/>
      <c r="R2478" s="232"/>
      <c r="S2478" s="232"/>
      <c r="T2478" s="232"/>
      <c r="U2478" s="232"/>
      <c r="V2478" s="15"/>
      <c r="W2478" s="15"/>
      <c r="X2478" s="15"/>
      <c r="Y2478" s="15"/>
      <c r="Z2478" s="15"/>
      <c r="AA2478" s="15"/>
    </row>
    <row r="2479" spans="1:27" s="25" customFormat="1" ht="12" customHeight="1" x14ac:dyDescent="0.2">
      <c r="A2479" s="232"/>
      <c r="B2479" s="250"/>
      <c r="C2479" s="286"/>
      <c r="D2479" s="232"/>
      <c r="E2479" s="232"/>
      <c r="F2479" s="232"/>
      <c r="G2479" s="232"/>
      <c r="H2479" s="232"/>
      <c r="I2479" s="232"/>
      <c r="J2479" s="232"/>
      <c r="K2479" s="232"/>
      <c r="L2479" s="232"/>
      <c r="M2479" s="232"/>
      <c r="N2479" s="232"/>
      <c r="O2479" s="232"/>
      <c r="P2479" s="232"/>
      <c r="Q2479" s="232"/>
      <c r="R2479" s="232"/>
      <c r="S2479" s="232"/>
      <c r="T2479" s="232"/>
      <c r="U2479" s="232"/>
      <c r="V2479" s="15"/>
      <c r="W2479" s="15"/>
      <c r="X2479" s="15"/>
      <c r="Y2479" s="15"/>
      <c r="Z2479" s="15"/>
      <c r="AA2479" s="15"/>
    </row>
    <row r="2480" spans="1:27" s="25" customFormat="1" ht="12" customHeight="1" x14ac:dyDescent="0.2">
      <c r="A2480" s="232"/>
      <c r="B2480" s="250"/>
      <c r="C2480" s="286"/>
      <c r="D2480" s="232"/>
      <c r="E2480" s="232"/>
      <c r="F2480" s="232"/>
      <c r="G2480" s="232"/>
      <c r="H2480" s="232"/>
      <c r="I2480" s="232"/>
      <c r="J2480" s="232"/>
      <c r="K2480" s="232"/>
      <c r="L2480" s="232"/>
      <c r="M2480" s="232"/>
      <c r="N2480" s="232"/>
      <c r="O2480" s="232"/>
      <c r="P2480" s="232"/>
      <c r="Q2480" s="232"/>
      <c r="R2480" s="232"/>
      <c r="S2480" s="232"/>
      <c r="T2480" s="232"/>
      <c r="U2480" s="232"/>
      <c r="V2480" s="15"/>
      <c r="W2480" s="15"/>
      <c r="X2480" s="15"/>
      <c r="Y2480" s="15"/>
      <c r="Z2480" s="15"/>
      <c r="AA2480" s="15"/>
    </row>
    <row r="2481" spans="1:27" s="25" customFormat="1" ht="12" customHeight="1" x14ac:dyDescent="0.2">
      <c r="A2481" s="232"/>
      <c r="B2481" s="250"/>
      <c r="C2481" s="286"/>
      <c r="D2481" s="232"/>
      <c r="E2481" s="232"/>
      <c r="F2481" s="232"/>
      <c r="G2481" s="232"/>
      <c r="H2481" s="232"/>
      <c r="I2481" s="232"/>
      <c r="J2481" s="232"/>
      <c r="K2481" s="232"/>
      <c r="L2481" s="232"/>
      <c r="M2481" s="232"/>
      <c r="N2481" s="232"/>
      <c r="O2481" s="232"/>
      <c r="P2481" s="232"/>
      <c r="Q2481" s="232"/>
      <c r="R2481" s="232"/>
      <c r="S2481" s="232"/>
      <c r="T2481" s="232"/>
      <c r="U2481" s="232"/>
      <c r="V2481" s="15"/>
      <c r="W2481" s="15"/>
      <c r="X2481" s="15"/>
      <c r="Y2481" s="15"/>
      <c r="Z2481" s="15"/>
      <c r="AA2481" s="15"/>
    </row>
    <row r="2482" spans="1:27" s="25" customFormat="1" ht="12" customHeight="1" x14ac:dyDescent="0.2">
      <c r="A2482" s="232"/>
      <c r="B2482" s="250"/>
      <c r="C2482" s="286"/>
      <c r="D2482" s="232"/>
      <c r="E2482" s="232"/>
      <c r="F2482" s="232"/>
      <c r="G2482" s="232"/>
      <c r="H2482" s="232"/>
      <c r="I2482" s="232"/>
      <c r="J2482" s="232"/>
      <c r="K2482" s="232"/>
      <c r="L2482" s="232"/>
      <c r="M2482" s="232"/>
      <c r="N2482" s="232"/>
      <c r="O2482" s="232"/>
      <c r="P2482" s="232"/>
      <c r="Q2482" s="232"/>
      <c r="R2482" s="232"/>
      <c r="S2482" s="232"/>
      <c r="T2482" s="232"/>
      <c r="U2482" s="232"/>
      <c r="V2482" s="15"/>
      <c r="W2482" s="15"/>
      <c r="X2482" s="15"/>
      <c r="Y2482" s="15"/>
      <c r="Z2482" s="15"/>
      <c r="AA2482" s="15"/>
    </row>
    <row r="2483" spans="1:27" s="25" customFormat="1" ht="12" customHeight="1" x14ac:dyDescent="0.2">
      <c r="A2483" s="232"/>
      <c r="B2483" s="250"/>
      <c r="C2483" s="286"/>
      <c r="D2483" s="232"/>
      <c r="E2483" s="232"/>
      <c r="F2483" s="232"/>
      <c r="G2483" s="232"/>
      <c r="H2483" s="232"/>
      <c r="I2483" s="232"/>
      <c r="J2483" s="232"/>
      <c r="K2483" s="232"/>
      <c r="L2483" s="232"/>
      <c r="M2483" s="232"/>
      <c r="N2483" s="232"/>
      <c r="O2483" s="232"/>
      <c r="P2483" s="232"/>
      <c r="Q2483" s="232"/>
      <c r="R2483" s="232"/>
      <c r="S2483" s="232"/>
      <c r="T2483" s="232"/>
      <c r="U2483" s="232"/>
      <c r="V2483" s="15"/>
      <c r="W2483" s="15"/>
      <c r="X2483" s="15"/>
      <c r="Y2483" s="15"/>
      <c r="Z2483" s="15"/>
      <c r="AA2483" s="15"/>
    </row>
    <row r="2484" spans="1:27" s="25" customFormat="1" ht="12" customHeight="1" x14ac:dyDescent="0.2">
      <c r="A2484" s="232"/>
      <c r="B2484" s="250"/>
      <c r="C2484" s="286"/>
      <c r="D2484" s="232"/>
      <c r="E2484" s="232"/>
      <c r="F2484" s="232"/>
      <c r="G2484" s="232"/>
      <c r="H2484" s="232"/>
      <c r="I2484" s="232"/>
      <c r="J2484" s="232"/>
      <c r="K2484" s="232"/>
      <c r="L2484" s="232"/>
      <c r="M2484" s="232"/>
      <c r="N2484" s="232"/>
      <c r="O2484" s="232"/>
      <c r="P2484" s="232"/>
      <c r="Q2484" s="232"/>
      <c r="R2484" s="232"/>
      <c r="S2484" s="232"/>
      <c r="T2484" s="232"/>
      <c r="U2484" s="232"/>
      <c r="V2484" s="15"/>
      <c r="W2484" s="15"/>
      <c r="X2484" s="15"/>
      <c r="Y2484" s="15"/>
      <c r="Z2484" s="15"/>
      <c r="AA2484" s="15"/>
    </row>
    <row r="2485" spans="1:27" s="25" customFormat="1" ht="12" customHeight="1" x14ac:dyDescent="0.2">
      <c r="A2485" s="232"/>
      <c r="B2485" s="250"/>
      <c r="C2485" s="286"/>
      <c r="D2485" s="232"/>
      <c r="E2485" s="232"/>
      <c r="F2485" s="232"/>
      <c r="G2485" s="232"/>
      <c r="H2485" s="232"/>
      <c r="I2485" s="232"/>
      <c r="J2485" s="232"/>
      <c r="K2485" s="232"/>
      <c r="L2485" s="232"/>
      <c r="M2485" s="232"/>
      <c r="N2485" s="232"/>
      <c r="O2485" s="232"/>
      <c r="P2485" s="232"/>
      <c r="Q2485" s="232"/>
      <c r="R2485" s="232"/>
      <c r="S2485" s="232"/>
      <c r="T2485" s="232"/>
      <c r="U2485" s="232"/>
      <c r="V2485" s="15"/>
      <c r="W2485" s="15"/>
      <c r="X2485" s="15"/>
      <c r="Y2485" s="15"/>
      <c r="Z2485" s="15"/>
      <c r="AA2485" s="15"/>
    </row>
    <row r="2486" spans="1:27" s="25" customFormat="1" ht="12" customHeight="1" x14ac:dyDescent="0.2">
      <c r="A2486" s="232"/>
      <c r="B2486" s="250"/>
      <c r="C2486" s="286"/>
      <c r="D2486" s="232"/>
      <c r="E2486" s="232"/>
      <c r="F2486" s="232"/>
      <c r="G2486" s="232"/>
      <c r="H2486" s="232"/>
      <c r="I2486" s="232"/>
      <c r="J2486" s="232"/>
      <c r="K2486" s="232"/>
      <c r="L2486" s="232"/>
      <c r="M2486" s="232"/>
      <c r="N2486" s="232"/>
      <c r="O2486" s="232"/>
      <c r="P2486" s="232"/>
      <c r="Q2486" s="232"/>
      <c r="R2486" s="232"/>
      <c r="S2486" s="232"/>
      <c r="T2486" s="232"/>
      <c r="U2486" s="232"/>
      <c r="V2486" s="15"/>
      <c r="W2486" s="15"/>
      <c r="X2486" s="15"/>
      <c r="Y2486" s="15"/>
      <c r="Z2486" s="15"/>
      <c r="AA2486" s="15"/>
    </row>
    <row r="2487" spans="1:27" s="25" customFormat="1" ht="12" customHeight="1" x14ac:dyDescent="0.2">
      <c r="A2487" s="232"/>
      <c r="B2487" s="250"/>
      <c r="C2487" s="286"/>
      <c r="D2487" s="232"/>
      <c r="E2487" s="232"/>
      <c r="F2487" s="232"/>
      <c r="G2487" s="232"/>
      <c r="H2487" s="232"/>
      <c r="I2487" s="232"/>
      <c r="J2487" s="232"/>
      <c r="K2487" s="232"/>
      <c r="L2487" s="232"/>
      <c r="M2487" s="232"/>
      <c r="N2487" s="232"/>
      <c r="O2487" s="232"/>
      <c r="P2487" s="232"/>
      <c r="Q2487" s="232"/>
      <c r="R2487" s="232"/>
      <c r="S2487" s="232"/>
      <c r="T2487" s="232"/>
      <c r="U2487" s="232"/>
      <c r="V2487" s="15"/>
      <c r="W2487" s="15"/>
      <c r="X2487" s="15"/>
      <c r="Y2487" s="15"/>
      <c r="Z2487" s="15"/>
      <c r="AA2487" s="15"/>
    </row>
    <row r="2488" spans="1:27" s="25" customFormat="1" ht="12" customHeight="1" x14ac:dyDescent="0.2">
      <c r="A2488" s="232"/>
      <c r="B2488" s="250"/>
      <c r="C2488" s="286"/>
      <c r="D2488" s="232"/>
      <c r="E2488" s="232"/>
      <c r="F2488" s="232"/>
      <c r="G2488" s="232"/>
      <c r="H2488" s="232"/>
      <c r="I2488" s="232"/>
      <c r="J2488" s="232"/>
      <c r="K2488" s="232"/>
      <c r="L2488" s="232"/>
      <c r="M2488" s="232"/>
      <c r="N2488" s="232"/>
      <c r="O2488" s="232"/>
      <c r="P2488" s="232"/>
      <c r="Q2488" s="232"/>
      <c r="R2488" s="232"/>
      <c r="S2488" s="232"/>
      <c r="T2488" s="232"/>
      <c r="U2488" s="232"/>
      <c r="V2488" s="15"/>
      <c r="W2488" s="15"/>
      <c r="X2488" s="15"/>
      <c r="Y2488" s="15"/>
      <c r="Z2488" s="15"/>
      <c r="AA2488" s="15"/>
    </row>
    <row r="2489" spans="1:27" s="25" customFormat="1" ht="12" customHeight="1" x14ac:dyDescent="0.2">
      <c r="A2489" s="232"/>
      <c r="B2489" s="250"/>
      <c r="C2489" s="286"/>
      <c r="D2489" s="232"/>
      <c r="E2489" s="232"/>
      <c r="F2489" s="232"/>
      <c r="G2489" s="232"/>
      <c r="H2489" s="232"/>
      <c r="I2489" s="232"/>
      <c r="J2489" s="232"/>
      <c r="K2489" s="232"/>
      <c r="L2489" s="232"/>
      <c r="M2489" s="232"/>
      <c r="N2489" s="232"/>
      <c r="O2489" s="232"/>
      <c r="P2489" s="232"/>
      <c r="Q2489" s="232"/>
      <c r="R2489" s="232"/>
      <c r="S2489" s="232"/>
      <c r="T2489" s="232"/>
      <c r="U2489" s="232"/>
      <c r="V2489" s="15"/>
      <c r="W2489" s="15"/>
      <c r="X2489" s="15"/>
      <c r="Y2489" s="15"/>
      <c r="Z2489" s="15"/>
      <c r="AA2489" s="15"/>
    </row>
    <row r="2490" spans="1:27" s="25" customFormat="1" ht="12" customHeight="1" x14ac:dyDescent="0.2">
      <c r="A2490" s="232"/>
      <c r="B2490" s="250"/>
      <c r="C2490" s="286"/>
      <c r="D2490" s="232"/>
      <c r="E2490" s="232"/>
      <c r="F2490" s="232"/>
      <c r="G2490" s="232"/>
      <c r="H2490" s="232"/>
      <c r="I2490" s="232"/>
      <c r="J2490" s="232"/>
      <c r="K2490" s="232"/>
      <c r="L2490" s="232"/>
      <c r="M2490" s="232"/>
      <c r="N2490" s="232"/>
      <c r="O2490" s="232"/>
      <c r="P2490" s="232"/>
      <c r="Q2490" s="232"/>
      <c r="R2490" s="232"/>
      <c r="S2490" s="232"/>
      <c r="T2490" s="232"/>
      <c r="U2490" s="232"/>
      <c r="V2490" s="15"/>
      <c r="W2490" s="15"/>
      <c r="X2490" s="15"/>
      <c r="Y2490" s="15"/>
      <c r="Z2490" s="15"/>
      <c r="AA2490" s="15"/>
    </row>
    <row r="2491" spans="1:27" s="25" customFormat="1" ht="12" customHeight="1" x14ac:dyDescent="0.2">
      <c r="A2491" s="232"/>
      <c r="B2491" s="250"/>
      <c r="C2491" s="286"/>
      <c r="D2491" s="232"/>
      <c r="E2491" s="232"/>
      <c r="F2491" s="232"/>
      <c r="G2491" s="232"/>
      <c r="H2491" s="232"/>
      <c r="I2491" s="232"/>
      <c r="J2491" s="232"/>
      <c r="K2491" s="232"/>
      <c r="L2491" s="232"/>
      <c r="M2491" s="232"/>
      <c r="N2491" s="232"/>
      <c r="O2491" s="232"/>
      <c r="P2491" s="232"/>
      <c r="Q2491" s="232"/>
      <c r="R2491" s="232"/>
      <c r="S2491" s="232"/>
      <c r="T2491" s="232"/>
      <c r="U2491" s="232"/>
      <c r="V2491" s="15"/>
      <c r="W2491" s="15"/>
      <c r="X2491" s="15"/>
      <c r="Y2491" s="15"/>
      <c r="Z2491" s="15"/>
      <c r="AA2491" s="15"/>
    </row>
    <row r="2492" spans="1:27" s="25" customFormat="1" ht="12" customHeight="1" x14ac:dyDescent="0.2">
      <c r="A2492" s="232"/>
      <c r="B2492" s="250"/>
      <c r="C2492" s="286"/>
      <c r="D2492" s="232"/>
      <c r="E2492" s="232"/>
      <c r="F2492" s="232"/>
      <c r="G2492" s="232"/>
      <c r="H2492" s="232"/>
      <c r="I2492" s="232"/>
      <c r="J2492" s="232"/>
      <c r="K2492" s="232"/>
      <c r="L2492" s="232"/>
      <c r="M2492" s="232"/>
      <c r="N2492" s="232"/>
      <c r="O2492" s="232"/>
      <c r="P2492" s="232"/>
      <c r="Q2492" s="232"/>
      <c r="R2492" s="232"/>
      <c r="S2492" s="232"/>
      <c r="T2492" s="232"/>
      <c r="U2492" s="232"/>
      <c r="V2492" s="15"/>
      <c r="W2492" s="15"/>
      <c r="X2492" s="15"/>
      <c r="Y2492" s="15"/>
      <c r="Z2492" s="15"/>
      <c r="AA2492" s="15"/>
    </row>
    <row r="2493" spans="1:27" s="25" customFormat="1" ht="12" customHeight="1" x14ac:dyDescent="0.2">
      <c r="A2493" s="232"/>
      <c r="B2493" s="250"/>
      <c r="C2493" s="286"/>
      <c r="D2493" s="232"/>
      <c r="E2493" s="232"/>
      <c r="F2493" s="232"/>
      <c r="G2493" s="232"/>
      <c r="H2493" s="232"/>
      <c r="I2493" s="232"/>
      <c r="J2493" s="232"/>
      <c r="K2493" s="232"/>
      <c r="L2493" s="232"/>
      <c r="M2493" s="232"/>
      <c r="N2493" s="232"/>
      <c r="O2493" s="232"/>
      <c r="P2493" s="232"/>
      <c r="Q2493" s="232"/>
      <c r="R2493" s="232"/>
      <c r="S2493" s="232"/>
      <c r="T2493" s="232"/>
      <c r="U2493" s="232"/>
      <c r="V2493" s="15"/>
      <c r="W2493" s="15"/>
      <c r="X2493" s="15"/>
      <c r="Y2493" s="15"/>
      <c r="Z2493" s="15"/>
      <c r="AA2493" s="15"/>
    </row>
    <row r="2494" spans="1:27" s="25" customFormat="1" ht="12" customHeight="1" x14ac:dyDescent="0.2">
      <c r="A2494" s="232"/>
      <c r="B2494" s="250"/>
      <c r="C2494" s="286"/>
      <c r="D2494" s="232"/>
      <c r="E2494" s="232"/>
      <c r="F2494" s="232"/>
      <c r="G2494" s="232"/>
      <c r="H2494" s="232"/>
      <c r="I2494" s="232"/>
      <c r="J2494" s="232"/>
      <c r="K2494" s="232"/>
      <c r="L2494" s="232"/>
      <c r="M2494" s="232"/>
      <c r="N2494" s="232"/>
      <c r="O2494" s="232"/>
      <c r="P2494" s="232"/>
      <c r="Q2494" s="232"/>
      <c r="R2494" s="232"/>
      <c r="S2494" s="232"/>
      <c r="T2494" s="232"/>
      <c r="U2494" s="232"/>
      <c r="V2494" s="15"/>
      <c r="W2494" s="15"/>
      <c r="X2494" s="15"/>
      <c r="Y2494" s="15"/>
      <c r="Z2494" s="15"/>
      <c r="AA2494" s="15"/>
    </row>
    <row r="2495" spans="1:27" s="25" customFormat="1" ht="12" customHeight="1" x14ac:dyDescent="0.2">
      <c r="A2495" s="232"/>
      <c r="B2495" s="250"/>
      <c r="C2495" s="286"/>
      <c r="D2495" s="232"/>
      <c r="E2495" s="232"/>
      <c r="F2495" s="232"/>
      <c r="G2495" s="232"/>
      <c r="H2495" s="232"/>
      <c r="I2495" s="232"/>
      <c r="J2495" s="232"/>
      <c r="K2495" s="232"/>
      <c r="L2495" s="232"/>
      <c r="M2495" s="232"/>
      <c r="N2495" s="232"/>
      <c r="O2495" s="232"/>
      <c r="P2495" s="232"/>
      <c r="Q2495" s="232"/>
      <c r="R2495" s="232"/>
      <c r="S2495" s="232"/>
      <c r="T2495" s="232"/>
      <c r="U2495" s="232"/>
      <c r="V2495" s="15"/>
      <c r="W2495" s="15"/>
      <c r="X2495" s="15"/>
      <c r="Y2495" s="15"/>
      <c r="Z2495" s="15"/>
      <c r="AA2495" s="15"/>
    </row>
    <row r="2496" spans="1:27" s="25" customFormat="1" ht="12" customHeight="1" x14ac:dyDescent="0.2">
      <c r="A2496" s="232"/>
      <c r="B2496" s="250"/>
      <c r="C2496" s="286"/>
      <c r="D2496" s="232"/>
      <c r="E2496" s="232"/>
      <c r="F2496" s="232"/>
      <c r="G2496" s="232"/>
      <c r="H2496" s="232"/>
      <c r="I2496" s="232"/>
      <c r="J2496" s="232"/>
      <c r="K2496" s="232"/>
      <c r="L2496" s="232"/>
      <c r="M2496" s="232"/>
      <c r="N2496" s="232"/>
      <c r="O2496" s="232"/>
      <c r="P2496" s="232"/>
      <c r="Q2496" s="232"/>
      <c r="R2496" s="232"/>
      <c r="S2496" s="232"/>
      <c r="T2496" s="232"/>
      <c r="U2496" s="232"/>
      <c r="V2496" s="15"/>
      <c r="W2496" s="15"/>
      <c r="X2496" s="15"/>
      <c r="Y2496" s="15"/>
      <c r="Z2496" s="15"/>
      <c r="AA2496" s="15"/>
    </row>
    <row r="2497" spans="1:27" s="25" customFormat="1" ht="12" customHeight="1" x14ac:dyDescent="0.2">
      <c r="A2497" s="232"/>
      <c r="B2497" s="250"/>
      <c r="C2497" s="286"/>
      <c r="D2497" s="232"/>
      <c r="E2497" s="232"/>
      <c r="F2497" s="232"/>
      <c r="G2497" s="232"/>
      <c r="H2497" s="232"/>
      <c r="I2497" s="232"/>
      <c r="J2497" s="232"/>
      <c r="K2497" s="232"/>
      <c r="L2497" s="232"/>
      <c r="M2497" s="232"/>
      <c r="N2497" s="232"/>
      <c r="O2497" s="232"/>
      <c r="P2497" s="232"/>
      <c r="Q2497" s="232"/>
      <c r="R2497" s="232"/>
      <c r="S2497" s="232"/>
      <c r="T2497" s="232"/>
      <c r="U2497" s="232"/>
      <c r="V2497" s="15"/>
      <c r="W2497" s="15"/>
      <c r="X2497" s="15"/>
      <c r="Y2497" s="15"/>
      <c r="Z2497" s="15"/>
      <c r="AA2497" s="15"/>
    </row>
    <row r="2498" spans="1:27" s="25" customFormat="1" ht="12" customHeight="1" x14ac:dyDescent="0.2">
      <c r="A2498" s="232"/>
      <c r="B2498" s="250"/>
      <c r="C2498" s="286"/>
      <c r="D2498" s="232"/>
      <c r="E2498" s="232"/>
      <c r="F2498" s="232"/>
      <c r="G2498" s="232"/>
      <c r="H2498" s="232"/>
      <c r="I2498" s="232"/>
      <c r="J2498" s="232"/>
      <c r="K2498" s="232"/>
      <c r="L2498" s="232"/>
      <c r="M2498" s="232"/>
      <c r="N2498" s="232"/>
      <c r="O2498" s="232"/>
      <c r="P2498" s="232"/>
      <c r="Q2498" s="232"/>
      <c r="R2498" s="232"/>
      <c r="S2498" s="232"/>
      <c r="T2498" s="232"/>
      <c r="U2498" s="232"/>
      <c r="V2498" s="15"/>
      <c r="W2498" s="15"/>
      <c r="X2498" s="15"/>
      <c r="Y2498" s="15"/>
      <c r="Z2498" s="15"/>
      <c r="AA2498" s="15"/>
    </row>
    <row r="2499" spans="1:27" s="25" customFormat="1" ht="12" customHeight="1" x14ac:dyDescent="0.2">
      <c r="A2499" s="232"/>
      <c r="B2499" s="250"/>
      <c r="C2499" s="286"/>
      <c r="D2499" s="232"/>
      <c r="E2499" s="232"/>
      <c r="F2499" s="232"/>
      <c r="G2499" s="232"/>
      <c r="H2499" s="232"/>
      <c r="I2499" s="232"/>
      <c r="J2499" s="232"/>
      <c r="K2499" s="232"/>
      <c r="L2499" s="232"/>
      <c r="M2499" s="232"/>
      <c r="N2499" s="232"/>
      <c r="O2499" s="232"/>
      <c r="P2499" s="232"/>
      <c r="Q2499" s="232"/>
      <c r="R2499" s="232"/>
      <c r="S2499" s="232"/>
      <c r="T2499" s="232"/>
      <c r="U2499" s="232"/>
      <c r="V2499" s="15"/>
      <c r="W2499" s="15"/>
      <c r="X2499" s="15"/>
      <c r="Y2499" s="15"/>
      <c r="Z2499" s="15"/>
      <c r="AA2499" s="15"/>
    </row>
    <row r="2500" spans="1:27" s="25" customFormat="1" ht="12" customHeight="1" x14ac:dyDescent="0.2">
      <c r="A2500" s="232"/>
      <c r="B2500" s="250"/>
      <c r="C2500" s="286"/>
      <c r="D2500" s="232"/>
      <c r="E2500" s="232"/>
      <c r="F2500" s="232"/>
      <c r="G2500" s="232"/>
      <c r="H2500" s="232"/>
      <c r="I2500" s="232"/>
      <c r="J2500" s="232"/>
      <c r="K2500" s="232"/>
      <c r="L2500" s="232"/>
      <c r="M2500" s="232"/>
      <c r="N2500" s="232"/>
      <c r="O2500" s="232"/>
      <c r="P2500" s="232"/>
      <c r="Q2500" s="232"/>
      <c r="R2500" s="232"/>
      <c r="S2500" s="232"/>
      <c r="T2500" s="232"/>
      <c r="U2500" s="232"/>
      <c r="V2500" s="15"/>
      <c r="W2500" s="15"/>
      <c r="X2500" s="15"/>
      <c r="Y2500" s="15"/>
      <c r="Z2500" s="15"/>
      <c r="AA2500" s="15"/>
    </row>
    <row r="2501" spans="1:27" s="25" customFormat="1" ht="12" customHeight="1" x14ac:dyDescent="0.2">
      <c r="A2501" s="232"/>
      <c r="B2501" s="250"/>
      <c r="C2501" s="286"/>
      <c r="D2501" s="232"/>
      <c r="E2501" s="232"/>
      <c r="F2501" s="232"/>
      <c r="G2501" s="232"/>
      <c r="H2501" s="232"/>
      <c r="I2501" s="232"/>
      <c r="J2501" s="232"/>
      <c r="K2501" s="232"/>
      <c r="L2501" s="232"/>
      <c r="M2501" s="232"/>
      <c r="N2501" s="232"/>
      <c r="O2501" s="232"/>
      <c r="P2501" s="232"/>
      <c r="Q2501" s="232"/>
      <c r="R2501" s="232"/>
      <c r="S2501" s="232"/>
      <c r="T2501" s="232"/>
      <c r="U2501" s="232"/>
      <c r="V2501" s="15"/>
      <c r="W2501" s="15"/>
      <c r="X2501" s="15"/>
      <c r="Y2501" s="15"/>
      <c r="Z2501" s="15"/>
      <c r="AA2501" s="15"/>
    </row>
    <row r="2502" spans="1:27" s="25" customFormat="1" ht="12" customHeight="1" x14ac:dyDescent="0.2">
      <c r="A2502" s="232"/>
      <c r="B2502" s="250"/>
      <c r="C2502" s="286"/>
      <c r="D2502" s="232"/>
      <c r="E2502" s="232"/>
      <c r="F2502" s="232"/>
      <c r="G2502" s="232"/>
      <c r="H2502" s="232"/>
      <c r="I2502" s="232"/>
      <c r="J2502" s="232"/>
      <c r="K2502" s="232"/>
      <c r="L2502" s="232"/>
      <c r="M2502" s="232"/>
      <c r="N2502" s="232"/>
      <c r="O2502" s="232"/>
      <c r="P2502" s="232"/>
      <c r="Q2502" s="232"/>
      <c r="R2502" s="232"/>
      <c r="S2502" s="232"/>
      <c r="T2502" s="232"/>
      <c r="U2502" s="232"/>
      <c r="V2502" s="15"/>
      <c r="W2502" s="15"/>
      <c r="X2502" s="15"/>
      <c r="Y2502" s="15"/>
      <c r="Z2502" s="15"/>
      <c r="AA2502" s="15"/>
    </row>
    <row r="2503" spans="1:27" s="25" customFormat="1" ht="12" customHeight="1" x14ac:dyDescent="0.2">
      <c r="A2503" s="232"/>
      <c r="B2503" s="250"/>
      <c r="C2503" s="286"/>
      <c r="D2503" s="232"/>
      <c r="E2503" s="232"/>
      <c r="F2503" s="232"/>
      <c r="G2503" s="232"/>
      <c r="H2503" s="232"/>
      <c r="I2503" s="232"/>
      <c r="J2503" s="232"/>
      <c r="K2503" s="232"/>
      <c r="L2503" s="232"/>
      <c r="M2503" s="232"/>
      <c r="N2503" s="232"/>
      <c r="O2503" s="232"/>
      <c r="P2503" s="232"/>
      <c r="Q2503" s="232"/>
      <c r="R2503" s="232"/>
      <c r="S2503" s="232"/>
      <c r="T2503" s="232"/>
      <c r="U2503" s="232"/>
      <c r="V2503" s="15"/>
      <c r="W2503" s="15"/>
      <c r="X2503" s="15"/>
      <c r="Y2503" s="15"/>
      <c r="Z2503" s="15"/>
      <c r="AA2503" s="15"/>
    </row>
    <row r="2504" spans="1:27" s="25" customFormat="1" ht="12" customHeight="1" x14ac:dyDescent="0.2">
      <c r="A2504" s="232"/>
      <c r="B2504" s="250"/>
      <c r="C2504" s="286"/>
      <c r="D2504" s="232"/>
      <c r="E2504" s="232"/>
      <c r="F2504" s="232"/>
      <c r="G2504" s="232"/>
      <c r="H2504" s="232"/>
      <c r="I2504" s="232"/>
      <c r="J2504" s="232"/>
      <c r="K2504" s="232"/>
      <c r="L2504" s="232"/>
      <c r="M2504" s="232"/>
      <c r="N2504" s="232"/>
      <c r="O2504" s="232"/>
      <c r="P2504" s="232"/>
      <c r="Q2504" s="232"/>
      <c r="R2504" s="232"/>
      <c r="S2504" s="232"/>
      <c r="T2504" s="232"/>
      <c r="U2504" s="232"/>
      <c r="V2504" s="15"/>
      <c r="W2504" s="15"/>
      <c r="X2504" s="15"/>
      <c r="Y2504" s="15"/>
      <c r="Z2504" s="15"/>
      <c r="AA2504" s="15"/>
    </row>
    <row r="2505" spans="1:27" s="25" customFormat="1" ht="12" customHeight="1" x14ac:dyDescent="0.2">
      <c r="A2505" s="232"/>
      <c r="B2505" s="250"/>
      <c r="C2505" s="286"/>
      <c r="D2505" s="232"/>
      <c r="E2505" s="232"/>
      <c r="F2505" s="232"/>
      <c r="G2505" s="232"/>
      <c r="H2505" s="232"/>
      <c r="I2505" s="232"/>
      <c r="J2505" s="232"/>
      <c r="K2505" s="232"/>
      <c r="L2505" s="232"/>
      <c r="M2505" s="232"/>
      <c r="N2505" s="232"/>
      <c r="O2505" s="232"/>
      <c r="P2505" s="232"/>
      <c r="Q2505" s="232"/>
      <c r="R2505" s="232"/>
      <c r="S2505" s="232"/>
      <c r="T2505" s="232"/>
      <c r="U2505" s="232"/>
      <c r="V2505" s="15"/>
      <c r="W2505" s="15"/>
      <c r="X2505" s="15"/>
      <c r="Y2505" s="15"/>
      <c r="Z2505" s="15"/>
      <c r="AA2505" s="15"/>
    </row>
    <row r="2506" spans="1:27" s="25" customFormat="1" ht="12" customHeight="1" x14ac:dyDescent="0.2">
      <c r="A2506" s="232"/>
      <c r="B2506" s="250"/>
      <c r="C2506" s="286"/>
      <c r="D2506" s="232"/>
      <c r="E2506" s="232"/>
      <c r="F2506" s="232"/>
      <c r="G2506" s="232"/>
      <c r="H2506" s="232"/>
      <c r="I2506" s="232"/>
      <c r="J2506" s="232"/>
      <c r="K2506" s="232"/>
      <c r="L2506" s="232"/>
      <c r="M2506" s="232"/>
      <c r="N2506" s="232"/>
      <c r="O2506" s="232"/>
      <c r="P2506" s="232"/>
      <c r="Q2506" s="232"/>
      <c r="R2506" s="232"/>
      <c r="S2506" s="232"/>
      <c r="T2506" s="232"/>
      <c r="U2506" s="232"/>
      <c r="V2506" s="15"/>
      <c r="W2506" s="15"/>
      <c r="X2506" s="15"/>
      <c r="Y2506" s="15"/>
      <c r="Z2506" s="15"/>
      <c r="AA2506" s="15"/>
    </row>
    <row r="2507" spans="1:27" s="25" customFormat="1" ht="12" customHeight="1" x14ac:dyDescent="0.2">
      <c r="A2507" s="232"/>
      <c r="B2507" s="250"/>
      <c r="C2507" s="286"/>
      <c r="D2507" s="232"/>
      <c r="E2507" s="232"/>
      <c r="F2507" s="232"/>
      <c r="G2507" s="232"/>
      <c r="H2507" s="232"/>
      <c r="I2507" s="232"/>
      <c r="J2507" s="232"/>
      <c r="K2507" s="232"/>
      <c r="L2507" s="232"/>
      <c r="M2507" s="232"/>
      <c r="N2507" s="232"/>
      <c r="O2507" s="232"/>
      <c r="P2507" s="232"/>
      <c r="Q2507" s="232"/>
      <c r="R2507" s="232"/>
      <c r="S2507" s="232"/>
      <c r="T2507" s="232"/>
      <c r="U2507" s="232"/>
      <c r="V2507" s="15"/>
      <c r="W2507" s="15"/>
      <c r="X2507" s="15"/>
      <c r="Y2507" s="15"/>
      <c r="Z2507" s="15"/>
      <c r="AA2507" s="15"/>
    </row>
    <row r="2508" spans="1:27" s="25" customFormat="1" ht="12" customHeight="1" x14ac:dyDescent="0.2">
      <c r="A2508" s="232"/>
      <c r="B2508" s="250"/>
      <c r="C2508" s="286"/>
      <c r="D2508" s="232"/>
      <c r="E2508" s="232"/>
      <c r="F2508" s="232"/>
      <c r="G2508" s="232"/>
      <c r="H2508" s="232"/>
      <c r="I2508" s="232"/>
      <c r="J2508" s="232"/>
      <c r="K2508" s="232"/>
      <c r="L2508" s="232"/>
      <c r="M2508" s="232"/>
      <c r="N2508" s="232"/>
      <c r="O2508" s="232"/>
      <c r="P2508" s="232"/>
      <c r="Q2508" s="232"/>
      <c r="R2508" s="232"/>
      <c r="S2508" s="232"/>
      <c r="T2508" s="232"/>
      <c r="U2508" s="232"/>
      <c r="V2508" s="15"/>
      <c r="W2508" s="15"/>
      <c r="X2508" s="15"/>
      <c r="Y2508" s="15"/>
      <c r="Z2508" s="15"/>
      <c r="AA2508" s="15"/>
    </row>
    <row r="2509" spans="1:27" s="25" customFormat="1" ht="12" customHeight="1" x14ac:dyDescent="0.2">
      <c r="A2509" s="232"/>
      <c r="B2509" s="250"/>
      <c r="C2509" s="286"/>
      <c r="D2509" s="232"/>
      <c r="E2509" s="232"/>
      <c r="F2509" s="232"/>
      <c r="G2509" s="232"/>
      <c r="H2509" s="232"/>
      <c r="I2509" s="232"/>
      <c r="J2509" s="232"/>
      <c r="K2509" s="232"/>
      <c r="L2509" s="232"/>
      <c r="M2509" s="232"/>
      <c r="N2509" s="232"/>
      <c r="O2509" s="232"/>
      <c r="P2509" s="232"/>
      <c r="Q2509" s="232"/>
      <c r="R2509" s="232"/>
      <c r="S2509" s="232"/>
      <c r="T2509" s="232"/>
      <c r="U2509" s="232"/>
      <c r="V2509" s="15"/>
      <c r="W2509" s="15"/>
      <c r="X2509" s="15"/>
      <c r="Y2509" s="15"/>
      <c r="Z2509" s="15"/>
      <c r="AA2509" s="15"/>
    </row>
    <row r="2510" spans="1:27" s="25" customFormat="1" ht="12" customHeight="1" x14ac:dyDescent="0.2">
      <c r="A2510" s="232"/>
      <c r="B2510" s="250"/>
      <c r="C2510" s="286"/>
      <c r="D2510" s="232"/>
      <c r="E2510" s="232"/>
      <c r="F2510" s="232"/>
      <c r="G2510" s="232"/>
      <c r="H2510" s="232"/>
      <c r="I2510" s="232"/>
      <c r="J2510" s="232"/>
      <c r="K2510" s="232"/>
      <c r="L2510" s="232"/>
      <c r="M2510" s="232"/>
      <c r="N2510" s="232"/>
      <c r="O2510" s="232"/>
      <c r="P2510" s="232"/>
      <c r="Q2510" s="232"/>
      <c r="R2510" s="232"/>
      <c r="S2510" s="232"/>
      <c r="T2510" s="232"/>
      <c r="U2510" s="232"/>
      <c r="V2510" s="15"/>
      <c r="W2510" s="15"/>
      <c r="X2510" s="15"/>
      <c r="Y2510" s="15"/>
      <c r="Z2510" s="15"/>
      <c r="AA2510" s="15"/>
    </row>
    <row r="2511" spans="1:27" s="25" customFormat="1" ht="12" customHeight="1" x14ac:dyDescent="0.2">
      <c r="A2511" s="232"/>
      <c r="B2511" s="250"/>
      <c r="C2511" s="286"/>
      <c r="D2511" s="232"/>
      <c r="E2511" s="232"/>
      <c r="F2511" s="232"/>
      <c r="G2511" s="232"/>
      <c r="H2511" s="232"/>
      <c r="I2511" s="232"/>
      <c r="J2511" s="232"/>
      <c r="K2511" s="232"/>
      <c r="L2511" s="232"/>
      <c r="M2511" s="232"/>
      <c r="N2511" s="232"/>
      <c r="O2511" s="232"/>
      <c r="P2511" s="232"/>
      <c r="Q2511" s="232"/>
      <c r="R2511" s="232"/>
      <c r="S2511" s="232"/>
      <c r="T2511" s="232"/>
      <c r="U2511" s="232"/>
      <c r="V2511" s="15"/>
      <c r="W2511" s="15"/>
      <c r="X2511" s="15"/>
      <c r="Y2511" s="15"/>
      <c r="Z2511" s="15"/>
      <c r="AA2511" s="15"/>
    </row>
    <row r="2512" spans="1:27" s="25" customFormat="1" ht="12" customHeight="1" x14ac:dyDescent="0.2">
      <c r="A2512" s="232"/>
      <c r="B2512" s="250"/>
      <c r="C2512" s="286"/>
      <c r="D2512" s="232"/>
      <c r="E2512" s="232"/>
      <c r="F2512" s="232"/>
      <c r="G2512" s="232"/>
      <c r="H2512" s="232"/>
      <c r="I2512" s="232"/>
      <c r="J2512" s="232"/>
      <c r="K2512" s="232"/>
      <c r="L2512" s="232"/>
      <c r="M2512" s="232"/>
      <c r="N2512" s="232"/>
      <c r="O2512" s="232"/>
      <c r="P2512" s="232"/>
      <c r="Q2512" s="232"/>
      <c r="R2512" s="232"/>
      <c r="S2512" s="232"/>
      <c r="T2512" s="232"/>
      <c r="U2512" s="232"/>
      <c r="V2512" s="15"/>
      <c r="W2512" s="15"/>
      <c r="X2512" s="15"/>
      <c r="Y2512" s="15"/>
      <c r="Z2512" s="15"/>
      <c r="AA2512" s="15"/>
    </row>
    <row r="2513" spans="1:27" s="25" customFormat="1" ht="12" customHeight="1" x14ac:dyDescent="0.2">
      <c r="A2513" s="232"/>
      <c r="B2513" s="250"/>
      <c r="C2513" s="286"/>
      <c r="D2513" s="232"/>
      <c r="E2513" s="232"/>
      <c r="F2513" s="232"/>
      <c r="G2513" s="232"/>
      <c r="H2513" s="232"/>
      <c r="I2513" s="232"/>
      <c r="J2513" s="232"/>
      <c r="K2513" s="232"/>
      <c r="L2513" s="232"/>
      <c r="M2513" s="232"/>
      <c r="N2513" s="232"/>
      <c r="O2513" s="232"/>
      <c r="P2513" s="232"/>
      <c r="Q2513" s="232"/>
      <c r="R2513" s="232"/>
      <c r="S2513" s="232"/>
      <c r="T2513" s="232"/>
      <c r="U2513" s="232"/>
      <c r="V2513" s="15"/>
      <c r="W2513" s="15"/>
      <c r="X2513" s="15"/>
      <c r="Y2513" s="15"/>
      <c r="Z2513" s="15"/>
      <c r="AA2513" s="15"/>
    </row>
    <row r="2514" spans="1:27" s="25" customFormat="1" ht="12" customHeight="1" x14ac:dyDescent="0.2">
      <c r="A2514" s="232"/>
      <c r="B2514" s="250"/>
      <c r="C2514" s="286"/>
      <c r="D2514" s="232"/>
      <c r="E2514" s="232"/>
      <c r="F2514" s="232"/>
      <c r="G2514" s="232"/>
      <c r="H2514" s="232"/>
      <c r="I2514" s="232"/>
      <c r="J2514" s="232"/>
      <c r="K2514" s="232"/>
      <c r="L2514" s="232"/>
      <c r="M2514" s="232"/>
      <c r="N2514" s="232"/>
      <c r="O2514" s="232"/>
      <c r="P2514" s="232"/>
      <c r="Q2514" s="232"/>
      <c r="R2514" s="232"/>
      <c r="S2514" s="232"/>
      <c r="T2514" s="232"/>
      <c r="U2514" s="232"/>
      <c r="V2514" s="15"/>
      <c r="W2514" s="15"/>
      <c r="X2514" s="15"/>
      <c r="Y2514" s="15"/>
      <c r="Z2514" s="15"/>
      <c r="AA2514" s="15"/>
    </row>
    <row r="2515" spans="1:27" s="25" customFormat="1" ht="12" customHeight="1" x14ac:dyDescent="0.2">
      <c r="A2515" s="232"/>
      <c r="B2515" s="250"/>
      <c r="C2515" s="286"/>
      <c r="D2515" s="232"/>
      <c r="E2515" s="232"/>
      <c r="F2515" s="232"/>
      <c r="G2515" s="232"/>
      <c r="H2515" s="232"/>
      <c r="I2515" s="232"/>
      <c r="J2515" s="232"/>
      <c r="K2515" s="232"/>
      <c r="L2515" s="232"/>
      <c r="M2515" s="232"/>
      <c r="N2515" s="232"/>
      <c r="O2515" s="232"/>
      <c r="P2515" s="232"/>
      <c r="Q2515" s="232"/>
      <c r="R2515" s="232"/>
      <c r="S2515" s="232"/>
      <c r="T2515" s="232"/>
      <c r="U2515" s="232"/>
      <c r="V2515" s="15"/>
      <c r="W2515" s="15"/>
      <c r="X2515" s="15"/>
      <c r="Y2515" s="15"/>
      <c r="Z2515" s="15"/>
      <c r="AA2515" s="15"/>
    </row>
    <row r="2516" spans="1:27" s="25" customFormat="1" ht="12" customHeight="1" x14ac:dyDescent="0.2">
      <c r="A2516" s="232"/>
      <c r="B2516" s="250"/>
      <c r="C2516" s="286"/>
      <c r="D2516" s="232"/>
      <c r="E2516" s="232"/>
      <c r="F2516" s="232"/>
      <c r="G2516" s="232"/>
      <c r="H2516" s="232"/>
      <c r="I2516" s="232"/>
      <c r="J2516" s="232"/>
      <c r="K2516" s="232"/>
      <c r="L2516" s="232"/>
      <c r="M2516" s="232"/>
      <c r="N2516" s="232"/>
      <c r="O2516" s="232"/>
      <c r="P2516" s="232"/>
      <c r="Q2516" s="232"/>
      <c r="R2516" s="232"/>
      <c r="S2516" s="232"/>
      <c r="T2516" s="232"/>
      <c r="U2516" s="232"/>
      <c r="V2516" s="15"/>
      <c r="W2516" s="15"/>
      <c r="X2516" s="15"/>
      <c r="Y2516" s="15"/>
      <c r="Z2516" s="15"/>
      <c r="AA2516" s="15"/>
    </row>
    <row r="2517" spans="1:27" s="25" customFormat="1" ht="12" customHeight="1" x14ac:dyDescent="0.2">
      <c r="A2517" s="232"/>
      <c r="B2517" s="250"/>
      <c r="C2517" s="286"/>
      <c r="D2517" s="232"/>
      <c r="E2517" s="232"/>
      <c r="F2517" s="232"/>
      <c r="G2517" s="232"/>
      <c r="H2517" s="232"/>
      <c r="I2517" s="232"/>
      <c r="J2517" s="232"/>
      <c r="K2517" s="232"/>
      <c r="L2517" s="232"/>
      <c r="M2517" s="232"/>
      <c r="N2517" s="232"/>
      <c r="O2517" s="232"/>
      <c r="P2517" s="232"/>
      <c r="Q2517" s="232"/>
      <c r="R2517" s="232"/>
      <c r="S2517" s="232"/>
      <c r="T2517" s="232"/>
      <c r="U2517" s="232"/>
      <c r="V2517" s="15"/>
      <c r="W2517" s="15"/>
      <c r="X2517" s="15"/>
      <c r="Y2517" s="15"/>
      <c r="Z2517" s="15"/>
      <c r="AA2517" s="15"/>
    </row>
    <row r="2518" spans="1:27" s="25" customFormat="1" ht="12" customHeight="1" x14ac:dyDescent="0.2">
      <c r="A2518" s="232"/>
      <c r="B2518" s="250"/>
      <c r="C2518" s="286"/>
      <c r="D2518" s="232"/>
      <c r="E2518" s="232"/>
      <c r="F2518" s="232"/>
      <c r="G2518" s="232"/>
      <c r="H2518" s="232"/>
      <c r="I2518" s="232"/>
      <c r="J2518" s="232"/>
      <c r="K2518" s="232"/>
      <c r="L2518" s="232"/>
      <c r="M2518" s="232"/>
      <c r="N2518" s="232"/>
      <c r="O2518" s="232"/>
      <c r="P2518" s="232"/>
      <c r="Q2518" s="232"/>
      <c r="R2518" s="232"/>
      <c r="S2518" s="232"/>
      <c r="T2518" s="232"/>
      <c r="U2518" s="232"/>
      <c r="V2518" s="15"/>
      <c r="W2518" s="15"/>
      <c r="X2518" s="15"/>
      <c r="Y2518" s="15"/>
      <c r="Z2518" s="15"/>
      <c r="AA2518" s="15"/>
    </row>
    <row r="2519" spans="1:27" s="25" customFormat="1" ht="12" customHeight="1" x14ac:dyDescent="0.2">
      <c r="A2519" s="232"/>
      <c r="B2519" s="250"/>
      <c r="C2519" s="286"/>
      <c r="D2519" s="232"/>
      <c r="E2519" s="232"/>
      <c r="F2519" s="232"/>
      <c r="G2519" s="232"/>
      <c r="H2519" s="232"/>
      <c r="I2519" s="232"/>
      <c r="J2519" s="232"/>
      <c r="K2519" s="232"/>
      <c r="L2519" s="232"/>
      <c r="M2519" s="232"/>
      <c r="N2519" s="232"/>
      <c r="O2519" s="232"/>
      <c r="P2519" s="232"/>
      <c r="Q2519" s="232"/>
      <c r="R2519" s="232"/>
      <c r="S2519" s="232"/>
      <c r="T2519" s="232"/>
      <c r="U2519" s="232"/>
      <c r="V2519" s="15"/>
      <c r="W2519" s="15"/>
      <c r="X2519" s="15"/>
      <c r="Y2519" s="15"/>
      <c r="Z2519" s="15"/>
      <c r="AA2519" s="15"/>
    </row>
    <row r="2520" spans="1:27" s="25" customFormat="1" ht="12" customHeight="1" x14ac:dyDescent="0.2">
      <c r="A2520" s="232"/>
      <c r="B2520" s="250"/>
      <c r="C2520" s="286"/>
      <c r="D2520" s="232"/>
      <c r="E2520" s="232"/>
      <c r="F2520" s="232"/>
      <c r="G2520" s="232"/>
      <c r="H2520" s="232"/>
      <c r="I2520" s="232"/>
      <c r="J2520" s="232"/>
      <c r="K2520" s="232"/>
      <c r="L2520" s="232"/>
      <c r="M2520" s="232"/>
      <c r="N2520" s="232"/>
      <c r="O2520" s="232"/>
      <c r="P2520" s="232"/>
      <c r="Q2520" s="232"/>
      <c r="R2520" s="232"/>
      <c r="S2520" s="232"/>
      <c r="T2520" s="232"/>
      <c r="U2520" s="232"/>
      <c r="V2520" s="15"/>
      <c r="W2520" s="15"/>
      <c r="X2520" s="15"/>
      <c r="Y2520" s="15"/>
      <c r="Z2520" s="15"/>
      <c r="AA2520" s="15"/>
    </row>
    <row r="2521" spans="1:27" s="25" customFormat="1" ht="12" customHeight="1" x14ac:dyDescent="0.2">
      <c r="A2521" s="232"/>
      <c r="B2521" s="250"/>
      <c r="C2521" s="286"/>
      <c r="D2521" s="232"/>
      <c r="E2521" s="232"/>
      <c r="F2521" s="232"/>
      <c r="G2521" s="232"/>
      <c r="H2521" s="232"/>
      <c r="I2521" s="232"/>
      <c r="J2521" s="232"/>
      <c r="K2521" s="232"/>
      <c r="L2521" s="232"/>
      <c r="M2521" s="232"/>
      <c r="N2521" s="232"/>
      <c r="O2521" s="232"/>
      <c r="P2521" s="232"/>
      <c r="Q2521" s="232"/>
      <c r="R2521" s="232"/>
      <c r="S2521" s="232"/>
      <c r="T2521" s="232"/>
      <c r="U2521" s="232"/>
      <c r="V2521" s="15"/>
      <c r="W2521" s="15"/>
      <c r="X2521" s="15"/>
      <c r="Y2521" s="15"/>
      <c r="Z2521" s="15"/>
      <c r="AA2521" s="15"/>
    </row>
    <row r="2522" spans="1:27" s="25" customFormat="1" ht="12" customHeight="1" x14ac:dyDescent="0.2">
      <c r="A2522" s="232"/>
      <c r="B2522" s="250"/>
      <c r="C2522" s="286"/>
      <c r="D2522" s="232"/>
      <c r="E2522" s="232"/>
      <c r="F2522" s="232"/>
      <c r="G2522" s="232"/>
      <c r="H2522" s="232"/>
      <c r="I2522" s="232"/>
      <c r="J2522" s="232"/>
      <c r="K2522" s="232"/>
      <c r="L2522" s="232"/>
      <c r="M2522" s="232"/>
      <c r="N2522" s="232"/>
      <c r="O2522" s="232"/>
      <c r="P2522" s="232"/>
      <c r="Q2522" s="232"/>
      <c r="R2522" s="232"/>
      <c r="S2522" s="232"/>
      <c r="T2522" s="232"/>
      <c r="U2522" s="232"/>
      <c r="V2522" s="15"/>
      <c r="W2522" s="15"/>
      <c r="X2522" s="15"/>
      <c r="Y2522" s="15"/>
      <c r="Z2522" s="15"/>
      <c r="AA2522" s="15"/>
    </row>
    <row r="2523" spans="1:27" s="25" customFormat="1" ht="12" customHeight="1" x14ac:dyDescent="0.2">
      <c r="A2523" s="232"/>
      <c r="B2523" s="250"/>
      <c r="C2523" s="286"/>
      <c r="D2523" s="232"/>
      <c r="E2523" s="232"/>
      <c r="F2523" s="232"/>
      <c r="G2523" s="232"/>
      <c r="H2523" s="232"/>
      <c r="I2523" s="232"/>
      <c r="J2523" s="232"/>
      <c r="K2523" s="232"/>
      <c r="L2523" s="232"/>
      <c r="M2523" s="232"/>
      <c r="N2523" s="232"/>
      <c r="O2523" s="232"/>
      <c r="P2523" s="232"/>
      <c r="Q2523" s="232"/>
      <c r="R2523" s="232"/>
      <c r="S2523" s="232"/>
      <c r="T2523" s="232"/>
      <c r="U2523" s="232"/>
      <c r="V2523" s="15"/>
      <c r="W2523" s="15"/>
      <c r="X2523" s="15"/>
      <c r="Y2523" s="15"/>
      <c r="Z2523" s="15"/>
      <c r="AA2523" s="15"/>
    </row>
    <row r="2524" spans="1:27" s="25" customFormat="1" ht="12" customHeight="1" x14ac:dyDescent="0.2">
      <c r="A2524" s="232"/>
      <c r="B2524" s="250"/>
      <c r="C2524" s="286"/>
      <c r="D2524" s="232"/>
      <c r="E2524" s="232"/>
      <c r="F2524" s="232"/>
      <c r="G2524" s="232"/>
      <c r="H2524" s="232"/>
      <c r="I2524" s="232"/>
      <c r="J2524" s="232"/>
      <c r="K2524" s="232"/>
      <c r="L2524" s="232"/>
      <c r="M2524" s="232"/>
      <c r="N2524" s="232"/>
      <c r="O2524" s="232"/>
      <c r="P2524" s="232"/>
      <c r="Q2524" s="232"/>
      <c r="R2524" s="232"/>
      <c r="S2524" s="232"/>
      <c r="T2524" s="232"/>
      <c r="U2524" s="232"/>
      <c r="V2524" s="15"/>
      <c r="W2524" s="15"/>
      <c r="X2524" s="15"/>
      <c r="Y2524" s="15"/>
      <c r="Z2524" s="15"/>
      <c r="AA2524" s="15"/>
    </row>
    <row r="2525" spans="1:27" s="25" customFormat="1" ht="12" customHeight="1" x14ac:dyDescent="0.2">
      <c r="A2525" s="232"/>
      <c r="B2525" s="250"/>
      <c r="C2525" s="286"/>
      <c r="D2525" s="232"/>
      <c r="E2525" s="232"/>
      <c r="F2525" s="232"/>
      <c r="G2525" s="232"/>
      <c r="H2525" s="232"/>
      <c r="I2525" s="232"/>
      <c r="J2525" s="232"/>
      <c r="K2525" s="232"/>
      <c r="L2525" s="232"/>
      <c r="M2525" s="232"/>
      <c r="N2525" s="232"/>
      <c r="O2525" s="232"/>
      <c r="P2525" s="232"/>
      <c r="Q2525" s="232"/>
      <c r="R2525" s="232"/>
      <c r="S2525" s="232"/>
      <c r="T2525" s="232"/>
      <c r="U2525" s="232"/>
      <c r="V2525" s="15"/>
      <c r="W2525" s="15"/>
      <c r="X2525" s="15"/>
      <c r="Y2525" s="15"/>
      <c r="Z2525" s="15"/>
      <c r="AA2525" s="15"/>
    </row>
    <row r="2526" spans="1:27" s="25" customFormat="1" ht="12" customHeight="1" x14ac:dyDescent="0.2">
      <c r="A2526" s="232"/>
      <c r="B2526" s="250"/>
      <c r="C2526" s="286"/>
      <c r="D2526" s="232"/>
      <c r="E2526" s="232"/>
      <c r="F2526" s="232"/>
      <c r="G2526" s="232"/>
      <c r="H2526" s="232"/>
      <c r="I2526" s="232"/>
      <c r="J2526" s="232"/>
      <c r="K2526" s="232"/>
      <c r="L2526" s="232"/>
      <c r="M2526" s="232"/>
      <c r="N2526" s="232"/>
      <c r="O2526" s="232"/>
      <c r="P2526" s="232"/>
      <c r="Q2526" s="232"/>
      <c r="R2526" s="232"/>
      <c r="S2526" s="232"/>
      <c r="T2526" s="232"/>
      <c r="U2526" s="232"/>
      <c r="V2526" s="15"/>
      <c r="W2526" s="15"/>
      <c r="X2526" s="15"/>
      <c r="Y2526" s="15"/>
      <c r="Z2526" s="15"/>
      <c r="AA2526" s="15"/>
    </row>
    <row r="2527" spans="1:27" s="25" customFormat="1" ht="12" customHeight="1" x14ac:dyDescent="0.2">
      <c r="A2527" s="232"/>
      <c r="B2527" s="250"/>
      <c r="C2527" s="286"/>
      <c r="D2527" s="232"/>
      <c r="E2527" s="232"/>
      <c r="F2527" s="232"/>
      <c r="G2527" s="232"/>
      <c r="H2527" s="232"/>
      <c r="I2527" s="232"/>
      <c r="J2527" s="232"/>
      <c r="K2527" s="232"/>
      <c r="L2527" s="232"/>
      <c r="M2527" s="232"/>
      <c r="N2527" s="232"/>
      <c r="O2527" s="232"/>
      <c r="P2527" s="232"/>
      <c r="Q2527" s="232"/>
      <c r="R2527" s="232"/>
      <c r="S2527" s="232"/>
      <c r="T2527" s="232"/>
      <c r="U2527" s="232"/>
      <c r="V2527" s="15"/>
      <c r="W2527" s="15"/>
      <c r="X2527" s="15"/>
      <c r="Y2527" s="15"/>
      <c r="Z2527" s="15"/>
      <c r="AA2527" s="15"/>
    </row>
    <row r="2528" spans="1:27" s="25" customFormat="1" ht="12" customHeight="1" x14ac:dyDescent="0.2">
      <c r="A2528" s="232"/>
      <c r="B2528" s="250"/>
      <c r="C2528" s="286"/>
      <c r="D2528" s="232"/>
      <c r="E2528" s="232"/>
      <c r="F2528" s="232"/>
      <c r="G2528" s="232"/>
      <c r="H2528" s="232"/>
      <c r="I2528" s="232"/>
      <c r="J2528" s="232"/>
      <c r="K2528" s="232"/>
      <c r="L2528" s="232"/>
      <c r="M2528" s="232"/>
      <c r="N2528" s="232"/>
      <c r="O2528" s="232"/>
      <c r="P2528" s="232"/>
      <c r="Q2528" s="232"/>
      <c r="R2528" s="232"/>
      <c r="S2528" s="232"/>
      <c r="T2528" s="232"/>
      <c r="U2528" s="232"/>
      <c r="V2528" s="15"/>
      <c r="W2528" s="15"/>
      <c r="X2528" s="15"/>
      <c r="Y2528" s="15"/>
      <c r="Z2528" s="15"/>
      <c r="AA2528" s="15"/>
    </row>
    <row r="2529" spans="1:27" s="25" customFormat="1" ht="12" customHeight="1" x14ac:dyDescent="0.2">
      <c r="A2529" s="232"/>
      <c r="B2529" s="250"/>
      <c r="C2529" s="286"/>
      <c r="D2529" s="232"/>
      <c r="E2529" s="232"/>
      <c r="F2529" s="232"/>
      <c r="G2529" s="232"/>
      <c r="H2529" s="232"/>
      <c r="I2529" s="232"/>
      <c r="J2529" s="232"/>
      <c r="K2529" s="232"/>
      <c r="L2529" s="232"/>
      <c r="M2529" s="232"/>
      <c r="N2529" s="232"/>
      <c r="O2529" s="232"/>
      <c r="P2529" s="232"/>
      <c r="Q2529" s="232"/>
      <c r="R2529" s="232"/>
      <c r="S2529" s="232"/>
      <c r="T2529" s="232"/>
      <c r="U2529" s="232"/>
      <c r="V2529" s="15"/>
      <c r="W2529" s="15"/>
      <c r="X2529" s="15"/>
      <c r="Y2529" s="15"/>
      <c r="Z2529" s="15"/>
      <c r="AA2529" s="15"/>
    </row>
    <row r="2530" spans="1:27" s="25" customFormat="1" ht="12" customHeight="1" x14ac:dyDescent="0.2">
      <c r="A2530" s="232"/>
      <c r="B2530" s="250"/>
      <c r="C2530" s="286"/>
      <c r="D2530" s="232"/>
      <c r="E2530" s="232"/>
      <c r="F2530" s="232"/>
      <c r="G2530" s="232"/>
      <c r="H2530" s="232"/>
      <c r="I2530" s="232"/>
      <c r="J2530" s="232"/>
      <c r="K2530" s="232"/>
      <c r="L2530" s="232"/>
      <c r="M2530" s="232"/>
      <c r="N2530" s="232"/>
      <c r="O2530" s="232"/>
      <c r="P2530" s="232"/>
      <c r="Q2530" s="232"/>
      <c r="R2530" s="232"/>
      <c r="S2530" s="232"/>
      <c r="T2530" s="232"/>
      <c r="U2530" s="232"/>
      <c r="V2530" s="15"/>
      <c r="W2530" s="15"/>
      <c r="X2530" s="15"/>
      <c r="Y2530" s="15"/>
      <c r="Z2530" s="15"/>
      <c r="AA2530" s="15"/>
    </row>
    <row r="2531" spans="1:27" s="25" customFormat="1" ht="12" customHeight="1" x14ac:dyDescent="0.2">
      <c r="A2531" s="232"/>
      <c r="B2531" s="250"/>
      <c r="C2531" s="286"/>
      <c r="D2531" s="232"/>
      <c r="E2531" s="232"/>
      <c r="F2531" s="232"/>
      <c r="G2531" s="232"/>
      <c r="H2531" s="232"/>
      <c r="I2531" s="232"/>
      <c r="J2531" s="232"/>
      <c r="K2531" s="232"/>
      <c r="L2531" s="232"/>
      <c r="M2531" s="232"/>
      <c r="N2531" s="232"/>
      <c r="O2531" s="232"/>
      <c r="P2531" s="232"/>
      <c r="Q2531" s="232"/>
      <c r="R2531" s="232"/>
      <c r="S2531" s="232"/>
      <c r="T2531" s="232"/>
      <c r="U2531" s="232"/>
      <c r="V2531" s="15"/>
      <c r="W2531" s="15"/>
      <c r="X2531" s="15"/>
      <c r="Y2531" s="15"/>
      <c r="Z2531" s="15"/>
      <c r="AA2531" s="15"/>
    </row>
    <row r="2532" spans="1:27" s="25" customFormat="1" ht="12" customHeight="1" x14ac:dyDescent="0.2">
      <c r="A2532" s="232"/>
      <c r="B2532" s="250"/>
      <c r="C2532" s="286"/>
      <c r="D2532" s="232"/>
      <c r="E2532" s="232"/>
      <c r="F2532" s="232"/>
      <c r="G2532" s="232"/>
      <c r="H2532" s="232"/>
      <c r="I2532" s="232"/>
      <c r="J2532" s="232"/>
      <c r="K2532" s="232"/>
      <c r="L2532" s="232"/>
      <c r="M2532" s="232"/>
      <c r="N2532" s="232"/>
      <c r="O2532" s="232"/>
      <c r="P2532" s="232"/>
      <c r="Q2532" s="232"/>
      <c r="R2532" s="232"/>
      <c r="S2532" s="232"/>
      <c r="T2532" s="232"/>
      <c r="U2532" s="232"/>
      <c r="V2532" s="15"/>
      <c r="W2532" s="15"/>
      <c r="X2532" s="15"/>
      <c r="Y2532" s="15"/>
      <c r="Z2532" s="15"/>
      <c r="AA2532" s="15"/>
    </row>
    <row r="2533" spans="1:27" s="25" customFormat="1" ht="12" customHeight="1" x14ac:dyDescent="0.2">
      <c r="A2533" s="232"/>
      <c r="B2533" s="250"/>
      <c r="C2533" s="286"/>
      <c r="D2533" s="232"/>
      <c r="E2533" s="232"/>
      <c r="F2533" s="232"/>
      <c r="G2533" s="232"/>
      <c r="H2533" s="232"/>
      <c r="I2533" s="232"/>
      <c r="J2533" s="232"/>
      <c r="K2533" s="232"/>
      <c r="L2533" s="232"/>
      <c r="M2533" s="232"/>
      <c r="N2533" s="232"/>
      <c r="O2533" s="232"/>
      <c r="P2533" s="232"/>
      <c r="Q2533" s="232"/>
      <c r="R2533" s="232"/>
      <c r="S2533" s="232"/>
      <c r="T2533" s="232"/>
      <c r="U2533" s="232"/>
      <c r="V2533" s="15"/>
      <c r="W2533" s="15"/>
      <c r="X2533" s="15"/>
      <c r="Y2533" s="15"/>
      <c r="Z2533" s="15"/>
      <c r="AA2533" s="15"/>
    </row>
    <row r="2534" spans="1:27" s="25" customFormat="1" ht="12" customHeight="1" x14ac:dyDescent="0.2">
      <c r="A2534" s="232"/>
      <c r="B2534" s="250"/>
      <c r="C2534" s="286"/>
      <c r="D2534" s="232"/>
      <c r="E2534" s="232"/>
      <c r="F2534" s="232"/>
      <c r="G2534" s="232"/>
      <c r="H2534" s="232"/>
      <c r="I2534" s="232"/>
      <c r="J2534" s="232"/>
      <c r="K2534" s="232"/>
      <c r="L2534" s="232"/>
      <c r="M2534" s="232"/>
      <c r="N2534" s="232"/>
      <c r="O2534" s="232"/>
      <c r="P2534" s="232"/>
      <c r="Q2534" s="232"/>
      <c r="R2534" s="232"/>
      <c r="S2534" s="232"/>
      <c r="T2534" s="232"/>
      <c r="U2534" s="232"/>
      <c r="V2534" s="15"/>
      <c r="W2534" s="15"/>
      <c r="X2534" s="15"/>
      <c r="Y2534" s="15"/>
      <c r="Z2534" s="15"/>
      <c r="AA2534" s="15"/>
    </row>
    <row r="2535" spans="1:27" s="25" customFormat="1" ht="12" customHeight="1" x14ac:dyDescent="0.2">
      <c r="A2535" s="232"/>
      <c r="B2535" s="250"/>
      <c r="C2535" s="286"/>
      <c r="D2535" s="232"/>
      <c r="E2535" s="232"/>
      <c r="F2535" s="232"/>
      <c r="G2535" s="232"/>
      <c r="H2535" s="232"/>
      <c r="I2535" s="232"/>
      <c r="J2535" s="232"/>
      <c r="K2535" s="232"/>
      <c r="L2535" s="232"/>
      <c r="M2535" s="232"/>
      <c r="N2535" s="232"/>
      <c r="O2535" s="232"/>
      <c r="P2535" s="232"/>
      <c r="Q2535" s="232"/>
      <c r="R2535" s="232"/>
      <c r="S2535" s="232"/>
      <c r="T2535" s="232"/>
      <c r="U2535" s="232"/>
      <c r="V2535" s="15"/>
      <c r="W2535" s="15"/>
      <c r="X2535" s="15"/>
      <c r="Y2535" s="15"/>
      <c r="Z2535" s="15"/>
      <c r="AA2535" s="15"/>
    </row>
    <row r="2536" spans="1:27" s="25" customFormat="1" ht="12" customHeight="1" x14ac:dyDescent="0.2">
      <c r="A2536" s="232"/>
      <c r="B2536" s="250"/>
      <c r="C2536" s="286"/>
      <c r="D2536" s="232"/>
      <c r="E2536" s="232"/>
      <c r="F2536" s="232"/>
      <c r="G2536" s="232"/>
      <c r="H2536" s="232"/>
      <c r="I2536" s="232"/>
      <c r="J2536" s="232"/>
      <c r="K2536" s="232"/>
      <c r="L2536" s="232"/>
      <c r="M2536" s="232"/>
      <c r="N2536" s="232"/>
      <c r="O2536" s="232"/>
      <c r="P2536" s="232"/>
      <c r="Q2536" s="232"/>
      <c r="R2536" s="232"/>
      <c r="S2536" s="232"/>
      <c r="T2536" s="232"/>
      <c r="U2536" s="232"/>
      <c r="V2536" s="15"/>
      <c r="W2536" s="15"/>
      <c r="X2536" s="15"/>
      <c r="Y2536" s="15"/>
      <c r="Z2536" s="15"/>
      <c r="AA2536" s="15"/>
    </row>
    <row r="2537" spans="1:27" s="25" customFormat="1" ht="12" customHeight="1" x14ac:dyDescent="0.2">
      <c r="A2537" s="232"/>
      <c r="B2537" s="250"/>
      <c r="C2537" s="286"/>
      <c r="D2537" s="232"/>
      <c r="E2537" s="232"/>
      <c r="F2537" s="232"/>
      <c r="G2537" s="232"/>
      <c r="H2537" s="232"/>
      <c r="I2537" s="232"/>
      <c r="J2537" s="232"/>
      <c r="K2537" s="232"/>
      <c r="L2537" s="232"/>
      <c r="M2537" s="232"/>
      <c r="N2537" s="232"/>
      <c r="O2537" s="232"/>
      <c r="P2537" s="232"/>
      <c r="Q2537" s="232"/>
      <c r="R2537" s="232"/>
      <c r="S2537" s="232"/>
      <c r="T2537" s="232"/>
      <c r="U2537" s="232"/>
      <c r="V2537" s="15"/>
      <c r="W2537" s="15"/>
      <c r="X2537" s="15"/>
      <c r="Y2537" s="15"/>
      <c r="Z2537" s="15"/>
      <c r="AA2537" s="15"/>
    </row>
    <row r="2538" spans="1:27" s="25" customFormat="1" ht="12" customHeight="1" x14ac:dyDescent="0.2">
      <c r="A2538" s="232"/>
      <c r="B2538" s="250"/>
      <c r="C2538" s="286"/>
      <c r="D2538" s="232"/>
      <c r="E2538" s="232"/>
      <c r="F2538" s="232"/>
      <c r="G2538" s="232"/>
      <c r="H2538" s="232"/>
      <c r="I2538" s="232"/>
      <c r="J2538" s="232"/>
      <c r="K2538" s="232"/>
      <c r="L2538" s="232"/>
      <c r="M2538" s="232"/>
      <c r="N2538" s="232"/>
      <c r="O2538" s="232"/>
      <c r="P2538" s="232"/>
      <c r="Q2538" s="232"/>
      <c r="R2538" s="232"/>
      <c r="S2538" s="232"/>
      <c r="T2538" s="232"/>
      <c r="U2538" s="232"/>
      <c r="V2538" s="15"/>
      <c r="W2538" s="15"/>
      <c r="X2538" s="15"/>
      <c r="Y2538" s="15"/>
      <c r="Z2538" s="15"/>
      <c r="AA2538" s="15"/>
    </row>
    <row r="2539" spans="1:27" s="25" customFormat="1" ht="12" customHeight="1" x14ac:dyDescent="0.2">
      <c r="A2539" s="232"/>
      <c r="B2539" s="250"/>
      <c r="C2539" s="286"/>
      <c r="D2539" s="232"/>
      <c r="E2539" s="232"/>
      <c r="F2539" s="232"/>
      <c r="G2539" s="232"/>
      <c r="H2539" s="232"/>
      <c r="I2539" s="232"/>
      <c r="J2539" s="232"/>
      <c r="K2539" s="232"/>
      <c r="L2539" s="232"/>
      <c r="M2539" s="232"/>
      <c r="N2539" s="232"/>
      <c r="O2539" s="232"/>
      <c r="P2539" s="232"/>
      <c r="Q2539" s="232"/>
      <c r="R2539" s="232"/>
      <c r="S2539" s="232"/>
      <c r="T2539" s="232"/>
      <c r="U2539" s="232"/>
      <c r="V2539" s="15"/>
      <c r="W2539" s="15"/>
      <c r="X2539" s="15"/>
      <c r="Y2539" s="15"/>
      <c r="Z2539" s="15"/>
      <c r="AA2539" s="15"/>
    </row>
    <row r="2540" spans="1:27" s="25" customFormat="1" ht="12" customHeight="1" x14ac:dyDescent="0.2">
      <c r="A2540" s="232"/>
      <c r="B2540" s="250"/>
      <c r="C2540" s="286"/>
      <c r="D2540" s="232"/>
      <c r="E2540" s="232"/>
      <c r="F2540" s="232"/>
      <c r="G2540" s="232"/>
      <c r="H2540" s="232"/>
      <c r="I2540" s="232"/>
      <c r="J2540" s="232"/>
      <c r="K2540" s="232"/>
      <c r="L2540" s="232"/>
      <c r="M2540" s="232"/>
      <c r="N2540" s="232"/>
      <c r="O2540" s="232"/>
      <c r="P2540" s="232"/>
      <c r="Q2540" s="232"/>
      <c r="R2540" s="232"/>
      <c r="S2540" s="232"/>
      <c r="T2540" s="232"/>
      <c r="U2540" s="232"/>
      <c r="V2540" s="15"/>
      <c r="W2540" s="15"/>
      <c r="X2540" s="15"/>
      <c r="Y2540" s="15"/>
      <c r="Z2540" s="15"/>
      <c r="AA2540" s="15"/>
    </row>
    <row r="2541" spans="1:27" s="25" customFormat="1" ht="12" customHeight="1" x14ac:dyDescent="0.2">
      <c r="A2541" s="232"/>
      <c r="B2541" s="250"/>
      <c r="C2541" s="286"/>
      <c r="D2541" s="232"/>
      <c r="E2541" s="232"/>
      <c r="F2541" s="232"/>
      <c r="G2541" s="232"/>
      <c r="H2541" s="232"/>
      <c r="I2541" s="232"/>
      <c r="J2541" s="232"/>
      <c r="K2541" s="232"/>
      <c r="L2541" s="232"/>
      <c r="M2541" s="232"/>
      <c r="N2541" s="232"/>
      <c r="O2541" s="232"/>
      <c r="P2541" s="232"/>
      <c r="Q2541" s="232"/>
      <c r="R2541" s="232"/>
      <c r="S2541" s="232"/>
      <c r="T2541" s="232"/>
      <c r="U2541" s="232"/>
      <c r="V2541" s="15"/>
      <c r="W2541" s="15"/>
      <c r="X2541" s="15"/>
      <c r="Y2541" s="15"/>
      <c r="Z2541" s="15"/>
      <c r="AA2541" s="15"/>
    </row>
    <row r="2542" spans="1:27" s="25" customFormat="1" ht="12" customHeight="1" x14ac:dyDescent="0.2">
      <c r="A2542" s="232"/>
      <c r="B2542" s="250"/>
      <c r="C2542" s="286"/>
      <c r="D2542" s="232"/>
      <c r="E2542" s="232"/>
      <c r="F2542" s="232"/>
      <c r="G2542" s="232"/>
      <c r="H2542" s="232"/>
      <c r="I2542" s="232"/>
      <c r="J2542" s="232"/>
      <c r="K2542" s="232"/>
      <c r="L2542" s="232"/>
      <c r="M2542" s="232"/>
      <c r="N2542" s="232"/>
      <c r="O2542" s="232"/>
      <c r="P2542" s="232"/>
      <c r="Q2542" s="232"/>
      <c r="R2542" s="232"/>
      <c r="S2542" s="232"/>
      <c r="T2542" s="232"/>
      <c r="U2542" s="232"/>
      <c r="V2542" s="15"/>
      <c r="W2542" s="15"/>
      <c r="X2542" s="15"/>
      <c r="Y2542" s="15"/>
      <c r="Z2542" s="15"/>
      <c r="AA2542" s="15"/>
    </row>
    <row r="2543" spans="1:27" s="25" customFormat="1" ht="12" customHeight="1" x14ac:dyDescent="0.2">
      <c r="A2543" s="232"/>
      <c r="B2543" s="250"/>
      <c r="C2543" s="286"/>
      <c r="D2543" s="232"/>
      <c r="E2543" s="232"/>
      <c r="F2543" s="232"/>
      <c r="G2543" s="232"/>
      <c r="H2543" s="232"/>
      <c r="I2543" s="232"/>
      <c r="J2543" s="232"/>
      <c r="K2543" s="232"/>
      <c r="L2543" s="232"/>
      <c r="M2543" s="232"/>
      <c r="N2543" s="232"/>
      <c r="O2543" s="232"/>
      <c r="P2543" s="232"/>
      <c r="Q2543" s="232"/>
      <c r="R2543" s="232"/>
      <c r="S2543" s="232"/>
      <c r="T2543" s="232"/>
      <c r="U2543" s="232"/>
      <c r="V2543" s="15"/>
      <c r="W2543" s="15"/>
      <c r="X2543" s="15"/>
      <c r="Y2543" s="15"/>
      <c r="Z2543" s="15"/>
      <c r="AA2543" s="15"/>
    </row>
    <row r="2544" spans="1:27" s="25" customFormat="1" ht="12" customHeight="1" x14ac:dyDescent="0.2">
      <c r="A2544" s="232"/>
      <c r="B2544" s="250"/>
      <c r="C2544" s="286"/>
      <c r="D2544" s="232"/>
      <c r="E2544" s="232"/>
      <c r="F2544" s="232"/>
      <c r="G2544" s="232"/>
      <c r="H2544" s="232"/>
      <c r="I2544" s="232"/>
      <c r="J2544" s="232"/>
      <c r="K2544" s="232"/>
      <c r="L2544" s="232"/>
      <c r="M2544" s="232"/>
      <c r="N2544" s="232"/>
      <c r="O2544" s="232"/>
      <c r="P2544" s="232"/>
      <c r="Q2544" s="232"/>
      <c r="R2544" s="232"/>
      <c r="S2544" s="232"/>
      <c r="T2544" s="232"/>
      <c r="U2544" s="232"/>
      <c r="V2544" s="15"/>
      <c r="W2544" s="15"/>
      <c r="X2544" s="15"/>
      <c r="Y2544" s="15"/>
      <c r="Z2544" s="15"/>
      <c r="AA2544" s="15"/>
    </row>
    <row r="2545" spans="1:27" s="25" customFormat="1" ht="12" customHeight="1" x14ac:dyDescent="0.2">
      <c r="A2545" s="232"/>
      <c r="B2545" s="250"/>
      <c r="C2545" s="286"/>
      <c r="D2545" s="232"/>
      <c r="E2545" s="232"/>
      <c r="F2545" s="232"/>
      <c r="G2545" s="232"/>
      <c r="H2545" s="232"/>
      <c r="I2545" s="232"/>
      <c r="J2545" s="232"/>
      <c r="K2545" s="232"/>
      <c r="L2545" s="232"/>
      <c r="M2545" s="232"/>
      <c r="N2545" s="232"/>
      <c r="O2545" s="232"/>
      <c r="P2545" s="232"/>
      <c r="Q2545" s="232"/>
      <c r="R2545" s="232"/>
      <c r="S2545" s="232"/>
      <c r="T2545" s="232"/>
      <c r="U2545" s="232"/>
      <c r="V2545" s="15"/>
      <c r="W2545" s="15"/>
      <c r="X2545" s="15"/>
      <c r="Y2545" s="15"/>
      <c r="Z2545" s="15"/>
      <c r="AA2545" s="15"/>
    </row>
    <row r="2546" spans="1:27" s="25" customFormat="1" ht="12" customHeight="1" x14ac:dyDescent="0.2">
      <c r="A2546" s="232"/>
      <c r="B2546" s="250"/>
      <c r="C2546" s="286"/>
      <c r="D2546" s="232"/>
      <c r="E2546" s="232"/>
      <c r="F2546" s="232"/>
      <c r="G2546" s="232"/>
      <c r="H2546" s="232"/>
      <c r="I2546" s="232"/>
      <c r="J2546" s="232"/>
      <c r="K2546" s="232"/>
      <c r="L2546" s="232"/>
      <c r="M2546" s="232"/>
      <c r="N2546" s="232"/>
      <c r="O2546" s="232"/>
      <c r="P2546" s="232"/>
      <c r="Q2546" s="232"/>
      <c r="R2546" s="232"/>
      <c r="S2546" s="232"/>
      <c r="T2546" s="232"/>
      <c r="U2546" s="232"/>
      <c r="V2546" s="15"/>
      <c r="W2546" s="15"/>
      <c r="X2546" s="15"/>
      <c r="Y2546" s="15"/>
      <c r="Z2546" s="15"/>
      <c r="AA2546" s="15"/>
    </row>
    <row r="2547" spans="1:27" s="25" customFormat="1" ht="12" customHeight="1" x14ac:dyDescent="0.2">
      <c r="A2547" s="232"/>
      <c r="B2547" s="250"/>
      <c r="C2547" s="286"/>
      <c r="D2547" s="232"/>
      <c r="E2547" s="232"/>
      <c r="F2547" s="232"/>
      <c r="G2547" s="232"/>
      <c r="H2547" s="232"/>
      <c r="I2547" s="232"/>
      <c r="J2547" s="232"/>
      <c r="K2547" s="232"/>
      <c r="L2547" s="232"/>
      <c r="M2547" s="232"/>
      <c r="N2547" s="232"/>
      <c r="O2547" s="232"/>
      <c r="P2547" s="232"/>
      <c r="Q2547" s="232"/>
      <c r="R2547" s="232"/>
      <c r="S2547" s="232"/>
      <c r="T2547" s="232"/>
      <c r="U2547" s="232"/>
      <c r="V2547" s="15"/>
      <c r="W2547" s="15"/>
      <c r="X2547" s="15"/>
      <c r="Y2547" s="15"/>
      <c r="Z2547" s="15"/>
      <c r="AA2547" s="15"/>
    </row>
    <row r="2548" spans="1:27" s="25" customFormat="1" ht="12" customHeight="1" x14ac:dyDescent="0.2">
      <c r="A2548" s="232"/>
      <c r="B2548" s="250"/>
      <c r="C2548" s="286"/>
      <c r="D2548" s="232"/>
      <c r="E2548" s="232"/>
      <c r="F2548" s="232"/>
      <c r="G2548" s="232"/>
      <c r="H2548" s="232"/>
      <c r="I2548" s="232"/>
      <c r="J2548" s="232"/>
      <c r="K2548" s="232"/>
      <c r="L2548" s="232"/>
      <c r="M2548" s="232"/>
      <c r="N2548" s="232"/>
      <c r="O2548" s="232"/>
      <c r="P2548" s="232"/>
      <c r="Q2548" s="232"/>
      <c r="R2548" s="232"/>
      <c r="S2548" s="232"/>
      <c r="T2548" s="232"/>
      <c r="U2548" s="232"/>
      <c r="V2548" s="15"/>
      <c r="W2548" s="15"/>
      <c r="X2548" s="15"/>
      <c r="Y2548" s="15"/>
      <c r="Z2548" s="15"/>
      <c r="AA2548" s="15"/>
    </row>
    <row r="2549" spans="1:27" s="25" customFormat="1" ht="12" customHeight="1" x14ac:dyDescent="0.2">
      <c r="A2549" s="232"/>
      <c r="B2549" s="250"/>
      <c r="C2549" s="286"/>
      <c r="D2549" s="232"/>
      <c r="E2549" s="232"/>
      <c r="F2549" s="232"/>
      <c r="G2549" s="232"/>
      <c r="H2549" s="232"/>
      <c r="I2549" s="232"/>
      <c r="J2549" s="232"/>
      <c r="K2549" s="232"/>
      <c r="L2549" s="232"/>
      <c r="M2549" s="232"/>
      <c r="N2549" s="232"/>
      <c r="O2549" s="232"/>
      <c r="P2549" s="232"/>
      <c r="Q2549" s="232"/>
      <c r="R2549" s="232"/>
      <c r="S2549" s="232"/>
      <c r="T2549" s="232"/>
      <c r="U2549" s="232"/>
      <c r="V2549" s="15"/>
      <c r="W2549" s="15"/>
      <c r="X2549" s="15"/>
      <c r="Y2549" s="15"/>
      <c r="Z2549" s="15"/>
      <c r="AA2549" s="15"/>
    </row>
    <row r="2550" spans="1:27" s="25" customFormat="1" ht="12" customHeight="1" x14ac:dyDescent="0.2">
      <c r="A2550" s="232"/>
      <c r="B2550" s="250"/>
      <c r="C2550" s="286"/>
      <c r="D2550" s="232"/>
      <c r="E2550" s="232"/>
      <c r="F2550" s="232"/>
      <c r="G2550" s="232"/>
      <c r="H2550" s="232"/>
      <c r="I2550" s="232"/>
      <c r="J2550" s="232"/>
      <c r="K2550" s="232"/>
      <c r="L2550" s="232"/>
      <c r="M2550" s="232"/>
      <c r="N2550" s="232"/>
      <c r="O2550" s="232"/>
      <c r="P2550" s="232"/>
      <c r="Q2550" s="232"/>
      <c r="R2550" s="232"/>
      <c r="S2550" s="232"/>
      <c r="T2550" s="232"/>
      <c r="U2550" s="232"/>
      <c r="V2550" s="15"/>
      <c r="W2550" s="15"/>
      <c r="X2550" s="15"/>
      <c r="Y2550" s="15"/>
      <c r="Z2550" s="15"/>
      <c r="AA2550" s="15"/>
    </row>
    <row r="2551" spans="1:27" s="25" customFormat="1" ht="12" customHeight="1" x14ac:dyDescent="0.2">
      <c r="A2551" s="232"/>
      <c r="B2551" s="250"/>
      <c r="C2551" s="286"/>
      <c r="D2551" s="232"/>
      <c r="E2551" s="232"/>
      <c r="F2551" s="232"/>
      <c r="G2551" s="232"/>
      <c r="H2551" s="232"/>
      <c r="I2551" s="232"/>
      <c r="J2551" s="232"/>
      <c r="K2551" s="232"/>
      <c r="L2551" s="232"/>
      <c r="M2551" s="232"/>
      <c r="N2551" s="232"/>
      <c r="O2551" s="232"/>
      <c r="P2551" s="232"/>
      <c r="Q2551" s="232"/>
      <c r="R2551" s="232"/>
      <c r="S2551" s="232"/>
      <c r="T2551" s="232"/>
      <c r="U2551" s="232"/>
      <c r="V2551" s="15"/>
      <c r="W2551" s="15"/>
      <c r="X2551" s="15"/>
      <c r="Y2551" s="15"/>
      <c r="Z2551" s="15"/>
      <c r="AA2551" s="15"/>
    </row>
    <row r="2552" spans="1:27" s="25" customFormat="1" ht="12" customHeight="1" x14ac:dyDescent="0.2">
      <c r="A2552" s="232"/>
      <c r="B2552" s="250"/>
      <c r="C2552" s="286"/>
      <c r="D2552" s="232"/>
      <c r="E2552" s="232"/>
      <c r="F2552" s="232"/>
      <c r="G2552" s="232"/>
      <c r="H2552" s="232"/>
      <c r="I2552" s="232"/>
      <c r="J2552" s="232"/>
      <c r="K2552" s="232"/>
      <c r="L2552" s="232"/>
      <c r="M2552" s="232"/>
      <c r="N2552" s="232"/>
      <c r="O2552" s="232"/>
      <c r="P2552" s="232"/>
      <c r="Q2552" s="232"/>
      <c r="R2552" s="232"/>
      <c r="S2552" s="232"/>
      <c r="T2552" s="232"/>
      <c r="U2552" s="232"/>
      <c r="V2552" s="15"/>
      <c r="W2552" s="15"/>
      <c r="X2552" s="15"/>
      <c r="Y2552" s="15"/>
      <c r="Z2552" s="15"/>
      <c r="AA2552" s="15"/>
    </row>
    <row r="2553" spans="1:27" s="25" customFormat="1" ht="12" customHeight="1" x14ac:dyDescent="0.2">
      <c r="A2553" s="232"/>
      <c r="B2553" s="250"/>
      <c r="C2553" s="286"/>
      <c r="D2553" s="232"/>
      <c r="E2553" s="232"/>
      <c r="F2553" s="232"/>
      <c r="G2553" s="232"/>
      <c r="H2553" s="232"/>
      <c r="I2553" s="232"/>
      <c r="J2553" s="232"/>
      <c r="K2553" s="232"/>
      <c r="L2553" s="232"/>
      <c r="M2553" s="232"/>
      <c r="N2553" s="232"/>
      <c r="O2553" s="232"/>
      <c r="P2553" s="232"/>
      <c r="Q2553" s="232"/>
      <c r="R2553" s="232"/>
      <c r="S2553" s="232"/>
      <c r="T2553" s="232"/>
      <c r="U2553" s="232"/>
      <c r="V2553" s="15"/>
      <c r="W2553" s="15"/>
      <c r="X2553" s="15"/>
      <c r="Y2553" s="15"/>
      <c r="Z2553" s="15"/>
      <c r="AA2553" s="15"/>
    </row>
    <row r="2554" spans="1:27" s="25" customFormat="1" ht="12" customHeight="1" x14ac:dyDescent="0.2">
      <c r="A2554" s="232"/>
      <c r="B2554" s="250"/>
      <c r="C2554" s="286"/>
      <c r="D2554" s="232"/>
      <c r="E2554" s="232"/>
      <c r="F2554" s="232"/>
      <c r="G2554" s="232"/>
      <c r="H2554" s="232"/>
      <c r="I2554" s="232"/>
      <c r="J2554" s="232"/>
      <c r="K2554" s="232"/>
      <c r="L2554" s="232"/>
      <c r="M2554" s="232"/>
      <c r="N2554" s="232"/>
      <c r="O2554" s="232"/>
      <c r="P2554" s="232"/>
      <c r="Q2554" s="232"/>
      <c r="R2554" s="232"/>
      <c r="S2554" s="232"/>
      <c r="T2554" s="232"/>
      <c r="U2554" s="232"/>
      <c r="V2554" s="15"/>
      <c r="W2554" s="15"/>
      <c r="X2554" s="15"/>
      <c r="Y2554" s="15"/>
      <c r="Z2554" s="15"/>
      <c r="AA2554" s="15"/>
    </row>
    <row r="2555" spans="1:27" s="25" customFormat="1" ht="12" customHeight="1" x14ac:dyDescent="0.2">
      <c r="A2555" s="232"/>
      <c r="B2555" s="250"/>
      <c r="C2555" s="286"/>
      <c r="D2555" s="232"/>
      <c r="E2555" s="232"/>
      <c r="F2555" s="232"/>
      <c r="G2555" s="232"/>
      <c r="H2555" s="232"/>
      <c r="I2555" s="232"/>
      <c r="J2555" s="232"/>
      <c r="K2555" s="232"/>
      <c r="L2555" s="232"/>
      <c r="M2555" s="232"/>
      <c r="N2555" s="232"/>
      <c r="O2555" s="232"/>
      <c r="P2555" s="232"/>
      <c r="Q2555" s="232"/>
      <c r="R2555" s="232"/>
      <c r="S2555" s="232"/>
      <c r="T2555" s="232"/>
      <c r="U2555" s="232"/>
      <c r="V2555" s="15"/>
      <c r="W2555" s="15"/>
      <c r="X2555" s="15"/>
      <c r="Y2555" s="15"/>
      <c r="Z2555" s="15"/>
      <c r="AA2555" s="15"/>
    </row>
    <row r="2556" spans="1:27" s="25" customFormat="1" ht="12" customHeight="1" x14ac:dyDescent="0.2">
      <c r="A2556" s="232"/>
      <c r="B2556" s="250"/>
      <c r="C2556" s="286"/>
      <c r="D2556" s="232"/>
      <c r="E2556" s="232"/>
      <c r="F2556" s="232"/>
      <c r="G2556" s="232"/>
      <c r="H2556" s="232"/>
      <c r="I2556" s="232"/>
      <c r="J2556" s="232"/>
      <c r="K2556" s="232"/>
      <c r="L2556" s="232"/>
      <c r="M2556" s="232"/>
      <c r="N2556" s="232"/>
      <c r="O2556" s="232"/>
      <c r="P2556" s="232"/>
      <c r="Q2556" s="232"/>
      <c r="R2556" s="232"/>
      <c r="S2556" s="232"/>
      <c r="T2556" s="232"/>
      <c r="U2556" s="232"/>
      <c r="V2556" s="15"/>
      <c r="W2556" s="15"/>
      <c r="X2556" s="15"/>
      <c r="Y2556" s="15"/>
      <c r="Z2556" s="15"/>
      <c r="AA2556" s="15"/>
    </row>
    <row r="2557" spans="1:27" s="25" customFormat="1" ht="12" customHeight="1" x14ac:dyDescent="0.2">
      <c r="A2557" s="232"/>
      <c r="B2557" s="250"/>
      <c r="C2557" s="286"/>
      <c r="D2557" s="232"/>
      <c r="E2557" s="232"/>
      <c r="F2557" s="232"/>
      <c r="G2557" s="232"/>
      <c r="H2557" s="232"/>
      <c r="I2557" s="232"/>
      <c r="J2557" s="232"/>
      <c r="K2557" s="232"/>
      <c r="L2557" s="232"/>
      <c r="M2557" s="232"/>
      <c r="N2557" s="232"/>
      <c r="O2557" s="232"/>
      <c r="P2557" s="232"/>
      <c r="Q2557" s="232"/>
      <c r="R2557" s="232"/>
      <c r="S2557" s="232"/>
      <c r="T2557" s="232"/>
      <c r="U2557" s="232"/>
      <c r="V2557" s="15"/>
      <c r="W2557" s="15"/>
      <c r="X2557" s="15"/>
      <c r="Y2557" s="15"/>
      <c r="Z2557" s="15"/>
      <c r="AA2557" s="15"/>
    </row>
    <row r="2558" spans="1:27" s="25" customFormat="1" ht="12" customHeight="1" x14ac:dyDescent="0.2">
      <c r="A2558" s="232"/>
      <c r="B2558" s="250"/>
      <c r="C2558" s="286"/>
      <c r="D2558" s="232"/>
      <c r="E2558" s="232"/>
      <c r="F2558" s="232"/>
      <c r="G2558" s="232"/>
      <c r="H2558" s="232"/>
      <c r="I2558" s="232"/>
      <c r="J2558" s="232"/>
      <c r="K2558" s="232"/>
      <c r="L2558" s="232"/>
      <c r="M2558" s="232"/>
      <c r="N2558" s="232"/>
      <c r="O2558" s="232"/>
      <c r="P2558" s="232"/>
      <c r="Q2558" s="232"/>
      <c r="R2558" s="232"/>
      <c r="S2558" s="232"/>
      <c r="T2558" s="232"/>
      <c r="U2558" s="232"/>
      <c r="V2558" s="15"/>
      <c r="W2558" s="15"/>
      <c r="X2558" s="15"/>
      <c r="Y2558" s="15"/>
      <c r="Z2558" s="15"/>
      <c r="AA2558" s="15"/>
    </row>
    <row r="2559" spans="1:27" s="25" customFormat="1" ht="12" customHeight="1" x14ac:dyDescent="0.2">
      <c r="A2559" s="232"/>
      <c r="B2559" s="250"/>
      <c r="C2559" s="286"/>
      <c r="D2559" s="232"/>
      <c r="E2559" s="232"/>
      <c r="F2559" s="232"/>
      <c r="G2559" s="232"/>
      <c r="H2559" s="232"/>
      <c r="I2559" s="232"/>
      <c r="J2559" s="232"/>
      <c r="K2559" s="232"/>
      <c r="L2559" s="232"/>
      <c r="M2559" s="232"/>
      <c r="N2559" s="232"/>
      <c r="O2559" s="232"/>
      <c r="P2559" s="232"/>
      <c r="Q2559" s="232"/>
      <c r="R2559" s="232"/>
      <c r="S2559" s="232"/>
      <c r="T2559" s="232"/>
      <c r="U2559" s="232"/>
      <c r="V2559" s="15"/>
      <c r="W2559" s="15"/>
      <c r="X2559" s="15"/>
      <c r="Y2559" s="15"/>
      <c r="Z2559" s="15"/>
      <c r="AA2559" s="15"/>
    </row>
    <row r="2560" spans="1:27" s="25" customFormat="1" ht="12" customHeight="1" x14ac:dyDescent="0.2">
      <c r="A2560" s="232"/>
      <c r="B2560" s="250"/>
      <c r="C2560" s="286"/>
      <c r="D2560" s="232"/>
      <c r="E2560" s="232"/>
      <c r="F2560" s="232"/>
      <c r="G2560" s="232"/>
      <c r="H2560" s="232"/>
      <c r="I2560" s="232"/>
      <c r="J2560" s="232"/>
      <c r="K2560" s="232"/>
      <c r="L2560" s="232"/>
      <c r="M2560" s="232"/>
      <c r="N2560" s="232"/>
      <c r="O2560" s="232"/>
      <c r="P2560" s="232"/>
      <c r="Q2560" s="232"/>
      <c r="R2560" s="232"/>
      <c r="S2560" s="232"/>
      <c r="T2560" s="232"/>
      <c r="U2560" s="232"/>
      <c r="V2560" s="15"/>
      <c r="W2560" s="15"/>
      <c r="X2560" s="15"/>
      <c r="Y2560" s="15"/>
      <c r="Z2560" s="15"/>
      <c r="AA2560" s="15"/>
    </row>
    <row r="2561" spans="1:27" s="25" customFormat="1" ht="12" customHeight="1" x14ac:dyDescent="0.2">
      <c r="A2561" s="232"/>
      <c r="B2561" s="250"/>
      <c r="C2561" s="286"/>
      <c r="D2561" s="232"/>
      <c r="E2561" s="232"/>
      <c r="F2561" s="232"/>
      <c r="G2561" s="232"/>
      <c r="H2561" s="232"/>
      <c r="I2561" s="232"/>
      <c r="J2561" s="232"/>
      <c r="K2561" s="232"/>
      <c r="L2561" s="232"/>
      <c r="M2561" s="232"/>
      <c r="N2561" s="232"/>
      <c r="O2561" s="232"/>
      <c r="P2561" s="232"/>
      <c r="Q2561" s="232"/>
      <c r="R2561" s="232"/>
      <c r="S2561" s="232"/>
      <c r="T2561" s="232"/>
      <c r="U2561" s="232"/>
      <c r="V2561" s="15"/>
      <c r="W2561" s="15"/>
      <c r="X2561" s="15"/>
      <c r="Y2561" s="15"/>
      <c r="Z2561" s="15"/>
      <c r="AA2561" s="15"/>
    </row>
    <row r="2562" spans="1:27" s="25" customFormat="1" ht="12" customHeight="1" x14ac:dyDescent="0.2">
      <c r="A2562" s="232"/>
      <c r="B2562" s="250"/>
      <c r="C2562" s="286"/>
      <c r="D2562" s="232"/>
      <c r="E2562" s="232"/>
      <c r="F2562" s="232"/>
      <c r="G2562" s="232"/>
      <c r="H2562" s="232"/>
      <c r="I2562" s="232"/>
      <c r="J2562" s="232"/>
      <c r="K2562" s="232"/>
      <c r="L2562" s="232"/>
      <c r="M2562" s="232"/>
      <c r="N2562" s="232"/>
      <c r="O2562" s="232"/>
      <c r="P2562" s="232"/>
      <c r="Q2562" s="232"/>
      <c r="R2562" s="232"/>
      <c r="S2562" s="232"/>
      <c r="T2562" s="232"/>
      <c r="U2562" s="232"/>
      <c r="V2562" s="15"/>
      <c r="W2562" s="15"/>
      <c r="X2562" s="15"/>
      <c r="Y2562" s="15"/>
      <c r="Z2562" s="15"/>
      <c r="AA2562" s="15"/>
    </row>
    <row r="2563" spans="1:27" s="25" customFormat="1" ht="12" customHeight="1" x14ac:dyDescent="0.2">
      <c r="A2563" s="232"/>
      <c r="B2563" s="250"/>
      <c r="C2563" s="286"/>
      <c r="D2563" s="232"/>
      <c r="E2563" s="232"/>
      <c r="F2563" s="232"/>
      <c r="G2563" s="232"/>
      <c r="H2563" s="232"/>
      <c r="I2563" s="232"/>
      <c r="J2563" s="232"/>
      <c r="K2563" s="232"/>
      <c r="L2563" s="232"/>
      <c r="M2563" s="232"/>
      <c r="N2563" s="232"/>
      <c r="O2563" s="232"/>
      <c r="P2563" s="232"/>
      <c r="Q2563" s="232"/>
      <c r="R2563" s="232"/>
      <c r="S2563" s="232"/>
      <c r="T2563" s="232"/>
      <c r="U2563" s="232"/>
      <c r="V2563" s="15"/>
      <c r="W2563" s="15"/>
      <c r="X2563" s="15"/>
      <c r="Y2563" s="15"/>
      <c r="Z2563" s="15"/>
      <c r="AA2563" s="15"/>
    </row>
    <row r="2564" spans="1:27" s="25" customFormat="1" ht="12" customHeight="1" x14ac:dyDescent="0.2">
      <c r="A2564" s="232"/>
      <c r="B2564" s="250"/>
      <c r="C2564" s="286"/>
      <c r="D2564" s="232"/>
      <c r="E2564" s="232"/>
      <c r="F2564" s="232"/>
      <c r="G2564" s="232"/>
      <c r="H2564" s="232"/>
      <c r="I2564" s="232"/>
      <c r="J2564" s="232"/>
      <c r="K2564" s="232"/>
      <c r="L2564" s="232"/>
      <c r="M2564" s="232"/>
      <c r="N2564" s="232"/>
      <c r="O2564" s="232"/>
      <c r="P2564" s="232"/>
      <c r="Q2564" s="232"/>
      <c r="R2564" s="232"/>
      <c r="S2564" s="232"/>
      <c r="T2564" s="232"/>
      <c r="U2564" s="232"/>
      <c r="V2564" s="15"/>
      <c r="W2564" s="15"/>
      <c r="X2564" s="15"/>
      <c r="Y2564" s="15"/>
      <c r="Z2564" s="15"/>
      <c r="AA2564" s="15"/>
    </row>
    <row r="2565" spans="1:27" s="25" customFormat="1" ht="12" customHeight="1" x14ac:dyDescent="0.2">
      <c r="A2565" s="232"/>
      <c r="B2565" s="250"/>
      <c r="C2565" s="286"/>
      <c r="D2565" s="232"/>
      <c r="E2565" s="232"/>
      <c r="F2565" s="232"/>
      <c r="G2565" s="232"/>
      <c r="H2565" s="232"/>
      <c r="I2565" s="232"/>
      <c r="J2565" s="232"/>
      <c r="K2565" s="232"/>
      <c r="L2565" s="232"/>
      <c r="M2565" s="232"/>
      <c r="N2565" s="232"/>
      <c r="O2565" s="232"/>
      <c r="P2565" s="232"/>
      <c r="Q2565" s="232"/>
      <c r="R2565" s="232"/>
      <c r="S2565" s="232"/>
      <c r="T2565" s="232"/>
      <c r="U2565" s="232"/>
      <c r="V2565" s="15"/>
      <c r="W2565" s="15"/>
      <c r="X2565" s="15"/>
      <c r="Y2565" s="15"/>
      <c r="Z2565" s="15"/>
      <c r="AA2565" s="15"/>
    </row>
    <row r="2566" spans="1:27" s="25" customFormat="1" ht="12" customHeight="1" x14ac:dyDescent="0.2">
      <c r="A2566" s="232"/>
      <c r="B2566" s="250"/>
      <c r="C2566" s="286"/>
      <c r="D2566" s="232"/>
      <c r="E2566" s="232"/>
      <c r="F2566" s="232"/>
      <c r="G2566" s="232"/>
      <c r="H2566" s="232"/>
      <c r="I2566" s="232"/>
      <c r="J2566" s="232"/>
      <c r="K2566" s="232"/>
      <c r="L2566" s="232"/>
      <c r="M2566" s="232"/>
      <c r="N2566" s="232"/>
      <c r="O2566" s="232"/>
      <c r="P2566" s="232"/>
      <c r="Q2566" s="232"/>
      <c r="R2566" s="232"/>
      <c r="S2566" s="232"/>
      <c r="T2566" s="232"/>
      <c r="U2566" s="232"/>
      <c r="V2566" s="15"/>
      <c r="W2566" s="15"/>
      <c r="X2566" s="15"/>
      <c r="Y2566" s="15"/>
      <c r="Z2566" s="15"/>
      <c r="AA2566" s="15"/>
    </row>
    <row r="2567" spans="1:27" s="25" customFormat="1" ht="12" customHeight="1" x14ac:dyDescent="0.2">
      <c r="A2567" s="232"/>
      <c r="B2567" s="250"/>
      <c r="C2567" s="286"/>
      <c r="D2567" s="232"/>
      <c r="E2567" s="232"/>
      <c r="F2567" s="232"/>
      <c r="G2567" s="232"/>
      <c r="H2567" s="232"/>
      <c r="I2567" s="232"/>
      <c r="J2567" s="232"/>
      <c r="K2567" s="232"/>
      <c r="L2567" s="232"/>
      <c r="M2567" s="232"/>
      <c r="N2567" s="232"/>
      <c r="O2567" s="232"/>
      <c r="P2567" s="232"/>
      <c r="Q2567" s="232"/>
      <c r="R2567" s="232"/>
      <c r="S2567" s="232"/>
      <c r="T2567" s="232"/>
      <c r="U2567" s="232"/>
      <c r="V2567" s="15"/>
      <c r="W2567" s="15"/>
      <c r="X2567" s="15"/>
      <c r="Y2567" s="15"/>
      <c r="Z2567" s="15"/>
      <c r="AA2567" s="15"/>
    </row>
    <row r="2568" spans="1:27" s="25" customFormat="1" ht="12" customHeight="1" x14ac:dyDescent="0.2">
      <c r="A2568" s="232"/>
      <c r="B2568" s="250"/>
      <c r="C2568" s="286"/>
      <c r="D2568" s="232"/>
      <c r="E2568" s="232"/>
      <c r="F2568" s="232"/>
      <c r="G2568" s="232"/>
      <c r="H2568" s="232"/>
      <c r="I2568" s="232"/>
      <c r="J2568" s="232"/>
      <c r="K2568" s="232"/>
      <c r="L2568" s="232"/>
      <c r="M2568" s="232"/>
      <c r="N2568" s="232"/>
      <c r="O2568" s="232"/>
      <c r="P2568" s="232"/>
      <c r="Q2568" s="232"/>
      <c r="R2568" s="232"/>
      <c r="S2568" s="232"/>
      <c r="T2568" s="232"/>
      <c r="U2568" s="232"/>
      <c r="V2568" s="15"/>
      <c r="W2568" s="15"/>
      <c r="X2568" s="15"/>
      <c r="Y2568" s="15"/>
      <c r="Z2568" s="15"/>
      <c r="AA2568" s="15"/>
    </row>
    <row r="2569" spans="1:27" s="25" customFormat="1" ht="12" customHeight="1" x14ac:dyDescent="0.2">
      <c r="A2569" s="232"/>
      <c r="B2569" s="250"/>
      <c r="C2569" s="286"/>
      <c r="D2569" s="232"/>
      <c r="E2569" s="232"/>
      <c r="F2569" s="232"/>
      <c r="G2569" s="232"/>
      <c r="H2569" s="232"/>
      <c r="I2569" s="232"/>
      <c r="J2569" s="232"/>
      <c r="K2569" s="232"/>
      <c r="L2569" s="232"/>
      <c r="M2569" s="232"/>
      <c r="N2569" s="232"/>
      <c r="O2569" s="232"/>
      <c r="P2569" s="232"/>
      <c r="Q2569" s="232"/>
      <c r="R2569" s="232"/>
      <c r="S2569" s="232"/>
      <c r="T2569" s="232"/>
      <c r="U2569" s="232"/>
      <c r="V2569" s="15"/>
      <c r="W2569" s="15"/>
      <c r="X2569" s="15"/>
      <c r="Y2569" s="15"/>
      <c r="Z2569" s="15"/>
      <c r="AA2569" s="15"/>
    </row>
    <row r="2570" spans="1:27" s="25" customFormat="1" ht="12" customHeight="1" x14ac:dyDescent="0.2">
      <c r="A2570" s="232"/>
      <c r="B2570" s="250"/>
      <c r="C2570" s="286"/>
      <c r="D2570" s="232"/>
      <c r="E2570" s="232"/>
      <c r="F2570" s="232"/>
      <c r="G2570" s="232"/>
      <c r="H2570" s="232"/>
      <c r="I2570" s="232"/>
      <c r="J2570" s="232"/>
      <c r="K2570" s="232"/>
      <c r="L2570" s="232"/>
      <c r="M2570" s="232"/>
      <c r="N2570" s="232"/>
      <c r="O2570" s="232"/>
      <c r="P2570" s="232"/>
      <c r="Q2570" s="232"/>
      <c r="R2570" s="232"/>
      <c r="S2570" s="232"/>
      <c r="T2570" s="232"/>
      <c r="U2570" s="232"/>
      <c r="V2570" s="15"/>
      <c r="W2570" s="15"/>
      <c r="X2570" s="15"/>
      <c r="Y2570" s="15"/>
      <c r="Z2570" s="15"/>
      <c r="AA2570" s="15"/>
    </row>
    <row r="2571" spans="1:27" s="25" customFormat="1" ht="12" customHeight="1" x14ac:dyDescent="0.2">
      <c r="A2571" s="232"/>
      <c r="B2571" s="250"/>
      <c r="C2571" s="286"/>
      <c r="D2571" s="232"/>
      <c r="E2571" s="232"/>
      <c r="F2571" s="232"/>
      <c r="G2571" s="232"/>
      <c r="H2571" s="232"/>
      <c r="I2571" s="232"/>
      <c r="J2571" s="232"/>
      <c r="K2571" s="232"/>
      <c r="L2571" s="232"/>
      <c r="M2571" s="232"/>
      <c r="N2571" s="232"/>
      <c r="O2571" s="232"/>
      <c r="P2571" s="232"/>
      <c r="Q2571" s="232"/>
      <c r="R2571" s="232"/>
      <c r="S2571" s="232"/>
      <c r="T2571" s="232"/>
      <c r="U2571" s="232"/>
      <c r="V2571" s="15"/>
      <c r="W2571" s="15"/>
      <c r="X2571" s="15"/>
      <c r="Y2571" s="15"/>
      <c r="Z2571" s="15"/>
      <c r="AA2571" s="15"/>
    </row>
    <row r="2572" spans="1:27" s="25" customFormat="1" ht="12" customHeight="1" x14ac:dyDescent="0.2">
      <c r="A2572" s="232"/>
      <c r="B2572" s="250"/>
      <c r="C2572" s="286"/>
      <c r="D2572" s="232"/>
      <c r="E2572" s="232"/>
      <c r="F2572" s="232"/>
      <c r="G2572" s="232"/>
      <c r="H2572" s="232"/>
      <c r="I2572" s="232"/>
      <c r="J2572" s="232"/>
      <c r="K2572" s="232"/>
      <c r="L2572" s="232"/>
      <c r="M2572" s="232"/>
      <c r="N2572" s="232"/>
      <c r="O2572" s="232"/>
      <c r="P2572" s="232"/>
      <c r="Q2572" s="232"/>
      <c r="R2572" s="232"/>
      <c r="S2572" s="232"/>
      <c r="T2572" s="232"/>
      <c r="U2572" s="232"/>
      <c r="V2572" s="15"/>
      <c r="W2572" s="15"/>
      <c r="X2572" s="15"/>
      <c r="Y2572" s="15"/>
      <c r="Z2572" s="15"/>
      <c r="AA2572" s="15"/>
    </row>
    <row r="2573" spans="1:27" s="25" customFormat="1" ht="12" customHeight="1" x14ac:dyDescent="0.2">
      <c r="A2573" s="232"/>
      <c r="B2573" s="250"/>
      <c r="C2573" s="286"/>
      <c r="D2573" s="232"/>
      <c r="E2573" s="232"/>
      <c r="F2573" s="232"/>
      <c r="G2573" s="232"/>
      <c r="H2573" s="232"/>
      <c r="I2573" s="232"/>
      <c r="J2573" s="232"/>
      <c r="K2573" s="232"/>
      <c r="L2573" s="232"/>
      <c r="M2573" s="232"/>
      <c r="N2573" s="232"/>
      <c r="O2573" s="232"/>
      <c r="P2573" s="232"/>
      <c r="Q2573" s="232"/>
      <c r="R2573" s="232"/>
      <c r="S2573" s="232"/>
      <c r="T2573" s="232"/>
      <c r="U2573" s="232"/>
      <c r="V2573" s="15"/>
      <c r="W2573" s="15"/>
      <c r="X2573" s="15"/>
      <c r="Y2573" s="15"/>
      <c r="Z2573" s="15"/>
      <c r="AA2573" s="15"/>
    </row>
    <row r="2574" spans="1:27" s="25" customFormat="1" ht="12" customHeight="1" x14ac:dyDescent="0.2">
      <c r="A2574" s="232"/>
      <c r="B2574" s="250"/>
      <c r="C2574" s="286"/>
      <c r="D2574" s="232"/>
      <c r="E2574" s="232"/>
      <c r="F2574" s="232"/>
      <c r="G2574" s="232"/>
      <c r="H2574" s="232"/>
      <c r="I2574" s="232"/>
      <c r="J2574" s="232"/>
      <c r="K2574" s="232"/>
      <c r="L2574" s="232"/>
      <c r="M2574" s="232"/>
      <c r="N2574" s="232"/>
      <c r="O2574" s="232"/>
      <c r="P2574" s="232"/>
      <c r="Q2574" s="232"/>
      <c r="R2574" s="232"/>
      <c r="S2574" s="232"/>
      <c r="T2574" s="232"/>
      <c r="U2574" s="232"/>
      <c r="V2574" s="15"/>
      <c r="W2574" s="15"/>
      <c r="X2574" s="15"/>
      <c r="Y2574" s="15"/>
      <c r="Z2574" s="15"/>
      <c r="AA2574" s="15"/>
    </row>
    <row r="2575" spans="1:27" s="25" customFormat="1" ht="12" customHeight="1" x14ac:dyDescent="0.2">
      <c r="A2575" s="232"/>
      <c r="B2575" s="250"/>
      <c r="C2575" s="286"/>
      <c r="D2575" s="232"/>
      <c r="E2575" s="232"/>
      <c r="F2575" s="232"/>
      <c r="G2575" s="232"/>
      <c r="H2575" s="232"/>
      <c r="I2575" s="232"/>
      <c r="J2575" s="232"/>
      <c r="K2575" s="232"/>
      <c r="L2575" s="232"/>
      <c r="M2575" s="232"/>
      <c r="N2575" s="232"/>
      <c r="O2575" s="232"/>
      <c r="P2575" s="232"/>
      <c r="Q2575" s="232"/>
      <c r="R2575" s="232"/>
      <c r="S2575" s="232"/>
      <c r="T2575" s="232"/>
      <c r="U2575" s="232"/>
      <c r="V2575" s="15"/>
      <c r="W2575" s="15"/>
      <c r="X2575" s="15"/>
      <c r="Y2575" s="15"/>
      <c r="Z2575" s="15"/>
      <c r="AA2575" s="15"/>
    </row>
    <row r="2576" spans="1:27" s="25" customFormat="1" ht="12" customHeight="1" x14ac:dyDescent="0.2">
      <c r="A2576" s="232"/>
      <c r="B2576" s="250"/>
      <c r="C2576" s="286"/>
      <c r="D2576" s="232"/>
      <c r="E2576" s="232"/>
      <c r="F2576" s="232"/>
      <c r="G2576" s="232"/>
      <c r="H2576" s="232"/>
      <c r="I2576" s="232"/>
      <c r="J2576" s="232"/>
      <c r="K2576" s="232"/>
      <c r="L2576" s="232"/>
      <c r="M2576" s="232"/>
      <c r="N2576" s="232"/>
      <c r="O2576" s="232"/>
      <c r="P2576" s="232"/>
      <c r="Q2576" s="232"/>
      <c r="R2576" s="232"/>
      <c r="S2576" s="232"/>
      <c r="T2576" s="232"/>
      <c r="U2576" s="232"/>
      <c r="V2576" s="15"/>
      <c r="W2576" s="15"/>
      <c r="X2576" s="15"/>
      <c r="Y2576" s="15"/>
      <c r="Z2576" s="15"/>
      <c r="AA2576" s="15"/>
    </row>
    <row r="2577" spans="1:27" s="25" customFormat="1" ht="12" customHeight="1" x14ac:dyDescent="0.2">
      <c r="A2577" s="232"/>
      <c r="B2577" s="250"/>
      <c r="C2577" s="286"/>
      <c r="D2577" s="232"/>
      <c r="E2577" s="232"/>
      <c r="F2577" s="232"/>
      <c r="G2577" s="232"/>
      <c r="H2577" s="232"/>
      <c r="I2577" s="232"/>
      <c r="J2577" s="232"/>
      <c r="K2577" s="232"/>
      <c r="L2577" s="232"/>
      <c r="M2577" s="232"/>
      <c r="N2577" s="232"/>
      <c r="O2577" s="232"/>
      <c r="P2577" s="232"/>
      <c r="Q2577" s="232"/>
      <c r="R2577" s="232"/>
      <c r="S2577" s="232"/>
      <c r="T2577" s="232"/>
      <c r="U2577" s="232"/>
      <c r="V2577" s="15"/>
      <c r="W2577" s="15"/>
      <c r="X2577" s="15"/>
      <c r="Y2577" s="15"/>
      <c r="Z2577" s="15"/>
      <c r="AA2577" s="15"/>
    </row>
    <row r="2578" spans="1:27" s="25" customFormat="1" ht="12" customHeight="1" x14ac:dyDescent="0.2">
      <c r="A2578" s="232"/>
      <c r="B2578" s="250"/>
      <c r="C2578" s="286"/>
      <c r="D2578" s="232"/>
      <c r="E2578" s="232"/>
      <c r="F2578" s="232"/>
      <c r="G2578" s="232"/>
      <c r="H2578" s="232"/>
      <c r="I2578" s="232"/>
      <c r="J2578" s="232"/>
      <c r="K2578" s="232"/>
      <c r="L2578" s="232"/>
      <c r="M2578" s="232"/>
      <c r="N2578" s="232"/>
      <c r="O2578" s="232"/>
      <c r="P2578" s="232"/>
      <c r="Q2578" s="232"/>
      <c r="R2578" s="232"/>
      <c r="S2578" s="232"/>
      <c r="T2578" s="232"/>
      <c r="U2578" s="232"/>
      <c r="V2578" s="15"/>
      <c r="W2578" s="15"/>
      <c r="X2578" s="15"/>
      <c r="Y2578" s="15"/>
      <c r="Z2578" s="15"/>
      <c r="AA2578" s="15"/>
    </row>
    <row r="2579" spans="1:27" s="25" customFormat="1" ht="12" customHeight="1" x14ac:dyDescent="0.2">
      <c r="A2579" s="232"/>
      <c r="B2579" s="250"/>
      <c r="C2579" s="286"/>
      <c r="D2579" s="232"/>
      <c r="E2579" s="232"/>
      <c r="F2579" s="232"/>
      <c r="G2579" s="232"/>
      <c r="H2579" s="232"/>
      <c r="I2579" s="232"/>
      <c r="J2579" s="232"/>
      <c r="K2579" s="232"/>
      <c r="L2579" s="232"/>
      <c r="M2579" s="232"/>
      <c r="N2579" s="232"/>
      <c r="O2579" s="232"/>
      <c r="P2579" s="232"/>
      <c r="Q2579" s="232"/>
      <c r="R2579" s="232"/>
      <c r="S2579" s="232"/>
      <c r="T2579" s="232"/>
      <c r="U2579" s="232"/>
      <c r="V2579" s="15"/>
      <c r="W2579" s="15"/>
      <c r="X2579" s="15"/>
      <c r="Y2579" s="15"/>
      <c r="Z2579" s="15"/>
      <c r="AA2579" s="15"/>
    </row>
    <row r="2580" spans="1:27" s="25" customFormat="1" ht="12" customHeight="1" x14ac:dyDescent="0.2">
      <c r="A2580" s="232"/>
      <c r="B2580" s="250"/>
      <c r="C2580" s="286"/>
      <c r="D2580" s="232"/>
      <c r="E2580" s="232"/>
      <c r="F2580" s="232"/>
      <c r="G2580" s="232"/>
      <c r="H2580" s="232"/>
      <c r="I2580" s="232"/>
      <c r="J2580" s="232"/>
      <c r="K2580" s="232"/>
      <c r="L2580" s="232"/>
      <c r="M2580" s="232"/>
      <c r="N2580" s="232"/>
      <c r="O2580" s="232"/>
      <c r="P2580" s="232"/>
      <c r="Q2580" s="232"/>
      <c r="R2580" s="232"/>
      <c r="S2580" s="232"/>
      <c r="T2580" s="232"/>
      <c r="U2580" s="232"/>
      <c r="V2580" s="15"/>
      <c r="W2580" s="15"/>
      <c r="X2580" s="15"/>
      <c r="Y2580" s="15"/>
      <c r="Z2580" s="15"/>
      <c r="AA2580" s="15"/>
    </row>
    <row r="2581" spans="1:27" s="25" customFormat="1" ht="12" customHeight="1" x14ac:dyDescent="0.2">
      <c r="A2581" s="232"/>
      <c r="B2581" s="250"/>
      <c r="C2581" s="286"/>
      <c r="D2581" s="232"/>
      <c r="E2581" s="232"/>
      <c r="F2581" s="232"/>
      <c r="G2581" s="232"/>
      <c r="H2581" s="232"/>
      <c r="I2581" s="232"/>
      <c r="J2581" s="232"/>
      <c r="K2581" s="232"/>
      <c r="L2581" s="232"/>
      <c r="M2581" s="232"/>
      <c r="N2581" s="232"/>
      <c r="O2581" s="232"/>
      <c r="P2581" s="232"/>
      <c r="Q2581" s="232"/>
      <c r="R2581" s="232"/>
      <c r="S2581" s="232"/>
      <c r="T2581" s="232"/>
      <c r="U2581" s="232"/>
      <c r="V2581" s="15"/>
      <c r="W2581" s="15"/>
      <c r="X2581" s="15"/>
      <c r="Y2581" s="15"/>
      <c r="Z2581" s="15"/>
      <c r="AA2581" s="15"/>
    </row>
    <row r="2582" spans="1:27" s="25" customFormat="1" ht="12" customHeight="1" x14ac:dyDescent="0.2">
      <c r="A2582" s="232"/>
      <c r="B2582" s="250"/>
      <c r="C2582" s="286"/>
      <c r="D2582" s="232"/>
      <c r="E2582" s="232"/>
      <c r="F2582" s="232"/>
      <c r="G2582" s="232"/>
      <c r="H2582" s="232"/>
      <c r="I2582" s="232"/>
      <c r="J2582" s="232"/>
      <c r="K2582" s="232"/>
      <c r="L2582" s="232"/>
      <c r="M2582" s="232"/>
      <c r="N2582" s="232"/>
      <c r="O2582" s="232"/>
      <c r="P2582" s="232"/>
      <c r="Q2582" s="232"/>
      <c r="R2582" s="232"/>
      <c r="S2582" s="232"/>
      <c r="T2582" s="232"/>
      <c r="U2582" s="232"/>
      <c r="V2582" s="15"/>
      <c r="W2582" s="15"/>
      <c r="X2582" s="15"/>
      <c r="Y2582" s="15"/>
      <c r="Z2582" s="15"/>
      <c r="AA2582" s="15"/>
    </row>
    <row r="2583" spans="1:27" s="25" customFormat="1" ht="12" customHeight="1" x14ac:dyDescent="0.2">
      <c r="A2583" s="232"/>
      <c r="B2583" s="250"/>
      <c r="C2583" s="286"/>
      <c r="D2583" s="232"/>
      <c r="E2583" s="232"/>
      <c r="F2583" s="232"/>
      <c r="G2583" s="232"/>
      <c r="H2583" s="232"/>
      <c r="I2583" s="232"/>
      <c r="J2583" s="232"/>
      <c r="K2583" s="232"/>
      <c r="L2583" s="232"/>
      <c r="M2583" s="232"/>
      <c r="N2583" s="232"/>
      <c r="O2583" s="232"/>
      <c r="P2583" s="232"/>
      <c r="Q2583" s="232"/>
      <c r="R2583" s="232"/>
      <c r="S2583" s="232"/>
      <c r="T2583" s="232"/>
      <c r="U2583" s="232"/>
      <c r="V2583" s="15"/>
      <c r="W2583" s="15"/>
      <c r="X2583" s="15"/>
      <c r="Y2583" s="15"/>
      <c r="Z2583" s="15"/>
      <c r="AA2583" s="15"/>
    </row>
    <row r="2584" spans="1:27" s="25" customFormat="1" ht="12" customHeight="1" x14ac:dyDescent="0.2">
      <c r="A2584" s="232"/>
      <c r="B2584" s="250"/>
      <c r="C2584" s="286"/>
      <c r="D2584" s="232"/>
      <c r="E2584" s="232"/>
      <c r="F2584" s="232"/>
      <c r="G2584" s="232"/>
      <c r="H2584" s="232"/>
      <c r="I2584" s="232"/>
      <c r="J2584" s="232"/>
      <c r="K2584" s="232"/>
      <c r="L2584" s="232"/>
      <c r="M2584" s="232"/>
      <c r="N2584" s="232"/>
      <c r="O2584" s="232"/>
      <c r="P2584" s="232"/>
      <c r="Q2584" s="232"/>
      <c r="R2584" s="232"/>
      <c r="S2584" s="232"/>
      <c r="T2584" s="232"/>
      <c r="U2584" s="232"/>
      <c r="V2584" s="15"/>
      <c r="W2584" s="15"/>
      <c r="X2584" s="15"/>
      <c r="Y2584" s="15"/>
      <c r="Z2584" s="15"/>
      <c r="AA2584" s="15"/>
    </row>
    <row r="2585" spans="1:27" s="25" customFormat="1" ht="12" customHeight="1" x14ac:dyDescent="0.2">
      <c r="A2585" s="232"/>
      <c r="B2585" s="250"/>
      <c r="C2585" s="286"/>
      <c r="D2585" s="232"/>
      <c r="E2585" s="232"/>
      <c r="F2585" s="232"/>
      <c r="G2585" s="232"/>
      <c r="H2585" s="232"/>
      <c r="I2585" s="232"/>
      <c r="J2585" s="232"/>
      <c r="K2585" s="232"/>
      <c r="L2585" s="232"/>
      <c r="M2585" s="232"/>
      <c r="N2585" s="232"/>
      <c r="O2585" s="232"/>
      <c r="P2585" s="232"/>
      <c r="Q2585" s="232"/>
      <c r="R2585" s="232"/>
      <c r="S2585" s="232"/>
      <c r="T2585" s="232"/>
      <c r="U2585" s="232"/>
      <c r="V2585" s="15"/>
      <c r="W2585" s="15"/>
      <c r="X2585" s="15"/>
      <c r="Y2585" s="15"/>
      <c r="Z2585" s="15"/>
      <c r="AA2585" s="15"/>
    </row>
    <row r="2586" spans="1:27" s="25" customFormat="1" ht="12" customHeight="1" x14ac:dyDescent="0.2">
      <c r="A2586" s="232"/>
      <c r="B2586" s="250"/>
      <c r="C2586" s="286"/>
      <c r="D2586" s="232"/>
      <c r="E2586" s="232"/>
      <c r="F2586" s="232"/>
      <c r="G2586" s="232"/>
      <c r="H2586" s="232"/>
      <c r="I2586" s="232"/>
      <c r="J2586" s="232"/>
      <c r="K2586" s="232"/>
      <c r="L2586" s="232"/>
      <c r="M2586" s="232"/>
      <c r="N2586" s="232"/>
      <c r="O2586" s="232"/>
      <c r="P2586" s="232"/>
      <c r="Q2586" s="232"/>
      <c r="R2586" s="232"/>
      <c r="S2586" s="232"/>
      <c r="T2586" s="232"/>
      <c r="U2586" s="232"/>
      <c r="V2586" s="15"/>
      <c r="W2586" s="15"/>
      <c r="X2586" s="15"/>
      <c r="Y2586" s="15"/>
      <c r="Z2586" s="15"/>
      <c r="AA2586" s="15"/>
    </row>
    <row r="2587" spans="1:27" s="25" customFormat="1" ht="12" customHeight="1" x14ac:dyDescent="0.2">
      <c r="A2587" s="232"/>
      <c r="B2587" s="250"/>
      <c r="C2587" s="286"/>
      <c r="D2587" s="232"/>
      <c r="E2587" s="232"/>
      <c r="F2587" s="232"/>
      <c r="G2587" s="232"/>
      <c r="H2587" s="232"/>
      <c r="I2587" s="232"/>
      <c r="J2587" s="232"/>
      <c r="K2587" s="232"/>
      <c r="L2587" s="232"/>
      <c r="M2587" s="232"/>
      <c r="N2587" s="232"/>
      <c r="O2587" s="232"/>
      <c r="P2587" s="232"/>
      <c r="Q2587" s="232"/>
      <c r="R2587" s="232"/>
      <c r="S2587" s="232"/>
      <c r="T2587" s="232"/>
      <c r="U2587" s="232"/>
      <c r="V2587" s="15"/>
      <c r="W2587" s="15"/>
      <c r="X2587" s="15"/>
      <c r="Y2587" s="15"/>
      <c r="Z2587" s="15"/>
      <c r="AA2587" s="15"/>
    </row>
    <row r="2588" spans="1:27" s="25" customFormat="1" ht="12" customHeight="1" x14ac:dyDescent="0.2">
      <c r="A2588" s="232"/>
      <c r="B2588" s="250"/>
      <c r="C2588" s="286"/>
      <c r="D2588" s="232"/>
      <c r="E2588" s="232"/>
      <c r="F2588" s="232"/>
      <c r="G2588" s="232"/>
      <c r="H2588" s="232"/>
      <c r="I2588" s="232"/>
      <c r="J2588" s="232"/>
      <c r="K2588" s="232"/>
      <c r="L2588" s="232"/>
      <c r="M2588" s="232"/>
      <c r="N2588" s="232"/>
      <c r="O2588" s="232"/>
      <c r="P2588" s="232"/>
      <c r="Q2588" s="232"/>
      <c r="R2588" s="232"/>
      <c r="S2588" s="232"/>
      <c r="T2588" s="232"/>
      <c r="U2588" s="232"/>
      <c r="V2588" s="15"/>
      <c r="W2588" s="15"/>
      <c r="X2588" s="15"/>
      <c r="Y2588" s="15"/>
      <c r="Z2588" s="15"/>
      <c r="AA2588" s="15"/>
    </row>
    <row r="2589" spans="1:27" s="25" customFormat="1" ht="12" customHeight="1" x14ac:dyDescent="0.2">
      <c r="A2589" s="232"/>
      <c r="B2589" s="250"/>
      <c r="C2589" s="286"/>
      <c r="D2589" s="232"/>
      <c r="E2589" s="232"/>
      <c r="F2589" s="232"/>
      <c r="G2589" s="232"/>
      <c r="H2589" s="232"/>
      <c r="I2589" s="232"/>
      <c r="J2589" s="232"/>
      <c r="K2589" s="232"/>
      <c r="L2589" s="232"/>
      <c r="M2589" s="232"/>
      <c r="N2589" s="232"/>
      <c r="O2589" s="232"/>
      <c r="P2589" s="232"/>
      <c r="Q2589" s="232"/>
      <c r="R2589" s="232"/>
      <c r="S2589" s="232"/>
      <c r="T2589" s="232"/>
      <c r="U2589" s="232"/>
      <c r="V2589" s="15"/>
      <c r="W2589" s="15"/>
      <c r="X2589" s="15"/>
      <c r="Y2589" s="15"/>
      <c r="Z2589" s="15"/>
      <c r="AA2589" s="15"/>
    </row>
    <row r="2590" spans="1:27" s="25" customFormat="1" ht="12" customHeight="1" x14ac:dyDescent="0.2">
      <c r="A2590" s="232"/>
      <c r="B2590" s="250"/>
      <c r="C2590" s="286"/>
      <c r="D2590" s="232"/>
      <c r="E2590" s="232"/>
      <c r="F2590" s="232"/>
      <c r="G2590" s="232"/>
      <c r="H2590" s="232"/>
      <c r="I2590" s="232"/>
      <c r="J2590" s="232"/>
      <c r="K2590" s="232"/>
      <c r="L2590" s="232"/>
      <c r="M2590" s="232"/>
      <c r="N2590" s="232"/>
      <c r="O2590" s="232"/>
      <c r="P2590" s="232"/>
      <c r="Q2590" s="232"/>
      <c r="R2590" s="232"/>
      <c r="S2590" s="232"/>
      <c r="T2590" s="232"/>
      <c r="U2590" s="232"/>
      <c r="V2590" s="15"/>
      <c r="W2590" s="15"/>
      <c r="X2590" s="15"/>
      <c r="Y2590" s="15"/>
      <c r="Z2590" s="15"/>
      <c r="AA2590" s="15"/>
    </row>
    <row r="2591" spans="1:27" s="25" customFormat="1" ht="12" customHeight="1" x14ac:dyDescent="0.2">
      <c r="A2591" s="232"/>
      <c r="B2591" s="250"/>
      <c r="C2591" s="286"/>
      <c r="D2591" s="232"/>
      <c r="E2591" s="232"/>
      <c r="F2591" s="232"/>
      <c r="G2591" s="232"/>
      <c r="H2591" s="232"/>
      <c r="I2591" s="232"/>
      <c r="J2591" s="232"/>
      <c r="K2591" s="232"/>
      <c r="L2591" s="232"/>
      <c r="M2591" s="232"/>
      <c r="N2591" s="232"/>
      <c r="O2591" s="232"/>
      <c r="P2591" s="232"/>
      <c r="Q2591" s="232"/>
      <c r="R2591" s="232"/>
      <c r="S2591" s="232"/>
      <c r="T2591" s="232"/>
      <c r="U2591" s="232"/>
      <c r="V2591" s="15"/>
      <c r="W2591" s="15"/>
      <c r="X2591" s="15"/>
      <c r="Y2591" s="15"/>
      <c r="Z2591" s="15"/>
      <c r="AA2591" s="15"/>
    </row>
    <row r="2592" spans="1:27" s="25" customFormat="1" ht="12" customHeight="1" x14ac:dyDescent="0.2">
      <c r="A2592" s="232"/>
      <c r="B2592" s="250"/>
      <c r="C2592" s="286"/>
      <c r="D2592" s="232"/>
      <c r="E2592" s="232"/>
      <c r="F2592" s="232"/>
      <c r="G2592" s="232"/>
      <c r="H2592" s="232"/>
      <c r="I2592" s="232"/>
      <c r="J2592" s="232"/>
      <c r="K2592" s="232"/>
      <c r="L2592" s="232"/>
      <c r="M2592" s="232"/>
      <c r="N2592" s="232"/>
      <c r="O2592" s="232"/>
      <c r="P2592" s="232"/>
      <c r="Q2592" s="232"/>
      <c r="R2592" s="232"/>
      <c r="S2592" s="232"/>
      <c r="T2592" s="232"/>
      <c r="U2592" s="232"/>
      <c r="V2592" s="15"/>
      <c r="W2592" s="15"/>
      <c r="X2592" s="15"/>
      <c r="Y2592" s="15"/>
      <c r="Z2592" s="15"/>
      <c r="AA2592" s="15"/>
    </row>
    <row r="2593" spans="1:27" s="25" customFormat="1" ht="12" customHeight="1" x14ac:dyDescent="0.2">
      <c r="A2593" s="232"/>
      <c r="B2593" s="250"/>
      <c r="C2593" s="286"/>
      <c r="D2593" s="232"/>
      <c r="E2593" s="232"/>
      <c r="F2593" s="232"/>
      <c r="G2593" s="232"/>
      <c r="H2593" s="232"/>
      <c r="I2593" s="232"/>
      <c r="J2593" s="232"/>
      <c r="K2593" s="232"/>
      <c r="L2593" s="232"/>
      <c r="M2593" s="232"/>
      <c r="N2593" s="232"/>
      <c r="O2593" s="232"/>
      <c r="P2593" s="232"/>
      <c r="Q2593" s="232"/>
      <c r="R2593" s="232"/>
      <c r="S2593" s="232"/>
      <c r="T2593" s="232"/>
      <c r="U2593" s="232"/>
      <c r="V2593" s="15"/>
      <c r="W2593" s="15"/>
      <c r="X2593" s="15"/>
      <c r="Y2593" s="15"/>
      <c r="Z2593" s="15"/>
      <c r="AA2593" s="15"/>
    </row>
    <row r="2594" spans="1:27" s="25" customFormat="1" ht="12" customHeight="1" x14ac:dyDescent="0.2">
      <c r="A2594" s="232"/>
      <c r="B2594" s="250"/>
      <c r="C2594" s="286"/>
      <c r="D2594" s="232"/>
      <c r="E2594" s="232"/>
      <c r="F2594" s="232"/>
      <c r="G2594" s="232"/>
      <c r="H2594" s="232"/>
      <c r="I2594" s="232"/>
      <c r="J2594" s="232"/>
      <c r="K2594" s="232"/>
      <c r="L2594" s="232"/>
      <c r="M2594" s="232"/>
      <c r="N2594" s="232"/>
      <c r="O2594" s="232"/>
      <c r="P2594" s="232"/>
      <c r="Q2594" s="232"/>
      <c r="R2594" s="232"/>
      <c r="S2594" s="232"/>
      <c r="T2594" s="232"/>
      <c r="U2594" s="232"/>
      <c r="V2594" s="15"/>
      <c r="W2594" s="15"/>
      <c r="X2594" s="15"/>
      <c r="Y2594" s="15"/>
      <c r="Z2594" s="15"/>
      <c r="AA2594" s="15"/>
    </row>
    <row r="2595" spans="1:27" s="25" customFormat="1" ht="12" customHeight="1" x14ac:dyDescent="0.2">
      <c r="A2595" s="232"/>
      <c r="B2595" s="250"/>
      <c r="C2595" s="286"/>
      <c r="D2595" s="232"/>
      <c r="E2595" s="232"/>
      <c r="F2595" s="232"/>
      <c r="G2595" s="232"/>
      <c r="H2595" s="232"/>
      <c r="I2595" s="232"/>
      <c r="J2595" s="232"/>
      <c r="K2595" s="232"/>
      <c r="L2595" s="232"/>
      <c r="M2595" s="232"/>
      <c r="N2595" s="232"/>
      <c r="O2595" s="232"/>
      <c r="P2595" s="232"/>
      <c r="Q2595" s="232"/>
      <c r="R2595" s="232"/>
      <c r="S2595" s="232"/>
      <c r="T2595" s="232"/>
      <c r="U2595" s="232"/>
      <c r="V2595" s="15"/>
      <c r="W2595" s="15"/>
      <c r="X2595" s="15"/>
      <c r="Y2595" s="15"/>
      <c r="Z2595" s="15"/>
      <c r="AA2595" s="15"/>
    </row>
    <row r="2596" spans="1:27" s="25" customFormat="1" ht="12" customHeight="1" x14ac:dyDescent="0.2">
      <c r="A2596" s="232"/>
      <c r="B2596" s="250"/>
      <c r="C2596" s="286"/>
      <c r="D2596" s="232"/>
      <c r="E2596" s="232"/>
      <c r="F2596" s="232"/>
      <c r="G2596" s="232"/>
      <c r="H2596" s="232"/>
      <c r="I2596" s="232"/>
      <c r="J2596" s="232"/>
      <c r="K2596" s="232"/>
      <c r="L2596" s="232"/>
      <c r="M2596" s="232"/>
      <c r="N2596" s="232"/>
      <c r="O2596" s="232"/>
      <c r="P2596" s="232"/>
      <c r="Q2596" s="232"/>
      <c r="R2596" s="232"/>
      <c r="S2596" s="232"/>
      <c r="T2596" s="232"/>
      <c r="U2596" s="232"/>
      <c r="V2596" s="15"/>
      <c r="W2596" s="15"/>
      <c r="X2596" s="15"/>
      <c r="Y2596" s="15"/>
      <c r="Z2596" s="15"/>
      <c r="AA2596" s="15"/>
    </row>
    <row r="2597" spans="1:27" s="25" customFormat="1" ht="12" customHeight="1" x14ac:dyDescent="0.2">
      <c r="A2597" s="232"/>
      <c r="B2597" s="250"/>
      <c r="C2597" s="286"/>
      <c r="D2597" s="232"/>
      <c r="E2597" s="232"/>
      <c r="F2597" s="232"/>
      <c r="G2597" s="232"/>
      <c r="H2597" s="232"/>
      <c r="I2597" s="232"/>
      <c r="J2597" s="232"/>
      <c r="K2597" s="232"/>
      <c r="L2597" s="232"/>
      <c r="M2597" s="232"/>
      <c r="N2597" s="232"/>
      <c r="O2597" s="232"/>
      <c r="P2597" s="232"/>
      <c r="Q2597" s="232"/>
      <c r="R2597" s="232"/>
      <c r="S2597" s="232"/>
      <c r="T2597" s="232"/>
      <c r="U2597" s="232"/>
      <c r="V2597" s="15"/>
      <c r="W2597" s="15"/>
      <c r="X2597" s="15"/>
      <c r="Y2597" s="15"/>
      <c r="Z2597" s="15"/>
      <c r="AA2597" s="15"/>
    </row>
    <row r="2598" spans="1:27" s="25" customFormat="1" ht="12" customHeight="1" x14ac:dyDescent="0.2">
      <c r="A2598" s="232"/>
      <c r="B2598" s="250"/>
      <c r="C2598" s="286"/>
      <c r="D2598" s="232"/>
      <c r="E2598" s="232"/>
      <c r="F2598" s="232"/>
      <c r="G2598" s="232"/>
      <c r="H2598" s="232"/>
      <c r="I2598" s="232"/>
      <c r="J2598" s="232"/>
      <c r="K2598" s="232"/>
      <c r="L2598" s="232"/>
      <c r="M2598" s="232"/>
      <c r="N2598" s="232"/>
      <c r="O2598" s="232"/>
      <c r="P2598" s="232"/>
      <c r="Q2598" s="232"/>
      <c r="R2598" s="232"/>
      <c r="S2598" s="232"/>
      <c r="T2598" s="232"/>
      <c r="U2598" s="232"/>
      <c r="V2598" s="15"/>
      <c r="W2598" s="15"/>
      <c r="X2598" s="15"/>
      <c r="Y2598" s="15"/>
      <c r="Z2598" s="15"/>
      <c r="AA2598" s="15"/>
    </row>
    <row r="2599" spans="1:27" s="25" customFormat="1" ht="12" customHeight="1" x14ac:dyDescent="0.2">
      <c r="A2599" s="232"/>
      <c r="B2599" s="250"/>
      <c r="C2599" s="286"/>
      <c r="D2599" s="232"/>
      <c r="E2599" s="232"/>
      <c r="F2599" s="232"/>
      <c r="G2599" s="232"/>
      <c r="H2599" s="232"/>
      <c r="I2599" s="232"/>
      <c r="J2599" s="232"/>
      <c r="K2599" s="232"/>
      <c r="L2599" s="232"/>
      <c r="M2599" s="232"/>
      <c r="N2599" s="232"/>
      <c r="O2599" s="232"/>
      <c r="P2599" s="232"/>
      <c r="Q2599" s="232"/>
      <c r="R2599" s="232"/>
      <c r="S2599" s="232"/>
      <c r="T2599" s="232"/>
      <c r="U2599" s="232"/>
      <c r="V2599" s="15"/>
      <c r="W2599" s="15"/>
      <c r="X2599" s="15"/>
      <c r="Y2599" s="15"/>
      <c r="Z2599" s="15"/>
      <c r="AA2599" s="15"/>
    </row>
    <row r="2600" spans="1:27" s="25" customFormat="1" ht="12" customHeight="1" x14ac:dyDescent="0.2">
      <c r="A2600" s="232"/>
      <c r="B2600" s="250"/>
      <c r="C2600" s="286"/>
      <c r="D2600" s="232"/>
      <c r="E2600" s="232"/>
      <c r="F2600" s="232"/>
      <c r="G2600" s="232"/>
      <c r="H2600" s="232"/>
      <c r="I2600" s="232"/>
      <c r="J2600" s="232"/>
      <c r="K2600" s="232"/>
      <c r="L2600" s="232"/>
      <c r="M2600" s="232"/>
      <c r="N2600" s="232"/>
      <c r="O2600" s="232"/>
      <c r="P2600" s="232"/>
      <c r="Q2600" s="232"/>
      <c r="R2600" s="232"/>
      <c r="S2600" s="232"/>
      <c r="T2600" s="232"/>
      <c r="U2600" s="232"/>
      <c r="V2600" s="15"/>
      <c r="W2600" s="15"/>
      <c r="X2600" s="15"/>
      <c r="Y2600" s="15"/>
      <c r="Z2600" s="15"/>
      <c r="AA2600" s="15"/>
    </row>
    <row r="2601" spans="1:27" s="25" customFormat="1" ht="12" customHeight="1" x14ac:dyDescent="0.2">
      <c r="A2601" s="232"/>
      <c r="B2601" s="250"/>
      <c r="C2601" s="286"/>
      <c r="D2601" s="232"/>
      <c r="E2601" s="232"/>
      <c r="F2601" s="232"/>
      <c r="G2601" s="232"/>
      <c r="H2601" s="232"/>
      <c r="I2601" s="232"/>
      <c r="J2601" s="232"/>
      <c r="K2601" s="232"/>
      <c r="L2601" s="232"/>
      <c r="M2601" s="232"/>
      <c r="N2601" s="232"/>
      <c r="O2601" s="232"/>
      <c r="P2601" s="232"/>
      <c r="Q2601" s="232"/>
      <c r="R2601" s="232"/>
      <c r="S2601" s="232"/>
      <c r="T2601" s="232"/>
      <c r="U2601" s="232"/>
      <c r="V2601" s="15"/>
      <c r="W2601" s="15"/>
      <c r="X2601" s="15"/>
      <c r="Y2601" s="15"/>
      <c r="Z2601" s="15"/>
      <c r="AA2601" s="15"/>
    </row>
    <row r="2602" spans="1:27" s="25" customFormat="1" ht="12" customHeight="1" x14ac:dyDescent="0.2">
      <c r="A2602" s="232"/>
      <c r="B2602" s="250"/>
      <c r="C2602" s="286"/>
      <c r="D2602" s="232"/>
      <c r="E2602" s="232"/>
      <c r="F2602" s="232"/>
      <c r="G2602" s="232"/>
      <c r="H2602" s="232"/>
      <c r="I2602" s="232"/>
      <c r="J2602" s="232"/>
      <c r="K2602" s="232"/>
      <c r="L2602" s="232"/>
      <c r="M2602" s="232"/>
      <c r="N2602" s="232"/>
      <c r="O2602" s="232"/>
      <c r="P2602" s="232"/>
      <c r="Q2602" s="232"/>
      <c r="R2602" s="232"/>
      <c r="S2602" s="232"/>
      <c r="T2602" s="232"/>
      <c r="U2602" s="232"/>
      <c r="V2602" s="15"/>
      <c r="W2602" s="15"/>
      <c r="X2602" s="15"/>
      <c r="Y2602" s="15"/>
      <c r="Z2602" s="15"/>
      <c r="AA2602" s="15"/>
    </row>
    <row r="2603" spans="1:27" s="25" customFormat="1" ht="12" customHeight="1" x14ac:dyDescent="0.2">
      <c r="A2603" s="232"/>
      <c r="B2603" s="250"/>
      <c r="C2603" s="286"/>
      <c r="D2603" s="232"/>
      <c r="E2603" s="232"/>
      <c r="F2603" s="232"/>
      <c r="G2603" s="232"/>
      <c r="H2603" s="232"/>
      <c r="I2603" s="232"/>
      <c r="J2603" s="232"/>
      <c r="K2603" s="232"/>
      <c r="L2603" s="232"/>
      <c r="M2603" s="232"/>
      <c r="N2603" s="232"/>
      <c r="O2603" s="232"/>
      <c r="P2603" s="232"/>
      <c r="Q2603" s="232"/>
      <c r="R2603" s="232"/>
      <c r="S2603" s="232"/>
      <c r="T2603" s="232"/>
      <c r="U2603" s="232"/>
      <c r="V2603" s="15"/>
      <c r="W2603" s="15"/>
      <c r="X2603" s="15"/>
      <c r="Y2603" s="15"/>
      <c r="Z2603" s="15"/>
      <c r="AA2603" s="15"/>
    </row>
    <row r="2604" spans="1:27" s="25" customFormat="1" ht="12" customHeight="1" x14ac:dyDescent="0.2">
      <c r="A2604" s="232"/>
      <c r="B2604" s="250"/>
      <c r="C2604" s="286"/>
      <c r="D2604" s="232"/>
      <c r="E2604" s="232"/>
      <c r="F2604" s="232"/>
      <c r="G2604" s="232"/>
      <c r="H2604" s="232"/>
      <c r="I2604" s="232"/>
      <c r="J2604" s="232"/>
      <c r="K2604" s="232"/>
      <c r="L2604" s="232"/>
      <c r="M2604" s="232"/>
      <c r="N2604" s="232"/>
      <c r="O2604" s="232"/>
      <c r="P2604" s="232"/>
      <c r="Q2604" s="232"/>
      <c r="R2604" s="232"/>
      <c r="S2604" s="232"/>
      <c r="T2604" s="232"/>
      <c r="U2604" s="232"/>
      <c r="V2604" s="15"/>
      <c r="W2604" s="15"/>
      <c r="X2604" s="15"/>
      <c r="Y2604" s="15"/>
      <c r="Z2604" s="15"/>
      <c r="AA2604" s="15"/>
    </row>
    <row r="2605" spans="1:27" s="25" customFormat="1" ht="12" customHeight="1" x14ac:dyDescent="0.2">
      <c r="A2605" s="232"/>
      <c r="B2605" s="250"/>
      <c r="C2605" s="286"/>
      <c r="D2605" s="232"/>
      <c r="E2605" s="232"/>
      <c r="F2605" s="232"/>
      <c r="G2605" s="232"/>
      <c r="H2605" s="232"/>
      <c r="I2605" s="232"/>
      <c r="J2605" s="232"/>
      <c r="K2605" s="232"/>
      <c r="L2605" s="232"/>
      <c r="M2605" s="232"/>
      <c r="N2605" s="232"/>
      <c r="O2605" s="232"/>
      <c r="P2605" s="232"/>
      <c r="Q2605" s="232"/>
      <c r="R2605" s="232"/>
      <c r="S2605" s="232"/>
      <c r="T2605" s="232"/>
      <c r="U2605" s="232"/>
      <c r="V2605" s="15"/>
      <c r="W2605" s="15"/>
      <c r="X2605" s="15"/>
      <c r="Y2605" s="15"/>
      <c r="Z2605" s="15"/>
      <c r="AA2605" s="15"/>
    </row>
    <row r="2606" spans="1:27" s="25" customFormat="1" ht="12" customHeight="1" x14ac:dyDescent="0.2">
      <c r="A2606" s="232"/>
      <c r="B2606" s="250"/>
      <c r="C2606" s="286"/>
      <c r="D2606" s="232"/>
      <c r="E2606" s="232"/>
      <c r="F2606" s="232"/>
      <c r="G2606" s="232"/>
      <c r="H2606" s="232"/>
      <c r="I2606" s="232"/>
      <c r="J2606" s="232"/>
      <c r="K2606" s="232"/>
      <c r="L2606" s="232"/>
      <c r="M2606" s="232"/>
      <c r="N2606" s="232"/>
      <c r="O2606" s="232"/>
      <c r="P2606" s="232"/>
      <c r="Q2606" s="232"/>
      <c r="R2606" s="232"/>
      <c r="S2606" s="232"/>
      <c r="T2606" s="232"/>
      <c r="U2606" s="232"/>
      <c r="V2606" s="15"/>
      <c r="W2606" s="15"/>
      <c r="X2606" s="15"/>
      <c r="Y2606" s="15"/>
      <c r="Z2606" s="15"/>
      <c r="AA2606" s="15"/>
    </row>
    <row r="2607" spans="1:27" s="25" customFormat="1" ht="12" customHeight="1" x14ac:dyDescent="0.2">
      <c r="A2607" s="232"/>
      <c r="B2607" s="250"/>
      <c r="C2607" s="286"/>
      <c r="D2607" s="232"/>
      <c r="E2607" s="232"/>
      <c r="F2607" s="232"/>
      <c r="G2607" s="232"/>
      <c r="H2607" s="232"/>
      <c r="I2607" s="232"/>
      <c r="J2607" s="232"/>
      <c r="K2607" s="232"/>
      <c r="L2607" s="232"/>
      <c r="M2607" s="232"/>
      <c r="N2607" s="232"/>
      <c r="O2607" s="232"/>
      <c r="P2607" s="232"/>
      <c r="Q2607" s="232"/>
      <c r="R2607" s="232"/>
      <c r="S2607" s="232"/>
      <c r="T2607" s="232"/>
      <c r="U2607" s="232"/>
      <c r="V2607" s="15"/>
      <c r="W2607" s="15"/>
      <c r="X2607" s="15"/>
      <c r="Y2607" s="15"/>
      <c r="Z2607" s="15"/>
      <c r="AA2607" s="15"/>
    </row>
    <row r="2608" spans="1:27" s="25" customFormat="1" ht="12" customHeight="1" x14ac:dyDescent="0.2">
      <c r="A2608" s="232"/>
      <c r="B2608" s="250"/>
      <c r="C2608" s="286"/>
      <c r="D2608" s="232"/>
      <c r="E2608" s="232"/>
      <c r="F2608" s="232"/>
      <c r="G2608" s="232"/>
      <c r="H2608" s="232"/>
      <c r="I2608" s="232"/>
      <c r="J2608" s="232"/>
      <c r="K2608" s="232"/>
      <c r="L2608" s="232"/>
      <c r="M2608" s="232"/>
      <c r="N2608" s="232"/>
      <c r="O2608" s="232"/>
      <c r="P2608" s="232"/>
      <c r="Q2608" s="232"/>
      <c r="R2608" s="232"/>
      <c r="S2608" s="232"/>
      <c r="T2608" s="232"/>
      <c r="U2608" s="232"/>
      <c r="V2608" s="15"/>
      <c r="W2608" s="15"/>
      <c r="X2608" s="15"/>
      <c r="Y2608" s="15"/>
      <c r="Z2608" s="15"/>
      <c r="AA2608" s="15"/>
    </row>
    <row r="2609" spans="1:27" s="25" customFormat="1" ht="12" customHeight="1" x14ac:dyDescent="0.2">
      <c r="A2609" s="232"/>
      <c r="B2609" s="250"/>
      <c r="C2609" s="286"/>
      <c r="D2609" s="232"/>
      <c r="E2609" s="232"/>
      <c r="F2609" s="232"/>
      <c r="G2609" s="232"/>
      <c r="H2609" s="232"/>
      <c r="I2609" s="232"/>
      <c r="J2609" s="232"/>
      <c r="K2609" s="232"/>
      <c r="L2609" s="232"/>
      <c r="M2609" s="232"/>
      <c r="N2609" s="232"/>
      <c r="O2609" s="232"/>
      <c r="P2609" s="232"/>
      <c r="Q2609" s="232"/>
      <c r="R2609" s="232"/>
      <c r="S2609" s="232"/>
      <c r="T2609" s="232"/>
      <c r="U2609" s="232"/>
      <c r="V2609" s="15"/>
      <c r="W2609" s="15"/>
      <c r="X2609" s="15"/>
      <c r="Y2609" s="15"/>
      <c r="Z2609" s="15"/>
      <c r="AA2609" s="15"/>
    </row>
    <row r="2610" spans="1:27" s="25" customFormat="1" ht="12" customHeight="1" x14ac:dyDescent="0.2">
      <c r="A2610" s="232"/>
      <c r="B2610" s="250"/>
      <c r="C2610" s="286"/>
      <c r="D2610" s="232"/>
      <c r="E2610" s="232"/>
      <c r="F2610" s="232"/>
      <c r="G2610" s="232"/>
      <c r="H2610" s="232"/>
      <c r="I2610" s="232"/>
      <c r="J2610" s="232"/>
      <c r="K2610" s="232"/>
      <c r="L2610" s="232"/>
      <c r="M2610" s="232"/>
      <c r="N2610" s="232"/>
      <c r="O2610" s="232"/>
      <c r="P2610" s="232"/>
      <c r="Q2610" s="232"/>
      <c r="R2610" s="232"/>
      <c r="S2610" s="232"/>
      <c r="T2610" s="232"/>
      <c r="U2610" s="232"/>
      <c r="V2610" s="15"/>
      <c r="W2610" s="15"/>
      <c r="X2610" s="15"/>
      <c r="Y2610" s="15"/>
      <c r="Z2610" s="15"/>
      <c r="AA2610" s="15"/>
    </row>
    <row r="2611" spans="1:27" s="25" customFormat="1" ht="12" customHeight="1" x14ac:dyDescent="0.2">
      <c r="A2611" s="232"/>
      <c r="B2611" s="250"/>
      <c r="C2611" s="286"/>
      <c r="D2611" s="232"/>
      <c r="E2611" s="232"/>
      <c r="F2611" s="232"/>
      <c r="G2611" s="232"/>
      <c r="H2611" s="232"/>
      <c r="I2611" s="232"/>
      <c r="J2611" s="232"/>
      <c r="K2611" s="232"/>
      <c r="L2611" s="232"/>
      <c r="M2611" s="232"/>
      <c r="N2611" s="232"/>
      <c r="O2611" s="232"/>
      <c r="P2611" s="232"/>
      <c r="Q2611" s="232"/>
      <c r="R2611" s="232"/>
      <c r="S2611" s="232"/>
      <c r="T2611" s="232"/>
      <c r="U2611" s="232"/>
      <c r="V2611" s="15"/>
      <c r="W2611" s="15"/>
      <c r="X2611" s="15"/>
      <c r="Y2611" s="15"/>
      <c r="Z2611" s="15"/>
      <c r="AA2611" s="15"/>
    </row>
    <row r="2612" spans="1:27" s="25" customFormat="1" ht="12" customHeight="1" x14ac:dyDescent="0.2">
      <c r="A2612" s="232"/>
      <c r="B2612" s="250"/>
      <c r="C2612" s="286"/>
      <c r="D2612" s="232"/>
      <c r="E2612" s="232"/>
      <c r="F2612" s="232"/>
      <c r="G2612" s="232"/>
      <c r="H2612" s="232"/>
      <c r="I2612" s="232"/>
      <c r="J2612" s="232"/>
      <c r="K2612" s="232"/>
      <c r="L2612" s="232"/>
      <c r="M2612" s="232"/>
      <c r="N2612" s="232"/>
      <c r="O2612" s="232"/>
      <c r="P2612" s="232"/>
      <c r="Q2612" s="232"/>
      <c r="R2612" s="232"/>
      <c r="S2612" s="232"/>
      <c r="T2612" s="232"/>
      <c r="U2612" s="232"/>
      <c r="V2612" s="15"/>
      <c r="W2612" s="15"/>
      <c r="X2612" s="15"/>
      <c r="Y2612" s="15"/>
      <c r="Z2612" s="15"/>
      <c r="AA2612" s="15"/>
    </row>
    <row r="2613" spans="1:27" s="25" customFormat="1" ht="12" customHeight="1" x14ac:dyDescent="0.2">
      <c r="A2613" s="232"/>
      <c r="B2613" s="250"/>
      <c r="C2613" s="286"/>
      <c r="D2613" s="232"/>
      <c r="E2613" s="232"/>
      <c r="F2613" s="232"/>
      <c r="G2613" s="232"/>
      <c r="H2613" s="232"/>
      <c r="I2613" s="232"/>
      <c r="J2613" s="232"/>
      <c r="K2613" s="232"/>
      <c r="L2613" s="232"/>
      <c r="M2613" s="232"/>
      <c r="N2613" s="232"/>
      <c r="O2613" s="232"/>
      <c r="P2613" s="232"/>
      <c r="Q2613" s="232"/>
      <c r="R2613" s="232"/>
      <c r="S2613" s="232"/>
      <c r="T2613" s="232"/>
      <c r="U2613" s="232"/>
      <c r="V2613" s="15"/>
      <c r="W2613" s="15"/>
      <c r="X2613" s="15"/>
      <c r="Y2613" s="15"/>
      <c r="Z2613" s="15"/>
      <c r="AA2613" s="15"/>
    </row>
    <row r="2614" spans="1:27" s="25" customFormat="1" ht="12" customHeight="1" x14ac:dyDescent="0.2">
      <c r="A2614" s="232"/>
      <c r="B2614" s="250"/>
      <c r="C2614" s="286"/>
      <c r="D2614" s="232"/>
      <c r="E2614" s="232"/>
      <c r="F2614" s="232"/>
      <c r="G2614" s="232"/>
      <c r="H2614" s="232"/>
      <c r="I2614" s="232"/>
      <c r="J2614" s="232"/>
      <c r="K2614" s="232"/>
      <c r="L2614" s="232"/>
      <c r="M2614" s="232"/>
      <c r="N2614" s="232"/>
      <c r="O2614" s="232"/>
      <c r="P2614" s="232"/>
      <c r="Q2614" s="232"/>
      <c r="R2614" s="232"/>
      <c r="S2614" s="232"/>
      <c r="T2614" s="232"/>
      <c r="U2614" s="232"/>
      <c r="V2614" s="15"/>
      <c r="W2614" s="15"/>
      <c r="X2614" s="15"/>
      <c r="Y2614" s="15"/>
      <c r="Z2614" s="15"/>
      <c r="AA2614" s="15"/>
    </row>
    <row r="2615" spans="1:27" s="25" customFormat="1" ht="12" customHeight="1" x14ac:dyDescent="0.2">
      <c r="A2615" s="232"/>
      <c r="B2615" s="250"/>
      <c r="C2615" s="286"/>
      <c r="D2615" s="232"/>
      <c r="E2615" s="232"/>
      <c r="F2615" s="232"/>
      <c r="G2615" s="232"/>
      <c r="H2615" s="232"/>
      <c r="I2615" s="232"/>
      <c r="J2615" s="232"/>
      <c r="K2615" s="232"/>
      <c r="L2615" s="232"/>
      <c r="M2615" s="232"/>
      <c r="N2615" s="232"/>
      <c r="O2615" s="232"/>
      <c r="P2615" s="232"/>
      <c r="Q2615" s="232"/>
      <c r="R2615" s="232"/>
      <c r="S2615" s="232"/>
      <c r="T2615" s="232"/>
      <c r="U2615" s="232"/>
      <c r="V2615" s="15"/>
      <c r="W2615" s="15"/>
      <c r="X2615" s="15"/>
      <c r="Y2615" s="15"/>
      <c r="Z2615" s="15"/>
      <c r="AA2615" s="15"/>
    </row>
    <row r="2616" spans="1:27" s="25" customFormat="1" ht="12" customHeight="1" x14ac:dyDescent="0.2">
      <c r="A2616" s="232"/>
      <c r="B2616" s="250"/>
      <c r="C2616" s="286"/>
      <c r="D2616" s="232"/>
      <c r="E2616" s="232"/>
      <c r="F2616" s="232"/>
      <c r="G2616" s="232"/>
      <c r="H2616" s="232"/>
      <c r="I2616" s="232"/>
      <c r="J2616" s="232"/>
      <c r="K2616" s="232"/>
      <c r="L2616" s="232"/>
      <c r="M2616" s="232"/>
      <c r="N2616" s="232"/>
      <c r="O2616" s="232"/>
      <c r="P2616" s="232"/>
      <c r="Q2616" s="232"/>
      <c r="R2616" s="232"/>
      <c r="S2616" s="232"/>
      <c r="T2616" s="232"/>
      <c r="U2616" s="232"/>
      <c r="V2616" s="15"/>
      <c r="W2616" s="15"/>
      <c r="X2616" s="15"/>
      <c r="Y2616" s="15"/>
      <c r="Z2616" s="15"/>
      <c r="AA2616" s="15"/>
    </row>
    <row r="2617" spans="1:27" s="25" customFormat="1" ht="12" customHeight="1" x14ac:dyDescent="0.2">
      <c r="A2617" s="232"/>
      <c r="B2617" s="250"/>
      <c r="C2617" s="286"/>
      <c r="D2617" s="232"/>
      <c r="E2617" s="232"/>
      <c r="F2617" s="232"/>
      <c r="G2617" s="232"/>
      <c r="H2617" s="232"/>
      <c r="I2617" s="232"/>
      <c r="J2617" s="232"/>
      <c r="K2617" s="232"/>
      <c r="L2617" s="232"/>
      <c r="M2617" s="232"/>
      <c r="N2617" s="232"/>
      <c r="O2617" s="232"/>
      <c r="P2617" s="232"/>
      <c r="Q2617" s="232"/>
      <c r="R2617" s="232"/>
      <c r="S2617" s="232"/>
      <c r="T2617" s="232"/>
      <c r="U2617" s="232"/>
      <c r="V2617" s="15"/>
      <c r="W2617" s="15"/>
      <c r="X2617" s="15"/>
      <c r="Y2617" s="15"/>
      <c r="Z2617" s="15"/>
      <c r="AA2617" s="15"/>
    </row>
    <row r="2618" spans="1:27" s="25" customFormat="1" ht="12" customHeight="1" x14ac:dyDescent="0.2">
      <c r="A2618" s="232"/>
      <c r="B2618" s="250"/>
      <c r="C2618" s="286"/>
      <c r="D2618" s="232"/>
      <c r="E2618" s="232"/>
      <c r="F2618" s="232"/>
      <c r="G2618" s="232"/>
      <c r="H2618" s="232"/>
      <c r="I2618" s="232"/>
      <c r="J2618" s="232"/>
      <c r="K2618" s="232"/>
      <c r="L2618" s="232"/>
      <c r="M2618" s="232"/>
      <c r="N2618" s="232"/>
      <c r="O2618" s="232"/>
      <c r="P2618" s="232"/>
      <c r="Q2618" s="232"/>
      <c r="R2618" s="232"/>
      <c r="S2618" s="232"/>
      <c r="T2618" s="232"/>
      <c r="U2618" s="232"/>
      <c r="V2618" s="15"/>
      <c r="W2618" s="15"/>
      <c r="X2618" s="15"/>
      <c r="Y2618" s="15"/>
      <c r="Z2618" s="15"/>
      <c r="AA2618" s="15"/>
    </row>
    <row r="2619" spans="1:27" s="25" customFormat="1" ht="12" customHeight="1" x14ac:dyDescent="0.2">
      <c r="A2619" s="232"/>
      <c r="B2619" s="250"/>
      <c r="C2619" s="286"/>
      <c r="D2619" s="232"/>
      <c r="E2619" s="232"/>
      <c r="F2619" s="232"/>
      <c r="G2619" s="232"/>
      <c r="H2619" s="232"/>
      <c r="I2619" s="232"/>
      <c r="J2619" s="232"/>
      <c r="K2619" s="232"/>
      <c r="L2619" s="232"/>
      <c r="M2619" s="232"/>
      <c r="N2619" s="232"/>
      <c r="O2619" s="232"/>
      <c r="P2619" s="232"/>
      <c r="Q2619" s="232"/>
      <c r="R2619" s="232"/>
      <c r="S2619" s="232"/>
      <c r="T2619" s="232"/>
      <c r="U2619" s="232"/>
      <c r="V2619" s="15"/>
      <c r="W2619" s="15"/>
      <c r="X2619" s="15"/>
      <c r="Y2619" s="15"/>
      <c r="Z2619" s="15"/>
      <c r="AA2619" s="15"/>
    </row>
    <row r="2620" spans="1:27" s="25" customFormat="1" ht="12" customHeight="1" x14ac:dyDescent="0.2">
      <c r="A2620" s="232"/>
      <c r="B2620" s="250"/>
      <c r="C2620" s="286"/>
      <c r="D2620" s="232"/>
      <c r="E2620" s="232"/>
      <c r="F2620" s="232"/>
      <c r="G2620" s="232"/>
      <c r="H2620" s="232"/>
      <c r="I2620" s="232"/>
      <c r="J2620" s="232"/>
      <c r="K2620" s="232"/>
      <c r="L2620" s="232"/>
      <c r="M2620" s="232"/>
      <c r="N2620" s="232"/>
      <c r="O2620" s="232"/>
      <c r="P2620" s="232"/>
      <c r="Q2620" s="232"/>
      <c r="R2620" s="232"/>
      <c r="S2620" s="232"/>
      <c r="T2620" s="232"/>
      <c r="U2620" s="232"/>
      <c r="V2620" s="15"/>
      <c r="W2620" s="15"/>
      <c r="X2620" s="15"/>
      <c r="Y2620" s="15"/>
      <c r="Z2620" s="15"/>
      <c r="AA2620" s="15"/>
    </row>
    <row r="2621" spans="1:27" s="25" customFormat="1" ht="12" customHeight="1" x14ac:dyDescent="0.2">
      <c r="A2621" s="232"/>
      <c r="B2621" s="250"/>
      <c r="C2621" s="286"/>
      <c r="D2621" s="232"/>
      <c r="E2621" s="232"/>
      <c r="F2621" s="232"/>
      <c r="G2621" s="232"/>
      <c r="H2621" s="232"/>
      <c r="I2621" s="232"/>
      <c r="J2621" s="232"/>
      <c r="K2621" s="232"/>
      <c r="L2621" s="232"/>
      <c r="M2621" s="232"/>
      <c r="N2621" s="232"/>
      <c r="O2621" s="232"/>
      <c r="P2621" s="232"/>
      <c r="Q2621" s="232"/>
      <c r="R2621" s="232"/>
      <c r="S2621" s="232"/>
      <c r="T2621" s="232"/>
      <c r="U2621" s="232"/>
      <c r="V2621" s="15"/>
      <c r="W2621" s="15"/>
      <c r="X2621" s="15"/>
      <c r="Y2621" s="15"/>
      <c r="Z2621" s="15"/>
      <c r="AA2621" s="15"/>
    </row>
    <row r="2622" spans="1:27" s="25" customFormat="1" ht="12" customHeight="1" x14ac:dyDescent="0.2">
      <c r="A2622" s="232"/>
      <c r="B2622" s="250"/>
      <c r="C2622" s="286"/>
      <c r="D2622" s="232"/>
      <c r="E2622" s="232"/>
      <c r="F2622" s="232"/>
      <c r="G2622" s="232"/>
      <c r="H2622" s="232"/>
      <c r="I2622" s="232"/>
      <c r="J2622" s="232"/>
      <c r="K2622" s="232"/>
      <c r="L2622" s="232"/>
      <c r="M2622" s="232"/>
      <c r="N2622" s="232"/>
      <c r="O2622" s="232"/>
      <c r="P2622" s="232"/>
      <c r="Q2622" s="232"/>
      <c r="R2622" s="232"/>
      <c r="S2622" s="232"/>
      <c r="T2622" s="232"/>
      <c r="U2622" s="232"/>
      <c r="V2622" s="15"/>
      <c r="W2622" s="15"/>
      <c r="X2622" s="15"/>
      <c r="Y2622" s="15"/>
      <c r="Z2622" s="15"/>
      <c r="AA2622" s="15"/>
    </row>
    <row r="2623" spans="1:27" s="25" customFormat="1" ht="12" customHeight="1" x14ac:dyDescent="0.2">
      <c r="A2623" s="232"/>
      <c r="B2623" s="250"/>
      <c r="C2623" s="286"/>
      <c r="D2623" s="232"/>
      <c r="E2623" s="232"/>
      <c r="F2623" s="232"/>
      <c r="G2623" s="232"/>
      <c r="H2623" s="232"/>
      <c r="I2623" s="232"/>
      <c r="J2623" s="232"/>
      <c r="K2623" s="232"/>
      <c r="L2623" s="232"/>
      <c r="M2623" s="232"/>
      <c r="N2623" s="232"/>
      <c r="O2623" s="232"/>
      <c r="P2623" s="232"/>
      <c r="Q2623" s="232"/>
      <c r="R2623" s="232"/>
      <c r="S2623" s="232"/>
      <c r="T2623" s="232"/>
      <c r="U2623" s="232"/>
      <c r="V2623" s="15"/>
      <c r="W2623" s="15"/>
      <c r="X2623" s="15"/>
      <c r="Y2623" s="15"/>
      <c r="Z2623" s="15"/>
      <c r="AA2623" s="15"/>
    </row>
    <row r="2624" spans="1:27" s="25" customFormat="1" ht="12" customHeight="1" x14ac:dyDescent="0.2">
      <c r="A2624" s="232"/>
      <c r="B2624" s="250"/>
      <c r="C2624" s="286"/>
      <c r="D2624" s="232"/>
      <c r="E2624" s="232"/>
      <c r="F2624" s="232"/>
      <c r="G2624" s="232"/>
      <c r="H2624" s="232"/>
      <c r="I2624" s="232"/>
      <c r="J2624" s="232"/>
      <c r="K2624" s="232"/>
      <c r="L2624" s="232"/>
      <c r="M2624" s="232"/>
      <c r="N2624" s="232"/>
      <c r="O2624" s="232"/>
      <c r="P2624" s="232"/>
      <c r="Q2624" s="232"/>
      <c r="R2624" s="232"/>
      <c r="S2624" s="232"/>
      <c r="T2624" s="232"/>
      <c r="U2624" s="232"/>
      <c r="V2624" s="15"/>
      <c r="W2624" s="15"/>
      <c r="X2624" s="15"/>
      <c r="Y2624" s="15"/>
      <c r="Z2624" s="15"/>
      <c r="AA2624" s="15"/>
    </row>
    <row r="2625" spans="1:27" s="25" customFormat="1" ht="12" customHeight="1" x14ac:dyDescent="0.2">
      <c r="A2625" s="232"/>
      <c r="B2625" s="250"/>
      <c r="C2625" s="286"/>
      <c r="D2625" s="232"/>
      <c r="E2625" s="232"/>
      <c r="F2625" s="232"/>
      <c r="G2625" s="232"/>
      <c r="H2625" s="232"/>
      <c r="I2625" s="232"/>
      <c r="J2625" s="232"/>
      <c r="K2625" s="232"/>
      <c r="L2625" s="232"/>
      <c r="M2625" s="232"/>
      <c r="N2625" s="232"/>
      <c r="O2625" s="232"/>
      <c r="P2625" s="232"/>
      <c r="Q2625" s="232"/>
      <c r="R2625" s="232"/>
      <c r="S2625" s="232"/>
      <c r="T2625" s="232"/>
      <c r="U2625" s="232"/>
      <c r="V2625" s="15"/>
      <c r="W2625" s="15"/>
      <c r="X2625" s="15"/>
      <c r="Y2625" s="15"/>
      <c r="Z2625" s="15"/>
      <c r="AA2625" s="15"/>
    </row>
    <row r="2626" spans="1:27" s="25" customFormat="1" ht="12" customHeight="1" x14ac:dyDescent="0.2">
      <c r="A2626" s="232"/>
      <c r="B2626" s="250"/>
      <c r="C2626" s="286"/>
      <c r="D2626" s="232"/>
      <c r="E2626" s="232"/>
      <c r="F2626" s="232"/>
      <c r="G2626" s="232"/>
      <c r="H2626" s="232"/>
      <c r="I2626" s="232"/>
      <c r="J2626" s="232"/>
      <c r="K2626" s="232"/>
      <c r="L2626" s="232"/>
      <c r="M2626" s="232"/>
      <c r="N2626" s="232"/>
      <c r="O2626" s="232"/>
      <c r="P2626" s="232"/>
      <c r="Q2626" s="232"/>
      <c r="R2626" s="232"/>
      <c r="S2626" s="232"/>
      <c r="T2626" s="232"/>
      <c r="U2626" s="232"/>
      <c r="V2626" s="15"/>
      <c r="W2626" s="15"/>
      <c r="X2626" s="15"/>
      <c r="Y2626" s="15"/>
      <c r="Z2626" s="15"/>
      <c r="AA2626" s="15"/>
    </row>
    <row r="2627" spans="1:27" s="25" customFormat="1" ht="12" customHeight="1" x14ac:dyDescent="0.2">
      <c r="A2627" s="232"/>
      <c r="B2627" s="250"/>
      <c r="C2627" s="286"/>
      <c r="D2627" s="232"/>
      <c r="E2627" s="232"/>
      <c r="F2627" s="232"/>
      <c r="G2627" s="232"/>
      <c r="H2627" s="232"/>
      <c r="I2627" s="232"/>
      <c r="J2627" s="232"/>
      <c r="K2627" s="232"/>
      <c r="L2627" s="232"/>
      <c r="M2627" s="232"/>
      <c r="N2627" s="232"/>
      <c r="O2627" s="232"/>
      <c r="P2627" s="232"/>
      <c r="Q2627" s="232"/>
      <c r="R2627" s="232"/>
      <c r="S2627" s="232"/>
      <c r="T2627" s="232"/>
      <c r="U2627" s="232"/>
      <c r="V2627" s="15"/>
      <c r="W2627" s="15"/>
      <c r="X2627" s="15"/>
      <c r="Y2627" s="15"/>
      <c r="Z2627" s="15"/>
      <c r="AA2627" s="15"/>
    </row>
    <row r="2628" spans="1:27" s="25" customFormat="1" ht="12" customHeight="1" x14ac:dyDescent="0.2">
      <c r="A2628" s="232"/>
      <c r="B2628" s="250"/>
      <c r="C2628" s="286"/>
      <c r="D2628" s="232"/>
      <c r="E2628" s="232"/>
      <c r="F2628" s="232"/>
      <c r="G2628" s="232"/>
      <c r="H2628" s="232"/>
      <c r="I2628" s="232"/>
      <c r="J2628" s="232"/>
      <c r="K2628" s="232"/>
      <c r="L2628" s="232"/>
      <c r="M2628" s="232"/>
      <c r="N2628" s="232"/>
      <c r="O2628" s="232"/>
      <c r="P2628" s="232"/>
      <c r="Q2628" s="232"/>
      <c r="R2628" s="232"/>
      <c r="S2628" s="232"/>
      <c r="T2628" s="232"/>
      <c r="U2628" s="232"/>
      <c r="V2628" s="15"/>
      <c r="W2628" s="15"/>
      <c r="X2628" s="15"/>
      <c r="Y2628" s="15"/>
      <c r="Z2628" s="15"/>
      <c r="AA2628" s="15"/>
    </row>
    <row r="2629" spans="1:27" s="25" customFormat="1" ht="12" customHeight="1" x14ac:dyDescent="0.2">
      <c r="A2629" s="232"/>
      <c r="B2629" s="250"/>
      <c r="C2629" s="286"/>
      <c r="D2629" s="232"/>
      <c r="E2629" s="232"/>
      <c r="F2629" s="232"/>
      <c r="G2629" s="232"/>
      <c r="H2629" s="232"/>
      <c r="I2629" s="232"/>
      <c r="J2629" s="232"/>
      <c r="K2629" s="232"/>
      <c r="L2629" s="232"/>
      <c r="M2629" s="232"/>
      <c r="N2629" s="232"/>
      <c r="O2629" s="232"/>
      <c r="P2629" s="232"/>
      <c r="Q2629" s="232"/>
      <c r="R2629" s="232"/>
      <c r="S2629" s="232"/>
      <c r="T2629" s="232"/>
      <c r="U2629" s="232"/>
      <c r="V2629" s="15"/>
      <c r="W2629" s="15"/>
      <c r="X2629" s="15"/>
      <c r="Y2629" s="15"/>
      <c r="Z2629" s="15"/>
      <c r="AA2629" s="15"/>
    </row>
    <row r="2630" spans="1:27" s="25" customFormat="1" ht="12" customHeight="1" x14ac:dyDescent="0.2">
      <c r="A2630" s="232"/>
      <c r="B2630" s="250"/>
      <c r="C2630" s="286"/>
      <c r="D2630" s="232"/>
      <c r="E2630" s="232"/>
      <c r="F2630" s="232"/>
      <c r="G2630" s="232"/>
      <c r="H2630" s="232"/>
      <c r="I2630" s="232"/>
      <c r="J2630" s="232"/>
      <c r="K2630" s="232"/>
      <c r="L2630" s="232"/>
      <c r="M2630" s="232"/>
      <c r="N2630" s="232"/>
      <c r="O2630" s="232"/>
      <c r="P2630" s="232"/>
      <c r="Q2630" s="232"/>
      <c r="R2630" s="232"/>
      <c r="S2630" s="232"/>
      <c r="T2630" s="232"/>
      <c r="U2630" s="232"/>
      <c r="V2630" s="15"/>
      <c r="W2630" s="15"/>
      <c r="X2630" s="15"/>
      <c r="Y2630" s="15"/>
      <c r="Z2630" s="15"/>
      <c r="AA2630" s="15"/>
    </row>
    <row r="2631" spans="1:27" s="25" customFormat="1" ht="12" customHeight="1" x14ac:dyDescent="0.2">
      <c r="A2631" s="232"/>
      <c r="B2631" s="250"/>
      <c r="C2631" s="286"/>
      <c r="D2631" s="232"/>
      <c r="E2631" s="232"/>
      <c r="F2631" s="232"/>
      <c r="G2631" s="232"/>
      <c r="H2631" s="232"/>
      <c r="I2631" s="232"/>
      <c r="J2631" s="232"/>
      <c r="K2631" s="232"/>
      <c r="L2631" s="232"/>
      <c r="M2631" s="232"/>
      <c r="N2631" s="232"/>
      <c r="O2631" s="232"/>
      <c r="P2631" s="232"/>
      <c r="Q2631" s="232"/>
      <c r="R2631" s="232"/>
      <c r="S2631" s="232"/>
      <c r="T2631" s="232"/>
      <c r="U2631" s="232"/>
      <c r="V2631" s="15"/>
      <c r="W2631" s="15"/>
      <c r="X2631" s="15"/>
      <c r="Y2631" s="15"/>
      <c r="Z2631" s="15"/>
      <c r="AA2631" s="15"/>
    </row>
    <row r="2632" spans="1:27" s="25" customFormat="1" ht="12" customHeight="1" x14ac:dyDescent="0.2">
      <c r="A2632" s="232"/>
      <c r="B2632" s="250"/>
      <c r="C2632" s="286"/>
      <c r="D2632" s="232"/>
      <c r="E2632" s="232"/>
      <c r="F2632" s="232"/>
      <c r="G2632" s="232"/>
      <c r="H2632" s="232"/>
      <c r="I2632" s="232"/>
      <c r="J2632" s="232"/>
      <c r="K2632" s="232"/>
      <c r="L2632" s="232"/>
      <c r="M2632" s="232"/>
      <c r="N2632" s="232"/>
      <c r="O2632" s="232"/>
      <c r="P2632" s="232"/>
      <c r="Q2632" s="232"/>
      <c r="R2632" s="232"/>
      <c r="S2632" s="232"/>
      <c r="T2632" s="232"/>
      <c r="U2632" s="232"/>
      <c r="V2632" s="15"/>
      <c r="W2632" s="15"/>
      <c r="X2632" s="15"/>
      <c r="Y2632" s="15"/>
      <c r="Z2632" s="15"/>
      <c r="AA2632" s="15"/>
    </row>
    <row r="2633" spans="1:27" s="25" customFormat="1" ht="12" customHeight="1" x14ac:dyDescent="0.2">
      <c r="A2633" s="232"/>
      <c r="B2633" s="250"/>
      <c r="C2633" s="286"/>
      <c r="D2633" s="232"/>
      <c r="E2633" s="232"/>
      <c r="F2633" s="232"/>
      <c r="G2633" s="232"/>
      <c r="H2633" s="232"/>
      <c r="I2633" s="232"/>
      <c r="J2633" s="232"/>
      <c r="K2633" s="232"/>
      <c r="L2633" s="232"/>
      <c r="M2633" s="232"/>
      <c r="N2633" s="232"/>
      <c r="O2633" s="232"/>
      <c r="P2633" s="232"/>
      <c r="Q2633" s="232"/>
      <c r="R2633" s="232"/>
      <c r="S2633" s="232"/>
      <c r="T2633" s="232"/>
      <c r="U2633" s="232"/>
      <c r="V2633" s="15"/>
      <c r="W2633" s="15"/>
      <c r="X2633" s="15"/>
      <c r="Y2633" s="15"/>
      <c r="Z2633" s="15"/>
      <c r="AA2633" s="15"/>
    </row>
    <row r="2634" spans="1:27" s="25" customFormat="1" ht="12" customHeight="1" x14ac:dyDescent="0.2">
      <c r="A2634" s="232"/>
      <c r="B2634" s="250"/>
      <c r="C2634" s="286"/>
      <c r="D2634" s="232"/>
      <c r="E2634" s="232"/>
      <c r="F2634" s="232"/>
      <c r="G2634" s="232"/>
      <c r="H2634" s="232"/>
      <c r="I2634" s="232"/>
      <c r="J2634" s="232"/>
      <c r="K2634" s="232"/>
      <c r="L2634" s="232"/>
      <c r="M2634" s="232"/>
      <c r="N2634" s="232"/>
      <c r="O2634" s="232"/>
      <c r="P2634" s="232"/>
      <c r="Q2634" s="232"/>
      <c r="R2634" s="232"/>
      <c r="S2634" s="232"/>
      <c r="T2634" s="232"/>
      <c r="U2634" s="232"/>
      <c r="V2634" s="15"/>
      <c r="W2634" s="15"/>
      <c r="X2634" s="15"/>
      <c r="Y2634" s="15"/>
      <c r="Z2634" s="15"/>
      <c r="AA2634" s="15"/>
    </row>
    <row r="2635" spans="1:27" s="25" customFormat="1" ht="12" customHeight="1" x14ac:dyDescent="0.2">
      <c r="A2635" s="232"/>
      <c r="B2635" s="250"/>
      <c r="C2635" s="286"/>
      <c r="D2635" s="232"/>
      <c r="E2635" s="232"/>
      <c r="F2635" s="232"/>
      <c r="G2635" s="232"/>
      <c r="H2635" s="232"/>
      <c r="I2635" s="232"/>
      <c r="J2635" s="232"/>
      <c r="K2635" s="232"/>
      <c r="L2635" s="232"/>
      <c r="M2635" s="232"/>
      <c r="N2635" s="232"/>
      <c r="O2635" s="232"/>
      <c r="P2635" s="232"/>
      <c r="Q2635" s="232"/>
      <c r="R2635" s="232"/>
      <c r="S2635" s="232"/>
      <c r="T2635" s="232"/>
      <c r="U2635" s="232"/>
      <c r="V2635" s="15"/>
      <c r="W2635" s="15"/>
      <c r="X2635" s="15"/>
      <c r="Y2635" s="15"/>
      <c r="Z2635" s="15"/>
      <c r="AA2635" s="15"/>
    </row>
    <row r="2636" spans="1:27" s="25" customFormat="1" ht="12" customHeight="1" x14ac:dyDescent="0.2">
      <c r="A2636" s="232"/>
      <c r="B2636" s="250"/>
      <c r="C2636" s="286"/>
      <c r="D2636" s="232"/>
      <c r="E2636" s="232"/>
      <c r="F2636" s="232"/>
      <c r="G2636" s="232"/>
      <c r="H2636" s="232"/>
      <c r="I2636" s="232"/>
      <c r="J2636" s="232"/>
      <c r="K2636" s="232"/>
      <c r="L2636" s="232"/>
      <c r="M2636" s="232"/>
      <c r="N2636" s="232"/>
      <c r="O2636" s="232"/>
      <c r="P2636" s="232"/>
      <c r="Q2636" s="232"/>
      <c r="R2636" s="232"/>
      <c r="S2636" s="232"/>
      <c r="T2636" s="232"/>
      <c r="U2636" s="232"/>
      <c r="V2636" s="15"/>
      <c r="W2636" s="15"/>
      <c r="X2636" s="15"/>
      <c r="Y2636" s="15"/>
      <c r="Z2636" s="15"/>
      <c r="AA2636" s="15"/>
    </row>
    <row r="2637" spans="1:27" s="25" customFormat="1" ht="12" customHeight="1" x14ac:dyDescent="0.2">
      <c r="A2637" s="232"/>
      <c r="B2637" s="250"/>
      <c r="C2637" s="286"/>
      <c r="D2637" s="232"/>
      <c r="E2637" s="232"/>
      <c r="F2637" s="232"/>
      <c r="G2637" s="232"/>
      <c r="H2637" s="232"/>
      <c r="I2637" s="232"/>
      <c r="J2637" s="232"/>
      <c r="K2637" s="232"/>
      <c r="L2637" s="232"/>
      <c r="M2637" s="232"/>
      <c r="N2637" s="232"/>
      <c r="O2637" s="232"/>
      <c r="P2637" s="232"/>
      <c r="Q2637" s="232"/>
      <c r="R2637" s="232"/>
      <c r="S2637" s="232"/>
      <c r="T2637" s="232"/>
      <c r="U2637" s="232"/>
      <c r="V2637" s="15"/>
      <c r="W2637" s="15"/>
      <c r="X2637" s="15"/>
      <c r="Y2637" s="15"/>
      <c r="Z2637" s="15"/>
      <c r="AA2637" s="15"/>
    </row>
    <row r="2638" spans="1:27" s="25" customFormat="1" ht="12" customHeight="1" x14ac:dyDescent="0.2">
      <c r="A2638" s="232"/>
      <c r="B2638" s="250"/>
      <c r="C2638" s="286"/>
      <c r="D2638" s="232"/>
      <c r="E2638" s="232"/>
      <c r="F2638" s="232"/>
      <c r="G2638" s="232"/>
      <c r="H2638" s="232"/>
      <c r="I2638" s="232"/>
      <c r="J2638" s="232"/>
      <c r="K2638" s="232"/>
      <c r="L2638" s="232"/>
      <c r="M2638" s="232"/>
      <c r="N2638" s="232"/>
      <c r="O2638" s="232"/>
      <c r="P2638" s="232"/>
      <c r="Q2638" s="232"/>
      <c r="R2638" s="232"/>
      <c r="S2638" s="232"/>
      <c r="T2638" s="232"/>
      <c r="U2638" s="232"/>
      <c r="V2638" s="15"/>
      <c r="W2638" s="15"/>
      <c r="X2638" s="15"/>
      <c r="Y2638" s="15"/>
      <c r="Z2638" s="15"/>
      <c r="AA2638" s="15"/>
    </row>
    <row r="2639" spans="1:27" s="25" customFormat="1" ht="12" customHeight="1" x14ac:dyDescent="0.2">
      <c r="A2639" s="232"/>
      <c r="B2639" s="250"/>
      <c r="C2639" s="286"/>
      <c r="D2639" s="232"/>
      <c r="E2639" s="232"/>
      <c r="F2639" s="232"/>
      <c r="G2639" s="232"/>
      <c r="H2639" s="232"/>
      <c r="I2639" s="232"/>
      <c r="J2639" s="232"/>
      <c r="K2639" s="232"/>
      <c r="L2639" s="232"/>
      <c r="M2639" s="232"/>
      <c r="N2639" s="232"/>
      <c r="O2639" s="232"/>
      <c r="P2639" s="232"/>
      <c r="Q2639" s="232"/>
      <c r="R2639" s="232"/>
      <c r="S2639" s="232"/>
      <c r="T2639" s="232"/>
      <c r="U2639" s="232"/>
      <c r="V2639" s="15"/>
      <c r="W2639" s="15"/>
      <c r="X2639" s="15"/>
      <c r="Y2639" s="15"/>
      <c r="Z2639" s="15"/>
      <c r="AA2639" s="15"/>
    </row>
    <row r="2640" spans="1:27" s="25" customFormat="1" ht="12" customHeight="1" x14ac:dyDescent="0.2">
      <c r="A2640" s="232"/>
      <c r="B2640" s="250"/>
      <c r="C2640" s="286"/>
      <c r="D2640" s="232"/>
      <c r="E2640" s="232"/>
      <c r="F2640" s="232"/>
      <c r="G2640" s="232"/>
      <c r="H2640" s="232"/>
      <c r="I2640" s="232"/>
      <c r="J2640" s="232"/>
      <c r="K2640" s="232"/>
      <c r="L2640" s="232"/>
      <c r="M2640" s="232"/>
      <c r="N2640" s="232"/>
      <c r="O2640" s="232"/>
      <c r="P2640" s="232"/>
      <c r="Q2640" s="232"/>
      <c r="R2640" s="232"/>
      <c r="S2640" s="232"/>
      <c r="T2640" s="232"/>
      <c r="U2640" s="232"/>
      <c r="V2640" s="15"/>
      <c r="W2640" s="15"/>
      <c r="X2640" s="15"/>
      <c r="Y2640" s="15"/>
      <c r="Z2640" s="15"/>
      <c r="AA2640" s="15"/>
    </row>
    <row r="2641" spans="1:27" s="25" customFormat="1" ht="12" customHeight="1" x14ac:dyDescent="0.2">
      <c r="A2641" s="232"/>
      <c r="B2641" s="250"/>
      <c r="C2641" s="286"/>
      <c r="D2641" s="232"/>
      <c r="E2641" s="232"/>
      <c r="F2641" s="232"/>
      <c r="G2641" s="232"/>
      <c r="H2641" s="232"/>
      <c r="I2641" s="232"/>
      <c r="J2641" s="232"/>
      <c r="K2641" s="232"/>
      <c r="L2641" s="232"/>
      <c r="M2641" s="232"/>
      <c r="N2641" s="232"/>
      <c r="O2641" s="232"/>
      <c r="P2641" s="232"/>
      <c r="Q2641" s="232"/>
      <c r="R2641" s="232"/>
      <c r="S2641" s="232"/>
      <c r="T2641" s="232"/>
      <c r="U2641" s="232"/>
      <c r="V2641" s="15"/>
      <c r="W2641" s="15"/>
      <c r="X2641" s="15"/>
      <c r="Y2641" s="15"/>
      <c r="Z2641" s="15"/>
      <c r="AA2641" s="15"/>
    </row>
    <row r="2642" spans="1:27" s="25" customFormat="1" ht="12" customHeight="1" x14ac:dyDescent="0.2">
      <c r="A2642" s="232"/>
      <c r="B2642" s="250"/>
      <c r="C2642" s="286"/>
      <c r="D2642" s="232"/>
      <c r="E2642" s="232"/>
      <c r="F2642" s="232"/>
      <c r="G2642" s="232"/>
      <c r="H2642" s="232"/>
      <c r="I2642" s="232"/>
      <c r="J2642" s="232"/>
      <c r="K2642" s="232"/>
      <c r="L2642" s="232"/>
      <c r="M2642" s="232"/>
      <c r="N2642" s="232"/>
      <c r="O2642" s="232"/>
      <c r="P2642" s="232"/>
      <c r="Q2642" s="232"/>
      <c r="R2642" s="232"/>
      <c r="S2642" s="232"/>
      <c r="T2642" s="232"/>
      <c r="U2642" s="232"/>
      <c r="V2642" s="15"/>
      <c r="W2642" s="15"/>
      <c r="X2642" s="15"/>
      <c r="Y2642" s="15"/>
      <c r="Z2642" s="15"/>
      <c r="AA2642" s="15"/>
    </row>
    <row r="2643" spans="1:27" s="25" customFormat="1" ht="12" customHeight="1" x14ac:dyDescent="0.2">
      <c r="A2643" s="232"/>
      <c r="B2643" s="250"/>
      <c r="C2643" s="286"/>
      <c r="D2643" s="232"/>
      <c r="E2643" s="232"/>
      <c r="F2643" s="232"/>
      <c r="G2643" s="232"/>
      <c r="H2643" s="232"/>
      <c r="I2643" s="232"/>
      <c r="J2643" s="232"/>
      <c r="K2643" s="232"/>
      <c r="L2643" s="232"/>
      <c r="M2643" s="232"/>
      <c r="N2643" s="232"/>
      <c r="O2643" s="232"/>
      <c r="P2643" s="232"/>
      <c r="Q2643" s="232"/>
      <c r="R2643" s="232"/>
      <c r="S2643" s="232"/>
      <c r="T2643" s="232"/>
      <c r="U2643" s="232"/>
      <c r="V2643" s="15"/>
      <c r="W2643" s="15"/>
      <c r="X2643" s="15"/>
      <c r="Y2643" s="15"/>
      <c r="Z2643" s="15"/>
      <c r="AA2643" s="15"/>
    </row>
    <row r="2644" spans="1:27" s="25" customFormat="1" ht="12" customHeight="1" x14ac:dyDescent="0.2">
      <c r="A2644" s="232"/>
      <c r="B2644" s="250"/>
      <c r="C2644" s="286"/>
      <c r="D2644" s="232"/>
      <c r="E2644" s="232"/>
      <c r="F2644" s="232"/>
      <c r="G2644" s="232"/>
      <c r="H2644" s="232"/>
      <c r="I2644" s="232"/>
      <c r="J2644" s="232"/>
      <c r="K2644" s="232"/>
      <c r="L2644" s="232"/>
      <c r="M2644" s="232"/>
      <c r="N2644" s="232"/>
      <c r="O2644" s="232"/>
      <c r="P2644" s="232"/>
      <c r="Q2644" s="232"/>
      <c r="R2644" s="232"/>
      <c r="S2644" s="232"/>
      <c r="T2644" s="232"/>
      <c r="U2644" s="232"/>
      <c r="V2644" s="15"/>
      <c r="W2644" s="15"/>
      <c r="X2644" s="15"/>
      <c r="Y2644" s="15"/>
      <c r="Z2644" s="15"/>
      <c r="AA2644" s="15"/>
    </row>
    <row r="2645" spans="1:27" s="25" customFormat="1" ht="12" customHeight="1" x14ac:dyDescent="0.2">
      <c r="A2645" s="232"/>
      <c r="B2645" s="250"/>
      <c r="C2645" s="286"/>
      <c r="D2645" s="232"/>
      <c r="E2645" s="232"/>
      <c r="F2645" s="232"/>
      <c r="G2645" s="232"/>
      <c r="H2645" s="232"/>
      <c r="I2645" s="232"/>
      <c r="J2645" s="232"/>
      <c r="K2645" s="232"/>
      <c r="L2645" s="232"/>
      <c r="M2645" s="232"/>
      <c r="N2645" s="232"/>
      <c r="O2645" s="232"/>
      <c r="P2645" s="232"/>
      <c r="Q2645" s="232"/>
      <c r="R2645" s="232"/>
      <c r="S2645" s="232"/>
      <c r="T2645" s="232"/>
      <c r="U2645" s="232"/>
      <c r="V2645" s="15"/>
      <c r="W2645" s="15"/>
      <c r="X2645" s="15"/>
      <c r="Y2645" s="15"/>
      <c r="Z2645" s="15"/>
      <c r="AA2645" s="15"/>
    </row>
    <row r="2646" spans="1:27" s="25" customFormat="1" ht="12" customHeight="1" x14ac:dyDescent="0.2">
      <c r="A2646" s="232"/>
      <c r="B2646" s="250"/>
      <c r="C2646" s="286"/>
      <c r="D2646" s="232"/>
      <c r="E2646" s="232"/>
      <c r="F2646" s="232"/>
      <c r="G2646" s="232"/>
      <c r="H2646" s="232"/>
      <c r="I2646" s="232"/>
      <c r="J2646" s="232"/>
      <c r="K2646" s="232"/>
      <c r="L2646" s="232"/>
      <c r="M2646" s="232"/>
      <c r="N2646" s="232"/>
      <c r="O2646" s="232"/>
      <c r="P2646" s="232"/>
      <c r="Q2646" s="232"/>
      <c r="R2646" s="232"/>
      <c r="S2646" s="232"/>
      <c r="T2646" s="232"/>
      <c r="U2646" s="232"/>
      <c r="V2646" s="15"/>
      <c r="W2646" s="15"/>
      <c r="X2646" s="15"/>
      <c r="Y2646" s="15"/>
      <c r="Z2646" s="15"/>
      <c r="AA2646" s="15"/>
    </row>
    <row r="2647" spans="1:27" s="25" customFormat="1" ht="12" customHeight="1" x14ac:dyDescent="0.2">
      <c r="A2647" s="232"/>
      <c r="B2647" s="250"/>
      <c r="C2647" s="286"/>
      <c r="D2647" s="232"/>
      <c r="E2647" s="232"/>
      <c r="F2647" s="232"/>
      <c r="G2647" s="232"/>
      <c r="H2647" s="232"/>
      <c r="I2647" s="232"/>
      <c r="J2647" s="232"/>
      <c r="K2647" s="232"/>
      <c r="L2647" s="232"/>
      <c r="M2647" s="232"/>
      <c r="N2647" s="232"/>
      <c r="O2647" s="232"/>
      <c r="P2647" s="232"/>
      <c r="Q2647" s="232"/>
      <c r="R2647" s="232"/>
      <c r="S2647" s="232"/>
      <c r="T2647" s="232"/>
      <c r="U2647" s="232"/>
      <c r="V2647" s="15"/>
      <c r="W2647" s="15"/>
      <c r="X2647" s="15"/>
      <c r="Y2647" s="15"/>
      <c r="Z2647" s="15"/>
      <c r="AA2647" s="15"/>
    </row>
    <row r="2648" spans="1:27" s="25" customFormat="1" ht="12" customHeight="1" x14ac:dyDescent="0.2">
      <c r="A2648" s="232"/>
      <c r="B2648" s="250"/>
      <c r="C2648" s="286"/>
      <c r="D2648" s="232"/>
      <c r="E2648" s="232"/>
      <c r="F2648" s="232"/>
      <c r="G2648" s="232"/>
      <c r="H2648" s="232"/>
      <c r="I2648" s="232"/>
      <c r="J2648" s="232"/>
      <c r="K2648" s="232"/>
      <c r="L2648" s="232"/>
      <c r="M2648" s="232"/>
      <c r="N2648" s="232"/>
      <c r="O2648" s="232"/>
      <c r="P2648" s="232"/>
      <c r="Q2648" s="232"/>
      <c r="R2648" s="232"/>
      <c r="S2648" s="232"/>
      <c r="T2648" s="232"/>
      <c r="U2648" s="232"/>
      <c r="V2648" s="15"/>
      <c r="W2648" s="15"/>
      <c r="X2648" s="15"/>
      <c r="Y2648" s="15"/>
      <c r="Z2648" s="15"/>
      <c r="AA2648" s="15"/>
    </row>
    <row r="2649" spans="1:27" s="25" customFormat="1" ht="12" customHeight="1" x14ac:dyDescent="0.2">
      <c r="A2649" s="232"/>
      <c r="B2649" s="250"/>
      <c r="C2649" s="286"/>
      <c r="D2649" s="232"/>
      <c r="E2649" s="232"/>
      <c r="F2649" s="232"/>
      <c r="G2649" s="232"/>
      <c r="H2649" s="232"/>
      <c r="I2649" s="232"/>
      <c r="J2649" s="232"/>
      <c r="K2649" s="232"/>
      <c r="L2649" s="232"/>
      <c r="M2649" s="232"/>
      <c r="N2649" s="232"/>
      <c r="O2649" s="232"/>
      <c r="P2649" s="232"/>
      <c r="Q2649" s="232"/>
      <c r="R2649" s="232"/>
      <c r="S2649" s="232"/>
      <c r="T2649" s="232"/>
      <c r="U2649" s="232"/>
      <c r="V2649" s="15"/>
      <c r="W2649" s="15"/>
      <c r="X2649" s="15"/>
      <c r="Y2649" s="15"/>
      <c r="Z2649" s="15"/>
      <c r="AA2649" s="15"/>
    </row>
    <row r="2650" spans="1:27" s="25" customFormat="1" ht="12" customHeight="1" x14ac:dyDescent="0.2">
      <c r="A2650" s="232"/>
      <c r="B2650" s="250"/>
      <c r="C2650" s="286"/>
      <c r="D2650" s="232"/>
      <c r="E2650" s="232"/>
      <c r="F2650" s="232"/>
      <c r="G2650" s="232"/>
      <c r="H2650" s="232"/>
      <c r="I2650" s="232"/>
      <c r="J2650" s="232"/>
      <c r="K2650" s="232"/>
      <c r="L2650" s="232"/>
      <c r="M2650" s="232"/>
      <c r="N2650" s="232"/>
      <c r="O2650" s="232"/>
      <c r="P2650" s="232"/>
      <c r="Q2650" s="232"/>
      <c r="R2650" s="232"/>
      <c r="S2650" s="232"/>
      <c r="T2650" s="232"/>
      <c r="U2650" s="232"/>
      <c r="V2650" s="15"/>
      <c r="W2650" s="15"/>
      <c r="X2650" s="15"/>
      <c r="Y2650" s="15"/>
      <c r="Z2650" s="15"/>
      <c r="AA2650" s="15"/>
    </row>
    <row r="2651" spans="1:27" s="25" customFormat="1" ht="12" customHeight="1" x14ac:dyDescent="0.2">
      <c r="A2651" s="232"/>
      <c r="B2651" s="250"/>
      <c r="C2651" s="286"/>
      <c r="D2651" s="232"/>
      <c r="E2651" s="232"/>
      <c r="F2651" s="232"/>
      <c r="G2651" s="232"/>
      <c r="H2651" s="232"/>
      <c r="I2651" s="232"/>
      <c r="J2651" s="232"/>
      <c r="K2651" s="232"/>
      <c r="L2651" s="232"/>
      <c r="M2651" s="232"/>
      <c r="N2651" s="232"/>
      <c r="O2651" s="232"/>
      <c r="P2651" s="232"/>
      <c r="Q2651" s="232"/>
      <c r="R2651" s="232"/>
      <c r="S2651" s="232"/>
      <c r="T2651" s="232"/>
      <c r="U2651" s="232"/>
      <c r="V2651" s="15"/>
      <c r="W2651" s="15"/>
      <c r="X2651" s="15"/>
      <c r="Y2651" s="15"/>
      <c r="Z2651" s="15"/>
      <c r="AA2651" s="15"/>
    </row>
    <row r="2652" spans="1:27" s="25" customFormat="1" ht="12" customHeight="1" x14ac:dyDescent="0.2">
      <c r="A2652" s="232"/>
      <c r="B2652" s="250"/>
      <c r="C2652" s="286"/>
      <c r="D2652" s="232"/>
      <c r="E2652" s="232"/>
      <c r="F2652" s="232"/>
      <c r="G2652" s="232"/>
      <c r="H2652" s="232"/>
      <c r="I2652" s="232"/>
      <c r="J2652" s="232"/>
      <c r="K2652" s="232"/>
      <c r="L2652" s="232"/>
      <c r="M2652" s="232"/>
      <c r="N2652" s="232"/>
      <c r="O2652" s="232"/>
      <c r="P2652" s="232"/>
      <c r="Q2652" s="232"/>
      <c r="R2652" s="232"/>
      <c r="S2652" s="232"/>
      <c r="T2652" s="232"/>
      <c r="U2652" s="232"/>
      <c r="V2652" s="15"/>
      <c r="W2652" s="15"/>
      <c r="X2652" s="15"/>
      <c r="Y2652" s="15"/>
      <c r="Z2652" s="15"/>
      <c r="AA2652" s="15"/>
    </row>
    <row r="2653" spans="1:27" s="25" customFormat="1" ht="12" customHeight="1" x14ac:dyDescent="0.2">
      <c r="A2653" s="232"/>
      <c r="B2653" s="250"/>
      <c r="C2653" s="286"/>
      <c r="D2653" s="232"/>
      <c r="E2653" s="232"/>
      <c r="F2653" s="232"/>
      <c r="G2653" s="232"/>
      <c r="H2653" s="232"/>
      <c r="I2653" s="232"/>
      <c r="J2653" s="232"/>
      <c r="K2653" s="232"/>
      <c r="L2653" s="232"/>
      <c r="M2653" s="232"/>
      <c r="N2653" s="232"/>
      <c r="O2653" s="232"/>
      <c r="P2653" s="232"/>
      <c r="Q2653" s="232"/>
      <c r="R2653" s="232"/>
      <c r="S2653" s="232"/>
      <c r="T2653" s="232"/>
      <c r="U2653" s="232"/>
      <c r="V2653" s="15"/>
      <c r="W2653" s="15"/>
      <c r="X2653" s="15"/>
      <c r="Y2653" s="15"/>
      <c r="Z2653" s="15"/>
      <c r="AA2653" s="15"/>
    </row>
    <row r="2654" spans="1:27" s="25" customFormat="1" ht="12" customHeight="1" x14ac:dyDescent="0.2">
      <c r="A2654" s="232"/>
      <c r="B2654" s="250"/>
      <c r="C2654" s="286"/>
      <c r="D2654" s="232"/>
      <c r="E2654" s="232"/>
      <c r="F2654" s="232"/>
      <c r="G2654" s="232"/>
      <c r="H2654" s="232"/>
      <c r="I2654" s="232"/>
      <c r="J2654" s="232"/>
      <c r="K2654" s="232"/>
      <c r="L2654" s="232"/>
      <c r="M2654" s="232"/>
      <c r="N2654" s="232"/>
      <c r="O2654" s="232"/>
      <c r="P2654" s="232"/>
      <c r="Q2654" s="232"/>
      <c r="R2654" s="232"/>
      <c r="S2654" s="232"/>
      <c r="T2654" s="232"/>
      <c r="U2654" s="232"/>
      <c r="V2654" s="15"/>
      <c r="W2654" s="15"/>
      <c r="X2654" s="15"/>
      <c r="Y2654" s="15"/>
      <c r="Z2654" s="15"/>
      <c r="AA2654" s="15"/>
    </row>
    <row r="2655" spans="1:27" s="25" customFormat="1" ht="12" customHeight="1" x14ac:dyDescent="0.2">
      <c r="A2655" s="232"/>
      <c r="B2655" s="250"/>
      <c r="C2655" s="286"/>
      <c r="D2655" s="232"/>
      <c r="E2655" s="232"/>
      <c r="F2655" s="232"/>
      <c r="G2655" s="232"/>
      <c r="H2655" s="232"/>
      <c r="I2655" s="232"/>
      <c r="J2655" s="232"/>
      <c r="K2655" s="232"/>
      <c r="L2655" s="232"/>
      <c r="M2655" s="232"/>
      <c r="N2655" s="232"/>
      <c r="O2655" s="232"/>
      <c r="P2655" s="232"/>
      <c r="Q2655" s="232"/>
      <c r="R2655" s="232"/>
      <c r="S2655" s="232"/>
      <c r="T2655" s="232"/>
      <c r="U2655" s="232"/>
      <c r="V2655" s="15"/>
      <c r="W2655" s="15"/>
      <c r="X2655" s="15"/>
      <c r="Y2655" s="15"/>
      <c r="Z2655" s="15"/>
      <c r="AA2655" s="15"/>
    </row>
    <row r="2656" spans="1:27" s="25" customFormat="1" ht="12" customHeight="1" x14ac:dyDescent="0.2">
      <c r="A2656" s="232"/>
      <c r="B2656" s="250"/>
      <c r="C2656" s="286"/>
      <c r="D2656" s="232"/>
      <c r="E2656" s="232"/>
      <c r="F2656" s="232"/>
      <c r="G2656" s="232"/>
      <c r="H2656" s="232"/>
      <c r="I2656" s="232"/>
      <c r="J2656" s="232"/>
      <c r="K2656" s="232"/>
      <c r="L2656" s="232"/>
      <c r="M2656" s="232"/>
      <c r="N2656" s="232"/>
      <c r="O2656" s="232"/>
      <c r="P2656" s="232"/>
      <c r="Q2656" s="232"/>
      <c r="R2656" s="232"/>
      <c r="S2656" s="232"/>
      <c r="T2656" s="232"/>
      <c r="U2656" s="232"/>
      <c r="V2656" s="15"/>
      <c r="W2656" s="15"/>
      <c r="X2656" s="15"/>
      <c r="Y2656" s="15"/>
      <c r="Z2656" s="15"/>
      <c r="AA2656" s="15"/>
    </row>
    <row r="2657" spans="1:27" s="25" customFormat="1" ht="12" customHeight="1" x14ac:dyDescent="0.2">
      <c r="A2657" s="232"/>
      <c r="B2657" s="250"/>
      <c r="C2657" s="286"/>
      <c r="D2657" s="232"/>
      <c r="E2657" s="232"/>
      <c r="F2657" s="232"/>
      <c r="G2657" s="232"/>
      <c r="H2657" s="232"/>
      <c r="I2657" s="232"/>
      <c r="J2657" s="232"/>
      <c r="K2657" s="232"/>
      <c r="L2657" s="232"/>
      <c r="M2657" s="232"/>
      <c r="N2657" s="232"/>
      <c r="O2657" s="232"/>
      <c r="P2657" s="232"/>
      <c r="Q2657" s="232"/>
      <c r="R2657" s="232"/>
      <c r="S2657" s="232"/>
      <c r="T2657" s="232"/>
      <c r="U2657" s="232"/>
      <c r="V2657" s="15"/>
      <c r="W2657" s="15"/>
      <c r="X2657" s="15"/>
      <c r="Y2657" s="15"/>
      <c r="Z2657" s="15"/>
      <c r="AA2657" s="15"/>
    </row>
    <row r="2658" spans="1:27" s="25" customFormat="1" ht="12" customHeight="1" x14ac:dyDescent="0.2">
      <c r="A2658" s="232"/>
      <c r="B2658" s="250"/>
      <c r="C2658" s="286"/>
      <c r="D2658" s="232"/>
      <c r="E2658" s="232"/>
      <c r="F2658" s="232"/>
      <c r="G2658" s="232"/>
      <c r="H2658" s="232"/>
      <c r="I2658" s="232"/>
      <c r="J2658" s="232"/>
      <c r="K2658" s="232"/>
      <c r="L2658" s="232"/>
      <c r="M2658" s="232"/>
      <c r="N2658" s="232"/>
      <c r="O2658" s="232"/>
      <c r="P2658" s="232"/>
      <c r="Q2658" s="232"/>
      <c r="R2658" s="232"/>
      <c r="S2658" s="232"/>
      <c r="T2658" s="232"/>
      <c r="U2658" s="232"/>
      <c r="V2658" s="15"/>
      <c r="W2658" s="15"/>
      <c r="X2658" s="15"/>
      <c r="Y2658" s="15"/>
      <c r="Z2658" s="15"/>
      <c r="AA2658" s="15"/>
    </row>
  </sheetData>
  <sheetProtection algorithmName="SHA-512" hashValue="n+tD6rTZUqxpmPRjvabkdZb02G/JpU7wY4Hc8tSHpFLjNWh1xsoXfqIxG3ll9QG8Fx544tG0Ag2OBc/rRPWb7A==" saltValue="GGZFmSPKVQzSN+CYX2L+Yg==" spinCount="100000" sheet="1" objects="1" scenarios="1"/>
  <conditionalFormatting sqref="A1:S1 U1:XFD1">
    <cfRule type="expression" dxfId="414" priority="66">
      <formula>$A1="MODEL ERROR"</formula>
    </cfRule>
  </conditionalFormatting>
  <conditionalFormatting sqref="T1">
    <cfRule type="expression" dxfId="413" priority="59">
      <formula>$A1="MODEL ERROR"</formula>
    </cfRule>
  </conditionalFormatting>
  <conditionalFormatting sqref="C2">
    <cfRule type="expression" dxfId="412" priority="43">
      <formula>_&lt;&gt;0</formula>
    </cfRule>
    <cfRule type="expression" dxfId="411" priority="44">
      <formula>_=0</formula>
    </cfRule>
  </conditionalFormatting>
  <conditionalFormatting sqref="D120:E120 M120:S120">
    <cfRule type="cellIs" dxfId="410" priority="41" stopIfTrue="1" operator="equal">
      <formula>0</formula>
    </cfRule>
    <cfRule type="cellIs" dxfId="409" priority="42" stopIfTrue="1" operator="notEqual">
      <formula>0</formula>
    </cfRule>
  </conditionalFormatting>
  <conditionalFormatting sqref="D121:E121">
    <cfRule type="cellIs" dxfId="408" priority="37" stopIfTrue="1" operator="equal">
      <formula>0</formula>
    </cfRule>
    <cfRule type="cellIs" dxfId="407" priority="38" stopIfTrue="1" operator="notEqual">
      <formula>0</formula>
    </cfRule>
  </conditionalFormatting>
  <conditionalFormatting sqref="M121:S121">
    <cfRule type="cellIs" dxfId="406" priority="35" stopIfTrue="1" operator="equal">
      <formula>0</formula>
    </cfRule>
    <cfRule type="cellIs" dxfId="405" priority="36" stopIfTrue="1" operator="notEqual">
      <formula>0</formula>
    </cfRule>
  </conditionalFormatting>
  <conditionalFormatting sqref="D122:E122">
    <cfRule type="cellIs" dxfId="404" priority="33" stopIfTrue="1" operator="equal">
      <formula>0</formula>
    </cfRule>
    <cfRule type="cellIs" dxfId="403" priority="34" stopIfTrue="1" operator="notEqual">
      <formula>0</formula>
    </cfRule>
  </conditionalFormatting>
  <conditionalFormatting sqref="M122:S122">
    <cfRule type="cellIs" dxfId="402" priority="31" stopIfTrue="1" operator="equal">
      <formula>0</formula>
    </cfRule>
    <cfRule type="cellIs" dxfId="401" priority="32" stopIfTrue="1" operator="notEqual">
      <formula>0</formula>
    </cfRule>
  </conditionalFormatting>
  <conditionalFormatting sqref="D123:E123">
    <cfRule type="cellIs" dxfId="400" priority="17" stopIfTrue="1" operator="equal">
      <formula>0</formula>
    </cfRule>
    <cfRule type="cellIs" dxfId="399" priority="18" stopIfTrue="1" operator="notEqual">
      <formula>0</formula>
    </cfRule>
  </conditionalFormatting>
  <conditionalFormatting sqref="M123:S123">
    <cfRule type="cellIs" dxfId="398" priority="15" stopIfTrue="1" operator="equal">
      <formula>0</formula>
    </cfRule>
    <cfRule type="cellIs" dxfId="397" priority="16" stopIfTrue="1" operator="notEqual">
      <formula>0</formula>
    </cfRule>
  </conditionalFormatting>
  <conditionalFormatting sqref="L123:S123">
    <cfRule type="cellIs" dxfId="396" priority="13" stopIfTrue="1" operator="equal">
      <formula>0</formula>
    </cfRule>
    <cfRule type="cellIs" dxfId="395" priority="14" stopIfTrue="1" operator="notEqual">
      <formula>0</formula>
    </cfRule>
  </conditionalFormatting>
  <conditionalFormatting sqref="L120">
    <cfRule type="cellIs" dxfId="394" priority="5" stopIfTrue="1" operator="equal">
      <formula>0</formula>
    </cfRule>
    <cfRule type="cellIs" dxfId="393" priority="6" stopIfTrue="1" operator="notEqual">
      <formula>0</formula>
    </cfRule>
  </conditionalFormatting>
  <conditionalFormatting sqref="L121">
    <cfRule type="cellIs" dxfId="392" priority="3" stopIfTrue="1" operator="equal">
      <formula>0</formula>
    </cfRule>
    <cfRule type="cellIs" dxfId="391" priority="4" stopIfTrue="1" operator="notEqual">
      <formula>0</formula>
    </cfRule>
  </conditionalFormatting>
  <conditionalFormatting sqref="L122">
    <cfRule type="cellIs" dxfId="390" priority="1" stopIfTrue="1" operator="equal">
      <formula>0</formula>
    </cfRule>
    <cfRule type="cellIs" dxfId="389"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1" manualBreakCount="1">
    <brk id="73" min="1"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7941E"/>
  </sheetPr>
  <dimension ref="A1:AA2"/>
  <sheetViews>
    <sheetView showGridLines="0" zoomScale="85" zoomScaleNormal="85" workbookViewId="0"/>
  </sheetViews>
  <sheetFormatPr defaultColWidth="0" defaultRowHeight="12.75" x14ac:dyDescent="0.2"/>
  <cols>
    <col min="1" max="1" width="2.75" style="27" customWidth="1"/>
    <col min="2" max="2" width="35.75" style="27" customWidth="1"/>
    <col min="3" max="4" width="15.75" style="27" customWidth="1"/>
    <col min="5" max="6" width="2.75" style="27" customWidth="1"/>
    <col min="7" max="19" width="10.75" style="27" customWidth="1"/>
    <col min="20" max="20" width="2.75" style="27" customWidth="1"/>
    <col min="21" max="24" width="10.75" style="27" customWidth="1"/>
    <col min="25" max="25" width="2.75" style="27" customWidth="1"/>
    <col min="26" max="16384" width="0" style="27" hidden="1"/>
  </cols>
  <sheetData>
    <row r="1" spans="1:27" s="15" customFormat="1" ht="12" customHeight="1" x14ac:dyDescent="0.2">
      <c r="A1" s="13"/>
      <c r="B1" s="13"/>
      <c r="C1" s="14"/>
      <c r="D1" s="13"/>
      <c r="E1" s="13"/>
      <c r="F1" s="13"/>
      <c r="G1" s="13"/>
      <c r="H1" s="13"/>
      <c r="I1" s="13"/>
      <c r="J1" s="13"/>
      <c r="K1" s="13"/>
      <c r="L1" s="13"/>
      <c r="M1" s="13"/>
      <c r="N1" s="13"/>
      <c r="O1" s="13"/>
      <c r="P1" s="13"/>
      <c r="Q1" s="13"/>
      <c r="R1" s="13"/>
      <c r="S1" s="13"/>
      <c r="T1" s="13"/>
      <c r="U1" s="13"/>
      <c r="V1" s="13"/>
      <c r="W1" s="13"/>
      <c r="X1" s="13"/>
      <c r="Y1" s="13"/>
      <c r="Z1" s="13"/>
      <c r="AA1" s="13"/>
    </row>
    <row r="2" spans="1:27" x14ac:dyDescent="0.2">
      <c r="B2" s="32" t="s">
        <v>41</v>
      </c>
    </row>
  </sheetData>
  <sheetProtection algorithmName="SHA-512" hashValue="g+sg+0U1nZ3oOsI7mcb/xZZrfKnuq1fkIbTNkUvQk5ba8ixx3JgKucAjrwVAKb4qc0D1YLO9vlgua4kf2YdAIg==" saltValue="vn8PyLL34pL3bWIGrHHE8A==" spinCount="100000" sheet="1" objects="1" scenarios="1"/>
  <pageMargins left="0.70866141732283472" right="0.70866141732283472" top="0.74803149606299213" bottom="0.74803149606299213" header="0.31496062992125984" footer="0.31496062992125984"/>
  <pageSetup paperSize="9" scale="105" orientation="landscape"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XFC2894"/>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9.375" defaultRowHeight="12" customHeight="1" x14ac:dyDescent="0.2"/>
  <cols>
    <col min="1" max="1" width="2.75" style="232" customWidth="1"/>
    <col min="2" max="2" width="35.75" style="232" customWidth="1"/>
    <col min="3" max="3" width="15.75" style="286" customWidth="1"/>
    <col min="4" max="5" width="15.75" style="232" customWidth="1"/>
    <col min="6" max="7" width="2.75" style="232" customWidth="1"/>
    <col min="8" max="20" width="10.75" style="232" customWidth="1"/>
    <col min="21" max="21" width="2.75" style="232" customWidth="1"/>
    <col min="22" max="27" width="9.375" style="232" customWidth="1"/>
    <col min="28" max="16384" width="9.375" style="232"/>
  </cols>
  <sheetData>
    <row r="1" spans="1:24" ht="12" customHeight="1" x14ac:dyDescent="0.2">
      <c r="A1" s="229"/>
      <c r="B1" s="229"/>
      <c r="C1" s="276"/>
      <c r="D1" s="229"/>
      <c r="E1" s="229"/>
      <c r="F1" s="229"/>
      <c r="G1" s="229"/>
      <c r="H1" s="229"/>
      <c r="I1" s="229"/>
      <c r="J1" s="229"/>
      <c r="K1" s="229"/>
      <c r="L1" s="229"/>
      <c r="M1" s="229"/>
      <c r="N1" s="229"/>
      <c r="O1" s="229"/>
      <c r="P1" s="229"/>
      <c r="Q1" s="229"/>
      <c r="R1" s="229"/>
      <c r="S1" s="229"/>
      <c r="T1" s="229"/>
      <c r="U1" s="229"/>
      <c r="V1" s="229"/>
      <c r="W1" s="229"/>
      <c r="X1" s="229"/>
    </row>
    <row r="2" spans="1:24" s="229" customFormat="1" ht="15" customHeight="1" x14ac:dyDescent="0.25">
      <c r="B2" s="212" t="str">
        <f ca="1">MID(CELL("filename",B2),FIND("]",CELL("filename",B2))+1,255)</f>
        <v xml:space="preserve">Escalators </v>
      </c>
      <c r="C2" s="241" t="str">
        <f>'Global inputs'!$C$2</f>
        <v>Model: Ok</v>
      </c>
      <c r="D2" s="277"/>
      <c r="E2" s="277"/>
      <c r="F2" s="242"/>
      <c r="G2" s="242"/>
      <c r="H2" s="242"/>
      <c r="I2" s="242"/>
      <c r="J2" s="242"/>
      <c r="K2" s="242"/>
      <c r="L2" s="242"/>
      <c r="M2" s="242"/>
      <c r="N2" s="242"/>
      <c r="O2" s="242"/>
      <c r="P2" s="242"/>
      <c r="Q2" s="242"/>
      <c r="R2" s="242"/>
      <c r="S2" s="242"/>
      <c r="T2" s="242"/>
    </row>
    <row r="3" spans="1:24" s="243" customFormat="1" ht="12" customHeight="1" x14ac:dyDescent="0.2">
      <c r="B3" s="300"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'Global inputs'!S3</f>
        <v>45748</v>
      </c>
      <c r="T3" s="213"/>
    </row>
    <row r="4" spans="1:24" s="243" customFormat="1" ht="12" customHeight="1" x14ac:dyDescent="0.2">
      <c r="B4" s="300"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'Global inputs'!S4</f>
        <v>46112</v>
      </c>
      <c r="T4" s="213"/>
    </row>
    <row r="5" spans="1:24" s="243" customFormat="1" ht="12" customHeight="1" x14ac:dyDescent="0.2">
      <c r="B5" s="300"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'Global inputs'!S5</f>
        <v>RY26</v>
      </c>
      <c r="T5" s="214"/>
    </row>
    <row r="6" spans="1:24" s="243" customFormat="1" ht="12" customHeight="1" x14ac:dyDescent="0.2">
      <c r="B6" s="300" t="s">
        <v>45</v>
      </c>
      <c r="C6" s="278"/>
      <c r="D6" s="279"/>
      <c r="E6" s="279"/>
      <c r="F6" s="244"/>
      <c r="G6" s="247"/>
      <c r="H6" s="215" t="s">
        <v>46</v>
      </c>
      <c r="I6" s="216"/>
      <c r="J6" s="216"/>
      <c r="K6" s="216"/>
      <c r="L6" s="216"/>
      <c r="M6" s="215" t="s">
        <v>47</v>
      </c>
      <c r="N6" s="216"/>
      <c r="O6" s="215" t="s">
        <v>48</v>
      </c>
      <c r="P6" s="216"/>
      <c r="Q6" s="216"/>
      <c r="R6" s="216"/>
      <c r="S6" s="301"/>
      <c r="T6" s="215" t="s">
        <v>49</v>
      </c>
    </row>
    <row r="7" spans="1:24" ht="12" customHeight="1" x14ac:dyDescent="0.2">
      <c r="B7" s="242"/>
      <c r="C7" s="280"/>
      <c r="D7" s="248"/>
      <c r="E7" s="248"/>
      <c r="F7" s="242"/>
      <c r="G7" s="242"/>
      <c r="H7" s="242"/>
      <c r="I7" s="242"/>
      <c r="J7" s="242"/>
      <c r="K7" s="242"/>
      <c r="L7" s="242"/>
      <c r="M7" s="242"/>
      <c r="N7" s="242"/>
      <c r="O7" s="242"/>
      <c r="P7" s="242"/>
      <c r="Q7" s="242"/>
      <c r="R7" s="242"/>
      <c r="S7" s="242"/>
      <c r="T7" s="242"/>
    </row>
    <row r="8" spans="1:24" ht="12" customHeight="1" x14ac:dyDescent="0.2">
      <c r="B8" s="242"/>
      <c r="C8" s="280"/>
      <c r="D8" s="248"/>
      <c r="E8" s="248"/>
      <c r="F8" s="242"/>
      <c r="G8" s="242"/>
      <c r="H8" s="242"/>
      <c r="I8" s="242"/>
      <c r="J8" s="242"/>
      <c r="K8" s="242"/>
      <c r="L8" s="242"/>
      <c r="M8" s="242"/>
      <c r="N8" s="242"/>
      <c r="O8" s="242"/>
      <c r="P8" s="242"/>
      <c r="Q8" s="242"/>
      <c r="R8" s="242"/>
      <c r="S8" s="242"/>
      <c r="T8" s="242"/>
    </row>
    <row r="9" spans="1:24" s="229" customFormat="1" ht="12" customHeight="1" x14ac:dyDescent="0.2">
      <c r="A9" s="232"/>
      <c r="B9" s="283" t="s">
        <v>219</v>
      </c>
      <c r="C9" s="284" t="s">
        <v>51</v>
      </c>
      <c r="D9" s="285" t="s">
        <v>52</v>
      </c>
      <c r="E9" s="284" t="s">
        <v>53</v>
      </c>
      <c r="F9" s="242"/>
      <c r="G9" s="302"/>
      <c r="H9" s="302"/>
      <c r="I9" s="302"/>
      <c r="J9" s="302"/>
      <c r="K9" s="242"/>
      <c r="L9" s="242"/>
      <c r="M9" s="242"/>
      <c r="N9" s="242"/>
      <c r="O9" s="242"/>
      <c r="P9" s="242"/>
      <c r="Q9" s="242"/>
      <c r="R9" s="242"/>
      <c r="S9" s="242"/>
    </row>
    <row r="10" spans="1:24" ht="12" customHeight="1" x14ac:dyDescent="0.2">
      <c r="H10" s="229"/>
      <c r="I10" s="229"/>
      <c r="J10" s="229"/>
      <c r="K10" s="229"/>
      <c r="O10" s="229"/>
      <c r="P10" s="229"/>
      <c r="Q10" s="229"/>
      <c r="R10" s="229"/>
      <c r="S10" s="229"/>
      <c r="T10" s="229"/>
      <c r="U10" s="229"/>
      <c r="V10" s="229"/>
      <c r="W10" s="229"/>
    </row>
    <row r="11" spans="1:24" ht="12" customHeight="1" x14ac:dyDescent="0.2">
      <c r="B11" s="287" t="s">
        <v>192</v>
      </c>
      <c r="H11" s="229"/>
      <c r="I11" s="229"/>
      <c r="J11" s="229"/>
      <c r="K11" s="229"/>
      <c r="O11" s="229"/>
      <c r="P11" s="229"/>
      <c r="Q11" s="229"/>
      <c r="R11" s="229"/>
      <c r="S11" s="229"/>
      <c r="T11" s="229"/>
      <c r="U11" s="229"/>
      <c r="V11" s="229"/>
      <c r="W11" s="229"/>
    </row>
    <row r="12" spans="1:24" ht="12" customHeight="1" x14ac:dyDescent="0.2">
      <c r="H12" s="229"/>
      <c r="I12" s="229"/>
      <c r="J12" s="229"/>
      <c r="K12" s="229"/>
      <c r="O12" s="229"/>
      <c r="P12" s="229"/>
      <c r="Q12" s="229"/>
      <c r="R12" s="229"/>
      <c r="S12" s="229"/>
      <c r="T12" s="229"/>
      <c r="U12" s="229"/>
      <c r="V12" s="229"/>
      <c r="W12" s="229"/>
    </row>
    <row r="13" spans="1:24" s="229" customFormat="1" ht="12" customHeight="1" x14ac:dyDescent="0.2">
      <c r="B13" s="230" t="str">
        <f>Escalators!B37</f>
        <v>Aluminium*</v>
      </c>
      <c r="C13" s="303" t="s">
        <v>69</v>
      </c>
      <c r="L13" s="232"/>
      <c r="M13" s="61">
        <f>Escalators!N37</f>
        <v>-4.1757349535112787E-2</v>
      </c>
      <c r="N13" s="61">
        <f>Escalators!O37</f>
        <v>2.3305412371134038E-2</v>
      </c>
      <c r="O13" s="61">
        <f>Escalators!P37</f>
        <v>1.5397743003345843E-2</v>
      </c>
      <c r="P13" s="61">
        <f>Escalators!Q37</f>
        <v>2.9792926142103493E-2</v>
      </c>
      <c r="Q13" s="61">
        <f>Escalators!R37</f>
        <v>2.719408901020004E-2</v>
      </c>
      <c r="R13" s="61">
        <f>Escalators!S37</f>
        <v>3.1099769957004586E-2</v>
      </c>
      <c r="S13" s="61">
        <f>Escalators!T37</f>
        <v>3.1099999999999905E-2</v>
      </c>
    </row>
    <row r="14" spans="1:24" ht="12" customHeight="1" x14ac:dyDescent="0.2">
      <c r="B14" s="230" t="str">
        <f>Escalators!B38</f>
        <v xml:space="preserve">Copper* </v>
      </c>
      <c r="C14" s="303" t="s">
        <v>69</v>
      </c>
      <c r="D14" s="229"/>
      <c r="E14" s="229"/>
      <c r="F14" s="229"/>
      <c r="G14" s="229"/>
      <c r="H14" s="229"/>
      <c r="I14" s="229"/>
      <c r="J14" s="229"/>
      <c r="K14" s="229"/>
      <c r="M14" s="61">
        <f>Escalators!N38</f>
        <v>-7.0146463275785109E-2</v>
      </c>
      <c r="N14" s="61">
        <f>Escalators!O38</f>
        <v>3.6974623314829591E-2</v>
      </c>
      <c r="O14" s="61">
        <f>Escalators!P38</f>
        <v>1.1516019040377357E-2</v>
      </c>
      <c r="P14" s="61">
        <f>Escalators!Q38</f>
        <v>2.5856171401564598E-2</v>
      </c>
      <c r="Q14" s="61">
        <f>Escalators!R38</f>
        <v>2.3267269261577184E-2</v>
      </c>
      <c r="R14" s="61">
        <f>Escalators!S38</f>
        <v>2.7158019334815098E-2</v>
      </c>
      <c r="S14" s="61">
        <f>Escalators!T38</f>
        <v>2.7199999999999891E-2</v>
      </c>
      <c r="T14" s="229"/>
      <c r="U14" s="229"/>
      <c r="V14" s="229"/>
      <c r="W14" s="229"/>
    </row>
    <row r="15" spans="1:24" ht="12" customHeight="1" x14ac:dyDescent="0.2">
      <c r="B15" s="230" t="str">
        <f>Escalators!B39</f>
        <v>Steel*</v>
      </c>
      <c r="C15" s="303" t="s">
        <v>69</v>
      </c>
      <c r="D15" s="229"/>
      <c r="E15" s="229"/>
      <c r="F15" s="229"/>
      <c r="G15" s="229"/>
      <c r="H15" s="229"/>
      <c r="I15" s="229"/>
      <c r="J15" s="229"/>
      <c r="K15" s="229"/>
      <c r="M15" s="61">
        <f>Escalators!N39</f>
        <v>-2.6614979545590445E-2</v>
      </c>
      <c r="N15" s="61">
        <f>Escalators!O39</f>
        <v>-3.1121892055791189E-2</v>
      </c>
      <c r="O15" s="61">
        <f>Escalators!P39</f>
        <v>-7.6502815506230837E-3</v>
      </c>
      <c r="P15" s="61">
        <f>Escalators!Q39</f>
        <v>6.4181522559376702E-3</v>
      </c>
      <c r="Q15" s="61">
        <f>Escalators!R39</f>
        <v>3.8783048770052453E-3</v>
      </c>
      <c r="R15" s="61">
        <f>Escalators!S39</f>
        <v>7.6953326522017917E-3</v>
      </c>
      <c r="S15" s="61">
        <f>Escalators!T39</f>
        <v>7.7000000000000401E-3</v>
      </c>
      <c r="T15" s="229"/>
      <c r="U15" s="229"/>
      <c r="V15" s="229"/>
      <c r="W15" s="229"/>
    </row>
    <row r="16" spans="1:24" ht="12" customHeight="1" x14ac:dyDescent="0.2">
      <c r="B16" s="230" t="str">
        <f>Escalators!B40</f>
        <v>Other capital goods</v>
      </c>
      <c r="C16" s="303" t="s">
        <v>69</v>
      </c>
      <c r="D16" s="229"/>
      <c r="E16" s="229"/>
      <c r="F16" s="229"/>
      <c r="G16" s="229"/>
      <c r="H16" s="229"/>
      <c r="I16" s="229"/>
      <c r="J16" s="229"/>
      <c r="K16" s="229"/>
      <c r="M16" s="61">
        <f>Escalators!N40</f>
        <v>2.8680688336520044E-2</v>
      </c>
      <c r="N16" s="61">
        <f>Escalators!O40</f>
        <v>2.0615457171786478E-2</v>
      </c>
      <c r="O16" s="61">
        <f>Escalators!P40</f>
        <v>1.701556910340507E-2</v>
      </c>
      <c r="P16" s="61">
        <f>Escalators!Q40</f>
        <v>1.6739177808136052E-2</v>
      </c>
      <c r="Q16" s="61">
        <f>Escalators!R40</f>
        <v>1.6877139988744627E-2</v>
      </c>
      <c r="R16" s="61">
        <f>Escalators!S40</f>
        <v>1.7493017119420307E-2</v>
      </c>
      <c r="S16" s="61">
        <f>Escalators!T40</f>
        <v>1.7493017119420307E-2</v>
      </c>
      <c r="T16" s="229"/>
      <c r="U16" s="229"/>
      <c r="V16" s="229"/>
      <c r="W16" s="229"/>
    </row>
    <row r="17" spans="2:23" ht="12" customHeight="1" x14ac:dyDescent="0.2">
      <c r="B17" s="230" t="str">
        <f>Escalators!B41</f>
        <v>Engineers</v>
      </c>
      <c r="C17" s="303" t="s">
        <v>69</v>
      </c>
      <c r="D17" s="229"/>
      <c r="E17" s="229"/>
      <c r="F17" s="229"/>
      <c r="G17" s="229"/>
      <c r="H17" s="229"/>
      <c r="I17" s="229"/>
      <c r="J17" s="229"/>
      <c r="K17" s="229"/>
      <c r="M17" s="61">
        <f>Escalators!N41</f>
        <v>2.5316455696202445E-2</v>
      </c>
      <c r="N17" s="61">
        <f>Escalators!O41</f>
        <v>1.4837191664034188E-2</v>
      </c>
      <c r="O17" s="61">
        <f>Escalators!P41</f>
        <v>1.4806669149541429E-2</v>
      </c>
      <c r="P17" s="61">
        <f>Escalators!Q41</f>
        <v>1.7265572940899254E-2</v>
      </c>
      <c r="Q17" s="61">
        <f>Escalators!R41</f>
        <v>1.7135528277707923E-2</v>
      </c>
      <c r="R17" s="61">
        <f>Escalators!S41</f>
        <v>2.0048233690236783E-2</v>
      </c>
      <c r="S17" s="61">
        <f>Escalators!T41</f>
        <v>2.0048233690236783E-2</v>
      </c>
      <c r="T17" s="229"/>
      <c r="U17" s="229"/>
      <c r="V17" s="229"/>
      <c r="W17" s="229"/>
    </row>
    <row r="18" spans="2:23" ht="12" customHeight="1" x14ac:dyDescent="0.2">
      <c r="B18" s="230" t="str">
        <f>Escalators!B42</f>
        <v xml:space="preserve">Professional  </v>
      </c>
      <c r="C18" s="303" t="s">
        <v>69</v>
      </c>
      <c r="D18" s="229"/>
      <c r="E18" s="229"/>
      <c r="F18" s="229"/>
      <c r="G18" s="229"/>
      <c r="H18" s="229"/>
      <c r="I18" s="229"/>
      <c r="J18" s="229"/>
      <c r="K18" s="229"/>
      <c r="M18" s="61">
        <f>Escalators!N42</f>
        <v>2.5316455696202445E-2</v>
      </c>
      <c r="N18" s="61">
        <f>Escalators!O42</f>
        <v>1.4837191664034188E-2</v>
      </c>
      <c r="O18" s="61">
        <f>Escalators!P42</f>
        <v>1.4806669149541429E-2</v>
      </c>
      <c r="P18" s="61">
        <f>Escalators!Q42</f>
        <v>1.7265572940899254E-2</v>
      </c>
      <c r="Q18" s="61">
        <f>Escalators!R42</f>
        <v>1.7135528277707923E-2</v>
      </c>
      <c r="R18" s="61">
        <f>Escalators!S42</f>
        <v>2.0048233690236783E-2</v>
      </c>
      <c r="S18" s="61">
        <f>Escalators!T42</f>
        <v>2.0048233690236783E-2</v>
      </c>
      <c r="T18" s="229"/>
      <c r="U18" s="229"/>
      <c r="V18" s="229"/>
      <c r="W18" s="229"/>
    </row>
    <row r="19" spans="2:23" ht="12" customHeight="1" x14ac:dyDescent="0.2">
      <c r="B19" s="230" t="str">
        <f>Escalators!B43</f>
        <v>Project managers</v>
      </c>
      <c r="C19" s="303" t="s">
        <v>69</v>
      </c>
      <c r="D19" s="229"/>
      <c r="E19" s="229"/>
      <c r="F19" s="229"/>
      <c r="G19" s="229"/>
      <c r="H19" s="229"/>
      <c r="I19" s="229"/>
      <c r="J19" s="229"/>
      <c r="K19" s="229"/>
      <c r="M19" s="61">
        <f>Escalators!N43</f>
        <v>2.5316455696202445E-2</v>
      </c>
      <c r="N19" s="61">
        <f>Escalators!O43</f>
        <v>1.4837191664034188E-2</v>
      </c>
      <c r="O19" s="61">
        <f>Escalators!P43</f>
        <v>1.4806669149541429E-2</v>
      </c>
      <c r="P19" s="61">
        <f>Escalators!Q43</f>
        <v>1.7265572940899254E-2</v>
      </c>
      <c r="Q19" s="61">
        <f>Escalators!R43</f>
        <v>1.7135528277707923E-2</v>
      </c>
      <c r="R19" s="61">
        <f>Escalators!S43</f>
        <v>2.0048233690236783E-2</v>
      </c>
      <c r="S19" s="61">
        <f>Escalators!T43</f>
        <v>2.0048233690236783E-2</v>
      </c>
      <c r="T19" s="229"/>
      <c r="U19" s="229"/>
      <c r="V19" s="229"/>
      <c r="W19" s="229"/>
    </row>
    <row r="20" spans="2:23" ht="12" customHeight="1" x14ac:dyDescent="0.2">
      <c r="B20" s="230" t="str">
        <f>Escalators!B44</f>
        <v>IT labour costs</v>
      </c>
      <c r="C20" s="303" t="s">
        <v>69</v>
      </c>
      <c r="D20" s="229"/>
      <c r="E20" s="229"/>
      <c r="F20" s="229"/>
      <c r="G20" s="229"/>
      <c r="H20" s="229"/>
      <c r="I20" s="229"/>
      <c r="J20" s="229"/>
      <c r="K20" s="229"/>
      <c r="M20" s="61">
        <f>Escalators!N44</f>
        <v>2.5316455696202445E-2</v>
      </c>
      <c r="N20" s="61">
        <f>Escalators!O44</f>
        <v>1.4837191664034188E-2</v>
      </c>
      <c r="O20" s="61">
        <f>Escalators!P44</f>
        <v>1.4806669149541429E-2</v>
      </c>
      <c r="P20" s="61">
        <f>Escalators!Q44</f>
        <v>1.7265572940899254E-2</v>
      </c>
      <c r="Q20" s="61">
        <f>Escalators!R44</f>
        <v>1.7135528277707923E-2</v>
      </c>
      <c r="R20" s="61">
        <f>Escalators!S44</f>
        <v>2.0048233690236783E-2</v>
      </c>
      <c r="S20" s="61">
        <f>Escalators!T44</f>
        <v>2.0048233690236783E-2</v>
      </c>
      <c r="T20" s="229"/>
      <c r="U20" s="229"/>
      <c r="V20" s="229"/>
      <c r="W20" s="229"/>
    </row>
    <row r="21" spans="2:23" ht="12" customHeight="1" x14ac:dyDescent="0.2">
      <c r="B21" s="230" t="str">
        <f>Escalators!B45</f>
        <v>Capex labour</v>
      </c>
      <c r="C21" s="303" t="s">
        <v>69</v>
      </c>
      <c r="D21" s="229"/>
      <c r="E21" s="229"/>
      <c r="F21" s="229"/>
      <c r="G21" s="229"/>
      <c r="H21" s="229"/>
      <c r="I21" s="229"/>
      <c r="J21" s="229"/>
      <c r="K21" s="229"/>
      <c r="M21" s="61">
        <f>Escalators!N45</f>
        <v>2.1346469622331776E-2</v>
      </c>
      <c r="N21" s="61">
        <f>Escalators!O45</f>
        <v>1.1605278571987343E-2</v>
      </c>
      <c r="O21" s="61">
        <f>Escalators!P45</f>
        <v>1.5029324420894552E-2</v>
      </c>
      <c r="P21" s="61">
        <f>Escalators!Q45</f>
        <v>2.1474951800256825E-2</v>
      </c>
      <c r="Q21" s="61">
        <f>Escalators!R45</f>
        <v>1.542839670276841E-2</v>
      </c>
      <c r="R21" s="61">
        <f>Escalators!S45</f>
        <v>2.0392935833010384E-2</v>
      </c>
      <c r="S21" s="61">
        <f>Escalators!T45</f>
        <v>2.0392935833010384E-2</v>
      </c>
      <c r="T21" s="229"/>
      <c r="U21" s="229"/>
      <c r="V21" s="229"/>
      <c r="W21" s="229"/>
    </row>
    <row r="22" spans="2:23" ht="12" customHeight="1" x14ac:dyDescent="0.2">
      <c r="B22" s="230" t="str">
        <f>Escalators!B46</f>
        <v>Professional advice</v>
      </c>
      <c r="C22" s="303" t="s">
        <v>69</v>
      </c>
      <c r="D22" s="229"/>
      <c r="E22" s="229"/>
      <c r="F22" s="229"/>
      <c r="G22" s="229"/>
      <c r="H22" s="229"/>
      <c r="I22" s="229"/>
      <c r="J22" s="229"/>
      <c r="K22" s="229"/>
      <c r="M22" s="61">
        <f>Escalators!N46</f>
        <v>2.5308354259274468E-2</v>
      </c>
      <c r="N22" s="61">
        <f>Escalators!O46</f>
        <v>2.2220995698236212E-2</v>
      </c>
      <c r="O22" s="61">
        <f>Escalators!P46</f>
        <v>1.7764675321104928E-2</v>
      </c>
      <c r="P22" s="61">
        <f>Escalators!Q46</f>
        <v>2.1755629428900747E-2</v>
      </c>
      <c r="Q22" s="61">
        <f>Escalators!R46</f>
        <v>2.4396674749967984E-2</v>
      </c>
      <c r="R22" s="61">
        <f>Escalators!S46</f>
        <v>1.8943162174111849E-2</v>
      </c>
      <c r="S22" s="61">
        <f>Escalators!T46</f>
        <v>1.7402568392145046E-2</v>
      </c>
      <c r="T22" s="229"/>
      <c r="U22" s="229"/>
      <c r="V22" s="229"/>
      <c r="W22" s="229"/>
    </row>
    <row r="23" spans="2:23" ht="12" customHeight="1" x14ac:dyDescent="0.2">
      <c r="B23" s="230" t="str">
        <f>Escalators!B47</f>
        <v>Maintenance labour</v>
      </c>
      <c r="C23" s="303" t="s">
        <v>69</v>
      </c>
      <c r="D23" s="229"/>
      <c r="E23" s="229"/>
      <c r="F23" s="229"/>
      <c r="G23" s="229"/>
      <c r="H23" s="229"/>
      <c r="I23" s="229"/>
      <c r="J23" s="229"/>
      <c r="K23" s="229"/>
      <c r="M23" s="61">
        <f>Escalators!N47</f>
        <v>2.9856956583078409E-2</v>
      </c>
      <c r="N23" s="61">
        <f>Escalators!O47</f>
        <v>2.7771653751442082E-2</v>
      </c>
      <c r="O23" s="61">
        <f>Escalators!P47</f>
        <v>2.329718914453327E-2</v>
      </c>
      <c r="P23" s="61">
        <f>Escalators!Q47</f>
        <v>2.7304382778273073E-2</v>
      </c>
      <c r="Q23" s="61">
        <f>Escalators!R47</f>
        <v>2.9956193330994862E-2</v>
      </c>
      <c r="R23" s="61">
        <f>Escalators!S47</f>
        <v>2.4480471411051585E-2</v>
      </c>
      <c r="S23" s="61">
        <f>Escalators!T47</f>
        <v>2.3220833443045708E-2</v>
      </c>
      <c r="T23" s="229"/>
      <c r="U23" s="229"/>
      <c r="V23" s="229"/>
      <c r="W23" s="229"/>
    </row>
    <row r="24" spans="2:23" ht="12" customHeight="1" x14ac:dyDescent="0.2">
      <c r="B24" s="230" t="str">
        <f>Escalators!B48</f>
        <v>Vegetation control</v>
      </c>
      <c r="C24" s="303" t="s">
        <v>69</v>
      </c>
      <c r="D24" s="229"/>
      <c r="E24" s="229"/>
      <c r="F24" s="229"/>
      <c r="G24" s="229"/>
      <c r="H24" s="229"/>
      <c r="I24" s="229"/>
      <c r="J24" s="229"/>
      <c r="K24" s="229"/>
      <c r="M24" s="61">
        <f>Escalators!N48</f>
        <v>2.9575355757845978E-2</v>
      </c>
      <c r="N24" s="61">
        <f>Escalators!O48</f>
        <v>2.9485570987879628E-2</v>
      </c>
      <c r="O24" s="61">
        <f>Escalators!P48</f>
        <v>2.4886976124153248E-2</v>
      </c>
      <c r="P24" s="61">
        <f>Escalators!Q48</f>
        <v>2.6462843867996577E-2</v>
      </c>
      <c r="Q24" s="61">
        <f>Escalators!R48</f>
        <v>2.6422659738468912E-2</v>
      </c>
      <c r="R24" s="61">
        <f>Escalators!S48</f>
        <v>2.3967776984209932E-2</v>
      </c>
      <c r="S24" s="61">
        <f>Escalators!T48</f>
        <v>2.3357699034000978E-2</v>
      </c>
      <c r="T24" s="229"/>
      <c r="U24" s="229"/>
      <c r="V24" s="229"/>
      <c r="W24" s="229"/>
    </row>
    <row r="25" spans="2:23" ht="12" customHeight="1" x14ac:dyDescent="0.2">
      <c r="B25" s="230" t="str">
        <f>Escalators!B49</f>
        <v>Other costs</v>
      </c>
      <c r="C25" s="303" t="s">
        <v>69</v>
      </c>
      <c r="D25" s="229"/>
      <c r="E25" s="229"/>
      <c r="F25" s="229"/>
      <c r="G25" s="229"/>
      <c r="H25" s="229"/>
      <c r="I25" s="229"/>
      <c r="J25" s="229"/>
      <c r="K25" s="229"/>
      <c r="M25" s="61">
        <f>Escalators!N49</f>
        <v>2.1442495126705596E-2</v>
      </c>
      <c r="N25" s="61">
        <f>Escalators!O49</f>
        <v>1.7175572519083859E-2</v>
      </c>
      <c r="O25" s="61">
        <f>Escalators!P49</f>
        <v>2.063789868667909E-2</v>
      </c>
      <c r="P25" s="61">
        <f>Escalators!Q49</f>
        <v>1.974179821398625E-2</v>
      </c>
      <c r="Q25" s="61">
        <f>Escalators!R49</f>
        <v>2.000000000000024E-2</v>
      </c>
      <c r="R25" s="61">
        <f>Escalators!S49</f>
        <v>2.000000000000024E-2</v>
      </c>
      <c r="S25" s="61">
        <f>Escalators!T49</f>
        <v>2.0037623074587563E-2</v>
      </c>
      <c r="T25" s="229"/>
      <c r="U25" s="229"/>
      <c r="V25" s="229"/>
      <c r="W25" s="229"/>
    </row>
    <row r="26" spans="2:23" ht="12" customHeight="1" x14ac:dyDescent="0.2">
      <c r="B26" s="229"/>
      <c r="C26" s="303"/>
      <c r="D26" s="229"/>
      <c r="E26" s="229"/>
      <c r="F26" s="229"/>
      <c r="G26" s="229"/>
      <c r="H26" s="229"/>
      <c r="I26" s="229"/>
      <c r="J26" s="229"/>
      <c r="K26" s="229"/>
      <c r="M26" s="229"/>
      <c r="N26" s="229"/>
      <c r="O26" s="229"/>
      <c r="P26" s="229"/>
      <c r="Q26" s="229"/>
      <c r="R26" s="229"/>
      <c r="S26" s="229"/>
      <c r="T26" s="229"/>
      <c r="U26" s="229"/>
      <c r="V26" s="229"/>
      <c r="W26" s="229"/>
    </row>
    <row r="27" spans="2:23" ht="12" customHeight="1" x14ac:dyDescent="0.2">
      <c r="B27" s="304" t="str">
        <f>Escalators!B65</f>
        <v>Labour</v>
      </c>
      <c r="C27" s="303"/>
      <c r="D27" s="229"/>
      <c r="E27" s="229"/>
      <c r="F27" s="229"/>
      <c r="G27" s="229"/>
      <c r="H27" s="229"/>
      <c r="I27" s="229"/>
      <c r="J27" s="229"/>
      <c r="K27" s="229"/>
      <c r="M27" s="229"/>
      <c r="N27" s="229"/>
      <c r="O27" s="229"/>
      <c r="P27" s="229"/>
      <c r="Q27" s="229"/>
      <c r="R27" s="229"/>
      <c r="S27" s="229"/>
      <c r="T27" s="229"/>
      <c r="U27" s="229"/>
      <c r="V27" s="229"/>
      <c r="W27" s="229"/>
    </row>
    <row r="28" spans="2:23" ht="12" customHeight="1" x14ac:dyDescent="0.2">
      <c r="B28" s="229"/>
      <c r="C28" s="303"/>
      <c r="D28" s="229"/>
      <c r="E28" s="229"/>
      <c r="F28" s="229"/>
      <c r="G28" s="229"/>
      <c r="H28" s="229"/>
      <c r="I28" s="229"/>
      <c r="J28" s="229"/>
      <c r="K28" s="229"/>
      <c r="M28" s="229"/>
      <c r="N28" s="229"/>
      <c r="O28" s="229"/>
      <c r="P28" s="229"/>
      <c r="Q28" s="229"/>
      <c r="R28" s="229"/>
      <c r="S28" s="229"/>
      <c r="T28" s="229"/>
      <c r="U28" s="229"/>
      <c r="V28" s="229"/>
      <c r="W28" s="229"/>
    </row>
    <row r="29" spans="2:23" ht="12" customHeight="1" x14ac:dyDescent="0.2">
      <c r="B29" s="305" t="str">
        <f>Escalators!B66</f>
        <v>Capex labour</v>
      </c>
      <c r="C29" s="303" t="s">
        <v>69</v>
      </c>
      <c r="D29" s="60">
        <f>Escalators!D66</f>
        <v>0.85</v>
      </c>
      <c r="E29" s="306"/>
      <c r="F29" s="229"/>
      <c r="G29" s="229"/>
      <c r="H29" s="229"/>
      <c r="I29" s="229"/>
      <c r="J29" s="229"/>
      <c r="K29" s="229"/>
      <c r="M29" s="307">
        <f t="shared" ref="M29:S33" si="0">IF($B29=0,0,$D29*INDEX(M$13:M$25,MATCH($B29,$B$13:$B$25,0)))</f>
        <v>1.8144499178982008E-2</v>
      </c>
      <c r="N29" s="307">
        <f t="shared" si="0"/>
        <v>9.8644867861892409E-3</v>
      </c>
      <c r="O29" s="307">
        <f t="shared" si="0"/>
        <v>1.277492575776037E-2</v>
      </c>
      <c r="P29" s="307">
        <f t="shared" si="0"/>
        <v>1.82537090302183E-2</v>
      </c>
      <c r="Q29" s="307">
        <f t="shared" si="0"/>
        <v>1.3114137197353147E-2</v>
      </c>
      <c r="R29" s="307">
        <f t="shared" si="0"/>
        <v>1.7333995458058825E-2</v>
      </c>
      <c r="S29" s="307">
        <f t="shared" si="0"/>
        <v>1.7333995458058825E-2</v>
      </c>
      <c r="T29" s="229"/>
      <c r="U29" s="229"/>
      <c r="V29" s="229"/>
      <c r="W29" s="229"/>
    </row>
    <row r="30" spans="2:23" ht="12" customHeight="1" x14ac:dyDescent="0.2">
      <c r="B30" s="305" t="str">
        <f>Escalators!B67</f>
        <v>Project managers</v>
      </c>
      <c r="C30" s="303" t="s">
        <v>69</v>
      </c>
      <c r="D30" s="60">
        <f>Escalators!D67</f>
        <v>3.7499999999999999E-2</v>
      </c>
      <c r="E30" s="306"/>
      <c r="F30" s="229"/>
      <c r="G30" s="229"/>
      <c r="H30" s="229"/>
      <c r="I30" s="229"/>
      <c r="J30" s="229"/>
      <c r="K30" s="229"/>
      <c r="M30" s="307">
        <f t="shared" si="0"/>
        <v>9.4936708860759165E-4</v>
      </c>
      <c r="N30" s="307">
        <f t="shared" si="0"/>
        <v>5.5639468740128204E-4</v>
      </c>
      <c r="O30" s="307">
        <f t="shared" si="0"/>
        <v>5.5525009310780356E-4</v>
      </c>
      <c r="P30" s="307">
        <f t="shared" si="0"/>
        <v>6.4745898528372197E-4</v>
      </c>
      <c r="Q30" s="307">
        <f t="shared" si="0"/>
        <v>6.4258231041404705E-4</v>
      </c>
      <c r="R30" s="307">
        <f t="shared" si="0"/>
        <v>7.518087633838793E-4</v>
      </c>
      <c r="S30" s="307">
        <f t="shared" si="0"/>
        <v>7.518087633838793E-4</v>
      </c>
      <c r="T30" s="229"/>
      <c r="U30" s="229"/>
      <c r="V30" s="229"/>
      <c r="W30" s="229"/>
    </row>
    <row r="31" spans="2:23" ht="12" customHeight="1" x14ac:dyDescent="0.2">
      <c r="B31" s="305" t="str">
        <f>Escalators!B68</f>
        <v xml:space="preserve">Professional  </v>
      </c>
      <c r="C31" s="303" t="s">
        <v>69</v>
      </c>
      <c r="D31" s="60">
        <f>Escalators!D68</f>
        <v>3.7499999999999999E-2</v>
      </c>
      <c r="E31" s="306"/>
      <c r="F31" s="229"/>
      <c r="G31" s="229"/>
      <c r="H31" s="229"/>
      <c r="I31" s="229"/>
      <c r="J31" s="229"/>
      <c r="K31" s="229"/>
      <c r="M31" s="307">
        <f t="shared" si="0"/>
        <v>9.4936708860759165E-4</v>
      </c>
      <c r="N31" s="307">
        <f t="shared" si="0"/>
        <v>5.5639468740128204E-4</v>
      </c>
      <c r="O31" s="307">
        <f t="shared" si="0"/>
        <v>5.5525009310780356E-4</v>
      </c>
      <c r="P31" s="307">
        <f t="shared" si="0"/>
        <v>6.4745898528372197E-4</v>
      </c>
      <c r="Q31" s="307">
        <f t="shared" si="0"/>
        <v>6.4258231041404705E-4</v>
      </c>
      <c r="R31" s="307">
        <f t="shared" si="0"/>
        <v>7.518087633838793E-4</v>
      </c>
      <c r="S31" s="307">
        <f t="shared" si="0"/>
        <v>7.518087633838793E-4</v>
      </c>
      <c r="T31" s="229"/>
      <c r="U31" s="229"/>
      <c r="V31" s="229"/>
      <c r="W31" s="229"/>
    </row>
    <row r="32" spans="2:23" ht="12" customHeight="1" x14ac:dyDescent="0.2">
      <c r="B32" s="305" t="str">
        <f>Escalators!B69</f>
        <v>IT labour costs</v>
      </c>
      <c r="C32" s="303" t="s">
        <v>69</v>
      </c>
      <c r="D32" s="60">
        <f>Escalators!D69</f>
        <v>3.7499999999999999E-2</v>
      </c>
      <c r="E32" s="306"/>
      <c r="F32" s="229"/>
      <c r="G32" s="229"/>
      <c r="H32" s="229"/>
      <c r="I32" s="229"/>
      <c r="J32" s="229"/>
      <c r="K32" s="229"/>
      <c r="M32" s="307">
        <f t="shared" si="0"/>
        <v>9.4936708860759165E-4</v>
      </c>
      <c r="N32" s="307">
        <f t="shared" si="0"/>
        <v>5.5639468740128204E-4</v>
      </c>
      <c r="O32" s="307">
        <f t="shared" si="0"/>
        <v>5.5525009310780356E-4</v>
      </c>
      <c r="P32" s="307">
        <f t="shared" si="0"/>
        <v>6.4745898528372197E-4</v>
      </c>
      <c r="Q32" s="307">
        <f t="shared" si="0"/>
        <v>6.4258231041404705E-4</v>
      </c>
      <c r="R32" s="307">
        <f t="shared" si="0"/>
        <v>7.518087633838793E-4</v>
      </c>
      <c r="S32" s="307">
        <f t="shared" si="0"/>
        <v>7.518087633838793E-4</v>
      </c>
      <c r="T32" s="229"/>
      <c r="U32" s="229"/>
      <c r="V32" s="229"/>
      <c r="W32" s="229"/>
    </row>
    <row r="33" spans="2:23" ht="12" customHeight="1" x14ac:dyDescent="0.2">
      <c r="B33" s="305" t="str">
        <f>Escalators!B70</f>
        <v>Engineers</v>
      </c>
      <c r="C33" s="303" t="s">
        <v>69</v>
      </c>
      <c r="D33" s="60">
        <f>Escalators!D70</f>
        <v>3.7499999999999999E-2</v>
      </c>
      <c r="E33" s="306"/>
      <c r="F33" s="229"/>
      <c r="G33" s="229"/>
      <c r="H33" s="229"/>
      <c r="I33" s="229"/>
      <c r="J33" s="229"/>
      <c r="K33" s="229"/>
      <c r="M33" s="307">
        <f t="shared" si="0"/>
        <v>9.4936708860759165E-4</v>
      </c>
      <c r="N33" s="307">
        <f t="shared" si="0"/>
        <v>5.5639468740128204E-4</v>
      </c>
      <c r="O33" s="307">
        <f t="shared" si="0"/>
        <v>5.5525009310780356E-4</v>
      </c>
      <c r="P33" s="307">
        <f t="shared" si="0"/>
        <v>6.4745898528372197E-4</v>
      </c>
      <c r="Q33" s="307">
        <f t="shared" si="0"/>
        <v>6.4258231041404705E-4</v>
      </c>
      <c r="R33" s="307">
        <f t="shared" si="0"/>
        <v>7.518087633838793E-4</v>
      </c>
      <c r="S33" s="307">
        <f t="shared" si="0"/>
        <v>7.518087633838793E-4</v>
      </c>
      <c r="T33" s="229"/>
      <c r="U33" s="229"/>
      <c r="V33" s="229"/>
      <c r="W33" s="229"/>
    </row>
    <row r="34" spans="2:23" s="243" customFormat="1" ht="12" customHeight="1" x14ac:dyDescent="0.2">
      <c r="B34" s="288" t="s">
        <v>49</v>
      </c>
      <c r="C34" s="308" t="s">
        <v>69</v>
      </c>
      <c r="D34" s="309">
        <f>SUM(D29:D33)</f>
        <v>0.99999999999999989</v>
      </c>
      <c r="E34" s="309"/>
      <c r="F34" s="288"/>
      <c r="G34" s="288"/>
      <c r="H34" s="229"/>
      <c r="I34" s="229"/>
      <c r="J34" s="229"/>
      <c r="K34" s="229"/>
      <c r="L34" s="232"/>
      <c r="M34" s="288"/>
      <c r="N34" s="288"/>
      <c r="O34" s="288"/>
      <c r="P34" s="288"/>
      <c r="Q34" s="288"/>
      <c r="R34" s="288"/>
      <c r="S34" s="288"/>
      <c r="T34" s="288"/>
      <c r="U34" s="288"/>
      <c r="V34" s="288"/>
      <c r="W34" s="288"/>
    </row>
    <row r="35" spans="2:23" ht="12" customHeight="1" x14ac:dyDescent="0.2">
      <c r="B35" s="229"/>
      <c r="C35" s="303"/>
      <c r="D35" s="229"/>
      <c r="E35" s="229"/>
      <c r="F35" s="229"/>
      <c r="G35" s="229"/>
      <c r="H35" s="229"/>
      <c r="I35" s="229"/>
      <c r="J35" s="229"/>
      <c r="K35" s="229"/>
      <c r="M35" s="229"/>
      <c r="N35" s="229"/>
      <c r="O35" s="229"/>
      <c r="P35" s="229"/>
      <c r="Q35" s="229"/>
      <c r="R35" s="229"/>
      <c r="S35" s="229"/>
      <c r="T35" s="229"/>
      <c r="U35" s="229"/>
      <c r="V35" s="229"/>
      <c r="W35" s="229"/>
    </row>
    <row r="36" spans="2:23" s="243" customFormat="1" ht="12" customHeight="1" x14ac:dyDescent="0.2">
      <c r="B36" s="310" t="s">
        <v>404</v>
      </c>
      <c r="C36" s="308" t="s">
        <v>69</v>
      </c>
      <c r="D36" s="288"/>
      <c r="E36" s="288"/>
      <c r="F36" s="288"/>
      <c r="G36" s="288"/>
      <c r="H36" s="229"/>
      <c r="I36" s="229"/>
      <c r="J36" s="229"/>
      <c r="K36" s="229"/>
      <c r="L36" s="232"/>
      <c r="M36" s="309">
        <f t="shared" ref="M36:S36" si="1">SUM(M29:M33)</f>
        <v>2.194196753341238E-2</v>
      </c>
      <c r="N36" s="309">
        <f t="shared" si="1"/>
        <v>1.2090065535794368E-2</v>
      </c>
      <c r="O36" s="309">
        <f t="shared" si="1"/>
        <v>1.4995926130191581E-2</v>
      </c>
      <c r="P36" s="309">
        <f t="shared" si="1"/>
        <v>2.0843544971353191E-2</v>
      </c>
      <c r="Q36" s="309">
        <f t="shared" si="1"/>
        <v>1.5684466439009337E-2</v>
      </c>
      <c r="R36" s="309">
        <f t="shared" si="1"/>
        <v>2.0341230511594345E-2</v>
      </c>
      <c r="S36" s="309">
        <f t="shared" si="1"/>
        <v>2.0341230511594345E-2</v>
      </c>
      <c r="T36" s="288"/>
      <c r="U36" s="288"/>
      <c r="V36" s="288"/>
      <c r="W36" s="288"/>
    </row>
    <row r="37" spans="2:23" s="243" customFormat="1" ht="12" customHeight="1" x14ac:dyDescent="0.2">
      <c r="B37" s="310" t="s">
        <v>405</v>
      </c>
      <c r="C37" s="308" t="s">
        <v>191</v>
      </c>
      <c r="D37" s="288"/>
      <c r="E37" s="288"/>
      <c r="F37" s="288"/>
      <c r="G37" s="288"/>
      <c r="H37" s="229"/>
      <c r="I37" s="229"/>
      <c r="J37" s="229"/>
      <c r="K37" s="229"/>
      <c r="L37" s="232"/>
      <c r="M37" s="311">
        <f t="shared" ref="M37:S37" si="2">IF(L37="",1,L37*(1+M36))</f>
        <v>1</v>
      </c>
      <c r="N37" s="311">
        <f t="shared" si="2"/>
        <v>1.0120900655357943</v>
      </c>
      <c r="O37" s="311">
        <f t="shared" si="2"/>
        <v>1.0272672933956697</v>
      </c>
      <c r="P37" s="311">
        <f t="shared" si="2"/>
        <v>1.0486791854231625</v>
      </c>
      <c r="Q37" s="311">
        <f t="shared" si="2"/>
        <v>1.06512715891222</v>
      </c>
      <c r="R37" s="311">
        <f t="shared" si="2"/>
        <v>1.0867931559758131</v>
      </c>
      <c r="S37" s="311">
        <f t="shared" si="2"/>
        <v>1.1088998660799403</v>
      </c>
      <c r="T37" s="288"/>
      <c r="U37" s="288"/>
      <c r="V37" s="288"/>
      <c r="W37" s="288"/>
    </row>
    <row r="38" spans="2:23" ht="12" customHeight="1" x14ac:dyDescent="0.2">
      <c r="B38" s="229"/>
      <c r="C38" s="229"/>
      <c r="D38" s="229"/>
      <c r="E38" s="229"/>
      <c r="F38" s="229"/>
      <c r="G38" s="229"/>
      <c r="H38" s="229"/>
      <c r="I38" s="229"/>
      <c r="J38" s="229"/>
      <c r="K38" s="229"/>
      <c r="M38" s="229"/>
      <c r="N38" s="229"/>
      <c r="O38" s="229"/>
      <c r="P38" s="229"/>
      <c r="Q38" s="229"/>
      <c r="R38" s="229"/>
      <c r="S38" s="229"/>
      <c r="T38" s="229"/>
      <c r="U38" s="229"/>
      <c r="V38" s="229"/>
      <c r="W38" s="229"/>
    </row>
    <row r="39" spans="2:23" ht="12" customHeight="1" x14ac:dyDescent="0.2">
      <c r="B39" s="242" t="s">
        <v>222</v>
      </c>
      <c r="C39" s="280" t="s">
        <v>58</v>
      </c>
      <c r="D39" s="297">
        <f>IF(ABS(D34-1)&lt;0.001,0,1)</f>
        <v>0</v>
      </c>
      <c r="E39" s="298"/>
      <c r="F39" s="229"/>
      <c r="G39" s="229"/>
      <c r="H39" s="229"/>
      <c r="I39" s="229"/>
      <c r="J39" s="229"/>
      <c r="K39" s="229"/>
      <c r="M39" s="229"/>
      <c r="N39" s="229"/>
      <c r="O39" s="229"/>
      <c r="P39" s="229"/>
      <c r="Q39" s="229"/>
      <c r="R39" s="229"/>
      <c r="S39" s="229"/>
      <c r="T39" s="229"/>
      <c r="U39" s="229"/>
      <c r="V39" s="229"/>
      <c r="W39" s="229"/>
    </row>
    <row r="40" spans="2:23" ht="12" customHeight="1" x14ac:dyDescent="0.2">
      <c r="B40" s="242"/>
      <c r="C40" s="280"/>
      <c r="D40" s="298"/>
      <c r="E40" s="298"/>
      <c r="F40" s="229"/>
      <c r="G40" s="229"/>
      <c r="H40" s="229"/>
      <c r="I40" s="229"/>
      <c r="J40" s="229"/>
      <c r="K40" s="229"/>
      <c r="M40" s="229"/>
      <c r="N40" s="229"/>
      <c r="O40" s="229"/>
      <c r="P40" s="229"/>
      <c r="Q40" s="229"/>
      <c r="R40" s="229"/>
      <c r="S40" s="229"/>
      <c r="T40" s="229"/>
      <c r="U40" s="229"/>
      <c r="V40" s="229"/>
      <c r="W40" s="229"/>
    </row>
    <row r="41" spans="2:23" ht="12" customHeight="1" x14ac:dyDescent="0.2">
      <c r="B41" s="304" t="str">
        <f>Escalators!B75</f>
        <v>Cables</v>
      </c>
      <c r="C41" s="303"/>
      <c r="D41" s="229"/>
      <c r="E41" s="229"/>
      <c r="F41" s="229"/>
      <c r="G41" s="229"/>
      <c r="H41" s="229"/>
      <c r="I41" s="229"/>
      <c r="J41" s="229"/>
      <c r="K41" s="229"/>
      <c r="M41" s="229"/>
      <c r="N41" s="229"/>
      <c r="O41" s="229"/>
      <c r="P41" s="229"/>
      <c r="Q41" s="229"/>
      <c r="R41" s="229"/>
      <c r="S41" s="229"/>
      <c r="T41" s="229"/>
      <c r="U41" s="229"/>
      <c r="V41" s="229"/>
      <c r="W41" s="229"/>
    </row>
    <row r="42" spans="2:23" ht="12" customHeight="1" x14ac:dyDescent="0.2">
      <c r="B42" s="304"/>
      <c r="C42" s="303"/>
      <c r="D42" s="229"/>
      <c r="E42" s="229"/>
      <c r="F42" s="229"/>
      <c r="G42" s="229"/>
      <c r="H42" s="229"/>
      <c r="I42" s="229"/>
      <c r="J42" s="229"/>
      <c r="K42" s="229"/>
      <c r="M42" s="229"/>
      <c r="N42" s="229"/>
      <c r="O42" s="229"/>
      <c r="P42" s="229"/>
      <c r="Q42" s="229"/>
      <c r="R42" s="229"/>
      <c r="S42" s="229"/>
      <c r="T42" s="229"/>
      <c r="U42" s="229"/>
      <c r="V42" s="229"/>
      <c r="W42" s="229"/>
    </row>
    <row r="43" spans="2:23" ht="12" customHeight="1" x14ac:dyDescent="0.2">
      <c r="B43" s="305" t="str">
        <f>Escalators!B76</f>
        <v>Aluminium*</v>
      </c>
      <c r="C43" s="303" t="s">
        <v>69</v>
      </c>
      <c r="D43" s="60">
        <f>Escalators!D76</f>
        <v>0.95</v>
      </c>
      <c r="E43" s="306"/>
      <c r="F43" s="229"/>
      <c r="G43" s="229"/>
      <c r="H43" s="229"/>
      <c r="I43" s="229"/>
      <c r="J43" s="229"/>
      <c r="K43" s="229"/>
      <c r="M43" s="307">
        <f t="shared" ref="M43:S47" si="3">IF($B43=0,0,$D43*INDEX(M$13:M$25,MATCH($B43,$B$13:$B$25,0)))</f>
        <v>-3.9669482058357144E-2</v>
      </c>
      <c r="N43" s="307">
        <f t="shared" si="3"/>
        <v>2.2140141752577336E-2</v>
      </c>
      <c r="O43" s="307">
        <f t="shared" si="3"/>
        <v>1.4627855853178551E-2</v>
      </c>
      <c r="P43" s="307">
        <f t="shared" si="3"/>
        <v>2.8303279834998318E-2</v>
      </c>
      <c r="Q43" s="307">
        <f t="shared" si="3"/>
        <v>2.5834384559690036E-2</v>
      </c>
      <c r="R43" s="307">
        <f t="shared" si="3"/>
        <v>2.9544781459154356E-2</v>
      </c>
      <c r="S43" s="307">
        <f t="shared" si="3"/>
        <v>2.9544999999999908E-2</v>
      </c>
      <c r="T43" s="229"/>
      <c r="U43" s="229"/>
      <c r="V43" s="229"/>
      <c r="W43" s="229"/>
    </row>
    <row r="44" spans="2:23" ht="12" customHeight="1" x14ac:dyDescent="0.2">
      <c r="B44" s="305" t="str">
        <f>Escalators!B77</f>
        <v xml:space="preserve">Copper* </v>
      </c>
      <c r="C44" s="303" t="s">
        <v>69</v>
      </c>
      <c r="D44" s="60">
        <f>Escalators!D77</f>
        <v>0.05</v>
      </c>
      <c r="E44" s="306"/>
      <c r="F44" s="229"/>
      <c r="G44" s="229"/>
      <c r="H44" s="229"/>
      <c r="I44" s="229"/>
      <c r="J44" s="229"/>
      <c r="K44" s="229"/>
      <c r="M44" s="307">
        <f t="shared" si="3"/>
        <v>-3.5073231637892557E-3</v>
      </c>
      <c r="N44" s="307">
        <f t="shared" si="3"/>
        <v>1.8487311657414797E-3</v>
      </c>
      <c r="O44" s="307">
        <f t="shared" si="3"/>
        <v>5.7580095201886783E-4</v>
      </c>
      <c r="P44" s="307">
        <f t="shared" si="3"/>
        <v>1.29280857007823E-3</v>
      </c>
      <c r="Q44" s="307">
        <f t="shared" si="3"/>
        <v>1.1633634630788593E-3</v>
      </c>
      <c r="R44" s="307">
        <f t="shared" si="3"/>
        <v>1.3579009667407549E-3</v>
      </c>
      <c r="S44" s="307">
        <f t="shared" si="3"/>
        <v>1.3599999999999947E-3</v>
      </c>
      <c r="T44" s="229"/>
      <c r="U44" s="229"/>
      <c r="V44" s="229"/>
      <c r="W44" s="229"/>
    </row>
    <row r="45" spans="2:23" ht="12" customHeight="1" x14ac:dyDescent="0.2">
      <c r="B45" s="305">
        <f>Escalators!B78</f>
        <v>0</v>
      </c>
      <c r="C45" s="303" t="s">
        <v>69</v>
      </c>
      <c r="D45" s="60">
        <f>Escalators!D78</f>
        <v>0</v>
      </c>
      <c r="E45" s="306"/>
      <c r="F45" s="229"/>
      <c r="G45" s="229"/>
      <c r="H45" s="229"/>
      <c r="I45" s="229"/>
      <c r="J45" s="229"/>
      <c r="K45" s="229"/>
      <c r="M45" s="307">
        <f t="shared" si="3"/>
        <v>0</v>
      </c>
      <c r="N45" s="307">
        <f t="shared" si="3"/>
        <v>0</v>
      </c>
      <c r="O45" s="307">
        <f t="shared" si="3"/>
        <v>0</v>
      </c>
      <c r="P45" s="307">
        <f t="shared" si="3"/>
        <v>0</v>
      </c>
      <c r="Q45" s="307">
        <f t="shared" si="3"/>
        <v>0</v>
      </c>
      <c r="R45" s="307">
        <f t="shared" si="3"/>
        <v>0</v>
      </c>
      <c r="S45" s="307">
        <f t="shared" si="3"/>
        <v>0</v>
      </c>
      <c r="T45" s="229"/>
      <c r="U45" s="229"/>
      <c r="V45" s="229"/>
      <c r="W45" s="229"/>
    </row>
    <row r="46" spans="2:23" ht="12" customHeight="1" x14ac:dyDescent="0.2">
      <c r="B46" s="305">
        <f>Escalators!B79</f>
        <v>0</v>
      </c>
      <c r="C46" s="303" t="s">
        <v>69</v>
      </c>
      <c r="D46" s="60">
        <f>Escalators!D79</f>
        <v>0</v>
      </c>
      <c r="E46" s="306"/>
      <c r="F46" s="229"/>
      <c r="G46" s="229"/>
      <c r="H46" s="229"/>
      <c r="I46" s="229"/>
      <c r="J46" s="229"/>
      <c r="K46" s="229"/>
      <c r="M46" s="307">
        <f t="shared" si="3"/>
        <v>0</v>
      </c>
      <c r="N46" s="307">
        <f t="shared" si="3"/>
        <v>0</v>
      </c>
      <c r="O46" s="307">
        <f t="shared" si="3"/>
        <v>0</v>
      </c>
      <c r="P46" s="307">
        <f t="shared" si="3"/>
        <v>0</v>
      </c>
      <c r="Q46" s="307">
        <f t="shared" si="3"/>
        <v>0</v>
      </c>
      <c r="R46" s="307">
        <f t="shared" si="3"/>
        <v>0</v>
      </c>
      <c r="S46" s="307">
        <f t="shared" si="3"/>
        <v>0</v>
      </c>
      <c r="T46" s="229"/>
      <c r="U46" s="229"/>
      <c r="V46" s="229"/>
      <c r="W46" s="229"/>
    </row>
    <row r="47" spans="2:23" ht="12" customHeight="1" x14ac:dyDescent="0.2">
      <c r="B47" s="305">
        <f>Escalators!B80</f>
        <v>0</v>
      </c>
      <c r="C47" s="303" t="s">
        <v>69</v>
      </c>
      <c r="D47" s="60">
        <f>Escalators!D80</f>
        <v>0</v>
      </c>
      <c r="E47" s="306"/>
      <c r="F47" s="229"/>
      <c r="G47" s="229"/>
      <c r="H47" s="229"/>
      <c r="I47" s="229"/>
      <c r="J47" s="229"/>
      <c r="K47" s="229"/>
      <c r="M47" s="307">
        <f t="shared" si="3"/>
        <v>0</v>
      </c>
      <c r="N47" s="307">
        <f t="shared" si="3"/>
        <v>0</v>
      </c>
      <c r="O47" s="307">
        <f t="shared" si="3"/>
        <v>0</v>
      </c>
      <c r="P47" s="307">
        <f t="shared" si="3"/>
        <v>0</v>
      </c>
      <c r="Q47" s="307">
        <f t="shared" si="3"/>
        <v>0</v>
      </c>
      <c r="R47" s="307">
        <f t="shared" si="3"/>
        <v>0</v>
      </c>
      <c r="S47" s="307">
        <f t="shared" si="3"/>
        <v>0</v>
      </c>
      <c r="T47" s="229"/>
      <c r="U47" s="229"/>
      <c r="V47" s="229"/>
      <c r="W47" s="229"/>
    </row>
    <row r="48" spans="2:23" ht="12" customHeight="1" x14ac:dyDescent="0.2">
      <c r="B48" s="288" t="s">
        <v>49</v>
      </c>
      <c r="C48" s="308" t="s">
        <v>69</v>
      </c>
      <c r="D48" s="309">
        <f>SUM(D43:D47)</f>
        <v>1</v>
      </c>
      <c r="E48" s="309"/>
      <c r="F48" s="288"/>
      <c r="G48" s="288"/>
      <c r="H48" s="229"/>
      <c r="I48" s="229"/>
      <c r="J48" s="229"/>
      <c r="K48" s="229"/>
      <c r="M48" s="288"/>
      <c r="N48" s="288"/>
      <c r="O48" s="288"/>
      <c r="P48" s="288"/>
      <c r="Q48" s="288"/>
      <c r="R48" s="288"/>
      <c r="S48" s="288"/>
      <c r="T48" s="288"/>
      <c r="U48" s="229"/>
      <c r="V48" s="229"/>
      <c r="W48" s="229"/>
    </row>
    <row r="49" spans="2:23" ht="12" customHeight="1" x14ac:dyDescent="0.2">
      <c r="B49" s="229"/>
      <c r="C49" s="303"/>
      <c r="D49" s="229"/>
      <c r="E49" s="229"/>
      <c r="F49" s="229"/>
      <c r="G49" s="229"/>
      <c r="H49" s="229"/>
      <c r="I49" s="229"/>
      <c r="J49" s="229"/>
      <c r="K49" s="229"/>
      <c r="M49" s="229"/>
      <c r="N49" s="229"/>
      <c r="O49" s="229"/>
      <c r="P49" s="229"/>
      <c r="Q49" s="229"/>
      <c r="R49" s="229"/>
      <c r="S49" s="229"/>
      <c r="T49" s="229"/>
      <c r="U49" s="229"/>
      <c r="V49" s="229"/>
      <c r="W49" s="229"/>
    </row>
    <row r="50" spans="2:23" ht="12" customHeight="1" x14ac:dyDescent="0.2">
      <c r="B50" s="310" t="s">
        <v>404</v>
      </c>
      <c r="C50" s="308" t="s">
        <v>69</v>
      </c>
      <c r="D50" s="288"/>
      <c r="E50" s="288"/>
      <c r="F50" s="288"/>
      <c r="G50" s="288"/>
      <c r="H50" s="229"/>
      <c r="I50" s="229"/>
      <c r="J50" s="229"/>
      <c r="K50" s="229"/>
      <c r="M50" s="309">
        <f t="shared" ref="M50:S50" si="4">SUM(M43:M47)</f>
        <v>-4.3176805222146397E-2</v>
      </c>
      <c r="N50" s="309">
        <f t="shared" si="4"/>
        <v>2.3988872918318815E-2</v>
      </c>
      <c r="O50" s="309">
        <f t="shared" si="4"/>
        <v>1.5203656805197419E-2</v>
      </c>
      <c r="P50" s="309">
        <f t="shared" si="4"/>
        <v>2.9596088405076548E-2</v>
      </c>
      <c r="Q50" s="309">
        <f t="shared" si="4"/>
        <v>2.6997748022768896E-2</v>
      </c>
      <c r="R50" s="309">
        <f t="shared" si="4"/>
        <v>3.0902682425895112E-2</v>
      </c>
      <c r="S50" s="309">
        <f t="shared" si="4"/>
        <v>3.0904999999999901E-2</v>
      </c>
      <c r="T50" s="288"/>
      <c r="U50" s="229"/>
      <c r="V50" s="229"/>
      <c r="W50" s="229"/>
    </row>
    <row r="51" spans="2:23" ht="12" customHeight="1" x14ac:dyDescent="0.2">
      <c r="B51" s="310" t="s">
        <v>405</v>
      </c>
      <c r="C51" s="308" t="s">
        <v>191</v>
      </c>
      <c r="D51" s="288"/>
      <c r="E51" s="288"/>
      <c r="F51" s="288"/>
      <c r="G51" s="288"/>
      <c r="H51" s="229"/>
      <c r="I51" s="229"/>
      <c r="J51" s="229"/>
      <c r="K51" s="229"/>
      <c r="M51" s="311">
        <f t="shared" ref="M51:S51" si="5">IF(L51="",1,L51*(1+M50))</f>
        <v>1</v>
      </c>
      <c r="N51" s="311">
        <f t="shared" si="5"/>
        <v>1.0239888729183189</v>
      </c>
      <c r="O51" s="311">
        <f t="shared" si="5"/>
        <v>1.0395572483145099</v>
      </c>
      <c r="P51" s="311">
        <f t="shared" si="5"/>
        <v>1.0703240765377642</v>
      </c>
      <c r="Q51" s="311">
        <f t="shared" si="5"/>
        <v>1.0992204162588337</v>
      </c>
      <c r="R51" s="311">
        <f t="shared" si="5"/>
        <v>1.1331892756985407</v>
      </c>
      <c r="S51" s="311">
        <f t="shared" si="5"/>
        <v>1.168210490264004</v>
      </c>
      <c r="T51" s="288"/>
      <c r="U51" s="229"/>
      <c r="V51" s="229"/>
      <c r="W51" s="229"/>
    </row>
    <row r="52" spans="2:23" ht="12" customHeight="1" x14ac:dyDescent="0.2">
      <c r="B52" s="229"/>
      <c r="C52" s="303"/>
      <c r="D52" s="229"/>
      <c r="E52" s="229"/>
      <c r="F52" s="229"/>
      <c r="G52" s="229"/>
      <c r="H52" s="229"/>
      <c r="I52" s="229"/>
      <c r="J52" s="229"/>
      <c r="K52" s="229"/>
      <c r="M52" s="229"/>
      <c r="N52" s="229"/>
      <c r="O52" s="229"/>
      <c r="P52" s="229"/>
      <c r="Q52" s="229"/>
      <c r="R52" s="229"/>
      <c r="S52" s="229"/>
      <c r="T52" s="229"/>
      <c r="U52" s="229"/>
      <c r="V52" s="229"/>
      <c r="W52" s="229"/>
    </row>
    <row r="53" spans="2:23" ht="12" customHeight="1" x14ac:dyDescent="0.2">
      <c r="B53" s="242" t="s">
        <v>224</v>
      </c>
      <c r="C53" s="280" t="s">
        <v>58</v>
      </c>
      <c r="D53" s="297">
        <f>IF(ABS(D48-1)&lt;0.001,0,1)</f>
        <v>0</v>
      </c>
      <c r="E53" s="298"/>
      <c r="F53" s="229"/>
      <c r="G53" s="229"/>
      <c r="H53" s="229"/>
      <c r="I53" s="229"/>
      <c r="J53" s="229"/>
      <c r="K53" s="229"/>
      <c r="M53" s="229"/>
      <c r="N53" s="229"/>
      <c r="O53" s="229"/>
      <c r="P53" s="229"/>
      <c r="Q53" s="229"/>
      <c r="R53" s="229"/>
      <c r="S53" s="229"/>
      <c r="T53" s="229"/>
      <c r="U53" s="229"/>
      <c r="V53" s="229"/>
      <c r="W53" s="229"/>
    </row>
    <row r="54" spans="2:23" ht="12" customHeight="1" x14ac:dyDescent="0.2">
      <c r="B54" s="229"/>
      <c r="C54" s="303"/>
      <c r="D54" s="229"/>
      <c r="E54" s="229"/>
      <c r="F54" s="229"/>
      <c r="G54" s="229"/>
      <c r="H54" s="229"/>
      <c r="I54" s="229"/>
      <c r="J54" s="229"/>
      <c r="K54" s="229"/>
      <c r="M54" s="229"/>
      <c r="N54" s="229"/>
      <c r="O54" s="229"/>
      <c r="P54" s="229"/>
      <c r="Q54" s="229"/>
      <c r="R54" s="229"/>
      <c r="S54" s="229"/>
      <c r="T54" s="229"/>
      <c r="U54" s="229"/>
      <c r="V54" s="229"/>
      <c r="W54" s="229"/>
    </row>
    <row r="55" spans="2:23" ht="12" customHeight="1" x14ac:dyDescent="0.2">
      <c r="B55" s="304" t="str">
        <f>Escalators!B85</f>
        <v>Conductor</v>
      </c>
      <c r="C55" s="303"/>
      <c r="D55" s="229"/>
      <c r="E55" s="229"/>
      <c r="F55" s="229"/>
      <c r="G55" s="229"/>
      <c r="H55" s="229"/>
      <c r="I55" s="229"/>
      <c r="J55" s="229"/>
      <c r="K55" s="229"/>
      <c r="M55" s="229"/>
      <c r="N55" s="229"/>
      <c r="O55" s="229"/>
      <c r="P55" s="229"/>
      <c r="Q55" s="229"/>
      <c r="R55" s="229"/>
      <c r="S55" s="229"/>
      <c r="T55" s="229"/>
      <c r="U55" s="229"/>
      <c r="V55" s="229"/>
      <c r="W55" s="229"/>
    </row>
    <row r="56" spans="2:23" ht="12" customHeight="1" x14ac:dyDescent="0.2">
      <c r="B56" s="304"/>
      <c r="C56" s="303"/>
      <c r="D56" s="229"/>
      <c r="E56" s="229"/>
      <c r="F56" s="229"/>
      <c r="G56" s="229"/>
      <c r="H56" s="229"/>
      <c r="I56" s="229"/>
      <c r="J56" s="229"/>
      <c r="K56" s="229"/>
      <c r="M56" s="229"/>
      <c r="N56" s="229"/>
      <c r="O56" s="229"/>
      <c r="P56" s="229"/>
      <c r="Q56" s="229"/>
      <c r="R56" s="229"/>
      <c r="S56" s="229"/>
      <c r="T56" s="229"/>
      <c r="U56" s="229"/>
      <c r="V56" s="229"/>
      <c r="W56" s="229"/>
    </row>
    <row r="57" spans="2:23" ht="12" customHeight="1" x14ac:dyDescent="0.2">
      <c r="B57" s="305" t="str">
        <f>Escalators!B86</f>
        <v>Aluminium*</v>
      </c>
      <c r="C57" s="303" t="s">
        <v>69</v>
      </c>
      <c r="D57" s="60">
        <f>Escalators!D86</f>
        <v>1</v>
      </c>
      <c r="E57" s="306"/>
      <c r="F57" s="229"/>
      <c r="G57" s="229"/>
      <c r="H57" s="229"/>
      <c r="I57" s="229"/>
      <c r="J57" s="229"/>
      <c r="K57" s="229"/>
      <c r="M57" s="307">
        <f t="shared" ref="M57:S61" si="6">IF($B57=0,0,$D57*INDEX(M$13:M$25,MATCH($B57,$B$13:$B$25,0)))</f>
        <v>-4.1757349535112787E-2</v>
      </c>
      <c r="N57" s="307">
        <f t="shared" si="6"/>
        <v>2.3305412371134038E-2</v>
      </c>
      <c r="O57" s="307">
        <f t="shared" si="6"/>
        <v>1.5397743003345843E-2</v>
      </c>
      <c r="P57" s="307">
        <f t="shared" si="6"/>
        <v>2.9792926142103493E-2</v>
      </c>
      <c r="Q57" s="307">
        <f t="shared" si="6"/>
        <v>2.719408901020004E-2</v>
      </c>
      <c r="R57" s="307">
        <f t="shared" si="6"/>
        <v>3.1099769957004586E-2</v>
      </c>
      <c r="S57" s="307">
        <f t="shared" si="6"/>
        <v>3.1099999999999905E-2</v>
      </c>
      <c r="T57" s="229"/>
      <c r="U57" s="229"/>
      <c r="V57" s="229"/>
      <c r="W57" s="229"/>
    </row>
    <row r="58" spans="2:23" ht="12" customHeight="1" x14ac:dyDescent="0.2">
      <c r="B58" s="305">
        <f>Escalators!B87</f>
        <v>0</v>
      </c>
      <c r="C58" s="303" t="s">
        <v>69</v>
      </c>
      <c r="D58" s="60">
        <f>Escalators!D87</f>
        <v>0</v>
      </c>
      <c r="E58" s="306"/>
      <c r="F58" s="229"/>
      <c r="G58" s="229"/>
      <c r="H58" s="229"/>
      <c r="I58" s="229"/>
      <c r="J58" s="229"/>
      <c r="K58" s="229"/>
      <c r="M58" s="307">
        <f t="shared" si="6"/>
        <v>0</v>
      </c>
      <c r="N58" s="307">
        <f t="shared" si="6"/>
        <v>0</v>
      </c>
      <c r="O58" s="307">
        <f t="shared" si="6"/>
        <v>0</v>
      </c>
      <c r="P58" s="307">
        <f t="shared" si="6"/>
        <v>0</v>
      </c>
      <c r="Q58" s="307">
        <f t="shared" si="6"/>
        <v>0</v>
      </c>
      <c r="R58" s="307">
        <f t="shared" si="6"/>
        <v>0</v>
      </c>
      <c r="S58" s="307">
        <f t="shared" si="6"/>
        <v>0</v>
      </c>
      <c r="T58" s="229"/>
      <c r="U58" s="229"/>
      <c r="V58" s="229"/>
      <c r="W58" s="229"/>
    </row>
    <row r="59" spans="2:23" ht="12" customHeight="1" x14ac:dyDescent="0.2">
      <c r="B59" s="305">
        <f>Escalators!B88</f>
        <v>0</v>
      </c>
      <c r="C59" s="303" t="s">
        <v>69</v>
      </c>
      <c r="D59" s="60">
        <f>Escalators!D88</f>
        <v>0</v>
      </c>
      <c r="E59" s="306"/>
      <c r="F59" s="229"/>
      <c r="G59" s="229"/>
      <c r="H59" s="229"/>
      <c r="I59" s="229"/>
      <c r="J59" s="229"/>
      <c r="K59" s="229"/>
      <c r="M59" s="307">
        <f t="shared" si="6"/>
        <v>0</v>
      </c>
      <c r="N59" s="307">
        <f t="shared" si="6"/>
        <v>0</v>
      </c>
      <c r="O59" s="307">
        <f t="shared" si="6"/>
        <v>0</v>
      </c>
      <c r="P59" s="307">
        <f t="shared" si="6"/>
        <v>0</v>
      </c>
      <c r="Q59" s="307">
        <f t="shared" si="6"/>
        <v>0</v>
      </c>
      <c r="R59" s="307">
        <f t="shared" si="6"/>
        <v>0</v>
      </c>
      <c r="S59" s="307">
        <f t="shared" si="6"/>
        <v>0</v>
      </c>
      <c r="T59" s="229"/>
      <c r="U59" s="229"/>
      <c r="V59" s="229"/>
      <c r="W59" s="229"/>
    </row>
    <row r="60" spans="2:23" ht="12" customHeight="1" x14ac:dyDescent="0.2">
      <c r="B60" s="305">
        <f>Escalators!B89</f>
        <v>0</v>
      </c>
      <c r="C60" s="303" t="s">
        <v>69</v>
      </c>
      <c r="D60" s="60">
        <f>Escalators!D89</f>
        <v>0</v>
      </c>
      <c r="E60" s="306"/>
      <c r="F60" s="229"/>
      <c r="G60" s="229"/>
      <c r="H60" s="229"/>
      <c r="I60" s="229"/>
      <c r="J60" s="229"/>
      <c r="K60" s="229"/>
      <c r="M60" s="307">
        <f t="shared" si="6"/>
        <v>0</v>
      </c>
      <c r="N60" s="307">
        <f t="shared" si="6"/>
        <v>0</v>
      </c>
      <c r="O60" s="307">
        <f t="shared" si="6"/>
        <v>0</v>
      </c>
      <c r="P60" s="307">
        <f t="shared" si="6"/>
        <v>0</v>
      </c>
      <c r="Q60" s="307">
        <f t="shared" si="6"/>
        <v>0</v>
      </c>
      <c r="R60" s="307">
        <f t="shared" si="6"/>
        <v>0</v>
      </c>
      <c r="S60" s="307">
        <f t="shared" si="6"/>
        <v>0</v>
      </c>
      <c r="T60" s="229"/>
      <c r="U60" s="229"/>
      <c r="V60" s="229"/>
      <c r="W60" s="229"/>
    </row>
    <row r="61" spans="2:23" ht="12" customHeight="1" x14ac:dyDescent="0.2">
      <c r="B61" s="305">
        <f>Escalators!B90</f>
        <v>0</v>
      </c>
      <c r="C61" s="303" t="s">
        <v>69</v>
      </c>
      <c r="D61" s="60">
        <f>Escalators!D90</f>
        <v>0</v>
      </c>
      <c r="E61" s="306"/>
      <c r="F61" s="229"/>
      <c r="G61" s="229"/>
      <c r="H61" s="229"/>
      <c r="I61" s="229"/>
      <c r="J61" s="229"/>
      <c r="K61" s="229"/>
      <c r="M61" s="307">
        <f t="shared" si="6"/>
        <v>0</v>
      </c>
      <c r="N61" s="307">
        <f t="shared" si="6"/>
        <v>0</v>
      </c>
      <c r="O61" s="307">
        <f t="shared" si="6"/>
        <v>0</v>
      </c>
      <c r="P61" s="307">
        <f t="shared" si="6"/>
        <v>0</v>
      </c>
      <c r="Q61" s="307">
        <f t="shared" si="6"/>
        <v>0</v>
      </c>
      <c r="R61" s="307">
        <f t="shared" si="6"/>
        <v>0</v>
      </c>
      <c r="S61" s="307">
        <f t="shared" si="6"/>
        <v>0</v>
      </c>
      <c r="T61" s="229"/>
      <c r="U61" s="229"/>
      <c r="V61" s="229"/>
      <c r="W61" s="229"/>
    </row>
    <row r="62" spans="2:23" ht="12" customHeight="1" x14ac:dyDescent="0.2">
      <c r="B62" s="288" t="s">
        <v>49</v>
      </c>
      <c r="C62" s="308" t="s">
        <v>69</v>
      </c>
      <c r="D62" s="309">
        <f>SUM(D57:D61)</f>
        <v>1</v>
      </c>
      <c r="E62" s="309"/>
      <c r="F62" s="288"/>
      <c r="G62" s="288"/>
      <c r="H62" s="229"/>
      <c r="I62" s="229"/>
      <c r="J62" s="229"/>
      <c r="K62" s="229"/>
      <c r="M62" s="288"/>
      <c r="N62" s="288"/>
      <c r="O62" s="288"/>
      <c r="P62" s="288"/>
      <c r="Q62" s="288"/>
      <c r="R62" s="288"/>
      <c r="S62" s="288"/>
      <c r="T62" s="229"/>
      <c r="U62" s="229"/>
      <c r="V62" s="229"/>
      <c r="W62" s="229"/>
    </row>
    <row r="63" spans="2:23" ht="12" customHeight="1" x14ac:dyDescent="0.2">
      <c r="B63" s="229"/>
      <c r="C63" s="303"/>
      <c r="D63" s="229"/>
      <c r="E63" s="229"/>
      <c r="F63" s="229"/>
      <c r="G63" s="229"/>
      <c r="H63" s="229"/>
      <c r="I63" s="229"/>
      <c r="J63" s="229"/>
      <c r="K63" s="229"/>
      <c r="M63" s="229"/>
      <c r="N63" s="229"/>
      <c r="O63" s="229"/>
      <c r="P63" s="229"/>
      <c r="Q63" s="229"/>
      <c r="R63" s="229"/>
      <c r="S63" s="229"/>
      <c r="T63" s="229"/>
      <c r="U63" s="229"/>
      <c r="V63" s="229"/>
      <c r="W63" s="229"/>
    </row>
    <row r="64" spans="2:23" ht="12" customHeight="1" x14ac:dyDescent="0.2">
      <c r="B64" s="310" t="s">
        <v>404</v>
      </c>
      <c r="C64" s="308" t="s">
        <v>69</v>
      </c>
      <c r="D64" s="288"/>
      <c r="E64" s="288"/>
      <c r="F64" s="288"/>
      <c r="G64" s="288"/>
      <c r="H64" s="229"/>
      <c r="I64" s="229"/>
      <c r="J64" s="229"/>
      <c r="K64" s="229"/>
      <c r="M64" s="309">
        <f t="shared" ref="M64:S64" si="7">SUM(M57:M61)</f>
        <v>-4.1757349535112787E-2</v>
      </c>
      <c r="N64" s="309">
        <f t="shared" si="7"/>
        <v>2.3305412371134038E-2</v>
      </c>
      <c r="O64" s="309">
        <f t="shared" si="7"/>
        <v>1.5397743003345843E-2</v>
      </c>
      <c r="P64" s="309">
        <f t="shared" si="7"/>
        <v>2.9792926142103493E-2</v>
      </c>
      <c r="Q64" s="309">
        <f t="shared" si="7"/>
        <v>2.719408901020004E-2</v>
      </c>
      <c r="R64" s="309">
        <f t="shared" si="7"/>
        <v>3.1099769957004586E-2</v>
      </c>
      <c r="S64" s="309">
        <f t="shared" si="7"/>
        <v>3.1099999999999905E-2</v>
      </c>
      <c r="T64" s="229"/>
      <c r="U64" s="229"/>
      <c r="V64" s="229"/>
      <c r="W64" s="229"/>
    </row>
    <row r="65" spans="2:23" ht="12" customHeight="1" x14ac:dyDescent="0.2">
      <c r="B65" s="310" t="s">
        <v>405</v>
      </c>
      <c r="C65" s="308" t="s">
        <v>191</v>
      </c>
      <c r="D65" s="288"/>
      <c r="E65" s="288"/>
      <c r="F65" s="288"/>
      <c r="G65" s="288"/>
      <c r="H65" s="229"/>
      <c r="I65" s="229"/>
      <c r="J65" s="229"/>
      <c r="K65" s="229"/>
      <c r="M65" s="311">
        <f t="shared" ref="M65:S65" si="8">IF(L65="",1,L65*(1+M64))</f>
        <v>1</v>
      </c>
      <c r="N65" s="311">
        <f t="shared" si="8"/>
        <v>1.023305412371134</v>
      </c>
      <c r="O65" s="311">
        <f t="shared" si="8"/>
        <v>1.0390620061247575</v>
      </c>
      <c r="P65" s="311">
        <f t="shared" si="8"/>
        <v>1.0700187037302984</v>
      </c>
      <c r="Q65" s="311">
        <f t="shared" si="8"/>
        <v>1.0991168876021189</v>
      </c>
      <c r="R65" s="311">
        <f t="shared" si="8"/>
        <v>1.1332991699624038</v>
      </c>
      <c r="S65" s="311">
        <f t="shared" si="8"/>
        <v>1.1685447741482344</v>
      </c>
      <c r="T65" s="229"/>
      <c r="U65" s="229"/>
      <c r="V65" s="229"/>
      <c r="W65" s="229"/>
    </row>
    <row r="66" spans="2:23" ht="12" customHeight="1" x14ac:dyDescent="0.2">
      <c r="B66" s="229"/>
      <c r="C66" s="303"/>
      <c r="D66" s="229"/>
      <c r="E66" s="229"/>
      <c r="F66" s="229"/>
      <c r="G66" s="229"/>
      <c r="H66" s="229"/>
      <c r="I66" s="229"/>
      <c r="J66" s="229"/>
      <c r="K66" s="229"/>
      <c r="M66" s="229"/>
      <c r="N66" s="229"/>
      <c r="O66" s="229"/>
      <c r="P66" s="229"/>
      <c r="Q66" s="229"/>
      <c r="R66" s="229"/>
      <c r="S66" s="229"/>
      <c r="T66" s="229"/>
      <c r="U66" s="229"/>
      <c r="V66" s="229"/>
      <c r="W66" s="229"/>
    </row>
    <row r="67" spans="2:23" ht="12" customHeight="1" x14ac:dyDescent="0.2">
      <c r="B67" s="242" t="s">
        <v>226</v>
      </c>
      <c r="C67" s="280" t="s">
        <v>58</v>
      </c>
      <c r="D67" s="297">
        <f>IF(ABS(D62-1)&lt;0.001,0,1)</f>
        <v>0</v>
      </c>
      <c r="E67" s="298"/>
      <c r="F67" s="229"/>
      <c r="G67" s="229"/>
      <c r="H67" s="229"/>
      <c r="I67" s="229"/>
      <c r="J67" s="229"/>
      <c r="K67" s="229"/>
      <c r="M67" s="229"/>
      <c r="N67" s="229"/>
      <c r="O67" s="229"/>
      <c r="P67" s="229"/>
      <c r="Q67" s="229"/>
      <c r="R67" s="229"/>
      <c r="S67" s="229"/>
      <c r="T67" s="229"/>
      <c r="U67" s="229"/>
      <c r="V67" s="229"/>
      <c r="W67" s="229"/>
    </row>
    <row r="68" spans="2:23" ht="12" customHeight="1" x14ac:dyDescent="0.2">
      <c r="B68" s="229"/>
      <c r="C68" s="303"/>
      <c r="D68" s="229"/>
      <c r="E68" s="229"/>
      <c r="F68" s="229"/>
      <c r="G68" s="229"/>
      <c r="H68" s="229"/>
      <c r="I68" s="229"/>
      <c r="J68" s="229"/>
      <c r="K68" s="229"/>
      <c r="M68" s="229"/>
      <c r="N68" s="229"/>
      <c r="O68" s="229"/>
      <c r="P68" s="229"/>
      <c r="Q68" s="229"/>
      <c r="R68" s="229"/>
      <c r="S68" s="229"/>
      <c r="T68" s="229"/>
      <c r="U68" s="229"/>
      <c r="V68" s="229"/>
      <c r="W68" s="229"/>
    </row>
    <row r="69" spans="2:23" ht="12" customHeight="1" x14ac:dyDescent="0.2">
      <c r="B69" s="304" t="str">
        <f>Escalators!B95</f>
        <v>Transformers</v>
      </c>
      <c r="C69" s="303"/>
      <c r="D69" s="229"/>
      <c r="E69" s="229"/>
      <c r="F69" s="229"/>
      <c r="G69" s="229"/>
      <c r="H69" s="229"/>
      <c r="I69" s="229"/>
      <c r="J69" s="229"/>
      <c r="K69" s="229"/>
      <c r="M69" s="229"/>
      <c r="N69" s="229"/>
      <c r="O69" s="229"/>
      <c r="P69" s="229"/>
      <c r="Q69" s="229"/>
      <c r="R69" s="229"/>
      <c r="S69" s="229"/>
      <c r="T69" s="229"/>
      <c r="U69" s="229"/>
      <c r="V69" s="229"/>
      <c r="W69" s="229"/>
    </row>
    <row r="70" spans="2:23" ht="12" customHeight="1" x14ac:dyDescent="0.2">
      <c r="B70" s="304"/>
      <c r="C70" s="303"/>
      <c r="D70" s="229"/>
      <c r="E70" s="229"/>
      <c r="F70" s="229"/>
      <c r="G70" s="229"/>
      <c r="H70" s="229"/>
      <c r="I70" s="229"/>
      <c r="J70" s="229"/>
      <c r="K70" s="229"/>
      <c r="M70" s="229"/>
      <c r="N70" s="229"/>
      <c r="O70" s="229"/>
      <c r="P70" s="229"/>
      <c r="Q70" s="229"/>
      <c r="R70" s="229"/>
      <c r="S70" s="229"/>
      <c r="T70" s="229"/>
      <c r="U70" s="229"/>
      <c r="V70" s="229"/>
      <c r="W70" s="229"/>
    </row>
    <row r="71" spans="2:23" ht="12" customHeight="1" x14ac:dyDescent="0.2">
      <c r="B71" s="305" t="str">
        <f>Escalators!B96</f>
        <v>Steel*</v>
      </c>
      <c r="C71" s="303" t="s">
        <v>69</v>
      </c>
      <c r="D71" s="60">
        <f>Escalators!D96</f>
        <v>0.45</v>
      </c>
      <c r="E71" s="306"/>
      <c r="F71" s="229"/>
      <c r="G71" s="229"/>
      <c r="H71" s="229"/>
      <c r="I71" s="229"/>
      <c r="J71" s="229"/>
      <c r="K71" s="229"/>
      <c r="M71" s="307">
        <f t="shared" ref="M71:S75" si="9">IF($B71=0,0,$D71*INDEX(M$13:M$25,MATCH($B71,$B$13:$B$25,0)))</f>
        <v>-1.19767407955157E-2</v>
      </c>
      <c r="N71" s="307">
        <f t="shared" si="9"/>
        <v>-1.4004851425106036E-2</v>
      </c>
      <c r="O71" s="307">
        <f t="shared" si="9"/>
        <v>-3.4426266977803876E-3</v>
      </c>
      <c r="P71" s="307">
        <f t="shared" si="9"/>
        <v>2.8881685151719515E-3</v>
      </c>
      <c r="Q71" s="307">
        <f t="shared" si="9"/>
        <v>1.7452371946523604E-3</v>
      </c>
      <c r="R71" s="307">
        <f t="shared" si="9"/>
        <v>3.4628996934908062E-3</v>
      </c>
      <c r="S71" s="307">
        <f t="shared" si="9"/>
        <v>3.465000000000018E-3</v>
      </c>
      <c r="T71" s="229"/>
      <c r="U71" s="229"/>
      <c r="V71" s="229"/>
      <c r="W71" s="229"/>
    </row>
    <row r="72" spans="2:23" ht="12" customHeight="1" x14ac:dyDescent="0.2">
      <c r="B72" s="305" t="str">
        <f>Escalators!B97</f>
        <v xml:space="preserve">Copper* </v>
      </c>
      <c r="C72" s="303" t="s">
        <v>69</v>
      </c>
      <c r="D72" s="60">
        <f>Escalators!D97</f>
        <v>0.5</v>
      </c>
      <c r="E72" s="306"/>
      <c r="F72" s="229"/>
      <c r="G72" s="229"/>
      <c r="H72" s="229"/>
      <c r="I72" s="229"/>
      <c r="J72" s="229"/>
      <c r="K72" s="229"/>
      <c r="M72" s="307">
        <f t="shared" si="9"/>
        <v>-3.5073231637892555E-2</v>
      </c>
      <c r="N72" s="307">
        <f t="shared" si="9"/>
        <v>1.8487311657414796E-2</v>
      </c>
      <c r="O72" s="307">
        <f t="shared" si="9"/>
        <v>5.7580095201886783E-3</v>
      </c>
      <c r="P72" s="307">
        <f t="shared" si="9"/>
        <v>1.2928085700782299E-2</v>
      </c>
      <c r="Q72" s="307">
        <f t="shared" si="9"/>
        <v>1.1633634630788592E-2</v>
      </c>
      <c r="R72" s="307">
        <f t="shared" si="9"/>
        <v>1.3579009667407549E-2</v>
      </c>
      <c r="S72" s="307">
        <f t="shared" si="9"/>
        <v>1.3599999999999945E-2</v>
      </c>
      <c r="T72" s="229"/>
      <c r="U72" s="229"/>
      <c r="V72" s="229"/>
      <c r="W72" s="229"/>
    </row>
    <row r="73" spans="2:23" ht="12" customHeight="1" x14ac:dyDescent="0.2">
      <c r="B73" s="305" t="str">
        <f>Escalators!B98</f>
        <v>Other capital goods</v>
      </c>
      <c r="C73" s="303" t="s">
        <v>69</v>
      </c>
      <c r="D73" s="60">
        <f>Escalators!D98</f>
        <v>0.05</v>
      </c>
      <c r="E73" s="306"/>
      <c r="F73" s="229"/>
      <c r="G73" s="229"/>
      <c r="H73" s="229"/>
      <c r="I73" s="229"/>
      <c r="J73" s="229"/>
      <c r="K73" s="229"/>
      <c r="M73" s="307">
        <f t="shared" si="9"/>
        <v>1.4340344168260024E-3</v>
      </c>
      <c r="N73" s="307">
        <f t="shared" si="9"/>
        <v>1.0307728585893239E-3</v>
      </c>
      <c r="O73" s="307">
        <f t="shared" si="9"/>
        <v>8.5077845517025354E-4</v>
      </c>
      <c r="P73" s="307">
        <f t="shared" si="9"/>
        <v>8.369588904068026E-4</v>
      </c>
      <c r="Q73" s="307">
        <f t="shared" si="9"/>
        <v>8.4385699943723136E-4</v>
      </c>
      <c r="R73" s="307">
        <f t="shared" si="9"/>
        <v>8.7465085597101535E-4</v>
      </c>
      <c r="S73" s="307">
        <f t="shared" si="9"/>
        <v>8.7465085597101535E-4</v>
      </c>
      <c r="T73" s="229"/>
      <c r="U73" s="229"/>
      <c r="V73" s="229"/>
      <c r="W73" s="229"/>
    </row>
    <row r="74" spans="2:23" ht="12" customHeight="1" x14ac:dyDescent="0.2">
      <c r="B74" s="305">
        <f>Escalators!B99</f>
        <v>0</v>
      </c>
      <c r="C74" s="303" t="s">
        <v>69</v>
      </c>
      <c r="D74" s="60">
        <f>Escalators!D99</f>
        <v>0</v>
      </c>
      <c r="E74" s="306"/>
      <c r="F74" s="229"/>
      <c r="G74" s="229"/>
      <c r="H74" s="229"/>
      <c r="I74" s="229"/>
      <c r="J74" s="229"/>
      <c r="K74" s="229"/>
      <c r="M74" s="307">
        <f t="shared" si="9"/>
        <v>0</v>
      </c>
      <c r="N74" s="307">
        <f t="shared" si="9"/>
        <v>0</v>
      </c>
      <c r="O74" s="307">
        <f t="shared" si="9"/>
        <v>0</v>
      </c>
      <c r="P74" s="307">
        <f t="shared" si="9"/>
        <v>0</v>
      </c>
      <c r="Q74" s="307">
        <f t="shared" si="9"/>
        <v>0</v>
      </c>
      <c r="R74" s="307">
        <f t="shared" si="9"/>
        <v>0</v>
      </c>
      <c r="S74" s="307">
        <f t="shared" si="9"/>
        <v>0</v>
      </c>
      <c r="T74" s="229"/>
      <c r="U74" s="229"/>
      <c r="V74" s="229"/>
      <c r="W74" s="229"/>
    </row>
    <row r="75" spans="2:23" ht="12" customHeight="1" x14ac:dyDescent="0.2">
      <c r="B75" s="305">
        <f>Escalators!B100</f>
        <v>0</v>
      </c>
      <c r="C75" s="303" t="s">
        <v>69</v>
      </c>
      <c r="D75" s="60">
        <f>Escalators!D100</f>
        <v>0</v>
      </c>
      <c r="E75" s="306"/>
      <c r="F75" s="229"/>
      <c r="G75" s="229"/>
      <c r="H75" s="229"/>
      <c r="I75" s="229"/>
      <c r="J75" s="229"/>
      <c r="K75" s="229"/>
      <c r="M75" s="307">
        <f t="shared" si="9"/>
        <v>0</v>
      </c>
      <c r="N75" s="307">
        <f t="shared" si="9"/>
        <v>0</v>
      </c>
      <c r="O75" s="307">
        <f t="shared" si="9"/>
        <v>0</v>
      </c>
      <c r="P75" s="307">
        <f t="shared" si="9"/>
        <v>0</v>
      </c>
      <c r="Q75" s="307">
        <f t="shared" si="9"/>
        <v>0</v>
      </c>
      <c r="R75" s="307">
        <f t="shared" si="9"/>
        <v>0</v>
      </c>
      <c r="S75" s="307">
        <f t="shared" si="9"/>
        <v>0</v>
      </c>
      <c r="T75" s="229"/>
      <c r="U75" s="229"/>
      <c r="V75" s="229"/>
      <c r="W75" s="229"/>
    </row>
    <row r="76" spans="2:23" ht="12" customHeight="1" x14ac:dyDescent="0.2">
      <c r="B76" s="288" t="s">
        <v>49</v>
      </c>
      <c r="C76" s="308" t="s">
        <v>69</v>
      </c>
      <c r="D76" s="309">
        <f>SUM(D71:D75)</f>
        <v>1</v>
      </c>
      <c r="E76" s="309"/>
      <c r="F76" s="288"/>
      <c r="G76" s="288"/>
      <c r="H76" s="229"/>
      <c r="I76" s="229"/>
      <c r="J76" s="229"/>
      <c r="K76" s="229"/>
      <c r="M76" s="288"/>
      <c r="N76" s="288"/>
      <c r="O76" s="288"/>
      <c r="P76" s="288"/>
      <c r="Q76" s="288"/>
      <c r="R76" s="288"/>
      <c r="S76" s="288"/>
      <c r="T76" s="229"/>
      <c r="U76" s="229"/>
      <c r="V76" s="229"/>
      <c r="W76" s="229"/>
    </row>
    <row r="77" spans="2:23" ht="12" customHeight="1" x14ac:dyDescent="0.2">
      <c r="B77" s="229"/>
      <c r="C77" s="303"/>
      <c r="D77" s="229"/>
      <c r="E77" s="229"/>
      <c r="F77" s="229"/>
      <c r="G77" s="229"/>
      <c r="H77" s="229"/>
      <c r="I77" s="229"/>
      <c r="J77" s="229"/>
      <c r="K77" s="229"/>
      <c r="M77" s="229"/>
      <c r="N77" s="229"/>
      <c r="O77" s="229"/>
      <c r="P77" s="229"/>
      <c r="Q77" s="229"/>
      <c r="R77" s="229"/>
      <c r="S77" s="229"/>
      <c r="T77" s="229"/>
      <c r="U77" s="229"/>
      <c r="V77" s="229"/>
      <c r="W77" s="229"/>
    </row>
    <row r="78" spans="2:23" ht="12" customHeight="1" x14ac:dyDescent="0.2">
      <c r="B78" s="310" t="s">
        <v>404</v>
      </c>
      <c r="C78" s="308" t="s">
        <v>69</v>
      </c>
      <c r="D78" s="288"/>
      <c r="E78" s="288"/>
      <c r="F78" s="288"/>
      <c r="G78" s="288"/>
      <c r="H78" s="229"/>
      <c r="I78" s="229"/>
      <c r="J78" s="229"/>
      <c r="K78" s="229"/>
      <c r="M78" s="309">
        <f t="shared" ref="M78:S78" si="10">SUM(M71:M75)</f>
        <v>-4.5615938016582251E-2</v>
      </c>
      <c r="N78" s="309">
        <f t="shared" si="10"/>
        <v>5.5132330908980835E-3</v>
      </c>
      <c r="O78" s="309">
        <f t="shared" si="10"/>
        <v>3.1661612775785442E-3</v>
      </c>
      <c r="P78" s="309">
        <f t="shared" si="10"/>
        <v>1.6653213106361052E-2</v>
      </c>
      <c r="Q78" s="309">
        <f t="shared" si="10"/>
        <v>1.4222728824878184E-2</v>
      </c>
      <c r="R78" s="309">
        <f t="shared" si="10"/>
        <v>1.7916560216869368E-2</v>
      </c>
      <c r="S78" s="309">
        <f t="shared" si="10"/>
        <v>1.7939650855970976E-2</v>
      </c>
      <c r="T78" s="229"/>
      <c r="U78" s="229"/>
      <c r="V78" s="229"/>
      <c r="W78" s="229"/>
    </row>
    <row r="79" spans="2:23" ht="12" customHeight="1" x14ac:dyDescent="0.2">
      <c r="B79" s="310" t="s">
        <v>405</v>
      </c>
      <c r="C79" s="308" t="s">
        <v>191</v>
      </c>
      <c r="D79" s="288"/>
      <c r="E79" s="288"/>
      <c r="F79" s="288"/>
      <c r="G79" s="288"/>
      <c r="H79" s="229"/>
      <c r="I79" s="229"/>
      <c r="J79" s="229"/>
      <c r="K79" s="229"/>
      <c r="M79" s="311">
        <f t="shared" ref="M79:S79" si="11">IF(L79="",1,L79*(1+M78))</f>
        <v>1</v>
      </c>
      <c r="N79" s="311">
        <f t="shared" si="11"/>
        <v>1.005513233090898</v>
      </c>
      <c r="O79" s="311">
        <f t="shared" si="11"/>
        <v>1.0086968501536033</v>
      </c>
      <c r="P79" s="311">
        <f t="shared" si="11"/>
        <v>1.0254948937589263</v>
      </c>
      <c r="Q79" s="311">
        <f t="shared" si="11"/>
        <v>1.0400802295441569</v>
      </c>
      <c r="R79" s="311">
        <f t="shared" si="11"/>
        <v>1.0587148896071601</v>
      </c>
      <c r="S79" s="311">
        <f t="shared" si="11"/>
        <v>1.0777078650827305</v>
      </c>
      <c r="T79" s="229"/>
      <c r="U79" s="229"/>
      <c r="V79" s="229"/>
      <c r="W79" s="229"/>
    </row>
    <row r="80" spans="2:23" ht="12" customHeight="1" x14ac:dyDescent="0.2">
      <c r="B80" s="229"/>
      <c r="C80" s="303"/>
      <c r="D80" s="229"/>
      <c r="E80" s="229"/>
      <c r="F80" s="229"/>
      <c r="G80" s="229"/>
      <c r="H80" s="229"/>
      <c r="I80" s="229"/>
      <c r="J80" s="229"/>
      <c r="K80" s="229"/>
      <c r="M80" s="229"/>
      <c r="N80" s="229"/>
      <c r="O80" s="229"/>
      <c r="P80" s="229"/>
      <c r="Q80" s="229"/>
      <c r="R80" s="229"/>
      <c r="S80" s="229"/>
      <c r="T80" s="229"/>
      <c r="U80" s="229"/>
      <c r="V80" s="229"/>
      <c r="W80" s="229"/>
    </row>
    <row r="81" spans="2:23" ht="12" customHeight="1" x14ac:dyDescent="0.2">
      <c r="B81" s="242" t="s">
        <v>227</v>
      </c>
      <c r="C81" s="280" t="s">
        <v>58</v>
      </c>
      <c r="D81" s="297">
        <f>IF(ABS(D76-1)&lt;0.001,0,1)</f>
        <v>0</v>
      </c>
      <c r="E81" s="298"/>
      <c r="F81" s="229"/>
      <c r="G81" s="229"/>
      <c r="H81" s="229"/>
      <c r="I81" s="229"/>
      <c r="J81" s="229"/>
      <c r="K81" s="229"/>
      <c r="M81" s="229"/>
      <c r="N81" s="229"/>
      <c r="O81" s="229"/>
      <c r="P81" s="229"/>
      <c r="Q81" s="229"/>
      <c r="R81" s="229"/>
      <c r="S81" s="229"/>
      <c r="T81" s="229"/>
      <c r="U81" s="229"/>
      <c r="V81" s="229"/>
      <c r="W81" s="229"/>
    </row>
    <row r="82" spans="2:23" ht="12" customHeight="1" x14ac:dyDescent="0.2">
      <c r="B82" s="229"/>
      <c r="C82" s="303"/>
      <c r="D82" s="229"/>
      <c r="E82" s="229"/>
      <c r="F82" s="229"/>
      <c r="G82" s="229"/>
      <c r="H82" s="229"/>
      <c r="I82" s="229"/>
      <c r="J82" s="229"/>
      <c r="K82" s="229"/>
      <c r="M82" s="229"/>
      <c r="N82" s="229"/>
      <c r="O82" s="229"/>
      <c r="P82" s="229"/>
      <c r="Q82" s="229"/>
      <c r="R82" s="229"/>
      <c r="S82" s="229"/>
      <c r="T82" s="229"/>
      <c r="U82" s="229"/>
      <c r="V82" s="229"/>
      <c r="W82" s="229"/>
    </row>
    <row r="83" spans="2:23" ht="12" customHeight="1" x14ac:dyDescent="0.2">
      <c r="B83" s="304" t="str">
        <f>Escalators!B105</f>
        <v>Switchgear</v>
      </c>
      <c r="C83" s="303"/>
      <c r="D83" s="229"/>
      <c r="E83" s="229"/>
      <c r="F83" s="229"/>
      <c r="G83" s="229"/>
      <c r="H83" s="229"/>
      <c r="I83" s="229"/>
      <c r="J83" s="229"/>
      <c r="K83" s="229"/>
      <c r="M83" s="229"/>
      <c r="N83" s="229"/>
      <c r="O83" s="229"/>
      <c r="P83" s="229"/>
      <c r="Q83" s="229"/>
      <c r="R83" s="229"/>
      <c r="S83" s="229"/>
      <c r="T83" s="229"/>
      <c r="U83" s="229"/>
      <c r="V83" s="229"/>
      <c r="W83" s="229"/>
    </row>
    <row r="84" spans="2:23" ht="12" customHeight="1" x14ac:dyDescent="0.2">
      <c r="B84" s="304"/>
      <c r="C84" s="303"/>
      <c r="D84" s="229"/>
      <c r="E84" s="229"/>
      <c r="F84" s="229"/>
      <c r="G84" s="229"/>
      <c r="H84" s="229"/>
      <c r="I84" s="229"/>
      <c r="J84" s="229"/>
      <c r="K84" s="229"/>
      <c r="M84" s="229"/>
      <c r="N84" s="229"/>
      <c r="O84" s="229"/>
      <c r="P84" s="229"/>
      <c r="Q84" s="229"/>
      <c r="R84" s="229"/>
      <c r="S84" s="229"/>
      <c r="T84" s="229"/>
      <c r="U84" s="229"/>
      <c r="V84" s="229"/>
      <c r="W84" s="229"/>
    </row>
    <row r="85" spans="2:23" ht="12" customHeight="1" x14ac:dyDescent="0.2">
      <c r="B85" s="305" t="str">
        <f>Escalators!B106</f>
        <v xml:space="preserve">Copper* </v>
      </c>
      <c r="C85" s="303" t="s">
        <v>69</v>
      </c>
      <c r="D85" s="60">
        <f>Escalators!D106</f>
        <v>0.75</v>
      </c>
      <c r="E85" s="306"/>
      <c r="F85" s="229"/>
      <c r="G85" s="229"/>
      <c r="H85" s="229"/>
      <c r="I85" s="229"/>
      <c r="J85" s="229"/>
      <c r="K85" s="229"/>
      <c r="M85" s="307">
        <f t="shared" ref="M85:S89" si="12">IF($B85=0,0,$D85*INDEX(M$13:M$25,MATCH($B85,$B$13:$B$25,0)))</f>
        <v>-5.2609847456838832E-2</v>
      </c>
      <c r="N85" s="307">
        <f t="shared" si="12"/>
        <v>2.7730967486122193E-2</v>
      </c>
      <c r="O85" s="307">
        <f t="shared" si="12"/>
        <v>8.6370142802830174E-3</v>
      </c>
      <c r="P85" s="307">
        <f t="shared" si="12"/>
        <v>1.9392128551173449E-2</v>
      </c>
      <c r="Q85" s="307">
        <f t="shared" si="12"/>
        <v>1.7450451946182888E-2</v>
      </c>
      <c r="R85" s="307">
        <f t="shared" si="12"/>
        <v>2.0368514501111323E-2</v>
      </c>
      <c r="S85" s="307">
        <f t="shared" si="12"/>
        <v>2.0399999999999918E-2</v>
      </c>
      <c r="T85" s="229"/>
      <c r="U85" s="229"/>
      <c r="V85" s="229"/>
      <c r="W85" s="229"/>
    </row>
    <row r="86" spans="2:23" ht="12" customHeight="1" x14ac:dyDescent="0.2">
      <c r="B86" s="305" t="str">
        <f>Escalators!B107</f>
        <v>Steel*</v>
      </c>
      <c r="C86" s="303" t="s">
        <v>69</v>
      </c>
      <c r="D86" s="60">
        <f>Escalators!D107</f>
        <v>0.25</v>
      </c>
      <c r="E86" s="306"/>
      <c r="F86" s="229"/>
      <c r="G86" s="229"/>
      <c r="H86" s="229"/>
      <c r="I86" s="229"/>
      <c r="J86" s="229"/>
      <c r="K86" s="229"/>
      <c r="M86" s="307">
        <f t="shared" si="12"/>
        <v>-6.6537448863976112E-3</v>
      </c>
      <c r="N86" s="307">
        <f t="shared" si="12"/>
        <v>-7.7804730139477973E-3</v>
      </c>
      <c r="O86" s="307">
        <f t="shared" si="12"/>
        <v>-1.9125703876557709E-3</v>
      </c>
      <c r="P86" s="307">
        <f t="shared" si="12"/>
        <v>1.6045380639844176E-3</v>
      </c>
      <c r="Q86" s="307">
        <f t="shared" si="12"/>
        <v>9.6957621925131132E-4</v>
      </c>
      <c r="R86" s="307">
        <f t="shared" si="12"/>
        <v>1.9238331630504479E-3</v>
      </c>
      <c r="S86" s="307">
        <f t="shared" si="12"/>
        <v>1.92500000000001E-3</v>
      </c>
      <c r="T86" s="229"/>
      <c r="U86" s="229"/>
      <c r="V86" s="229"/>
      <c r="W86" s="229"/>
    </row>
    <row r="87" spans="2:23" ht="12" customHeight="1" x14ac:dyDescent="0.2">
      <c r="B87" s="305">
        <f>Escalators!B108</f>
        <v>0</v>
      </c>
      <c r="C87" s="303" t="s">
        <v>69</v>
      </c>
      <c r="D87" s="60">
        <f>Escalators!D108</f>
        <v>0</v>
      </c>
      <c r="E87" s="306"/>
      <c r="F87" s="229"/>
      <c r="G87" s="229"/>
      <c r="H87" s="229"/>
      <c r="I87" s="229"/>
      <c r="J87" s="229"/>
      <c r="K87" s="229"/>
      <c r="M87" s="307">
        <f t="shared" si="12"/>
        <v>0</v>
      </c>
      <c r="N87" s="307">
        <f t="shared" si="12"/>
        <v>0</v>
      </c>
      <c r="O87" s="307">
        <f t="shared" si="12"/>
        <v>0</v>
      </c>
      <c r="P87" s="307">
        <f t="shared" si="12"/>
        <v>0</v>
      </c>
      <c r="Q87" s="307">
        <f t="shared" si="12"/>
        <v>0</v>
      </c>
      <c r="R87" s="307">
        <f t="shared" si="12"/>
        <v>0</v>
      </c>
      <c r="S87" s="307">
        <f t="shared" si="12"/>
        <v>0</v>
      </c>
      <c r="T87" s="229"/>
      <c r="U87" s="229"/>
      <c r="V87" s="229"/>
      <c r="W87" s="229"/>
    </row>
    <row r="88" spans="2:23" ht="12" customHeight="1" x14ac:dyDescent="0.2">
      <c r="B88" s="305">
        <f>Escalators!B109</f>
        <v>0</v>
      </c>
      <c r="C88" s="303" t="s">
        <v>69</v>
      </c>
      <c r="D88" s="60">
        <f>Escalators!D109</f>
        <v>0</v>
      </c>
      <c r="E88" s="306"/>
      <c r="F88" s="229"/>
      <c r="G88" s="229"/>
      <c r="H88" s="229"/>
      <c r="I88" s="229"/>
      <c r="J88" s="229"/>
      <c r="K88" s="229"/>
      <c r="M88" s="307">
        <f t="shared" si="12"/>
        <v>0</v>
      </c>
      <c r="N88" s="307">
        <f t="shared" si="12"/>
        <v>0</v>
      </c>
      <c r="O88" s="307">
        <f t="shared" si="12"/>
        <v>0</v>
      </c>
      <c r="P88" s="307">
        <f t="shared" si="12"/>
        <v>0</v>
      </c>
      <c r="Q88" s="307">
        <f t="shared" si="12"/>
        <v>0</v>
      </c>
      <c r="R88" s="307">
        <f t="shared" si="12"/>
        <v>0</v>
      </c>
      <c r="S88" s="307">
        <f t="shared" si="12"/>
        <v>0</v>
      </c>
      <c r="T88" s="229"/>
      <c r="U88" s="229"/>
      <c r="V88" s="229"/>
      <c r="W88" s="229"/>
    </row>
    <row r="89" spans="2:23" ht="12" customHeight="1" x14ac:dyDescent="0.2">
      <c r="B89" s="305">
        <f>Escalators!B110</f>
        <v>0</v>
      </c>
      <c r="C89" s="303" t="s">
        <v>69</v>
      </c>
      <c r="D89" s="60">
        <f>Escalators!D110</f>
        <v>0</v>
      </c>
      <c r="E89" s="306"/>
      <c r="F89" s="229"/>
      <c r="G89" s="229"/>
      <c r="H89" s="229"/>
      <c r="I89" s="229"/>
      <c r="J89" s="229"/>
      <c r="K89" s="229"/>
      <c r="M89" s="307">
        <f t="shared" si="12"/>
        <v>0</v>
      </c>
      <c r="N89" s="307">
        <f t="shared" si="12"/>
        <v>0</v>
      </c>
      <c r="O89" s="307">
        <f t="shared" si="12"/>
        <v>0</v>
      </c>
      <c r="P89" s="307">
        <f t="shared" si="12"/>
        <v>0</v>
      </c>
      <c r="Q89" s="307">
        <f t="shared" si="12"/>
        <v>0</v>
      </c>
      <c r="R89" s="307">
        <f t="shared" si="12"/>
        <v>0</v>
      </c>
      <c r="S89" s="307">
        <f t="shared" si="12"/>
        <v>0</v>
      </c>
      <c r="T89" s="229"/>
      <c r="U89" s="229"/>
      <c r="V89" s="229"/>
      <c r="W89" s="229"/>
    </row>
    <row r="90" spans="2:23" ht="12" customHeight="1" x14ac:dyDescent="0.2">
      <c r="B90" s="288" t="s">
        <v>49</v>
      </c>
      <c r="C90" s="308" t="s">
        <v>69</v>
      </c>
      <c r="D90" s="309">
        <f>SUM(D85:D89)</f>
        <v>1</v>
      </c>
      <c r="E90" s="309"/>
      <c r="F90" s="288"/>
      <c r="G90" s="288"/>
      <c r="H90" s="229"/>
      <c r="I90" s="229"/>
      <c r="J90" s="229"/>
      <c r="K90" s="229"/>
      <c r="M90" s="288"/>
      <c r="N90" s="288"/>
      <c r="O90" s="288"/>
      <c r="P90" s="288"/>
      <c r="Q90" s="288"/>
      <c r="R90" s="288"/>
      <c r="S90" s="288"/>
      <c r="T90" s="229"/>
      <c r="U90" s="229"/>
      <c r="V90" s="229"/>
      <c r="W90" s="229"/>
    </row>
    <row r="91" spans="2:23" ht="12" customHeight="1" x14ac:dyDescent="0.2">
      <c r="B91" s="229"/>
      <c r="C91" s="303"/>
      <c r="D91" s="229"/>
      <c r="E91" s="229"/>
      <c r="F91" s="229"/>
      <c r="G91" s="229"/>
      <c r="H91" s="229"/>
      <c r="I91" s="229"/>
      <c r="J91" s="229"/>
      <c r="K91" s="229"/>
      <c r="M91" s="229"/>
      <c r="N91" s="229"/>
      <c r="O91" s="229"/>
      <c r="P91" s="229"/>
      <c r="Q91" s="229"/>
      <c r="R91" s="229"/>
      <c r="S91" s="229"/>
      <c r="T91" s="229"/>
      <c r="U91" s="229"/>
      <c r="V91" s="229"/>
      <c r="W91" s="229"/>
    </row>
    <row r="92" spans="2:23" ht="12" customHeight="1" x14ac:dyDescent="0.2">
      <c r="B92" s="310" t="s">
        <v>404</v>
      </c>
      <c r="C92" s="308" t="s">
        <v>69</v>
      </c>
      <c r="D92" s="288"/>
      <c r="E92" s="288"/>
      <c r="F92" s="288"/>
      <c r="G92" s="288"/>
      <c r="H92" s="229"/>
      <c r="I92" s="229"/>
      <c r="J92" s="229"/>
      <c r="K92" s="229"/>
      <c r="M92" s="309">
        <f t="shared" ref="M92:S92" si="13">SUM(M85:M89)</f>
        <v>-5.9263592343236443E-2</v>
      </c>
      <c r="N92" s="309">
        <f t="shared" si="13"/>
        <v>1.9950494472174396E-2</v>
      </c>
      <c r="O92" s="309">
        <f t="shared" si="13"/>
        <v>6.7244438926272465E-3</v>
      </c>
      <c r="P92" s="309">
        <f t="shared" si="13"/>
        <v>2.0996666615157866E-2</v>
      </c>
      <c r="Q92" s="309">
        <f t="shared" si="13"/>
        <v>1.8420028165434199E-2</v>
      </c>
      <c r="R92" s="309">
        <f t="shared" si="13"/>
        <v>2.2292347664161771E-2</v>
      </c>
      <c r="S92" s="309">
        <f t="shared" si="13"/>
        <v>2.2324999999999928E-2</v>
      </c>
      <c r="T92" s="229"/>
      <c r="U92" s="229"/>
      <c r="V92" s="229"/>
      <c r="W92" s="229"/>
    </row>
    <row r="93" spans="2:23" ht="12" customHeight="1" x14ac:dyDescent="0.2">
      <c r="B93" s="310" t="s">
        <v>405</v>
      </c>
      <c r="C93" s="308" t="s">
        <v>191</v>
      </c>
      <c r="D93" s="288"/>
      <c r="E93" s="288"/>
      <c r="F93" s="288"/>
      <c r="G93" s="288"/>
      <c r="H93" s="229"/>
      <c r="I93" s="229"/>
      <c r="J93" s="229"/>
      <c r="K93" s="229"/>
      <c r="M93" s="311">
        <f t="shared" ref="M93:S93" si="14">IF(L93="",1,L93*(1+M92))</f>
        <v>1</v>
      </c>
      <c r="N93" s="311">
        <f t="shared" si="14"/>
        <v>1.0199504944721745</v>
      </c>
      <c r="O93" s="311">
        <f t="shared" si="14"/>
        <v>1.0268090943455099</v>
      </c>
      <c r="P93" s="311">
        <f t="shared" si="14"/>
        <v>1.0483686625768949</v>
      </c>
      <c r="Q93" s="311">
        <f t="shared" si="14"/>
        <v>1.06767964286932</v>
      </c>
      <c r="R93" s="311">
        <f t="shared" si="14"/>
        <v>1.0914807286621109</v>
      </c>
      <c r="S93" s="311">
        <f t="shared" si="14"/>
        <v>1.1158480359294924</v>
      </c>
      <c r="T93" s="229"/>
      <c r="U93" s="229"/>
      <c r="V93" s="229"/>
      <c r="W93" s="229"/>
    </row>
    <row r="94" spans="2:23" ht="12" customHeight="1" x14ac:dyDescent="0.2">
      <c r="B94" s="229"/>
      <c r="C94" s="303"/>
      <c r="D94" s="229"/>
      <c r="E94" s="229"/>
      <c r="F94" s="229"/>
      <c r="G94" s="229"/>
      <c r="H94" s="229"/>
      <c r="I94" s="229"/>
      <c r="J94" s="229"/>
      <c r="K94" s="229"/>
      <c r="M94" s="229"/>
      <c r="N94" s="229"/>
      <c r="O94" s="229"/>
      <c r="P94" s="229"/>
      <c r="Q94" s="229"/>
      <c r="R94" s="229"/>
      <c r="S94" s="229"/>
      <c r="T94" s="229"/>
      <c r="U94" s="229"/>
      <c r="V94" s="229"/>
      <c r="W94" s="229"/>
    </row>
    <row r="95" spans="2:23" ht="12" customHeight="1" x14ac:dyDescent="0.2">
      <c r="B95" s="242" t="s">
        <v>228</v>
      </c>
      <c r="C95" s="280" t="s">
        <v>58</v>
      </c>
      <c r="D95" s="297">
        <f>IF(ABS(D90-1)&lt;0.001,0,1)</f>
        <v>0</v>
      </c>
      <c r="E95" s="298"/>
      <c r="F95" s="229"/>
      <c r="G95" s="229"/>
      <c r="H95" s="229"/>
      <c r="I95" s="229"/>
      <c r="J95" s="229"/>
      <c r="K95" s="229"/>
      <c r="M95" s="229"/>
      <c r="N95" s="229"/>
      <c r="O95" s="229"/>
      <c r="P95" s="229"/>
      <c r="Q95" s="229"/>
      <c r="R95" s="229"/>
      <c r="S95" s="229"/>
      <c r="T95" s="229"/>
      <c r="U95" s="229"/>
      <c r="V95" s="229"/>
      <c r="W95" s="229"/>
    </row>
    <row r="96" spans="2:23" ht="12" customHeight="1" x14ac:dyDescent="0.2">
      <c r="B96" s="242"/>
      <c r="C96" s="280"/>
      <c r="D96" s="298"/>
      <c r="E96" s="298"/>
      <c r="F96" s="229"/>
      <c r="G96" s="229"/>
      <c r="H96" s="229"/>
      <c r="I96" s="229"/>
      <c r="J96" s="229"/>
      <c r="K96" s="229"/>
      <c r="M96" s="229"/>
      <c r="N96" s="229"/>
      <c r="O96" s="229"/>
      <c r="P96" s="229"/>
      <c r="Q96" s="229"/>
      <c r="R96" s="229"/>
      <c r="S96" s="229"/>
      <c r="T96" s="229"/>
      <c r="U96" s="229"/>
      <c r="V96" s="229"/>
      <c r="W96" s="229"/>
    </row>
    <row r="97" spans="2:23" ht="12" customHeight="1" x14ac:dyDescent="0.2">
      <c r="B97" s="304" t="str">
        <f>Escalators!B115</f>
        <v>Other</v>
      </c>
      <c r="C97" s="303"/>
      <c r="D97" s="229"/>
      <c r="E97" s="229"/>
      <c r="F97" s="229"/>
      <c r="G97" s="229"/>
      <c r="H97" s="229"/>
      <c r="I97" s="229"/>
      <c r="J97" s="229"/>
      <c r="K97" s="229"/>
      <c r="M97" s="229"/>
      <c r="N97" s="229"/>
      <c r="O97" s="229"/>
      <c r="P97" s="229"/>
      <c r="Q97" s="229"/>
      <c r="R97" s="229"/>
      <c r="S97" s="229"/>
      <c r="T97" s="229"/>
      <c r="U97" s="229"/>
      <c r="V97" s="229"/>
      <c r="W97" s="229"/>
    </row>
    <row r="98" spans="2:23" ht="12" customHeight="1" x14ac:dyDescent="0.2">
      <c r="B98" s="304"/>
      <c r="C98" s="303"/>
      <c r="D98" s="229"/>
      <c r="E98" s="229"/>
      <c r="F98" s="229"/>
      <c r="G98" s="229"/>
      <c r="H98" s="229"/>
      <c r="I98" s="229"/>
      <c r="J98" s="229"/>
      <c r="K98" s="229"/>
      <c r="M98" s="229"/>
      <c r="N98" s="229"/>
      <c r="O98" s="229"/>
      <c r="P98" s="229"/>
      <c r="Q98" s="229"/>
      <c r="R98" s="229"/>
      <c r="S98" s="229"/>
      <c r="T98" s="229"/>
      <c r="U98" s="229"/>
      <c r="V98" s="229"/>
      <c r="W98" s="229"/>
    </row>
    <row r="99" spans="2:23" ht="12" customHeight="1" x14ac:dyDescent="0.2">
      <c r="B99" s="305" t="str">
        <f>Escalators!B116</f>
        <v>Other capital goods</v>
      </c>
      <c r="C99" s="303" t="s">
        <v>69</v>
      </c>
      <c r="D99" s="60">
        <f>Escalators!D116</f>
        <v>1</v>
      </c>
      <c r="E99" s="306"/>
      <c r="F99" s="229"/>
      <c r="G99" s="229"/>
      <c r="H99" s="229"/>
      <c r="I99" s="229"/>
      <c r="J99" s="229"/>
      <c r="K99" s="229"/>
      <c r="M99" s="307">
        <f t="shared" ref="M99:S103" si="15">IF($B99=0,0,$D99*INDEX(M$13:M$25,MATCH($B99,$B$13:$B$25,0)))</f>
        <v>2.8680688336520044E-2</v>
      </c>
      <c r="N99" s="307">
        <f t="shared" si="15"/>
        <v>2.0615457171786478E-2</v>
      </c>
      <c r="O99" s="307">
        <f t="shared" si="15"/>
        <v>1.701556910340507E-2</v>
      </c>
      <c r="P99" s="307">
        <f t="shared" si="15"/>
        <v>1.6739177808136052E-2</v>
      </c>
      <c r="Q99" s="307">
        <f t="shared" si="15"/>
        <v>1.6877139988744627E-2</v>
      </c>
      <c r="R99" s="307">
        <f t="shared" si="15"/>
        <v>1.7493017119420307E-2</v>
      </c>
      <c r="S99" s="307">
        <f t="shared" si="15"/>
        <v>1.7493017119420307E-2</v>
      </c>
      <c r="T99" s="229"/>
      <c r="U99" s="229"/>
      <c r="V99" s="229"/>
      <c r="W99" s="229"/>
    </row>
    <row r="100" spans="2:23" ht="12" customHeight="1" x14ac:dyDescent="0.2">
      <c r="B100" s="305">
        <f>Escalators!B117</f>
        <v>0</v>
      </c>
      <c r="C100" s="303" t="s">
        <v>69</v>
      </c>
      <c r="D100" s="60">
        <f>Escalators!D117</f>
        <v>0</v>
      </c>
      <c r="E100" s="306"/>
      <c r="F100" s="229"/>
      <c r="G100" s="229"/>
      <c r="H100" s="229"/>
      <c r="I100" s="229"/>
      <c r="J100" s="229"/>
      <c r="K100" s="229"/>
      <c r="M100" s="307">
        <f t="shared" si="15"/>
        <v>0</v>
      </c>
      <c r="N100" s="307">
        <f t="shared" si="15"/>
        <v>0</v>
      </c>
      <c r="O100" s="307">
        <f t="shared" si="15"/>
        <v>0</v>
      </c>
      <c r="P100" s="307">
        <f t="shared" si="15"/>
        <v>0</v>
      </c>
      <c r="Q100" s="307">
        <f t="shared" si="15"/>
        <v>0</v>
      </c>
      <c r="R100" s="307">
        <f t="shared" si="15"/>
        <v>0</v>
      </c>
      <c r="S100" s="307">
        <f t="shared" si="15"/>
        <v>0</v>
      </c>
      <c r="T100" s="229"/>
      <c r="U100" s="229"/>
      <c r="V100" s="229"/>
      <c r="W100" s="229"/>
    </row>
    <row r="101" spans="2:23" ht="12" customHeight="1" x14ac:dyDescent="0.2">
      <c r="B101" s="305">
        <f>Escalators!B118</f>
        <v>0</v>
      </c>
      <c r="C101" s="303" t="s">
        <v>69</v>
      </c>
      <c r="D101" s="60">
        <f>Escalators!D118</f>
        <v>0</v>
      </c>
      <c r="E101" s="306"/>
      <c r="F101" s="229"/>
      <c r="G101" s="229"/>
      <c r="H101" s="229"/>
      <c r="I101" s="229"/>
      <c r="J101" s="229"/>
      <c r="K101" s="229"/>
      <c r="M101" s="307">
        <f t="shared" si="15"/>
        <v>0</v>
      </c>
      <c r="N101" s="307">
        <f t="shared" si="15"/>
        <v>0</v>
      </c>
      <c r="O101" s="307">
        <f t="shared" si="15"/>
        <v>0</v>
      </c>
      <c r="P101" s="307">
        <f t="shared" si="15"/>
        <v>0</v>
      </c>
      <c r="Q101" s="307">
        <f t="shared" si="15"/>
        <v>0</v>
      </c>
      <c r="R101" s="307">
        <f t="shared" si="15"/>
        <v>0</v>
      </c>
      <c r="S101" s="307">
        <f t="shared" si="15"/>
        <v>0</v>
      </c>
      <c r="T101" s="229"/>
      <c r="U101" s="229"/>
      <c r="V101" s="229"/>
      <c r="W101" s="229"/>
    </row>
    <row r="102" spans="2:23" ht="12" customHeight="1" x14ac:dyDescent="0.2">
      <c r="B102" s="305">
        <f>Escalators!B119</f>
        <v>0</v>
      </c>
      <c r="C102" s="303" t="s">
        <v>69</v>
      </c>
      <c r="D102" s="60">
        <f>Escalators!D119</f>
        <v>0</v>
      </c>
      <c r="E102" s="306"/>
      <c r="F102" s="229"/>
      <c r="G102" s="229"/>
      <c r="H102" s="229"/>
      <c r="I102" s="229"/>
      <c r="J102" s="229"/>
      <c r="K102" s="229"/>
      <c r="M102" s="307">
        <f t="shared" si="15"/>
        <v>0</v>
      </c>
      <c r="N102" s="307">
        <f t="shared" si="15"/>
        <v>0</v>
      </c>
      <c r="O102" s="307">
        <f t="shared" si="15"/>
        <v>0</v>
      </c>
      <c r="P102" s="307">
        <f t="shared" si="15"/>
        <v>0</v>
      </c>
      <c r="Q102" s="307">
        <f t="shared" si="15"/>
        <v>0</v>
      </c>
      <c r="R102" s="307">
        <f t="shared" si="15"/>
        <v>0</v>
      </c>
      <c r="S102" s="307">
        <f t="shared" si="15"/>
        <v>0</v>
      </c>
      <c r="T102" s="229"/>
      <c r="U102" s="229"/>
      <c r="V102" s="229"/>
      <c r="W102" s="229"/>
    </row>
    <row r="103" spans="2:23" ht="12" customHeight="1" x14ac:dyDescent="0.2">
      <c r="B103" s="305">
        <f>Escalators!B120</f>
        <v>0</v>
      </c>
      <c r="C103" s="303" t="s">
        <v>69</v>
      </c>
      <c r="D103" s="60">
        <f>Escalators!D120</f>
        <v>0</v>
      </c>
      <c r="E103" s="306"/>
      <c r="F103" s="229"/>
      <c r="G103" s="229"/>
      <c r="H103" s="229"/>
      <c r="I103" s="229"/>
      <c r="J103" s="229"/>
      <c r="K103" s="229"/>
      <c r="M103" s="307">
        <f t="shared" si="15"/>
        <v>0</v>
      </c>
      <c r="N103" s="307">
        <f t="shared" si="15"/>
        <v>0</v>
      </c>
      <c r="O103" s="307">
        <f t="shared" si="15"/>
        <v>0</v>
      </c>
      <c r="P103" s="307">
        <f t="shared" si="15"/>
        <v>0</v>
      </c>
      <c r="Q103" s="307">
        <f t="shared" si="15"/>
        <v>0</v>
      </c>
      <c r="R103" s="307">
        <f t="shared" si="15"/>
        <v>0</v>
      </c>
      <c r="S103" s="307">
        <f t="shared" si="15"/>
        <v>0</v>
      </c>
      <c r="T103" s="229"/>
      <c r="U103" s="229"/>
      <c r="V103" s="229"/>
      <c r="W103" s="229"/>
    </row>
    <row r="104" spans="2:23" ht="12" customHeight="1" x14ac:dyDescent="0.2">
      <c r="B104" s="288" t="s">
        <v>49</v>
      </c>
      <c r="C104" s="308" t="s">
        <v>69</v>
      </c>
      <c r="D104" s="309">
        <f>SUM(D99:D103)</f>
        <v>1</v>
      </c>
      <c r="E104" s="309"/>
      <c r="F104" s="288"/>
      <c r="G104" s="288"/>
      <c r="H104" s="229"/>
      <c r="I104" s="229"/>
      <c r="J104" s="229"/>
      <c r="K104" s="229"/>
      <c r="M104" s="288"/>
      <c r="N104" s="288"/>
      <c r="O104" s="288"/>
      <c r="P104" s="288"/>
      <c r="Q104" s="288"/>
      <c r="R104" s="288"/>
      <c r="S104" s="288"/>
      <c r="T104" s="229"/>
      <c r="U104" s="229"/>
      <c r="V104" s="229"/>
      <c r="W104" s="229"/>
    </row>
    <row r="105" spans="2:23" ht="12" customHeight="1" x14ac:dyDescent="0.2">
      <c r="B105" s="229"/>
      <c r="C105" s="303"/>
      <c r="D105" s="229"/>
      <c r="E105" s="229"/>
      <c r="F105" s="229"/>
      <c r="G105" s="229"/>
      <c r="H105" s="229"/>
      <c r="I105" s="229"/>
      <c r="J105" s="229"/>
      <c r="K105" s="229"/>
      <c r="M105" s="229"/>
      <c r="N105" s="229"/>
      <c r="O105" s="229"/>
      <c r="P105" s="229"/>
      <c r="Q105" s="229"/>
      <c r="R105" s="229"/>
      <c r="S105" s="229"/>
      <c r="T105" s="229"/>
      <c r="U105" s="229"/>
      <c r="V105" s="229"/>
      <c r="W105" s="229"/>
    </row>
    <row r="106" spans="2:23" ht="12" customHeight="1" x14ac:dyDescent="0.2">
      <c r="B106" s="310" t="s">
        <v>404</v>
      </c>
      <c r="C106" s="308" t="s">
        <v>69</v>
      </c>
      <c r="D106" s="288"/>
      <c r="E106" s="288"/>
      <c r="F106" s="288"/>
      <c r="G106" s="288"/>
      <c r="H106" s="229"/>
      <c r="I106" s="229"/>
      <c r="J106" s="229"/>
      <c r="K106" s="229"/>
      <c r="M106" s="309">
        <f t="shared" ref="M106:S106" si="16">SUM(M99:M103)</f>
        <v>2.8680688336520044E-2</v>
      </c>
      <c r="N106" s="309">
        <f t="shared" si="16"/>
        <v>2.0615457171786478E-2</v>
      </c>
      <c r="O106" s="309">
        <f t="shared" si="16"/>
        <v>1.701556910340507E-2</v>
      </c>
      <c r="P106" s="309">
        <f t="shared" si="16"/>
        <v>1.6739177808136052E-2</v>
      </c>
      <c r="Q106" s="309">
        <f t="shared" si="16"/>
        <v>1.6877139988744627E-2</v>
      </c>
      <c r="R106" s="309">
        <f t="shared" si="16"/>
        <v>1.7493017119420307E-2</v>
      </c>
      <c r="S106" s="309">
        <f t="shared" si="16"/>
        <v>1.7493017119420307E-2</v>
      </c>
      <c r="T106" s="229"/>
      <c r="U106" s="229"/>
      <c r="V106" s="229"/>
      <c r="W106" s="229"/>
    </row>
    <row r="107" spans="2:23" ht="12" customHeight="1" x14ac:dyDescent="0.2">
      <c r="B107" s="310" t="s">
        <v>405</v>
      </c>
      <c r="C107" s="308" t="s">
        <v>191</v>
      </c>
      <c r="D107" s="288"/>
      <c r="E107" s="288"/>
      <c r="F107" s="288"/>
      <c r="G107" s="288"/>
      <c r="H107" s="229"/>
      <c r="I107" s="229"/>
      <c r="J107" s="229"/>
      <c r="K107" s="229"/>
      <c r="M107" s="311">
        <f t="shared" ref="M107:S107" si="17">IF(L107="",1,L107*(1+M106))</f>
        <v>1</v>
      </c>
      <c r="N107" s="311">
        <f t="shared" si="17"/>
        <v>1.0206154571717865</v>
      </c>
      <c r="O107" s="311">
        <f t="shared" si="17"/>
        <v>1.0379818100112963</v>
      </c>
      <c r="P107" s="311">
        <f t="shared" si="17"/>
        <v>1.0553567720906862</v>
      </c>
      <c r="Q107" s="311">
        <f t="shared" si="17"/>
        <v>1.0731681760713303</v>
      </c>
      <c r="R107" s="311">
        <f t="shared" si="17"/>
        <v>1.0919411253473632</v>
      </c>
      <c r="S107" s="311">
        <f t="shared" si="17"/>
        <v>1.1110424701464636</v>
      </c>
      <c r="T107" s="229"/>
      <c r="U107" s="229"/>
      <c r="V107" s="229"/>
      <c r="W107" s="229"/>
    </row>
    <row r="108" spans="2:23" ht="12" customHeight="1" x14ac:dyDescent="0.2">
      <c r="B108" s="229"/>
      <c r="C108" s="303"/>
      <c r="D108" s="229"/>
      <c r="E108" s="229"/>
      <c r="F108" s="229"/>
      <c r="G108" s="229"/>
      <c r="H108" s="229"/>
      <c r="I108" s="229"/>
      <c r="J108" s="229"/>
      <c r="K108" s="229"/>
      <c r="M108" s="229"/>
      <c r="N108" s="229"/>
      <c r="O108" s="229"/>
      <c r="P108" s="229"/>
      <c r="Q108" s="229"/>
      <c r="R108" s="229"/>
      <c r="S108" s="229"/>
      <c r="T108" s="229"/>
      <c r="U108" s="229"/>
      <c r="V108" s="229"/>
      <c r="W108" s="229"/>
    </row>
    <row r="109" spans="2:23" ht="12" customHeight="1" x14ac:dyDescent="0.2">
      <c r="B109" s="242" t="s">
        <v>230</v>
      </c>
      <c r="C109" s="280" t="s">
        <v>58</v>
      </c>
      <c r="D109" s="297">
        <f>IF(ABS(D104-1)&lt;0.001,0,1)</f>
        <v>0</v>
      </c>
      <c r="E109" s="298"/>
      <c r="F109" s="229"/>
      <c r="G109" s="229"/>
      <c r="H109" s="229"/>
      <c r="I109" s="229"/>
      <c r="J109" s="229"/>
      <c r="K109" s="229"/>
      <c r="M109" s="229"/>
      <c r="N109" s="229"/>
      <c r="O109" s="229"/>
      <c r="P109" s="229"/>
      <c r="Q109" s="229"/>
      <c r="R109" s="229"/>
      <c r="S109" s="229"/>
      <c r="T109" s="229"/>
      <c r="U109" s="229"/>
      <c r="V109" s="229"/>
      <c r="W109" s="229"/>
    </row>
    <row r="110" spans="2:23" ht="12" customHeight="1" x14ac:dyDescent="0.2">
      <c r="B110" s="242"/>
      <c r="C110" s="280"/>
      <c r="D110" s="298"/>
      <c r="E110" s="298"/>
      <c r="F110" s="229"/>
      <c r="G110" s="229"/>
      <c r="H110" s="229"/>
      <c r="I110" s="229"/>
      <c r="J110" s="229"/>
      <c r="K110" s="229"/>
      <c r="M110" s="229"/>
      <c r="N110" s="229"/>
      <c r="O110" s="229"/>
      <c r="P110" s="229"/>
      <c r="Q110" s="229"/>
      <c r="R110" s="229"/>
      <c r="S110" s="229"/>
      <c r="T110" s="229"/>
      <c r="U110" s="229"/>
      <c r="V110" s="229"/>
      <c r="W110" s="229"/>
    </row>
    <row r="111" spans="2:23" ht="12" customHeight="1" x14ac:dyDescent="0.2">
      <c r="B111" s="287" t="s">
        <v>380</v>
      </c>
      <c r="H111" s="229"/>
      <c r="I111" s="229"/>
      <c r="J111" s="229"/>
      <c r="K111" s="229"/>
      <c r="O111" s="229"/>
      <c r="P111" s="229"/>
      <c r="Q111" s="229"/>
      <c r="R111" s="229"/>
      <c r="S111" s="229"/>
      <c r="T111" s="229"/>
      <c r="U111" s="229"/>
      <c r="V111" s="229"/>
      <c r="W111" s="229"/>
    </row>
    <row r="112" spans="2:23" ht="12" customHeight="1" x14ac:dyDescent="0.2">
      <c r="H112" s="229"/>
      <c r="I112" s="229"/>
      <c r="J112" s="229"/>
      <c r="K112" s="229"/>
      <c r="O112" s="229"/>
      <c r="P112" s="229"/>
      <c r="Q112" s="229"/>
      <c r="R112" s="229"/>
      <c r="S112" s="229"/>
      <c r="T112" s="229"/>
      <c r="U112" s="229"/>
      <c r="V112" s="229"/>
      <c r="W112" s="229"/>
    </row>
    <row r="113" spans="2:23" ht="12" customHeight="1" x14ac:dyDescent="0.2">
      <c r="B113" s="232" t="s">
        <v>67</v>
      </c>
      <c r="C113" s="303" t="s">
        <v>191</v>
      </c>
      <c r="H113" s="229"/>
      <c r="I113" s="229"/>
      <c r="J113" s="229"/>
      <c r="K113" s="229"/>
      <c r="M113" s="232">
        <f t="shared" ref="M113:S113" si="18">YEAR(M$4)</f>
        <v>2020</v>
      </c>
      <c r="N113" s="232">
        <f t="shared" si="18"/>
        <v>2021</v>
      </c>
      <c r="O113" s="232">
        <f t="shared" si="18"/>
        <v>2022</v>
      </c>
      <c r="P113" s="232">
        <f t="shared" si="18"/>
        <v>2023</v>
      </c>
      <c r="Q113" s="232">
        <f t="shared" si="18"/>
        <v>2024</v>
      </c>
      <c r="R113" s="232">
        <f t="shared" si="18"/>
        <v>2025</v>
      </c>
      <c r="S113" s="232">
        <f t="shared" si="18"/>
        <v>2026</v>
      </c>
      <c r="T113" s="229"/>
      <c r="U113" s="229"/>
      <c r="V113" s="229"/>
      <c r="W113" s="229"/>
    </row>
    <row r="114" spans="2:23" ht="12" customHeight="1" x14ac:dyDescent="0.2">
      <c r="H114" s="229"/>
      <c r="I114" s="229"/>
      <c r="J114" s="229"/>
      <c r="K114" s="229"/>
      <c r="O114" s="229"/>
      <c r="P114" s="229"/>
      <c r="Q114" s="229"/>
      <c r="R114" s="229"/>
      <c r="S114" s="229"/>
      <c r="T114" s="229"/>
      <c r="U114" s="229"/>
      <c r="V114" s="229"/>
      <c r="W114" s="229"/>
    </row>
    <row r="115" spans="2:23" ht="12" customHeight="1" x14ac:dyDescent="0.2">
      <c r="B115" s="288" t="s">
        <v>406</v>
      </c>
      <c r="C115" s="303"/>
      <c r="D115" s="229"/>
      <c r="E115" s="229"/>
      <c r="F115" s="229"/>
      <c r="G115" s="229"/>
      <c r="H115" s="229"/>
      <c r="I115" s="229"/>
      <c r="J115" s="229"/>
      <c r="K115" s="229"/>
      <c r="M115" s="229"/>
      <c r="N115" s="229"/>
      <c r="O115" s="229"/>
      <c r="P115" s="229"/>
      <c r="Q115" s="229"/>
      <c r="R115" s="229"/>
      <c r="S115" s="229"/>
      <c r="T115" s="229"/>
      <c r="U115" s="229"/>
      <c r="V115" s="229"/>
      <c r="W115" s="229"/>
    </row>
    <row r="116" spans="2:23" ht="12" customHeight="1" x14ac:dyDescent="0.2">
      <c r="B116" s="230" t="str">
        <f t="shared" ref="B116:B121" si="19">B124</f>
        <v>Labour</v>
      </c>
      <c r="C116" s="303" t="s">
        <v>69</v>
      </c>
      <c r="D116" s="229"/>
      <c r="E116" s="229"/>
      <c r="F116" s="229"/>
      <c r="G116" s="229"/>
      <c r="H116" s="229"/>
      <c r="I116" s="229"/>
      <c r="J116" s="229"/>
      <c r="K116" s="229"/>
      <c r="M116" s="306">
        <f t="shared" ref="M116:S116" si="20">M36</f>
        <v>2.194196753341238E-2</v>
      </c>
      <c r="N116" s="306">
        <f t="shared" si="20"/>
        <v>1.2090065535794368E-2</v>
      </c>
      <c r="O116" s="306">
        <f t="shared" si="20"/>
        <v>1.4995926130191581E-2</v>
      </c>
      <c r="P116" s="306">
        <f t="shared" si="20"/>
        <v>2.0843544971353191E-2</v>
      </c>
      <c r="Q116" s="306">
        <f t="shared" si="20"/>
        <v>1.5684466439009337E-2</v>
      </c>
      <c r="R116" s="306">
        <f t="shared" si="20"/>
        <v>2.0341230511594345E-2</v>
      </c>
      <c r="S116" s="306">
        <f t="shared" si="20"/>
        <v>2.0341230511594345E-2</v>
      </c>
      <c r="T116" s="229"/>
      <c r="U116" s="229"/>
      <c r="V116" s="229"/>
      <c r="W116" s="229"/>
    </row>
    <row r="117" spans="2:23" ht="12" customHeight="1" x14ac:dyDescent="0.2">
      <c r="B117" s="230" t="str">
        <f t="shared" si="19"/>
        <v>Cables</v>
      </c>
      <c r="C117" s="303" t="s">
        <v>69</v>
      </c>
      <c r="D117" s="229"/>
      <c r="E117" s="229"/>
      <c r="F117" s="229"/>
      <c r="G117" s="229"/>
      <c r="H117" s="229"/>
      <c r="I117" s="229"/>
      <c r="J117" s="229"/>
      <c r="K117" s="229"/>
      <c r="M117" s="306">
        <f t="shared" ref="M117:S117" si="21">M50</f>
        <v>-4.3176805222146397E-2</v>
      </c>
      <c r="N117" s="306">
        <f t="shared" si="21"/>
        <v>2.3988872918318815E-2</v>
      </c>
      <c r="O117" s="306">
        <f t="shared" si="21"/>
        <v>1.5203656805197419E-2</v>
      </c>
      <c r="P117" s="306">
        <f t="shared" si="21"/>
        <v>2.9596088405076548E-2</v>
      </c>
      <c r="Q117" s="306">
        <f t="shared" si="21"/>
        <v>2.6997748022768896E-2</v>
      </c>
      <c r="R117" s="306">
        <f t="shared" si="21"/>
        <v>3.0902682425895112E-2</v>
      </c>
      <c r="S117" s="306">
        <f t="shared" si="21"/>
        <v>3.0904999999999901E-2</v>
      </c>
      <c r="T117" s="229"/>
      <c r="U117" s="229"/>
      <c r="V117" s="229"/>
      <c r="W117" s="229"/>
    </row>
    <row r="118" spans="2:23" ht="12" customHeight="1" x14ac:dyDescent="0.2">
      <c r="B118" s="230" t="str">
        <f t="shared" si="19"/>
        <v>Conductor</v>
      </c>
      <c r="C118" s="303" t="s">
        <v>69</v>
      </c>
      <c r="D118" s="229"/>
      <c r="E118" s="229"/>
      <c r="F118" s="229"/>
      <c r="G118" s="229"/>
      <c r="H118" s="229"/>
      <c r="I118" s="229"/>
      <c r="J118" s="229"/>
      <c r="K118" s="229"/>
      <c r="M118" s="306">
        <f t="shared" ref="M118:S118" si="22">M64</f>
        <v>-4.1757349535112787E-2</v>
      </c>
      <c r="N118" s="306">
        <f t="shared" si="22"/>
        <v>2.3305412371134038E-2</v>
      </c>
      <c r="O118" s="306">
        <f t="shared" si="22"/>
        <v>1.5397743003345843E-2</v>
      </c>
      <c r="P118" s="306">
        <f t="shared" si="22"/>
        <v>2.9792926142103493E-2</v>
      </c>
      <c r="Q118" s="306">
        <f t="shared" si="22"/>
        <v>2.719408901020004E-2</v>
      </c>
      <c r="R118" s="306">
        <f t="shared" si="22"/>
        <v>3.1099769957004586E-2</v>
      </c>
      <c r="S118" s="306">
        <f t="shared" si="22"/>
        <v>3.1099999999999905E-2</v>
      </c>
      <c r="T118" s="229"/>
      <c r="U118" s="229"/>
      <c r="V118" s="229"/>
      <c r="W118" s="229"/>
    </row>
    <row r="119" spans="2:23" ht="12" customHeight="1" x14ac:dyDescent="0.2">
      <c r="B119" s="230" t="str">
        <f t="shared" si="19"/>
        <v>Transformers</v>
      </c>
      <c r="C119" s="303" t="s">
        <v>69</v>
      </c>
      <c r="D119" s="229"/>
      <c r="E119" s="229"/>
      <c r="F119" s="229"/>
      <c r="G119" s="229"/>
      <c r="H119" s="229"/>
      <c r="I119" s="229"/>
      <c r="J119" s="229"/>
      <c r="K119" s="229"/>
      <c r="M119" s="306">
        <f t="shared" ref="M119:S119" si="23">M78</f>
        <v>-4.5615938016582251E-2</v>
      </c>
      <c r="N119" s="306">
        <f t="shared" si="23"/>
        <v>5.5132330908980835E-3</v>
      </c>
      <c r="O119" s="306">
        <f t="shared" si="23"/>
        <v>3.1661612775785442E-3</v>
      </c>
      <c r="P119" s="306">
        <f t="shared" si="23"/>
        <v>1.6653213106361052E-2</v>
      </c>
      <c r="Q119" s="306">
        <f t="shared" si="23"/>
        <v>1.4222728824878184E-2</v>
      </c>
      <c r="R119" s="306">
        <f t="shared" si="23"/>
        <v>1.7916560216869368E-2</v>
      </c>
      <c r="S119" s="306">
        <f t="shared" si="23"/>
        <v>1.7939650855970976E-2</v>
      </c>
      <c r="T119" s="229"/>
      <c r="U119" s="229"/>
      <c r="V119" s="229"/>
      <c r="W119" s="229"/>
    </row>
    <row r="120" spans="2:23" ht="12" customHeight="1" x14ac:dyDescent="0.2">
      <c r="B120" s="230" t="str">
        <f t="shared" si="19"/>
        <v>Switchgear</v>
      </c>
      <c r="C120" s="303" t="s">
        <v>69</v>
      </c>
      <c r="D120" s="229"/>
      <c r="E120" s="229"/>
      <c r="F120" s="229"/>
      <c r="G120" s="229"/>
      <c r="H120" s="229"/>
      <c r="I120" s="229"/>
      <c r="J120" s="229"/>
      <c r="K120" s="229"/>
      <c r="M120" s="306">
        <f t="shared" ref="M120:S120" si="24">M92</f>
        <v>-5.9263592343236443E-2</v>
      </c>
      <c r="N120" s="306">
        <f t="shared" si="24"/>
        <v>1.9950494472174396E-2</v>
      </c>
      <c r="O120" s="306">
        <f t="shared" si="24"/>
        <v>6.7244438926272465E-3</v>
      </c>
      <c r="P120" s="306">
        <f t="shared" si="24"/>
        <v>2.0996666615157866E-2</v>
      </c>
      <c r="Q120" s="306">
        <f t="shared" si="24"/>
        <v>1.8420028165434199E-2</v>
      </c>
      <c r="R120" s="306">
        <f t="shared" si="24"/>
        <v>2.2292347664161771E-2</v>
      </c>
      <c r="S120" s="306">
        <f t="shared" si="24"/>
        <v>2.2324999999999928E-2</v>
      </c>
      <c r="T120" s="229"/>
      <c r="U120" s="229"/>
      <c r="V120" s="229"/>
      <c r="W120" s="229"/>
    </row>
    <row r="121" spans="2:23" ht="12" customHeight="1" x14ac:dyDescent="0.2">
      <c r="B121" s="230" t="str">
        <f t="shared" si="19"/>
        <v>Other</v>
      </c>
      <c r="C121" s="303" t="s">
        <v>69</v>
      </c>
      <c r="D121" s="229"/>
      <c r="E121" s="229"/>
      <c r="F121" s="229"/>
      <c r="G121" s="229"/>
      <c r="H121" s="229"/>
      <c r="I121" s="229"/>
      <c r="J121" s="229"/>
      <c r="K121" s="229"/>
      <c r="M121" s="306">
        <f t="shared" ref="M121:S121" si="25">M106</f>
        <v>2.8680688336520044E-2</v>
      </c>
      <c r="N121" s="306">
        <f t="shared" si="25"/>
        <v>2.0615457171786478E-2</v>
      </c>
      <c r="O121" s="306">
        <f t="shared" si="25"/>
        <v>1.701556910340507E-2</v>
      </c>
      <c r="P121" s="306">
        <f t="shared" si="25"/>
        <v>1.6739177808136052E-2</v>
      </c>
      <c r="Q121" s="306">
        <f t="shared" si="25"/>
        <v>1.6877139988744627E-2</v>
      </c>
      <c r="R121" s="306">
        <f t="shared" si="25"/>
        <v>1.7493017119420307E-2</v>
      </c>
      <c r="S121" s="306">
        <f t="shared" si="25"/>
        <v>1.7493017119420307E-2</v>
      </c>
      <c r="T121" s="229"/>
      <c r="U121" s="229"/>
      <c r="V121" s="229"/>
      <c r="W121" s="229"/>
    </row>
    <row r="122" spans="2:23" ht="12" customHeight="1" x14ac:dyDescent="0.2">
      <c r="B122" s="229"/>
      <c r="C122" s="303"/>
      <c r="D122" s="229"/>
      <c r="E122" s="229"/>
      <c r="F122" s="229"/>
      <c r="G122" s="229"/>
      <c r="H122" s="229"/>
      <c r="I122" s="229"/>
      <c r="J122" s="229"/>
      <c r="K122" s="229"/>
      <c r="M122" s="229"/>
      <c r="N122" s="229"/>
      <c r="O122" s="229"/>
      <c r="P122" s="229"/>
      <c r="Q122" s="229"/>
      <c r="R122" s="229"/>
      <c r="S122" s="229"/>
      <c r="T122" s="229"/>
      <c r="U122" s="229"/>
      <c r="V122" s="229"/>
      <c r="W122" s="229"/>
    </row>
    <row r="123" spans="2:23" ht="12" customHeight="1" x14ac:dyDescent="0.2">
      <c r="B123" s="288" t="s">
        <v>190</v>
      </c>
      <c r="C123" s="303"/>
      <c r="D123" s="229"/>
      <c r="E123" s="229"/>
      <c r="F123" s="229"/>
      <c r="G123" s="229"/>
      <c r="H123" s="229"/>
      <c r="I123" s="229"/>
      <c r="J123" s="229"/>
      <c r="K123" s="229"/>
      <c r="M123" s="229"/>
      <c r="N123" s="229"/>
      <c r="O123" s="229"/>
      <c r="P123" s="229"/>
      <c r="Q123" s="229"/>
      <c r="R123" s="229"/>
      <c r="S123" s="229"/>
      <c r="T123" s="229"/>
      <c r="U123" s="229"/>
      <c r="V123" s="229"/>
      <c r="W123" s="229"/>
    </row>
    <row r="124" spans="2:23" ht="12" customHeight="1" x14ac:dyDescent="0.2">
      <c r="B124" s="230" t="str">
        <f>B27</f>
        <v>Labour</v>
      </c>
      <c r="C124" s="303" t="s">
        <v>191</v>
      </c>
      <c r="D124" s="229"/>
      <c r="E124" s="229"/>
      <c r="F124" s="229"/>
      <c r="G124" s="229"/>
      <c r="H124" s="229"/>
      <c r="I124" s="229"/>
      <c r="J124" s="229"/>
      <c r="K124" s="229"/>
      <c r="M124" s="217">
        <f t="shared" ref="M124:S124" si="26">M37</f>
        <v>1</v>
      </c>
      <c r="N124" s="217">
        <f t="shared" si="26"/>
        <v>1.0120900655357943</v>
      </c>
      <c r="O124" s="217">
        <f t="shared" si="26"/>
        <v>1.0272672933956697</v>
      </c>
      <c r="P124" s="217">
        <f t="shared" si="26"/>
        <v>1.0486791854231625</v>
      </c>
      <c r="Q124" s="217">
        <f t="shared" si="26"/>
        <v>1.06512715891222</v>
      </c>
      <c r="R124" s="217">
        <f t="shared" si="26"/>
        <v>1.0867931559758131</v>
      </c>
      <c r="S124" s="217">
        <f t="shared" si="26"/>
        <v>1.1088998660799403</v>
      </c>
      <c r="T124" s="229"/>
      <c r="U124" s="229"/>
      <c r="V124" s="229"/>
      <c r="W124" s="229"/>
    </row>
    <row r="125" spans="2:23" ht="12" customHeight="1" x14ac:dyDescent="0.2">
      <c r="B125" s="230" t="str">
        <f>B41</f>
        <v>Cables</v>
      </c>
      <c r="C125" s="303" t="s">
        <v>191</v>
      </c>
      <c r="D125" s="229"/>
      <c r="E125" s="229"/>
      <c r="F125" s="229"/>
      <c r="G125" s="229"/>
      <c r="H125" s="229"/>
      <c r="I125" s="229"/>
      <c r="J125" s="229"/>
      <c r="K125" s="229"/>
      <c r="M125" s="217">
        <f t="shared" ref="M125:S125" si="27">M51</f>
        <v>1</v>
      </c>
      <c r="N125" s="217">
        <f t="shared" si="27"/>
        <v>1.0239888729183189</v>
      </c>
      <c r="O125" s="217">
        <f t="shared" si="27"/>
        <v>1.0395572483145099</v>
      </c>
      <c r="P125" s="217">
        <f t="shared" si="27"/>
        <v>1.0703240765377642</v>
      </c>
      <c r="Q125" s="217">
        <f t="shared" si="27"/>
        <v>1.0992204162588337</v>
      </c>
      <c r="R125" s="217">
        <f t="shared" si="27"/>
        <v>1.1331892756985407</v>
      </c>
      <c r="S125" s="217">
        <f t="shared" si="27"/>
        <v>1.168210490264004</v>
      </c>
      <c r="T125" s="229"/>
      <c r="U125" s="229"/>
      <c r="V125" s="229"/>
      <c r="W125" s="229"/>
    </row>
    <row r="126" spans="2:23" ht="12" customHeight="1" x14ac:dyDescent="0.2">
      <c r="B126" s="230" t="str">
        <f>B55</f>
        <v>Conductor</v>
      </c>
      <c r="C126" s="303" t="s">
        <v>191</v>
      </c>
      <c r="D126" s="229"/>
      <c r="E126" s="229"/>
      <c r="F126" s="229"/>
      <c r="G126" s="229"/>
      <c r="H126" s="229"/>
      <c r="I126" s="229"/>
      <c r="J126" s="229"/>
      <c r="K126" s="229"/>
      <c r="M126" s="217">
        <f t="shared" ref="M126:S126" si="28">M65</f>
        <v>1</v>
      </c>
      <c r="N126" s="217">
        <f t="shared" si="28"/>
        <v>1.023305412371134</v>
      </c>
      <c r="O126" s="217">
        <f t="shared" si="28"/>
        <v>1.0390620061247575</v>
      </c>
      <c r="P126" s="217">
        <f t="shared" si="28"/>
        <v>1.0700187037302984</v>
      </c>
      <c r="Q126" s="217">
        <f t="shared" si="28"/>
        <v>1.0991168876021189</v>
      </c>
      <c r="R126" s="217">
        <f t="shared" si="28"/>
        <v>1.1332991699624038</v>
      </c>
      <c r="S126" s="217">
        <f t="shared" si="28"/>
        <v>1.1685447741482344</v>
      </c>
      <c r="T126" s="229"/>
      <c r="U126" s="229"/>
      <c r="V126" s="229"/>
      <c r="W126" s="229"/>
    </row>
    <row r="127" spans="2:23" ht="12" customHeight="1" x14ac:dyDescent="0.2">
      <c r="B127" s="230" t="str">
        <f>B69</f>
        <v>Transformers</v>
      </c>
      <c r="C127" s="303" t="s">
        <v>191</v>
      </c>
      <c r="D127" s="229"/>
      <c r="E127" s="229"/>
      <c r="F127" s="229"/>
      <c r="G127" s="229"/>
      <c r="H127" s="229"/>
      <c r="I127" s="229"/>
      <c r="J127" s="229"/>
      <c r="K127" s="229"/>
      <c r="M127" s="217">
        <f t="shared" ref="M127:S127" si="29">M79</f>
        <v>1</v>
      </c>
      <c r="N127" s="217">
        <f t="shared" si="29"/>
        <v>1.005513233090898</v>
      </c>
      <c r="O127" s="217">
        <f t="shared" si="29"/>
        <v>1.0086968501536033</v>
      </c>
      <c r="P127" s="217">
        <f t="shared" si="29"/>
        <v>1.0254948937589263</v>
      </c>
      <c r="Q127" s="217">
        <f t="shared" si="29"/>
        <v>1.0400802295441569</v>
      </c>
      <c r="R127" s="217">
        <f t="shared" si="29"/>
        <v>1.0587148896071601</v>
      </c>
      <c r="S127" s="217">
        <f t="shared" si="29"/>
        <v>1.0777078650827305</v>
      </c>
      <c r="T127" s="229"/>
      <c r="U127" s="229"/>
      <c r="V127" s="229"/>
      <c r="W127" s="229"/>
    </row>
    <row r="128" spans="2:23" ht="12" customHeight="1" x14ac:dyDescent="0.2">
      <c r="B128" s="230" t="str">
        <f>B83</f>
        <v>Switchgear</v>
      </c>
      <c r="C128" s="303" t="s">
        <v>191</v>
      </c>
      <c r="D128" s="229"/>
      <c r="E128" s="229"/>
      <c r="F128" s="229"/>
      <c r="G128" s="229"/>
      <c r="H128" s="229"/>
      <c r="I128" s="229"/>
      <c r="J128" s="229"/>
      <c r="K128" s="229"/>
      <c r="M128" s="217">
        <f t="shared" ref="M128:S128" si="30">M93</f>
        <v>1</v>
      </c>
      <c r="N128" s="217">
        <f t="shared" si="30"/>
        <v>1.0199504944721745</v>
      </c>
      <c r="O128" s="217">
        <f t="shared" si="30"/>
        <v>1.0268090943455099</v>
      </c>
      <c r="P128" s="217">
        <f t="shared" si="30"/>
        <v>1.0483686625768949</v>
      </c>
      <c r="Q128" s="217">
        <f t="shared" si="30"/>
        <v>1.06767964286932</v>
      </c>
      <c r="R128" s="217">
        <f t="shared" si="30"/>
        <v>1.0914807286621109</v>
      </c>
      <c r="S128" s="217">
        <f t="shared" si="30"/>
        <v>1.1158480359294924</v>
      </c>
      <c r="T128" s="229"/>
      <c r="U128" s="229"/>
      <c r="V128" s="229"/>
      <c r="W128" s="229"/>
    </row>
    <row r="129" spans="1:23" ht="12" customHeight="1" x14ac:dyDescent="0.2">
      <c r="B129" s="230" t="str">
        <f>B97</f>
        <v>Other</v>
      </c>
      <c r="C129" s="303" t="s">
        <v>191</v>
      </c>
      <c r="D129" s="229"/>
      <c r="E129" s="229"/>
      <c r="F129" s="229"/>
      <c r="G129" s="229"/>
      <c r="H129" s="229"/>
      <c r="I129" s="229"/>
      <c r="J129" s="229"/>
      <c r="K129" s="229"/>
      <c r="M129" s="217">
        <f t="shared" ref="M129:S129" si="31">M107</f>
        <v>1</v>
      </c>
      <c r="N129" s="217">
        <f t="shared" si="31"/>
        <v>1.0206154571717865</v>
      </c>
      <c r="O129" s="217">
        <f t="shared" si="31"/>
        <v>1.0379818100112963</v>
      </c>
      <c r="P129" s="217">
        <f t="shared" si="31"/>
        <v>1.0553567720906862</v>
      </c>
      <c r="Q129" s="217">
        <f t="shared" si="31"/>
        <v>1.0731681760713303</v>
      </c>
      <c r="R129" s="217">
        <f t="shared" si="31"/>
        <v>1.0919411253473632</v>
      </c>
      <c r="S129" s="217">
        <f t="shared" si="31"/>
        <v>1.1110424701464636</v>
      </c>
      <c r="T129" s="229"/>
      <c r="U129" s="229"/>
      <c r="V129" s="229"/>
      <c r="W129" s="229"/>
    </row>
    <row r="130" spans="1:23" ht="12" customHeight="1" x14ac:dyDescent="0.2">
      <c r="B130" s="229"/>
      <c r="C130" s="303"/>
      <c r="D130" s="229"/>
      <c r="E130" s="229"/>
      <c r="F130" s="229"/>
      <c r="G130" s="229"/>
      <c r="H130" s="229"/>
      <c r="I130" s="229"/>
      <c r="J130" s="229"/>
      <c r="K130" s="229"/>
      <c r="M130" s="229"/>
      <c r="N130" s="229"/>
      <c r="O130" s="229"/>
      <c r="P130" s="229"/>
      <c r="Q130" s="229"/>
      <c r="R130" s="229"/>
      <c r="S130" s="229"/>
      <c r="T130" s="229"/>
      <c r="U130" s="229"/>
      <c r="V130" s="229"/>
      <c r="W130" s="229"/>
    </row>
    <row r="131" spans="1:23" s="229" customFormat="1" ht="12" customHeight="1" x14ac:dyDescent="0.2">
      <c r="A131" s="232"/>
      <c r="B131" s="283" t="s">
        <v>407</v>
      </c>
      <c r="C131" s="284" t="s">
        <v>51</v>
      </c>
      <c r="D131" s="285" t="s">
        <v>52</v>
      </c>
      <c r="E131" s="284" t="s">
        <v>53</v>
      </c>
      <c r="F131" s="242"/>
      <c r="G131" s="302"/>
      <c r="H131" s="302"/>
      <c r="I131" s="302"/>
      <c r="J131" s="302"/>
      <c r="K131" s="242"/>
      <c r="L131" s="242"/>
      <c r="M131" s="242"/>
      <c r="N131" s="242"/>
      <c r="O131" s="242"/>
      <c r="P131" s="242"/>
      <c r="Q131" s="242"/>
      <c r="R131" s="242"/>
      <c r="S131" s="242"/>
    </row>
    <row r="132" spans="1:23" ht="12" customHeight="1" x14ac:dyDescent="0.2">
      <c r="H132" s="229"/>
      <c r="I132" s="229"/>
      <c r="J132" s="229"/>
      <c r="K132" s="229"/>
      <c r="O132" s="229"/>
      <c r="P132" s="229"/>
      <c r="Q132" s="229"/>
      <c r="R132" s="229"/>
      <c r="S132" s="229"/>
      <c r="T132" s="229"/>
      <c r="U132" s="229"/>
      <c r="V132" s="229"/>
      <c r="W132" s="229"/>
    </row>
    <row r="133" spans="1:23" ht="12" customHeight="1" x14ac:dyDescent="0.2">
      <c r="B133" s="232" t="s">
        <v>67</v>
      </c>
      <c r="C133" s="303" t="s">
        <v>191</v>
      </c>
      <c r="H133" s="229"/>
      <c r="I133" s="229"/>
      <c r="J133" s="229"/>
      <c r="K133" s="229"/>
      <c r="M133" s="229">
        <f t="shared" ref="M133:S133" si="32">YEAR(M$4)</f>
        <v>2020</v>
      </c>
      <c r="N133" s="232">
        <f t="shared" si="32"/>
        <v>2021</v>
      </c>
      <c r="O133" s="232">
        <f t="shared" si="32"/>
        <v>2022</v>
      </c>
      <c r="P133" s="232">
        <f t="shared" si="32"/>
        <v>2023</v>
      </c>
      <c r="Q133" s="232">
        <f t="shared" si="32"/>
        <v>2024</v>
      </c>
      <c r="R133" s="232">
        <f t="shared" si="32"/>
        <v>2025</v>
      </c>
      <c r="S133" s="232">
        <f t="shared" si="32"/>
        <v>2026</v>
      </c>
      <c r="T133" s="229"/>
      <c r="U133" s="229"/>
      <c r="V133" s="229"/>
      <c r="W133" s="229"/>
    </row>
    <row r="134" spans="1:23" ht="12" customHeight="1" x14ac:dyDescent="0.2">
      <c r="H134" s="229"/>
      <c r="I134" s="229"/>
      <c r="J134" s="229"/>
      <c r="K134" s="229"/>
      <c r="O134" s="229"/>
      <c r="P134" s="229"/>
      <c r="Q134" s="229"/>
      <c r="R134" s="229"/>
      <c r="S134" s="229"/>
      <c r="T134" s="229"/>
      <c r="U134" s="229"/>
      <c r="V134" s="229"/>
      <c r="W134" s="229"/>
    </row>
    <row r="135" spans="1:23" ht="12" customHeight="1" x14ac:dyDescent="0.2">
      <c r="B135" s="288" t="s">
        <v>406</v>
      </c>
      <c r="C135" s="303"/>
      <c r="D135" s="229"/>
      <c r="E135" s="229"/>
      <c r="F135" s="229"/>
      <c r="G135" s="229"/>
      <c r="H135" s="229"/>
      <c r="I135" s="229"/>
      <c r="J135" s="229"/>
      <c r="K135" s="229"/>
      <c r="M135" s="229"/>
      <c r="N135" s="229"/>
      <c r="O135" s="229"/>
      <c r="P135" s="229"/>
      <c r="Q135" s="229"/>
      <c r="R135" s="229"/>
      <c r="S135" s="229"/>
      <c r="T135" s="229"/>
      <c r="U135" s="229"/>
      <c r="V135" s="229"/>
      <c r="W135" s="229"/>
    </row>
    <row r="136" spans="1:23" ht="12" customHeight="1" x14ac:dyDescent="0.2">
      <c r="B136" s="230" t="str">
        <f>Escalators!B54</f>
        <v>LCI - All sectors</v>
      </c>
      <c r="C136" s="303" t="s">
        <v>69</v>
      </c>
      <c r="D136" s="229"/>
      <c r="E136" s="229"/>
      <c r="F136" s="229"/>
      <c r="G136" s="229"/>
      <c r="H136" s="229"/>
      <c r="I136" s="229"/>
      <c r="J136" s="229"/>
      <c r="K136" s="229"/>
      <c r="M136" s="306">
        <f>Escalators!N54</f>
        <v>2.5316455696202445E-2</v>
      </c>
      <c r="N136" s="306">
        <f>Escalators!O54</f>
        <v>1.4837191664034188E-2</v>
      </c>
      <c r="O136" s="306">
        <f>Escalators!P54</f>
        <v>1.4806669149541429E-2</v>
      </c>
      <c r="P136" s="306">
        <f>Escalators!Q54</f>
        <v>1.7265572940899254E-2</v>
      </c>
      <c r="Q136" s="306">
        <f>Escalators!R54</f>
        <v>1.7135528277707923E-2</v>
      </c>
      <c r="R136" s="306">
        <f>Escalators!S54</f>
        <v>2.0048233690236783E-2</v>
      </c>
      <c r="S136" s="306">
        <f>Escalators!T54</f>
        <v>2.0048233690236783E-2</v>
      </c>
      <c r="T136" s="229"/>
      <c r="U136" s="229"/>
      <c r="V136" s="229"/>
      <c r="W136" s="229"/>
    </row>
    <row r="137" spans="1:23" ht="12" customHeight="1" x14ac:dyDescent="0.2">
      <c r="B137" s="230" t="str">
        <f>Escalators!B55</f>
        <v>LCI - Electricity, gas, and water</v>
      </c>
      <c r="C137" s="303" t="s">
        <v>69</v>
      </c>
      <c r="D137" s="229"/>
      <c r="E137" s="229"/>
      <c r="F137" s="229"/>
      <c r="G137" s="229"/>
      <c r="H137" s="229"/>
      <c r="I137" s="229"/>
      <c r="J137" s="229"/>
      <c r="K137" s="229"/>
      <c r="M137" s="306">
        <f>Escalators!N55</f>
        <v>2.0270685159420543E-2</v>
      </c>
      <c r="N137" s="306">
        <f>Escalators!O55</f>
        <v>2.4721833410174199E-2</v>
      </c>
      <c r="O137" s="306">
        <f>Escalators!P55</f>
        <v>2.025733514908401E-2</v>
      </c>
      <c r="P137" s="306">
        <f>Escalators!Q55</f>
        <v>2.4255608664784933E-2</v>
      </c>
      <c r="Q137" s="306">
        <f>Escalators!R55</f>
        <v>2.6901506037616763E-2</v>
      </c>
      <c r="R137" s="306">
        <f>Escalators!S55</f>
        <v>2.1437983369818614E-2</v>
      </c>
      <c r="S137" s="306">
        <f>Escalators!T55</f>
        <v>2.0023828190443904E-2</v>
      </c>
      <c r="T137" s="229"/>
      <c r="U137" s="229"/>
      <c r="V137" s="229"/>
      <c r="W137" s="229"/>
    </row>
    <row r="138" spans="1:23" ht="12" customHeight="1" x14ac:dyDescent="0.2">
      <c r="B138" s="230" t="str">
        <f>Escalators!B56</f>
        <v>LCI - Professional and technical</v>
      </c>
      <c r="C138" s="303" t="s">
        <v>69</v>
      </c>
      <c r="D138" s="229"/>
      <c r="E138" s="229"/>
      <c r="F138" s="229"/>
      <c r="G138" s="229"/>
      <c r="H138" s="229"/>
      <c r="I138" s="229"/>
      <c r="J138" s="229"/>
      <c r="K138" s="229"/>
      <c r="M138" s="306">
        <f>Escalators!N56</f>
        <v>2.1088023151142554E-2</v>
      </c>
      <c r="N138" s="306">
        <f>Escalators!O56</f>
        <v>2.4636054474843849E-2</v>
      </c>
      <c r="O138" s="306">
        <f>Escalators!P56</f>
        <v>2.0171836633210649E-2</v>
      </c>
      <c r="P138" s="306">
        <f>Escalators!Q56</f>
        <v>2.4169859166669028E-2</v>
      </c>
      <c r="Q138" s="306">
        <f>Escalators!R56</f>
        <v>2.6815590162646341E-2</v>
      </c>
      <c r="R138" s="306">
        <f>Escalators!S56</f>
        <v>2.1352410740720362E-2</v>
      </c>
      <c r="S138" s="306">
        <f>Escalators!T56</f>
        <v>1.9933914750939863E-2</v>
      </c>
      <c r="T138" s="229"/>
      <c r="U138" s="229"/>
      <c r="V138" s="229"/>
      <c r="W138" s="229"/>
    </row>
    <row r="139" spans="1:23" ht="12" customHeight="1" x14ac:dyDescent="0.2">
      <c r="B139" s="230" t="str">
        <f>Escalators!B57</f>
        <v>PPI - Inputs</v>
      </c>
      <c r="C139" s="303" t="s">
        <v>69</v>
      </c>
      <c r="D139" s="229"/>
      <c r="E139" s="229"/>
      <c r="F139" s="229"/>
      <c r="G139" s="229"/>
      <c r="H139" s="229"/>
      <c r="I139" s="229"/>
      <c r="J139" s="229"/>
      <c r="K139" s="229"/>
      <c r="M139" s="306">
        <f>Escalators!N57</f>
        <v>1.2163336229365829E-2</v>
      </c>
      <c r="N139" s="306">
        <f>Escalators!O57</f>
        <v>1.0958437388084663E-2</v>
      </c>
      <c r="O139" s="306">
        <f>Escalators!P57</f>
        <v>1.2114083340629467E-2</v>
      </c>
      <c r="P139" s="306">
        <f>Escalators!Q57</f>
        <v>1.0226017046247371E-2</v>
      </c>
      <c r="Q139" s="306">
        <f>Escalators!R57</f>
        <v>1.6575283625202886E-2</v>
      </c>
      <c r="R139" s="306">
        <f>Escalators!S57</f>
        <v>1.684977385133779E-2</v>
      </c>
      <c r="S139" s="306">
        <f>Escalators!T57</f>
        <v>1.684977385133779E-2</v>
      </c>
      <c r="T139" s="229"/>
      <c r="U139" s="229"/>
      <c r="V139" s="229"/>
      <c r="W139" s="229"/>
    </row>
    <row r="140" spans="1:23" ht="12" customHeight="1" x14ac:dyDescent="0.2">
      <c r="B140" s="230" t="str">
        <f>Escalators!B58</f>
        <v>PPI-O Heavy and civil engineering</v>
      </c>
      <c r="C140" s="303" t="s">
        <v>69</v>
      </c>
      <c r="D140" s="229"/>
      <c r="E140" s="229"/>
      <c r="F140" s="229"/>
      <c r="G140" s="229"/>
      <c r="H140" s="229"/>
      <c r="I140" s="229"/>
      <c r="J140" s="229"/>
      <c r="K140" s="229"/>
      <c r="M140" s="306">
        <f>Escalators!N58</f>
        <v>3.7685963914650955E-2</v>
      </c>
      <c r="N140" s="306">
        <f>Escalators!O58</f>
        <v>3.9348669465753661E-2</v>
      </c>
      <c r="O140" s="306">
        <f>Escalators!P58</f>
        <v>3.4584401367375062E-2</v>
      </c>
      <c r="P140" s="306">
        <f>Escalators!Q58</f>
        <v>3.3577042073390517E-2</v>
      </c>
      <c r="Q140" s="306">
        <f>Escalators!R58</f>
        <v>3.0665889239730459E-2</v>
      </c>
      <c r="R140" s="306">
        <f>Escalators!S58</f>
        <v>3.1412480351794558E-2</v>
      </c>
      <c r="S140" s="306">
        <f>Escalators!T58</f>
        <v>3.1496237330193688E-2</v>
      </c>
      <c r="T140" s="229"/>
      <c r="U140" s="229"/>
      <c r="V140" s="229"/>
      <c r="W140" s="229"/>
    </row>
    <row r="141" spans="1:23" ht="12" customHeight="1" x14ac:dyDescent="0.2">
      <c r="B141" s="230" t="str">
        <f>Escalators!B59</f>
        <v>PPI-O Professional services</v>
      </c>
      <c r="C141" s="303" t="s">
        <v>69</v>
      </c>
      <c r="D141" s="229"/>
      <c r="E141" s="229"/>
      <c r="F141" s="229"/>
      <c r="G141" s="229"/>
      <c r="H141" s="229"/>
      <c r="I141" s="229"/>
      <c r="J141" s="229"/>
      <c r="K141" s="229"/>
      <c r="M141" s="306">
        <f>Escalators!N59</f>
        <v>2.8400365727168309E-2</v>
      </c>
      <c r="N141" s="306">
        <f>Escalators!O59</f>
        <v>2.8230063957071838E-2</v>
      </c>
      <c r="O141" s="306">
        <f>Escalators!P59</f>
        <v>2.3504096380690953E-2</v>
      </c>
      <c r="P141" s="306">
        <f>Escalators!Q59</f>
        <v>2.2504846955821556E-2</v>
      </c>
      <c r="Q141" s="306">
        <f>Escalators!R59</f>
        <v>1.9617117688334851E-2</v>
      </c>
      <c r="R141" s="306">
        <f>Escalators!S59</f>
        <v>2.035769508735652E-2</v>
      </c>
      <c r="S141" s="306">
        <f>Escalators!T59</f>
        <v>2.0440777640623242E-2</v>
      </c>
      <c r="T141" s="229"/>
      <c r="U141" s="229"/>
      <c r="V141" s="229"/>
      <c r="W141" s="229"/>
    </row>
    <row r="142" spans="1:23" ht="12" customHeight="1" x14ac:dyDescent="0.2">
      <c r="B142" s="229"/>
      <c r="C142" s="303"/>
      <c r="D142" s="229"/>
      <c r="E142" s="229"/>
      <c r="F142" s="229"/>
      <c r="G142" s="229"/>
      <c r="H142" s="229"/>
      <c r="I142" s="229"/>
      <c r="J142" s="229"/>
      <c r="K142" s="229"/>
      <c r="M142" s="229"/>
      <c r="N142" s="229"/>
      <c r="O142" s="229"/>
      <c r="P142" s="229"/>
      <c r="Q142" s="229"/>
      <c r="R142" s="229"/>
      <c r="S142" s="229"/>
      <c r="T142" s="229"/>
      <c r="U142" s="229"/>
      <c r="V142" s="229"/>
      <c r="W142" s="229"/>
    </row>
    <row r="143" spans="1:23" ht="12" customHeight="1" x14ac:dyDescent="0.2">
      <c r="B143" s="288" t="s">
        <v>190</v>
      </c>
      <c r="C143" s="303"/>
      <c r="D143" s="229"/>
      <c r="E143" s="229"/>
      <c r="F143" s="229"/>
      <c r="G143" s="229"/>
      <c r="H143" s="229"/>
      <c r="I143" s="229"/>
      <c r="J143" s="229"/>
      <c r="K143" s="229"/>
      <c r="M143" s="229"/>
      <c r="N143" s="229"/>
      <c r="O143" s="229"/>
      <c r="P143" s="229"/>
      <c r="Q143" s="229"/>
      <c r="R143" s="229"/>
      <c r="S143" s="229"/>
      <c r="T143" s="229"/>
      <c r="U143" s="229"/>
      <c r="V143" s="229"/>
      <c r="W143" s="229"/>
    </row>
    <row r="144" spans="1:23" ht="12" customHeight="1" x14ac:dyDescent="0.2">
      <c r="B144" s="230" t="str">
        <f t="shared" ref="B144:B149" si="33">B136</f>
        <v>LCI - All sectors</v>
      </c>
      <c r="C144" s="303" t="s">
        <v>191</v>
      </c>
      <c r="D144" s="229" t="s">
        <v>221</v>
      </c>
      <c r="E144" s="229"/>
      <c r="F144" s="229"/>
      <c r="G144" s="229"/>
      <c r="H144" s="229"/>
      <c r="I144" s="229"/>
      <c r="J144" s="229"/>
      <c r="K144" s="229"/>
      <c r="M144" s="217">
        <f t="shared" ref="M144:S149" si="34">IF(L144="",1,L144*(1+M136))</f>
        <v>1</v>
      </c>
      <c r="N144" s="217">
        <f t="shared" si="34"/>
        <v>1.0148371916640342</v>
      </c>
      <c r="O144" s="217">
        <f t="shared" si="34"/>
        <v>1.0298635502016533</v>
      </c>
      <c r="P144" s="217">
        <f t="shared" si="34"/>
        <v>1.0476447344468334</v>
      </c>
      <c r="Q144" s="217">
        <f t="shared" si="34"/>
        <v>1.065596680418939</v>
      </c>
      <c r="R144" s="217">
        <f t="shared" si="34"/>
        <v>1.0869600116875184</v>
      </c>
      <c r="S144" s="217">
        <f t="shared" si="34"/>
        <v>1.1087516400137722</v>
      </c>
      <c r="T144" s="229"/>
      <c r="U144" s="229"/>
      <c r="V144" s="229"/>
      <c r="W144" s="229"/>
    </row>
    <row r="145" spans="1:16383" ht="12" customHeight="1" x14ac:dyDescent="0.2">
      <c r="B145" s="230" t="str">
        <f t="shared" si="33"/>
        <v>LCI - Electricity, gas, and water</v>
      </c>
      <c r="C145" s="303" t="s">
        <v>191</v>
      </c>
      <c r="D145" s="229"/>
      <c r="E145" s="229"/>
      <c r="F145" s="229"/>
      <c r="G145" s="229"/>
      <c r="H145" s="229"/>
      <c r="I145" s="229"/>
      <c r="J145" s="229"/>
      <c r="K145" s="229"/>
      <c r="M145" s="217">
        <f t="shared" si="34"/>
        <v>1</v>
      </c>
      <c r="N145" s="217">
        <f t="shared" si="34"/>
        <v>1.0247218334101742</v>
      </c>
      <c r="O145" s="217">
        <f t="shared" si="34"/>
        <v>1.0454799670241479</v>
      </c>
      <c r="P145" s="217">
        <f t="shared" si="34"/>
        <v>1.070838719971158</v>
      </c>
      <c r="Q145" s="217">
        <f t="shared" si="34"/>
        <v>1.0996458942617759</v>
      </c>
      <c r="R145" s="217">
        <f t="shared" si="34"/>
        <v>1.1232200846556493</v>
      </c>
      <c r="S145" s="217">
        <f t="shared" si="34"/>
        <v>1.1457112506508498</v>
      </c>
      <c r="T145" s="229"/>
      <c r="U145" s="229"/>
      <c r="V145" s="229"/>
      <c r="W145" s="229"/>
    </row>
    <row r="146" spans="1:16383" ht="12" customHeight="1" x14ac:dyDescent="0.2">
      <c r="B146" s="230" t="str">
        <f t="shared" si="33"/>
        <v>LCI - Professional and technical</v>
      </c>
      <c r="C146" s="303" t="s">
        <v>191</v>
      </c>
      <c r="D146" s="229"/>
      <c r="E146" s="229"/>
      <c r="F146" s="229"/>
      <c r="G146" s="229"/>
      <c r="H146" s="229"/>
      <c r="I146" s="229"/>
      <c r="J146" s="229"/>
      <c r="K146" s="229"/>
      <c r="M146" s="217">
        <f t="shared" si="34"/>
        <v>1</v>
      </c>
      <c r="N146" s="217">
        <f t="shared" si="34"/>
        <v>1.0246360544748438</v>
      </c>
      <c r="O146" s="217">
        <f t="shared" si="34"/>
        <v>1.045304845574208</v>
      </c>
      <c r="P146" s="217">
        <f t="shared" si="34"/>
        <v>1.0705697164779733</v>
      </c>
      <c r="Q146" s="217">
        <f t="shared" si="34"/>
        <v>1.0992776752355871</v>
      </c>
      <c r="R146" s="217">
        <f t="shared" si="34"/>
        <v>1.1227499036753215</v>
      </c>
      <c r="S146" s="217">
        <f t="shared" si="34"/>
        <v>1.1451307045418113</v>
      </c>
      <c r="T146" s="229"/>
      <c r="U146" s="229"/>
      <c r="V146" s="229"/>
      <c r="W146" s="229"/>
    </row>
    <row r="147" spans="1:16383" ht="12" customHeight="1" x14ac:dyDescent="0.2">
      <c r="B147" s="230" t="str">
        <f t="shared" si="33"/>
        <v>PPI - Inputs</v>
      </c>
      <c r="C147" s="303" t="s">
        <v>191</v>
      </c>
      <c r="D147" s="229" t="s">
        <v>229</v>
      </c>
      <c r="E147" s="229"/>
      <c r="F147" s="229"/>
      <c r="G147" s="229"/>
      <c r="H147" s="229"/>
      <c r="I147" s="229"/>
      <c r="J147" s="229"/>
      <c r="K147" s="229"/>
      <c r="M147" s="217">
        <f t="shared" si="34"/>
        <v>1</v>
      </c>
      <c r="N147" s="217">
        <f t="shared" si="34"/>
        <v>1.0109584373880847</v>
      </c>
      <c r="O147" s="217">
        <f t="shared" si="34"/>
        <v>1.0232052721525164</v>
      </c>
      <c r="P147" s="217">
        <f t="shared" si="34"/>
        <v>1.0336685867073583</v>
      </c>
      <c r="Q147" s="217">
        <f t="shared" si="34"/>
        <v>1.0508019367064954</v>
      </c>
      <c r="R147" s="217">
        <f t="shared" si="34"/>
        <v>1.0685077117025477</v>
      </c>
      <c r="S147" s="217">
        <f t="shared" si="34"/>
        <v>1.086511825003146</v>
      </c>
      <c r="T147" s="229"/>
      <c r="U147" s="229"/>
      <c r="V147" s="229"/>
      <c r="W147" s="229"/>
    </row>
    <row r="148" spans="1:16383" ht="12" customHeight="1" x14ac:dyDescent="0.2">
      <c r="B148" s="230" t="str">
        <f t="shared" si="33"/>
        <v>PPI-O Heavy and civil engineering</v>
      </c>
      <c r="C148" s="303" t="s">
        <v>191</v>
      </c>
      <c r="D148" s="229"/>
      <c r="E148" s="229"/>
      <c r="F148" s="229"/>
      <c r="G148" s="229"/>
      <c r="H148" s="229"/>
      <c r="I148" s="229"/>
      <c r="J148" s="229"/>
      <c r="K148" s="229"/>
      <c r="M148" s="217">
        <f t="shared" si="34"/>
        <v>1</v>
      </c>
      <c r="N148" s="217">
        <f t="shared" si="34"/>
        <v>1.0393486694657537</v>
      </c>
      <c r="O148" s="217">
        <f t="shared" si="34"/>
        <v>1.0752939210112045</v>
      </c>
      <c r="P148" s="217">
        <f t="shared" si="34"/>
        <v>1.1113991102382588</v>
      </c>
      <c r="Q148" s="217">
        <f t="shared" si="34"/>
        <v>1.1454811522539603</v>
      </c>
      <c r="R148" s="217">
        <f t="shared" si="34"/>
        <v>1.1814635564424889</v>
      </c>
      <c r="S148" s="217">
        <f t="shared" si="34"/>
        <v>1.2186752130131762</v>
      </c>
      <c r="T148" s="229"/>
      <c r="U148" s="229"/>
      <c r="V148" s="229"/>
      <c r="W148" s="229"/>
    </row>
    <row r="149" spans="1:16383" ht="12" customHeight="1" x14ac:dyDescent="0.2">
      <c r="B149" s="230" t="str">
        <f t="shared" si="33"/>
        <v>PPI-O Professional services</v>
      </c>
      <c r="C149" s="303" t="s">
        <v>191</v>
      </c>
      <c r="D149" s="229"/>
      <c r="E149" s="229"/>
      <c r="F149" s="229"/>
      <c r="G149" s="229"/>
      <c r="H149" s="229"/>
      <c r="I149" s="229"/>
      <c r="J149" s="229"/>
      <c r="K149" s="229"/>
      <c r="M149" s="217">
        <f t="shared" si="34"/>
        <v>1</v>
      </c>
      <c r="N149" s="217">
        <f t="shared" si="34"/>
        <v>1.0282300639570718</v>
      </c>
      <c r="O149" s="217">
        <f t="shared" si="34"/>
        <v>1.0523976824818428</v>
      </c>
      <c r="P149" s="217">
        <f t="shared" si="34"/>
        <v>1.076081731262758</v>
      </c>
      <c r="Q149" s="217">
        <f t="shared" si="34"/>
        <v>1.0971913532272066</v>
      </c>
      <c r="R149" s="217">
        <f t="shared" si="34"/>
        <v>1.1195276402486902</v>
      </c>
      <c r="S149" s="217">
        <f t="shared" si="34"/>
        <v>1.1424116558055453</v>
      </c>
      <c r="T149" s="229"/>
      <c r="U149" s="229"/>
      <c r="V149" s="229"/>
      <c r="W149" s="229"/>
    </row>
    <row r="150" spans="1:16383" ht="12" customHeight="1" x14ac:dyDescent="0.2">
      <c r="B150" s="229"/>
      <c r="C150" s="303"/>
      <c r="D150" s="229"/>
      <c r="E150" s="229"/>
      <c r="F150" s="229"/>
      <c r="G150" s="229"/>
      <c r="H150" s="229"/>
      <c r="I150" s="229"/>
      <c r="J150" s="229"/>
      <c r="K150" s="229"/>
      <c r="M150" s="229"/>
      <c r="N150" s="229"/>
      <c r="O150" s="229"/>
      <c r="P150" s="229"/>
      <c r="Q150" s="229"/>
      <c r="R150" s="229"/>
      <c r="S150" s="229"/>
      <c r="T150" s="229"/>
      <c r="U150" s="229"/>
      <c r="V150" s="229"/>
      <c r="W150" s="229"/>
    </row>
    <row r="151" spans="1:16383" s="229" customFormat="1" ht="12" customHeight="1" x14ac:dyDescent="0.2">
      <c r="A151" s="232"/>
      <c r="B151" s="283" t="s">
        <v>231</v>
      </c>
      <c r="C151" s="284" t="s">
        <v>51</v>
      </c>
      <c r="D151" s="312" t="s">
        <v>52</v>
      </c>
      <c r="E151" s="284" t="s">
        <v>53</v>
      </c>
      <c r="F151" s="242"/>
      <c r="G151" s="302"/>
      <c r="H151" s="302"/>
      <c r="I151" s="302"/>
      <c r="J151" s="302"/>
      <c r="K151" s="242"/>
      <c r="L151" s="242"/>
      <c r="M151" s="242"/>
      <c r="N151" s="242"/>
      <c r="O151" s="242"/>
      <c r="P151" s="242"/>
      <c r="Q151" s="242"/>
      <c r="R151" s="242"/>
      <c r="S151" s="242"/>
    </row>
    <row r="152" spans="1:16383" s="229" customFormat="1" ht="12" customHeight="1" x14ac:dyDescent="0.2">
      <c r="B152" s="313"/>
      <c r="C152" s="314"/>
      <c r="D152" s="315"/>
      <c r="E152" s="314"/>
      <c r="F152" s="242"/>
      <c r="G152" s="302"/>
      <c r="H152" s="302"/>
      <c r="I152" s="302"/>
      <c r="J152" s="302"/>
      <c r="K152" s="242"/>
      <c r="L152" s="242"/>
      <c r="M152" s="242"/>
      <c r="N152" s="242"/>
      <c r="O152" s="242"/>
      <c r="P152" s="242"/>
      <c r="Q152" s="242"/>
      <c r="R152" s="242"/>
      <c r="S152" s="242"/>
    </row>
    <row r="153" spans="1:16383" s="229" customFormat="1" ht="12" customHeight="1" x14ac:dyDescent="0.2">
      <c r="B153" s="287" t="s">
        <v>408</v>
      </c>
      <c r="C153" s="314"/>
      <c r="D153" s="315"/>
      <c r="E153" s="314"/>
      <c r="F153" s="242"/>
      <c r="G153" s="302"/>
      <c r="H153" s="302"/>
      <c r="I153" s="302"/>
      <c r="J153" s="302"/>
      <c r="K153" s="242"/>
      <c r="L153" s="242"/>
      <c r="M153" s="242"/>
      <c r="N153" s="242"/>
      <c r="O153" s="242"/>
      <c r="P153" s="242"/>
      <c r="Q153" s="242"/>
      <c r="R153" s="242"/>
      <c r="S153" s="242"/>
    </row>
    <row r="154" spans="1:16383" ht="12" customHeight="1" x14ac:dyDescent="0.2">
      <c r="A154" s="229"/>
      <c r="B154" s="250"/>
      <c r="C154" s="250"/>
      <c r="D154" s="250"/>
      <c r="E154" s="250"/>
      <c r="F154" s="250"/>
      <c r="G154" s="250"/>
      <c r="H154" s="250"/>
      <c r="I154" s="250"/>
      <c r="J154" s="250"/>
      <c r="K154" s="250"/>
      <c r="L154" s="250"/>
      <c r="M154" s="250"/>
      <c r="N154" s="250"/>
      <c r="O154" s="250"/>
      <c r="P154" s="250"/>
      <c r="Q154" s="250"/>
      <c r="R154" s="250"/>
      <c r="S154" s="250"/>
      <c r="T154" s="250"/>
      <c r="U154" s="265"/>
      <c r="V154" s="265"/>
      <c r="W154" s="265"/>
      <c r="X154" s="265"/>
    </row>
    <row r="155" spans="1:16383" ht="12" customHeight="1" x14ac:dyDescent="0.2">
      <c r="A155" s="229"/>
      <c r="B155" s="316" t="s">
        <v>14</v>
      </c>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EB155" s="250"/>
      <c r="EC155" s="250"/>
      <c r="ED155" s="250"/>
      <c r="EE155" s="250"/>
      <c r="EF155" s="250"/>
      <c r="EG155" s="250"/>
      <c r="EH155" s="250"/>
      <c r="EI155" s="250"/>
      <c r="EJ155" s="250"/>
      <c r="EK155" s="250"/>
      <c r="EL155" s="250"/>
      <c r="EM155" s="250"/>
      <c r="EN155" s="250"/>
      <c r="EO155" s="250"/>
      <c r="EP155" s="250"/>
      <c r="EQ155" s="250"/>
      <c r="ER155" s="250"/>
      <c r="ES155" s="250"/>
      <c r="ET155" s="250"/>
      <c r="EU155" s="250"/>
      <c r="EV155" s="250"/>
      <c r="EW155" s="250"/>
      <c r="EX155" s="250"/>
      <c r="EY155" s="250"/>
      <c r="EZ155" s="250"/>
      <c r="FA155" s="250"/>
      <c r="FB155" s="250"/>
      <c r="FC155" s="250"/>
      <c r="FD155" s="250"/>
      <c r="FE155" s="250"/>
      <c r="FF155" s="250"/>
      <c r="FG155" s="250"/>
      <c r="FH155" s="250"/>
      <c r="FI155" s="250"/>
      <c r="FJ155" s="250"/>
      <c r="FK155" s="250"/>
      <c r="FL155" s="250"/>
      <c r="FM155" s="250"/>
      <c r="FN155" s="250"/>
      <c r="FO155" s="250"/>
      <c r="FP155" s="250"/>
      <c r="FQ155" s="250"/>
      <c r="FR155" s="250"/>
      <c r="FS155" s="250"/>
      <c r="FT155" s="250"/>
      <c r="FU155" s="250"/>
      <c r="FV155" s="250"/>
      <c r="FW155" s="250"/>
      <c r="FX155" s="250"/>
      <c r="FY155" s="250"/>
      <c r="FZ155" s="250"/>
      <c r="GA155" s="250"/>
      <c r="GB155" s="250"/>
      <c r="GC155" s="250"/>
      <c r="GD155" s="250"/>
      <c r="GE155" s="250"/>
      <c r="GF155" s="250"/>
      <c r="GG155" s="250"/>
      <c r="GH155" s="250"/>
      <c r="GI155" s="250"/>
      <c r="GJ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HN155" s="250"/>
      <c r="HO155" s="250"/>
      <c r="HP155" s="250"/>
      <c r="HQ155" s="250"/>
      <c r="HR155" s="250"/>
      <c r="HS155" s="250"/>
      <c r="HT155" s="250"/>
      <c r="HU155" s="250"/>
      <c r="HV155" s="250"/>
      <c r="HW155" s="250"/>
      <c r="HX155" s="250"/>
      <c r="HY155" s="250"/>
      <c r="HZ155" s="250"/>
      <c r="IA155" s="250"/>
      <c r="IB155" s="250"/>
      <c r="IC155" s="250"/>
      <c r="ID155" s="250"/>
      <c r="IE155" s="250"/>
      <c r="IF155" s="250"/>
      <c r="IG155" s="250"/>
      <c r="IH155" s="250"/>
      <c r="II155" s="250"/>
      <c r="IJ155" s="250"/>
      <c r="IK155" s="250"/>
      <c r="IL155" s="250"/>
      <c r="IM155" s="250"/>
      <c r="IN155" s="250"/>
      <c r="IO155" s="250"/>
      <c r="IP155" s="250"/>
      <c r="IQ155" s="250"/>
      <c r="IR155" s="250"/>
      <c r="IS155" s="250"/>
      <c r="IT155" s="250"/>
      <c r="IU155" s="250"/>
      <c r="IV155" s="250"/>
      <c r="IW155" s="250"/>
      <c r="IX155" s="250"/>
      <c r="IY155" s="250"/>
      <c r="IZ155" s="250"/>
      <c r="JA155" s="250"/>
      <c r="JB155" s="250"/>
      <c r="JC155" s="250"/>
      <c r="JD155" s="250"/>
      <c r="JE155" s="250"/>
      <c r="JF155" s="250"/>
      <c r="JG155" s="250"/>
      <c r="JH155" s="250"/>
      <c r="JI155" s="250"/>
      <c r="JJ155" s="250"/>
      <c r="JK155" s="250"/>
      <c r="JL155" s="250"/>
      <c r="JM155" s="250"/>
      <c r="JN155" s="250"/>
      <c r="JO155" s="250"/>
      <c r="JP155" s="250"/>
      <c r="JQ155" s="250"/>
      <c r="JR155" s="250"/>
      <c r="JS155" s="250"/>
      <c r="JT155" s="250"/>
      <c r="JU155" s="250"/>
      <c r="JV155" s="250"/>
      <c r="JW155" s="250"/>
      <c r="JX155" s="250"/>
      <c r="JY155" s="250"/>
      <c r="JZ155" s="250"/>
      <c r="KA155" s="250"/>
      <c r="KB155" s="250"/>
      <c r="KC155" s="250"/>
      <c r="KD155" s="250"/>
      <c r="KE155" s="250"/>
      <c r="KF155" s="250"/>
      <c r="KG155" s="250"/>
      <c r="KH155" s="250"/>
      <c r="KI155" s="250"/>
      <c r="KJ155" s="250"/>
      <c r="KK155" s="250"/>
      <c r="KL155" s="250"/>
      <c r="KM155" s="250"/>
      <c r="KN155" s="250"/>
      <c r="KO155" s="250"/>
      <c r="KP155" s="250"/>
      <c r="KQ155" s="250"/>
      <c r="KR155" s="250"/>
      <c r="KS155" s="250"/>
      <c r="KT155" s="250"/>
      <c r="KU155" s="250"/>
      <c r="KV155" s="250"/>
      <c r="KW155" s="250"/>
      <c r="KX155" s="250"/>
      <c r="KY155" s="250"/>
      <c r="KZ155" s="250"/>
      <c r="LA155" s="250"/>
      <c r="LB155" s="250"/>
      <c r="LC155" s="250"/>
      <c r="LD155" s="250"/>
      <c r="LE155" s="250"/>
      <c r="LF155" s="250"/>
      <c r="LG155" s="250"/>
      <c r="LH155" s="250"/>
      <c r="LI155" s="250"/>
      <c r="LJ155" s="250"/>
      <c r="LK155" s="250"/>
      <c r="LL155" s="250"/>
      <c r="LM155" s="250"/>
      <c r="LN155" s="250"/>
      <c r="LO155" s="250"/>
      <c r="LP155" s="250"/>
      <c r="LQ155" s="250"/>
      <c r="LR155" s="250"/>
      <c r="LS155" s="250"/>
      <c r="LT155" s="250"/>
      <c r="LU155" s="250"/>
      <c r="LV155" s="250"/>
      <c r="LW155" s="250"/>
      <c r="LX155" s="250"/>
      <c r="LY155" s="250"/>
      <c r="LZ155" s="250"/>
      <c r="MA155" s="250"/>
      <c r="MB155" s="250"/>
      <c r="MC155" s="250"/>
      <c r="MD155" s="250"/>
      <c r="ME155" s="250"/>
      <c r="MF155" s="250"/>
      <c r="MG155" s="250"/>
      <c r="MH155" s="250"/>
      <c r="MI155" s="250"/>
      <c r="MJ155" s="250"/>
      <c r="MK155" s="250"/>
      <c r="ML155" s="250"/>
      <c r="MM155" s="250"/>
      <c r="MN155" s="250"/>
      <c r="MO155" s="250"/>
      <c r="MP155" s="250"/>
      <c r="MQ155" s="250"/>
      <c r="MR155" s="250"/>
      <c r="MS155" s="250"/>
      <c r="MT155" s="250"/>
      <c r="MU155" s="250"/>
      <c r="MV155" s="250"/>
      <c r="MW155" s="250"/>
      <c r="MX155" s="250"/>
      <c r="MY155" s="250"/>
      <c r="MZ155" s="250"/>
      <c r="NA155" s="250"/>
      <c r="NB155" s="250"/>
      <c r="NC155" s="250"/>
      <c r="ND155" s="250"/>
      <c r="NE155" s="250"/>
      <c r="NF155" s="250"/>
      <c r="NG155" s="250"/>
      <c r="NH155" s="250"/>
      <c r="NI155" s="250"/>
      <c r="NJ155" s="250"/>
      <c r="NK155" s="250"/>
      <c r="NL155" s="250"/>
      <c r="NM155" s="250"/>
      <c r="NN155" s="250"/>
      <c r="NO155" s="250"/>
      <c r="NP155" s="250"/>
      <c r="NQ155" s="250"/>
      <c r="NR155" s="250"/>
      <c r="NS155" s="250"/>
      <c r="NT155" s="250"/>
      <c r="NU155" s="250"/>
      <c r="NV155" s="250"/>
      <c r="NW155" s="250"/>
      <c r="NX155" s="250"/>
      <c r="NY155" s="250"/>
      <c r="NZ155" s="250"/>
      <c r="OA155" s="250"/>
      <c r="OB155" s="250"/>
      <c r="OC155" s="250"/>
      <c r="OD155" s="250"/>
      <c r="OE155" s="250"/>
      <c r="OF155" s="250"/>
      <c r="OG155" s="250"/>
      <c r="OH155" s="250"/>
      <c r="OI155" s="250"/>
      <c r="OJ155" s="250"/>
      <c r="OK155" s="250"/>
      <c r="OL155" s="250"/>
      <c r="OM155" s="250"/>
      <c r="ON155" s="250"/>
      <c r="OO155" s="250"/>
      <c r="OP155" s="250"/>
      <c r="OQ155" s="250"/>
      <c r="OR155" s="250"/>
      <c r="OS155" s="250"/>
      <c r="OT155" s="250"/>
      <c r="OU155" s="250"/>
      <c r="OV155" s="250"/>
      <c r="OW155" s="250"/>
      <c r="OX155" s="250"/>
      <c r="OY155" s="250"/>
      <c r="OZ155" s="250"/>
      <c r="PA155" s="250"/>
      <c r="PB155" s="250"/>
      <c r="PC155" s="250"/>
      <c r="PD155" s="250"/>
      <c r="PE155" s="250"/>
      <c r="PF155" s="250"/>
      <c r="PG155" s="250"/>
      <c r="PH155" s="250"/>
      <c r="PI155" s="250"/>
      <c r="PJ155" s="250"/>
      <c r="PK155" s="250"/>
      <c r="PL155" s="250"/>
      <c r="PM155" s="250"/>
      <c r="PN155" s="250"/>
      <c r="PO155" s="250"/>
      <c r="PP155" s="250"/>
      <c r="PQ155" s="250"/>
      <c r="PR155" s="250"/>
      <c r="PS155" s="250"/>
      <c r="PT155" s="250"/>
      <c r="PU155" s="250"/>
      <c r="PV155" s="250"/>
      <c r="PW155" s="250"/>
      <c r="PX155" s="250"/>
      <c r="PY155" s="250"/>
      <c r="PZ155" s="250"/>
      <c r="QA155" s="250"/>
      <c r="QB155" s="250"/>
      <c r="QC155" s="250"/>
      <c r="QD155" s="250"/>
      <c r="QE155" s="250"/>
      <c r="QF155" s="250"/>
      <c r="QG155" s="250"/>
      <c r="QH155" s="250"/>
      <c r="QI155" s="250"/>
      <c r="QJ155" s="250"/>
      <c r="QK155" s="250"/>
      <c r="QL155" s="250"/>
      <c r="QM155" s="250"/>
      <c r="QN155" s="250"/>
      <c r="QO155" s="250"/>
      <c r="QP155" s="250"/>
      <c r="QQ155" s="250"/>
      <c r="QR155" s="250"/>
      <c r="QS155" s="250"/>
      <c r="QT155" s="250"/>
      <c r="QU155" s="250"/>
      <c r="QV155" s="250"/>
      <c r="QW155" s="250"/>
      <c r="QX155" s="250"/>
      <c r="QY155" s="250"/>
      <c r="QZ155" s="250"/>
      <c r="RA155" s="250"/>
      <c r="RB155" s="250"/>
      <c r="RC155" s="250"/>
      <c r="RD155" s="250"/>
      <c r="RE155" s="250"/>
      <c r="RF155" s="250"/>
      <c r="RG155" s="250"/>
      <c r="RH155" s="250"/>
      <c r="RI155" s="250"/>
      <c r="RJ155" s="250"/>
      <c r="RK155" s="250"/>
      <c r="RL155" s="250"/>
      <c r="RM155" s="250"/>
      <c r="RN155" s="250"/>
      <c r="RO155" s="250"/>
      <c r="RP155" s="250"/>
      <c r="RQ155" s="250"/>
      <c r="RR155" s="250"/>
      <c r="RS155" s="250"/>
      <c r="RT155" s="250"/>
      <c r="RU155" s="250"/>
      <c r="RV155" s="250"/>
      <c r="RW155" s="250"/>
      <c r="RX155" s="250"/>
      <c r="RY155" s="250"/>
      <c r="RZ155" s="250"/>
      <c r="SA155" s="250"/>
      <c r="SB155" s="250"/>
      <c r="SC155" s="250"/>
      <c r="SD155" s="250"/>
      <c r="SE155" s="250"/>
      <c r="SF155" s="250"/>
      <c r="SG155" s="250"/>
      <c r="SH155" s="250"/>
      <c r="SI155" s="250"/>
      <c r="SJ155" s="250"/>
      <c r="SK155" s="250"/>
      <c r="SL155" s="250"/>
      <c r="SM155" s="250"/>
      <c r="SN155" s="250"/>
      <c r="SO155" s="250"/>
      <c r="SP155" s="250"/>
      <c r="SQ155" s="250"/>
      <c r="SR155" s="250"/>
      <c r="SS155" s="250"/>
      <c r="ST155" s="250"/>
      <c r="SU155" s="250"/>
      <c r="SV155" s="250"/>
      <c r="SW155" s="250"/>
      <c r="SX155" s="250"/>
      <c r="SY155" s="250"/>
      <c r="SZ155" s="250"/>
      <c r="TA155" s="250"/>
      <c r="TB155" s="250"/>
      <c r="TC155" s="250"/>
      <c r="TD155" s="250"/>
      <c r="TE155" s="250"/>
      <c r="TF155" s="250"/>
      <c r="TG155" s="250"/>
      <c r="TH155" s="250"/>
      <c r="TI155" s="250"/>
      <c r="TJ155" s="250"/>
      <c r="TK155" s="250"/>
      <c r="TL155" s="250"/>
      <c r="TM155" s="250"/>
      <c r="TN155" s="250"/>
      <c r="TO155" s="250"/>
      <c r="TP155" s="250"/>
      <c r="TQ155" s="250"/>
      <c r="TR155" s="250"/>
      <c r="TS155" s="250"/>
      <c r="TT155" s="250"/>
      <c r="TU155" s="250"/>
      <c r="TV155" s="250"/>
      <c r="TW155" s="250"/>
      <c r="TX155" s="250"/>
      <c r="TY155" s="250"/>
      <c r="TZ155" s="250"/>
      <c r="UA155" s="250"/>
      <c r="UB155" s="250"/>
      <c r="UC155" s="250"/>
      <c r="UD155" s="250"/>
      <c r="UE155" s="250"/>
      <c r="UF155" s="250"/>
      <c r="UG155" s="250"/>
      <c r="UH155" s="250"/>
      <c r="UI155" s="250"/>
      <c r="UJ155" s="250"/>
      <c r="UK155" s="250"/>
      <c r="UL155" s="250"/>
      <c r="UM155" s="250"/>
      <c r="UN155" s="250"/>
      <c r="UO155" s="250"/>
      <c r="UP155" s="250"/>
      <c r="UQ155" s="250"/>
      <c r="UR155" s="250"/>
      <c r="US155" s="250"/>
      <c r="UT155" s="250"/>
      <c r="UU155" s="250"/>
      <c r="UV155" s="250"/>
      <c r="UW155" s="250"/>
      <c r="UX155" s="250"/>
      <c r="UY155" s="250"/>
      <c r="UZ155" s="250"/>
      <c r="VA155" s="250"/>
      <c r="VB155" s="250"/>
      <c r="VC155" s="250"/>
      <c r="VD155" s="250"/>
      <c r="VE155" s="250"/>
      <c r="VF155" s="250"/>
      <c r="VG155" s="250"/>
      <c r="VH155" s="250"/>
      <c r="VI155" s="250"/>
      <c r="VJ155" s="250"/>
      <c r="VK155" s="250"/>
      <c r="VL155" s="250"/>
      <c r="VM155" s="250"/>
      <c r="VN155" s="250"/>
      <c r="VO155" s="250"/>
      <c r="VP155" s="250"/>
      <c r="VQ155" s="250"/>
      <c r="VR155" s="250"/>
      <c r="VS155" s="250"/>
      <c r="VT155" s="250"/>
      <c r="VU155" s="250"/>
      <c r="VV155" s="250"/>
      <c r="VW155" s="250"/>
      <c r="VX155" s="250"/>
      <c r="VY155" s="250"/>
      <c r="VZ155" s="250"/>
      <c r="WA155" s="250"/>
      <c r="WB155" s="250"/>
      <c r="WC155" s="250"/>
      <c r="WD155" s="250"/>
      <c r="WE155" s="250"/>
      <c r="WF155" s="250"/>
      <c r="WG155" s="250"/>
      <c r="WH155" s="250"/>
      <c r="WI155" s="250"/>
      <c r="WJ155" s="250"/>
      <c r="WK155" s="250"/>
      <c r="WL155" s="250"/>
      <c r="WM155" s="250"/>
      <c r="WN155" s="250"/>
      <c r="WO155" s="250"/>
      <c r="WP155" s="250"/>
      <c r="WQ155" s="250"/>
      <c r="WR155" s="250"/>
      <c r="WS155" s="250"/>
      <c r="WT155" s="250"/>
      <c r="WU155" s="250"/>
      <c r="WV155" s="250"/>
      <c r="WW155" s="250"/>
      <c r="WX155" s="250"/>
      <c r="WY155" s="250"/>
      <c r="WZ155" s="250"/>
      <c r="XA155" s="250"/>
      <c r="XB155" s="250"/>
      <c r="XC155" s="250"/>
      <c r="XD155" s="250"/>
      <c r="XE155" s="250"/>
      <c r="XF155" s="250"/>
      <c r="XG155" s="250"/>
      <c r="XH155" s="250"/>
      <c r="XI155" s="250"/>
      <c r="XJ155" s="250"/>
      <c r="XK155" s="250"/>
      <c r="XL155" s="250"/>
      <c r="XM155" s="250"/>
      <c r="XN155" s="250"/>
      <c r="XO155" s="250"/>
      <c r="XP155" s="250"/>
      <c r="XQ155" s="250"/>
      <c r="XR155" s="250"/>
      <c r="XS155" s="250"/>
      <c r="XT155" s="250"/>
      <c r="XU155" s="250"/>
      <c r="XV155" s="250"/>
      <c r="XW155" s="250"/>
      <c r="XX155" s="250"/>
      <c r="XY155" s="250"/>
      <c r="XZ155" s="250"/>
      <c r="YA155" s="250"/>
      <c r="YB155" s="250"/>
      <c r="YC155" s="250"/>
      <c r="YD155" s="250"/>
      <c r="YE155" s="250"/>
      <c r="YF155" s="250"/>
      <c r="YG155" s="250"/>
      <c r="YH155" s="250"/>
      <c r="YI155" s="250"/>
      <c r="YJ155" s="250"/>
      <c r="YK155" s="250"/>
      <c r="YL155" s="250"/>
      <c r="YM155" s="250"/>
      <c r="YN155" s="250"/>
      <c r="YO155" s="250"/>
      <c r="YP155" s="250"/>
      <c r="YQ155" s="250"/>
      <c r="YR155" s="250"/>
      <c r="YS155" s="250"/>
      <c r="YT155" s="250"/>
      <c r="YU155" s="250"/>
      <c r="YV155" s="250"/>
      <c r="YW155" s="250"/>
      <c r="YX155" s="250"/>
      <c r="YY155" s="250"/>
      <c r="YZ155" s="250"/>
      <c r="ZA155" s="250"/>
      <c r="ZB155" s="250"/>
      <c r="ZC155" s="250"/>
      <c r="ZD155" s="250"/>
      <c r="ZE155" s="250"/>
      <c r="ZF155" s="250"/>
      <c r="ZG155" s="250"/>
      <c r="ZH155" s="250"/>
      <c r="ZI155" s="250"/>
      <c r="ZJ155" s="250"/>
      <c r="ZK155" s="250"/>
      <c r="ZL155" s="250"/>
      <c r="ZM155" s="250"/>
      <c r="ZN155" s="250"/>
      <c r="ZO155" s="250"/>
      <c r="ZP155" s="250"/>
      <c r="ZQ155" s="250"/>
      <c r="ZR155" s="250"/>
      <c r="ZS155" s="250"/>
      <c r="ZT155" s="250"/>
      <c r="ZU155" s="250"/>
      <c r="ZV155" s="250"/>
      <c r="ZW155" s="250"/>
      <c r="ZX155" s="250"/>
      <c r="ZY155" s="250"/>
      <c r="ZZ155" s="250"/>
      <c r="AAA155" s="250"/>
      <c r="AAB155" s="250"/>
      <c r="AAC155" s="250"/>
      <c r="AAD155" s="250"/>
      <c r="AAE155" s="250"/>
      <c r="AAF155" s="250"/>
      <c r="AAG155" s="250"/>
      <c r="AAH155" s="250"/>
      <c r="AAI155" s="250"/>
      <c r="AAJ155" s="250"/>
      <c r="AAK155" s="250"/>
      <c r="AAL155" s="250"/>
      <c r="AAM155" s="250"/>
      <c r="AAN155" s="250"/>
      <c r="AAO155" s="250"/>
      <c r="AAP155" s="250"/>
      <c r="AAQ155" s="250"/>
      <c r="AAR155" s="250"/>
      <c r="AAS155" s="250"/>
      <c r="AAT155" s="250"/>
      <c r="AAU155" s="250"/>
      <c r="AAV155" s="250"/>
      <c r="AAW155" s="250"/>
      <c r="AAX155" s="250"/>
      <c r="AAY155" s="250"/>
      <c r="AAZ155" s="250"/>
      <c r="ABA155" s="250"/>
      <c r="ABB155" s="250"/>
      <c r="ABC155" s="250"/>
      <c r="ABD155" s="250"/>
      <c r="ABE155" s="250"/>
      <c r="ABF155" s="250"/>
      <c r="ABG155" s="250"/>
      <c r="ABH155" s="250"/>
      <c r="ABI155" s="250"/>
      <c r="ABJ155" s="250"/>
      <c r="ABK155" s="250"/>
      <c r="ABL155" s="250"/>
      <c r="ABM155" s="250"/>
      <c r="ABN155" s="250"/>
      <c r="ABO155" s="250"/>
      <c r="ABP155" s="250"/>
      <c r="ABQ155" s="250"/>
      <c r="ABR155" s="250"/>
      <c r="ABS155" s="250"/>
      <c r="ABT155" s="250"/>
      <c r="ABU155" s="250"/>
      <c r="ABV155" s="250"/>
      <c r="ABW155" s="250"/>
      <c r="ABX155" s="250"/>
      <c r="ABY155" s="250"/>
      <c r="ABZ155" s="250"/>
      <c r="ACA155" s="250"/>
      <c r="ACB155" s="250"/>
      <c r="ACC155" s="250"/>
      <c r="ACD155" s="250"/>
      <c r="ACE155" s="250"/>
      <c r="ACF155" s="250"/>
      <c r="ACG155" s="250"/>
      <c r="ACH155" s="250"/>
      <c r="ACI155" s="250"/>
      <c r="ACJ155" s="250"/>
      <c r="ACK155" s="250"/>
      <c r="ACL155" s="250"/>
      <c r="ACM155" s="250"/>
      <c r="ACN155" s="250"/>
      <c r="ACO155" s="250"/>
      <c r="ACP155" s="250"/>
      <c r="ACQ155" s="250"/>
      <c r="ACR155" s="250"/>
      <c r="ACS155" s="250"/>
      <c r="ACT155" s="250"/>
      <c r="ACU155" s="250"/>
      <c r="ACV155" s="250"/>
      <c r="ACW155" s="250"/>
      <c r="ACX155" s="250"/>
      <c r="ACY155" s="250"/>
      <c r="ACZ155" s="250"/>
      <c r="ADA155" s="250"/>
      <c r="ADB155" s="250"/>
      <c r="ADC155" s="250"/>
      <c r="ADD155" s="250"/>
      <c r="ADE155" s="250"/>
      <c r="ADF155" s="250"/>
      <c r="ADG155" s="250"/>
      <c r="ADH155" s="250"/>
      <c r="ADI155" s="250"/>
      <c r="ADJ155" s="250"/>
      <c r="ADK155" s="250"/>
      <c r="ADL155" s="250"/>
      <c r="ADM155" s="250"/>
      <c r="ADN155" s="250"/>
      <c r="ADO155" s="250"/>
      <c r="ADP155" s="250"/>
      <c r="ADQ155" s="250"/>
      <c r="ADR155" s="250"/>
      <c r="ADS155" s="250"/>
      <c r="ADT155" s="250"/>
      <c r="ADU155" s="250"/>
      <c r="ADV155" s="250"/>
      <c r="ADW155" s="250"/>
      <c r="ADX155" s="250"/>
      <c r="ADY155" s="250"/>
      <c r="ADZ155" s="250"/>
      <c r="AEA155" s="250"/>
      <c r="AEB155" s="250"/>
      <c r="AEC155" s="250"/>
      <c r="AED155" s="250"/>
      <c r="AEE155" s="250"/>
      <c r="AEF155" s="250"/>
      <c r="AEG155" s="250"/>
      <c r="AEH155" s="250"/>
      <c r="AEI155" s="250"/>
      <c r="AEJ155" s="250"/>
      <c r="AEK155" s="250"/>
      <c r="AEL155" s="250"/>
      <c r="AEM155" s="250"/>
      <c r="AEN155" s="250"/>
      <c r="AEO155" s="250"/>
      <c r="AEP155" s="250"/>
      <c r="AEQ155" s="250"/>
      <c r="AER155" s="250"/>
      <c r="AES155" s="250"/>
      <c r="AET155" s="250"/>
      <c r="AEU155" s="250"/>
      <c r="AEV155" s="250"/>
      <c r="AEW155" s="250"/>
      <c r="AEX155" s="250"/>
      <c r="AEY155" s="250"/>
      <c r="AEZ155" s="250"/>
      <c r="AFA155" s="250"/>
      <c r="AFB155" s="250"/>
      <c r="AFC155" s="250"/>
      <c r="AFD155" s="250"/>
      <c r="AFE155" s="250"/>
      <c r="AFF155" s="250"/>
      <c r="AFG155" s="250"/>
      <c r="AFH155" s="250"/>
      <c r="AFI155" s="250"/>
      <c r="AFJ155" s="250"/>
      <c r="AFK155" s="250"/>
      <c r="AFL155" s="250"/>
      <c r="AFM155" s="250"/>
      <c r="AFN155" s="250"/>
      <c r="AFO155" s="250"/>
      <c r="AFP155" s="250"/>
      <c r="AFQ155" s="250"/>
      <c r="AFR155" s="250"/>
      <c r="AFS155" s="250"/>
      <c r="AFT155" s="250"/>
      <c r="AFU155" s="250"/>
      <c r="AFV155" s="250"/>
      <c r="AFW155" s="250"/>
      <c r="AFX155" s="250"/>
      <c r="AFY155" s="250"/>
      <c r="AFZ155" s="250"/>
      <c r="AGA155" s="250"/>
      <c r="AGB155" s="250"/>
      <c r="AGC155" s="250"/>
      <c r="AGD155" s="250"/>
      <c r="AGE155" s="250"/>
      <c r="AGF155" s="250"/>
      <c r="AGG155" s="250"/>
      <c r="AGH155" s="250"/>
      <c r="AGI155" s="250"/>
      <c r="AGJ155" s="250"/>
      <c r="AGK155" s="250"/>
      <c r="AGL155" s="250"/>
      <c r="AGM155" s="250"/>
      <c r="AGN155" s="250"/>
      <c r="AGO155" s="250"/>
      <c r="AGP155" s="250"/>
      <c r="AGQ155" s="250"/>
      <c r="AGR155" s="250"/>
      <c r="AGS155" s="250"/>
      <c r="AGT155" s="250"/>
      <c r="AGU155" s="250"/>
      <c r="AGV155" s="250"/>
      <c r="AGW155" s="250"/>
      <c r="AGX155" s="250"/>
      <c r="AGY155" s="250"/>
      <c r="AGZ155" s="250"/>
      <c r="AHA155" s="250"/>
      <c r="AHB155" s="250"/>
      <c r="AHC155" s="250"/>
      <c r="AHD155" s="250"/>
      <c r="AHE155" s="250"/>
      <c r="AHF155" s="250"/>
      <c r="AHG155" s="250"/>
      <c r="AHH155" s="250"/>
      <c r="AHI155" s="250"/>
      <c r="AHJ155" s="250"/>
      <c r="AHK155" s="250"/>
      <c r="AHL155" s="250"/>
      <c r="AHM155" s="250"/>
      <c r="AHN155" s="250"/>
      <c r="AHO155" s="250"/>
      <c r="AHP155" s="250"/>
      <c r="AHQ155" s="250"/>
      <c r="AHR155" s="250"/>
      <c r="AHS155" s="250"/>
      <c r="AHT155" s="250"/>
      <c r="AHU155" s="250"/>
      <c r="AHV155" s="250"/>
      <c r="AHW155" s="250"/>
      <c r="AHX155" s="250"/>
      <c r="AHY155" s="250"/>
      <c r="AHZ155" s="250"/>
      <c r="AIA155" s="250"/>
      <c r="AIB155" s="250"/>
      <c r="AIC155" s="250"/>
      <c r="AID155" s="250"/>
      <c r="AIE155" s="250"/>
      <c r="AIF155" s="250"/>
      <c r="AIG155" s="250"/>
      <c r="AIH155" s="250"/>
      <c r="AII155" s="250"/>
      <c r="AIJ155" s="250"/>
      <c r="AIK155" s="250"/>
      <c r="AIL155" s="250"/>
      <c r="AIM155" s="250"/>
      <c r="AIN155" s="250"/>
      <c r="AIO155" s="250"/>
      <c r="AIP155" s="250"/>
      <c r="AIQ155" s="250"/>
      <c r="AIR155" s="250"/>
      <c r="AIS155" s="250"/>
      <c r="AIT155" s="250"/>
      <c r="AIU155" s="250"/>
      <c r="AIV155" s="250"/>
      <c r="AIW155" s="250"/>
      <c r="AIX155" s="250"/>
      <c r="AIY155" s="250"/>
      <c r="AIZ155" s="250"/>
      <c r="AJA155" s="250"/>
      <c r="AJB155" s="250"/>
      <c r="AJC155" s="250"/>
      <c r="AJD155" s="250"/>
      <c r="AJE155" s="250"/>
      <c r="AJF155" s="250"/>
      <c r="AJG155" s="250"/>
      <c r="AJH155" s="250"/>
      <c r="AJI155" s="250"/>
      <c r="AJJ155" s="250"/>
      <c r="AJK155" s="250"/>
      <c r="AJL155" s="250"/>
      <c r="AJM155" s="250"/>
      <c r="AJN155" s="250"/>
      <c r="AJO155" s="250"/>
      <c r="AJP155" s="250"/>
      <c r="AJQ155" s="250"/>
      <c r="AJR155" s="250"/>
      <c r="AJS155" s="250"/>
      <c r="AJT155" s="250"/>
      <c r="AJU155" s="250"/>
      <c r="AJV155" s="250"/>
      <c r="AJW155" s="250"/>
      <c r="AJX155" s="250"/>
      <c r="AJY155" s="250"/>
      <c r="AJZ155" s="250"/>
      <c r="AKA155" s="250"/>
      <c r="AKB155" s="250"/>
      <c r="AKC155" s="250"/>
      <c r="AKD155" s="250"/>
      <c r="AKE155" s="250"/>
      <c r="AKF155" s="250"/>
      <c r="AKG155" s="250"/>
      <c r="AKH155" s="250"/>
      <c r="AKI155" s="250"/>
      <c r="AKJ155" s="250"/>
      <c r="AKK155" s="250"/>
      <c r="AKL155" s="250"/>
      <c r="AKM155" s="250"/>
      <c r="AKN155" s="250"/>
      <c r="AKO155" s="250"/>
      <c r="AKP155" s="250"/>
      <c r="AKQ155" s="250"/>
      <c r="AKR155" s="250"/>
      <c r="AKS155" s="250"/>
      <c r="AKT155" s="250"/>
      <c r="AKU155" s="250"/>
      <c r="AKV155" s="250"/>
      <c r="AKW155" s="250"/>
      <c r="AKX155" s="250"/>
      <c r="AKY155" s="250"/>
      <c r="AKZ155" s="250"/>
      <c r="ALA155" s="250"/>
      <c r="ALB155" s="250"/>
      <c r="ALC155" s="250"/>
      <c r="ALD155" s="250"/>
      <c r="ALE155" s="250"/>
      <c r="ALF155" s="250"/>
      <c r="ALG155" s="250"/>
      <c r="ALH155" s="250"/>
      <c r="ALI155" s="250"/>
      <c r="ALJ155" s="250"/>
      <c r="ALK155" s="250"/>
      <c r="ALL155" s="250"/>
      <c r="ALM155" s="250"/>
      <c r="ALN155" s="250"/>
      <c r="ALO155" s="250"/>
      <c r="ALP155" s="250"/>
      <c r="ALQ155" s="250"/>
      <c r="ALR155" s="250"/>
      <c r="ALS155" s="250"/>
      <c r="ALT155" s="250"/>
      <c r="ALU155" s="250"/>
      <c r="ALV155" s="250"/>
      <c r="ALW155" s="250"/>
      <c r="ALX155" s="250"/>
      <c r="ALY155" s="250"/>
      <c r="ALZ155" s="250"/>
      <c r="AMA155" s="250"/>
      <c r="AMB155" s="250"/>
      <c r="AMC155" s="250"/>
      <c r="AMD155" s="250"/>
      <c r="AME155" s="250"/>
      <c r="AMF155" s="250"/>
      <c r="AMG155" s="250"/>
      <c r="AMH155" s="250"/>
      <c r="AMI155" s="250"/>
      <c r="AMJ155" s="250"/>
      <c r="AMK155" s="250"/>
      <c r="AML155" s="250"/>
      <c r="AMM155" s="250"/>
      <c r="AMN155" s="250"/>
      <c r="AMO155" s="250"/>
      <c r="AMP155" s="250"/>
      <c r="AMQ155" s="250"/>
      <c r="AMR155" s="250"/>
      <c r="AMS155" s="250"/>
      <c r="AMT155" s="250"/>
      <c r="AMU155" s="250"/>
      <c r="AMV155" s="250"/>
      <c r="AMW155" s="250"/>
      <c r="AMX155" s="250"/>
      <c r="AMY155" s="250"/>
      <c r="AMZ155" s="250"/>
      <c r="ANA155" s="250"/>
      <c r="ANB155" s="250"/>
      <c r="ANC155" s="250"/>
      <c r="AND155" s="250"/>
      <c r="ANE155" s="250"/>
      <c r="ANF155" s="250"/>
      <c r="ANG155" s="250"/>
      <c r="ANH155" s="250"/>
      <c r="ANI155" s="250"/>
      <c r="ANJ155" s="250"/>
      <c r="ANK155" s="250"/>
      <c r="ANL155" s="250"/>
      <c r="ANM155" s="250"/>
      <c r="ANN155" s="250"/>
      <c r="ANO155" s="250"/>
      <c r="ANP155" s="250"/>
      <c r="ANQ155" s="250"/>
      <c r="ANR155" s="250"/>
      <c r="ANS155" s="250"/>
      <c r="ANT155" s="250"/>
      <c r="ANU155" s="250"/>
      <c r="ANV155" s="250"/>
      <c r="ANW155" s="250"/>
      <c r="ANX155" s="250"/>
      <c r="ANY155" s="250"/>
      <c r="ANZ155" s="250"/>
      <c r="AOA155" s="250"/>
      <c r="AOB155" s="250"/>
      <c r="AOC155" s="250"/>
      <c r="AOD155" s="250"/>
      <c r="AOE155" s="250"/>
      <c r="AOF155" s="250"/>
      <c r="AOG155" s="250"/>
      <c r="AOH155" s="250"/>
      <c r="AOI155" s="250"/>
      <c r="AOJ155" s="250"/>
      <c r="AOK155" s="250"/>
      <c r="AOL155" s="250"/>
      <c r="AOM155" s="250"/>
      <c r="AON155" s="250"/>
      <c r="AOO155" s="250"/>
      <c r="AOP155" s="250"/>
      <c r="AOQ155" s="250"/>
      <c r="AOR155" s="250"/>
      <c r="AOS155" s="250"/>
      <c r="AOT155" s="250"/>
      <c r="AOU155" s="250"/>
      <c r="AOV155" s="250"/>
      <c r="AOW155" s="250"/>
      <c r="AOX155" s="250"/>
      <c r="AOY155" s="250"/>
      <c r="AOZ155" s="250"/>
      <c r="APA155" s="250"/>
      <c r="APB155" s="250"/>
      <c r="APC155" s="250"/>
      <c r="APD155" s="250"/>
      <c r="APE155" s="250"/>
      <c r="APF155" s="250"/>
      <c r="APG155" s="250"/>
      <c r="APH155" s="250"/>
      <c r="API155" s="250"/>
      <c r="APJ155" s="250"/>
      <c r="APK155" s="250"/>
      <c r="APL155" s="250"/>
      <c r="APM155" s="250"/>
      <c r="APN155" s="250"/>
      <c r="APO155" s="250"/>
      <c r="APP155" s="250"/>
      <c r="APQ155" s="250"/>
      <c r="APR155" s="250"/>
      <c r="APS155" s="250"/>
      <c r="APT155" s="250"/>
      <c r="APU155" s="250"/>
      <c r="APV155" s="250"/>
      <c r="APW155" s="250"/>
      <c r="APX155" s="250"/>
      <c r="APY155" s="250"/>
      <c r="APZ155" s="250"/>
      <c r="AQA155" s="250"/>
      <c r="AQB155" s="250"/>
      <c r="AQC155" s="250"/>
      <c r="AQD155" s="250"/>
      <c r="AQE155" s="250"/>
      <c r="AQF155" s="250"/>
      <c r="AQG155" s="250"/>
      <c r="AQH155" s="250"/>
      <c r="AQI155" s="250"/>
      <c r="AQJ155" s="250"/>
      <c r="AQK155" s="250"/>
      <c r="AQL155" s="250"/>
      <c r="AQM155" s="250"/>
      <c r="AQN155" s="250"/>
      <c r="AQO155" s="250"/>
      <c r="AQP155" s="250"/>
      <c r="AQQ155" s="250"/>
      <c r="AQR155" s="250"/>
      <c r="AQS155" s="250"/>
      <c r="AQT155" s="250"/>
      <c r="AQU155" s="250"/>
      <c r="AQV155" s="250"/>
      <c r="AQW155" s="250"/>
      <c r="AQX155" s="250"/>
      <c r="AQY155" s="250"/>
      <c r="AQZ155" s="250"/>
      <c r="ARA155" s="250"/>
      <c r="ARB155" s="250"/>
      <c r="ARC155" s="250"/>
      <c r="ARD155" s="250"/>
      <c r="ARE155" s="250"/>
      <c r="ARF155" s="250"/>
      <c r="ARG155" s="250"/>
      <c r="ARH155" s="250"/>
      <c r="ARI155" s="250"/>
      <c r="ARJ155" s="250"/>
      <c r="ARK155" s="250"/>
      <c r="ARL155" s="250"/>
      <c r="ARM155" s="250"/>
      <c r="ARN155" s="250"/>
      <c r="ARO155" s="250"/>
      <c r="ARP155" s="250"/>
      <c r="ARQ155" s="250"/>
      <c r="ARR155" s="250"/>
      <c r="ARS155" s="250"/>
      <c r="ART155" s="250"/>
      <c r="ARU155" s="250"/>
      <c r="ARV155" s="250"/>
      <c r="ARW155" s="250"/>
      <c r="ARX155" s="250"/>
      <c r="ARY155" s="250"/>
      <c r="ARZ155" s="250"/>
      <c r="ASA155" s="250"/>
      <c r="ASB155" s="250"/>
      <c r="ASC155" s="250"/>
      <c r="ASD155" s="250"/>
      <c r="ASE155" s="250"/>
      <c r="ASF155" s="250"/>
      <c r="ASG155" s="250"/>
      <c r="ASH155" s="250"/>
      <c r="ASI155" s="250"/>
      <c r="ASJ155" s="250"/>
      <c r="ASK155" s="250"/>
      <c r="ASL155" s="250"/>
      <c r="ASM155" s="250"/>
      <c r="ASN155" s="250"/>
      <c r="ASO155" s="250"/>
      <c r="ASP155" s="250"/>
      <c r="ASQ155" s="250"/>
      <c r="ASR155" s="250"/>
      <c r="ASS155" s="250"/>
      <c r="AST155" s="250"/>
      <c r="ASU155" s="250"/>
      <c r="ASV155" s="250"/>
      <c r="ASW155" s="250"/>
      <c r="ASX155" s="250"/>
      <c r="ASY155" s="250"/>
      <c r="ASZ155" s="250"/>
      <c r="ATA155" s="250"/>
      <c r="ATB155" s="250"/>
      <c r="ATC155" s="250"/>
      <c r="ATD155" s="250"/>
      <c r="ATE155" s="250"/>
      <c r="ATF155" s="250"/>
      <c r="ATG155" s="250"/>
      <c r="ATH155" s="250"/>
      <c r="ATI155" s="250"/>
      <c r="ATJ155" s="250"/>
      <c r="ATK155" s="250"/>
      <c r="ATL155" s="250"/>
      <c r="ATM155" s="250"/>
      <c r="ATN155" s="250"/>
      <c r="ATO155" s="250"/>
      <c r="ATP155" s="250"/>
      <c r="ATQ155" s="250"/>
      <c r="ATR155" s="250"/>
      <c r="ATS155" s="250"/>
      <c r="ATT155" s="250"/>
      <c r="ATU155" s="250"/>
      <c r="ATV155" s="250"/>
      <c r="ATW155" s="250"/>
      <c r="ATX155" s="250"/>
      <c r="ATY155" s="250"/>
      <c r="ATZ155" s="250"/>
      <c r="AUA155" s="250"/>
      <c r="AUB155" s="250"/>
      <c r="AUC155" s="250"/>
      <c r="AUD155" s="250"/>
      <c r="AUE155" s="250"/>
      <c r="AUF155" s="250"/>
      <c r="AUG155" s="250"/>
      <c r="AUH155" s="250"/>
      <c r="AUI155" s="250"/>
      <c r="AUJ155" s="250"/>
      <c r="AUK155" s="250"/>
      <c r="AUL155" s="250"/>
      <c r="AUM155" s="250"/>
      <c r="AUN155" s="250"/>
      <c r="AUO155" s="250"/>
      <c r="AUP155" s="250"/>
      <c r="AUQ155" s="250"/>
      <c r="AUR155" s="250"/>
      <c r="AUS155" s="250"/>
      <c r="AUT155" s="250"/>
      <c r="AUU155" s="250"/>
      <c r="AUV155" s="250"/>
      <c r="AUW155" s="250"/>
      <c r="AUX155" s="250"/>
      <c r="AUY155" s="250"/>
      <c r="AUZ155" s="250"/>
      <c r="AVA155" s="250"/>
      <c r="AVB155" s="250"/>
      <c r="AVC155" s="250"/>
      <c r="AVD155" s="250"/>
      <c r="AVE155" s="250"/>
      <c r="AVF155" s="250"/>
      <c r="AVG155" s="250"/>
      <c r="AVH155" s="250"/>
      <c r="AVI155" s="250"/>
      <c r="AVJ155" s="250"/>
      <c r="AVK155" s="250"/>
      <c r="AVL155" s="250"/>
      <c r="AVM155" s="250"/>
      <c r="AVN155" s="250"/>
      <c r="AVO155" s="250"/>
      <c r="AVP155" s="250"/>
      <c r="AVQ155" s="250"/>
      <c r="AVR155" s="250"/>
      <c r="AVS155" s="250"/>
      <c r="AVT155" s="250"/>
      <c r="AVU155" s="250"/>
      <c r="AVV155" s="250"/>
      <c r="AVW155" s="250"/>
      <c r="AVX155" s="250"/>
      <c r="AVY155" s="250"/>
      <c r="AVZ155" s="250"/>
      <c r="AWA155" s="250"/>
      <c r="AWB155" s="250"/>
      <c r="AWC155" s="250"/>
      <c r="AWD155" s="250"/>
      <c r="AWE155" s="250"/>
      <c r="AWF155" s="250"/>
      <c r="AWG155" s="250"/>
      <c r="AWH155" s="250"/>
      <c r="AWI155" s="250"/>
      <c r="AWJ155" s="250"/>
      <c r="AWK155" s="250"/>
      <c r="AWL155" s="250"/>
      <c r="AWM155" s="250"/>
      <c r="AWN155" s="250"/>
      <c r="AWO155" s="250"/>
      <c r="AWP155" s="250"/>
      <c r="AWQ155" s="250"/>
      <c r="AWR155" s="250"/>
      <c r="AWS155" s="250"/>
      <c r="AWT155" s="250"/>
      <c r="AWU155" s="250"/>
      <c r="AWV155" s="250"/>
      <c r="AWW155" s="250"/>
      <c r="AWX155" s="250"/>
      <c r="AWY155" s="250"/>
      <c r="AWZ155" s="250"/>
      <c r="AXA155" s="250"/>
      <c r="AXB155" s="250"/>
      <c r="AXC155" s="250"/>
      <c r="AXD155" s="250"/>
      <c r="AXE155" s="250"/>
      <c r="AXF155" s="250"/>
      <c r="AXG155" s="250"/>
      <c r="AXH155" s="250"/>
      <c r="AXI155" s="250"/>
      <c r="AXJ155" s="250"/>
      <c r="AXK155" s="250"/>
      <c r="AXL155" s="250"/>
      <c r="AXM155" s="250"/>
      <c r="AXN155" s="250"/>
      <c r="AXO155" s="250"/>
      <c r="AXP155" s="250"/>
      <c r="AXQ155" s="250"/>
      <c r="AXR155" s="250"/>
      <c r="AXS155" s="250"/>
      <c r="AXT155" s="250"/>
      <c r="AXU155" s="250"/>
      <c r="AXV155" s="250"/>
      <c r="AXW155" s="250"/>
      <c r="AXX155" s="250"/>
      <c r="AXY155" s="250"/>
      <c r="AXZ155" s="250"/>
      <c r="AYA155" s="250"/>
      <c r="AYB155" s="250"/>
      <c r="AYC155" s="250"/>
      <c r="AYD155" s="250"/>
      <c r="AYE155" s="250"/>
      <c r="AYF155" s="250"/>
      <c r="AYG155" s="250"/>
      <c r="AYH155" s="250"/>
      <c r="AYI155" s="250"/>
      <c r="AYJ155" s="250"/>
      <c r="AYK155" s="250"/>
      <c r="AYL155" s="250"/>
      <c r="AYM155" s="250"/>
      <c r="AYN155" s="250"/>
      <c r="AYO155" s="250"/>
      <c r="AYP155" s="250"/>
      <c r="AYQ155" s="250"/>
      <c r="AYR155" s="250"/>
      <c r="AYS155" s="250"/>
      <c r="AYT155" s="250"/>
      <c r="AYU155" s="250"/>
      <c r="AYV155" s="250"/>
      <c r="AYW155" s="250"/>
      <c r="AYX155" s="250"/>
      <c r="AYY155" s="250"/>
      <c r="AYZ155" s="250"/>
      <c r="AZA155" s="250"/>
      <c r="AZB155" s="250"/>
      <c r="AZC155" s="250"/>
      <c r="AZD155" s="250"/>
      <c r="AZE155" s="250"/>
      <c r="AZF155" s="250"/>
      <c r="AZG155" s="250"/>
      <c r="AZH155" s="250"/>
      <c r="AZI155" s="250"/>
      <c r="AZJ155" s="250"/>
      <c r="AZK155" s="250"/>
      <c r="AZL155" s="250"/>
      <c r="AZM155" s="250"/>
      <c r="AZN155" s="250"/>
      <c r="AZO155" s="250"/>
      <c r="AZP155" s="250"/>
      <c r="AZQ155" s="250"/>
      <c r="AZR155" s="250"/>
      <c r="AZS155" s="250"/>
      <c r="AZT155" s="250"/>
      <c r="AZU155" s="250"/>
      <c r="AZV155" s="250"/>
      <c r="AZW155" s="250"/>
      <c r="AZX155" s="250"/>
      <c r="AZY155" s="250"/>
      <c r="AZZ155" s="250"/>
      <c r="BAA155" s="250"/>
      <c r="BAB155" s="250"/>
      <c r="BAC155" s="250"/>
      <c r="BAD155" s="250"/>
      <c r="BAE155" s="250"/>
      <c r="BAF155" s="250"/>
      <c r="BAG155" s="250"/>
      <c r="BAH155" s="250"/>
      <c r="BAI155" s="250"/>
      <c r="BAJ155" s="250"/>
      <c r="BAK155" s="250"/>
      <c r="BAL155" s="250"/>
      <c r="BAM155" s="250"/>
      <c r="BAN155" s="250"/>
      <c r="BAO155" s="250"/>
      <c r="BAP155" s="250"/>
      <c r="BAQ155" s="250"/>
      <c r="BAR155" s="250"/>
      <c r="BAS155" s="250"/>
      <c r="BAT155" s="250"/>
      <c r="BAU155" s="250"/>
      <c r="BAV155" s="250"/>
      <c r="BAW155" s="250"/>
      <c r="BAX155" s="250"/>
      <c r="BAY155" s="250"/>
      <c r="BAZ155" s="250"/>
      <c r="BBA155" s="250"/>
      <c r="BBB155" s="250"/>
      <c r="BBC155" s="250"/>
      <c r="BBD155" s="250"/>
      <c r="BBE155" s="250"/>
      <c r="BBF155" s="250"/>
      <c r="BBG155" s="250"/>
      <c r="BBH155" s="250"/>
      <c r="BBI155" s="250"/>
      <c r="BBJ155" s="250"/>
      <c r="BBK155" s="250"/>
      <c r="BBL155" s="250"/>
      <c r="BBM155" s="250"/>
      <c r="BBN155" s="250"/>
      <c r="BBO155" s="250"/>
      <c r="BBP155" s="250"/>
      <c r="BBQ155" s="250"/>
      <c r="BBR155" s="250"/>
      <c r="BBS155" s="250"/>
      <c r="BBT155" s="250"/>
      <c r="BBU155" s="250"/>
      <c r="BBV155" s="250"/>
      <c r="BBW155" s="250"/>
      <c r="BBX155" s="250"/>
      <c r="BBY155" s="250"/>
      <c r="BBZ155" s="250"/>
      <c r="BCA155" s="250"/>
      <c r="BCB155" s="250"/>
      <c r="BCC155" s="250"/>
      <c r="BCD155" s="250"/>
      <c r="BCE155" s="250"/>
      <c r="BCF155" s="250"/>
      <c r="BCG155" s="250"/>
      <c r="BCH155" s="250"/>
      <c r="BCI155" s="250"/>
      <c r="BCJ155" s="250"/>
      <c r="BCK155" s="250"/>
      <c r="BCL155" s="250"/>
      <c r="BCM155" s="250"/>
      <c r="BCN155" s="250"/>
      <c r="BCO155" s="250"/>
      <c r="BCP155" s="250"/>
      <c r="BCQ155" s="250"/>
      <c r="BCR155" s="250"/>
      <c r="BCS155" s="250"/>
      <c r="BCT155" s="250"/>
      <c r="BCU155" s="250"/>
      <c r="BCV155" s="250"/>
      <c r="BCW155" s="250"/>
      <c r="BCX155" s="250"/>
      <c r="BCY155" s="250"/>
      <c r="BCZ155" s="250"/>
      <c r="BDA155" s="250"/>
      <c r="BDB155" s="250"/>
      <c r="BDC155" s="250"/>
      <c r="BDD155" s="250"/>
      <c r="BDE155" s="250"/>
      <c r="BDF155" s="250"/>
      <c r="BDG155" s="250"/>
      <c r="BDH155" s="250"/>
      <c r="BDI155" s="250"/>
      <c r="BDJ155" s="250"/>
      <c r="BDK155" s="250"/>
      <c r="BDL155" s="250"/>
      <c r="BDM155" s="250"/>
      <c r="BDN155" s="250"/>
      <c r="BDO155" s="250"/>
      <c r="BDP155" s="250"/>
      <c r="BDQ155" s="250"/>
      <c r="BDR155" s="250"/>
      <c r="BDS155" s="250"/>
      <c r="BDT155" s="250"/>
      <c r="BDU155" s="250"/>
      <c r="BDV155" s="250"/>
      <c r="BDW155" s="250"/>
      <c r="BDX155" s="250"/>
      <c r="BDY155" s="250"/>
      <c r="BDZ155" s="250"/>
      <c r="BEA155" s="250"/>
      <c r="BEB155" s="250"/>
      <c r="BEC155" s="250"/>
      <c r="BED155" s="250"/>
      <c r="BEE155" s="250"/>
      <c r="BEF155" s="250"/>
      <c r="BEG155" s="250"/>
      <c r="BEH155" s="250"/>
      <c r="BEI155" s="250"/>
      <c r="BEJ155" s="250"/>
      <c r="BEK155" s="250"/>
      <c r="BEL155" s="250"/>
      <c r="BEM155" s="250"/>
      <c r="BEN155" s="250"/>
      <c r="BEO155" s="250"/>
      <c r="BEP155" s="250"/>
      <c r="BEQ155" s="250"/>
      <c r="BER155" s="250"/>
      <c r="BES155" s="250"/>
      <c r="BET155" s="250"/>
      <c r="BEU155" s="250"/>
      <c r="BEV155" s="250"/>
      <c r="BEW155" s="250"/>
      <c r="BEX155" s="250"/>
      <c r="BEY155" s="250"/>
      <c r="BEZ155" s="250"/>
      <c r="BFA155" s="250"/>
      <c r="BFB155" s="250"/>
      <c r="BFC155" s="250"/>
      <c r="BFD155" s="250"/>
      <c r="BFE155" s="250"/>
      <c r="BFF155" s="250"/>
      <c r="BFG155" s="250"/>
      <c r="BFH155" s="250"/>
      <c r="BFI155" s="250"/>
      <c r="BFJ155" s="250"/>
      <c r="BFK155" s="250"/>
      <c r="BFL155" s="250"/>
      <c r="BFM155" s="250"/>
      <c r="BFN155" s="250"/>
      <c r="BFO155" s="250"/>
      <c r="BFP155" s="250"/>
      <c r="BFQ155" s="250"/>
      <c r="BFR155" s="250"/>
      <c r="BFS155" s="250"/>
      <c r="BFT155" s="250"/>
      <c r="BFU155" s="250"/>
      <c r="BFV155" s="250"/>
      <c r="BFW155" s="250"/>
      <c r="BFX155" s="250"/>
      <c r="BFY155" s="250"/>
      <c r="BFZ155" s="250"/>
      <c r="BGA155" s="250"/>
      <c r="BGB155" s="250"/>
      <c r="BGC155" s="250"/>
      <c r="BGD155" s="250"/>
      <c r="BGE155" s="250"/>
      <c r="BGF155" s="250"/>
      <c r="BGG155" s="250"/>
      <c r="BGH155" s="250"/>
      <c r="BGI155" s="250"/>
      <c r="BGJ155" s="250"/>
      <c r="BGK155" s="250"/>
      <c r="BGL155" s="250"/>
      <c r="BGM155" s="250"/>
      <c r="BGN155" s="250"/>
      <c r="BGO155" s="250"/>
      <c r="BGP155" s="250"/>
      <c r="BGQ155" s="250"/>
      <c r="BGR155" s="250"/>
      <c r="BGS155" s="250"/>
      <c r="BGT155" s="250"/>
      <c r="BGU155" s="250"/>
      <c r="BGV155" s="250"/>
      <c r="BGW155" s="250"/>
      <c r="BGX155" s="250"/>
      <c r="BGY155" s="250"/>
      <c r="BGZ155" s="250"/>
      <c r="BHA155" s="250"/>
      <c r="BHB155" s="250"/>
      <c r="BHC155" s="250"/>
      <c r="BHD155" s="250"/>
      <c r="BHE155" s="250"/>
      <c r="BHF155" s="250"/>
      <c r="BHG155" s="250"/>
      <c r="BHH155" s="250"/>
      <c r="BHI155" s="250"/>
      <c r="BHJ155" s="250"/>
      <c r="BHK155" s="250"/>
      <c r="BHL155" s="250"/>
      <c r="BHM155" s="250"/>
      <c r="BHN155" s="250"/>
      <c r="BHO155" s="250"/>
      <c r="BHP155" s="250"/>
      <c r="BHQ155" s="250"/>
      <c r="BHR155" s="250"/>
      <c r="BHS155" s="250"/>
      <c r="BHT155" s="250"/>
      <c r="BHU155" s="250"/>
      <c r="BHV155" s="250"/>
      <c r="BHW155" s="250"/>
      <c r="BHX155" s="250"/>
      <c r="BHY155" s="250"/>
      <c r="BHZ155" s="250"/>
      <c r="BIA155" s="250"/>
      <c r="BIB155" s="250"/>
      <c r="BIC155" s="250"/>
      <c r="BID155" s="250"/>
      <c r="BIE155" s="250"/>
      <c r="BIF155" s="250"/>
      <c r="BIG155" s="250"/>
      <c r="BIH155" s="250"/>
      <c r="BII155" s="250"/>
      <c r="BIJ155" s="250"/>
      <c r="BIK155" s="250"/>
      <c r="BIL155" s="250"/>
      <c r="BIM155" s="250"/>
      <c r="BIN155" s="250"/>
      <c r="BIO155" s="250"/>
      <c r="BIP155" s="250"/>
      <c r="BIQ155" s="250"/>
      <c r="BIR155" s="250"/>
      <c r="BIS155" s="250"/>
      <c r="BIT155" s="250"/>
      <c r="BIU155" s="250"/>
      <c r="BIV155" s="250"/>
      <c r="BIW155" s="250"/>
      <c r="BIX155" s="250"/>
      <c r="BIY155" s="250"/>
      <c r="BIZ155" s="250"/>
      <c r="BJA155" s="250"/>
      <c r="BJB155" s="250"/>
      <c r="BJC155" s="250"/>
      <c r="BJD155" s="250"/>
      <c r="BJE155" s="250"/>
      <c r="BJF155" s="250"/>
      <c r="BJG155" s="250"/>
      <c r="BJH155" s="250"/>
      <c r="BJI155" s="250"/>
      <c r="BJJ155" s="250"/>
      <c r="BJK155" s="250"/>
      <c r="BJL155" s="250"/>
      <c r="BJM155" s="250"/>
      <c r="BJN155" s="250"/>
      <c r="BJO155" s="250"/>
      <c r="BJP155" s="250"/>
      <c r="BJQ155" s="250"/>
      <c r="BJR155" s="250"/>
      <c r="BJS155" s="250"/>
      <c r="BJT155" s="250"/>
      <c r="BJU155" s="250"/>
      <c r="BJV155" s="250"/>
      <c r="BJW155" s="250"/>
      <c r="BJX155" s="250"/>
      <c r="BJY155" s="250"/>
      <c r="BJZ155" s="250"/>
      <c r="BKA155" s="250"/>
      <c r="BKB155" s="250"/>
      <c r="BKC155" s="250"/>
      <c r="BKD155" s="250"/>
      <c r="BKE155" s="250"/>
      <c r="BKF155" s="250"/>
      <c r="BKG155" s="250"/>
      <c r="BKH155" s="250"/>
      <c r="BKI155" s="250"/>
      <c r="BKJ155" s="250"/>
      <c r="BKK155" s="250"/>
      <c r="BKL155" s="250"/>
      <c r="BKM155" s="250"/>
      <c r="BKN155" s="250"/>
      <c r="BKO155" s="250"/>
      <c r="BKP155" s="250"/>
      <c r="BKQ155" s="250"/>
      <c r="BKR155" s="250"/>
      <c r="BKS155" s="250"/>
      <c r="BKT155" s="250"/>
      <c r="BKU155" s="250"/>
      <c r="BKV155" s="250"/>
      <c r="BKW155" s="250"/>
      <c r="BKX155" s="250"/>
      <c r="BKY155" s="250"/>
      <c r="BKZ155" s="250"/>
      <c r="BLA155" s="250"/>
      <c r="BLB155" s="250"/>
      <c r="BLC155" s="250"/>
      <c r="BLD155" s="250"/>
      <c r="BLE155" s="250"/>
      <c r="BLF155" s="250"/>
      <c r="BLG155" s="250"/>
      <c r="BLH155" s="250"/>
      <c r="BLI155" s="250"/>
      <c r="BLJ155" s="250"/>
      <c r="BLK155" s="250"/>
      <c r="BLL155" s="250"/>
      <c r="BLM155" s="250"/>
      <c r="BLN155" s="250"/>
      <c r="BLO155" s="250"/>
      <c r="BLP155" s="250"/>
      <c r="BLQ155" s="250"/>
      <c r="BLR155" s="250"/>
      <c r="BLS155" s="250"/>
      <c r="BLT155" s="250"/>
      <c r="BLU155" s="250"/>
      <c r="BLV155" s="250"/>
      <c r="BLW155" s="250"/>
      <c r="BLX155" s="250"/>
      <c r="BLY155" s="250"/>
      <c r="BLZ155" s="250"/>
      <c r="BMA155" s="250"/>
      <c r="BMB155" s="250"/>
      <c r="BMC155" s="250"/>
      <c r="BMD155" s="250"/>
      <c r="BME155" s="250"/>
      <c r="BMF155" s="250"/>
      <c r="BMG155" s="250"/>
      <c r="BMH155" s="250"/>
      <c r="BMI155" s="250"/>
      <c r="BMJ155" s="250"/>
      <c r="BMK155" s="250"/>
      <c r="BML155" s="250"/>
      <c r="BMM155" s="250"/>
      <c r="BMN155" s="250"/>
      <c r="BMO155" s="250"/>
      <c r="BMP155" s="250"/>
      <c r="BMQ155" s="250"/>
      <c r="BMR155" s="250"/>
      <c r="BMS155" s="250"/>
      <c r="BMT155" s="250"/>
      <c r="BMU155" s="250"/>
      <c r="BMV155" s="250"/>
      <c r="BMW155" s="250"/>
      <c r="BMX155" s="250"/>
      <c r="BMY155" s="250"/>
      <c r="BMZ155" s="250"/>
      <c r="BNA155" s="250"/>
      <c r="BNB155" s="250"/>
      <c r="BNC155" s="250"/>
      <c r="BND155" s="250"/>
      <c r="BNE155" s="250"/>
      <c r="BNF155" s="250"/>
      <c r="BNG155" s="250"/>
      <c r="BNH155" s="250"/>
      <c r="BNI155" s="250"/>
      <c r="BNJ155" s="250"/>
      <c r="BNK155" s="250"/>
      <c r="BNL155" s="250"/>
      <c r="BNM155" s="250"/>
      <c r="BNN155" s="250"/>
      <c r="BNO155" s="250"/>
      <c r="BNP155" s="250"/>
      <c r="BNQ155" s="250"/>
      <c r="BNR155" s="250"/>
      <c r="BNS155" s="250"/>
      <c r="BNT155" s="250"/>
      <c r="BNU155" s="250"/>
      <c r="BNV155" s="250"/>
      <c r="BNW155" s="250"/>
      <c r="BNX155" s="250"/>
      <c r="BNY155" s="250"/>
      <c r="BNZ155" s="250"/>
      <c r="BOA155" s="250"/>
      <c r="BOB155" s="250"/>
      <c r="BOC155" s="250"/>
      <c r="BOD155" s="250"/>
      <c r="BOE155" s="250"/>
      <c r="BOF155" s="250"/>
      <c r="BOG155" s="250"/>
      <c r="BOH155" s="250"/>
      <c r="BOI155" s="250"/>
      <c r="BOJ155" s="250"/>
      <c r="BOK155" s="250"/>
      <c r="BOL155" s="250"/>
      <c r="BOM155" s="250"/>
      <c r="BON155" s="250"/>
      <c r="BOO155" s="250"/>
      <c r="BOP155" s="250"/>
      <c r="BOQ155" s="250"/>
      <c r="BOR155" s="250"/>
      <c r="BOS155" s="250"/>
      <c r="BOT155" s="250"/>
      <c r="BOU155" s="250"/>
      <c r="BOV155" s="250"/>
      <c r="BOW155" s="250"/>
      <c r="BOX155" s="250"/>
      <c r="BOY155" s="250"/>
      <c r="BOZ155" s="250"/>
      <c r="BPA155" s="250"/>
      <c r="BPB155" s="250"/>
      <c r="BPC155" s="250"/>
      <c r="BPD155" s="250"/>
      <c r="BPE155" s="250"/>
      <c r="BPF155" s="250"/>
      <c r="BPG155" s="250"/>
      <c r="BPH155" s="250"/>
      <c r="BPI155" s="250"/>
      <c r="BPJ155" s="250"/>
      <c r="BPK155" s="250"/>
      <c r="BPL155" s="250"/>
      <c r="BPM155" s="250"/>
      <c r="BPN155" s="250"/>
      <c r="BPO155" s="250"/>
      <c r="BPP155" s="250"/>
      <c r="BPQ155" s="250"/>
      <c r="BPR155" s="250"/>
      <c r="BPS155" s="250"/>
      <c r="BPT155" s="250"/>
      <c r="BPU155" s="250"/>
      <c r="BPV155" s="250"/>
      <c r="BPW155" s="250"/>
      <c r="BPX155" s="250"/>
      <c r="BPY155" s="250"/>
      <c r="BPZ155" s="250"/>
      <c r="BQA155" s="250"/>
      <c r="BQB155" s="250"/>
      <c r="BQC155" s="250"/>
      <c r="BQD155" s="250"/>
      <c r="BQE155" s="250"/>
      <c r="BQF155" s="250"/>
      <c r="BQG155" s="250"/>
      <c r="BQH155" s="250"/>
      <c r="BQI155" s="250"/>
      <c r="BQJ155" s="250"/>
      <c r="BQK155" s="250"/>
      <c r="BQL155" s="250"/>
      <c r="BQM155" s="250"/>
      <c r="BQN155" s="250"/>
      <c r="BQO155" s="250"/>
      <c r="BQP155" s="250"/>
      <c r="BQQ155" s="250"/>
      <c r="BQR155" s="250"/>
      <c r="BQS155" s="250"/>
      <c r="BQT155" s="250"/>
      <c r="BQU155" s="250"/>
      <c r="BQV155" s="250"/>
      <c r="BQW155" s="250"/>
      <c r="BQX155" s="250"/>
      <c r="BQY155" s="250"/>
      <c r="BQZ155" s="250"/>
      <c r="BRA155" s="250"/>
      <c r="BRB155" s="250"/>
      <c r="BRC155" s="250"/>
      <c r="BRD155" s="250"/>
      <c r="BRE155" s="250"/>
      <c r="BRF155" s="250"/>
      <c r="BRG155" s="250"/>
      <c r="BRH155" s="250"/>
      <c r="BRI155" s="250"/>
      <c r="BRJ155" s="250"/>
      <c r="BRK155" s="250"/>
      <c r="BRL155" s="250"/>
      <c r="BRM155" s="250"/>
      <c r="BRN155" s="250"/>
      <c r="BRO155" s="250"/>
      <c r="BRP155" s="250"/>
      <c r="BRQ155" s="250"/>
      <c r="BRR155" s="250"/>
      <c r="BRS155" s="250"/>
      <c r="BRT155" s="250"/>
      <c r="BRU155" s="250"/>
      <c r="BRV155" s="250"/>
      <c r="BRW155" s="250"/>
      <c r="BRX155" s="250"/>
      <c r="BRY155" s="250"/>
      <c r="BRZ155" s="250"/>
      <c r="BSA155" s="250"/>
      <c r="BSB155" s="250"/>
      <c r="BSC155" s="250"/>
      <c r="BSD155" s="250"/>
      <c r="BSE155" s="250"/>
      <c r="BSF155" s="250"/>
      <c r="BSG155" s="250"/>
      <c r="BSH155" s="250"/>
      <c r="BSI155" s="250"/>
      <c r="BSJ155" s="250"/>
      <c r="BSK155" s="250"/>
      <c r="BSL155" s="250"/>
      <c r="BSM155" s="250"/>
      <c r="BSN155" s="250"/>
      <c r="BSO155" s="250"/>
      <c r="BSP155" s="250"/>
      <c r="BSQ155" s="250"/>
      <c r="BSR155" s="250"/>
      <c r="BSS155" s="250"/>
      <c r="BST155" s="250"/>
      <c r="BSU155" s="250"/>
      <c r="BSV155" s="250"/>
      <c r="BSW155" s="250"/>
      <c r="BSX155" s="250"/>
      <c r="BSY155" s="250"/>
      <c r="BSZ155" s="250"/>
      <c r="BTA155" s="250"/>
      <c r="BTB155" s="250"/>
      <c r="BTC155" s="250"/>
      <c r="BTD155" s="250"/>
      <c r="BTE155" s="250"/>
      <c r="BTF155" s="250"/>
      <c r="BTG155" s="250"/>
      <c r="BTH155" s="250"/>
      <c r="BTI155" s="250"/>
      <c r="BTJ155" s="250"/>
      <c r="BTK155" s="250"/>
      <c r="BTL155" s="250"/>
      <c r="BTM155" s="250"/>
      <c r="BTN155" s="250"/>
      <c r="BTO155" s="250"/>
      <c r="BTP155" s="250"/>
      <c r="BTQ155" s="250"/>
      <c r="BTR155" s="250"/>
      <c r="BTS155" s="250"/>
      <c r="BTT155" s="250"/>
      <c r="BTU155" s="250"/>
      <c r="BTV155" s="250"/>
      <c r="BTW155" s="250"/>
      <c r="BTX155" s="250"/>
      <c r="BTY155" s="250"/>
      <c r="BTZ155" s="250"/>
      <c r="BUA155" s="250"/>
      <c r="BUB155" s="250"/>
      <c r="BUC155" s="250"/>
      <c r="BUD155" s="250"/>
      <c r="BUE155" s="250"/>
      <c r="BUF155" s="250"/>
      <c r="BUG155" s="250"/>
      <c r="BUH155" s="250"/>
      <c r="BUI155" s="250"/>
      <c r="BUJ155" s="250"/>
      <c r="BUK155" s="250"/>
      <c r="BUL155" s="250"/>
      <c r="BUM155" s="250"/>
      <c r="BUN155" s="250"/>
      <c r="BUO155" s="250"/>
      <c r="BUP155" s="250"/>
      <c r="BUQ155" s="250"/>
      <c r="BUR155" s="250"/>
      <c r="BUS155" s="250"/>
      <c r="BUT155" s="250"/>
      <c r="BUU155" s="250"/>
      <c r="BUV155" s="250"/>
      <c r="BUW155" s="250"/>
      <c r="BUX155" s="250"/>
      <c r="BUY155" s="250"/>
      <c r="BUZ155" s="250"/>
      <c r="BVA155" s="250"/>
      <c r="BVB155" s="250"/>
      <c r="BVC155" s="250"/>
      <c r="BVD155" s="250"/>
      <c r="BVE155" s="250"/>
      <c r="BVF155" s="250"/>
      <c r="BVG155" s="250"/>
      <c r="BVH155" s="250"/>
      <c r="BVI155" s="250"/>
      <c r="BVJ155" s="250"/>
      <c r="BVK155" s="250"/>
      <c r="BVL155" s="250"/>
      <c r="BVM155" s="250"/>
      <c r="BVN155" s="250"/>
      <c r="BVO155" s="250"/>
      <c r="BVP155" s="250"/>
      <c r="BVQ155" s="250"/>
      <c r="BVR155" s="250"/>
      <c r="BVS155" s="250"/>
      <c r="BVT155" s="250"/>
      <c r="BVU155" s="250"/>
      <c r="BVV155" s="250"/>
      <c r="BVW155" s="250"/>
      <c r="BVX155" s="250"/>
      <c r="BVY155" s="250"/>
      <c r="BVZ155" s="250"/>
      <c r="BWA155" s="250"/>
      <c r="BWB155" s="250"/>
      <c r="BWC155" s="250"/>
      <c r="BWD155" s="250"/>
      <c r="BWE155" s="250"/>
      <c r="BWF155" s="250"/>
      <c r="BWG155" s="250"/>
      <c r="BWH155" s="250"/>
      <c r="BWI155" s="250"/>
      <c r="BWJ155" s="250"/>
      <c r="BWK155" s="250"/>
      <c r="BWL155" s="250"/>
      <c r="BWM155" s="250"/>
      <c r="BWN155" s="250"/>
      <c r="BWO155" s="250"/>
      <c r="BWP155" s="250"/>
      <c r="BWQ155" s="250"/>
      <c r="BWR155" s="250"/>
      <c r="BWS155" s="250"/>
      <c r="BWT155" s="250"/>
      <c r="BWU155" s="250"/>
      <c r="BWV155" s="250"/>
      <c r="BWW155" s="250"/>
      <c r="BWX155" s="250"/>
      <c r="BWY155" s="250"/>
      <c r="BWZ155" s="250"/>
      <c r="BXA155" s="250"/>
      <c r="BXB155" s="250"/>
      <c r="BXC155" s="250"/>
      <c r="BXD155" s="250"/>
      <c r="BXE155" s="250"/>
      <c r="BXF155" s="250"/>
      <c r="BXG155" s="250"/>
      <c r="BXH155" s="250"/>
      <c r="BXI155" s="250"/>
      <c r="BXJ155" s="250"/>
      <c r="BXK155" s="250"/>
      <c r="BXL155" s="250"/>
      <c r="BXM155" s="250"/>
      <c r="BXN155" s="250"/>
      <c r="BXO155" s="250"/>
      <c r="BXP155" s="250"/>
      <c r="BXQ155" s="250"/>
      <c r="BXR155" s="250"/>
      <c r="BXS155" s="250"/>
      <c r="BXT155" s="250"/>
      <c r="BXU155" s="250"/>
      <c r="BXV155" s="250"/>
      <c r="BXW155" s="250"/>
      <c r="BXX155" s="250"/>
      <c r="BXY155" s="250"/>
      <c r="BXZ155" s="250"/>
      <c r="BYA155" s="250"/>
      <c r="BYB155" s="250"/>
      <c r="BYC155" s="250"/>
      <c r="BYD155" s="250"/>
      <c r="BYE155" s="250"/>
      <c r="BYF155" s="250"/>
      <c r="BYG155" s="250"/>
      <c r="BYH155" s="250"/>
      <c r="BYI155" s="250"/>
      <c r="BYJ155" s="250"/>
      <c r="BYK155" s="250"/>
      <c r="BYL155" s="250"/>
      <c r="BYM155" s="250"/>
      <c r="BYN155" s="250"/>
      <c r="BYO155" s="250"/>
      <c r="BYP155" s="250"/>
      <c r="BYQ155" s="250"/>
      <c r="BYR155" s="250"/>
      <c r="BYS155" s="250"/>
      <c r="BYT155" s="250"/>
      <c r="BYU155" s="250"/>
      <c r="BYV155" s="250"/>
      <c r="BYW155" s="250"/>
      <c r="BYX155" s="250"/>
      <c r="BYY155" s="250"/>
      <c r="BYZ155" s="250"/>
      <c r="BZA155" s="250"/>
      <c r="BZB155" s="250"/>
      <c r="BZC155" s="250"/>
      <c r="BZD155" s="250"/>
      <c r="BZE155" s="250"/>
      <c r="BZF155" s="250"/>
      <c r="BZG155" s="250"/>
      <c r="BZH155" s="250"/>
      <c r="BZI155" s="250"/>
      <c r="BZJ155" s="250"/>
      <c r="BZK155" s="250"/>
      <c r="BZL155" s="250"/>
      <c r="BZM155" s="250"/>
      <c r="BZN155" s="250"/>
      <c r="BZO155" s="250"/>
      <c r="BZP155" s="250"/>
      <c r="BZQ155" s="250"/>
      <c r="BZR155" s="250"/>
      <c r="BZS155" s="250"/>
      <c r="BZT155" s="250"/>
      <c r="BZU155" s="250"/>
      <c r="BZV155" s="250"/>
      <c r="BZW155" s="250"/>
      <c r="BZX155" s="250"/>
      <c r="BZY155" s="250"/>
      <c r="BZZ155" s="250"/>
      <c r="CAA155" s="250"/>
      <c r="CAB155" s="250"/>
      <c r="CAC155" s="250"/>
      <c r="CAD155" s="250"/>
      <c r="CAE155" s="250"/>
      <c r="CAF155" s="250"/>
      <c r="CAG155" s="250"/>
      <c r="CAH155" s="250"/>
      <c r="CAI155" s="250"/>
      <c r="CAJ155" s="250"/>
      <c r="CAK155" s="250"/>
      <c r="CAL155" s="250"/>
      <c r="CAM155" s="250"/>
      <c r="CAN155" s="250"/>
      <c r="CAO155" s="250"/>
      <c r="CAP155" s="250"/>
      <c r="CAQ155" s="250"/>
      <c r="CAR155" s="250"/>
      <c r="CAS155" s="250"/>
      <c r="CAT155" s="250"/>
      <c r="CAU155" s="250"/>
      <c r="CAV155" s="250"/>
      <c r="CAW155" s="250"/>
      <c r="CAX155" s="250"/>
      <c r="CAY155" s="250"/>
      <c r="CAZ155" s="250"/>
      <c r="CBA155" s="250"/>
      <c r="CBB155" s="250"/>
      <c r="CBC155" s="250"/>
      <c r="CBD155" s="250"/>
      <c r="CBE155" s="250"/>
      <c r="CBF155" s="250"/>
      <c r="CBG155" s="250"/>
      <c r="CBH155" s="250"/>
      <c r="CBI155" s="250"/>
      <c r="CBJ155" s="250"/>
      <c r="CBK155" s="250"/>
      <c r="CBL155" s="250"/>
      <c r="CBM155" s="250"/>
      <c r="CBN155" s="250"/>
      <c r="CBO155" s="250"/>
      <c r="CBP155" s="250"/>
      <c r="CBQ155" s="250"/>
      <c r="CBR155" s="250"/>
      <c r="CBS155" s="250"/>
      <c r="CBT155" s="250"/>
      <c r="CBU155" s="250"/>
      <c r="CBV155" s="250"/>
      <c r="CBW155" s="250"/>
      <c r="CBX155" s="250"/>
      <c r="CBY155" s="250"/>
      <c r="CBZ155" s="250"/>
      <c r="CCA155" s="250"/>
      <c r="CCB155" s="250"/>
      <c r="CCC155" s="250"/>
      <c r="CCD155" s="250"/>
      <c r="CCE155" s="250"/>
      <c r="CCF155" s="250"/>
      <c r="CCG155" s="250"/>
      <c r="CCH155" s="250"/>
      <c r="CCI155" s="250"/>
      <c r="CCJ155" s="250"/>
      <c r="CCK155" s="250"/>
      <c r="CCL155" s="250"/>
      <c r="CCM155" s="250"/>
      <c r="CCN155" s="250"/>
      <c r="CCO155" s="250"/>
      <c r="CCP155" s="250"/>
      <c r="CCQ155" s="250"/>
      <c r="CCR155" s="250"/>
      <c r="CCS155" s="250"/>
      <c r="CCT155" s="250"/>
      <c r="CCU155" s="250"/>
      <c r="CCV155" s="250"/>
      <c r="CCW155" s="250"/>
      <c r="CCX155" s="250"/>
      <c r="CCY155" s="250"/>
      <c r="CCZ155" s="250"/>
      <c r="CDA155" s="250"/>
      <c r="CDB155" s="250"/>
      <c r="CDC155" s="250"/>
      <c r="CDD155" s="250"/>
      <c r="CDE155" s="250"/>
      <c r="CDF155" s="250"/>
      <c r="CDG155" s="250"/>
      <c r="CDH155" s="250"/>
      <c r="CDI155" s="250"/>
      <c r="CDJ155" s="250"/>
      <c r="CDK155" s="250"/>
      <c r="CDL155" s="250"/>
      <c r="CDM155" s="250"/>
      <c r="CDN155" s="250"/>
      <c r="CDO155" s="250"/>
      <c r="CDP155" s="250"/>
      <c r="CDQ155" s="250"/>
      <c r="CDR155" s="250"/>
      <c r="CDS155" s="250"/>
      <c r="CDT155" s="250"/>
      <c r="CDU155" s="250"/>
      <c r="CDV155" s="250"/>
      <c r="CDW155" s="250"/>
      <c r="CDX155" s="250"/>
      <c r="CDY155" s="250"/>
      <c r="CDZ155" s="250"/>
      <c r="CEA155" s="250"/>
      <c r="CEB155" s="250"/>
      <c r="CEC155" s="250"/>
      <c r="CED155" s="250"/>
      <c r="CEE155" s="250"/>
      <c r="CEF155" s="250"/>
      <c r="CEG155" s="250"/>
      <c r="CEH155" s="250"/>
      <c r="CEI155" s="250"/>
      <c r="CEJ155" s="250"/>
      <c r="CEK155" s="250"/>
      <c r="CEL155" s="250"/>
      <c r="CEM155" s="250"/>
      <c r="CEN155" s="250"/>
      <c r="CEO155" s="250"/>
      <c r="CEP155" s="250"/>
      <c r="CEQ155" s="250"/>
      <c r="CER155" s="250"/>
      <c r="CES155" s="250"/>
      <c r="CET155" s="250"/>
      <c r="CEU155" s="250"/>
      <c r="CEV155" s="250"/>
      <c r="CEW155" s="250"/>
      <c r="CEX155" s="250"/>
      <c r="CEY155" s="250"/>
      <c r="CEZ155" s="250"/>
      <c r="CFA155" s="250"/>
      <c r="CFB155" s="250"/>
      <c r="CFC155" s="250"/>
      <c r="CFD155" s="250"/>
      <c r="CFE155" s="250"/>
      <c r="CFF155" s="250"/>
      <c r="CFG155" s="250"/>
      <c r="CFH155" s="250"/>
      <c r="CFI155" s="250"/>
      <c r="CFJ155" s="250"/>
      <c r="CFK155" s="250"/>
      <c r="CFL155" s="250"/>
      <c r="CFM155" s="250"/>
      <c r="CFN155" s="250"/>
      <c r="CFO155" s="250"/>
      <c r="CFP155" s="250"/>
      <c r="CFQ155" s="250"/>
      <c r="CFR155" s="250"/>
      <c r="CFS155" s="250"/>
      <c r="CFT155" s="250"/>
      <c r="CFU155" s="250"/>
      <c r="CFV155" s="250"/>
      <c r="CFW155" s="250"/>
      <c r="CFX155" s="250"/>
      <c r="CFY155" s="250"/>
      <c r="CFZ155" s="250"/>
      <c r="CGA155" s="250"/>
      <c r="CGB155" s="250"/>
      <c r="CGC155" s="250"/>
      <c r="CGD155" s="250"/>
      <c r="CGE155" s="250"/>
      <c r="CGF155" s="250"/>
      <c r="CGG155" s="250"/>
      <c r="CGH155" s="250"/>
      <c r="CGI155" s="250"/>
      <c r="CGJ155" s="250"/>
      <c r="CGK155" s="250"/>
      <c r="CGL155" s="250"/>
      <c r="CGM155" s="250"/>
      <c r="CGN155" s="250"/>
      <c r="CGO155" s="250"/>
      <c r="CGP155" s="250"/>
      <c r="CGQ155" s="250"/>
      <c r="CGR155" s="250"/>
      <c r="CGS155" s="250"/>
      <c r="CGT155" s="250"/>
      <c r="CGU155" s="250"/>
      <c r="CGV155" s="250"/>
      <c r="CGW155" s="250"/>
      <c r="CGX155" s="250"/>
      <c r="CGY155" s="250"/>
      <c r="CGZ155" s="250"/>
      <c r="CHA155" s="250"/>
      <c r="CHB155" s="250"/>
      <c r="CHC155" s="250"/>
      <c r="CHD155" s="250"/>
      <c r="CHE155" s="250"/>
      <c r="CHF155" s="250"/>
      <c r="CHG155" s="250"/>
      <c r="CHH155" s="250"/>
      <c r="CHI155" s="250"/>
      <c r="CHJ155" s="250"/>
      <c r="CHK155" s="250"/>
      <c r="CHL155" s="250"/>
      <c r="CHM155" s="250"/>
      <c r="CHN155" s="250"/>
      <c r="CHO155" s="250"/>
      <c r="CHP155" s="250"/>
      <c r="CHQ155" s="250"/>
      <c r="CHR155" s="250"/>
      <c r="CHS155" s="250"/>
      <c r="CHT155" s="250"/>
      <c r="CHU155" s="250"/>
      <c r="CHV155" s="250"/>
      <c r="CHW155" s="250"/>
      <c r="CHX155" s="250"/>
      <c r="CHY155" s="250"/>
      <c r="CHZ155" s="250"/>
      <c r="CIA155" s="250"/>
      <c r="CIB155" s="250"/>
      <c r="CIC155" s="250"/>
      <c r="CID155" s="250"/>
      <c r="CIE155" s="250"/>
      <c r="CIF155" s="250"/>
      <c r="CIG155" s="250"/>
      <c r="CIH155" s="250"/>
      <c r="CII155" s="250"/>
      <c r="CIJ155" s="250"/>
      <c r="CIK155" s="250"/>
      <c r="CIL155" s="250"/>
      <c r="CIM155" s="250"/>
      <c r="CIN155" s="250"/>
      <c r="CIO155" s="250"/>
      <c r="CIP155" s="250"/>
      <c r="CIQ155" s="250"/>
      <c r="CIR155" s="250"/>
      <c r="CIS155" s="250"/>
      <c r="CIT155" s="250"/>
      <c r="CIU155" s="250"/>
      <c r="CIV155" s="250"/>
      <c r="CIW155" s="250"/>
      <c r="CIX155" s="250"/>
      <c r="CIY155" s="250"/>
      <c r="CIZ155" s="250"/>
      <c r="CJA155" s="250"/>
      <c r="CJB155" s="250"/>
      <c r="CJC155" s="250"/>
      <c r="CJD155" s="250"/>
      <c r="CJE155" s="250"/>
      <c r="CJF155" s="250"/>
      <c r="CJG155" s="250"/>
      <c r="CJH155" s="250"/>
      <c r="CJI155" s="250"/>
      <c r="CJJ155" s="250"/>
      <c r="CJK155" s="250"/>
      <c r="CJL155" s="250"/>
      <c r="CJM155" s="250"/>
      <c r="CJN155" s="250"/>
      <c r="CJO155" s="250"/>
      <c r="CJP155" s="250"/>
      <c r="CJQ155" s="250"/>
      <c r="CJR155" s="250"/>
      <c r="CJS155" s="250"/>
      <c r="CJT155" s="250"/>
      <c r="CJU155" s="250"/>
      <c r="CJV155" s="250"/>
      <c r="CJW155" s="250"/>
      <c r="CJX155" s="250"/>
      <c r="CJY155" s="250"/>
      <c r="CJZ155" s="250"/>
      <c r="CKA155" s="250"/>
      <c r="CKB155" s="250"/>
      <c r="CKC155" s="250"/>
      <c r="CKD155" s="250"/>
      <c r="CKE155" s="250"/>
      <c r="CKF155" s="250"/>
      <c r="CKG155" s="250"/>
      <c r="CKH155" s="250"/>
      <c r="CKI155" s="250"/>
      <c r="CKJ155" s="250"/>
      <c r="CKK155" s="250"/>
      <c r="CKL155" s="250"/>
      <c r="CKM155" s="250"/>
      <c r="CKN155" s="250"/>
      <c r="CKO155" s="250"/>
      <c r="CKP155" s="250"/>
      <c r="CKQ155" s="250"/>
      <c r="CKR155" s="250"/>
      <c r="CKS155" s="250"/>
      <c r="CKT155" s="250"/>
      <c r="CKU155" s="250"/>
      <c r="CKV155" s="250"/>
      <c r="CKW155" s="250"/>
      <c r="CKX155" s="250"/>
      <c r="CKY155" s="250"/>
      <c r="CKZ155" s="250"/>
      <c r="CLA155" s="250"/>
      <c r="CLB155" s="250"/>
      <c r="CLC155" s="250"/>
      <c r="CLD155" s="250"/>
      <c r="CLE155" s="250"/>
      <c r="CLF155" s="250"/>
      <c r="CLG155" s="250"/>
      <c r="CLH155" s="250"/>
      <c r="CLI155" s="250"/>
      <c r="CLJ155" s="250"/>
      <c r="CLK155" s="250"/>
      <c r="CLL155" s="250"/>
      <c r="CLM155" s="250"/>
      <c r="CLN155" s="250"/>
      <c r="CLO155" s="250"/>
      <c r="CLP155" s="250"/>
      <c r="CLQ155" s="250"/>
      <c r="CLR155" s="250"/>
      <c r="CLS155" s="250"/>
      <c r="CLT155" s="250"/>
      <c r="CLU155" s="250"/>
      <c r="CLV155" s="250"/>
      <c r="CLW155" s="250"/>
      <c r="CLX155" s="250"/>
      <c r="CLY155" s="250"/>
      <c r="CLZ155" s="250"/>
      <c r="CMA155" s="250"/>
      <c r="CMB155" s="250"/>
      <c r="CMC155" s="250"/>
      <c r="CMD155" s="250"/>
      <c r="CME155" s="250"/>
      <c r="CMF155" s="250"/>
      <c r="CMG155" s="250"/>
      <c r="CMH155" s="250"/>
      <c r="CMI155" s="250"/>
      <c r="CMJ155" s="250"/>
      <c r="CMK155" s="250"/>
      <c r="CML155" s="250"/>
      <c r="CMM155" s="250"/>
      <c r="CMN155" s="250"/>
      <c r="CMO155" s="250"/>
      <c r="CMP155" s="250"/>
      <c r="CMQ155" s="250"/>
      <c r="CMR155" s="250"/>
      <c r="CMS155" s="250"/>
      <c r="CMT155" s="250"/>
      <c r="CMU155" s="250"/>
      <c r="CMV155" s="250"/>
      <c r="CMW155" s="250"/>
      <c r="CMX155" s="250"/>
      <c r="CMY155" s="250"/>
      <c r="CMZ155" s="250"/>
      <c r="CNA155" s="250"/>
      <c r="CNB155" s="250"/>
      <c r="CNC155" s="250"/>
      <c r="CND155" s="250"/>
      <c r="CNE155" s="250"/>
      <c r="CNF155" s="250"/>
      <c r="CNG155" s="250"/>
      <c r="CNH155" s="250"/>
      <c r="CNI155" s="250"/>
      <c r="CNJ155" s="250"/>
      <c r="CNK155" s="250"/>
      <c r="CNL155" s="250"/>
      <c r="CNM155" s="250"/>
      <c r="CNN155" s="250"/>
      <c r="CNO155" s="250"/>
      <c r="CNP155" s="250"/>
      <c r="CNQ155" s="250"/>
      <c r="CNR155" s="250"/>
      <c r="CNS155" s="250"/>
      <c r="CNT155" s="250"/>
      <c r="CNU155" s="250"/>
      <c r="CNV155" s="250"/>
      <c r="CNW155" s="250"/>
      <c r="CNX155" s="250"/>
      <c r="CNY155" s="250"/>
      <c r="CNZ155" s="250"/>
      <c r="COA155" s="250"/>
      <c r="COB155" s="250"/>
      <c r="COC155" s="250"/>
      <c r="COD155" s="250"/>
      <c r="COE155" s="250"/>
      <c r="COF155" s="250"/>
      <c r="COG155" s="250"/>
      <c r="COH155" s="250"/>
      <c r="COI155" s="250"/>
      <c r="COJ155" s="250"/>
      <c r="COK155" s="250"/>
      <c r="COL155" s="250"/>
      <c r="COM155" s="250"/>
      <c r="CON155" s="250"/>
      <c r="COO155" s="250"/>
      <c r="COP155" s="250"/>
      <c r="COQ155" s="250"/>
      <c r="COR155" s="250"/>
      <c r="COS155" s="250"/>
      <c r="COT155" s="250"/>
      <c r="COU155" s="250"/>
      <c r="COV155" s="250"/>
      <c r="COW155" s="250"/>
      <c r="COX155" s="250"/>
      <c r="COY155" s="250"/>
      <c r="COZ155" s="250"/>
      <c r="CPA155" s="250"/>
      <c r="CPB155" s="250"/>
      <c r="CPC155" s="250"/>
      <c r="CPD155" s="250"/>
      <c r="CPE155" s="250"/>
      <c r="CPF155" s="250"/>
      <c r="CPG155" s="250"/>
      <c r="CPH155" s="250"/>
      <c r="CPI155" s="250"/>
      <c r="CPJ155" s="250"/>
      <c r="CPK155" s="250"/>
      <c r="CPL155" s="250"/>
      <c r="CPM155" s="250"/>
      <c r="CPN155" s="250"/>
      <c r="CPO155" s="250"/>
      <c r="CPP155" s="250"/>
      <c r="CPQ155" s="250"/>
      <c r="CPR155" s="250"/>
      <c r="CPS155" s="250"/>
      <c r="CPT155" s="250"/>
      <c r="CPU155" s="250"/>
      <c r="CPV155" s="250"/>
      <c r="CPW155" s="250"/>
      <c r="CPX155" s="250"/>
      <c r="CPY155" s="250"/>
      <c r="CPZ155" s="250"/>
      <c r="CQA155" s="250"/>
      <c r="CQB155" s="250"/>
      <c r="CQC155" s="250"/>
      <c r="CQD155" s="250"/>
      <c r="CQE155" s="250"/>
      <c r="CQF155" s="250"/>
      <c r="CQG155" s="250"/>
      <c r="CQH155" s="250"/>
      <c r="CQI155" s="250"/>
      <c r="CQJ155" s="250"/>
      <c r="CQK155" s="250"/>
      <c r="CQL155" s="250"/>
      <c r="CQM155" s="250"/>
      <c r="CQN155" s="250"/>
      <c r="CQO155" s="250"/>
      <c r="CQP155" s="250"/>
      <c r="CQQ155" s="250"/>
      <c r="CQR155" s="250"/>
      <c r="CQS155" s="250"/>
      <c r="CQT155" s="250"/>
      <c r="CQU155" s="250"/>
      <c r="CQV155" s="250"/>
      <c r="CQW155" s="250"/>
      <c r="CQX155" s="250"/>
      <c r="CQY155" s="250"/>
      <c r="CQZ155" s="250"/>
      <c r="CRA155" s="250"/>
      <c r="CRB155" s="250"/>
      <c r="CRC155" s="250"/>
      <c r="CRD155" s="250"/>
      <c r="CRE155" s="250"/>
      <c r="CRF155" s="250"/>
      <c r="CRG155" s="250"/>
      <c r="CRH155" s="250"/>
      <c r="CRI155" s="250"/>
      <c r="CRJ155" s="250"/>
      <c r="CRK155" s="250"/>
      <c r="CRL155" s="250"/>
      <c r="CRM155" s="250"/>
      <c r="CRN155" s="250"/>
      <c r="CRO155" s="250"/>
      <c r="CRP155" s="250"/>
      <c r="CRQ155" s="250"/>
      <c r="CRR155" s="250"/>
      <c r="CRS155" s="250"/>
      <c r="CRT155" s="250"/>
      <c r="CRU155" s="250"/>
      <c r="CRV155" s="250"/>
      <c r="CRW155" s="250"/>
      <c r="CRX155" s="250"/>
      <c r="CRY155" s="250"/>
      <c r="CRZ155" s="250"/>
      <c r="CSA155" s="250"/>
      <c r="CSB155" s="250"/>
      <c r="CSC155" s="250"/>
      <c r="CSD155" s="250"/>
      <c r="CSE155" s="250"/>
      <c r="CSF155" s="250"/>
      <c r="CSG155" s="250"/>
      <c r="CSH155" s="250"/>
      <c r="CSI155" s="250"/>
      <c r="CSJ155" s="250"/>
      <c r="CSK155" s="250"/>
      <c r="CSL155" s="250"/>
      <c r="CSM155" s="250"/>
      <c r="CSN155" s="250"/>
      <c r="CSO155" s="250"/>
      <c r="CSP155" s="250"/>
      <c r="CSQ155" s="250"/>
      <c r="CSR155" s="250"/>
      <c r="CSS155" s="250"/>
      <c r="CST155" s="250"/>
      <c r="CSU155" s="250"/>
      <c r="CSV155" s="250"/>
      <c r="CSW155" s="250"/>
      <c r="CSX155" s="250"/>
      <c r="CSY155" s="250"/>
      <c r="CSZ155" s="250"/>
      <c r="CTA155" s="250"/>
      <c r="CTB155" s="250"/>
      <c r="CTC155" s="250"/>
      <c r="CTD155" s="250"/>
      <c r="CTE155" s="250"/>
      <c r="CTF155" s="250"/>
      <c r="CTG155" s="250"/>
      <c r="CTH155" s="250"/>
      <c r="CTI155" s="250"/>
      <c r="CTJ155" s="250"/>
      <c r="CTK155" s="250"/>
      <c r="CTL155" s="250"/>
      <c r="CTM155" s="250"/>
      <c r="CTN155" s="250"/>
      <c r="CTO155" s="250"/>
      <c r="CTP155" s="250"/>
      <c r="CTQ155" s="250"/>
      <c r="CTR155" s="250"/>
      <c r="CTS155" s="250"/>
      <c r="CTT155" s="250"/>
      <c r="CTU155" s="250"/>
      <c r="CTV155" s="250"/>
      <c r="CTW155" s="250"/>
      <c r="CTX155" s="250"/>
      <c r="CTY155" s="250"/>
      <c r="CTZ155" s="250"/>
      <c r="CUA155" s="250"/>
      <c r="CUB155" s="250"/>
      <c r="CUC155" s="250"/>
      <c r="CUD155" s="250"/>
      <c r="CUE155" s="250"/>
      <c r="CUF155" s="250"/>
      <c r="CUG155" s="250"/>
      <c r="CUH155" s="250"/>
      <c r="CUI155" s="250"/>
      <c r="CUJ155" s="250"/>
      <c r="CUK155" s="250"/>
      <c r="CUL155" s="250"/>
      <c r="CUM155" s="250"/>
      <c r="CUN155" s="250"/>
      <c r="CUO155" s="250"/>
      <c r="CUP155" s="250"/>
      <c r="CUQ155" s="250"/>
      <c r="CUR155" s="250"/>
      <c r="CUS155" s="250"/>
      <c r="CUT155" s="250"/>
      <c r="CUU155" s="250"/>
      <c r="CUV155" s="250"/>
      <c r="CUW155" s="250"/>
      <c r="CUX155" s="250"/>
      <c r="CUY155" s="250"/>
      <c r="CUZ155" s="250"/>
      <c r="CVA155" s="250"/>
      <c r="CVB155" s="250"/>
      <c r="CVC155" s="250"/>
      <c r="CVD155" s="250"/>
      <c r="CVE155" s="250"/>
      <c r="CVF155" s="250"/>
      <c r="CVG155" s="250"/>
      <c r="CVH155" s="250"/>
      <c r="CVI155" s="250"/>
      <c r="CVJ155" s="250"/>
      <c r="CVK155" s="250"/>
      <c r="CVL155" s="250"/>
      <c r="CVM155" s="250"/>
      <c r="CVN155" s="250"/>
      <c r="CVO155" s="250"/>
      <c r="CVP155" s="250"/>
      <c r="CVQ155" s="250"/>
      <c r="CVR155" s="250"/>
      <c r="CVS155" s="250"/>
      <c r="CVT155" s="250"/>
      <c r="CVU155" s="250"/>
      <c r="CVV155" s="250"/>
      <c r="CVW155" s="250"/>
      <c r="CVX155" s="250"/>
      <c r="CVY155" s="250"/>
      <c r="CVZ155" s="250"/>
      <c r="CWA155" s="250"/>
      <c r="CWB155" s="250"/>
      <c r="CWC155" s="250"/>
      <c r="CWD155" s="250"/>
      <c r="CWE155" s="250"/>
      <c r="CWF155" s="250"/>
      <c r="CWG155" s="250"/>
      <c r="CWH155" s="250"/>
      <c r="CWI155" s="250"/>
      <c r="CWJ155" s="250"/>
      <c r="CWK155" s="250"/>
      <c r="CWL155" s="250"/>
      <c r="CWM155" s="250"/>
      <c r="CWN155" s="250"/>
      <c r="CWO155" s="250"/>
      <c r="CWP155" s="250"/>
      <c r="CWQ155" s="250"/>
      <c r="CWR155" s="250"/>
      <c r="CWS155" s="250"/>
      <c r="CWT155" s="250"/>
      <c r="CWU155" s="250"/>
      <c r="CWV155" s="250"/>
      <c r="CWW155" s="250"/>
      <c r="CWX155" s="250"/>
      <c r="CWY155" s="250"/>
      <c r="CWZ155" s="250"/>
      <c r="CXA155" s="250"/>
      <c r="CXB155" s="250"/>
      <c r="CXC155" s="250"/>
      <c r="CXD155" s="250"/>
      <c r="CXE155" s="250"/>
      <c r="CXF155" s="250"/>
      <c r="CXG155" s="250"/>
      <c r="CXH155" s="250"/>
      <c r="CXI155" s="250"/>
      <c r="CXJ155" s="250"/>
      <c r="CXK155" s="250"/>
      <c r="CXL155" s="250"/>
      <c r="CXM155" s="250"/>
      <c r="CXN155" s="250"/>
      <c r="CXO155" s="250"/>
      <c r="CXP155" s="250"/>
      <c r="CXQ155" s="250"/>
      <c r="CXR155" s="250"/>
      <c r="CXS155" s="250"/>
      <c r="CXT155" s="250"/>
      <c r="CXU155" s="250"/>
      <c r="CXV155" s="250"/>
      <c r="CXW155" s="250"/>
      <c r="CXX155" s="250"/>
      <c r="CXY155" s="250"/>
      <c r="CXZ155" s="250"/>
      <c r="CYA155" s="250"/>
      <c r="CYB155" s="250"/>
      <c r="CYC155" s="250"/>
      <c r="CYD155" s="250"/>
      <c r="CYE155" s="250"/>
      <c r="CYF155" s="250"/>
      <c r="CYG155" s="250"/>
      <c r="CYH155" s="250"/>
      <c r="CYI155" s="250"/>
      <c r="CYJ155" s="250"/>
      <c r="CYK155" s="250"/>
      <c r="CYL155" s="250"/>
      <c r="CYM155" s="250"/>
      <c r="CYN155" s="250"/>
      <c r="CYO155" s="250"/>
      <c r="CYP155" s="250"/>
      <c r="CYQ155" s="250"/>
      <c r="CYR155" s="250"/>
      <c r="CYS155" s="250"/>
      <c r="CYT155" s="250"/>
      <c r="CYU155" s="250"/>
      <c r="CYV155" s="250"/>
      <c r="CYW155" s="250"/>
      <c r="CYX155" s="250"/>
      <c r="CYY155" s="250"/>
      <c r="CYZ155" s="250"/>
      <c r="CZA155" s="250"/>
      <c r="CZB155" s="250"/>
      <c r="CZC155" s="250"/>
      <c r="CZD155" s="250"/>
      <c r="CZE155" s="250"/>
      <c r="CZF155" s="250"/>
      <c r="CZG155" s="250"/>
      <c r="CZH155" s="250"/>
      <c r="CZI155" s="250"/>
      <c r="CZJ155" s="250"/>
      <c r="CZK155" s="250"/>
      <c r="CZL155" s="250"/>
      <c r="CZM155" s="250"/>
      <c r="CZN155" s="250"/>
      <c r="CZO155" s="250"/>
      <c r="CZP155" s="250"/>
      <c r="CZQ155" s="250"/>
      <c r="CZR155" s="250"/>
      <c r="CZS155" s="250"/>
      <c r="CZT155" s="250"/>
      <c r="CZU155" s="250"/>
      <c r="CZV155" s="250"/>
      <c r="CZW155" s="250"/>
      <c r="CZX155" s="250"/>
      <c r="CZY155" s="250"/>
      <c r="CZZ155" s="250"/>
      <c r="DAA155" s="250"/>
      <c r="DAB155" s="250"/>
      <c r="DAC155" s="250"/>
      <c r="DAD155" s="250"/>
      <c r="DAE155" s="250"/>
      <c r="DAF155" s="250"/>
      <c r="DAG155" s="250"/>
      <c r="DAH155" s="250"/>
      <c r="DAI155" s="250"/>
      <c r="DAJ155" s="250"/>
      <c r="DAK155" s="250"/>
      <c r="DAL155" s="250"/>
      <c r="DAM155" s="250"/>
      <c r="DAN155" s="250"/>
      <c r="DAO155" s="250"/>
      <c r="DAP155" s="250"/>
      <c r="DAQ155" s="250"/>
      <c r="DAR155" s="250"/>
      <c r="DAS155" s="250"/>
      <c r="DAT155" s="250"/>
      <c r="DAU155" s="250"/>
      <c r="DAV155" s="250"/>
      <c r="DAW155" s="250"/>
      <c r="DAX155" s="250"/>
      <c r="DAY155" s="250"/>
      <c r="DAZ155" s="250"/>
      <c r="DBA155" s="250"/>
      <c r="DBB155" s="250"/>
      <c r="DBC155" s="250"/>
      <c r="DBD155" s="250"/>
      <c r="DBE155" s="250"/>
      <c r="DBF155" s="250"/>
      <c r="DBG155" s="250"/>
      <c r="DBH155" s="250"/>
      <c r="DBI155" s="250"/>
      <c r="DBJ155" s="250"/>
      <c r="DBK155" s="250"/>
      <c r="DBL155" s="250"/>
      <c r="DBM155" s="250"/>
      <c r="DBN155" s="250"/>
      <c r="DBO155" s="250"/>
      <c r="DBP155" s="250"/>
      <c r="DBQ155" s="250"/>
      <c r="DBR155" s="250"/>
      <c r="DBS155" s="250"/>
      <c r="DBT155" s="250"/>
      <c r="DBU155" s="250"/>
      <c r="DBV155" s="250"/>
      <c r="DBW155" s="250"/>
      <c r="DBX155" s="250"/>
      <c r="DBY155" s="250"/>
      <c r="DBZ155" s="250"/>
      <c r="DCA155" s="250"/>
      <c r="DCB155" s="250"/>
      <c r="DCC155" s="250"/>
      <c r="DCD155" s="250"/>
      <c r="DCE155" s="250"/>
      <c r="DCF155" s="250"/>
      <c r="DCG155" s="250"/>
      <c r="DCH155" s="250"/>
      <c r="DCI155" s="250"/>
      <c r="DCJ155" s="250"/>
      <c r="DCK155" s="250"/>
      <c r="DCL155" s="250"/>
      <c r="DCM155" s="250"/>
      <c r="DCN155" s="250"/>
      <c r="DCO155" s="250"/>
      <c r="DCP155" s="250"/>
      <c r="DCQ155" s="250"/>
      <c r="DCR155" s="250"/>
      <c r="DCS155" s="250"/>
      <c r="DCT155" s="250"/>
      <c r="DCU155" s="250"/>
      <c r="DCV155" s="250"/>
      <c r="DCW155" s="250"/>
      <c r="DCX155" s="250"/>
      <c r="DCY155" s="250"/>
      <c r="DCZ155" s="250"/>
      <c r="DDA155" s="250"/>
      <c r="DDB155" s="250"/>
      <c r="DDC155" s="250"/>
      <c r="DDD155" s="250"/>
      <c r="DDE155" s="250"/>
      <c r="DDF155" s="250"/>
      <c r="DDG155" s="250"/>
      <c r="DDH155" s="250"/>
      <c r="DDI155" s="250"/>
      <c r="DDJ155" s="250"/>
      <c r="DDK155" s="250"/>
      <c r="DDL155" s="250"/>
      <c r="DDM155" s="250"/>
      <c r="DDN155" s="250"/>
      <c r="DDO155" s="250"/>
      <c r="DDP155" s="250"/>
      <c r="DDQ155" s="250"/>
      <c r="DDR155" s="250"/>
      <c r="DDS155" s="250"/>
      <c r="DDT155" s="250"/>
      <c r="DDU155" s="250"/>
      <c r="DDV155" s="250"/>
      <c r="DDW155" s="250"/>
      <c r="DDX155" s="250"/>
      <c r="DDY155" s="250"/>
      <c r="DDZ155" s="250"/>
      <c r="DEA155" s="250"/>
      <c r="DEB155" s="250"/>
      <c r="DEC155" s="250"/>
      <c r="DED155" s="250"/>
      <c r="DEE155" s="250"/>
      <c r="DEF155" s="250"/>
      <c r="DEG155" s="250"/>
      <c r="DEH155" s="250"/>
      <c r="DEI155" s="250"/>
      <c r="DEJ155" s="250"/>
      <c r="DEK155" s="250"/>
      <c r="DEL155" s="250"/>
      <c r="DEM155" s="250"/>
      <c r="DEN155" s="250"/>
      <c r="DEO155" s="250"/>
      <c r="DEP155" s="250"/>
      <c r="DEQ155" s="250"/>
      <c r="DER155" s="250"/>
      <c r="DES155" s="250"/>
      <c r="DET155" s="250"/>
      <c r="DEU155" s="250"/>
      <c r="DEV155" s="250"/>
      <c r="DEW155" s="250"/>
      <c r="DEX155" s="250"/>
      <c r="DEY155" s="250"/>
      <c r="DEZ155" s="250"/>
      <c r="DFA155" s="250"/>
      <c r="DFB155" s="250"/>
      <c r="DFC155" s="250"/>
      <c r="DFD155" s="250"/>
      <c r="DFE155" s="250"/>
      <c r="DFF155" s="250"/>
      <c r="DFG155" s="250"/>
      <c r="DFH155" s="250"/>
      <c r="DFI155" s="250"/>
      <c r="DFJ155" s="250"/>
      <c r="DFK155" s="250"/>
      <c r="DFL155" s="250"/>
      <c r="DFM155" s="250"/>
      <c r="DFN155" s="250"/>
      <c r="DFO155" s="250"/>
      <c r="DFP155" s="250"/>
      <c r="DFQ155" s="250"/>
      <c r="DFR155" s="250"/>
      <c r="DFS155" s="250"/>
      <c r="DFT155" s="250"/>
      <c r="DFU155" s="250"/>
      <c r="DFV155" s="250"/>
      <c r="DFW155" s="250"/>
      <c r="DFX155" s="250"/>
      <c r="DFY155" s="250"/>
      <c r="DFZ155" s="250"/>
      <c r="DGA155" s="250"/>
      <c r="DGB155" s="250"/>
      <c r="DGC155" s="250"/>
      <c r="DGD155" s="250"/>
      <c r="DGE155" s="250"/>
      <c r="DGF155" s="250"/>
      <c r="DGG155" s="250"/>
      <c r="DGH155" s="250"/>
      <c r="DGI155" s="250"/>
      <c r="DGJ155" s="250"/>
      <c r="DGK155" s="250"/>
      <c r="DGL155" s="250"/>
      <c r="DGM155" s="250"/>
      <c r="DGN155" s="250"/>
      <c r="DGO155" s="250"/>
      <c r="DGP155" s="250"/>
      <c r="DGQ155" s="250"/>
      <c r="DGR155" s="250"/>
      <c r="DGS155" s="250"/>
      <c r="DGT155" s="250"/>
      <c r="DGU155" s="250"/>
      <c r="DGV155" s="250"/>
      <c r="DGW155" s="250"/>
      <c r="DGX155" s="250"/>
      <c r="DGY155" s="250"/>
      <c r="DGZ155" s="250"/>
      <c r="DHA155" s="250"/>
      <c r="DHB155" s="250"/>
      <c r="DHC155" s="250"/>
      <c r="DHD155" s="250"/>
      <c r="DHE155" s="250"/>
      <c r="DHF155" s="250"/>
      <c r="DHG155" s="250"/>
      <c r="DHH155" s="250"/>
      <c r="DHI155" s="250"/>
      <c r="DHJ155" s="250"/>
      <c r="DHK155" s="250"/>
      <c r="DHL155" s="250"/>
      <c r="DHM155" s="250"/>
      <c r="DHN155" s="250"/>
      <c r="DHO155" s="250"/>
      <c r="DHP155" s="250"/>
      <c r="DHQ155" s="250"/>
      <c r="DHR155" s="250"/>
      <c r="DHS155" s="250"/>
      <c r="DHT155" s="250"/>
      <c r="DHU155" s="250"/>
      <c r="DHV155" s="250"/>
      <c r="DHW155" s="250"/>
      <c r="DHX155" s="250"/>
      <c r="DHY155" s="250"/>
      <c r="DHZ155" s="250"/>
      <c r="DIA155" s="250"/>
      <c r="DIB155" s="250"/>
      <c r="DIC155" s="250"/>
      <c r="DID155" s="250"/>
      <c r="DIE155" s="250"/>
      <c r="DIF155" s="250"/>
      <c r="DIG155" s="250"/>
      <c r="DIH155" s="250"/>
      <c r="DII155" s="250"/>
      <c r="DIJ155" s="250"/>
      <c r="DIK155" s="250"/>
      <c r="DIL155" s="250"/>
      <c r="DIM155" s="250"/>
      <c r="DIN155" s="250"/>
      <c r="DIO155" s="250"/>
      <c r="DIP155" s="250"/>
      <c r="DIQ155" s="250"/>
      <c r="DIR155" s="250"/>
      <c r="DIS155" s="250"/>
      <c r="DIT155" s="250"/>
      <c r="DIU155" s="250"/>
      <c r="DIV155" s="250"/>
      <c r="DIW155" s="250"/>
      <c r="DIX155" s="250"/>
      <c r="DIY155" s="250"/>
      <c r="DIZ155" s="250"/>
      <c r="DJA155" s="250"/>
      <c r="DJB155" s="250"/>
      <c r="DJC155" s="250"/>
      <c r="DJD155" s="250"/>
      <c r="DJE155" s="250"/>
      <c r="DJF155" s="250"/>
      <c r="DJG155" s="250"/>
      <c r="DJH155" s="250"/>
      <c r="DJI155" s="250"/>
      <c r="DJJ155" s="250"/>
      <c r="DJK155" s="250"/>
      <c r="DJL155" s="250"/>
      <c r="DJM155" s="250"/>
      <c r="DJN155" s="250"/>
      <c r="DJO155" s="250"/>
      <c r="DJP155" s="250"/>
      <c r="DJQ155" s="250"/>
      <c r="DJR155" s="250"/>
      <c r="DJS155" s="250"/>
      <c r="DJT155" s="250"/>
      <c r="DJU155" s="250"/>
      <c r="DJV155" s="250"/>
      <c r="DJW155" s="250"/>
      <c r="DJX155" s="250"/>
      <c r="DJY155" s="250"/>
      <c r="DJZ155" s="250"/>
      <c r="DKA155" s="250"/>
      <c r="DKB155" s="250"/>
      <c r="DKC155" s="250"/>
      <c r="DKD155" s="250"/>
      <c r="DKE155" s="250"/>
      <c r="DKF155" s="250"/>
      <c r="DKG155" s="250"/>
      <c r="DKH155" s="250"/>
      <c r="DKI155" s="250"/>
      <c r="DKJ155" s="250"/>
      <c r="DKK155" s="250"/>
      <c r="DKL155" s="250"/>
      <c r="DKM155" s="250"/>
      <c r="DKN155" s="250"/>
      <c r="DKO155" s="250"/>
      <c r="DKP155" s="250"/>
      <c r="DKQ155" s="250"/>
      <c r="DKR155" s="250"/>
      <c r="DKS155" s="250"/>
      <c r="DKT155" s="250"/>
      <c r="DKU155" s="250"/>
      <c r="DKV155" s="250"/>
      <c r="DKW155" s="250"/>
      <c r="DKX155" s="250"/>
      <c r="DKY155" s="250"/>
      <c r="DKZ155" s="250"/>
      <c r="DLA155" s="250"/>
      <c r="DLB155" s="250"/>
      <c r="DLC155" s="250"/>
      <c r="DLD155" s="250"/>
      <c r="DLE155" s="250"/>
      <c r="DLF155" s="250"/>
      <c r="DLG155" s="250"/>
      <c r="DLH155" s="250"/>
      <c r="DLI155" s="250"/>
      <c r="DLJ155" s="250"/>
      <c r="DLK155" s="250"/>
      <c r="DLL155" s="250"/>
      <c r="DLM155" s="250"/>
      <c r="DLN155" s="250"/>
      <c r="DLO155" s="250"/>
      <c r="DLP155" s="250"/>
      <c r="DLQ155" s="250"/>
      <c r="DLR155" s="250"/>
      <c r="DLS155" s="250"/>
      <c r="DLT155" s="250"/>
      <c r="DLU155" s="250"/>
      <c r="DLV155" s="250"/>
      <c r="DLW155" s="250"/>
      <c r="DLX155" s="250"/>
      <c r="DLY155" s="250"/>
      <c r="DLZ155" s="250"/>
      <c r="DMA155" s="250"/>
      <c r="DMB155" s="250"/>
      <c r="DMC155" s="250"/>
      <c r="DMD155" s="250"/>
      <c r="DME155" s="250"/>
      <c r="DMF155" s="250"/>
      <c r="DMG155" s="250"/>
      <c r="DMH155" s="250"/>
      <c r="DMI155" s="250"/>
      <c r="DMJ155" s="250"/>
      <c r="DMK155" s="250"/>
      <c r="DML155" s="250"/>
      <c r="DMM155" s="250"/>
      <c r="DMN155" s="250"/>
      <c r="DMO155" s="250"/>
      <c r="DMP155" s="250"/>
      <c r="DMQ155" s="250"/>
      <c r="DMR155" s="250"/>
      <c r="DMS155" s="250"/>
      <c r="DMT155" s="250"/>
      <c r="DMU155" s="250"/>
      <c r="DMV155" s="250"/>
      <c r="DMW155" s="250"/>
      <c r="DMX155" s="250"/>
      <c r="DMY155" s="250"/>
      <c r="DMZ155" s="250"/>
      <c r="DNA155" s="250"/>
      <c r="DNB155" s="250"/>
      <c r="DNC155" s="250"/>
      <c r="DND155" s="250"/>
      <c r="DNE155" s="250"/>
      <c r="DNF155" s="250"/>
      <c r="DNG155" s="250"/>
      <c r="DNH155" s="250"/>
      <c r="DNI155" s="250"/>
      <c r="DNJ155" s="250"/>
      <c r="DNK155" s="250"/>
      <c r="DNL155" s="250"/>
      <c r="DNM155" s="250"/>
      <c r="DNN155" s="250"/>
      <c r="DNO155" s="250"/>
      <c r="DNP155" s="250"/>
      <c r="DNQ155" s="250"/>
      <c r="DNR155" s="250"/>
      <c r="DNS155" s="250"/>
      <c r="DNT155" s="250"/>
      <c r="DNU155" s="250"/>
      <c r="DNV155" s="250"/>
      <c r="DNW155" s="250"/>
      <c r="DNX155" s="250"/>
      <c r="DNY155" s="250"/>
      <c r="DNZ155" s="250"/>
      <c r="DOA155" s="250"/>
      <c r="DOB155" s="250"/>
      <c r="DOC155" s="250"/>
      <c r="DOD155" s="250"/>
      <c r="DOE155" s="250"/>
      <c r="DOF155" s="250"/>
      <c r="DOG155" s="250"/>
      <c r="DOH155" s="250"/>
      <c r="DOI155" s="250"/>
      <c r="DOJ155" s="250"/>
      <c r="DOK155" s="250"/>
      <c r="DOL155" s="250"/>
      <c r="DOM155" s="250"/>
      <c r="DON155" s="250"/>
      <c r="DOO155" s="250"/>
      <c r="DOP155" s="250"/>
      <c r="DOQ155" s="250"/>
      <c r="DOR155" s="250"/>
      <c r="DOS155" s="250"/>
      <c r="DOT155" s="250"/>
      <c r="DOU155" s="250"/>
      <c r="DOV155" s="250"/>
      <c r="DOW155" s="250"/>
      <c r="DOX155" s="250"/>
      <c r="DOY155" s="250"/>
      <c r="DOZ155" s="250"/>
      <c r="DPA155" s="250"/>
      <c r="DPB155" s="250"/>
      <c r="DPC155" s="250"/>
      <c r="DPD155" s="250"/>
      <c r="DPE155" s="250"/>
      <c r="DPF155" s="250"/>
      <c r="DPG155" s="250"/>
      <c r="DPH155" s="250"/>
      <c r="DPI155" s="250"/>
      <c r="DPJ155" s="250"/>
      <c r="DPK155" s="250"/>
      <c r="DPL155" s="250"/>
      <c r="DPM155" s="250"/>
      <c r="DPN155" s="250"/>
      <c r="DPO155" s="250"/>
      <c r="DPP155" s="250"/>
      <c r="DPQ155" s="250"/>
      <c r="DPR155" s="250"/>
      <c r="DPS155" s="250"/>
      <c r="DPT155" s="250"/>
      <c r="DPU155" s="250"/>
      <c r="DPV155" s="250"/>
      <c r="DPW155" s="250"/>
      <c r="DPX155" s="250"/>
      <c r="DPY155" s="250"/>
      <c r="DPZ155" s="250"/>
      <c r="DQA155" s="250"/>
      <c r="DQB155" s="250"/>
      <c r="DQC155" s="250"/>
      <c r="DQD155" s="250"/>
      <c r="DQE155" s="250"/>
      <c r="DQF155" s="250"/>
      <c r="DQG155" s="250"/>
      <c r="DQH155" s="250"/>
      <c r="DQI155" s="250"/>
      <c r="DQJ155" s="250"/>
      <c r="DQK155" s="250"/>
      <c r="DQL155" s="250"/>
      <c r="DQM155" s="250"/>
      <c r="DQN155" s="250"/>
      <c r="DQO155" s="250"/>
      <c r="DQP155" s="250"/>
      <c r="DQQ155" s="250"/>
      <c r="DQR155" s="250"/>
      <c r="DQS155" s="250"/>
      <c r="DQT155" s="250"/>
      <c r="DQU155" s="250"/>
      <c r="DQV155" s="250"/>
      <c r="DQW155" s="250"/>
      <c r="DQX155" s="250"/>
      <c r="DQY155" s="250"/>
      <c r="DQZ155" s="250"/>
      <c r="DRA155" s="250"/>
      <c r="DRB155" s="250"/>
      <c r="DRC155" s="250"/>
      <c r="DRD155" s="250"/>
      <c r="DRE155" s="250"/>
      <c r="DRF155" s="250"/>
      <c r="DRG155" s="250"/>
      <c r="DRH155" s="250"/>
      <c r="DRI155" s="250"/>
      <c r="DRJ155" s="250"/>
      <c r="DRK155" s="250"/>
      <c r="DRL155" s="250"/>
      <c r="DRM155" s="250"/>
      <c r="DRN155" s="250"/>
      <c r="DRO155" s="250"/>
      <c r="DRP155" s="250"/>
      <c r="DRQ155" s="250"/>
      <c r="DRR155" s="250"/>
      <c r="DRS155" s="250"/>
      <c r="DRT155" s="250"/>
      <c r="DRU155" s="250"/>
      <c r="DRV155" s="250"/>
      <c r="DRW155" s="250"/>
      <c r="DRX155" s="250"/>
      <c r="DRY155" s="250"/>
      <c r="DRZ155" s="250"/>
      <c r="DSA155" s="250"/>
      <c r="DSB155" s="250"/>
      <c r="DSC155" s="250"/>
      <c r="DSD155" s="250"/>
      <c r="DSE155" s="250"/>
      <c r="DSF155" s="250"/>
      <c r="DSG155" s="250"/>
      <c r="DSH155" s="250"/>
      <c r="DSI155" s="250"/>
      <c r="DSJ155" s="250"/>
      <c r="DSK155" s="250"/>
      <c r="DSL155" s="250"/>
      <c r="DSM155" s="250"/>
      <c r="DSN155" s="250"/>
      <c r="DSO155" s="250"/>
      <c r="DSP155" s="250"/>
      <c r="DSQ155" s="250"/>
      <c r="DSR155" s="250"/>
      <c r="DSS155" s="250"/>
      <c r="DST155" s="250"/>
      <c r="DSU155" s="250"/>
      <c r="DSV155" s="250"/>
      <c r="DSW155" s="250"/>
      <c r="DSX155" s="250"/>
      <c r="DSY155" s="250"/>
      <c r="DSZ155" s="250"/>
      <c r="DTA155" s="250"/>
      <c r="DTB155" s="250"/>
      <c r="DTC155" s="250"/>
      <c r="DTD155" s="250"/>
      <c r="DTE155" s="250"/>
      <c r="DTF155" s="250"/>
      <c r="DTG155" s="250"/>
      <c r="DTH155" s="250"/>
      <c r="DTI155" s="250"/>
      <c r="DTJ155" s="250"/>
      <c r="DTK155" s="250"/>
      <c r="DTL155" s="250"/>
      <c r="DTM155" s="250"/>
      <c r="DTN155" s="250"/>
      <c r="DTO155" s="250"/>
      <c r="DTP155" s="250"/>
      <c r="DTQ155" s="250"/>
      <c r="DTR155" s="250"/>
      <c r="DTS155" s="250"/>
      <c r="DTT155" s="250"/>
      <c r="DTU155" s="250"/>
      <c r="DTV155" s="250"/>
      <c r="DTW155" s="250"/>
      <c r="DTX155" s="250"/>
      <c r="DTY155" s="250"/>
      <c r="DTZ155" s="250"/>
      <c r="DUA155" s="250"/>
      <c r="DUB155" s="250"/>
      <c r="DUC155" s="250"/>
      <c r="DUD155" s="250"/>
      <c r="DUE155" s="250"/>
      <c r="DUF155" s="250"/>
      <c r="DUG155" s="250"/>
      <c r="DUH155" s="250"/>
      <c r="DUI155" s="250"/>
      <c r="DUJ155" s="250"/>
      <c r="DUK155" s="250"/>
      <c r="DUL155" s="250"/>
      <c r="DUM155" s="250"/>
      <c r="DUN155" s="250"/>
      <c r="DUO155" s="250"/>
      <c r="DUP155" s="250"/>
      <c r="DUQ155" s="250"/>
      <c r="DUR155" s="250"/>
      <c r="DUS155" s="250"/>
      <c r="DUT155" s="250"/>
      <c r="DUU155" s="250"/>
      <c r="DUV155" s="250"/>
      <c r="DUW155" s="250"/>
      <c r="DUX155" s="250"/>
      <c r="DUY155" s="250"/>
      <c r="DUZ155" s="250"/>
      <c r="DVA155" s="250"/>
      <c r="DVB155" s="250"/>
      <c r="DVC155" s="250"/>
      <c r="DVD155" s="250"/>
      <c r="DVE155" s="250"/>
      <c r="DVF155" s="250"/>
      <c r="DVG155" s="250"/>
      <c r="DVH155" s="250"/>
      <c r="DVI155" s="250"/>
      <c r="DVJ155" s="250"/>
      <c r="DVK155" s="250"/>
      <c r="DVL155" s="250"/>
      <c r="DVM155" s="250"/>
      <c r="DVN155" s="250"/>
      <c r="DVO155" s="250"/>
      <c r="DVP155" s="250"/>
      <c r="DVQ155" s="250"/>
      <c r="DVR155" s="250"/>
      <c r="DVS155" s="250"/>
      <c r="DVT155" s="250"/>
      <c r="DVU155" s="250"/>
      <c r="DVV155" s="250"/>
      <c r="DVW155" s="250"/>
      <c r="DVX155" s="250"/>
      <c r="DVY155" s="250"/>
      <c r="DVZ155" s="250"/>
      <c r="DWA155" s="250"/>
      <c r="DWB155" s="250"/>
      <c r="DWC155" s="250"/>
      <c r="DWD155" s="250"/>
      <c r="DWE155" s="250"/>
      <c r="DWF155" s="250"/>
      <c r="DWG155" s="250"/>
      <c r="DWH155" s="250"/>
      <c r="DWI155" s="250"/>
      <c r="DWJ155" s="250"/>
      <c r="DWK155" s="250"/>
      <c r="DWL155" s="250"/>
      <c r="DWM155" s="250"/>
      <c r="DWN155" s="250"/>
      <c r="DWO155" s="250"/>
      <c r="DWP155" s="250"/>
      <c r="DWQ155" s="250"/>
      <c r="DWR155" s="250"/>
      <c r="DWS155" s="250"/>
      <c r="DWT155" s="250"/>
      <c r="DWU155" s="250"/>
      <c r="DWV155" s="250"/>
      <c r="DWW155" s="250"/>
      <c r="DWX155" s="250"/>
      <c r="DWY155" s="250"/>
      <c r="DWZ155" s="250"/>
      <c r="DXA155" s="250"/>
      <c r="DXB155" s="250"/>
      <c r="DXC155" s="250"/>
      <c r="DXD155" s="250"/>
      <c r="DXE155" s="250"/>
      <c r="DXF155" s="250"/>
      <c r="DXG155" s="250"/>
      <c r="DXH155" s="250"/>
      <c r="DXI155" s="250"/>
      <c r="DXJ155" s="250"/>
      <c r="DXK155" s="250"/>
      <c r="DXL155" s="250"/>
      <c r="DXM155" s="250"/>
      <c r="DXN155" s="250"/>
      <c r="DXO155" s="250"/>
      <c r="DXP155" s="250"/>
      <c r="DXQ155" s="250"/>
      <c r="DXR155" s="250"/>
      <c r="DXS155" s="250"/>
      <c r="DXT155" s="250"/>
      <c r="DXU155" s="250"/>
      <c r="DXV155" s="250"/>
      <c r="DXW155" s="250"/>
      <c r="DXX155" s="250"/>
      <c r="DXY155" s="250"/>
      <c r="DXZ155" s="250"/>
      <c r="DYA155" s="250"/>
      <c r="DYB155" s="250"/>
      <c r="DYC155" s="250"/>
      <c r="DYD155" s="250"/>
      <c r="DYE155" s="250"/>
      <c r="DYF155" s="250"/>
      <c r="DYG155" s="250"/>
      <c r="DYH155" s="250"/>
      <c r="DYI155" s="250"/>
      <c r="DYJ155" s="250"/>
      <c r="DYK155" s="250"/>
      <c r="DYL155" s="250"/>
      <c r="DYM155" s="250"/>
      <c r="DYN155" s="250"/>
      <c r="DYO155" s="250"/>
      <c r="DYP155" s="250"/>
      <c r="DYQ155" s="250"/>
      <c r="DYR155" s="250"/>
      <c r="DYS155" s="250"/>
      <c r="DYT155" s="250"/>
      <c r="DYU155" s="250"/>
      <c r="DYV155" s="250"/>
      <c r="DYW155" s="250"/>
      <c r="DYX155" s="250"/>
      <c r="DYY155" s="250"/>
      <c r="DYZ155" s="250"/>
      <c r="DZA155" s="250"/>
      <c r="DZB155" s="250"/>
      <c r="DZC155" s="250"/>
      <c r="DZD155" s="250"/>
      <c r="DZE155" s="250"/>
      <c r="DZF155" s="250"/>
      <c r="DZG155" s="250"/>
      <c r="DZH155" s="250"/>
      <c r="DZI155" s="250"/>
      <c r="DZJ155" s="250"/>
      <c r="DZK155" s="250"/>
      <c r="DZL155" s="250"/>
      <c r="DZM155" s="250"/>
      <c r="DZN155" s="250"/>
      <c r="DZO155" s="250"/>
      <c r="DZP155" s="250"/>
      <c r="DZQ155" s="250"/>
      <c r="DZR155" s="250"/>
      <c r="DZS155" s="250"/>
      <c r="DZT155" s="250"/>
      <c r="DZU155" s="250"/>
      <c r="DZV155" s="250"/>
      <c r="DZW155" s="250"/>
      <c r="DZX155" s="250"/>
      <c r="DZY155" s="250"/>
      <c r="DZZ155" s="250"/>
      <c r="EAA155" s="250"/>
      <c r="EAB155" s="250"/>
      <c r="EAC155" s="250"/>
      <c r="EAD155" s="250"/>
      <c r="EAE155" s="250"/>
      <c r="EAF155" s="250"/>
      <c r="EAG155" s="250"/>
      <c r="EAH155" s="250"/>
      <c r="EAI155" s="250"/>
      <c r="EAJ155" s="250"/>
      <c r="EAK155" s="250"/>
      <c r="EAL155" s="250"/>
      <c r="EAM155" s="250"/>
      <c r="EAN155" s="250"/>
      <c r="EAO155" s="250"/>
      <c r="EAP155" s="250"/>
      <c r="EAQ155" s="250"/>
      <c r="EAR155" s="250"/>
      <c r="EAS155" s="250"/>
      <c r="EAT155" s="250"/>
      <c r="EAU155" s="250"/>
      <c r="EAV155" s="250"/>
      <c r="EAW155" s="250"/>
      <c r="EAX155" s="250"/>
      <c r="EAY155" s="250"/>
      <c r="EAZ155" s="250"/>
      <c r="EBA155" s="250"/>
      <c r="EBB155" s="250"/>
      <c r="EBC155" s="250"/>
      <c r="EBD155" s="250"/>
      <c r="EBE155" s="250"/>
      <c r="EBF155" s="250"/>
      <c r="EBG155" s="250"/>
      <c r="EBH155" s="250"/>
      <c r="EBI155" s="250"/>
      <c r="EBJ155" s="250"/>
      <c r="EBK155" s="250"/>
      <c r="EBL155" s="250"/>
      <c r="EBM155" s="250"/>
      <c r="EBN155" s="250"/>
      <c r="EBO155" s="250"/>
      <c r="EBP155" s="250"/>
      <c r="EBQ155" s="250"/>
      <c r="EBR155" s="250"/>
      <c r="EBS155" s="250"/>
      <c r="EBT155" s="250"/>
      <c r="EBU155" s="250"/>
      <c r="EBV155" s="250"/>
      <c r="EBW155" s="250"/>
      <c r="EBX155" s="250"/>
      <c r="EBY155" s="250"/>
      <c r="EBZ155" s="250"/>
      <c r="ECA155" s="250"/>
      <c r="ECB155" s="250"/>
      <c r="ECC155" s="250"/>
      <c r="ECD155" s="250"/>
      <c r="ECE155" s="250"/>
      <c r="ECF155" s="250"/>
      <c r="ECG155" s="250"/>
      <c r="ECH155" s="250"/>
      <c r="ECI155" s="250"/>
      <c r="ECJ155" s="250"/>
      <c r="ECK155" s="250"/>
      <c r="ECL155" s="250"/>
      <c r="ECM155" s="250"/>
      <c r="ECN155" s="250"/>
      <c r="ECO155" s="250"/>
      <c r="ECP155" s="250"/>
      <c r="ECQ155" s="250"/>
      <c r="ECR155" s="250"/>
      <c r="ECS155" s="250"/>
      <c r="ECT155" s="250"/>
      <c r="ECU155" s="250"/>
      <c r="ECV155" s="250"/>
      <c r="ECW155" s="250"/>
      <c r="ECX155" s="250"/>
      <c r="ECY155" s="250"/>
      <c r="ECZ155" s="250"/>
      <c r="EDA155" s="250"/>
      <c r="EDB155" s="250"/>
      <c r="EDC155" s="250"/>
      <c r="EDD155" s="250"/>
      <c r="EDE155" s="250"/>
      <c r="EDF155" s="250"/>
      <c r="EDG155" s="250"/>
      <c r="EDH155" s="250"/>
      <c r="EDI155" s="250"/>
      <c r="EDJ155" s="250"/>
      <c r="EDK155" s="250"/>
      <c r="EDL155" s="250"/>
      <c r="EDM155" s="250"/>
      <c r="EDN155" s="250"/>
      <c r="EDO155" s="250"/>
      <c r="EDP155" s="250"/>
      <c r="EDQ155" s="250"/>
      <c r="EDR155" s="250"/>
      <c r="EDS155" s="250"/>
      <c r="EDT155" s="250"/>
      <c r="EDU155" s="250"/>
      <c r="EDV155" s="250"/>
      <c r="EDW155" s="250"/>
      <c r="EDX155" s="250"/>
      <c r="EDY155" s="250"/>
      <c r="EDZ155" s="250"/>
      <c r="EEA155" s="250"/>
      <c r="EEB155" s="250"/>
      <c r="EEC155" s="250"/>
      <c r="EED155" s="250"/>
      <c r="EEE155" s="250"/>
      <c r="EEF155" s="250"/>
      <c r="EEG155" s="250"/>
      <c r="EEH155" s="250"/>
      <c r="EEI155" s="250"/>
      <c r="EEJ155" s="250"/>
      <c r="EEK155" s="250"/>
      <c r="EEL155" s="250"/>
      <c r="EEM155" s="250"/>
      <c r="EEN155" s="250"/>
      <c r="EEO155" s="250"/>
      <c r="EEP155" s="250"/>
      <c r="EEQ155" s="250"/>
      <c r="EER155" s="250"/>
      <c r="EES155" s="250"/>
      <c r="EET155" s="250"/>
      <c r="EEU155" s="250"/>
      <c r="EEV155" s="250"/>
      <c r="EEW155" s="250"/>
      <c r="EEX155" s="250"/>
      <c r="EEY155" s="250"/>
      <c r="EEZ155" s="250"/>
      <c r="EFA155" s="250"/>
      <c r="EFB155" s="250"/>
      <c r="EFC155" s="250"/>
      <c r="EFD155" s="250"/>
      <c r="EFE155" s="250"/>
      <c r="EFF155" s="250"/>
      <c r="EFG155" s="250"/>
      <c r="EFH155" s="250"/>
      <c r="EFI155" s="250"/>
      <c r="EFJ155" s="250"/>
      <c r="EFK155" s="250"/>
      <c r="EFL155" s="250"/>
      <c r="EFM155" s="250"/>
      <c r="EFN155" s="250"/>
      <c r="EFO155" s="250"/>
      <c r="EFP155" s="250"/>
      <c r="EFQ155" s="250"/>
      <c r="EFR155" s="250"/>
      <c r="EFS155" s="250"/>
      <c r="EFT155" s="250"/>
      <c r="EFU155" s="250"/>
      <c r="EFV155" s="250"/>
      <c r="EFW155" s="250"/>
      <c r="EFX155" s="250"/>
      <c r="EFY155" s="250"/>
      <c r="EFZ155" s="250"/>
      <c r="EGA155" s="250"/>
      <c r="EGB155" s="250"/>
      <c r="EGC155" s="250"/>
      <c r="EGD155" s="250"/>
      <c r="EGE155" s="250"/>
      <c r="EGF155" s="250"/>
      <c r="EGG155" s="250"/>
      <c r="EGH155" s="250"/>
      <c r="EGI155" s="250"/>
      <c r="EGJ155" s="250"/>
      <c r="EGK155" s="250"/>
      <c r="EGL155" s="250"/>
      <c r="EGM155" s="250"/>
      <c r="EGN155" s="250"/>
      <c r="EGO155" s="250"/>
      <c r="EGP155" s="250"/>
      <c r="EGQ155" s="250"/>
      <c r="EGR155" s="250"/>
      <c r="EGS155" s="250"/>
      <c r="EGT155" s="250"/>
      <c r="EGU155" s="250"/>
      <c r="EGV155" s="250"/>
      <c r="EGW155" s="250"/>
      <c r="EGX155" s="250"/>
      <c r="EGY155" s="250"/>
      <c r="EGZ155" s="250"/>
      <c r="EHA155" s="250"/>
      <c r="EHB155" s="250"/>
      <c r="EHC155" s="250"/>
      <c r="EHD155" s="250"/>
      <c r="EHE155" s="250"/>
      <c r="EHF155" s="250"/>
      <c r="EHG155" s="250"/>
      <c r="EHH155" s="250"/>
      <c r="EHI155" s="250"/>
      <c r="EHJ155" s="250"/>
      <c r="EHK155" s="250"/>
      <c r="EHL155" s="250"/>
      <c r="EHM155" s="250"/>
      <c r="EHN155" s="250"/>
      <c r="EHO155" s="250"/>
      <c r="EHP155" s="250"/>
      <c r="EHQ155" s="250"/>
      <c r="EHR155" s="250"/>
      <c r="EHS155" s="250"/>
      <c r="EHT155" s="250"/>
      <c r="EHU155" s="250"/>
      <c r="EHV155" s="250"/>
      <c r="EHW155" s="250"/>
      <c r="EHX155" s="250"/>
      <c r="EHY155" s="250"/>
      <c r="EHZ155" s="250"/>
      <c r="EIA155" s="250"/>
      <c r="EIB155" s="250"/>
      <c r="EIC155" s="250"/>
      <c r="EID155" s="250"/>
      <c r="EIE155" s="250"/>
      <c r="EIF155" s="250"/>
      <c r="EIG155" s="250"/>
      <c r="EIH155" s="250"/>
      <c r="EII155" s="250"/>
      <c r="EIJ155" s="250"/>
      <c r="EIK155" s="250"/>
      <c r="EIL155" s="250"/>
      <c r="EIM155" s="250"/>
      <c r="EIN155" s="250"/>
      <c r="EIO155" s="250"/>
      <c r="EIP155" s="250"/>
      <c r="EIQ155" s="250"/>
      <c r="EIR155" s="250"/>
      <c r="EIS155" s="250"/>
      <c r="EIT155" s="250"/>
      <c r="EIU155" s="250"/>
      <c r="EIV155" s="250"/>
      <c r="EIW155" s="250"/>
      <c r="EIX155" s="250"/>
      <c r="EIY155" s="250"/>
      <c r="EIZ155" s="250"/>
      <c r="EJA155" s="250"/>
      <c r="EJB155" s="250"/>
      <c r="EJC155" s="250"/>
      <c r="EJD155" s="250"/>
      <c r="EJE155" s="250"/>
      <c r="EJF155" s="250"/>
      <c r="EJG155" s="250"/>
      <c r="EJH155" s="250"/>
      <c r="EJI155" s="250"/>
      <c r="EJJ155" s="250"/>
      <c r="EJK155" s="250"/>
      <c r="EJL155" s="250"/>
      <c r="EJM155" s="250"/>
      <c r="EJN155" s="250"/>
      <c r="EJO155" s="250"/>
      <c r="EJP155" s="250"/>
      <c r="EJQ155" s="250"/>
      <c r="EJR155" s="250"/>
      <c r="EJS155" s="250"/>
      <c r="EJT155" s="250"/>
      <c r="EJU155" s="250"/>
      <c r="EJV155" s="250"/>
      <c r="EJW155" s="250"/>
      <c r="EJX155" s="250"/>
      <c r="EJY155" s="250"/>
      <c r="EJZ155" s="250"/>
      <c r="EKA155" s="250"/>
      <c r="EKB155" s="250"/>
      <c r="EKC155" s="250"/>
      <c r="EKD155" s="250"/>
      <c r="EKE155" s="250"/>
      <c r="EKF155" s="250"/>
      <c r="EKG155" s="250"/>
      <c r="EKH155" s="250"/>
      <c r="EKI155" s="250"/>
      <c r="EKJ155" s="250"/>
      <c r="EKK155" s="250"/>
      <c r="EKL155" s="250"/>
      <c r="EKM155" s="250"/>
      <c r="EKN155" s="250"/>
      <c r="EKO155" s="250"/>
      <c r="EKP155" s="250"/>
      <c r="EKQ155" s="250"/>
      <c r="EKR155" s="250"/>
      <c r="EKS155" s="250"/>
      <c r="EKT155" s="250"/>
      <c r="EKU155" s="250"/>
      <c r="EKV155" s="250"/>
      <c r="EKW155" s="250"/>
      <c r="EKX155" s="250"/>
      <c r="EKY155" s="250"/>
      <c r="EKZ155" s="250"/>
      <c r="ELA155" s="250"/>
      <c r="ELB155" s="250"/>
      <c r="ELC155" s="250"/>
      <c r="ELD155" s="250"/>
      <c r="ELE155" s="250"/>
      <c r="ELF155" s="250"/>
      <c r="ELG155" s="250"/>
      <c r="ELH155" s="250"/>
      <c r="ELI155" s="250"/>
      <c r="ELJ155" s="250"/>
      <c r="ELK155" s="250"/>
      <c r="ELL155" s="250"/>
      <c r="ELM155" s="250"/>
      <c r="ELN155" s="250"/>
      <c r="ELO155" s="250"/>
      <c r="ELP155" s="250"/>
      <c r="ELQ155" s="250"/>
      <c r="ELR155" s="250"/>
      <c r="ELS155" s="250"/>
      <c r="ELT155" s="250"/>
      <c r="ELU155" s="250"/>
      <c r="ELV155" s="250"/>
      <c r="ELW155" s="250"/>
      <c r="ELX155" s="250"/>
      <c r="ELY155" s="250"/>
      <c r="ELZ155" s="250"/>
      <c r="EMA155" s="250"/>
      <c r="EMB155" s="250"/>
      <c r="EMC155" s="250"/>
      <c r="EMD155" s="250"/>
      <c r="EME155" s="250"/>
      <c r="EMF155" s="250"/>
      <c r="EMG155" s="250"/>
      <c r="EMH155" s="250"/>
      <c r="EMI155" s="250"/>
      <c r="EMJ155" s="250"/>
      <c r="EMK155" s="250"/>
      <c r="EML155" s="250"/>
      <c r="EMM155" s="250"/>
      <c r="EMN155" s="250"/>
      <c r="EMO155" s="250"/>
      <c r="EMP155" s="250"/>
      <c r="EMQ155" s="250"/>
      <c r="EMR155" s="250"/>
      <c r="EMS155" s="250"/>
      <c r="EMT155" s="250"/>
      <c r="EMU155" s="250"/>
      <c r="EMV155" s="250"/>
      <c r="EMW155" s="250"/>
      <c r="EMX155" s="250"/>
      <c r="EMY155" s="250"/>
      <c r="EMZ155" s="250"/>
      <c r="ENA155" s="250"/>
      <c r="ENB155" s="250"/>
      <c r="ENC155" s="250"/>
      <c r="END155" s="250"/>
      <c r="ENE155" s="250"/>
      <c r="ENF155" s="250"/>
      <c r="ENG155" s="250"/>
      <c r="ENH155" s="250"/>
      <c r="ENI155" s="250"/>
      <c r="ENJ155" s="250"/>
      <c r="ENK155" s="250"/>
      <c r="ENL155" s="250"/>
      <c r="ENM155" s="250"/>
      <c r="ENN155" s="250"/>
      <c r="ENO155" s="250"/>
      <c r="ENP155" s="250"/>
      <c r="ENQ155" s="250"/>
      <c r="ENR155" s="250"/>
      <c r="ENS155" s="250"/>
      <c r="ENT155" s="250"/>
      <c r="ENU155" s="250"/>
      <c r="ENV155" s="250"/>
      <c r="ENW155" s="250"/>
      <c r="ENX155" s="250"/>
      <c r="ENY155" s="250"/>
      <c r="ENZ155" s="250"/>
      <c r="EOA155" s="250"/>
      <c r="EOB155" s="250"/>
      <c r="EOC155" s="250"/>
      <c r="EOD155" s="250"/>
      <c r="EOE155" s="250"/>
      <c r="EOF155" s="250"/>
      <c r="EOG155" s="250"/>
      <c r="EOH155" s="250"/>
      <c r="EOI155" s="250"/>
      <c r="EOJ155" s="250"/>
      <c r="EOK155" s="250"/>
      <c r="EOL155" s="250"/>
      <c r="EOM155" s="250"/>
      <c r="EON155" s="250"/>
      <c r="EOO155" s="250"/>
      <c r="EOP155" s="250"/>
      <c r="EOQ155" s="250"/>
      <c r="EOR155" s="250"/>
      <c r="EOS155" s="250"/>
      <c r="EOT155" s="250"/>
      <c r="EOU155" s="250"/>
      <c r="EOV155" s="250"/>
      <c r="EOW155" s="250"/>
      <c r="EOX155" s="250"/>
      <c r="EOY155" s="250"/>
      <c r="EOZ155" s="250"/>
      <c r="EPA155" s="250"/>
      <c r="EPB155" s="250"/>
      <c r="EPC155" s="250"/>
      <c r="EPD155" s="250"/>
      <c r="EPE155" s="250"/>
      <c r="EPF155" s="250"/>
      <c r="EPG155" s="250"/>
      <c r="EPH155" s="250"/>
      <c r="EPI155" s="250"/>
      <c r="EPJ155" s="250"/>
      <c r="EPK155" s="250"/>
      <c r="EPL155" s="250"/>
      <c r="EPM155" s="250"/>
      <c r="EPN155" s="250"/>
      <c r="EPO155" s="250"/>
      <c r="EPP155" s="250"/>
      <c r="EPQ155" s="250"/>
      <c r="EPR155" s="250"/>
      <c r="EPS155" s="250"/>
      <c r="EPT155" s="250"/>
      <c r="EPU155" s="250"/>
      <c r="EPV155" s="250"/>
      <c r="EPW155" s="250"/>
      <c r="EPX155" s="250"/>
      <c r="EPY155" s="250"/>
      <c r="EPZ155" s="250"/>
      <c r="EQA155" s="250"/>
      <c r="EQB155" s="250"/>
      <c r="EQC155" s="250"/>
      <c r="EQD155" s="250"/>
      <c r="EQE155" s="250"/>
      <c r="EQF155" s="250"/>
      <c r="EQG155" s="250"/>
      <c r="EQH155" s="250"/>
      <c r="EQI155" s="250"/>
      <c r="EQJ155" s="250"/>
      <c r="EQK155" s="250"/>
      <c r="EQL155" s="250"/>
      <c r="EQM155" s="250"/>
      <c r="EQN155" s="250"/>
      <c r="EQO155" s="250"/>
      <c r="EQP155" s="250"/>
      <c r="EQQ155" s="250"/>
      <c r="EQR155" s="250"/>
      <c r="EQS155" s="250"/>
      <c r="EQT155" s="250"/>
      <c r="EQU155" s="250"/>
      <c r="EQV155" s="250"/>
      <c r="EQW155" s="250"/>
      <c r="EQX155" s="250"/>
      <c r="EQY155" s="250"/>
      <c r="EQZ155" s="250"/>
      <c r="ERA155" s="250"/>
      <c r="ERB155" s="250"/>
      <c r="ERC155" s="250"/>
      <c r="ERD155" s="250"/>
      <c r="ERE155" s="250"/>
      <c r="ERF155" s="250"/>
      <c r="ERG155" s="250"/>
      <c r="ERH155" s="250"/>
      <c r="ERI155" s="250"/>
      <c r="ERJ155" s="250"/>
      <c r="ERK155" s="250"/>
      <c r="ERL155" s="250"/>
      <c r="ERM155" s="250"/>
      <c r="ERN155" s="250"/>
      <c r="ERO155" s="250"/>
      <c r="ERP155" s="250"/>
      <c r="ERQ155" s="250"/>
      <c r="ERR155" s="250"/>
      <c r="ERS155" s="250"/>
      <c r="ERT155" s="250"/>
      <c r="ERU155" s="250"/>
      <c r="ERV155" s="250"/>
      <c r="ERW155" s="250"/>
      <c r="ERX155" s="250"/>
      <c r="ERY155" s="250"/>
      <c r="ERZ155" s="250"/>
      <c r="ESA155" s="250"/>
      <c r="ESB155" s="250"/>
      <c r="ESC155" s="250"/>
      <c r="ESD155" s="250"/>
      <c r="ESE155" s="250"/>
      <c r="ESF155" s="250"/>
      <c r="ESG155" s="250"/>
      <c r="ESH155" s="250"/>
      <c r="ESI155" s="250"/>
      <c r="ESJ155" s="250"/>
      <c r="ESK155" s="250"/>
      <c r="ESL155" s="250"/>
      <c r="ESM155" s="250"/>
      <c r="ESN155" s="250"/>
      <c r="ESO155" s="250"/>
      <c r="ESP155" s="250"/>
      <c r="ESQ155" s="250"/>
      <c r="ESR155" s="250"/>
      <c r="ESS155" s="250"/>
      <c r="EST155" s="250"/>
      <c r="ESU155" s="250"/>
      <c r="ESV155" s="250"/>
      <c r="ESW155" s="250"/>
      <c r="ESX155" s="250"/>
      <c r="ESY155" s="250"/>
      <c r="ESZ155" s="250"/>
      <c r="ETA155" s="250"/>
      <c r="ETB155" s="250"/>
      <c r="ETC155" s="250"/>
      <c r="ETD155" s="250"/>
      <c r="ETE155" s="250"/>
      <c r="ETF155" s="250"/>
      <c r="ETG155" s="250"/>
      <c r="ETH155" s="250"/>
      <c r="ETI155" s="250"/>
      <c r="ETJ155" s="250"/>
      <c r="ETK155" s="250"/>
      <c r="ETL155" s="250"/>
      <c r="ETM155" s="250"/>
      <c r="ETN155" s="250"/>
      <c r="ETO155" s="250"/>
      <c r="ETP155" s="250"/>
      <c r="ETQ155" s="250"/>
      <c r="ETR155" s="250"/>
      <c r="ETS155" s="250"/>
      <c r="ETT155" s="250"/>
      <c r="ETU155" s="250"/>
      <c r="ETV155" s="250"/>
      <c r="ETW155" s="250"/>
      <c r="ETX155" s="250"/>
      <c r="ETY155" s="250"/>
      <c r="ETZ155" s="250"/>
      <c r="EUA155" s="250"/>
      <c r="EUB155" s="250"/>
      <c r="EUC155" s="250"/>
      <c r="EUD155" s="250"/>
      <c r="EUE155" s="250"/>
      <c r="EUF155" s="250"/>
      <c r="EUG155" s="250"/>
      <c r="EUH155" s="250"/>
      <c r="EUI155" s="250"/>
      <c r="EUJ155" s="250"/>
      <c r="EUK155" s="250"/>
      <c r="EUL155" s="250"/>
      <c r="EUM155" s="250"/>
      <c r="EUN155" s="250"/>
      <c r="EUO155" s="250"/>
      <c r="EUP155" s="250"/>
      <c r="EUQ155" s="250"/>
      <c r="EUR155" s="250"/>
      <c r="EUS155" s="250"/>
      <c r="EUT155" s="250"/>
      <c r="EUU155" s="250"/>
      <c r="EUV155" s="250"/>
      <c r="EUW155" s="250"/>
      <c r="EUX155" s="250"/>
      <c r="EUY155" s="250"/>
      <c r="EUZ155" s="250"/>
      <c r="EVA155" s="250"/>
      <c r="EVB155" s="250"/>
      <c r="EVC155" s="250"/>
      <c r="EVD155" s="250"/>
      <c r="EVE155" s="250"/>
      <c r="EVF155" s="250"/>
      <c r="EVG155" s="250"/>
      <c r="EVH155" s="250"/>
      <c r="EVI155" s="250"/>
      <c r="EVJ155" s="250"/>
      <c r="EVK155" s="250"/>
      <c r="EVL155" s="250"/>
      <c r="EVM155" s="250"/>
      <c r="EVN155" s="250"/>
      <c r="EVO155" s="250"/>
      <c r="EVP155" s="250"/>
      <c r="EVQ155" s="250"/>
      <c r="EVR155" s="250"/>
      <c r="EVS155" s="250"/>
      <c r="EVT155" s="250"/>
      <c r="EVU155" s="250"/>
      <c r="EVV155" s="250"/>
      <c r="EVW155" s="250"/>
      <c r="EVX155" s="250"/>
      <c r="EVY155" s="250"/>
      <c r="EVZ155" s="250"/>
      <c r="EWA155" s="250"/>
      <c r="EWB155" s="250"/>
      <c r="EWC155" s="250"/>
      <c r="EWD155" s="250"/>
      <c r="EWE155" s="250"/>
      <c r="EWF155" s="250"/>
      <c r="EWG155" s="250"/>
      <c r="EWH155" s="250"/>
      <c r="EWI155" s="250"/>
      <c r="EWJ155" s="250"/>
      <c r="EWK155" s="250"/>
      <c r="EWL155" s="250"/>
      <c r="EWM155" s="250"/>
      <c r="EWN155" s="250"/>
      <c r="EWO155" s="250"/>
      <c r="EWP155" s="250"/>
      <c r="EWQ155" s="250"/>
      <c r="EWR155" s="250"/>
      <c r="EWS155" s="250"/>
      <c r="EWT155" s="250"/>
      <c r="EWU155" s="250"/>
      <c r="EWV155" s="250"/>
      <c r="EWW155" s="250"/>
      <c r="EWX155" s="250"/>
      <c r="EWY155" s="250"/>
      <c r="EWZ155" s="250"/>
      <c r="EXA155" s="250"/>
      <c r="EXB155" s="250"/>
      <c r="EXC155" s="250"/>
      <c r="EXD155" s="250"/>
      <c r="EXE155" s="250"/>
      <c r="EXF155" s="250"/>
      <c r="EXG155" s="250"/>
      <c r="EXH155" s="250"/>
      <c r="EXI155" s="250"/>
      <c r="EXJ155" s="250"/>
      <c r="EXK155" s="250"/>
      <c r="EXL155" s="250"/>
      <c r="EXM155" s="250"/>
      <c r="EXN155" s="250"/>
      <c r="EXO155" s="250"/>
      <c r="EXP155" s="250"/>
      <c r="EXQ155" s="250"/>
      <c r="EXR155" s="250"/>
      <c r="EXS155" s="250"/>
      <c r="EXT155" s="250"/>
      <c r="EXU155" s="250"/>
      <c r="EXV155" s="250"/>
      <c r="EXW155" s="250"/>
      <c r="EXX155" s="250"/>
      <c r="EXY155" s="250"/>
      <c r="EXZ155" s="250"/>
      <c r="EYA155" s="250"/>
      <c r="EYB155" s="250"/>
      <c r="EYC155" s="250"/>
      <c r="EYD155" s="250"/>
      <c r="EYE155" s="250"/>
      <c r="EYF155" s="250"/>
      <c r="EYG155" s="250"/>
      <c r="EYH155" s="250"/>
      <c r="EYI155" s="250"/>
      <c r="EYJ155" s="250"/>
      <c r="EYK155" s="250"/>
      <c r="EYL155" s="250"/>
      <c r="EYM155" s="250"/>
      <c r="EYN155" s="250"/>
      <c r="EYO155" s="250"/>
      <c r="EYP155" s="250"/>
      <c r="EYQ155" s="250"/>
      <c r="EYR155" s="250"/>
      <c r="EYS155" s="250"/>
      <c r="EYT155" s="250"/>
      <c r="EYU155" s="250"/>
      <c r="EYV155" s="250"/>
      <c r="EYW155" s="250"/>
      <c r="EYX155" s="250"/>
      <c r="EYY155" s="250"/>
      <c r="EYZ155" s="250"/>
      <c r="EZA155" s="250"/>
      <c r="EZB155" s="250"/>
      <c r="EZC155" s="250"/>
      <c r="EZD155" s="250"/>
      <c r="EZE155" s="250"/>
      <c r="EZF155" s="250"/>
      <c r="EZG155" s="250"/>
      <c r="EZH155" s="250"/>
      <c r="EZI155" s="250"/>
      <c r="EZJ155" s="250"/>
      <c r="EZK155" s="250"/>
      <c r="EZL155" s="250"/>
      <c r="EZM155" s="250"/>
      <c r="EZN155" s="250"/>
      <c r="EZO155" s="250"/>
      <c r="EZP155" s="250"/>
      <c r="EZQ155" s="250"/>
      <c r="EZR155" s="250"/>
      <c r="EZS155" s="250"/>
      <c r="EZT155" s="250"/>
      <c r="EZU155" s="250"/>
      <c r="EZV155" s="250"/>
      <c r="EZW155" s="250"/>
      <c r="EZX155" s="250"/>
      <c r="EZY155" s="250"/>
      <c r="EZZ155" s="250"/>
      <c r="FAA155" s="250"/>
      <c r="FAB155" s="250"/>
      <c r="FAC155" s="250"/>
      <c r="FAD155" s="250"/>
      <c r="FAE155" s="250"/>
      <c r="FAF155" s="250"/>
      <c r="FAG155" s="250"/>
      <c r="FAH155" s="250"/>
      <c r="FAI155" s="250"/>
      <c r="FAJ155" s="250"/>
      <c r="FAK155" s="250"/>
      <c r="FAL155" s="250"/>
      <c r="FAM155" s="250"/>
      <c r="FAN155" s="250"/>
      <c r="FAO155" s="250"/>
      <c r="FAP155" s="250"/>
      <c r="FAQ155" s="250"/>
      <c r="FAR155" s="250"/>
      <c r="FAS155" s="250"/>
      <c r="FAT155" s="250"/>
      <c r="FAU155" s="250"/>
      <c r="FAV155" s="250"/>
      <c r="FAW155" s="250"/>
      <c r="FAX155" s="250"/>
      <c r="FAY155" s="250"/>
      <c r="FAZ155" s="250"/>
      <c r="FBA155" s="250"/>
      <c r="FBB155" s="250"/>
      <c r="FBC155" s="250"/>
      <c r="FBD155" s="250"/>
      <c r="FBE155" s="250"/>
      <c r="FBF155" s="250"/>
      <c r="FBG155" s="250"/>
      <c r="FBH155" s="250"/>
      <c r="FBI155" s="250"/>
      <c r="FBJ155" s="250"/>
      <c r="FBK155" s="250"/>
      <c r="FBL155" s="250"/>
      <c r="FBM155" s="250"/>
      <c r="FBN155" s="250"/>
      <c r="FBO155" s="250"/>
      <c r="FBP155" s="250"/>
      <c r="FBQ155" s="250"/>
      <c r="FBR155" s="250"/>
      <c r="FBS155" s="250"/>
      <c r="FBT155" s="250"/>
      <c r="FBU155" s="250"/>
      <c r="FBV155" s="250"/>
      <c r="FBW155" s="250"/>
      <c r="FBX155" s="250"/>
      <c r="FBY155" s="250"/>
      <c r="FBZ155" s="250"/>
      <c r="FCA155" s="250"/>
      <c r="FCB155" s="250"/>
      <c r="FCC155" s="250"/>
      <c r="FCD155" s="250"/>
      <c r="FCE155" s="250"/>
      <c r="FCF155" s="250"/>
      <c r="FCG155" s="250"/>
      <c r="FCH155" s="250"/>
      <c r="FCI155" s="250"/>
      <c r="FCJ155" s="250"/>
      <c r="FCK155" s="250"/>
      <c r="FCL155" s="250"/>
      <c r="FCM155" s="250"/>
      <c r="FCN155" s="250"/>
      <c r="FCO155" s="250"/>
      <c r="FCP155" s="250"/>
      <c r="FCQ155" s="250"/>
      <c r="FCR155" s="250"/>
      <c r="FCS155" s="250"/>
      <c r="FCT155" s="250"/>
      <c r="FCU155" s="250"/>
      <c r="FCV155" s="250"/>
      <c r="FCW155" s="250"/>
      <c r="FCX155" s="250"/>
      <c r="FCY155" s="250"/>
      <c r="FCZ155" s="250"/>
      <c r="FDA155" s="250"/>
      <c r="FDB155" s="250"/>
      <c r="FDC155" s="250"/>
      <c r="FDD155" s="250"/>
      <c r="FDE155" s="250"/>
      <c r="FDF155" s="250"/>
      <c r="FDG155" s="250"/>
      <c r="FDH155" s="250"/>
      <c r="FDI155" s="250"/>
      <c r="FDJ155" s="250"/>
      <c r="FDK155" s="250"/>
      <c r="FDL155" s="250"/>
      <c r="FDM155" s="250"/>
      <c r="FDN155" s="250"/>
      <c r="FDO155" s="250"/>
      <c r="FDP155" s="250"/>
      <c r="FDQ155" s="250"/>
      <c r="FDR155" s="250"/>
      <c r="FDS155" s="250"/>
      <c r="FDT155" s="250"/>
      <c r="FDU155" s="250"/>
      <c r="FDV155" s="250"/>
      <c r="FDW155" s="250"/>
      <c r="FDX155" s="250"/>
      <c r="FDY155" s="250"/>
      <c r="FDZ155" s="250"/>
      <c r="FEA155" s="250"/>
      <c r="FEB155" s="250"/>
      <c r="FEC155" s="250"/>
      <c r="FED155" s="250"/>
      <c r="FEE155" s="250"/>
      <c r="FEF155" s="250"/>
      <c r="FEG155" s="250"/>
      <c r="FEH155" s="250"/>
      <c r="FEI155" s="250"/>
      <c r="FEJ155" s="250"/>
      <c r="FEK155" s="250"/>
      <c r="FEL155" s="250"/>
      <c r="FEM155" s="250"/>
      <c r="FEN155" s="250"/>
      <c r="FEO155" s="250"/>
      <c r="FEP155" s="250"/>
      <c r="FEQ155" s="250"/>
      <c r="FER155" s="250"/>
      <c r="FES155" s="250"/>
      <c r="FET155" s="250"/>
      <c r="FEU155" s="250"/>
      <c r="FEV155" s="250"/>
      <c r="FEW155" s="250"/>
      <c r="FEX155" s="250"/>
      <c r="FEY155" s="250"/>
      <c r="FEZ155" s="250"/>
      <c r="FFA155" s="250"/>
      <c r="FFB155" s="250"/>
      <c r="FFC155" s="250"/>
      <c r="FFD155" s="250"/>
      <c r="FFE155" s="250"/>
      <c r="FFF155" s="250"/>
      <c r="FFG155" s="250"/>
      <c r="FFH155" s="250"/>
      <c r="FFI155" s="250"/>
      <c r="FFJ155" s="250"/>
      <c r="FFK155" s="250"/>
      <c r="FFL155" s="250"/>
      <c r="FFM155" s="250"/>
      <c r="FFN155" s="250"/>
      <c r="FFO155" s="250"/>
      <c r="FFP155" s="250"/>
      <c r="FFQ155" s="250"/>
      <c r="FFR155" s="250"/>
      <c r="FFS155" s="250"/>
      <c r="FFT155" s="250"/>
      <c r="FFU155" s="250"/>
      <c r="FFV155" s="250"/>
      <c r="FFW155" s="250"/>
      <c r="FFX155" s="250"/>
      <c r="FFY155" s="250"/>
      <c r="FFZ155" s="250"/>
      <c r="FGA155" s="250"/>
      <c r="FGB155" s="250"/>
      <c r="FGC155" s="250"/>
      <c r="FGD155" s="250"/>
      <c r="FGE155" s="250"/>
      <c r="FGF155" s="250"/>
      <c r="FGG155" s="250"/>
      <c r="FGH155" s="250"/>
      <c r="FGI155" s="250"/>
      <c r="FGJ155" s="250"/>
      <c r="FGK155" s="250"/>
      <c r="FGL155" s="250"/>
      <c r="FGM155" s="250"/>
      <c r="FGN155" s="250"/>
      <c r="FGO155" s="250"/>
      <c r="FGP155" s="250"/>
      <c r="FGQ155" s="250"/>
      <c r="FGR155" s="250"/>
      <c r="FGS155" s="250"/>
      <c r="FGT155" s="250"/>
      <c r="FGU155" s="250"/>
      <c r="FGV155" s="250"/>
      <c r="FGW155" s="250"/>
      <c r="FGX155" s="250"/>
      <c r="FGY155" s="250"/>
      <c r="FGZ155" s="250"/>
      <c r="FHA155" s="250"/>
      <c r="FHB155" s="250"/>
      <c r="FHC155" s="250"/>
      <c r="FHD155" s="250"/>
      <c r="FHE155" s="250"/>
      <c r="FHF155" s="250"/>
      <c r="FHG155" s="250"/>
      <c r="FHH155" s="250"/>
      <c r="FHI155" s="250"/>
      <c r="FHJ155" s="250"/>
      <c r="FHK155" s="250"/>
      <c r="FHL155" s="250"/>
      <c r="FHM155" s="250"/>
      <c r="FHN155" s="250"/>
      <c r="FHO155" s="250"/>
      <c r="FHP155" s="250"/>
      <c r="FHQ155" s="250"/>
      <c r="FHR155" s="250"/>
      <c r="FHS155" s="250"/>
      <c r="FHT155" s="250"/>
      <c r="FHU155" s="250"/>
      <c r="FHV155" s="250"/>
      <c r="FHW155" s="250"/>
      <c r="FHX155" s="250"/>
      <c r="FHY155" s="250"/>
      <c r="FHZ155" s="250"/>
      <c r="FIA155" s="250"/>
      <c r="FIB155" s="250"/>
      <c r="FIC155" s="250"/>
      <c r="FID155" s="250"/>
      <c r="FIE155" s="250"/>
      <c r="FIF155" s="250"/>
      <c r="FIG155" s="250"/>
      <c r="FIH155" s="250"/>
      <c r="FII155" s="250"/>
      <c r="FIJ155" s="250"/>
      <c r="FIK155" s="250"/>
      <c r="FIL155" s="250"/>
      <c r="FIM155" s="250"/>
      <c r="FIN155" s="250"/>
      <c r="FIO155" s="250"/>
      <c r="FIP155" s="250"/>
      <c r="FIQ155" s="250"/>
      <c r="FIR155" s="250"/>
      <c r="FIS155" s="250"/>
      <c r="FIT155" s="250"/>
      <c r="FIU155" s="250"/>
      <c r="FIV155" s="250"/>
      <c r="FIW155" s="250"/>
      <c r="FIX155" s="250"/>
      <c r="FIY155" s="250"/>
      <c r="FIZ155" s="250"/>
      <c r="FJA155" s="250"/>
      <c r="FJB155" s="250"/>
      <c r="FJC155" s="250"/>
      <c r="FJD155" s="250"/>
      <c r="FJE155" s="250"/>
      <c r="FJF155" s="250"/>
      <c r="FJG155" s="250"/>
      <c r="FJH155" s="250"/>
      <c r="FJI155" s="250"/>
      <c r="FJJ155" s="250"/>
      <c r="FJK155" s="250"/>
      <c r="FJL155" s="250"/>
      <c r="FJM155" s="250"/>
      <c r="FJN155" s="250"/>
      <c r="FJO155" s="250"/>
      <c r="FJP155" s="250"/>
      <c r="FJQ155" s="250"/>
      <c r="FJR155" s="250"/>
      <c r="FJS155" s="250"/>
      <c r="FJT155" s="250"/>
      <c r="FJU155" s="250"/>
      <c r="FJV155" s="250"/>
      <c r="FJW155" s="250"/>
      <c r="FJX155" s="250"/>
      <c r="FJY155" s="250"/>
      <c r="FJZ155" s="250"/>
      <c r="FKA155" s="250"/>
      <c r="FKB155" s="250"/>
      <c r="FKC155" s="250"/>
      <c r="FKD155" s="250"/>
      <c r="FKE155" s="250"/>
      <c r="FKF155" s="250"/>
      <c r="FKG155" s="250"/>
      <c r="FKH155" s="250"/>
      <c r="FKI155" s="250"/>
      <c r="FKJ155" s="250"/>
      <c r="FKK155" s="250"/>
      <c r="FKL155" s="250"/>
      <c r="FKM155" s="250"/>
      <c r="FKN155" s="250"/>
      <c r="FKO155" s="250"/>
      <c r="FKP155" s="250"/>
      <c r="FKQ155" s="250"/>
      <c r="FKR155" s="250"/>
      <c r="FKS155" s="250"/>
      <c r="FKT155" s="250"/>
      <c r="FKU155" s="250"/>
      <c r="FKV155" s="250"/>
      <c r="FKW155" s="250"/>
      <c r="FKX155" s="250"/>
      <c r="FKY155" s="250"/>
      <c r="FKZ155" s="250"/>
      <c r="FLA155" s="250"/>
      <c r="FLB155" s="250"/>
      <c r="FLC155" s="250"/>
      <c r="FLD155" s="250"/>
      <c r="FLE155" s="250"/>
      <c r="FLF155" s="250"/>
      <c r="FLG155" s="250"/>
      <c r="FLH155" s="250"/>
      <c r="FLI155" s="250"/>
      <c r="FLJ155" s="250"/>
      <c r="FLK155" s="250"/>
      <c r="FLL155" s="250"/>
      <c r="FLM155" s="250"/>
      <c r="FLN155" s="250"/>
      <c r="FLO155" s="250"/>
      <c r="FLP155" s="250"/>
      <c r="FLQ155" s="250"/>
      <c r="FLR155" s="250"/>
      <c r="FLS155" s="250"/>
      <c r="FLT155" s="250"/>
      <c r="FLU155" s="250"/>
      <c r="FLV155" s="250"/>
      <c r="FLW155" s="250"/>
      <c r="FLX155" s="250"/>
      <c r="FLY155" s="250"/>
      <c r="FLZ155" s="250"/>
      <c r="FMA155" s="250"/>
      <c r="FMB155" s="250"/>
      <c r="FMC155" s="250"/>
      <c r="FMD155" s="250"/>
      <c r="FME155" s="250"/>
      <c r="FMF155" s="250"/>
      <c r="FMG155" s="250"/>
      <c r="FMH155" s="250"/>
      <c r="FMI155" s="250"/>
      <c r="FMJ155" s="250"/>
      <c r="FMK155" s="250"/>
      <c r="FML155" s="250"/>
      <c r="FMM155" s="250"/>
      <c r="FMN155" s="250"/>
      <c r="FMO155" s="250"/>
      <c r="FMP155" s="250"/>
      <c r="FMQ155" s="250"/>
      <c r="FMR155" s="250"/>
      <c r="FMS155" s="250"/>
      <c r="FMT155" s="250"/>
      <c r="FMU155" s="250"/>
      <c r="FMV155" s="250"/>
      <c r="FMW155" s="250"/>
      <c r="FMX155" s="250"/>
      <c r="FMY155" s="250"/>
      <c r="FMZ155" s="250"/>
      <c r="FNA155" s="250"/>
      <c r="FNB155" s="250"/>
      <c r="FNC155" s="250"/>
      <c r="FND155" s="250"/>
      <c r="FNE155" s="250"/>
      <c r="FNF155" s="250"/>
      <c r="FNG155" s="250"/>
      <c r="FNH155" s="250"/>
      <c r="FNI155" s="250"/>
      <c r="FNJ155" s="250"/>
      <c r="FNK155" s="250"/>
      <c r="FNL155" s="250"/>
      <c r="FNM155" s="250"/>
      <c r="FNN155" s="250"/>
      <c r="FNO155" s="250"/>
      <c r="FNP155" s="250"/>
      <c r="FNQ155" s="250"/>
      <c r="FNR155" s="250"/>
      <c r="FNS155" s="250"/>
      <c r="FNT155" s="250"/>
      <c r="FNU155" s="250"/>
      <c r="FNV155" s="250"/>
      <c r="FNW155" s="250"/>
      <c r="FNX155" s="250"/>
      <c r="FNY155" s="250"/>
      <c r="FNZ155" s="250"/>
      <c r="FOA155" s="250"/>
      <c r="FOB155" s="250"/>
      <c r="FOC155" s="250"/>
      <c r="FOD155" s="250"/>
      <c r="FOE155" s="250"/>
      <c r="FOF155" s="250"/>
      <c r="FOG155" s="250"/>
      <c r="FOH155" s="250"/>
      <c r="FOI155" s="250"/>
      <c r="FOJ155" s="250"/>
      <c r="FOK155" s="250"/>
      <c r="FOL155" s="250"/>
      <c r="FOM155" s="250"/>
      <c r="FON155" s="250"/>
      <c r="FOO155" s="250"/>
      <c r="FOP155" s="250"/>
      <c r="FOQ155" s="250"/>
      <c r="FOR155" s="250"/>
      <c r="FOS155" s="250"/>
      <c r="FOT155" s="250"/>
      <c r="FOU155" s="250"/>
      <c r="FOV155" s="250"/>
      <c r="FOW155" s="250"/>
      <c r="FOX155" s="250"/>
      <c r="FOY155" s="250"/>
      <c r="FOZ155" s="250"/>
      <c r="FPA155" s="250"/>
      <c r="FPB155" s="250"/>
      <c r="FPC155" s="250"/>
      <c r="FPD155" s="250"/>
      <c r="FPE155" s="250"/>
      <c r="FPF155" s="250"/>
      <c r="FPG155" s="250"/>
      <c r="FPH155" s="250"/>
      <c r="FPI155" s="250"/>
      <c r="FPJ155" s="250"/>
      <c r="FPK155" s="250"/>
      <c r="FPL155" s="250"/>
      <c r="FPM155" s="250"/>
      <c r="FPN155" s="250"/>
      <c r="FPO155" s="250"/>
      <c r="FPP155" s="250"/>
      <c r="FPQ155" s="250"/>
      <c r="FPR155" s="250"/>
      <c r="FPS155" s="250"/>
      <c r="FPT155" s="250"/>
      <c r="FPU155" s="250"/>
      <c r="FPV155" s="250"/>
      <c r="FPW155" s="250"/>
      <c r="FPX155" s="250"/>
      <c r="FPY155" s="250"/>
      <c r="FPZ155" s="250"/>
      <c r="FQA155" s="250"/>
      <c r="FQB155" s="250"/>
      <c r="FQC155" s="250"/>
      <c r="FQD155" s="250"/>
      <c r="FQE155" s="250"/>
      <c r="FQF155" s="250"/>
      <c r="FQG155" s="250"/>
      <c r="FQH155" s="250"/>
      <c r="FQI155" s="250"/>
      <c r="FQJ155" s="250"/>
      <c r="FQK155" s="250"/>
      <c r="FQL155" s="250"/>
      <c r="FQM155" s="250"/>
      <c r="FQN155" s="250"/>
      <c r="FQO155" s="250"/>
      <c r="FQP155" s="250"/>
      <c r="FQQ155" s="250"/>
      <c r="FQR155" s="250"/>
      <c r="FQS155" s="250"/>
      <c r="FQT155" s="250"/>
      <c r="FQU155" s="250"/>
      <c r="FQV155" s="250"/>
      <c r="FQW155" s="250"/>
      <c r="FQX155" s="250"/>
      <c r="FQY155" s="250"/>
      <c r="FQZ155" s="250"/>
      <c r="FRA155" s="250"/>
      <c r="FRB155" s="250"/>
      <c r="FRC155" s="250"/>
      <c r="FRD155" s="250"/>
      <c r="FRE155" s="250"/>
      <c r="FRF155" s="250"/>
      <c r="FRG155" s="250"/>
      <c r="FRH155" s="250"/>
      <c r="FRI155" s="250"/>
      <c r="FRJ155" s="250"/>
      <c r="FRK155" s="250"/>
      <c r="FRL155" s="250"/>
      <c r="FRM155" s="250"/>
      <c r="FRN155" s="250"/>
      <c r="FRO155" s="250"/>
      <c r="FRP155" s="250"/>
      <c r="FRQ155" s="250"/>
      <c r="FRR155" s="250"/>
      <c r="FRS155" s="250"/>
      <c r="FRT155" s="250"/>
      <c r="FRU155" s="250"/>
      <c r="FRV155" s="250"/>
      <c r="FRW155" s="250"/>
      <c r="FRX155" s="250"/>
      <c r="FRY155" s="250"/>
      <c r="FRZ155" s="250"/>
      <c r="FSA155" s="250"/>
      <c r="FSB155" s="250"/>
      <c r="FSC155" s="250"/>
      <c r="FSD155" s="250"/>
      <c r="FSE155" s="250"/>
      <c r="FSF155" s="250"/>
      <c r="FSG155" s="250"/>
      <c r="FSH155" s="250"/>
      <c r="FSI155" s="250"/>
      <c r="FSJ155" s="250"/>
      <c r="FSK155" s="250"/>
      <c r="FSL155" s="250"/>
      <c r="FSM155" s="250"/>
      <c r="FSN155" s="250"/>
      <c r="FSO155" s="250"/>
      <c r="FSP155" s="250"/>
      <c r="FSQ155" s="250"/>
      <c r="FSR155" s="250"/>
      <c r="FSS155" s="250"/>
      <c r="FST155" s="250"/>
      <c r="FSU155" s="250"/>
      <c r="FSV155" s="250"/>
      <c r="FSW155" s="250"/>
      <c r="FSX155" s="250"/>
      <c r="FSY155" s="250"/>
      <c r="FSZ155" s="250"/>
      <c r="FTA155" s="250"/>
      <c r="FTB155" s="250"/>
      <c r="FTC155" s="250"/>
      <c r="FTD155" s="250"/>
      <c r="FTE155" s="250"/>
      <c r="FTF155" s="250"/>
      <c r="FTG155" s="250"/>
      <c r="FTH155" s="250"/>
      <c r="FTI155" s="250"/>
      <c r="FTJ155" s="250"/>
      <c r="FTK155" s="250"/>
      <c r="FTL155" s="250"/>
      <c r="FTM155" s="250"/>
      <c r="FTN155" s="250"/>
      <c r="FTO155" s="250"/>
      <c r="FTP155" s="250"/>
      <c r="FTQ155" s="250"/>
      <c r="FTR155" s="250"/>
      <c r="FTS155" s="250"/>
      <c r="FTT155" s="250"/>
      <c r="FTU155" s="250"/>
      <c r="FTV155" s="250"/>
      <c r="FTW155" s="250"/>
      <c r="FTX155" s="250"/>
      <c r="FTY155" s="250"/>
      <c r="FTZ155" s="250"/>
      <c r="FUA155" s="250"/>
      <c r="FUB155" s="250"/>
      <c r="FUC155" s="250"/>
      <c r="FUD155" s="250"/>
      <c r="FUE155" s="250"/>
      <c r="FUF155" s="250"/>
      <c r="FUG155" s="250"/>
      <c r="FUH155" s="250"/>
      <c r="FUI155" s="250"/>
      <c r="FUJ155" s="250"/>
      <c r="FUK155" s="250"/>
      <c r="FUL155" s="250"/>
      <c r="FUM155" s="250"/>
      <c r="FUN155" s="250"/>
      <c r="FUO155" s="250"/>
      <c r="FUP155" s="250"/>
      <c r="FUQ155" s="250"/>
      <c r="FUR155" s="250"/>
      <c r="FUS155" s="250"/>
      <c r="FUT155" s="250"/>
      <c r="FUU155" s="250"/>
      <c r="FUV155" s="250"/>
      <c r="FUW155" s="250"/>
      <c r="FUX155" s="250"/>
      <c r="FUY155" s="250"/>
      <c r="FUZ155" s="250"/>
      <c r="FVA155" s="250"/>
      <c r="FVB155" s="250"/>
      <c r="FVC155" s="250"/>
      <c r="FVD155" s="250"/>
      <c r="FVE155" s="250"/>
      <c r="FVF155" s="250"/>
      <c r="FVG155" s="250"/>
      <c r="FVH155" s="250"/>
      <c r="FVI155" s="250"/>
      <c r="FVJ155" s="250"/>
      <c r="FVK155" s="250"/>
      <c r="FVL155" s="250"/>
      <c r="FVM155" s="250"/>
      <c r="FVN155" s="250"/>
      <c r="FVO155" s="250"/>
      <c r="FVP155" s="250"/>
      <c r="FVQ155" s="250"/>
      <c r="FVR155" s="250"/>
      <c r="FVS155" s="250"/>
      <c r="FVT155" s="250"/>
      <c r="FVU155" s="250"/>
      <c r="FVV155" s="250"/>
      <c r="FVW155" s="250"/>
      <c r="FVX155" s="250"/>
      <c r="FVY155" s="250"/>
      <c r="FVZ155" s="250"/>
      <c r="FWA155" s="250"/>
      <c r="FWB155" s="250"/>
      <c r="FWC155" s="250"/>
      <c r="FWD155" s="250"/>
      <c r="FWE155" s="250"/>
      <c r="FWF155" s="250"/>
      <c r="FWG155" s="250"/>
      <c r="FWH155" s="250"/>
      <c r="FWI155" s="250"/>
      <c r="FWJ155" s="250"/>
      <c r="FWK155" s="250"/>
      <c r="FWL155" s="250"/>
      <c r="FWM155" s="250"/>
      <c r="FWN155" s="250"/>
      <c r="FWO155" s="250"/>
      <c r="FWP155" s="250"/>
      <c r="FWQ155" s="250"/>
      <c r="FWR155" s="250"/>
      <c r="FWS155" s="250"/>
      <c r="FWT155" s="250"/>
      <c r="FWU155" s="250"/>
      <c r="FWV155" s="250"/>
      <c r="FWW155" s="250"/>
      <c r="FWX155" s="250"/>
      <c r="FWY155" s="250"/>
      <c r="FWZ155" s="250"/>
      <c r="FXA155" s="250"/>
      <c r="FXB155" s="250"/>
      <c r="FXC155" s="250"/>
      <c r="FXD155" s="250"/>
      <c r="FXE155" s="250"/>
      <c r="FXF155" s="250"/>
      <c r="FXG155" s="250"/>
      <c r="FXH155" s="250"/>
      <c r="FXI155" s="250"/>
      <c r="FXJ155" s="250"/>
      <c r="FXK155" s="250"/>
      <c r="FXL155" s="250"/>
      <c r="FXM155" s="250"/>
      <c r="FXN155" s="250"/>
      <c r="FXO155" s="250"/>
      <c r="FXP155" s="250"/>
      <c r="FXQ155" s="250"/>
      <c r="FXR155" s="250"/>
      <c r="FXS155" s="250"/>
      <c r="FXT155" s="250"/>
      <c r="FXU155" s="250"/>
      <c r="FXV155" s="250"/>
      <c r="FXW155" s="250"/>
      <c r="FXX155" s="250"/>
      <c r="FXY155" s="250"/>
      <c r="FXZ155" s="250"/>
      <c r="FYA155" s="250"/>
      <c r="FYB155" s="250"/>
      <c r="FYC155" s="250"/>
      <c r="FYD155" s="250"/>
      <c r="FYE155" s="250"/>
      <c r="FYF155" s="250"/>
      <c r="FYG155" s="250"/>
      <c r="FYH155" s="250"/>
      <c r="FYI155" s="250"/>
      <c r="FYJ155" s="250"/>
      <c r="FYK155" s="250"/>
      <c r="FYL155" s="250"/>
      <c r="FYM155" s="250"/>
      <c r="FYN155" s="250"/>
      <c r="FYO155" s="250"/>
      <c r="FYP155" s="250"/>
      <c r="FYQ155" s="250"/>
      <c r="FYR155" s="250"/>
      <c r="FYS155" s="250"/>
      <c r="FYT155" s="250"/>
      <c r="FYU155" s="250"/>
      <c r="FYV155" s="250"/>
      <c r="FYW155" s="250"/>
      <c r="FYX155" s="250"/>
      <c r="FYY155" s="250"/>
      <c r="FYZ155" s="250"/>
      <c r="FZA155" s="250"/>
      <c r="FZB155" s="250"/>
      <c r="FZC155" s="250"/>
      <c r="FZD155" s="250"/>
      <c r="FZE155" s="250"/>
      <c r="FZF155" s="250"/>
      <c r="FZG155" s="250"/>
      <c r="FZH155" s="250"/>
      <c r="FZI155" s="250"/>
      <c r="FZJ155" s="250"/>
      <c r="FZK155" s="250"/>
      <c r="FZL155" s="250"/>
      <c r="FZM155" s="250"/>
      <c r="FZN155" s="250"/>
      <c r="FZO155" s="250"/>
      <c r="FZP155" s="250"/>
      <c r="FZQ155" s="250"/>
      <c r="FZR155" s="250"/>
      <c r="FZS155" s="250"/>
      <c r="FZT155" s="250"/>
      <c r="FZU155" s="250"/>
      <c r="FZV155" s="250"/>
      <c r="FZW155" s="250"/>
      <c r="FZX155" s="250"/>
      <c r="FZY155" s="250"/>
      <c r="FZZ155" s="250"/>
      <c r="GAA155" s="250"/>
      <c r="GAB155" s="250"/>
      <c r="GAC155" s="250"/>
      <c r="GAD155" s="250"/>
      <c r="GAE155" s="250"/>
      <c r="GAF155" s="250"/>
      <c r="GAG155" s="250"/>
      <c r="GAH155" s="250"/>
      <c r="GAI155" s="250"/>
      <c r="GAJ155" s="250"/>
      <c r="GAK155" s="250"/>
      <c r="GAL155" s="250"/>
      <c r="GAM155" s="250"/>
      <c r="GAN155" s="250"/>
      <c r="GAO155" s="250"/>
      <c r="GAP155" s="250"/>
      <c r="GAQ155" s="250"/>
      <c r="GAR155" s="250"/>
      <c r="GAS155" s="250"/>
      <c r="GAT155" s="250"/>
      <c r="GAU155" s="250"/>
      <c r="GAV155" s="250"/>
      <c r="GAW155" s="250"/>
      <c r="GAX155" s="250"/>
      <c r="GAY155" s="250"/>
      <c r="GAZ155" s="250"/>
      <c r="GBA155" s="250"/>
      <c r="GBB155" s="250"/>
      <c r="GBC155" s="250"/>
      <c r="GBD155" s="250"/>
      <c r="GBE155" s="250"/>
      <c r="GBF155" s="250"/>
      <c r="GBG155" s="250"/>
      <c r="GBH155" s="250"/>
      <c r="GBI155" s="250"/>
      <c r="GBJ155" s="250"/>
      <c r="GBK155" s="250"/>
      <c r="GBL155" s="250"/>
      <c r="GBM155" s="250"/>
      <c r="GBN155" s="250"/>
      <c r="GBO155" s="250"/>
      <c r="GBP155" s="250"/>
      <c r="GBQ155" s="250"/>
      <c r="GBR155" s="250"/>
      <c r="GBS155" s="250"/>
      <c r="GBT155" s="250"/>
      <c r="GBU155" s="250"/>
      <c r="GBV155" s="250"/>
      <c r="GBW155" s="250"/>
      <c r="GBX155" s="250"/>
      <c r="GBY155" s="250"/>
      <c r="GBZ155" s="250"/>
      <c r="GCA155" s="250"/>
      <c r="GCB155" s="250"/>
      <c r="GCC155" s="250"/>
      <c r="GCD155" s="250"/>
      <c r="GCE155" s="250"/>
      <c r="GCF155" s="250"/>
      <c r="GCG155" s="250"/>
      <c r="GCH155" s="250"/>
      <c r="GCI155" s="250"/>
      <c r="GCJ155" s="250"/>
      <c r="GCK155" s="250"/>
      <c r="GCL155" s="250"/>
      <c r="GCM155" s="250"/>
      <c r="GCN155" s="250"/>
      <c r="GCO155" s="250"/>
      <c r="GCP155" s="250"/>
      <c r="GCQ155" s="250"/>
      <c r="GCR155" s="250"/>
      <c r="GCS155" s="250"/>
      <c r="GCT155" s="250"/>
      <c r="GCU155" s="250"/>
      <c r="GCV155" s="250"/>
      <c r="GCW155" s="250"/>
      <c r="GCX155" s="250"/>
      <c r="GCY155" s="250"/>
      <c r="GCZ155" s="250"/>
      <c r="GDA155" s="250"/>
      <c r="GDB155" s="250"/>
      <c r="GDC155" s="250"/>
      <c r="GDD155" s="250"/>
      <c r="GDE155" s="250"/>
      <c r="GDF155" s="250"/>
      <c r="GDG155" s="250"/>
      <c r="GDH155" s="250"/>
      <c r="GDI155" s="250"/>
      <c r="GDJ155" s="250"/>
      <c r="GDK155" s="250"/>
      <c r="GDL155" s="250"/>
      <c r="GDM155" s="250"/>
      <c r="GDN155" s="250"/>
      <c r="GDO155" s="250"/>
      <c r="GDP155" s="250"/>
      <c r="GDQ155" s="250"/>
      <c r="GDR155" s="250"/>
      <c r="GDS155" s="250"/>
      <c r="GDT155" s="250"/>
      <c r="GDU155" s="250"/>
      <c r="GDV155" s="250"/>
      <c r="GDW155" s="250"/>
      <c r="GDX155" s="250"/>
      <c r="GDY155" s="250"/>
      <c r="GDZ155" s="250"/>
      <c r="GEA155" s="250"/>
      <c r="GEB155" s="250"/>
      <c r="GEC155" s="250"/>
      <c r="GED155" s="250"/>
      <c r="GEE155" s="250"/>
      <c r="GEF155" s="250"/>
      <c r="GEG155" s="250"/>
      <c r="GEH155" s="250"/>
      <c r="GEI155" s="250"/>
      <c r="GEJ155" s="250"/>
      <c r="GEK155" s="250"/>
      <c r="GEL155" s="250"/>
      <c r="GEM155" s="250"/>
      <c r="GEN155" s="250"/>
      <c r="GEO155" s="250"/>
      <c r="GEP155" s="250"/>
      <c r="GEQ155" s="250"/>
      <c r="GER155" s="250"/>
      <c r="GES155" s="250"/>
      <c r="GET155" s="250"/>
      <c r="GEU155" s="250"/>
      <c r="GEV155" s="250"/>
      <c r="GEW155" s="250"/>
      <c r="GEX155" s="250"/>
      <c r="GEY155" s="250"/>
      <c r="GEZ155" s="250"/>
      <c r="GFA155" s="250"/>
      <c r="GFB155" s="250"/>
      <c r="GFC155" s="250"/>
      <c r="GFD155" s="250"/>
      <c r="GFE155" s="250"/>
      <c r="GFF155" s="250"/>
      <c r="GFG155" s="250"/>
      <c r="GFH155" s="250"/>
      <c r="GFI155" s="250"/>
      <c r="GFJ155" s="250"/>
      <c r="GFK155" s="250"/>
      <c r="GFL155" s="250"/>
      <c r="GFM155" s="250"/>
      <c r="GFN155" s="250"/>
      <c r="GFO155" s="250"/>
      <c r="GFP155" s="250"/>
      <c r="GFQ155" s="250"/>
      <c r="GFR155" s="250"/>
      <c r="GFS155" s="250"/>
      <c r="GFT155" s="250"/>
      <c r="GFU155" s="250"/>
      <c r="GFV155" s="250"/>
      <c r="GFW155" s="250"/>
      <c r="GFX155" s="250"/>
      <c r="GFY155" s="250"/>
      <c r="GFZ155" s="250"/>
      <c r="GGA155" s="250"/>
      <c r="GGB155" s="250"/>
      <c r="GGC155" s="250"/>
      <c r="GGD155" s="250"/>
      <c r="GGE155" s="250"/>
      <c r="GGF155" s="250"/>
      <c r="GGG155" s="250"/>
      <c r="GGH155" s="250"/>
      <c r="GGI155" s="250"/>
      <c r="GGJ155" s="250"/>
      <c r="GGK155" s="250"/>
      <c r="GGL155" s="250"/>
      <c r="GGM155" s="250"/>
      <c r="GGN155" s="250"/>
      <c r="GGO155" s="250"/>
      <c r="GGP155" s="250"/>
      <c r="GGQ155" s="250"/>
      <c r="GGR155" s="250"/>
      <c r="GGS155" s="250"/>
      <c r="GGT155" s="250"/>
      <c r="GGU155" s="250"/>
      <c r="GGV155" s="250"/>
      <c r="GGW155" s="250"/>
      <c r="GGX155" s="250"/>
      <c r="GGY155" s="250"/>
      <c r="GGZ155" s="250"/>
      <c r="GHA155" s="250"/>
      <c r="GHB155" s="250"/>
      <c r="GHC155" s="250"/>
      <c r="GHD155" s="250"/>
      <c r="GHE155" s="250"/>
      <c r="GHF155" s="250"/>
      <c r="GHG155" s="250"/>
      <c r="GHH155" s="250"/>
      <c r="GHI155" s="250"/>
      <c r="GHJ155" s="250"/>
      <c r="GHK155" s="250"/>
      <c r="GHL155" s="250"/>
      <c r="GHM155" s="250"/>
      <c r="GHN155" s="250"/>
      <c r="GHO155" s="250"/>
      <c r="GHP155" s="250"/>
      <c r="GHQ155" s="250"/>
      <c r="GHR155" s="250"/>
      <c r="GHS155" s="250"/>
      <c r="GHT155" s="250"/>
      <c r="GHU155" s="250"/>
      <c r="GHV155" s="250"/>
      <c r="GHW155" s="250"/>
      <c r="GHX155" s="250"/>
      <c r="GHY155" s="250"/>
      <c r="GHZ155" s="250"/>
      <c r="GIA155" s="250"/>
      <c r="GIB155" s="250"/>
      <c r="GIC155" s="250"/>
      <c r="GID155" s="250"/>
      <c r="GIE155" s="250"/>
      <c r="GIF155" s="250"/>
      <c r="GIG155" s="250"/>
      <c r="GIH155" s="250"/>
      <c r="GII155" s="250"/>
      <c r="GIJ155" s="250"/>
      <c r="GIK155" s="250"/>
      <c r="GIL155" s="250"/>
      <c r="GIM155" s="250"/>
      <c r="GIN155" s="250"/>
      <c r="GIO155" s="250"/>
      <c r="GIP155" s="250"/>
      <c r="GIQ155" s="250"/>
      <c r="GIR155" s="250"/>
      <c r="GIS155" s="250"/>
      <c r="GIT155" s="250"/>
      <c r="GIU155" s="250"/>
      <c r="GIV155" s="250"/>
      <c r="GIW155" s="250"/>
      <c r="GIX155" s="250"/>
      <c r="GIY155" s="250"/>
      <c r="GIZ155" s="250"/>
      <c r="GJA155" s="250"/>
      <c r="GJB155" s="250"/>
      <c r="GJC155" s="250"/>
      <c r="GJD155" s="250"/>
      <c r="GJE155" s="250"/>
      <c r="GJF155" s="250"/>
      <c r="GJG155" s="250"/>
      <c r="GJH155" s="250"/>
      <c r="GJI155" s="250"/>
      <c r="GJJ155" s="250"/>
      <c r="GJK155" s="250"/>
      <c r="GJL155" s="250"/>
      <c r="GJM155" s="250"/>
      <c r="GJN155" s="250"/>
      <c r="GJO155" s="250"/>
      <c r="GJP155" s="250"/>
      <c r="GJQ155" s="250"/>
      <c r="GJR155" s="250"/>
      <c r="GJS155" s="250"/>
      <c r="GJT155" s="250"/>
      <c r="GJU155" s="250"/>
      <c r="GJV155" s="250"/>
      <c r="GJW155" s="250"/>
      <c r="GJX155" s="250"/>
      <c r="GJY155" s="250"/>
      <c r="GJZ155" s="250"/>
      <c r="GKA155" s="250"/>
      <c r="GKB155" s="250"/>
      <c r="GKC155" s="250"/>
      <c r="GKD155" s="250"/>
      <c r="GKE155" s="250"/>
      <c r="GKF155" s="250"/>
      <c r="GKG155" s="250"/>
      <c r="GKH155" s="250"/>
      <c r="GKI155" s="250"/>
      <c r="GKJ155" s="250"/>
      <c r="GKK155" s="250"/>
      <c r="GKL155" s="250"/>
      <c r="GKM155" s="250"/>
      <c r="GKN155" s="250"/>
      <c r="GKO155" s="250"/>
      <c r="GKP155" s="250"/>
      <c r="GKQ155" s="250"/>
      <c r="GKR155" s="250"/>
      <c r="GKS155" s="250"/>
      <c r="GKT155" s="250"/>
      <c r="GKU155" s="250"/>
      <c r="GKV155" s="250"/>
      <c r="GKW155" s="250"/>
      <c r="GKX155" s="250"/>
      <c r="GKY155" s="250"/>
      <c r="GKZ155" s="250"/>
      <c r="GLA155" s="250"/>
      <c r="GLB155" s="250"/>
      <c r="GLC155" s="250"/>
      <c r="GLD155" s="250"/>
      <c r="GLE155" s="250"/>
      <c r="GLF155" s="250"/>
      <c r="GLG155" s="250"/>
      <c r="GLH155" s="250"/>
      <c r="GLI155" s="250"/>
      <c r="GLJ155" s="250"/>
      <c r="GLK155" s="250"/>
      <c r="GLL155" s="250"/>
      <c r="GLM155" s="250"/>
      <c r="GLN155" s="250"/>
      <c r="GLO155" s="250"/>
      <c r="GLP155" s="250"/>
      <c r="GLQ155" s="250"/>
      <c r="GLR155" s="250"/>
      <c r="GLS155" s="250"/>
      <c r="GLT155" s="250"/>
      <c r="GLU155" s="250"/>
      <c r="GLV155" s="250"/>
      <c r="GLW155" s="250"/>
      <c r="GLX155" s="250"/>
      <c r="GLY155" s="250"/>
      <c r="GLZ155" s="250"/>
      <c r="GMA155" s="250"/>
      <c r="GMB155" s="250"/>
      <c r="GMC155" s="250"/>
      <c r="GMD155" s="250"/>
      <c r="GME155" s="250"/>
      <c r="GMF155" s="250"/>
      <c r="GMG155" s="250"/>
      <c r="GMH155" s="250"/>
      <c r="GMI155" s="250"/>
      <c r="GMJ155" s="250"/>
      <c r="GMK155" s="250"/>
      <c r="GML155" s="250"/>
      <c r="GMM155" s="250"/>
      <c r="GMN155" s="250"/>
      <c r="GMO155" s="250"/>
      <c r="GMP155" s="250"/>
      <c r="GMQ155" s="250"/>
      <c r="GMR155" s="250"/>
      <c r="GMS155" s="250"/>
      <c r="GMT155" s="250"/>
      <c r="GMU155" s="250"/>
      <c r="GMV155" s="250"/>
      <c r="GMW155" s="250"/>
      <c r="GMX155" s="250"/>
      <c r="GMY155" s="250"/>
      <c r="GMZ155" s="250"/>
      <c r="GNA155" s="250"/>
      <c r="GNB155" s="250"/>
      <c r="GNC155" s="250"/>
      <c r="GND155" s="250"/>
      <c r="GNE155" s="250"/>
      <c r="GNF155" s="250"/>
      <c r="GNG155" s="250"/>
      <c r="GNH155" s="250"/>
      <c r="GNI155" s="250"/>
      <c r="GNJ155" s="250"/>
      <c r="GNK155" s="250"/>
      <c r="GNL155" s="250"/>
      <c r="GNM155" s="250"/>
      <c r="GNN155" s="250"/>
      <c r="GNO155" s="250"/>
      <c r="GNP155" s="250"/>
      <c r="GNQ155" s="250"/>
      <c r="GNR155" s="250"/>
      <c r="GNS155" s="250"/>
      <c r="GNT155" s="250"/>
      <c r="GNU155" s="250"/>
      <c r="GNV155" s="250"/>
      <c r="GNW155" s="250"/>
      <c r="GNX155" s="250"/>
      <c r="GNY155" s="250"/>
      <c r="GNZ155" s="250"/>
      <c r="GOA155" s="250"/>
      <c r="GOB155" s="250"/>
      <c r="GOC155" s="250"/>
      <c r="GOD155" s="250"/>
      <c r="GOE155" s="250"/>
      <c r="GOF155" s="250"/>
      <c r="GOG155" s="250"/>
      <c r="GOH155" s="250"/>
      <c r="GOI155" s="250"/>
      <c r="GOJ155" s="250"/>
      <c r="GOK155" s="250"/>
      <c r="GOL155" s="250"/>
      <c r="GOM155" s="250"/>
      <c r="GON155" s="250"/>
      <c r="GOO155" s="250"/>
      <c r="GOP155" s="250"/>
      <c r="GOQ155" s="250"/>
      <c r="GOR155" s="250"/>
      <c r="GOS155" s="250"/>
      <c r="GOT155" s="250"/>
      <c r="GOU155" s="250"/>
      <c r="GOV155" s="250"/>
      <c r="GOW155" s="250"/>
      <c r="GOX155" s="250"/>
      <c r="GOY155" s="250"/>
      <c r="GOZ155" s="250"/>
      <c r="GPA155" s="250"/>
      <c r="GPB155" s="250"/>
      <c r="GPC155" s="250"/>
      <c r="GPD155" s="250"/>
      <c r="GPE155" s="250"/>
      <c r="GPF155" s="250"/>
      <c r="GPG155" s="250"/>
      <c r="GPH155" s="250"/>
      <c r="GPI155" s="250"/>
      <c r="GPJ155" s="250"/>
      <c r="GPK155" s="250"/>
      <c r="GPL155" s="250"/>
      <c r="GPM155" s="250"/>
      <c r="GPN155" s="250"/>
      <c r="GPO155" s="250"/>
      <c r="GPP155" s="250"/>
      <c r="GPQ155" s="250"/>
      <c r="GPR155" s="250"/>
      <c r="GPS155" s="250"/>
      <c r="GPT155" s="250"/>
      <c r="GPU155" s="250"/>
      <c r="GPV155" s="250"/>
      <c r="GPW155" s="250"/>
      <c r="GPX155" s="250"/>
      <c r="GPY155" s="250"/>
      <c r="GPZ155" s="250"/>
      <c r="GQA155" s="250"/>
      <c r="GQB155" s="250"/>
      <c r="GQC155" s="250"/>
      <c r="GQD155" s="250"/>
      <c r="GQE155" s="250"/>
      <c r="GQF155" s="250"/>
      <c r="GQG155" s="250"/>
      <c r="GQH155" s="250"/>
      <c r="GQI155" s="250"/>
      <c r="GQJ155" s="250"/>
      <c r="GQK155" s="250"/>
      <c r="GQL155" s="250"/>
      <c r="GQM155" s="250"/>
      <c r="GQN155" s="250"/>
      <c r="GQO155" s="250"/>
      <c r="GQP155" s="250"/>
      <c r="GQQ155" s="250"/>
      <c r="GQR155" s="250"/>
      <c r="GQS155" s="250"/>
      <c r="GQT155" s="250"/>
      <c r="GQU155" s="250"/>
      <c r="GQV155" s="250"/>
      <c r="GQW155" s="250"/>
      <c r="GQX155" s="250"/>
      <c r="GQY155" s="250"/>
      <c r="GQZ155" s="250"/>
      <c r="GRA155" s="250"/>
      <c r="GRB155" s="250"/>
      <c r="GRC155" s="250"/>
      <c r="GRD155" s="250"/>
      <c r="GRE155" s="250"/>
      <c r="GRF155" s="250"/>
      <c r="GRG155" s="250"/>
      <c r="GRH155" s="250"/>
      <c r="GRI155" s="250"/>
      <c r="GRJ155" s="250"/>
      <c r="GRK155" s="250"/>
      <c r="GRL155" s="250"/>
      <c r="GRM155" s="250"/>
      <c r="GRN155" s="250"/>
      <c r="GRO155" s="250"/>
      <c r="GRP155" s="250"/>
      <c r="GRQ155" s="250"/>
      <c r="GRR155" s="250"/>
      <c r="GRS155" s="250"/>
      <c r="GRT155" s="250"/>
      <c r="GRU155" s="250"/>
      <c r="GRV155" s="250"/>
      <c r="GRW155" s="250"/>
      <c r="GRX155" s="250"/>
      <c r="GRY155" s="250"/>
      <c r="GRZ155" s="250"/>
      <c r="GSA155" s="250"/>
      <c r="GSB155" s="250"/>
      <c r="GSC155" s="250"/>
      <c r="GSD155" s="250"/>
      <c r="GSE155" s="250"/>
      <c r="GSF155" s="250"/>
      <c r="GSG155" s="250"/>
      <c r="GSH155" s="250"/>
      <c r="GSI155" s="250"/>
      <c r="GSJ155" s="250"/>
      <c r="GSK155" s="250"/>
      <c r="GSL155" s="250"/>
      <c r="GSM155" s="250"/>
      <c r="GSN155" s="250"/>
      <c r="GSO155" s="250"/>
      <c r="GSP155" s="250"/>
      <c r="GSQ155" s="250"/>
      <c r="GSR155" s="250"/>
      <c r="GSS155" s="250"/>
      <c r="GST155" s="250"/>
      <c r="GSU155" s="250"/>
      <c r="GSV155" s="250"/>
      <c r="GSW155" s="250"/>
      <c r="GSX155" s="250"/>
      <c r="GSY155" s="250"/>
      <c r="GSZ155" s="250"/>
      <c r="GTA155" s="250"/>
      <c r="GTB155" s="250"/>
      <c r="GTC155" s="250"/>
      <c r="GTD155" s="250"/>
      <c r="GTE155" s="250"/>
      <c r="GTF155" s="250"/>
      <c r="GTG155" s="250"/>
      <c r="GTH155" s="250"/>
      <c r="GTI155" s="250"/>
      <c r="GTJ155" s="250"/>
      <c r="GTK155" s="250"/>
      <c r="GTL155" s="250"/>
      <c r="GTM155" s="250"/>
      <c r="GTN155" s="250"/>
      <c r="GTO155" s="250"/>
      <c r="GTP155" s="250"/>
      <c r="GTQ155" s="250"/>
      <c r="GTR155" s="250"/>
      <c r="GTS155" s="250"/>
      <c r="GTT155" s="250"/>
      <c r="GTU155" s="250"/>
      <c r="GTV155" s="250"/>
      <c r="GTW155" s="250"/>
      <c r="GTX155" s="250"/>
      <c r="GTY155" s="250"/>
      <c r="GTZ155" s="250"/>
      <c r="GUA155" s="250"/>
      <c r="GUB155" s="250"/>
      <c r="GUC155" s="250"/>
      <c r="GUD155" s="250"/>
      <c r="GUE155" s="250"/>
      <c r="GUF155" s="250"/>
      <c r="GUG155" s="250"/>
      <c r="GUH155" s="250"/>
      <c r="GUI155" s="250"/>
      <c r="GUJ155" s="250"/>
      <c r="GUK155" s="250"/>
      <c r="GUL155" s="250"/>
      <c r="GUM155" s="250"/>
      <c r="GUN155" s="250"/>
      <c r="GUO155" s="250"/>
      <c r="GUP155" s="250"/>
      <c r="GUQ155" s="250"/>
      <c r="GUR155" s="250"/>
      <c r="GUS155" s="250"/>
      <c r="GUT155" s="250"/>
      <c r="GUU155" s="250"/>
      <c r="GUV155" s="250"/>
      <c r="GUW155" s="250"/>
      <c r="GUX155" s="250"/>
      <c r="GUY155" s="250"/>
      <c r="GUZ155" s="250"/>
      <c r="GVA155" s="250"/>
      <c r="GVB155" s="250"/>
      <c r="GVC155" s="250"/>
      <c r="GVD155" s="250"/>
      <c r="GVE155" s="250"/>
      <c r="GVF155" s="250"/>
      <c r="GVG155" s="250"/>
      <c r="GVH155" s="250"/>
      <c r="GVI155" s="250"/>
      <c r="GVJ155" s="250"/>
      <c r="GVK155" s="250"/>
      <c r="GVL155" s="250"/>
      <c r="GVM155" s="250"/>
      <c r="GVN155" s="250"/>
      <c r="GVO155" s="250"/>
      <c r="GVP155" s="250"/>
      <c r="GVQ155" s="250"/>
      <c r="GVR155" s="250"/>
      <c r="GVS155" s="250"/>
      <c r="GVT155" s="250"/>
      <c r="GVU155" s="250"/>
      <c r="GVV155" s="250"/>
      <c r="GVW155" s="250"/>
      <c r="GVX155" s="250"/>
      <c r="GVY155" s="250"/>
      <c r="GVZ155" s="250"/>
      <c r="GWA155" s="250"/>
      <c r="GWB155" s="250"/>
      <c r="GWC155" s="250"/>
      <c r="GWD155" s="250"/>
      <c r="GWE155" s="250"/>
      <c r="GWF155" s="250"/>
      <c r="GWG155" s="250"/>
      <c r="GWH155" s="250"/>
      <c r="GWI155" s="250"/>
      <c r="GWJ155" s="250"/>
      <c r="GWK155" s="250"/>
      <c r="GWL155" s="250"/>
      <c r="GWM155" s="250"/>
      <c r="GWN155" s="250"/>
      <c r="GWO155" s="250"/>
      <c r="GWP155" s="250"/>
      <c r="GWQ155" s="250"/>
      <c r="GWR155" s="250"/>
      <c r="GWS155" s="250"/>
      <c r="GWT155" s="250"/>
      <c r="GWU155" s="250"/>
      <c r="GWV155" s="250"/>
      <c r="GWW155" s="250"/>
      <c r="GWX155" s="250"/>
      <c r="GWY155" s="250"/>
      <c r="GWZ155" s="250"/>
      <c r="GXA155" s="250"/>
      <c r="GXB155" s="250"/>
      <c r="GXC155" s="250"/>
      <c r="GXD155" s="250"/>
      <c r="GXE155" s="250"/>
      <c r="GXF155" s="250"/>
      <c r="GXG155" s="250"/>
      <c r="GXH155" s="250"/>
      <c r="GXI155" s="250"/>
      <c r="GXJ155" s="250"/>
      <c r="GXK155" s="250"/>
      <c r="GXL155" s="250"/>
      <c r="GXM155" s="250"/>
      <c r="GXN155" s="250"/>
      <c r="GXO155" s="250"/>
      <c r="GXP155" s="250"/>
      <c r="GXQ155" s="250"/>
      <c r="GXR155" s="250"/>
      <c r="GXS155" s="250"/>
      <c r="GXT155" s="250"/>
      <c r="GXU155" s="250"/>
      <c r="GXV155" s="250"/>
      <c r="GXW155" s="250"/>
      <c r="GXX155" s="250"/>
      <c r="GXY155" s="250"/>
      <c r="GXZ155" s="250"/>
      <c r="GYA155" s="250"/>
      <c r="GYB155" s="250"/>
      <c r="GYC155" s="250"/>
      <c r="GYD155" s="250"/>
      <c r="GYE155" s="250"/>
      <c r="GYF155" s="250"/>
      <c r="GYG155" s="250"/>
      <c r="GYH155" s="250"/>
      <c r="GYI155" s="250"/>
      <c r="GYJ155" s="250"/>
      <c r="GYK155" s="250"/>
      <c r="GYL155" s="250"/>
      <c r="GYM155" s="250"/>
      <c r="GYN155" s="250"/>
      <c r="GYO155" s="250"/>
      <c r="GYP155" s="250"/>
      <c r="GYQ155" s="250"/>
      <c r="GYR155" s="250"/>
      <c r="GYS155" s="250"/>
      <c r="GYT155" s="250"/>
      <c r="GYU155" s="250"/>
      <c r="GYV155" s="250"/>
      <c r="GYW155" s="250"/>
      <c r="GYX155" s="250"/>
      <c r="GYY155" s="250"/>
      <c r="GYZ155" s="250"/>
      <c r="GZA155" s="250"/>
      <c r="GZB155" s="250"/>
      <c r="GZC155" s="250"/>
      <c r="GZD155" s="250"/>
      <c r="GZE155" s="250"/>
      <c r="GZF155" s="250"/>
      <c r="GZG155" s="250"/>
      <c r="GZH155" s="250"/>
      <c r="GZI155" s="250"/>
      <c r="GZJ155" s="250"/>
      <c r="GZK155" s="250"/>
      <c r="GZL155" s="250"/>
      <c r="GZM155" s="250"/>
      <c r="GZN155" s="250"/>
      <c r="GZO155" s="250"/>
      <c r="GZP155" s="250"/>
      <c r="GZQ155" s="250"/>
      <c r="GZR155" s="250"/>
      <c r="GZS155" s="250"/>
      <c r="GZT155" s="250"/>
      <c r="GZU155" s="250"/>
      <c r="GZV155" s="250"/>
      <c r="GZW155" s="250"/>
      <c r="GZX155" s="250"/>
      <c r="GZY155" s="250"/>
      <c r="GZZ155" s="250"/>
      <c r="HAA155" s="250"/>
      <c r="HAB155" s="250"/>
      <c r="HAC155" s="250"/>
      <c r="HAD155" s="250"/>
      <c r="HAE155" s="250"/>
      <c r="HAF155" s="250"/>
      <c r="HAG155" s="250"/>
      <c r="HAH155" s="250"/>
      <c r="HAI155" s="250"/>
      <c r="HAJ155" s="250"/>
      <c r="HAK155" s="250"/>
      <c r="HAL155" s="250"/>
      <c r="HAM155" s="250"/>
      <c r="HAN155" s="250"/>
      <c r="HAO155" s="250"/>
      <c r="HAP155" s="250"/>
      <c r="HAQ155" s="250"/>
      <c r="HAR155" s="250"/>
      <c r="HAS155" s="250"/>
      <c r="HAT155" s="250"/>
      <c r="HAU155" s="250"/>
      <c r="HAV155" s="250"/>
      <c r="HAW155" s="250"/>
      <c r="HAX155" s="250"/>
      <c r="HAY155" s="250"/>
      <c r="HAZ155" s="250"/>
      <c r="HBA155" s="250"/>
      <c r="HBB155" s="250"/>
      <c r="HBC155" s="250"/>
      <c r="HBD155" s="250"/>
      <c r="HBE155" s="250"/>
      <c r="HBF155" s="250"/>
      <c r="HBG155" s="250"/>
      <c r="HBH155" s="250"/>
      <c r="HBI155" s="250"/>
      <c r="HBJ155" s="250"/>
      <c r="HBK155" s="250"/>
      <c r="HBL155" s="250"/>
      <c r="HBM155" s="250"/>
      <c r="HBN155" s="250"/>
      <c r="HBO155" s="250"/>
      <c r="HBP155" s="250"/>
      <c r="HBQ155" s="250"/>
      <c r="HBR155" s="250"/>
      <c r="HBS155" s="250"/>
      <c r="HBT155" s="250"/>
      <c r="HBU155" s="250"/>
      <c r="HBV155" s="250"/>
      <c r="HBW155" s="250"/>
      <c r="HBX155" s="250"/>
      <c r="HBY155" s="250"/>
      <c r="HBZ155" s="250"/>
      <c r="HCA155" s="250"/>
      <c r="HCB155" s="250"/>
      <c r="HCC155" s="250"/>
      <c r="HCD155" s="250"/>
      <c r="HCE155" s="250"/>
      <c r="HCF155" s="250"/>
      <c r="HCG155" s="250"/>
      <c r="HCH155" s="250"/>
      <c r="HCI155" s="250"/>
      <c r="HCJ155" s="250"/>
      <c r="HCK155" s="250"/>
      <c r="HCL155" s="250"/>
      <c r="HCM155" s="250"/>
      <c r="HCN155" s="250"/>
      <c r="HCO155" s="250"/>
      <c r="HCP155" s="250"/>
      <c r="HCQ155" s="250"/>
      <c r="HCR155" s="250"/>
      <c r="HCS155" s="250"/>
      <c r="HCT155" s="250"/>
      <c r="HCU155" s="250"/>
      <c r="HCV155" s="250"/>
      <c r="HCW155" s="250"/>
      <c r="HCX155" s="250"/>
      <c r="HCY155" s="250"/>
      <c r="HCZ155" s="250"/>
      <c r="HDA155" s="250"/>
      <c r="HDB155" s="250"/>
      <c r="HDC155" s="250"/>
      <c r="HDD155" s="250"/>
      <c r="HDE155" s="250"/>
      <c r="HDF155" s="250"/>
      <c r="HDG155" s="250"/>
      <c r="HDH155" s="250"/>
      <c r="HDI155" s="250"/>
      <c r="HDJ155" s="250"/>
      <c r="HDK155" s="250"/>
      <c r="HDL155" s="250"/>
      <c r="HDM155" s="250"/>
      <c r="HDN155" s="250"/>
      <c r="HDO155" s="250"/>
      <c r="HDP155" s="250"/>
      <c r="HDQ155" s="250"/>
      <c r="HDR155" s="250"/>
      <c r="HDS155" s="250"/>
      <c r="HDT155" s="250"/>
      <c r="HDU155" s="250"/>
      <c r="HDV155" s="250"/>
      <c r="HDW155" s="250"/>
      <c r="HDX155" s="250"/>
      <c r="HDY155" s="250"/>
      <c r="HDZ155" s="250"/>
      <c r="HEA155" s="250"/>
      <c r="HEB155" s="250"/>
      <c r="HEC155" s="250"/>
      <c r="HED155" s="250"/>
      <c r="HEE155" s="250"/>
      <c r="HEF155" s="250"/>
      <c r="HEG155" s="250"/>
      <c r="HEH155" s="250"/>
      <c r="HEI155" s="250"/>
      <c r="HEJ155" s="250"/>
      <c r="HEK155" s="250"/>
      <c r="HEL155" s="250"/>
      <c r="HEM155" s="250"/>
      <c r="HEN155" s="250"/>
      <c r="HEO155" s="250"/>
      <c r="HEP155" s="250"/>
      <c r="HEQ155" s="250"/>
      <c r="HER155" s="250"/>
      <c r="HES155" s="250"/>
      <c r="HET155" s="250"/>
      <c r="HEU155" s="250"/>
      <c r="HEV155" s="250"/>
      <c r="HEW155" s="250"/>
      <c r="HEX155" s="250"/>
      <c r="HEY155" s="250"/>
      <c r="HEZ155" s="250"/>
      <c r="HFA155" s="250"/>
      <c r="HFB155" s="250"/>
      <c r="HFC155" s="250"/>
      <c r="HFD155" s="250"/>
      <c r="HFE155" s="250"/>
      <c r="HFF155" s="250"/>
      <c r="HFG155" s="250"/>
      <c r="HFH155" s="250"/>
      <c r="HFI155" s="250"/>
      <c r="HFJ155" s="250"/>
      <c r="HFK155" s="250"/>
      <c r="HFL155" s="250"/>
      <c r="HFM155" s="250"/>
      <c r="HFN155" s="250"/>
      <c r="HFO155" s="250"/>
      <c r="HFP155" s="250"/>
      <c r="HFQ155" s="250"/>
      <c r="HFR155" s="250"/>
      <c r="HFS155" s="250"/>
      <c r="HFT155" s="250"/>
      <c r="HFU155" s="250"/>
      <c r="HFV155" s="250"/>
      <c r="HFW155" s="250"/>
      <c r="HFX155" s="250"/>
      <c r="HFY155" s="250"/>
      <c r="HFZ155" s="250"/>
      <c r="HGA155" s="250"/>
      <c r="HGB155" s="250"/>
      <c r="HGC155" s="250"/>
      <c r="HGD155" s="250"/>
      <c r="HGE155" s="250"/>
      <c r="HGF155" s="250"/>
      <c r="HGG155" s="250"/>
      <c r="HGH155" s="250"/>
      <c r="HGI155" s="250"/>
      <c r="HGJ155" s="250"/>
      <c r="HGK155" s="250"/>
      <c r="HGL155" s="250"/>
      <c r="HGM155" s="250"/>
      <c r="HGN155" s="250"/>
      <c r="HGO155" s="250"/>
      <c r="HGP155" s="250"/>
      <c r="HGQ155" s="250"/>
      <c r="HGR155" s="250"/>
      <c r="HGS155" s="250"/>
      <c r="HGT155" s="250"/>
      <c r="HGU155" s="250"/>
      <c r="HGV155" s="250"/>
      <c r="HGW155" s="250"/>
      <c r="HGX155" s="250"/>
      <c r="HGY155" s="250"/>
      <c r="HGZ155" s="250"/>
      <c r="HHA155" s="250"/>
      <c r="HHB155" s="250"/>
      <c r="HHC155" s="250"/>
      <c r="HHD155" s="250"/>
      <c r="HHE155" s="250"/>
      <c r="HHF155" s="250"/>
      <c r="HHG155" s="250"/>
      <c r="HHH155" s="250"/>
      <c r="HHI155" s="250"/>
      <c r="HHJ155" s="250"/>
      <c r="HHK155" s="250"/>
      <c r="HHL155" s="250"/>
      <c r="HHM155" s="250"/>
      <c r="HHN155" s="250"/>
      <c r="HHO155" s="250"/>
      <c r="HHP155" s="250"/>
      <c r="HHQ155" s="250"/>
      <c r="HHR155" s="250"/>
      <c r="HHS155" s="250"/>
      <c r="HHT155" s="250"/>
      <c r="HHU155" s="250"/>
      <c r="HHV155" s="250"/>
      <c r="HHW155" s="250"/>
      <c r="HHX155" s="250"/>
      <c r="HHY155" s="250"/>
      <c r="HHZ155" s="250"/>
      <c r="HIA155" s="250"/>
      <c r="HIB155" s="250"/>
      <c r="HIC155" s="250"/>
      <c r="HID155" s="250"/>
      <c r="HIE155" s="250"/>
      <c r="HIF155" s="250"/>
      <c r="HIG155" s="250"/>
      <c r="HIH155" s="250"/>
      <c r="HII155" s="250"/>
      <c r="HIJ155" s="250"/>
      <c r="HIK155" s="250"/>
      <c r="HIL155" s="250"/>
      <c r="HIM155" s="250"/>
      <c r="HIN155" s="250"/>
      <c r="HIO155" s="250"/>
      <c r="HIP155" s="250"/>
      <c r="HIQ155" s="250"/>
      <c r="HIR155" s="250"/>
      <c r="HIS155" s="250"/>
      <c r="HIT155" s="250"/>
      <c r="HIU155" s="250"/>
      <c r="HIV155" s="250"/>
      <c r="HIW155" s="250"/>
      <c r="HIX155" s="250"/>
      <c r="HIY155" s="250"/>
      <c r="HIZ155" s="250"/>
      <c r="HJA155" s="250"/>
      <c r="HJB155" s="250"/>
      <c r="HJC155" s="250"/>
      <c r="HJD155" s="250"/>
      <c r="HJE155" s="250"/>
      <c r="HJF155" s="250"/>
      <c r="HJG155" s="250"/>
      <c r="HJH155" s="250"/>
      <c r="HJI155" s="250"/>
      <c r="HJJ155" s="250"/>
      <c r="HJK155" s="250"/>
      <c r="HJL155" s="250"/>
      <c r="HJM155" s="250"/>
      <c r="HJN155" s="250"/>
      <c r="HJO155" s="250"/>
      <c r="HJP155" s="250"/>
      <c r="HJQ155" s="250"/>
      <c r="HJR155" s="250"/>
      <c r="HJS155" s="250"/>
      <c r="HJT155" s="250"/>
      <c r="HJU155" s="250"/>
      <c r="HJV155" s="250"/>
      <c r="HJW155" s="250"/>
      <c r="HJX155" s="250"/>
      <c r="HJY155" s="250"/>
      <c r="HJZ155" s="250"/>
      <c r="HKA155" s="250"/>
      <c r="HKB155" s="250"/>
      <c r="HKC155" s="250"/>
      <c r="HKD155" s="250"/>
      <c r="HKE155" s="250"/>
      <c r="HKF155" s="250"/>
      <c r="HKG155" s="250"/>
      <c r="HKH155" s="250"/>
      <c r="HKI155" s="250"/>
      <c r="HKJ155" s="250"/>
      <c r="HKK155" s="250"/>
      <c r="HKL155" s="250"/>
      <c r="HKM155" s="250"/>
      <c r="HKN155" s="250"/>
      <c r="HKO155" s="250"/>
      <c r="HKP155" s="250"/>
      <c r="HKQ155" s="250"/>
      <c r="HKR155" s="250"/>
      <c r="HKS155" s="250"/>
      <c r="HKT155" s="250"/>
      <c r="HKU155" s="250"/>
      <c r="HKV155" s="250"/>
      <c r="HKW155" s="250"/>
      <c r="HKX155" s="250"/>
      <c r="HKY155" s="250"/>
      <c r="HKZ155" s="250"/>
      <c r="HLA155" s="250"/>
      <c r="HLB155" s="250"/>
      <c r="HLC155" s="250"/>
      <c r="HLD155" s="250"/>
      <c r="HLE155" s="250"/>
      <c r="HLF155" s="250"/>
      <c r="HLG155" s="250"/>
      <c r="HLH155" s="250"/>
      <c r="HLI155" s="250"/>
      <c r="HLJ155" s="250"/>
      <c r="HLK155" s="250"/>
      <c r="HLL155" s="250"/>
      <c r="HLM155" s="250"/>
      <c r="HLN155" s="250"/>
      <c r="HLO155" s="250"/>
      <c r="HLP155" s="250"/>
      <c r="HLQ155" s="250"/>
      <c r="HLR155" s="250"/>
      <c r="HLS155" s="250"/>
      <c r="HLT155" s="250"/>
      <c r="HLU155" s="250"/>
      <c r="HLV155" s="250"/>
      <c r="HLW155" s="250"/>
      <c r="HLX155" s="250"/>
      <c r="HLY155" s="250"/>
      <c r="HLZ155" s="250"/>
      <c r="HMA155" s="250"/>
      <c r="HMB155" s="250"/>
      <c r="HMC155" s="250"/>
      <c r="HMD155" s="250"/>
      <c r="HME155" s="250"/>
      <c r="HMF155" s="250"/>
      <c r="HMG155" s="250"/>
      <c r="HMH155" s="250"/>
      <c r="HMI155" s="250"/>
      <c r="HMJ155" s="250"/>
      <c r="HMK155" s="250"/>
      <c r="HML155" s="250"/>
      <c r="HMM155" s="250"/>
      <c r="HMN155" s="250"/>
      <c r="HMO155" s="250"/>
      <c r="HMP155" s="250"/>
      <c r="HMQ155" s="250"/>
      <c r="HMR155" s="250"/>
      <c r="HMS155" s="250"/>
      <c r="HMT155" s="250"/>
      <c r="HMU155" s="250"/>
      <c r="HMV155" s="250"/>
      <c r="HMW155" s="250"/>
      <c r="HMX155" s="250"/>
      <c r="HMY155" s="250"/>
      <c r="HMZ155" s="250"/>
      <c r="HNA155" s="250"/>
      <c r="HNB155" s="250"/>
      <c r="HNC155" s="250"/>
      <c r="HND155" s="250"/>
      <c r="HNE155" s="250"/>
      <c r="HNF155" s="250"/>
      <c r="HNG155" s="250"/>
      <c r="HNH155" s="250"/>
      <c r="HNI155" s="250"/>
      <c r="HNJ155" s="250"/>
      <c r="HNK155" s="250"/>
      <c r="HNL155" s="250"/>
      <c r="HNM155" s="250"/>
      <c r="HNN155" s="250"/>
      <c r="HNO155" s="250"/>
      <c r="HNP155" s="250"/>
      <c r="HNQ155" s="250"/>
      <c r="HNR155" s="250"/>
      <c r="HNS155" s="250"/>
      <c r="HNT155" s="250"/>
      <c r="HNU155" s="250"/>
      <c r="HNV155" s="250"/>
      <c r="HNW155" s="250"/>
      <c r="HNX155" s="250"/>
      <c r="HNY155" s="250"/>
      <c r="HNZ155" s="250"/>
      <c r="HOA155" s="250"/>
      <c r="HOB155" s="250"/>
      <c r="HOC155" s="250"/>
      <c r="HOD155" s="250"/>
      <c r="HOE155" s="250"/>
      <c r="HOF155" s="250"/>
      <c r="HOG155" s="250"/>
      <c r="HOH155" s="250"/>
      <c r="HOI155" s="250"/>
      <c r="HOJ155" s="250"/>
      <c r="HOK155" s="250"/>
      <c r="HOL155" s="250"/>
      <c r="HOM155" s="250"/>
      <c r="HON155" s="250"/>
      <c r="HOO155" s="250"/>
      <c r="HOP155" s="250"/>
      <c r="HOQ155" s="250"/>
      <c r="HOR155" s="250"/>
      <c r="HOS155" s="250"/>
      <c r="HOT155" s="250"/>
      <c r="HOU155" s="250"/>
      <c r="HOV155" s="250"/>
      <c r="HOW155" s="250"/>
      <c r="HOX155" s="250"/>
      <c r="HOY155" s="250"/>
      <c r="HOZ155" s="250"/>
      <c r="HPA155" s="250"/>
      <c r="HPB155" s="250"/>
      <c r="HPC155" s="250"/>
      <c r="HPD155" s="250"/>
      <c r="HPE155" s="250"/>
      <c r="HPF155" s="250"/>
      <c r="HPG155" s="250"/>
      <c r="HPH155" s="250"/>
      <c r="HPI155" s="250"/>
      <c r="HPJ155" s="250"/>
      <c r="HPK155" s="250"/>
      <c r="HPL155" s="250"/>
      <c r="HPM155" s="250"/>
      <c r="HPN155" s="250"/>
      <c r="HPO155" s="250"/>
      <c r="HPP155" s="250"/>
      <c r="HPQ155" s="250"/>
      <c r="HPR155" s="250"/>
      <c r="HPS155" s="250"/>
      <c r="HPT155" s="250"/>
      <c r="HPU155" s="250"/>
      <c r="HPV155" s="250"/>
      <c r="HPW155" s="250"/>
      <c r="HPX155" s="250"/>
      <c r="HPY155" s="250"/>
      <c r="HPZ155" s="250"/>
      <c r="HQA155" s="250"/>
      <c r="HQB155" s="250"/>
      <c r="HQC155" s="250"/>
      <c r="HQD155" s="250"/>
      <c r="HQE155" s="250"/>
      <c r="HQF155" s="250"/>
      <c r="HQG155" s="250"/>
      <c r="HQH155" s="250"/>
      <c r="HQI155" s="250"/>
      <c r="HQJ155" s="250"/>
      <c r="HQK155" s="250"/>
      <c r="HQL155" s="250"/>
      <c r="HQM155" s="250"/>
      <c r="HQN155" s="250"/>
      <c r="HQO155" s="250"/>
      <c r="HQP155" s="250"/>
      <c r="HQQ155" s="250"/>
      <c r="HQR155" s="250"/>
      <c r="HQS155" s="250"/>
      <c r="HQT155" s="250"/>
      <c r="HQU155" s="250"/>
      <c r="HQV155" s="250"/>
      <c r="HQW155" s="250"/>
      <c r="HQX155" s="250"/>
      <c r="HQY155" s="250"/>
      <c r="HQZ155" s="250"/>
      <c r="HRA155" s="250"/>
      <c r="HRB155" s="250"/>
      <c r="HRC155" s="250"/>
      <c r="HRD155" s="250"/>
      <c r="HRE155" s="250"/>
      <c r="HRF155" s="250"/>
      <c r="HRG155" s="250"/>
      <c r="HRH155" s="250"/>
      <c r="HRI155" s="250"/>
      <c r="HRJ155" s="250"/>
      <c r="HRK155" s="250"/>
      <c r="HRL155" s="250"/>
      <c r="HRM155" s="250"/>
      <c r="HRN155" s="250"/>
      <c r="HRO155" s="250"/>
      <c r="HRP155" s="250"/>
      <c r="HRQ155" s="250"/>
      <c r="HRR155" s="250"/>
      <c r="HRS155" s="250"/>
      <c r="HRT155" s="250"/>
      <c r="HRU155" s="250"/>
      <c r="HRV155" s="250"/>
      <c r="HRW155" s="250"/>
      <c r="HRX155" s="250"/>
      <c r="HRY155" s="250"/>
      <c r="HRZ155" s="250"/>
      <c r="HSA155" s="250"/>
      <c r="HSB155" s="250"/>
      <c r="HSC155" s="250"/>
      <c r="HSD155" s="250"/>
      <c r="HSE155" s="250"/>
      <c r="HSF155" s="250"/>
      <c r="HSG155" s="250"/>
      <c r="HSH155" s="250"/>
      <c r="HSI155" s="250"/>
      <c r="HSJ155" s="250"/>
      <c r="HSK155" s="250"/>
      <c r="HSL155" s="250"/>
      <c r="HSM155" s="250"/>
      <c r="HSN155" s="250"/>
      <c r="HSO155" s="250"/>
      <c r="HSP155" s="250"/>
      <c r="HSQ155" s="250"/>
      <c r="HSR155" s="250"/>
      <c r="HSS155" s="250"/>
      <c r="HST155" s="250"/>
      <c r="HSU155" s="250"/>
      <c r="HSV155" s="250"/>
      <c r="HSW155" s="250"/>
      <c r="HSX155" s="250"/>
      <c r="HSY155" s="250"/>
      <c r="HSZ155" s="250"/>
      <c r="HTA155" s="250"/>
      <c r="HTB155" s="250"/>
      <c r="HTC155" s="250"/>
      <c r="HTD155" s="250"/>
      <c r="HTE155" s="250"/>
      <c r="HTF155" s="250"/>
      <c r="HTG155" s="250"/>
      <c r="HTH155" s="250"/>
      <c r="HTI155" s="250"/>
      <c r="HTJ155" s="250"/>
      <c r="HTK155" s="250"/>
      <c r="HTL155" s="250"/>
      <c r="HTM155" s="250"/>
      <c r="HTN155" s="250"/>
      <c r="HTO155" s="250"/>
      <c r="HTP155" s="250"/>
      <c r="HTQ155" s="250"/>
      <c r="HTR155" s="250"/>
      <c r="HTS155" s="250"/>
      <c r="HTT155" s="250"/>
      <c r="HTU155" s="250"/>
      <c r="HTV155" s="250"/>
      <c r="HTW155" s="250"/>
      <c r="HTX155" s="250"/>
      <c r="HTY155" s="250"/>
      <c r="HTZ155" s="250"/>
      <c r="HUA155" s="250"/>
      <c r="HUB155" s="250"/>
      <c r="HUC155" s="250"/>
      <c r="HUD155" s="250"/>
      <c r="HUE155" s="250"/>
      <c r="HUF155" s="250"/>
      <c r="HUG155" s="250"/>
      <c r="HUH155" s="250"/>
      <c r="HUI155" s="250"/>
      <c r="HUJ155" s="250"/>
      <c r="HUK155" s="250"/>
      <c r="HUL155" s="250"/>
      <c r="HUM155" s="250"/>
      <c r="HUN155" s="250"/>
      <c r="HUO155" s="250"/>
      <c r="HUP155" s="250"/>
      <c r="HUQ155" s="250"/>
      <c r="HUR155" s="250"/>
      <c r="HUS155" s="250"/>
      <c r="HUT155" s="250"/>
      <c r="HUU155" s="250"/>
      <c r="HUV155" s="250"/>
      <c r="HUW155" s="250"/>
      <c r="HUX155" s="250"/>
      <c r="HUY155" s="250"/>
      <c r="HUZ155" s="250"/>
      <c r="HVA155" s="250"/>
      <c r="HVB155" s="250"/>
      <c r="HVC155" s="250"/>
      <c r="HVD155" s="250"/>
      <c r="HVE155" s="250"/>
      <c r="HVF155" s="250"/>
      <c r="HVG155" s="250"/>
      <c r="HVH155" s="250"/>
      <c r="HVI155" s="250"/>
      <c r="HVJ155" s="250"/>
      <c r="HVK155" s="250"/>
      <c r="HVL155" s="250"/>
      <c r="HVM155" s="250"/>
      <c r="HVN155" s="250"/>
      <c r="HVO155" s="250"/>
      <c r="HVP155" s="250"/>
      <c r="HVQ155" s="250"/>
      <c r="HVR155" s="250"/>
      <c r="HVS155" s="250"/>
      <c r="HVT155" s="250"/>
      <c r="HVU155" s="250"/>
      <c r="HVV155" s="250"/>
      <c r="HVW155" s="250"/>
      <c r="HVX155" s="250"/>
      <c r="HVY155" s="250"/>
      <c r="HVZ155" s="250"/>
      <c r="HWA155" s="250"/>
      <c r="HWB155" s="250"/>
      <c r="HWC155" s="250"/>
      <c r="HWD155" s="250"/>
      <c r="HWE155" s="250"/>
      <c r="HWF155" s="250"/>
      <c r="HWG155" s="250"/>
      <c r="HWH155" s="250"/>
      <c r="HWI155" s="250"/>
      <c r="HWJ155" s="250"/>
      <c r="HWK155" s="250"/>
      <c r="HWL155" s="250"/>
      <c r="HWM155" s="250"/>
      <c r="HWN155" s="250"/>
      <c r="HWO155" s="250"/>
      <c r="HWP155" s="250"/>
      <c r="HWQ155" s="250"/>
      <c r="HWR155" s="250"/>
      <c r="HWS155" s="250"/>
      <c r="HWT155" s="250"/>
      <c r="HWU155" s="250"/>
      <c r="HWV155" s="250"/>
      <c r="HWW155" s="250"/>
      <c r="HWX155" s="250"/>
      <c r="HWY155" s="250"/>
      <c r="HWZ155" s="250"/>
      <c r="HXA155" s="250"/>
      <c r="HXB155" s="250"/>
      <c r="HXC155" s="250"/>
      <c r="HXD155" s="250"/>
      <c r="HXE155" s="250"/>
      <c r="HXF155" s="250"/>
      <c r="HXG155" s="250"/>
      <c r="HXH155" s="250"/>
      <c r="HXI155" s="250"/>
      <c r="HXJ155" s="250"/>
      <c r="HXK155" s="250"/>
      <c r="HXL155" s="250"/>
      <c r="HXM155" s="250"/>
      <c r="HXN155" s="250"/>
      <c r="HXO155" s="250"/>
      <c r="HXP155" s="250"/>
      <c r="HXQ155" s="250"/>
      <c r="HXR155" s="250"/>
      <c r="HXS155" s="250"/>
      <c r="HXT155" s="250"/>
      <c r="HXU155" s="250"/>
      <c r="HXV155" s="250"/>
      <c r="HXW155" s="250"/>
      <c r="HXX155" s="250"/>
      <c r="HXY155" s="250"/>
      <c r="HXZ155" s="250"/>
      <c r="HYA155" s="250"/>
      <c r="HYB155" s="250"/>
      <c r="HYC155" s="250"/>
      <c r="HYD155" s="250"/>
      <c r="HYE155" s="250"/>
      <c r="HYF155" s="250"/>
      <c r="HYG155" s="250"/>
      <c r="HYH155" s="250"/>
      <c r="HYI155" s="250"/>
      <c r="HYJ155" s="250"/>
      <c r="HYK155" s="250"/>
      <c r="HYL155" s="250"/>
      <c r="HYM155" s="250"/>
      <c r="HYN155" s="250"/>
      <c r="HYO155" s="250"/>
      <c r="HYP155" s="250"/>
      <c r="HYQ155" s="250"/>
      <c r="HYR155" s="250"/>
      <c r="HYS155" s="250"/>
      <c r="HYT155" s="250"/>
      <c r="HYU155" s="250"/>
      <c r="HYV155" s="250"/>
      <c r="HYW155" s="250"/>
      <c r="HYX155" s="250"/>
      <c r="HYY155" s="250"/>
      <c r="HYZ155" s="250"/>
      <c r="HZA155" s="250"/>
      <c r="HZB155" s="250"/>
      <c r="HZC155" s="250"/>
      <c r="HZD155" s="250"/>
      <c r="HZE155" s="250"/>
      <c r="HZF155" s="250"/>
      <c r="HZG155" s="250"/>
      <c r="HZH155" s="250"/>
      <c r="HZI155" s="250"/>
      <c r="HZJ155" s="250"/>
      <c r="HZK155" s="250"/>
      <c r="HZL155" s="250"/>
      <c r="HZM155" s="250"/>
      <c r="HZN155" s="250"/>
      <c r="HZO155" s="250"/>
      <c r="HZP155" s="250"/>
      <c r="HZQ155" s="250"/>
      <c r="HZR155" s="250"/>
      <c r="HZS155" s="250"/>
      <c r="HZT155" s="250"/>
      <c r="HZU155" s="250"/>
      <c r="HZV155" s="250"/>
      <c r="HZW155" s="250"/>
      <c r="HZX155" s="250"/>
      <c r="HZY155" s="250"/>
      <c r="HZZ155" s="250"/>
      <c r="IAA155" s="250"/>
      <c r="IAB155" s="250"/>
      <c r="IAC155" s="250"/>
      <c r="IAD155" s="250"/>
      <c r="IAE155" s="250"/>
      <c r="IAF155" s="250"/>
      <c r="IAG155" s="250"/>
      <c r="IAH155" s="250"/>
      <c r="IAI155" s="250"/>
      <c r="IAJ155" s="250"/>
      <c r="IAK155" s="250"/>
      <c r="IAL155" s="250"/>
      <c r="IAM155" s="250"/>
      <c r="IAN155" s="250"/>
      <c r="IAO155" s="250"/>
      <c r="IAP155" s="250"/>
      <c r="IAQ155" s="250"/>
      <c r="IAR155" s="250"/>
      <c r="IAS155" s="250"/>
      <c r="IAT155" s="250"/>
      <c r="IAU155" s="250"/>
      <c r="IAV155" s="250"/>
      <c r="IAW155" s="250"/>
      <c r="IAX155" s="250"/>
      <c r="IAY155" s="250"/>
      <c r="IAZ155" s="250"/>
      <c r="IBA155" s="250"/>
      <c r="IBB155" s="250"/>
      <c r="IBC155" s="250"/>
      <c r="IBD155" s="250"/>
      <c r="IBE155" s="250"/>
      <c r="IBF155" s="250"/>
      <c r="IBG155" s="250"/>
      <c r="IBH155" s="250"/>
      <c r="IBI155" s="250"/>
      <c r="IBJ155" s="250"/>
      <c r="IBK155" s="250"/>
      <c r="IBL155" s="250"/>
      <c r="IBM155" s="250"/>
      <c r="IBN155" s="250"/>
      <c r="IBO155" s="250"/>
      <c r="IBP155" s="250"/>
      <c r="IBQ155" s="250"/>
      <c r="IBR155" s="250"/>
      <c r="IBS155" s="250"/>
      <c r="IBT155" s="250"/>
      <c r="IBU155" s="250"/>
      <c r="IBV155" s="250"/>
      <c r="IBW155" s="250"/>
      <c r="IBX155" s="250"/>
      <c r="IBY155" s="250"/>
      <c r="IBZ155" s="250"/>
      <c r="ICA155" s="250"/>
      <c r="ICB155" s="250"/>
      <c r="ICC155" s="250"/>
      <c r="ICD155" s="250"/>
      <c r="ICE155" s="250"/>
      <c r="ICF155" s="250"/>
      <c r="ICG155" s="250"/>
      <c r="ICH155" s="250"/>
      <c r="ICI155" s="250"/>
      <c r="ICJ155" s="250"/>
      <c r="ICK155" s="250"/>
      <c r="ICL155" s="250"/>
      <c r="ICM155" s="250"/>
      <c r="ICN155" s="250"/>
      <c r="ICO155" s="250"/>
      <c r="ICP155" s="250"/>
      <c r="ICQ155" s="250"/>
      <c r="ICR155" s="250"/>
      <c r="ICS155" s="250"/>
      <c r="ICT155" s="250"/>
      <c r="ICU155" s="250"/>
      <c r="ICV155" s="250"/>
      <c r="ICW155" s="250"/>
      <c r="ICX155" s="250"/>
      <c r="ICY155" s="250"/>
      <c r="ICZ155" s="250"/>
      <c r="IDA155" s="250"/>
      <c r="IDB155" s="250"/>
      <c r="IDC155" s="250"/>
      <c r="IDD155" s="250"/>
      <c r="IDE155" s="250"/>
      <c r="IDF155" s="250"/>
      <c r="IDG155" s="250"/>
      <c r="IDH155" s="250"/>
      <c r="IDI155" s="250"/>
      <c r="IDJ155" s="250"/>
      <c r="IDK155" s="250"/>
      <c r="IDL155" s="250"/>
      <c r="IDM155" s="250"/>
      <c r="IDN155" s="250"/>
      <c r="IDO155" s="250"/>
      <c r="IDP155" s="250"/>
      <c r="IDQ155" s="250"/>
      <c r="IDR155" s="250"/>
      <c r="IDS155" s="250"/>
      <c r="IDT155" s="250"/>
      <c r="IDU155" s="250"/>
      <c r="IDV155" s="250"/>
      <c r="IDW155" s="250"/>
      <c r="IDX155" s="250"/>
      <c r="IDY155" s="250"/>
      <c r="IDZ155" s="250"/>
      <c r="IEA155" s="250"/>
      <c r="IEB155" s="250"/>
      <c r="IEC155" s="250"/>
      <c r="IED155" s="250"/>
      <c r="IEE155" s="250"/>
      <c r="IEF155" s="250"/>
      <c r="IEG155" s="250"/>
      <c r="IEH155" s="250"/>
      <c r="IEI155" s="250"/>
      <c r="IEJ155" s="250"/>
      <c r="IEK155" s="250"/>
      <c r="IEL155" s="250"/>
      <c r="IEM155" s="250"/>
      <c r="IEN155" s="250"/>
      <c r="IEO155" s="250"/>
      <c r="IEP155" s="250"/>
      <c r="IEQ155" s="250"/>
      <c r="IER155" s="250"/>
      <c r="IES155" s="250"/>
      <c r="IET155" s="250"/>
      <c r="IEU155" s="250"/>
      <c r="IEV155" s="250"/>
      <c r="IEW155" s="250"/>
      <c r="IEX155" s="250"/>
      <c r="IEY155" s="250"/>
      <c r="IEZ155" s="250"/>
      <c r="IFA155" s="250"/>
      <c r="IFB155" s="250"/>
      <c r="IFC155" s="250"/>
      <c r="IFD155" s="250"/>
      <c r="IFE155" s="250"/>
      <c r="IFF155" s="250"/>
      <c r="IFG155" s="250"/>
      <c r="IFH155" s="250"/>
      <c r="IFI155" s="250"/>
      <c r="IFJ155" s="250"/>
      <c r="IFK155" s="250"/>
      <c r="IFL155" s="250"/>
      <c r="IFM155" s="250"/>
      <c r="IFN155" s="250"/>
      <c r="IFO155" s="250"/>
      <c r="IFP155" s="250"/>
      <c r="IFQ155" s="250"/>
      <c r="IFR155" s="250"/>
      <c r="IFS155" s="250"/>
      <c r="IFT155" s="250"/>
      <c r="IFU155" s="250"/>
      <c r="IFV155" s="250"/>
      <c r="IFW155" s="250"/>
      <c r="IFX155" s="250"/>
      <c r="IFY155" s="250"/>
      <c r="IFZ155" s="250"/>
      <c r="IGA155" s="250"/>
      <c r="IGB155" s="250"/>
      <c r="IGC155" s="250"/>
      <c r="IGD155" s="250"/>
      <c r="IGE155" s="250"/>
      <c r="IGF155" s="250"/>
      <c r="IGG155" s="250"/>
      <c r="IGH155" s="250"/>
      <c r="IGI155" s="250"/>
      <c r="IGJ155" s="250"/>
      <c r="IGK155" s="250"/>
      <c r="IGL155" s="250"/>
      <c r="IGM155" s="250"/>
      <c r="IGN155" s="250"/>
      <c r="IGO155" s="250"/>
      <c r="IGP155" s="250"/>
      <c r="IGQ155" s="250"/>
      <c r="IGR155" s="250"/>
      <c r="IGS155" s="250"/>
      <c r="IGT155" s="250"/>
      <c r="IGU155" s="250"/>
      <c r="IGV155" s="250"/>
      <c r="IGW155" s="250"/>
      <c r="IGX155" s="250"/>
      <c r="IGY155" s="250"/>
      <c r="IGZ155" s="250"/>
      <c r="IHA155" s="250"/>
      <c r="IHB155" s="250"/>
      <c r="IHC155" s="250"/>
      <c r="IHD155" s="250"/>
      <c r="IHE155" s="250"/>
      <c r="IHF155" s="250"/>
      <c r="IHG155" s="250"/>
      <c r="IHH155" s="250"/>
      <c r="IHI155" s="250"/>
      <c r="IHJ155" s="250"/>
      <c r="IHK155" s="250"/>
      <c r="IHL155" s="250"/>
      <c r="IHM155" s="250"/>
      <c r="IHN155" s="250"/>
      <c r="IHO155" s="250"/>
      <c r="IHP155" s="250"/>
      <c r="IHQ155" s="250"/>
      <c r="IHR155" s="250"/>
      <c r="IHS155" s="250"/>
      <c r="IHT155" s="250"/>
      <c r="IHU155" s="250"/>
      <c r="IHV155" s="250"/>
      <c r="IHW155" s="250"/>
      <c r="IHX155" s="250"/>
      <c r="IHY155" s="250"/>
      <c r="IHZ155" s="250"/>
      <c r="IIA155" s="250"/>
      <c r="IIB155" s="250"/>
      <c r="IIC155" s="250"/>
      <c r="IID155" s="250"/>
      <c r="IIE155" s="250"/>
      <c r="IIF155" s="250"/>
      <c r="IIG155" s="250"/>
      <c r="IIH155" s="250"/>
      <c r="III155" s="250"/>
      <c r="IIJ155" s="250"/>
      <c r="IIK155" s="250"/>
      <c r="IIL155" s="250"/>
      <c r="IIM155" s="250"/>
      <c r="IIN155" s="250"/>
      <c r="IIO155" s="250"/>
      <c r="IIP155" s="250"/>
      <c r="IIQ155" s="250"/>
      <c r="IIR155" s="250"/>
      <c r="IIS155" s="250"/>
      <c r="IIT155" s="250"/>
      <c r="IIU155" s="250"/>
      <c r="IIV155" s="250"/>
      <c r="IIW155" s="250"/>
      <c r="IIX155" s="250"/>
      <c r="IIY155" s="250"/>
      <c r="IIZ155" s="250"/>
      <c r="IJA155" s="250"/>
      <c r="IJB155" s="250"/>
      <c r="IJC155" s="250"/>
      <c r="IJD155" s="250"/>
      <c r="IJE155" s="250"/>
      <c r="IJF155" s="250"/>
      <c r="IJG155" s="250"/>
      <c r="IJH155" s="250"/>
      <c r="IJI155" s="250"/>
      <c r="IJJ155" s="250"/>
      <c r="IJK155" s="250"/>
      <c r="IJL155" s="250"/>
      <c r="IJM155" s="250"/>
      <c r="IJN155" s="250"/>
      <c r="IJO155" s="250"/>
      <c r="IJP155" s="250"/>
      <c r="IJQ155" s="250"/>
      <c r="IJR155" s="250"/>
      <c r="IJS155" s="250"/>
      <c r="IJT155" s="250"/>
      <c r="IJU155" s="250"/>
      <c r="IJV155" s="250"/>
      <c r="IJW155" s="250"/>
      <c r="IJX155" s="250"/>
      <c r="IJY155" s="250"/>
      <c r="IJZ155" s="250"/>
      <c r="IKA155" s="250"/>
      <c r="IKB155" s="250"/>
      <c r="IKC155" s="250"/>
      <c r="IKD155" s="250"/>
      <c r="IKE155" s="250"/>
      <c r="IKF155" s="250"/>
      <c r="IKG155" s="250"/>
      <c r="IKH155" s="250"/>
      <c r="IKI155" s="250"/>
      <c r="IKJ155" s="250"/>
      <c r="IKK155" s="250"/>
      <c r="IKL155" s="250"/>
      <c r="IKM155" s="250"/>
      <c r="IKN155" s="250"/>
      <c r="IKO155" s="250"/>
      <c r="IKP155" s="250"/>
      <c r="IKQ155" s="250"/>
      <c r="IKR155" s="250"/>
      <c r="IKS155" s="250"/>
      <c r="IKT155" s="250"/>
      <c r="IKU155" s="250"/>
      <c r="IKV155" s="250"/>
      <c r="IKW155" s="250"/>
      <c r="IKX155" s="250"/>
      <c r="IKY155" s="250"/>
      <c r="IKZ155" s="250"/>
      <c r="ILA155" s="250"/>
      <c r="ILB155" s="250"/>
      <c r="ILC155" s="250"/>
      <c r="ILD155" s="250"/>
      <c r="ILE155" s="250"/>
      <c r="ILF155" s="250"/>
      <c r="ILG155" s="250"/>
      <c r="ILH155" s="250"/>
      <c r="ILI155" s="250"/>
      <c r="ILJ155" s="250"/>
      <c r="ILK155" s="250"/>
      <c r="ILL155" s="250"/>
      <c r="ILM155" s="250"/>
      <c r="ILN155" s="250"/>
      <c r="ILO155" s="250"/>
      <c r="ILP155" s="250"/>
      <c r="ILQ155" s="250"/>
      <c r="ILR155" s="250"/>
      <c r="ILS155" s="250"/>
      <c r="ILT155" s="250"/>
      <c r="ILU155" s="250"/>
      <c r="ILV155" s="250"/>
      <c r="ILW155" s="250"/>
      <c r="ILX155" s="250"/>
      <c r="ILY155" s="250"/>
      <c r="ILZ155" s="250"/>
      <c r="IMA155" s="250"/>
      <c r="IMB155" s="250"/>
      <c r="IMC155" s="250"/>
      <c r="IMD155" s="250"/>
      <c r="IME155" s="250"/>
      <c r="IMF155" s="250"/>
      <c r="IMG155" s="250"/>
      <c r="IMH155" s="250"/>
      <c r="IMI155" s="250"/>
      <c r="IMJ155" s="250"/>
      <c r="IMK155" s="250"/>
      <c r="IML155" s="250"/>
      <c r="IMM155" s="250"/>
      <c r="IMN155" s="250"/>
      <c r="IMO155" s="250"/>
      <c r="IMP155" s="250"/>
      <c r="IMQ155" s="250"/>
      <c r="IMR155" s="250"/>
      <c r="IMS155" s="250"/>
      <c r="IMT155" s="250"/>
      <c r="IMU155" s="250"/>
      <c r="IMV155" s="250"/>
      <c r="IMW155" s="250"/>
      <c r="IMX155" s="250"/>
      <c r="IMY155" s="250"/>
      <c r="IMZ155" s="250"/>
      <c r="INA155" s="250"/>
      <c r="INB155" s="250"/>
      <c r="INC155" s="250"/>
      <c r="IND155" s="250"/>
      <c r="INE155" s="250"/>
      <c r="INF155" s="250"/>
      <c r="ING155" s="250"/>
      <c r="INH155" s="250"/>
      <c r="INI155" s="250"/>
      <c r="INJ155" s="250"/>
      <c r="INK155" s="250"/>
      <c r="INL155" s="250"/>
      <c r="INM155" s="250"/>
      <c r="INN155" s="250"/>
      <c r="INO155" s="250"/>
      <c r="INP155" s="250"/>
      <c r="INQ155" s="250"/>
      <c r="INR155" s="250"/>
      <c r="INS155" s="250"/>
      <c r="INT155" s="250"/>
      <c r="INU155" s="250"/>
      <c r="INV155" s="250"/>
      <c r="INW155" s="250"/>
      <c r="INX155" s="250"/>
      <c r="INY155" s="250"/>
      <c r="INZ155" s="250"/>
      <c r="IOA155" s="250"/>
      <c r="IOB155" s="250"/>
      <c r="IOC155" s="250"/>
      <c r="IOD155" s="250"/>
      <c r="IOE155" s="250"/>
      <c r="IOF155" s="250"/>
      <c r="IOG155" s="250"/>
      <c r="IOH155" s="250"/>
      <c r="IOI155" s="250"/>
      <c r="IOJ155" s="250"/>
      <c r="IOK155" s="250"/>
      <c r="IOL155" s="250"/>
      <c r="IOM155" s="250"/>
      <c r="ION155" s="250"/>
      <c r="IOO155" s="250"/>
      <c r="IOP155" s="250"/>
      <c r="IOQ155" s="250"/>
      <c r="IOR155" s="250"/>
      <c r="IOS155" s="250"/>
      <c r="IOT155" s="250"/>
      <c r="IOU155" s="250"/>
      <c r="IOV155" s="250"/>
      <c r="IOW155" s="250"/>
      <c r="IOX155" s="250"/>
      <c r="IOY155" s="250"/>
      <c r="IOZ155" s="250"/>
      <c r="IPA155" s="250"/>
      <c r="IPB155" s="250"/>
      <c r="IPC155" s="250"/>
      <c r="IPD155" s="250"/>
      <c r="IPE155" s="250"/>
      <c r="IPF155" s="250"/>
      <c r="IPG155" s="250"/>
      <c r="IPH155" s="250"/>
      <c r="IPI155" s="250"/>
      <c r="IPJ155" s="250"/>
      <c r="IPK155" s="250"/>
      <c r="IPL155" s="250"/>
      <c r="IPM155" s="250"/>
      <c r="IPN155" s="250"/>
      <c r="IPO155" s="250"/>
      <c r="IPP155" s="250"/>
      <c r="IPQ155" s="250"/>
      <c r="IPR155" s="250"/>
      <c r="IPS155" s="250"/>
      <c r="IPT155" s="250"/>
      <c r="IPU155" s="250"/>
      <c r="IPV155" s="250"/>
      <c r="IPW155" s="250"/>
      <c r="IPX155" s="250"/>
      <c r="IPY155" s="250"/>
      <c r="IPZ155" s="250"/>
      <c r="IQA155" s="250"/>
      <c r="IQB155" s="250"/>
      <c r="IQC155" s="250"/>
      <c r="IQD155" s="250"/>
      <c r="IQE155" s="250"/>
      <c r="IQF155" s="250"/>
      <c r="IQG155" s="250"/>
      <c r="IQH155" s="250"/>
      <c r="IQI155" s="250"/>
      <c r="IQJ155" s="250"/>
      <c r="IQK155" s="250"/>
      <c r="IQL155" s="250"/>
      <c r="IQM155" s="250"/>
      <c r="IQN155" s="250"/>
      <c r="IQO155" s="250"/>
      <c r="IQP155" s="250"/>
      <c r="IQQ155" s="250"/>
      <c r="IQR155" s="250"/>
      <c r="IQS155" s="250"/>
      <c r="IQT155" s="250"/>
      <c r="IQU155" s="250"/>
      <c r="IQV155" s="250"/>
      <c r="IQW155" s="250"/>
      <c r="IQX155" s="250"/>
      <c r="IQY155" s="250"/>
      <c r="IQZ155" s="250"/>
      <c r="IRA155" s="250"/>
      <c r="IRB155" s="250"/>
      <c r="IRC155" s="250"/>
      <c r="IRD155" s="250"/>
      <c r="IRE155" s="250"/>
      <c r="IRF155" s="250"/>
      <c r="IRG155" s="250"/>
      <c r="IRH155" s="250"/>
      <c r="IRI155" s="250"/>
      <c r="IRJ155" s="250"/>
      <c r="IRK155" s="250"/>
      <c r="IRL155" s="250"/>
      <c r="IRM155" s="250"/>
      <c r="IRN155" s="250"/>
      <c r="IRO155" s="250"/>
      <c r="IRP155" s="250"/>
      <c r="IRQ155" s="250"/>
      <c r="IRR155" s="250"/>
      <c r="IRS155" s="250"/>
      <c r="IRT155" s="250"/>
      <c r="IRU155" s="250"/>
      <c r="IRV155" s="250"/>
      <c r="IRW155" s="250"/>
      <c r="IRX155" s="250"/>
      <c r="IRY155" s="250"/>
      <c r="IRZ155" s="250"/>
      <c r="ISA155" s="250"/>
      <c r="ISB155" s="250"/>
      <c r="ISC155" s="250"/>
      <c r="ISD155" s="250"/>
      <c r="ISE155" s="250"/>
      <c r="ISF155" s="250"/>
      <c r="ISG155" s="250"/>
      <c r="ISH155" s="250"/>
      <c r="ISI155" s="250"/>
      <c r="ISJ155" s="250"/>
      <c r="ISK155" s="250"/>
      <c r="ISL155" s="250"/>
      <c r="ISM155" s="250"/>
      <c r="ISN155" s="250"/>
      <c r="ISO155" s="250"/>
      <c r="ISP155" s="250"/>
      <c r="ISQ155" s="250"/>
      <c r="ISR155" s="250"/>
      <c r="ISS155" s="250"/>
      <c r="IST155" s="250"/>
      <c r="ISU155" s="250"/>
      <c r="ISV155" s="250"/>
      <c r="ISW155" s="250"/>
      <c r="ISX155" s="250"/>
      <c r="ISY155" s="250"/>
      <c r="ISZ155" s="250"/>
      <c r="ITA155" s="250"/>
      <c r="ITB155" s="250"/>
      <c r="ITC155" s="250"/>
      <c r="ITD155" s="250"/>
      <c r="ITE155" s="250"/>
      <c r="ITF155" s="250"/>
      <c r="ITG155" s="250"/>
      <c r="ITH155" s="250"/>
      <c r="ITI155" s="250"/>
      <c r="ITJ155" s="250"/>
      <c r="ITK155" s="250"/>
      <c r="ITL155" s="250"/>
      <c r="ITM155" s="250"/>
      <c r="ITN155" s="250"/>
      <c r="ITO155" s="250"/>
      <c r="ITP155" s="250"/>
      <c r="ITQ155" s="250"/>
      <c r="ITR155" s="250"/>
      <c r="ITS155" s="250"/>
      <c r="ITT155" s="250"/>
      <c r="ITU155" s="250"/>
      <c r="ITV155" s="250"/>
      <c r="ITW155" s="250"/>
      <c r="ITX155" s="250"/>
      <c r="ITY155" s="250"/>
      <c r="ITZ155" s="250"/>
      <c r="IUA155" s="250"/>
      <c r="IUB155" s="250"/>
      <c r="IUC155" s="250"/>
      <c r="IUD155" s="250"/>
      <c r="IUE155" s="250"/>
      <c r="IUF155" s="250"/>
      <c r="IUG155" s="250"/>
      <c r="IUH155" s="250"/>
      <c r="IUI155" s="250"/>
      <c r="IUJ155" s="250"/>
      <c r="IUK155" s="250"/>
      <c r="IUL155" s="250"/>
      <c r="IUM155" s="250"/>
      <c r="IUN155" s="250"/>
      <c r="IUO155" s="250"/>
      <c r="IUP155" s="250"/>
      <c r="IUQ155" s="250"/>
      <c r="IUR155" s="250"/>
      <c r="IUS155" s="250"/>
      <c r="IUT155" s="250"/>
      <c r="IUU155" s="250"/>
      <c r="IUV155" s="250"/>
      <c r="IUW155" s="250"/>
      <c r="IUX155" s="250"/>
      <c r="IUY155" s="250"/>
      <c r="IUZ155" s="250"/>
      <c r="IVA155" s="250"/>
      <c r="IVB155" s="250"/>
      <c r="IVC155" s="250"/>
      <c r="IVD155" s="250"/>
      <c r="IVE155" s="250"/>
      <c r="IVF155" s="250"/>
      <c r="IVG155" s="250"/>
      <c r="IVH155" s="250"/>
      <c r="IVI155" s="250"/>
      <c r="IVJ155" s="250"/>
      <c r="IVK155" s="250"/>
      <c r="IVL155" s="250"/>
      <c r="IVM155" s="250"/>
      <c r="IVN155" s="250"/>
      <c r="IVO155" s="250"/>
      <c r="IVP155" s="250"/>
      <c r="IVQ155" s="250"/>
      <c r="IVR155" s="250"/>
      <c r="IVS155" s="250"/>
      <c r="IVT155" s="250"/>
      <c r="IVU155" s="250"/>
      <c r="IVV155" s="250"/>
      <c r="IVW155" s="250"/>
      <c r="IVX155" s="250"/>
      <c r="IVY155" s="250"/>
      <c r="IVZ155" s="250"/>
      <c r="IWA155" s="250"/>
      <c r="IWB155" s="250"/>
      <c r="IWC155" s="250"/>
      <c r="IWD155" s="250"/>
      <c r="IWE155" s="250"/>
      <c r="IWF155" s="250"/>
      <c r="IWG155" s="250"/>
      <c r="IWH155" s="250"/>
      <c r="IWI155" s="250"/>
      <c r="IWJ155" s="250"/>
      <c r="IWK155" s="250"/>
      <c r="IWL155" s="250"/>
      <c r="IWM155" s="250"/>
      <c r="IWN155" s="250"/>
      <c r="IWO155" s="250"/>
      <c r="IWP155" s="250"/>
      <c r="IWQ155" s="250"/>
      <c r="IWR155" s="250"/>
      <c r="IWS155" s="250"/>
      <c r="IWT155" s="250"/>
      <c r="IWU155" s="250"/>
      <c r="IWV155" s="250"/>
      <c r="IWW155" s="250"/>
      <c r="IWX155" s="250"/>
      <c r="IWY155" s="250"/>
      <c r="IWZ155" s="250"/>
      <c r="IXA155" s="250"/>
      <c r="IXB155" s="250"/>
      <c r="IXC155" s="250"/>
      <c r="IXD155" s="250"/>
      <c r="IXE155" s="250"/>
      <c r="IXF155" s="250"/>
      <c r="IXG155" s="250"/>
      <c r="IXH155" s="250"/>
      <c r="IXI155" s="250"/>
      <c r="IXJ155" s="250"/>
      <c r="IXK155" s="250"/>
      <c r="IXL155" s="250"/>
      <c r="IXM155" s="250"/>
      <c r="IXN155" s="250"/>
      <c r="IXO155" s="250"/>
      <c r="IXP155" s="250"/>
      <c r="IXQ155" s="250"/>
      <c r="IXR155" s="250"/>
      <c r="IXS155" s="250"/>
      <c r="IXT155" s="250"/>
      <c r="IXU155" s="250"/>
      <c r="IXV155" s="250"/>
      <c r="IXW155" s="250"/>
      <c r="IXX155" s="250"/>
      <c r="IXY155" s="250"/>
      <c r="IXZ155" s="250"/>
      <c r="IYA155" s="250"/>
      <c r="IYB155" s="250"/>
      <c r="IYC155" s="250"/>
      <c r="IYD155" s="250"/>
      <c r="IYE155" s="250"/>
      <c r="IYF155" s="250"/>
      <c r="IYG155" s="250"/>
      <c r="IYH155" s="250"/>
      <c r="IYI155" s="250"/>
      <c r="IYJ155" s="250"/>
      <c r="IYK155" s="250"/>
      <c r="IYL155" s="250"/>
      <c r="IYM155" s="250"/>
      <c r="IYN155" s="250"/>
      <c r="IYO155" s="250"/>
      <c r="IYP155" s="250"/>
      <c r="IYQ155" s="250"/>
      <c r="IYR155" s="250"/>
      <c r="IYS155" s="250"/>
      <c r="IYT155" s="250"/>
      <c r="IYU155" s="250"/>
      <c r="IYV155" s="250"/>
      <c r="IYW155" s="250"/>
      <c r="IYX155" s="250"/>
      <c r="IYY155" s="250"/>
      <c r="IYZ155" s="250"/>
      <c r="IZA155" s="250"/>
      <c r="IZB155" s="250"/>
      <c r="IZC155" s="250"/>
      <c r="IZD155" s="250"/>
      <c r="IZE155" s="250"/>
      <c r="IZF155" s="250"/>
      <c r="IZG155" s="250"/>
      <c r="IZH155" s="250"/>
      <c r="IZI155" s="250"/>
      <c r="IZJ155" s="250"/>
      <c r="IZK155" s="250"/>
      <c r="IZL155" s="250"/>
      <c r="IZM155" s="250"/>
      <c r="IZN155" s="250"/>
      <c r="IZO155" s="250"/>
      <c r="IZP155" s="250"/>
      <c r="IZQ155" s="250"/>
      <c r="IZR155" s="250"/>
      <c r="IZS155" s="250"/>
      <c r="IZT155" s="250"/>
      <c r="IZU155" s="250"/>
      <c r="IZV155" s="250"/>
      <c r="IZW155" s="250"/>
      <c r="IZX155" s="250"/>
      <c r="IZY155" s="250"/>
      <c r="IZZ155" s="250"/>
      <c r="JAA155" s="250"/>
      <c r="JAB155" s="250"/>
      <c r="JAC155" s="250"/>
      <c r="JAD155" s="250"/>
      <c r="JAE155" s="250"/>
      <c r="JAF155" s="250"/>
      <c r="JAG155" s="250"/>
      <c r="JAH155" s="250"/>
      <c r="JAI155" s="250"/>
      <c r="JAJ155" s="250"/>
      <c r="JAK155" s="250"/>
      <c r="JAL155" s="250"/>
      <c r="JAM155" s="250"/>
      <c r="JAN155" s="250"/>
      <c r="JAO155" s="250"/>
      <c r="JAP155" s="250"/>
      <c r="JAQ155" s="250"/>
      <c r="JAR155" s="250"/>
      <c r="JAS155" s="250"/>
      <c r="JAT155" s="250"/>
      <c r="JAU155" s="250"/>
      <c r="JAV155" s="250"/>
      <c r="JAW155" s="250"/>
      <c r="JAX155" s="250"/>
      <c r="JAY155" s="250"/>
      <c r="JAZ155" s="250"/>
      <c r="JBA155" s="250"/>
      <c r="JBB155" s="250"/>
      <c r="JBC155" s="250"/>
      <c r="JBD155" s="250"/>
      <c r="JBE155" s="250"/>
      <c r="JBF155" s="250"/>
      <c r="JBG155" s="250"/>
      <c r="JBH155" s="250"/>
      <c r="JBI155" s="250"/>
      <c r="JBJ155" s="250"/>
      <c r="JBK155" s="250"/>
      <c r="JBL155" s="250"/>
      <c r="JBM155" s="250"/>
      <c r="JBN155" s="250"/>
      <c r="JBO155" s="250"/>
      <c r="JBP155" s="250"/>
      <c r="JBQ155" s="250"/>
      <c r="JBR155" s="250"/>
      <c r="JBS155" s="250"/>
      <c r="JBT155" s="250"/>
      <c r="JBU155" s="250"/>
      <c r="JBV155" s="250"/>
      <c r="JBW155" s="250"/>
      <c r="JBX155" s="250"/>
      <c r="JBY155" s="250"/>
      <c r="JBZ155" s="250"/>
      <c r="JCA155" s="250"/>
      <c r="JCB155" s="250"/>
      <c r="JCC155" s="250"/>
      <c r="JCD155" s="250"/>
      <c r="JCE155" s="250"/>
      <c r="JCF155" s="250"/>
      <c r="JCG155" s="250"/>
      <c r="JCH155" s="250"/>
      <c r="JCI155" s="250"/>
      <c r="JCJ155" s="250"/>
      <c r="JCK155" s="250"/>
      <c r="JCL155" s="250"/>
      <c r="JCM155" s="250"/>
      <c r="JCN155" s="250"/>
      <c r="JCO155" s="250"/>
      <c r="JCP155" s="250"/>
      <c r="JCQ155" s="250"/>
      <c r="JCR155" s="250"/>
      <c r="JCS155" s="250"/>
      <c r="JCT155" s="250"/>
      <c r="JCU155" s="250"/>
      <c r="JCV155" s="250"/>
      <c r="JCW155" s="250"/>
      <c r="JCX155" s="250"/>
      <c r="JCY155" s="250"/>
      <c r="JCZ155" s="250"/>
      <c r="JDA155" s="250"/>
      <c r="JDB155" s="250"/>
      <c r="JDC155" s="250"/>
      <c r="JDD155" s="250"/>
      <c r="JDE155" s="250"/>
      <c r="JDF155" s="250"/>
      <c r="JDG155" s="250"/>
      <c r="JDH155" s="250"/>
      <c r="JDI155" s="250"/>
      <c r="JDJ155" s="250"/>
      <c r="JDK155" s="250"/>
      <c r="JDL155" s="250"/>
      <c r="JDM155" s="250"/>
      <c r="JDN155" s="250"/>
      <c r="JDO155" s="250"/>
      <c r="JDP155" s="250"/>
      <c r="JDQ155" s="250"/>
      <c r="JDR155" s="250"/>
      <c r="JDS155" s="250"/>
      <c r="JDT155" s="250"/>
      <c r="JDU155" s="250"/>
      <c r="JDV155" s="250"/>
      <c r="JDW155" s="250"/>
      <c r="JDX155" s="250"/>
      <c r="JDY155" s="250"/>
      <c r="JDZ155" s="250"/>
      <c r="JEA155" s="250"/>
      <c r="JEB155" s="250"/>
      <c r="JEC155" s="250"/>
      <c r="JED155" s="250"/>
      <c r="JEE155" s="250"/>
      <c r="JEF155" s="250"/>
      <c r="JEG155" s="250"/>
      <c r="JEH155" s="250"/>
      <c r="JEI155" s="250"/>
      <c r="JEJ155" s="250"/>
      <c r="JEK155" s="250"/>
      <c r="JEL155" s="250"/>
      <c r="JEM155" s="250"/>
      <c r="JEN155" s="250"/>
      <c r="JEO155" s="250"/>
      <c r="JEP155" s="250"/>
      <c r="JEQ155" s="250"/>
      <c r="JER155" s="250"/>
      <c r="JES155" s="250"/>
      <c r="JET155" s="250"/>
      <c r="JEU155" s="250"/>
      <c r="JEV155" s="250"/>
      <c r="JEW155" s="250"/>
      <c r="JEX155" s="250"/>
      <c r="JEY155" s="250"/>
      <c r="JEZ155" s="250"/>
      <c r="JFA155" s="250"/>
      <c r="JFB155" s="250"/>
      <c r="JFC155" s="250"/>
      <c r="JFD155" s="250"/>
      <c r="JFE155" s="250"/>
      <c r="JFF155" s="250"/>
      <c r="JFG155" s="250"/>
      <c r="JFH155" s="250"/>
      <c r="JFI155" s="250"/>
      <c r="JFJ155" s="250"/>
      <c r="JFK155" s="250"/>
      <c r="JFL155" s="250"/>
      <c r="JFM155" s="250"/>
      <c r="JFN155" s="250"/>
      <c r="JFO155" s="250"/>
      <c r="JFP155" s="250"/>
      <c r="JFQ155" s="250"/>
      <c r="JFR155" s="250"/>
      <c r="JFS155" s="250"/>
      <c r="JFT155" s="250"/>
      <c r="JFU155" s="250"/>
      <c r="JFV155" s="250"/>
      <c r="JFW155" s="250"/>
      <c r="JFX155" s="250"/>
      <c r="JFY155" s="250"/>
      <c r="JFZ155" s="250"/>
      <c r="JGA155" s="250"/>
      <c r="JGB155" s="250"/>
      <c r="JGC155" s="250"/>
      <c r="JGD155" s="250"/>
      <c r="JGE155" s="250"/>
      <c r="JGF155" s="250"/>
      <c r="JGG155" s="250"/>
      <c r="JGH155" s="250"/>
      <c r="JGI155" s="250"/>
      <c r="JGJ155" s="250"/>
      <c r="JGK155" s="250"/>
      <c r="JGL155" s="250"/>
      <c r="JGM155" s="250"/>
      <c r="JGN155" s="250"/>
      <c r="JGO155" s="250"/>
      <c r="JGP155" s="250"/>
      <c r="JGQ155" s="250"/>
      <c r="JGR155" s="250"/>
      <c r="JGS155" s="250"/>
      <c r="JGT155" s="250"/>
      <c r="JGU155" s="250"/>
      <c r="JGV155" s="250"/>
      <c r="JGW155" s="250"/>
      <c r="JGX155" s="250"/>
      <c r="JGY155" s="250"/>
      <c r="JGZ155" s="250"/>
      <c r="JHA155" s="250"/>
      <c r="JHB155" s="250"/>
      <c r="JHC155" s="250"/>
      <c r="JHD155" s="250"/>
      <c r="JHE155" s="250"/>
      <c r="JHF155" s="250"/>
      <c r="JHG155" s="250"/>
      <c r="JHH155" s="250"/>
      <c r="JHI155" s="250"/>
      <c r="JHJ155" s="250"/>
      <c r="JHK155" s="250"/>
      <c r="JHL155" s="250"/>
      <c r="JHM155" s="250"/>
      <c r="JHN155" s="250"/>
      <c r="JHO155" s="250"/>
      <c r="JHP155" s="250"/>
      <c r="JHQ155" s="250"/>
      <c r="JHR155" s="250"/>
      <c r="JHS155" s="250"/>
      <c r="JHT155" s="250"/>
      <c r="JHU155" s="250"/>
      <c r="JHV155" s="250"/>
      <c r="JHW155" s="250"/>
      <c r="JHX155" s="250"/>
      <c r="JHY155" s="250"/>
      <c r="JHZ155" s="250"/>
      <c r="JIA155" s="250"/>
      <c r="JIB155" s="250"/>
      <c r="JIC155" s="250"/>
      <c r="JID155" s="250"/>
      <c r="JIE155" s="250"/>
      <c r="JIF155" s="250"/>
      <c r="JIG155" s="250"/>
      <c r="JIH155" s="250"/>
      <c r="JII155" s="250"/>
      <c r="JIJ155" s="250"/>
      <c r="JIK155" s="250"/>
      <c r="JIL155" s="250"/>
      <c r="JIM155" s="250"/>
      <c r="JIN155" s="250"/>
      <c r="JIO155" s="250"/>
      <c r="JIP155" s="250"/>
      <c r="JIQ155" s="250"/>
      <c r="JIR155" s="250"/>
      <c r="JIS155" s="250"/>
      <c r="JIT155" s="250"/>
      <c r="JIU155" s="250"/>
      <c r="JIV155" s="250"/>
      <c r="JIW155" s="250"/>
      <c r="JIX155" s="250"/>
      <c r="JIY155" s="250"/>
      <c r="JIZ155" s="250"/>
      <c r="JJA155" s="250"/>
      <c r="JJB155" s="250"/>
      <c r="JJC155" s="250"/>
      <c r="JJD155" s="250"/>
      <c r="JJE155" s="250"/>
      <c r="JJF155" s="250"/>
      <c r="JJG155" s="250"/>
      <c r="JJH155" s="250"/>
      <c r="JJI155" s="250"/>
      <c r="JJJ155" s="250"/>
      <c r="JJK155" s="250"/>
      <c r="JJL155" s="250"/>
      <c r="JJM155" s="250"/>
      <c r="JJN155" s="250"/>
      <c r="JJO155" s="250"/>
      <c r="JJP155" s="250"/>
      <c r="JJQ155" s="250"/>
      <c r="JJR155" s="250"/>
      <c r="JJS155" s="250"/>
      <c r="JJT155" s="250"/>
      <c r="JJU155" s="250"/>
      <c r="JJV155" s="250"/>
      <c r="JJW155" s="250"/>
      <c r="JJX155" s="250"/>
      <c r="JJY155" s="250"/>
      <c r="JJZ155" s="250"/>
      <c r="JKA155" s="250"/>
      <c r="JKB155" s="250"/>
      <c r="JKC155" s="250"/>
      <c r="JKD155" s="250"/>
      <c r="JKE155" s="250"/>
      <c r="JKF155" s="250"/>
      <c r="JKG155" s="250"/>
      <c r="JKH155" s="250"/>
      <c r="JKI155" s="250"/>
      <c r="JKJ155" s="250"/>
      <c r="JKK155" s="250"/>
      <c r="JKL155" s="250"/>
      <c r="JKM155" s="250"/>
      <c r="JKN155" s="250"/>
      <c r="JKO155" s="250"/>
      <c r="JKP155" s="250"/>
      <c r="JKQ155" s="250"/>
      <c r="JKR155" s="250"/>
      <c r="JKS155" s="250"/>
      <c r="JKT155" s="250"/>
      <c r="JKU155" s="250"/>
      <c r="JKV155" s="250"/>
      <c r="JKW155" s="250"/>
      <c r="JKX155" s="250"/>
      <c r="JKY155" s="250"/>
      <c r="JKZ155" s="250"/>
      <c r="JLA155" s="250"/>
      <c r="JLB155" s="250"/>
      <c r="JLC155" s="250"/>
      <c r="JLD155" s="250"/>
      <c r="JLE155" s="250"/>
      <c r="JLF155" s="250"/>
      <c r="JLG155" s="250"/>
      <c r="JLH155" s="250"/>
      <c r="JLI155" s="250"/>
      <c r="JLJ155" s="250"/>
      <c r="JLK155" s="250"/>
      <c r="JLL155" s="250"/>
      <c r="JLM155" s="250"/>
      <c r="JLN155" s="250"/>
      <c r="JLO155" s="250"/>
      <c r="JLP155" s="250"/>
      <c r="JLQ155" s="250"/>
      <c r="JLR155" s="250"/>
      <c r="JLS155" s="250"/>
      <c r="JLT155" s="250"/>
      <c r="JLU155" s="250"/>
      <c r="JLV155" s="250"/>
      <c r="JLW155" s="250"/>
      <c r="JLX155" s="250"/>
      <c r="JLY155" s="250"/>
      <c r="JLZ155" s="250"/>
      <c r="JMA155" s="250"/>
      <c r="JMB155" s="250"/>
      <c r="JMC155" s="250"/>
      <c r="JMD155" s="250"/>
      <c r="JME155" s="250"/>
      <c r="JMF155" s="250"/>
      <c r="JMG155" s="250"/>
      <c r="JMH155" s="250"/>
      <c r="JMI155" s="250"/>
      <c r="JMJ155" s="250"/>
      <c r="JMK155" s="250"/>
      <c r="JML155" s="250"/>
      <c r="JMM155" s="250"/>
      <c r="JMN155" s="250"/>
      <c r="JMO155" s="250"/>
      <c r="JMP155" s="250"/>
      <c r="JMQ155" s="250"/>
      <c r="JMR155" s="250"/>
      <c r="JMS155" s="250"/>
      <c r="JMT155" s="250"/>
      <c r="JMU155" s="250"/>
      <c r="JMV155" s="250"/>
      <c r="JMW155" s="250"/>
      <c r="JMX155" s="250"/>
      <c r="JMY155" s="250"/>
      <c r="JMZ155" s="250"/>
      <c r="JNA155" s="250"/>
      <c r="JNB155" s="250"/>
      <c r="JNC155" s="250"/>
      <c r="JND155" s="250"/>
      <c r="JNE155" s="250"/>
      <c r="JNF155" s="250"/>
      <c r="JNG155" s="250"/>
      <c r="JNH155" s="250"/>
      <c r="JNI155" s="250"/>
      <c r="JNJ155" s="250"/>
      <c r="JNK155" s="250"/>
      <c r="JNL155" s="250"/>
      <c r="JNM155" s="250"/>
      <c r="JNN155" s="250"/>
      <c r="JNO155" s="250"/>
      <c r="JNP155" s="250"/>
      <c r="JNQ155" s="250"/>
      <c r="JNR155" s="250"/>
      <c r="JNS155" s="250"/>
      <c r="JNT155" s="250"/>
      <c r="JNU155" s="250"/>
      <c r="JNV155" s="250"/>
      <c r="JNW155" s="250"/>
      <c r="JNX155" s="250"/>
      <c r="JNY155" s="250"/>
      <c r="JNZ155" s="250"/>
      <c r="JOA155" s="250"/>
      <c r="JOB155" s="250"/>
      <c r="JOC155" s="250"/>
      <c r="JOD155" s="250"/>
      <c r="JOE155" s="250"/>
      <c r="JOF155" s="250"/>
      <c r="JOG155" s="250"/>
      <c r="JOH155" s="250"/>
      <c r="JOI155" s="250"/>
      <c r="JOJ155" s="250"/>
      <c r="JOK155" s="250"/>
      <c r="JOL155" s="250"/>
      <c r="JOM155" s="250"/>
      <c r="JON155" s="250"/>
      <c r="JOO155" s="250"/>
      <c r="JOP155" s="250"/>
      <c r="JOQ155" s="250"/>
      <c r="JOR155" s="250"/>
      <c r="JOS155" s="250"/>
      <c r="JOT155" s="250"/>
      <c r="JOU155" s="250"/>
      <c r="JOV155" s="250"/>
      <c r="JOW155" s="250"/>
      <c r="JOX155" s="250"/>
      <c r="JOY155" s="250"/>
      <c r="JOZ155" s="250"/>
      <c r="JPA155" s="250"/>
      <c r="JPB155" s="250"/>
      <c r="JPC155" s="250"/>
      <c r="JPD155" s="250"/>
      <c r="JPE155" s="250"/>
      <c r="JPF155" s="250"/>
      <c r="JPG155" s="250"/>
      <c r="JPH155" s="250"/>
      <c r="JPI155" s="250"/>
      <c r="JPJ155" s="250"/>
      <c r="JPK155" s="250"/>
      <c r="JPL155" s="250"/>
      <c r="JPM155" s="250"/>
      <c r="JPN155" s="250"/>
      <c r="JPO155" s="250"/>
      <c r="JPP155" s="250"/>
      <c r="JPQ155" s="250"/>
      <c r="JPR155" s="250"/>
      <c r="JPS155" s="250"/>
      <c r="JPT155" s="250"/>
      <c r="JPU155" s="250"/>
      <c r="JPV155" s="250"/>
      <c r="JPW155" s="250"/>
      <c r="JPX155" s="250"/>
      <c r="JPY155" s="250"/>
      <c r="JPZ155" s="250"/>
      <c r="JQA155" s="250"/>
      <c r="JQB155" s="250"/>
      <c r="JQC155" s="250"/>
      <c r="JQD155" s="250"/>
      <c r="JQE155" s="250"/>
      <c r="JQF155" s="250"/>
      <c r="JQG155" s="250"/>
      <c r="JQH155" s="250"/>
      <c r="JQI155" s="250"/>
      <c r="JQJ155" s="250"/>
      <c r="JQK155" s="250"/>
      <c r="JQL155" s="250"/>
      <c r="JQM155" s="250"/>
      <c r="JQN155" s="250"/>
      <c r="JQO155" s="250"/>
      <c r="JQP155" s="250"/>
      <c r="JQQ155" s="250"/>
      <c r="JQR155" s="250"/>
      <c r="JQS155" s="250"/>
      <c r="JQT155" s="250"/>
      <c r="JQU155" s="250"/>
      <c r="JQV155" s="250"/>
      <c r="JQW155" s="250"/>
      <c r="JQX155" s="250"/>
      <c r="JQY155" s="250"/>
      <c r="JQZ155" s="250"/>
      <c r="JRA155" s="250"/>
      <c r="JRB155" s="250"/>
      <c r="JRC155" s="250"/>
      <c r="JRD155" s="250"/>
      <c r="JRE155" s="250"/>
      <c r="JRF155" s="250"/>
      <c r="JRG155" s="250"/>
      <c r="JRH155" s="250"/>
      <c r="JRI155" s="250"/>
      <c r="JRJ155" s="250"/>
      <c r="JRK155" s="250"/>
      <c r="JRL155" s="250"/>
      <c r="JRM155" s="250"/>
      <c r="JRN155" s="250"/>
      <c r="JRO155" s="250"/>
      <c r="JRP155" s="250"/>
      <c r="JRQ155" s="250"/>
      <c r="JRR155" s="250"/>
      <c r="JRS155" s="250"/>
      <c r="JRT155" s="250"/>
      <c r="JRU155" s="250"/>
      <c r="JRV155" s="250"/>
      <c r="JRW155" s="250"/>
      <c r="JRX155" s="250"/>
      <c r="JRY155" s="250"/>
      <c r="JRZ155" s="250"/>
      <c r="JSA155" s="250"/>
      <c r="JSB155" s="250"/>
      <c r="JSC155" s="250"/>
      <c r="JSD155" s="250"/>
      <c r="JSE155" s="250"/>
      <c r="JSF155" s="250"/>
      <c r="JSG155" s="250"/>
      <c r="JSH155" s="250"/>
      <c r="JSI155" s="250"/>
      <c r="JSJ155" s="250"/>
      <c r="JSK155" s="250"/>
      <c r="JSL155" s="250"/>
      <c r="JSM155" s="250"/>
      <c r="JSN155" s="250"/>
      <c r="JSO155" s="250"/>
      <c r="JSP155" s="250"/>
      <c r="JSQ155" s="250"/>
      <c r="JSR155" s="250"/>
      <c r="JSS155" s="250"/>
      <c r="JST155" s="250"/>
      <c r="JSU155" s="250"/>
      <c r="JSV155" s="250"/>
      <c r="JSW155" s="250"/>
      <c r="JSX155" s="250"/>
      <c r="JSY155" s="250"/>
      <c r="JSZ155" s="250"/>
      <c r="JTA155" s="250"/>
      <c r="JTB155" s="250"/>
      <c r="JTC155" s="250"/>
      <c r="JTD155" s="250"/>
      <c r="JTE155" s="250"/>
      <c r="JTF155" s="250"/>
      <c r="JTG155" s="250"/>
      <c r="JTH155" s="250"/>
      <c r="JTI155" s="250"/>
      <c r="JTJ155" s="250"/>
      <c r="JTK155" s="250"/>
      <c r="JTL155" s="250"/>
      <c r="JTM155" s="250"/>
      <c r="JTN155" s="250"/>
      <c r="JTO155" s="250"/>
      <c r="JTP155" s="250"/>
      <c r="JTQ155" s="250"/>
      <c r="JTR155" s="250"/>
      <c r="JTS155" s="250"/>
      <c r="JTT155" s="250"/>
      <c r="JTU155" s="250"/>
      <c r="JTV155" s="250"/>
      <c r="JTW155" s="250"/>
      <c r="JTX155" s="250"/>
      <c r="JTY155" s="250"/>
      <c r="JTZ155" s="250"/>
      <c r="JUA155" s="250"/>
      <c r="JUB155" s="250"/>
      <c r="JUC155" s="250"/>
      <c r="JUD155" s="250"/>
      <c r="JUE155" s="250"/>
      <c r="JUF155" s="250"/>
      <c r="JUG155" s="250"/>
      <c r="JUH155" s="250"/>
      <c r="JUI155" s="250"/>
      <c r="JUJ155" s="250"/>
      <c r="JUK155" s="250"/>
      <c r="JUL155" s="250"/>
      <c r="JUM155" s="250"/>
      <c r="JUN155" s="250"/>
      <c r="JUO155" s="250"/>
      <c r="JUP155" s="250"/>
      <c r="JUQ155" s="250"/>
      <c r="JUR155" s="250"/>
      <c r="JUS155" s="250"/>
      <c r="JUT155" s="250"/>
      <c r="JUU155" s="250"/>
      <c r="JUV155" s="250"/>
      <c r="JUW155" s="250"/>
      <c r="JUX155" s="250"/>
      <c r="JUY155" s="250"/>
      <c r="JUZ155" s="250"/>
      <c r="JVA155" s="250"/>
      <c r="JVB155" s="250"/>
      <c r="JVC155" s="250"/>
      <c r="JVD155" s="250"/>
      <c r="JVE155" s="250"/>
      <c r="JVF155" s="250"/>
      <c r="JVG155" s="250"/>
      <c r="JVH155" s="250"/>
      <c r="JVI155" s="250"/>
      <c r="JVJ155" s="250"/>
      <c r="JVK155" s="250"/>
      <c r="JVL155" s="250"/>
      <c r="JVM155" s="250"/>
      <c r="JVN155" s="250"/>
      <c r="JVO155" s="250"/>
      <c r="JVP155" s="250"/>
      <c r="JVQ155" s="250"/>
      <c r="JVR155" s="250"/>
      <c r="JVS155" s="250"/>
      <c r="JVT155" s="250"/>
      <c r="JVU155" s="250"/>
      <c r="JVV155" s="250"/>
      <c r="JVW155" s="250"/>
      <c r="JVX155" s="250"/>
      <c r="JVY155" s="250"/>
      <c r="JVZ155" s="250"/>
      <c r="JWA155" s="250"/>
      <c r="JWB155" s="250"/>
      <c r="JWC155" s="250"/>
      <c r="JWD155" s="250"/>
      <c r="JWE155" s="250"/>
      <c r="JWF155" s="250"/>
      <c r="JWG155" s="250"/>
      <c r="JWH155" s="250"/>
      <c r="JWI155" s="250"/>
      <c r="JWJ155" s="250"/>
      <c r="JWK155" s="250"/>
      <c r="JWL155" s="250"/>
      <c r="JWM155" s="250"/>
      <c r="JWN155" s="250"/>
      <c r="JWO155" s="250"/>
      <c r="JWP155" s="250"/>
      <c r="JWQ155" s="250"/>
      <c r="JWR155" s="250"/>
      <c r="JWS155" s="250"/>
      <c r="JWT155" s="250"/>
      <c r="JWU155" s="250"/>
      <c r="JWV155" s="250"/>
      <c r="JWW155" s="250"/>
      <c r="JWX155" s="250"/>
      <c r="JWY155" s="250"/>
      <c r="JWZ155" s="250"/>
      <c r="JXA155" s="250"/>
      <c r="JXB155" s="250"/>
      <c r="JXC155" s="250"/>
      <c r="JXD155" s="250"/>
      <c r="JXE155" s="250"/>
      <c r="JXF155" s="250"/>
      <c r="JXG155" s="250"/>
      <c r="JXH155" s="250"/>
      <c r="JXI155" s="250"/>
      <c r="JXJ155" s="250"/>
      <c r="JXK155" s="250"/>
      <c r="JXL155" s="250"/>
      <c r="JXM155" s="250"/>
      <c r="JXN155" s="250"/>
      <c r="JXO155" s="250"/>
      <c r="JXP155" s="250"/>
      <c r="JXQ155" s="250"/>
      <c r="JXR155" s="250"/>
      <c r="JXS155" s="250"/>
      <c r="JXT155" s="250"/>
      <c r="JXU155" s="250"/>
      <c r="JXV155" s="250"/>
      <c r="JXW155" s="250"/>
      <c r="JXX155" s="250"/>
      <c r="JXY155" s="250"/>
      <c r="JXZ155" s="250"/>
      <c r="JYA155" s="250"/>
      <c r="JYB155" s="250"/>
      <c r="JYC155" s="250"/>
      <c r="JYD155" s="250"/>
      <c r="JYE155" s="250"/>
      <c r="JYF155" s="250"/>
      <c r="JYG155" s="250"/>
      <c r="JYH155" s="250"/>
      <c r="JYI155" s="250"/>
      <c r="JYJ155" s="250"/>
      <c r="JYK155" s="250"/>
      <c r="JYL155" s="250"/>
      <c r="JYM155" s="250"/>
      <c r="JYN155" s="250"/>
      <c r="JYO155" s="250"/>
      <c r="JYP155" s="250"/>
      <c r="JYQ155" s="250"/>
      <c r="JYR155" s="250"/>
      <c r="JYS155" s="250"/>
      <c r="JYT155" s="250"/>
      <c r="JYU155" s="250"/>
      <c r="JYV155" s="250"/>
      <c r="JYW155" s="250"/>
      <c r="JYX155" s="250"/>
      <c r="JYY155" s="250"/>
      <c r="JYZ155" s="250"/>
      <c r="JZA155" s="250"/>
      <c r="JZB155" s="250"/>
      <c r="JZC155" s="250"/>
      <c r="JZD155" s="250"/>
      <c r="JZE155" s="250"/>
      <c r="JZF155" s="250"/>
      <c r="JZG155" s="250"/>
      <c r="JZH155" s="250"/>
      <c r="JZI155" s="250"/>
      <c r="JZJ155" s="250"/>
      <c r="JZK155" s="250"/>
      <c r="JZL155" s="250"/>
      <c r="JZM155" s="250"/>
      <c r="JZN155" s="250"/>
      <c r="JZO155" s="250"/>
      <c r="JZP155" s="250"/>
      <c r="JZQ155" s="250"/>
      <c r="JZR155" s="250"/>
      <c r="JZS155" s="250"/>
      <c r="JZT155" s="250"/>
      <c r="JZU155" s="250"/>
      <c r="JZV155" s="250"/>
      <c r="JZW155" s="250"/>
      <c r="JZX155" s="250"/>
      <c r="JZY155" s="250"/>
      <c r="JZZ155" s="250"/>
      <c r="KAA155" s="250"/>
      <c r="KAB155" s="250"/>
      <c r="KAC155" s="250"/>
      <c r="KAD155" s="250"/>
      <c r="KAE155" s="250"/>
      <c r="KAF155" s="250"/>
      <c r="KAG155" s="250"/>
      <c r="KAH155" s="250"/>
      <c r="KAI155" s="250"/>
      <c r="KAJ155" s="250"/>
      <c r="KAK155" s="250"/>
      <c r="KAL155" s="250"/>
      <c r="KAM155" s="250"/>
      <c r="KAN155" s="250"/>
      <c r="KAO155" s="250"/>
      <c r="KAP155" s="250"/>
      <c r="KAQ155" s="250"/>
      <c r="KAR155" s="250"/>
      <c r="KAS155" s="250"/>
      <c r="KAT155" s="250"/>
      <c r="KAU155" s="250"/>
      <c r="KAV155" s="250"/>
      <c r="KAW155" s="250"/>
      <c r="KAX155" s="250"/>
      <c r="KAY155" s="250"/>
      <c r="KAZ155" s="250"/>
      <c r="KBA155" s="250"/>
      <c r="KBB155" s="250"/>
      <c r="KBC155" s="250"/>
      <c r="KBD155" s="250"/>
      <c r="KBE155" s="250"/>
      <c r="KBF155" s="250"/>
      <c r="KBG155" s="250"/>
      <c r="KBH155" s="250"/>
      <c r="KBI155" s="250"/>
      <c r="KBJ155" s="250"/>
      <c r="KBK155" s="250"/>
      <c r="KBL155" s="250"/>
      <c r="KBM155" s="250"/>
      <c r="KBN155" s="250"/>
      <c r="KBO155" s="250"/>
      <c r="KBP155" s="250"/>
      <c r="KBQ155" s="250"/>
      <c r="KBR155" s="250"/>
      <c r="KBS155" s="250"/>
      <c r="KBT155" s="250"/>
      <c r="KBU155" s="250"/>
      <c r="KBV155" s="250"/>
      <c r="KBW155" s="250"/>
      <c r="KBX155" s="250"/>
      <c r="KBY155" s="250"/>
      <c r="KBZ155" s="250"/>
      <c r="KCA155" s="250"/>
      <c r="KCB155" s="250"/>
      <c r="KCC155" s="250"/>
      <c r="KCD155" s="250"/>
      <c r="KCE155" s="250"/>
      <c r="KCF155" s="250"/>
      <c r="KCG155" s="250"/>
      <c r="KCH155" s="250"/>
      <c r="KCI155" s="250"/>
      <c r="KCJ155" s="250"/>
      <c r="KCK155" s="250"/>
      <c r="KCL155" s="250"/>
      <c r="KCM155" s="250"/>
      <c r="KCN155" s="250"/>
      <c r="KCO155" s="250"/>
      <c r="KCP155" s="250"/>
      <c r="KCQ155" s="250"/>
      <c r="KCR155" s="250"/>
      <c r="KCS155" s="250"/>
      <c r="KCT155" s="250"/>
      <c r="KCU155" s="250"/>
      <c r="KCV155" s="250"/>
      <c r="KCW155" s="250"/>
      <c r="KCX155" s="250"/>
      <c r="KCY155" s="250"/>
      <c r="KCZ155" s="250"/>
      <c r="KDA155" s="250"/>
      <c r="KDB155" s="250"/>
      <c r="KDC155" s="250"/>
      <c r="KDD155" s="250"/>
      <c r="KDE155" s="250"/>
      <c r="KDF155" s="250"/>
      <c r="KDG155" s="250"/>
      <c r="KDH155" s="250"/>
      <c r="KDI155" s="250"/>
      <c r="KDJ155" s="250"/>
      <c r="KDK155" s="250"/>
      <c r="KDL155" s="250"/>
      <c r="KDM155" s="250"/>
      <c r="KDN155" s="250"/>
      <c r="KDO155" s="250"/>
      <c r="KDP155" s="250"/>
      <c r="KDQ155" s="250"/>
      <c r="KDR155" s="250"/>
      <c r="KDS155" s="250"/>
      <c r="KDT155" s="250"/>
      <c r="KDU155" s="250"/>
      <c r="KDV155" s="250"/>
      <c r="KDW155" s="250"/>
      <c r="KDX155" s="250"/>
      <c r="KDY155" s="250"/>
      <c r="KDZ155" s="250"/>
      <c r="KEA155" s="250"/>
      <c r="KEB155" s="250"/>
      <c r="KEC155" s="250"/>
      <c r="KED155" s="250"/>
      <c r="KEE155" s="250"/>
      <c r="KEF155" s="250"/>
      <c r="KEG155" s="250"/>
      <c r="KEH155" s="250"/>
      <c r="KEI155" s="250"/>
      <c r="KEJ155" s="250"/>
      <c r="KEK155" s="250"/>
      <c r="KEL155" s="250"/>
      <c r="KEM155" s="250"/>
      <c r="KEN155" s="250"/>
      <c r="KEO155" s="250"/>
      <c r="KEP155" s="250"/>
      <c r="KEQ155" s="250"/>
      <c r="KER155" s="250"/>
      <c r="KES155" s="250"/>
      <c r="KET155" s="250"/>
      <c r="KEU155" s="250"/>
      <c r="KEV155" s="250"/>
      <c r="KEW155" s="250"/>
      <c r="KEX155" s="250"/>
      <c r="KEY155" s="250"/>
      <c r="KEZ155" s="250"/>
      <c r="KFA155" s="250"/>
      <c r="KFB155" s="250"/>
      <c r="KFC155" s="250"/>
      <c r="KFD155" s="250"/>
      <c r="KFE155" s="250"/>
      <c r="KFF155" s="250"/>
      <c r="KFG155" s="250"/>
      <c r="KFH155" s="250"/>
      <c r="KFI155" s="250"/>
      <c r="KFJ155" s="250"/>
      <c r="KFK155" s="250"/>
      <c r="KFL155" s="250"/>
      <c r="KFM155" s="250"/>
      <c r="KFN155" s="250"/>
      <c r="KFO155" s="250"/>
      <c r="KFP155" s="250"/>
      <c r="KFQ155" s="250"/>
      <c r="KFR155" s="250"/>
      <c r="KFS155" s="250"/>
      <c r="KFT155" s="250"/>
      <c r="KFU155" s="250"/>
      <c r="KFV155" s="250"/>
      <c r="KFW155" s="250"/>
      <c r="KFX155" s="250"/>
      <c r="KFY155" s="250"/>
      <c r="KFZ155" s="250"/>
      <c r="KGA155" s="250"/>
      <c r="KGB155" s="250"/>
      <c r="KGC155" s="250"/>
      <c r="KGD155" s="250"/>
      <c r="KGE155" s="250"/>
      <c r="KGF155" s="250"/>
      <c r="KGG155" s="250"/>
      <c r="KGH155" s="250"/>
      <c r="KGI155" s="250"/>
      <c r="KGJ155" s="250"/>
      <c r="KGK155" s="250"/>
      <c r="KGL155" s="250"/>
      <c r="KGM155" s="250"/>
      <c r="KGN155" s="250"/>
      <c r="KGO155" s="250"/>
      <c r="KGP155" s="250"/>
      <c r="KGQ155" s="250"/>
      <c r="KGR155" s="250"/>
      <c r="KGS155" s="250"/>
      <c r="KGT155" s="250"/>
      <c r="KGU155" s="250"/>
      <c r="KGV155" s="250"/>
      <c r="KGW155" s="250"/>
      <c r="KGX155" s="250"/>
      <c r="KGY155" s="250"/>
      <c r="KGZ155" s="250"/>
      <c r="KHA155" s="250"/>
      <c r="KHB155" s="250"/>
      <c r="KHC155" s="250"/>
      <c r="KHD155" s="250"/>
      <c r="KHE155" s="250"/>
      <c r="KHF155" s="250"/>
      <c r="KHG155" s="250"/>
      <c r="KHH155" s="250"/>
      <c r="KHI155" s="250"/>
      <c r="KHJ155" s="250"/>
      <c r="KHK155" s="250"/>
      <c r="KHL155" s="250"/>
      <c r="KHM155" s="250"/>
      <c r="KHN155" s="250"/>
      <c r="KHO155" s="250"/>
      <c r="KHP155" s="250"/>
      <c r="KHQ155" s="250"/>
      <c r="KHR155" s="250"/>
      <c r="KHS155" s="250"/>
      <c r="KHT155" s="250"/>
      <c r="KHU155" s="250"/>
      <c r="KHV155" s="250"/>
      <c r="KHW155" s="250"/>
      <c r="KHX155" s="250"/>
      <c r="KHY155" s="250"/>
      <c r="KHZ155" s="250"/>
      <c r="KIA155" s="250"/>
      <c r="KIB155" s="250"/>
      <c r="KIC155" s="250"/>
      <c r="KID155" s="250"/>
      <c r="KIE155" s="250"/>
      <c r="KIF155" s="250"/>
      <c r="KIG155" s="250"/>
      <c r="KIH155" s="250"/>
      <c r="KII155" s="250"/>
      <c r="KIJ155" s="250"/>
      <c r="KIK155" s="250"/>
      <c r="KIL155" s="250"/>
      <c r="KIM155" s="250"/>
      <c r="KIN155" s="250"/>
      <c r="KIO155" s="250"/>
      <c r="KIP155" s="250"/>
      <c r="KIQ155" s="250"/>
      <c r="KIR155" s="250"/>
      <c r="KIS155" s="250"/>
      <c r="KIT155" s="250"/>
      <c r="KIU155" s="250"/>
      <c r="KIV155" s="250"/>
      <c r="KIW155" s="250"/>
      <c r="KIX155" s="250"/>
      <c r="KIY155" s="250"/>
      <c r="KIZ155" s="250"/>
      <c r="KJA155" s="250"/>
      <c r="KJB155" s="250"/>
      <c r="KJC155" s="250"/>
      <c r="KJD155" s="250"/>
      <c r="KJE155" s="250"/>
      <c r="KJF155" s="250"/>
      <c r="KJG155" s="250"/>
      <c r="KJH155" s="250"/>
      <c r="KJI155" s="250"/>
      <c r="KJJ155" s="250"/>
      <c r="KJK155" s="250"/>
      <c r="KJL155" s="250"/>
      <c r="KJM155" s="250"/>
      <c r="KJN155" s="250"/>
      <c r="KJO155" s="250"/>
      <c r="KJP155" s="250"/>
      <c r="KJQ155" s="250"/>
      <c r="KJR155" s="250"/>
      <c r="KJS155" s="250"/>
      <c r="KJT155" s="250"/>
      <c r="KJU155" s="250"/>
      <c r="KJV155" s="250"/>
      <c r="KJW155" s="250"/>
      <c r="KJX155" s="250"/>
      <c r="KJY155" s="250"/>
      <c r="KJZ155" s="250"/>
      <c r="KKA155" s="250"/>
      <c r="KKB155" s="250"/>
      <c r="KKC155" s="250"/>
      <c r="KKD155" s="250"/>
      <c r="KKE155" s="250"/>
      <c r="KKF155" s="250"/>
      <c r="KKG155" s="250"/>
      <c r="KKH155" s="250"/>
      <c r="KKI155" s="250"/>
      <c r="KKJ155" s="250"/>
      <c r="KKK155" s="250"/>
      <c r="KKL155" s="250"/>
      <c r="KKM155" s="250"/>
      <c r="KKN155" s="250"/>
      <c r="KKO155" s="250"/>
      <c r="KKP155" s="250"/>
      <c r="KKQ155" s="250"/>
      <c r="KKR155" s="250"/>
      <c r="KKS155" s="250"/>
      <c r="KKT155" s="250"/>
      <c r="KKU155" s="250"/>
      <c r="KKV155" s="250"/>
      <c r="KKW155" s="250"/>
      <c r="KKX155" s="250"/>
      <c r="KKY155" s="250"/>
      <c r="KKZ155" s="250"/>
      <c r="KLA155" s="250"/>
      <c r="KLB155" s="250"/>
      <c r="KLC155" s="250"/>
      <c r="KLD155" s="250"/>
      <c r="KLE155" s="250"/>
      <c r="KLF155" s="250"/>
      <c r="KLG155" s="250"/>
      <c r="KLH155" s="250"/>
      <c r="KLI155" s="250"/>
      <c r="KLJ155" s="250"/>
      <c r="KLK155" s="250"/>
      <c r="KLL155" s="250"/>
      <c r="KLM155" s="250"/>
      <c r="KLN155" s="250"/>
      <c r="KLO155" s="250"/>
      <c r="KLP155" s="250"/>
      <c r="KLQ155" s="250"/>
      <c r="KLR155" s="250"/>
      <c r="KLS155" s="250"/>
      <c r="KLT155" s="250"/>
      <c r="KLU155" s="250"/>
      <c r="KLV155" s="250"/>
      <c r="KLW155" s="250"/>
      <c r="KLX155" s="250"/>
      <c r="KLY155" s="250"/>
      <c r="KLZ155" s="250"/>
      <c r="KMA155" s="250"/>
      <c r="KMB155" s="250"/>
      <c r="KMC155" s="250"/>
      <c r="KMD155" s="250"/>
      <c r="KME155" s="250"/>
      <c r="KMF155" s="250"/>
      <c r="KMG155" s="250"/>
      <c r="KMH155" s="250"/>
      <c r="KMI155" s="250"/>
      <c r="KMJ155" s="250"/>
      <c r="KMK155" s="250"/>
      <c r="KML155" s="250"/>
      <c r="KMM155" s="250"/>
      <c r="KMN155" s="250"/>
      <c r="KMO155" s="250"/>
      <c r="KMP155" s="250"/>
      <c r="KMQ155" s="250"/>
      <c r="KMR155" s="250"/>
      <c r="KMS155" s="250"/>
      <c r="KMT155" s="250"/>
      <c r="KMU155" s="250"/>
      <c r="KMV155" s="250"/>
      <c r="KMW155" s="250"/>
      <c r="KMX155" s="250"/>
      <c r="KMY155" s="250"/>
      <c r="KMZ155" s="250"/>
      <c r="KNA155" s="250"/>
      <c r="KNB155" s="250"/>
      <c r="KNC155" s="250"/>
      <c r="KND155" s="250"/>
      <c r="KNE155" s="250"/>
      <c r="KNF155" s="250"/>
      <c r="KNG155" s="250"/>
      <c r="KNH155" s="250"/>
      <c r="KNI155" s="250"/>
      <c r="KNJ155" s="250"/>
      <c r="KNK155" s="250"/>
      <c r="KNL155" s="250"/>
      <c r="KNM155" s="250"/>
      <c r="KNN155" s="250"/>
      <c r="KNO155" s="250"/>
      <c r="KNP155" s="250"/>
      <c r="KNQ155" s="250"/>
      <c r="KNR155" s="250"/>
      <c r="KNS155" s="250"/>
      <c r="KNT155" s="250"/>
      <c r="KNU155" s="250"/>
      <c r="KNV155" s="250"/>
      <c r="KNW155" s="250"/>
      <c r="KNX155" s="250"/>
      <c r="KNY155" s="250"/>
      <c r="KNZ155" s="250"/>
      <c r="KOA155" s="250"/>
      <c r="KOB155" s="250"/>
      <c r="KOC155" s="250"/>
      <c r="KOD155" s="250"/>
      <c r="KOE155" s="250"/>
      <c r="KOF155" s="250"/>
      <c r="KOG155" s="250"/>
      <c r="KOH155" s="250"/>
      <c r="KOI155" s="250"/>
      <c r="KOJ155" s="250"/>
      <c r="KOK155" s="250"/>
      <c r="KOL155" s="250"/>
      <c r="KOM155" s="250"/>
      <c r="KON155" s="250"/>
      <c r="KOO155" s="250"/>
      <c r="KOP155" s="250"/>
      <c r="KOQ155" s="250"/>
      <c r="KOR155" s="250"/>
      <c r="KOS155" s="250"/>
      <c r="KOT155" s="250"/>
      <c r="KOU155" s="250"/>
      <c r="KOV155" s="250"/>
      <c r="KOW155" s="250"/>
      <c r="KOX155" s="250"/>
      <c r="KOY155" s="250"/>
      <c r="KOZ155" s="250"/>
      <c r="KPA155" s="250"/>
      <c r="KPB155" s="250"/>
      <c r="KPC155" s="250"/>
      <c r="KPD155" s="250"/>
      <c r="KPE155" s="250"/>
      <c r="KPF155" s="250"/>
      <c r="KPG155" s="250"/>
      <c r="KPH155" s="250"/>
      <c r="KPI155" s="250"/>
      <c r="KPJ155" s="250"/>
      <c r="KPK155" s="250"/>
      <c r="KPL155" s="250"/>
      <c r="KPM155" s="250"/>
      <c r="KPN155" s="250"/>
      <c r="KPO155" s="250"/>
      <c r="KPP155" s="250"/>
      <c r="KPQ155" s="250"/>
      <c r="KPR155" s="250"/>
      <c r="KPS155" s="250"/>
      <c r="KPT155" s="250"/>
      <c r="KPU155" s="250"/>
      <c r="KPV155" s="250"/>
      <c r="KPW155" s="250"/>
      <c r="KPX155" s="250"/>
      <c r="KPY155" s="250"/>
      <c r="KPZ155" s="250"/>
      <c r="KQA155" s="250"/>
      <c r="KQB155" s="250"/>
      <c r="KQC155" s="250"/>
      <c r="KQD155" s="250"/>
      <c r="KQE155" s="250"/>
      <c r="KQF155" s="250"/>
      <c r="KQG155" s="250"/>
      <c r="KQH155" s="250"/>
      <c r="KQI155" s="250"/>
      <c r="KQJ155" s="250"/>
      <c r="KQK155" s="250"/>
      <c r="KQL155" s="250"/>
      <c r="KQM155" s="250"/>
      <c r="KQN155" s="250"/>
      <c r="KQO155" s="250"/>
      <c r="KQP155" s="250"/>
      <c r="KQQ155" s="250"/>
      <c r="KQR155" s="250"/>
      <c r="KQS155" s="250"/>
      <c r="KQT155" s="250"/>
      <c r="KQU155" s="250"/>
      <c r="KQV155" s="250"/>
      <c r="KQW155" s="250"/>
      <c r="KQX155" s="250"/>
      <c r="KQY155" s="250"/>
      <c r="KQZ155" s="250"/>
      <c r="KRA155" s="250"/>
      <c r="KRB155" s="250"/>
      <c r="KRC155" s="250"/>
      <c r="KRD155" s="250"/>
      <c r="KRE155" s="250"/>
      <c r="KRF155" s="250"/>
      <c r="KRG155" s="250"/>
      <c r="KRH155" s="250"/>
      <c r="KRI155" s="250"/>
      <c r="KRJ155" s="250"/>
      <c r="KRK155" s="250"/>
      <c r="KRL155" s="250"/>
      <c r="KRM155" s="250"/>
      <c r="KRN155" s="250"/>
      <c r="KRO155" s="250"/>
      <c r="KRP155" s="250"/>
      <c r="KRQ155" s="250"/>
      <c r="KRR155" s="250"/>
      <c r="KRS155" s="250"/>
      <c r="KRT155" s="250"/>
      <c r="KRU155" s="250"/>
      <c r="KRV155" s="250"/>
      <c r="KRW155" s="250"/>
      <c r="KRX155" s="250"/>
      <c r="KRY155" s="250"/>
      <c r="KRZ155" s="250"/>
      <c r="KSA155" s="250"/>
      <c r="KSB155" s="250"/>
      <c r="KSC155" s="250"/>
      <c r="KSD155" s="250"/>
      <c r="KSE155" s="250"/>
      <c r="KSF155" s="250"/>
      <c r="KSG155" s="250"/>
      <c r="KSH155" s="250"/>
      <c r="KSI155" s="250"/>
      <c r="KSJ155" s="250"/>
      <c r="KSK155" s="250"/>
      <c r="KSL155" s="250"/>
      <c r="KSM155" s="250"/>
      <c r="KSN155" s="250"/>
      <c r="KSO155" s="250"/>
      <c r="KSP155" s="250"/>
      <c r="KSQ155" s="250"/>
      <c r="KSR155" s="250"/>
      <c r="KSS155" s="250"/>
      <c r="KST155" s="250"/>
      <c r="KSU155" s="250"/>
      <c r="KSV155" s="250"/>
      <c r="KSW155" s="250"/>
      <c r="KSX155" s="250"/>
      <c r="KSY155" s="250"/>
      <c r="KSZ155" s="250"/>
      <c r="KTA155" s="250"/>
      <c r="KTB155" s="250"/>
      <c r="KTC155" s="250"/>
      <c r="KTD155" s="250"/>
      <c r="KTE155" s="250"/>
      <c r="KTF155" s="250"/>
      <c r="KTG155" s="250"/>
      <c r="KTH155" s="250"/>
      <c r="KTI155" s="250"/>
      <c r="KTJ155" s="250"/>
      <c r="KTK155" s="250"/>
      <c r="KTL155" s="250"/>
      <c r="KTM155" s="250"/>
      <c r="KTN155" s="250"/>
      <c r="KTO155" s="250"/>
      <c r="KTP155" s="250"/>
      <c r="KTQ155" s="250"/>
      <c r="KTR155" s="250"/>
      <c r="KTS155" s="250"/>
      <c r="KTT155" s="250"/>
      <c r="KTU155" s="250"/>
      <c r="KTV155" s="250"/>
      <c r="KTW155" s="250"/>
      <c r="KTX155" s="250"/>
      <c r="KTY155" s="250"/>
      <c r="KTZ155" s="250"/>
      <c r="KUA155" s="250"/>
      <c r="KUB155" s="250"/>
      <c r="KUC155" s="250"/>
      <c r="KUD155" s="250"/>
      <c r="KUE155" s="250"/>
      <c r="KUF155" s="250"/>
      <c r="KUG155" s="250"/>
      <c r="KUH155" s="250"/>
      <c r="KUI155" s="250"/>
      <c r="KUJ155" s="250"/>
      <c r="KUK155" s="250"/>
      <c r="KUL155" s="250"/>
      <c r="KUM155" s="250"/>
      <c r="KUN155" s="250"/>
      <c r="KUO155" s="250"/>
      <c r="KUP155" s="250"/>
      <c r="KUQ155" s="250"/>
      <c r="KUR155" s="250"/>
      <c r="KUS155" s="250"/>
      <c r="KUT155" s="250"/>
      <c r="KUU155" s="250"/>
      <c r="KUV155" s="250"/>
      <c r="KUW155" s="250"/>
      <c r="KUX155" s="250"/>
      <c r="KUY155" s="250"/>
      <c r="KUZ155" s="250"/>
      <c r="KVA155" s="250"/>
      <c r="KVB155" s="250"/>
      <c r="KVC155" s="250"/>
      <c r="KVD155" s="250"/>
      <c r="KVE155" s="250"/>
      <c r="KVF155" s="250"/>
      <c r="KVG155" s="250"/>
      <c r="KVH155" s="250"/>
      <c r="KVI155" s="250"/>
      <c r="KVJ155" s="250"/>
      <c r="KVK155" s="250"/>
      <c r="KVL155" s="250"/>
      <c r="KVM155" s="250"/>
      <c r="KVN155" s="250"/>
      <c r="KVO155" s="250"/>
      <c r="KVP155" s="250"/>
      <c r="KVQ155" s="250"/>
      <c r="KVR155" s="250"/>
      <c r="KVS155" s="250"/>
      <c r="KVT155" s="250"/>
      <c r="KVU155" s="250"/>
      <c r="KVV155" s="250"/>
      <c r="KVW155" s="250"/>
      <c r="KVX155" s="250"/>
      <c r="KVY155" s="250"/>
      <c r="KVZ155" s="250"/>
      <c r="KWA155" s="250"/>
      <c r="KWB155" s="250"/>
      <c r="KWC155" s="250"/>
      <c r="KWD155" s="250"/>
      <c r="KWE155" s="250"/>
      <c r="KWF155" s="250"/>
      <c r="KWG155" s="250"/>
      <c r="KWH155" s="250"/>
      <c r="KWI155" s="250"/>
      <c r="KWJ155" s="250"/>
      <c r="KWK155" s="250"/>
      <c r="KWL155" s="250"/>
      <c r="KWM155" s="250"/>
      <c r="KWN155" s="250"/>
      <c r="KWO155" s="250"/>
      <c r="KWP155" s="250"/>
      <c r="KWQ155" s="250"/>
      <c r="KWR155" s="250"/>
      <c r="KWS155" s="250"/>
      <c r="KWT155" s="250"/>
      <c r="KWU155" s="250"/>
      <c r="KWV155" s="250"/>
      <c r="KWW155" s="250"/>
      <c r="KWX155" s="250"/>
      <c r="KWY155" s="250"/>
      <c r="KWZ155" s="250"/>
      <c r="KXA155" s="250"/>
      <c r="KXB155" s="250"/>
      <c r="KXC155" s="250"/>
      <c r="KXD155" s="250"/>
      <c r="KXE155" s="250"/>
      <c r="KXF155" s="250"/>
      <c r="KXG155" s="250"/>
      <c r="KXH155" s="250"/>
      <c r="KXI155" s="250"/>
      <c r="KXJ155" s="250"/>
      <c r="KXK155" s="250"/>
      <c r="KXL155" s="250"/>
      <c r="KXM155" s="250"/>
      <c r="KXN155" s="250"/>
      <c r="KXO155" s="250"/>
      <c r="KXP155" s="250"/>
      <c r="KXQ155" s="250"/>
      <c r="KXR155" s="250"/>
      <c r="KXS155" s="250"/>
      <c r="KXT155" s="250"/>
      <c r="KXU155" s="250"/>
      <c r="KXV155" s="250"/>
      <c r="KXW155" s="250"/>
      <c r="KXX155" s="250"/>
      <c r="KXY155" s="250"/>
      <c r="KXZ155" s="250"/>
      <c r="KYA155" s="250"/>
      <c r="KYB155" s="250"/>
      <c r="KYC155" s="250"/>
      <c r="KYD155" s="250"/>
      <c r="KYE155" s="250"/>
      <c r="KYF155" s="250"/>
      <c r="KYG155" s="250"/>
      <c r="KYH155" s="250"/>
      <c r="KYI155" s="250"/>
      <c r="KYJ155" s="250"/>
      <c r="KYK155" s="250"/>
      <c r="KYL155" s="250"/>
      <c r="KYM155" s="250"/>
      <c r="KYN155" s="250"/>
      <c r="KYO155" s="250"/>
      <c r="KYP155" s="250"/>
      <c r="KYQ155" s="250"/>
      <c r="KYR155" s="250"/>
      <c r="KYS155" s="250"/>
      <c r="KYT155" s="250"/>
      <c r="KYU155" s="250"/>
      <c r="KYV155" s="250"/>
      <c r="KYW155" s="250"/>
      <c r="KYX155" s="250"/>
      <c r="KYY155" s="250"/>
      <c r="KYZ155" s="250"/>
      <c r="KZA155" s="250"/>
      <c r="KZB155" s="250"/>
      <c r="KZC155" s="250"/>
      <c r="KZD155" s="250"/>
      <c r="KZE155" s="250"/>
      <c r="KZF155" s="250"/>
      <c r="KZG155" s="250"/>
      <c r="KZH155" s="250"/>
      <c r="KZI155" s="250"/>
      <c r="KZJ155" s="250"/>
      <c r="KZK155" s="250"/>
      <c r="KZL155" s="250"/>
      <c r="KZM155" s="250"/>
      <c r="KZN155" s="250"/>
      <c r="KZO155" s="250"/>
      <c r="KZP155" s="250"/>
      <c r="KZQ155" s="250"/>
      <c r="KZR155" s="250"/>
      <c r="KZS155" s="250"/>
      <c r="KZT155" s="250"/>
      <c r="KZU155" s="250"/>
      <c r="KZV155" s="250"/>
      <c r="KZW155" s="250"/>
      <c r="KZX155" s="250"/>
      <c r="KZY155" s="250"/>
      <c r="KZZ155" s="250"/>
      <c r="LAA155" s="250"/>
      <c r="LAB155" s="250"/>
      <c r="LAC155" s="250"/>
      <c r="LAD155" s="250"/>
      <c r="LAE155" s="250"/>
      <c r="LAF155" s="250"/>
      <c r="LAG155" s="250"/>
      <c r="LAH155" s="250"/>
      <c r="LAI155" s="250"/>
      <c r="LAJ155" s="250"/>
      <c r="LAK155" s="250"/>
      <c r="LAL155" s="250"/>
      <c r="LAM155" s="250"/>
      <c r="LAN155" s="250"/>
      <c r="LAO155" s="250"/>
      <c r="LAP155" s="250"/>
      <c r="LAQ155" s="250"/>
      <c r="LAR155" s="250"/>
      <c r="LAS155" s="250"/>
      <c r="LAT155" s="250"/>
      <c r="LAU155" s="250"/>
      <c r="LAV155" s="250"/>
      <c r="LAW155" s="250"/>
      <c r="LAX155" s="250"/>
      <c r="LAY155" s="250"/>
      <c r="LAZ155" s="250"/>
      <c r="LBA155" s="250"/>
      <c r="LBB155" s="250"/>
      <c r="LBC155" s="250"/>
      <c r="LBD155" s="250"/>
      <c r="LBE155" s="250"/>
      <c r="LBF155" s="250"/>
      <c r="LBG155" s="250"/>
      <c r="LBH155" s="250"/>
      <c r="LBI155" s="250"/>
      <c r="LBJ155" s="250"/>
      <c r="LBK155" s="250"/>
      <c r="LBL155" s="250"/>
      <c r="LBM155" s="250"/>
      <c r="LBN155" s="250"/>
      <c r="LBO155" s="250"/>
      <c r="LBP155" s="250"/>
      <c r="LBQ155" s="250"/>
      <c r="LBR155" s="250"/>
      <c r="LBS155" s="250"/>
      <c r="LBT155" s="250"/>
      <c r="LBU155" s="250"/>
      <c r="LBV155" s="250"/>
      <c r="LBW155" s="250"/>
      <c r="LBX155" s="250"/>
      <c r="LBY155" s="250"/>
      <c r="LBZ155" s="250"/>
      <c r="LCA155" s="250"/>
      <c r="LCB155" s="250"/>
      <c r="LCC155" s="250"/>
      <c r="LCD155" s="250"/>
      <c r="LCE155" s="250"/>
      <c r="LCF155" s="250"/>
      <c r="LCG155" s="250"/>
      <c r="LCH155" s="250"/>
      <c r="LCI155" s="250"/>
      <c r="LCJ155" s="250"/>
      <c r="LCK155" s="250"/>
      <c r="LCL155" s="250"/>
      <c r="LCM155" s="250"/>
      <c r="LCN155" s="250"/>
      <c r="LCO155" s="250"/>
      <c r="LCP155" s="250"/>
      <c r="LCQ155" s="250"/>
      <c r="LCR155" s="250"/>
      <c r="LCS155" s="250"/>
      <c r="LCT155" s="250"/>
      <c r="LCU155" s="250"/>
      <c r="LCV155" s="250"/>
      <c r="LCW155" s="250"/>
      <c r="LCX155" s="250"/>
      <c r="LCY155" s="250"/>
      <c r="LCZ155" s="250"/>
      <c r="LDA155" s="250"/>
      <c r="LDB155" s="250"/>
      <c r="LDC155" s="250"/>
      <c r="LDD155" s="250"/>
      <c r="LDE155" s="250"/>
      <c r="LDF155" s="250"/>
      <c r="LDG155" s="250"/>
      <c r="LDH155" s="250"/>
      <c r="LDI155" s="250"/>
      <c r="LDJ155" s="250"/>
      <c r="LDK155" s="250"/>
      <c r="LDL155" s="250"/>
      <c r="LDM155" s="250"/>
      <c r="LDN155" s="250"/>
      <c r="LDO155" s="250"/>
      <c r="LDP155" s="250"/>
      <c r="LDQ155" s="250"/>
      <c r="LDR155" s="250"/>
      <c r="LDS155" s="250"/>
      <c r="LDT155" s="250"/>
      <c r="LDU155" s="250"/>
      <c r="LDV155" s="250"/>
      <c r="LDW155" s="250"/>
      <c r="LDX155" s="250"/>
      <c r="LDY155" s="250"/>
      <c r="LDZ155" s="250"/>
      <c r="LEA155" s="250"/>
      <c r="LEB155" s="250"/>
      <c r="LEC155" s="250"/>
      <c r="LED155" s="250"/>
      <c r="LEE155" s="250"/>
      <c r="LEF155" s="250"/>
      <c r="LEG155" s="250"/>
      <c r="LEH155" s="250"/>
      <c r="LEI155" s="250"/>
      <c r="LEJ155" s="250"/>
      <c r="LEK155" s="250"/>
      <c r="LEL155" s="250"/>
      <c r="LEM155" s="250"/>
      <c r="LEN155" s="250"/>
      <c r="LEO155" s="250"/>
      <c r="LEP155" s="250"/>
      <c r="LEQ155" s="250"/>
      <c r="LER155" s="250"/>
      <c r="LES155" s="250"/>
      <c r="LET155" s="250"/>
      <c r="LEU155" s="250"/>
      <c r="LEV155" s="250"/>
      <c r="LEW155" s="250"/>
      <c r="LEX155" s="250"/>
      <c r="LEY155" s="250"/>
      <c r="LEZ155" s="250"/>
      <c r="LFA155" s="250"/>
      <c r="LFB155" s="250"/>
      <c r="LFC155" s="250"/>
      <c r="LFD155" s="250"/>
      <c r="LFE155" s="250"/>
      <c r="LFF155" s="250"/>
      <c r="LFG155" s="250"/>
      <c r="LFH155" s="250"/>
      <c r="LFI155" s="250"/>
      <c r="LFJ155" s="250"/>
      <c r="LFK155" s="250"/>
      <c r="LFL155" s="250"/>
      <c r="LFM155" s="250"/>
      <c r="LFN155" s="250"/>
      <c r="LFO155" s="250"/>
      <c r="LFP155" s="250"/>
      <c r="LFQ155" s="250"/>
      <c r="LFR155" s="250"/>
      <c r="LFS155" s="250"/>
      <c r="LFT155" s="250"/>
      <c r="LFU155" s="250"/>
      <c r="LFV155" s="250"/>
      <c r="LFW155" s="250"/>
      <c r="LFX155" s="250"/>
      <c r="LFY155" s="250"/>
      <c r="LFZ155" s="250"/>
      <c r="LGA155" s="250"/>
      <c r="LGB155" s="250"/>
      <c r="LGC155" s="250"/>
      <c r="LGD155" s="250"/>
      <c r="LGE155" s="250"/>
      <c r="LGF155" s="250"/>
      <c r="LGG155" s="250"/>
      <c r="LGH155" s="250"/>
      <c r="LGI155" s="250"/>
      <c r="LGJ155" s="250"/>
      <c r="LGK155" s="250"/>
      <c r="LGL155" s="250"/>
      <c r="LGM155" s="250"/>
      <c r="LGN155" s="250"/>
      <c r="LGO155" s="250"/>
      <c r="LGP155" s="250"/>
      <c r="LGQ155" s="250"/>
      <c r="LGR155" s="250"/>
      <c r="LGS155" s="250"/>
      <c r="LGT155" s="250"/>
      <c r="LGU155" s="250"/>
      <c r="LGV155" s="250"/>
      <c r="LGW155" s="250"/>
      <c r="LGX155" s="250"/>
      <c r="LGY155" s="250"/>
      <c r="LGZ155" s="250"/>
      <c r="LHA155" s="250"/>
      <c r="LHB155" s="250"/>
      <c r="LHC155" s="250"/>
      <c r="LHD155" s="250"/>
      <c r="LHE155" s="250"/>
      <c r="LHF155" s="250"/>
      <c r="LHG155" s="250"/>
      <c r="LHH155" s="250"/>
      <c r="LHI155" s="250"/>
      <c r="LHJ155" s="250"/>
      <c r="LHK155" s="250"/>
      <c r="LHL155" s="250"/>
      <c r="LHM155" s="250"/>
      <c r="LHN155" s="250"/>
      <c r="LHO155" s="250"/>
      <c r="LHP155" s="250"/>
      <c r="LHQ155" s="250"/>
      <c r="LHR155" s="250"/>
      <c r="LHS155" s="250"/>
      <c r="LHT155" s="250"/>
      <c r="LHU155" s="250"/>
      <c r="LHV155" s="250"/>
      <c r="LHW155" s="250"/>
      <c r="LHX155" s="250"/>
      <c r="LHY155" s="250"/>
      <c r="LHZ155" s="250"/>
      <c r="LIA155" s="250"/>
      <c r="LIB155" s="250"/>
      <c r="LIC155" s="250"/>
      <c r="LID155" s="250"/>
      <c r="LIE155" s="250"/>
      <c r="LIF155" s="250"/>
      <c r="LIG155" s="250"/>
      <c r="LIH155" s="250"/>
      <c r="LII155" s="250"/>
      <c r="LIJ155" s="250"/>
      <c r="LIK155" s="250"/>
      <c r="LIL155" s="250"/>
      <c r="LIM155" s="250"/>
      <c r="LIN155" s="250"/>
      <c r="LIO155" s="250"/>
      <c r="LIP155" s="250"/>
      <c r="LIQ155" s="250"/>
      <c r="LIR155" s="250"/>
      <c r="LIS155" s="250"/>
      <c r="LIT155" s="250"/>
      <c r="LIU155" s="250"/>
      <c r="LIV155" s="250"/>
      <c r="LIW155" s="250"/>
      <c r="LIX155" s="250"/>
      <c r="LIY155" s="250"/>
      <c r="LIZ155" s="250"/>
      <c r="LJA155" s="250"/>
      <c r="LJB155" s="250"/>
      <c r="LJC155" s="250"/>
      <c r="LJD155" s="250"/>
      <c r="LJE155" s="250"/>
      <c r="LJF155" s="250"/>
      <c r="LJG155" s="250"/>
      <c r="LJH155" s="250"/>
      <c r="LJI155" s="250"/>
      <c r="LJJ155" s="250"/>
      <c r="LJK155" s="250"/>
      <c r="LJL155" s="250"/>
      <c r="LJM155" s="250"/>
      <c r="LJN155" s="250"/>
      <c r="LJO155" s="250"/>
      <c r="LJP155" s="250"/>
      <c r="LJQ155" s="250"/>
      <c r="LJR155" s="250"/>
      <c r="LJS155" s="250"/>
      <c r="LJT155" s="250"/>
      <c r="LJU155" s="250"/>
      <c r="LJV155" s="250"/>
      <c r="LJW155" s="250"/>
      <c r="LJX155" s="250"/>
      <c r="LJY155" s="250"/>
      <c r="LJZ155" s="250"/>
      <c r="LKA155" s="250"/>
      <c r="LKB155" s="250"/>
      <c r="LKC155" s="250"/>
      <c r="LKD155" s="250"/>
      <c r="LKE155" s="250"/>
      <c r="LKF155" s="250"/>
      <c r="LKG155" s="250"/>
      <c r="LKH155" s="250"/>
      <c r="LKI155" s="250"/>
      <c r="LKJ155" s="250"/>
      <c r="LKK155" s="250"/>
      <c r="LKL155" s="250"/>
      <c r="LKM155" s="250"/>
      <c r="LKN155" s="250"/>
      <c r="LKO155" s="250"/>
      <c r="LKP155" s="250"/>
      <c r="LKQ155" s="250"/>
      <c r="LKR155" s="250"/>
      <c r="LKS155" s="250"/>
      <c r="LKT155" s="250"/>
      <c r="LKU155" s="250"/>
      <c r="LKV155" s="250"/>
      <c r="LKW155" s="250"/>
      <c r="LKX155" s="250"/>
      <c r="LKY155" s="250"/>
      <c r="LKZ155" s="250"/>
      <c r="LLA155" s="250"/>
      <c r="LLB155" s="250"/>
      <c r="LLC155" s="250"/>
      <c r="LLD155" s="250"/>
      <c r="LLE155" s="250"/>
      <c r="LLF155" s="250"/>
      <c r="LLG155" s="250"/>
      <c r="LLH155" s="250"/>
      <c r="LLI155" s="250"/>
      <c r="LLJ155" s="250"/>
      <c r="LLK155" s="250"/>
      <c r="LLL155" s="250"/>
      <c r="LLM155" s="250"/>
      <c r="LLN155" s="250"/>
      <c r="LLO155" s="250"/>
      <c r="LLP155" s="250"/>
      <c r="LLQ155" s="250"/>
      <c r="LLR155" s="250"/>
      <c r="LLS155" s="250"/>
      <c r="LLT155" s="250"/>
      <c r="LLU155" s="250"/>
      <c r="LLV155" s="250"/>
      <c r="LLW155" s="250"/>
      <c r="LLX155" s="250"/>
      <c r="LLY155" s="250"/>
      <c r="LLZ155" s="250"/>
      <c r="LMA155" s="250"/>
      <c r="LMB155" s="250"/>
      <c r="LMC155" s="250"/>
      <c r="LMD155" s="250"/>
      <c r="LME155" s="250"/>
      <c r="LMF155" s="250"/>
      <c r="LMG155" s="250"/>
      <c r="LMH155" s="250"/>
      <c r="LMI155" s="250"/>
      <c r="LMJ155" s="250"/>
      <c r="LMK155" s="250"/>
      <c r="LML155" s="250"/>
      <c r="LMM155" s="250"/>
      <c r="LMN155" s="250"/>
      <c r="LMO155" s="250"/>
      <c r="LMP155" s="250"/>
      <c r="LMQ155" s="250"/>
      <c r="LMR155" s="250"/>
      <c r="LMS155" s="250"/>
      <c r="LMT155" s="250"/>
      <c r="LMU155" s="250"/>
      <c r="LMV155" s="250"/>
      <c r="LMW155" s="250"/>
      <c r="LMX155" s="250"/>
      <c r="LMY155" s="250"/>
      <c r="LMZ155" s="250"/>
      <c r="LNA155" s="250"/>
      <c r="LNB155" s="250"/>
      <c r="LNC155" s="250"/>
      <c r="LND155" s="250"/>
      <c r="LNE155" s="250"/>
      <c r="LNF155" s="250"/>
      <c r="LNG155" s="250"/>
      <c r="LNH155" s="250"/>
      <c r="LNI155" s="250"/>
      <c r="LNJ155" s="250"/>
      <c r="LNK155" s="250"/>
      <c r="LNL155" s="250"/>
      <c r="LNM155" s="250"/>
      <c r="LNN155" s="250"/>
      <c r="LNO155" s="250"/>
      <c r="LNP155" s="250"/>
      <c r="LNQ155" s="250"/>
      <c r="LNR155" s="250"/>
      <c r="LNS155" s="250"/>
      <c r="LNT155" s="250"/>
      <c r="LNU155" s="250"/>
      <c r="LNV155" s="250"/>
      <c r="LNW155" s="250"/>
      <c r="LNX155" s="250"/>
      <c r="LNY155" s="250"/>
      <c r="LNZ155" s="250"/>
      <c r="LOA155" s="250"/>
      <c r="LOB155" s="250"/>
      <c r="LOC155" s="250"/>
      <c r="LOD155" s="250"/>
      <c r="LOE155" s="250"/>
      <c r="LOF155" s="250"/>
      <c r="LOG155" s="250"/>
      <c r="LOH155" s="250"/>
      <c r="LOI155" s="250"/>
      <c r="LOJ155" s="250"/>
      <c r="LOK155" s="250"/>
      <c r="LOL155" s="250"/>
      <c r="LOM155" s="250"/>
      <c r="LON155" s="250"/>
      <c r="LOO155" s="250"/>
      <c r="LOP155" s="250"/>
      <c r="LOQ155" s="250"/>
      <c r="LOR155" s="250"/>
      <c r="LOS155" s="250"/>
      <c r="LOT155" s="250"/>
      <c r="LOU155" s="250"/>
      <c r="LOV155" s="250"/>
      <c r="LOW155" s="250"/>
      <c r="LOX155" s="250"/>
      <c r="LOY155" s="250"/>
      <c r="LOZ155" s="250"/>
      <c r="LPA155" s="250"/>
      <c r="LPB155" s="250"/>
      <c r="LPC155" s="250"/>
      <c r="LPD155" s="250"/>
      <c r="LPE155" s="250"/>
      <c r="LPF155" s="250"/>
      <c r="LPG155" s="250"/>
      <c r="LPH155" s="250"/>
      <c r="LPI155" s="250"/>
      <c r="LPJ155" s="250"/>
      <c r="LPK155" s="250"/>
      <c r="LPL155" s="250"/>
      <c r="LPM155" s="250"/>
      <c r="LPN155" s="250"/>
      <c r="LPO155" s="250"/>
      <c r="LPP155" s="250"/>
      <c r="LPQ155" s="250"/>
      <c r="LPR155" s="250"/>
      <c r="LPS155" s="250"/>
      <c r="LPT155" s="250"/>
      <c r="LPU155" s="250"/>
      <c r="LPV155" s="250"/>
      <c r="LPW155" s="250"/>
      <c r="LPX155" s="250"/>
      <c r="LPY155" s="250"/>
      <c r="LPZ155" s="250"/>
      <c r="LQA155" s="250"/>
      <c r="LQB155" s="250"/>
      <c r="LQC155" s="250"/>
      <c r="LQD155" s="250"/>
      <c r="LQE155" s="250"/>
      <c r="LQF155" s="250"/>
      <c r="LQG155" s="250"/>
      <c r="LQH155" s="250"/>
      <c r="LQI155" s="250"/>
      <c r="LQJ155" s="250"/>
      <c r="LQK155" s="250"/>
      <c r="LQL155" s="250"/>
      <c r="LQM155" s="250"/>
      <c r="LQN155" s="250"/>
      <c r="LQO155" s="250"/>
      <c r="LQP155" s="250"/>
      <c r="LQQ155" s="250"/>
      <c r="LQR155" s="250"/>
      <c r="LQS155" s="250"/>
      <c r="LQT155" s="250"/>
      <c r="LQU155" s="250"/>
      <c r="LQV155" s="250"/>
      <c r="LQW155" s="250"/>
      <c r="LQX155" s="250"/>
      <c r="LQY155" s="250"/>
      <c r="LQZ155" s="250"/>
      <c r="LRA155" s="250"/>
      <c r="LRB155" s="250"/>
      <c r="LRC155" s="250"/>
      <c r="LRD155" s="250"/>
      <c r="LRE155" s="250"/>
      <c r="LRF155" s="250"/>
      <c r="LRG155" s="250"/>
      <c r="LRH155" s="250"/>
      <c r="LRI155" s="250"/>
      <c r="LRJ155" s="250"/>
      <c r="LRK155" s="250"/>
      <c r="LRL155" s="250"/>
      <c r="LRM155" s="250"/>
      <c r="LRN155" s="250"/>
      <c r="LRO155" s="250"/>
      <c r="LRP155" s="250"/>
      <c r="LRQ155" s="250"/>
      <c r="LRR155" s="250"/>
      <c r="LRS155" s="250"/>
      <c r="LRT155" s="250"/>
      <c r="LRU155" s="250"/>
      <c r="LRV155" s="250"/>
      <c r="LRW155" s="250"/>
      <c r="LRX155" s="250"/>
      <c r="LRY155" s="250"/>
      <c r="LRZ155" s="250"/>
      <c r="LSA155" s="250"/>
      <c r="LSB155" s="250"/>
      <c r="LSC155" s="250"/>
      <c r="LSD155" s="250"/>
      <c r="LSE155" s="250"/>
      <c r="LSF155" s="250"/>
      <c r="LSG155" s="250"/>
      <c r="LSH155" s="250"/>
      <c r="LSI155" s="250"/>
      <c r="LSJ155" s="250"/>
      <c r="LSK155" s="250"/>
      <c r="LSL155" s="250"/>
      <c r="LSM155" s="250"/>
      <c r="LSN155" s="250"/>
      <c r="LSO155" s="250"/>
      <c r="LSP155" s="250"/>
      <c r="LSQ155" s="250"/>
      <c r="LSR155" s="250"/>
      <c r="LSS155" s="250"/>
      <c r="LST155" s="250"/>
      <c r="LSU155" s="250"/>
      <c r="LSV155" s="250"/>
      <c r="LSW155" s="250"/>
      <c r="LSX155" s="250"/>
      <c r="LSY155" s="250"/>
      <c r="LSZ155" s="250"/>
      <c r="LTA155" s="250"/>
      <c r="LTB155" s="250"/>
      <c r="LTC155" s="250"/>
      <c r="LTD155" s="250"/>
      <c r="LTE155" s="250"/>
      <c r="LTF155" s="250"/>
      <c r="LTG155" s="250"/>
      <c r="LTH155" s="250"/>
      <c r="LTI155" s="250"/>
      <c r="LTJ155" s="250"/>
      <c r="LTK155" s="250"/>
      <c r="LTL155" s="250"/>
      <c r="LTM155" s="250"/>
      <c r="LTN155" s="250"/>
      <c r="LTO155" s="250"/>
      <c r="LTP155" s="250"/>
      <c r="LTQ155" s="250"/>
      <c r="LTR155" s="250"/>
      <c r="LTS155" s="250"/>
      <c r="LTT155" s="250"/>
      <c r="LTU155" s="250"/>
      <c r="LTV155" s="250"/>
      <c r="LTW155" s="250"/>
      <c r="LTX155" s="250"/>
      <c r="LTY155" s="250"/>
      <c r="LTZ155" s="250"/>
      <c r="LUA155" s="250"/>
      <c r="LUB155" s="250"/>
      <c r="LUC155" s="250"/>
      <c r="LUD155" s="250"/>
      <c r="LUE155" s="250"/>
      <c r="LUF155" s="250"/>
      <c r="LUG155" s="250"/>
      <c r="LUH155" s="250"/>
      <c r="LUI155" s="250"/>
      <c r="LUJ155" s="250"/>
      <c r="LUK155" s="250"/>
      <c r="LUL155" s="250"/>
      <c r="LUM155" s="250"/>
      <c r="LUN155" s="250"/>
      <c r="LUO155" s="250"/>
      <c r="LUP155" s="250"/>
      <c r="LUQ155" s="250"/>
      <c r="LUR155" s="250"/>
      <c r="LUS155" s="250"/>
      <c r="LUT155" s="250"/>
      <c r="LUU155" s="250"/>
      <c r="LUV155" s="250"/>
      <c r="LUW155" s="250"/>
      <c r="LUX155" s="250"/>
      <c r="LUY155" s="250"/>
      <c r="LUZ155" s="250"/>
      <c r="LVA155" s="250"/>
      <c r="LVB155" s="250"/>
      <c r="LVC155" s="250"/>
      <c r="LVD155" s="250"/>
      <c r="LVE155" s="250"/>
      <c r="LVF155" s="250"/>
      <c r="LVG155" s="250"/>
      <c r="LVH155" s="250"/>
      <c r="LVI155" s="250"/>
      <c r="LVJ155" s="250"/>
      <c r="LVK155" s="250"/>
      <c r="LVL155" s="250"/>
      <c r="LVM155" s="250"/>
      <c r="LVN155" s="250"/>
      <c r="LVO155" s="250"/>
      <c r="LVP155" s="250"/>
      <c r="LVQ155" s="250"/>
      <c r="LVR155" s="250"/>
      <c r="LVS155" s="250"/>
      <c r="LVT155" s="250"/>
      <c r="LVU155" s="250"/>
      <c r="LVV155" s="250"/>
      <c r="LVW155" s="250"/>
      <c r="LVX155" s="250"/>
      <c r="LVY155" s="250"/>
      <c r="LVZ155" s="250"/>
      <c r="LWA155" s="250"/>
      <c r="LWB155" s="250"/>
      <c r="LWC155" s="250"/>
      <c r="LWD155" s="250"/>
      <c r="LWE155" s="250"/>
      <c r="LWF155" s="250"/>
      <c r="LWG155" s="250"/>
      <c r="LWH155" s="250"/>
      <c r="LWI155" s="250"/>
      <c r="LWJ155" s="250"/>
      <c r="LWK155" s="250"/>
      <c r="LWL155" s="250"/>
      <c r="LWM155" s="250"/>
      <c r="LWN155" s="250"/>
      <c r="LWO155" s="250"/>
      <c r="LWP155" s="250"/>
      <c r="LWQ155" s="250"/>
      <c r="LWR155" s="250"/>
      <c r="LWS155" s="250"/>
      <c r="LWT155" s="250"/>
      <c r="LWU155" s="250"/>
      <c r="LWV155" s="250"/>
      <c r="LWW155" s="250"/>
      <c r="LWX155" s="250"/>
      <c r="LWY155" s="250"/>
      <c r="LWZ155" s="250"/>
      <c r="LXA155" s="250"/>
      <c r="LXB155" s="250"/>
      <c r="LXC155" s="250"/>
      <c r="LXD155" s="250"/>
      <c r="LXE155" s="250"/>
      <c r="LXF155" s="250"/>
      <c r="LXG155" s="250"/>
      <c r="LXH155" s="250"/>
      <c r="LXI155" s="250"/>
      <c r="LXJ155" s="250"/>
      <c r="LXK155" s="250"/>
      <c r="LXL155" s="250"/>
      <c r="LXM155" s="250"/>
      <c r="LXN155" s="250"/>
      <c r="LXO155" s="250"/>
      <c r="LXP155" s="250"/>
      <c r="LXQ155" s="250"/>
      <c r="LXR155" s="250"/>
      <c r="LXS155" s="250"/>
      <c r="LXT155" s="250"/>
      <c r="LXU155" s="250"/>
      <c r="LXV155" s="250"/>
      <c r="LXW155" s="250"/>
      <c r="LXX155" s="250"/>
      <c r="LXY155" s="250"/>
      <c r="LXZ155" s="250"/>
      <c r="LYA155" s="250"/>
      <c r="LYB155" s="250"/>
      <c r="LYC155" s="250"/>
      <c r="LYD155" s="250"/>
      <c r="LYE155" s="250"/>
      <c r="LYF155" s="250"/>
      <c r="LYG155" s="250"/>
      <c r="LYH155" s="250"/>
      <c r="LYI155" s="250"/>
      <c r="LYJ155" s="250"/>
      <c r="LYK155" s="250"/>
      <c r="LYL155" s="250"/>
      <c r="LYM155" s="250"/>
      <c r="LYN155" s="250"/>
      <c r="LYO155" s="250"/>
      <c r="LYP155" s="250"/>
      <c r="LYQ155" s="250"/>
      <c r="LYR155" s="250"/>
      <c r="LYS155" s="250"/>
      <c r="LYT155" s="250"/>
      <c r="LYU155" s="250"/>
      <c r="LYV155" s="250"/>
      <c r="LYW155" s="250"/>
      <c r="LYX155" s="250"/>
      <c r="LYY155" s="250"/>
      <c r="LYZ155" s="250"/>
      <c r="LZA155" s="250"/>
      <c r="LZB155" s="250"/>
      <c r="LZC155" s="250"/>
      <c r="LZD155" s="250"/>
      <c r="LZE155" s="250"/>
      <c r="LZF155" s="250"/>
      <c r="LZG155" s="250"/>
      <c r="LZH155" s="250"/>
      <c r="LZI155" s="250"/>
      <c r="LZJ155" s="250"/>
      <c r="LZK155" s="250"/>
      <c r="LZL155" s="250"/>
      <c r="LZM155" s="250"/>
      <c r="LZN155" s="250"/>
      <c r="LZO155" s="250"/>
      <c r="LZP155" s="250"/>
      <c r="LZQ155" s="250"/>
      <c r="LZR155" s="250"/>
      <c r="LZS155" s="250"/>
      <c r="LZT155" s="250"/>
      <c r="LZU155" s="250"/>
      <c r="LZV155" s="250"/>
      <c r="LZW155" s="250"/>
      <c r="LZX155" s="250"/>
      <c r="LZY155" s="250"/>
      <c r="LZZ155" s="250"/>
      <c r="MAA155" s="250"/>
      <c r="MAB155" s="250"/>
      <c r="MAC155" s="250"/>
      <c r="MAD155" s="250"/>
      <c r="MAE155" s="250"/>
      <c r="MAF155" s="250"/>
      <c r="MAG155" s="250"/>
      <c r="MAH155" s="250"/>
      <c r="MAI155" s="250"/>
      <c r="MAJ155" s="250"/>
      <c r="MAK155" s="250"/>
      <c r="MAL155" s="250"/>
      <c r="MAM155" s="250"/>
      <c r="MAN155" s="250"/>
      <c r="MAO155" s="250"/>
      <c r="MAP155" s="250"/>
      <c r="MAQ155" s="250"/>
      <c r="MAR155" s="250"/>
      <c r="MAS155" s="250"/>
      <c r="MAT155" s="250"/>
      <c r="MAU155" s="250"/>
      <c r="MAV155" s="250"/>
      <c r="MAW155" s="250"/>
      <c r="MAX155" s="250"/>
      <c r="MAY155" s="250"/>
      <c r="MAZ155" s="250"/>
      <c r="MBA155" s="250"/>
      <c r="MBB155" s="250"/>
      <c r="MBC155" s="250"/>
      <c r="MBD155" s="250"/>
      <c r="MBE155" s="250"/>
      <c r="MBF155" s="250"/>
      <c r="MBG155" s="250"/>
      <c r="MBH155" s="250"/>
      <c r="MBI155" s="250"/>
      <c r="MBJ155" s="250"/>
      <c r="MBK155" s="250"/>
      <c r="MBL155" s="250"/>
      <c r="MBM155" s="250"/>
      <c r="MBN155" s="250"/>
      <c r="MBO155" s="250"/>
      <c r="MBP155" s="250"/>
      <c r="MBQ155" s="250"/>
      <c r="MBR155" s="250"/>
      <c r="MBS155" s="250"/>
      <c r="MBT155" s="250"/>
      <c r="MBU155" s="250"/>
      <c r="MBV155" s="250"/>
      <c r="MBW155" s="250"/>
      <c r="MBX155" s="250"/>
      <c r="MBY155" s="250"/>
      <c r="MBZ155" s="250"/>
      <c r="MCA155" s="250"/>
      <c r="MCB155" s="250"/>
      <c r="MCC155" s="250"/>
      <c r="MCD155" s="250"/>
      <c r="MCE155" s="250"/>
      <c r="MCF155" s="250"/>
      <c r="MCG155" s="250"/>
      <c r="MCH155" s="250"/>
      <c r="MCI155" s="250"/>
      <c r="MCJ155" s="250"/>
      <c r="MCK155" s="250"/>
      <c r="MCL155" s="250"/>
      <c r="MCM155" s="250"/>
      <c r="MCN155" s="250"/>
      <c r="MCO155" s="250"/>
      <c r="MCP155" s="250"/>
      <c r="MCQ155" s="250"/>
      <c r="MCR155" s="250"/>
      <c r="MCS155" s="250"/>
      <c r="MCT155" s="250"/>
      <c r="MCU155" s="250"/>
      <c r="MCV155" s="250"/>
      <c r="MCW155" s="250"/>
      <c r="MCX155" s="250"/>
      <c r="MCY155" s="250"/>
      <c r="MCZ155" s="250"/>
      <c r="MDA155" s="250"/>
      <c r="MDB155" s="250"/>
      <c r="MDC155" s="250"/>
      <c r="MDD155" s="250"/>
      <c r="MDE155" s="250"/>
      <c r="MDF155" s="250"/>
      <c r="MDG155" s="250"/>
      <c r="MDH155" s="250"/>
      <c r="MDI155" s="250"/>
      <c r="MDJ155" s="250"/>
      <c r="MDK155" s="250"/>
      <c r="MDL155" s="250"/>
      <c r="MDM155" s="250"/>
      <c r="MDN155" s="250"/>
      <c r="MDO155" s="250"/>
      <c r="MDP155" s="250"/>
      <c r="MDQ155" s="250"/>
      <c r="MDR155" s="250"/>
      <c r="MDS155" s="250"/>
      <c r="MDT155" s="250"/>
      <c r="MDU155" s="250"/>
      <c r="MDV155" s="250"/>
      <c r="MDW155" s="250"/>
      <c r="MDX155" s="250"/>
      <c r="MDY155" s="250"/>
      <c r="MDZ155" s="250"/>
      <c r="MEA155" s="250"/>
      <c r="MEB155" s="250"/>
      <c r="MEC155" s="250"/>
      <c r="MED155" s="250"/>
      <c r="MEE155" s="250"/>
      <c r="MEF155" s="250"/>
      <c r="MEG155" s="250"/>
      <c r="MEH155" s="250"/>
      <c r="MEI155" s="250"/>
      <c r="MEJ155" s="250"/>
      <c r="MEK155" s="250"/>
      <c r="MEL155" s="250"/>
      <c r="MEM155" s="250"/>
      <c r="MEN155" s="250"/>
      <c r="MEO155" s="250"/>
      <c r="MEP155" s="250"/>
      <c r="MEQ155" s="250"/>
      <c r="MER155" s="250"/>
      <c r="MES155" s="250"/>
      <c r="MET155" s="250"/>
      <c r="MEU155" s="250"/>
      <c r="MEV155" s="250"/>
      <c r="MEW155" s="250"/>
      <c r="MEX155" s="250"/>
      <c r="MEY155" s="250"/>
      <c r="MEZ155" s="250"/>
      <c r="MFA155" s="250"/>
      <c r="MFB155" s="250"/>
      <c r="MFC155" s="250"/>
      <c r="MFD155" s="250"/>
      <c r="MFE155" s="250"/>
      <c r="MFF155" s="250"/>
      <c r="MFG155" s="250"/>
      <c r="MFH155" s="250"/>
      <c r="MFI155" s="250"/>
      <c r="MFJ155" s="250"/>
      <c r="MFK155" s="250"/>
      <c r="MFL155" s="250"/>
      <c r="MFM155" s="250"/>
      <c r="MFN155" s="250"/>
      <c r="MFO155" s="250"/>
      <c r="MFP155" s="250"/>
      <c r="MFQ155" s="250"/>
      <c r="MFR155" s="250"/>
      <c r="MFS155" s="250"/>
      <c r="MFT155" s="250"/>
      <c r="MFU155" s="250"/>
      <c r="MFV155" s="250"/>
      <c r="MFW155" s="250"/>
      <c r="MFX155" s="250"/>
      <c r="MFY155" s="250"/>
      <c r="MFZ155" s="250"/>
      <c r="MGA155" s="250"/>
      <c r="MGB155" s="250"/>
      <c r="MGC155" s="250"/>
      <c r="MGD155" s="250"/>
      <c r="MGE155" s="250"/>
      <c r="MGF155" s="250"/>
      <c r="MGG155" s="250"/>
      <c r="MGH155" s="250"/>
      <c r="MGI155" s="250"/>
      <c r="MGJ155" s="250"/>
      <c r="MGK155" s="250"/>
      <c r="MGL155" s="250"/>
      <c r="MGM155" s="250"/>
      <c r="MGN155" s="250"/>
      <c r="MGO155" s="250"/>
      <c r="MGP155" s="250"/>
      <c r="MGQ155" s="250"/>
      <c r="MGR155" s="250"/>
      <c r="MGS155" s="250"/>
      <c r="MGT155" s="250"/>
      <c r="MGU155" s="250"/>
      <c r="MGV155" s="250"/>
      <c r="MGW155" s="250"/>
      <c r="MGX155" s="250"/>
      <c r="MGY155" s="250"/>
      <c r="MGZ155" s="250"/>
      <c r="MHA155" s="250"/>
      <c r="MHB155" s="250"/>
      <c r="MHC155" s="250"/>
      <c r="MHD155" s="250"/>
      <c r="MHE155" s="250"/>
      <c r="MHF155" s="250"/>
      <c r="MHG155" s="250"/>
      <c r="MHH155" s="250"/>
      <c r="MHI155" s="250"/>
      <c r="MHJ155" s="250"/>
      <c r="MHK155" s="250"/>
      <c r="MHL155" s="250"/>
      <c r="MHM155" s="250"/>
      <c r="MHN155" s="250"/>
      <c r="MHO155" s="250"/>
      <c r="MHP155" s="250"/>
      <c r="MHQ155" s="250"/>
      <c r="MHR155" s="250"/>
      <c r="MHS155" s="250"/>
      <c r="MHT155" s="250"/>
      <c r="MHU155" s="250"/>
      <c r="MHV155" s="250"/>
      <c r="MHW155" s="250"/>
      <c r="MHX155" s="250"/>
      <c r="MHY155" s="250"/>
      <c r="MHZ155" s="250"/>
      <c r="MIA155" s="250"/>
      <c r="MIB155" s="250"/>
      <c r="MIC155" s="250"/>
      <c r="MID155" s="250"/>
      <c r="MIE155" s="250"/>
      <c r="MIF155" s="250"/>
      <c r="MIG155" s="250"/>
      <c r="MIH155" s="250"/>
      <c r="MII155" s="250"/>
      <c r="MIJ155" s="250"/>
      <c r="MIK155" s="250"/>
      <c r="MIL155" s="250"/>
      <c r="MIM155" s="250"/>
      <c r="MIN155" s="250"/>
      <c r="MIO155" s="250"/>
      <c r="MIP155" s="250"/>
      <c r="MIQ155" s="250"/>
      <c r="MIR155" s="250"/>
      <c r="MIS155" s="250"/>
      <c r="MIT155" s="250"/>
      <c r="MIU155" s="250"/>
      <c r="MIV155" s="250"/>
      <c r="MIW155" s="250"/>
      <c r="MIX155" s="250"/>
      <c r="MIY155" s="250"/>
      <c r="MIZ155" s="250"/>
      <c r="MJA155" s="250"/>
      <c r="MJB155" s="250"/>
      <c r="MJC155" s="250"/>
      <c r="MJD155" s="250"/>
      <c r="MJE155" s="250"/>
      <c r="MJF155" s="250"/>
      <c r="MJG155" s="250"/>
      <c r="MJH155" s="250"/>
      <c r="MJI155" s="250"/>
      <c r="MJJ155" s="250"/>
      <c r="MJK155" s="250"/>
      <c r="MJL155" s="250"/>
      <c r="MJM155" s="250"/>
      <c r="MJN155" s="250"/>
      <c r="MJO155" s="250"/>
      <c r="MJP155" s="250"/>
      <c r="MJQ155" s="250"/>
      <c r="MJR155" s="250"/>
      <c r="MJS155" s="250"/>
      <c r="MJT155" s="250"/>
      <c r="MJU155" s="250"/>
      <c r="MJV155" s="250"/>
      <c r="MJW155" s="250"/>
      <c r="MJX155" s="250"/>
      <c r="MJY155" s="250"/>
      <c r="MJZ155" s="250"/>
      <c r="MKA155" s="250"/>
      <c r="MKB155" s="250"/>
      <c r="MKC155" s="250"/>
      <c r="MKD155" s="250"/>
      <c r="MKE155" s="250"/>
      <c r="MKF155" s="250"/>
      <c r="MKG155" s="250"/>
      <c r="MKH155" s="250"/>
      <c r="MKI155" s="250"/>
      <c r="MKJ155" s="250"/>
      <c r="MKK155" s="250"/>
      <c r="MKL155" s="250"/>
      <c r="MKM155" s="250"/>
      <c r="MKN155" s="250"/>
      <c r="MKO155" s="250"/>
      <c r="MKP155" s="250"/>
      <c r="MKQ155" s="250"/>
      <c r="MKR155" s="250"/>
      <c r="MKS155" s="250"/>
      <c r="MKT155" s="250"/>
      <c r="MKU155" s="250"/>
      <c r="MKV155" s="250"/>
      <c r="MKW155" s="250"/>
      <c r="MKX155" s="250"/>
      <c r="MKY155" s="250"/>
      <c r="MKZ155" s="250"/>
      <c r="MLA155" s="250"/>
      <c r="MLB155" s="250"/>
      <c r="MLC155" s="250"/>
      <c r="MLD155" s="250"/>
      <c r="MLE155" s="250"/>
      <c r="MLF155" s="250"/>
      <c r="MLG155" s="250"/>
      <c r="MLH155" s="250"/>
      <c r="MLI155" s="250"/>
      <c r="MLJ155" s="250"/>
      <c r="MLK155" s="250"/>
      <c r="MLL155" s="250"/>
      <c r="MLM155" s="250"/>
      <c r="MLN155" s="250"/>
      <c r="MLO155" s="250"/>
      <c r="MLP155" s="250"/>
      <c r="MLQ155" s="250"/>
      <c r="MLR155" s="250"/>
      <c r="MLS155" s="250"/>
      <c r="MLT155" s="250"/>
      <c r="MLU155" s="250"/>
      <c r="MLV155" s="250"/>
      <c r="MLW155" s="250"/>
      <c r="MLX155" s="250"/>
      <c r="MLY155" s="250"/>
      <c r="MLZ155" s="250"/>
      <c r="MMA155" s="250"/>
      <c r="MMB155" s="250"/>
      <c r="MMC155" s="250"/>
      <c r="MMD155" s="250"/>
      <c r="MME155" s="250"/>
      <c r="MMF155" s="250"/>
      <c r="MMG155" s="250"/>
      <c r="MMH155" s="250"/>
      <c r="MMI155" s="250"/>
      <c r="MMJ155" s="250"/>
      <c r="MMK155" s="250"/>
      <c r="MML155" s="250"/>
      <c r="MMM155" s="250"/>
      <c r="MMN155" s="250"/>
      <c r="MMO155" s="250"/>
      <c r="MMP155" s="250"/>
      <c r="MMQ155" s="250"/>
      <c r="MMR155" s="250"/>
      <c r="MMS155" s="250"/>
      <c r="MMT155" s="250"/>
      <c r="MMU155" s="250"/>
      <c r="MMV155" s="250"/>
      <c r="MMW155" s="250"/>
      <c r="MMX155" s="250"/>
      <c r="MMY155" s="250"/>
      <c r="MMZ155" s="250"/>
      <c r="MNA155" s="250"/>
      <c r="MNB155" s="250"/>
      <c r="MNC155" s="250"/>
      <c r="MND155" s="250"/>
      <c r="MNE155" s="250"/>
      <c r="MNF155" s="250"/>
      <c r="MNG155" s="250"/>
      <c r="MNH155" s="250"/>
      <c r="MNI155" s="250"/>
      <c r="MNJ155" s="250"/>
      <c r="MNK155" s="250"/>
      <c r="MNL155" s="250"/>
      <c r="MNM155" s="250"/>
      <c r="MNN155" s="250"/>
      <c r="MNO155" s="250"/>
      <c r="MNP155" s="250"/>
      <c r="MNQ155" s="250"/>
      <c r="MNR155" s="250"/>
      <c r="MNS155" s="250"/>
      <c r="MNT155" s="250"/>
      <c r="MNU155" s="250"/>
      <c r="MNV155" s="250"/>
      <c r="MNW155" s="250"/>
      <c r="MNX155" s="250"/>
      <c r="MNY155" s="250"/>
      <c r="MNZ155" s="250"/>
      <c r="MOA155" s="250"/>
      <c r="MOB155" s="250"/>
      <c r="MOC155" s="250"/>
      <c r="MOD155" s="250"/>
      <c r="MOE155" s="250"/>
      <c r="MOF155" s="250"/>
      <c r="MOG155" s="250"/>
      <c r="MOH155" s="250"/>
      <c r="MOI155" s="250"/>
      <c r="MOJ155" s="250"/>
      <c r="MOK155" s="250"/>
      <c r="MOL155" s="250"/>
      <c r="MOM155" s="250"/>
      <c r="MON155" s="250"/>
      <c r="MOO155" s="250"/>
      <c r="MOP155" s="250"/>
      <c r="MOQ155" s="250"/>
      <c r="MOR155" s="250"/>
      <c r="MOS155" s="250"/>
      <c r="MOT155" s="250"/>
      <c r="MOU155" s="250"/>
      <c r="MOV155" s="250"/>
      <c r="MOW155" s="250"/>
      <c r="MOX155" s="250"/>
      <c r="MOY155" s="250"/>
      <c r="MOZ155" s="250"/>
      <c r="MPA155" s="250"/>
      <c r="MPB155" s="250"/>
      <c r="MPC155" s="250"/>
      <c r="MPD155" s="250"/>
      <c r="MPE155" s="250"/>
      <c r="MPF155" s="250"/>
      <c r="MPG155" s="250"/>
      <c r="MPH155" s="250"/>
      <c r="MPI155" s="250"/>
      <c r="MPJ155" s="250"/>
      <c r="MPK155" s="250"/>
      <c r="MPL155" s="250"/>
      <c r="MPM155" s="250"/>
      <c r="MPN155" s="250"/>
      <c r="MPO155" s="250"/>
      <c r="MPP155" s="250"/>
      <c r="MPQ155" s="250"/>
      <c r="MPR155" s="250"/>
      <c r="MPS155" s="250"/>
      <c r="MPT155" s="250"/>
      <c r="MPU155" s="250"/>
      <c r="MPV155" s="250"/>
      <c r="MPW155" s="250"/>
      <c r="MPX155" s="250"/>
      <c r="MPY155" s="250"/>
      <c r="MPZ155" s="250"/>
      <c r="MQA155" s="250"/>
      <c r="MQB155" s="250"/>
      <c r="MQC155" s="250"/>
      <c r="MQD155" s="250"/>
      <c r="MQE155" s="250"/>
      <c r="MQF155" s="250"/>
      <c r="MQG155" s="250"/>
      <c r="MQH155" s="250"/>
      <c r="MQI155" s="250"/>
      <c r="MQJ155" s="250"/>
      <c r="MQK155" s="250"/>
      <c r="MQL155" s="250"/>
      <c r="MQM155" s="250"/>
      <c r="MQN155" s="250"/>
      <c r="MQO155" s="250"/>
      <c r="MQP155" s="250"/>
      <c r="MQQ155" s="250"/>
      <c r="MQR155" s="250"/>
      <c r="MQS155" s="250"/>
      <c r="MQT155" s="250"/>
      <c r="MQU155" s="250"/>
      <c r="MQV155" s="250"/>
      <c r="MQW155" s="250"/>
      <c r="MQX155" s="250"/>
      <c r="MQY155" s="250"/>
      <c r="MQZ155" s="250"/>
      <c r="MRA155" s="250"/>
      <c r="MRB155" s="250"/>
      <c r="MRC155" s="250"/>
      <c r="MRD155" s="250"/>
      <c r="MRE155" s="250"/>
      <c r="MRF155" s="250"/>
      <c r="MRG155" s="250"/>
      <c r="MRH155" s="250"/>
      <c r="MRI155" s="250"/>
      <c r="MRJ155" s="250"/>
      <c r="MRK155" s="250"/>
      <c r="MRL155" s="250"/>
      <c r="MRM155" s="250"/>
      <c r="MRN155" s="250"/>
      <c r="MRO155" s="250"/>
      <c r="MRP155" s="250"/>
      <c r="MRQ155" s="250"/>
      <c r="MRR155" s="250"/>
      <c r="MRS155" s="250"/>
      <c r="MRT155" s="250"/>
      <c r="MRU155" s="250"/>
      <c r="MRV155" s="250"/>
      <c r="MRW155" s="250"/>
      <c r="MRX155" s="250"/>
      <c r="MRY155" s="250"/>
      <c r="MRZ155" s="250"/>
      <c r="MSA155" s="250"/>
      <c r="MSB155" s="250"/>
      <c r="MSC155" s="250"/>
      <c r="MSD155" s="250"/>
      <c r="MSE155" s="250"/>
      <c r="MSF155" s="250"/>
      <c r="MSG155" s="250"/>
      <c r="MSH155" s="250"/>
      <c r="MSI155" s="250"/>
      <c r="MSJ155" s="250"/>
      <c r="MSK155" s="250"/>
      <c r="MSL155" s="250"/>
      <c r="MSM155" s="250"/>
      <c r="MSN155" s="250"/>
      <c r="MSO155" s="250"/>
      <c r="MSP155" s="250"/>
      <c r="MSQ155" s="250"/>
      <c r="MSR155" s="250"/>
      <c r="MSS155" s="250"/>
      <c r="MST155" s="250"/>
      <c r="MSU155" s="250"/>
      <c r="MSV155" s="250"/>
      <c r="MSW155" s="250"/>
      <c r="MSX155" s="250"/>
      <c r="MSY155" s="250"/>
      <c r="MSZ155" s="250"/>
      <c r="MTA155" s="250"/>
      <c r="MTB155" s="250"/>
      <c r="MTC155" s="250"/>
      <c r="MTD155" s="250"/>
      <c r="MTE155" s="250"/>
      <c r="MTF155" s="250"/>
      <c r="MTG155" s="250"/>
      <c r="MTH155" s="250"/>
      <c r="MTI155" s="250"/>
      <c r="MTJ155" s="250"/>
      <c r="MTK155" s="250"/>
      <c r="MTL155" s="250"/>
      <c r="MTM155" s="250"/>
      <c r="MTN155" s="250"/>
      <c r="MTO155" s="250"/>
      <c r="MTP155" s="250"/>
      <c r="MTQ155" s="250"/>
      <c r="MTR155" s="250"/>
      <c r="MTS155" s="250"/>
      <c r="MTT155" s="250"/>
      <c r="MTU155" s="250"/>
      <c r="MTV155" s="250"/>
      <c r="MTW155" s="250"/>
      <c r="MTX155" s="250"/>
      <c r="MTY155" s="250"/>
      <c r="MTZ155" s="250"/>
      <c r="MUA155" s="250"/>
      <c r="MUB155" s="250"/>
      <c r="MUC155" s="250"/>
      <c r="MUD155" s="250"/>
      <c r="MUE155" s="250"/>
      <c r="MUF155" s="250"/>
      <c r="MUG155" s="250"/>
      <c r="MUH155" s="250"/>
      <c r="MUI155" s="250"/>
      <c r="MUJ155" s="250"/>
      <c r="MUK155" s="250"/>
      <c r="MUL155" s="250"/>
      <c r="MUM155" s="250"/>
      <c r="MUN155" s="250"/>
      <c r="MUO155" s="250"/>
      <c r="MUP155" s="250"/>
      <c r="MUQ155" s="250"/>
      <c r="MUR155" s="250"/>
      <c r="MUS155" s="250"/>
      <c r="MUT155" s="250"/>
      <c r="MUU155" s="250"/>
      <c r="MUV155" s="250"/>
      <c r="MUW155" s="250"/>
      <c r="MUX155" s="250"/>
      <c r="MUY155" s="250"/>
      <c r="MUZ155" s="250"/>
      <c r="MVA155" s="250"/>
      <c r="MVB155" s="250"/>
      <c r="MVC155" s="250"/>
      <c r="MVD155" s="250"/>
      <c r="MVE155" s="250"/>
      <c r="MVF155" s="250"/>
      <c r="MVG155" s="250"/>
      <c r="MVH155" s="250"/>
      <c r="MVI155" s="250"/>
      <c r="MVJ155" s="250"/>
      <c r="MVK155" s="250"/>
      <c r="MVL155" s="250"/>
      <c r="MVM155" s="250"/>
      <c r="MVN155" s="250"/>
      <c r="MVO155" s="250"/>
      <c r="MVP155" s="250"/>
      <c r="MVQ155" s="250"/>
      <c r="MVR155" s="250"/>
      <c r="MVS155" s="250"/>
      <c r="MVT155" s="250"/>
      <c r="MVU155" s="250"/>
      <c r="MVV155" s="250"/>
      <c r="MVW155" s="250"/>
      <c r="MVX155" s="250"/>
      <c r="MVY155" s="250"/>
      <c r="MVZ155" s="250"/>
      <c r="MWA155" s="250"/>
      <c r="MWB155" s="250"/>
      <c r="MWC155" s="250"/>
      <c r="MWD155" s="250"/>
      <c r="MWE155" s="250"/>
      <c r="MWF155" s="250"/>
      <c r="MWG155" s="250"/>
      <c r="MWH155" s="250"/>
      <c r="MWI155" s="250"/>
      <c r="MWJ155" s="250"/>
      <c r="MWK155" s="250"/>
      <c r="MWL155" s="250"/>
      <c r="MWM155" s="250"/>
      <c r="MWN155" s="250"/>
      <c r="MWO155" s="250"/>
      <c r="MWP155" s="250"/>
      <c r="MWQ155" s="250"/>
      <c r="MWR155" s="250"/>
      <c r="MWS155" s="250"/>
      <c r="MWT155" s="250"/>
      <c r="MWU155" s="250"/>
      <c r="MWV155" s="250"/>
      <c r="MWW155" s="250"/>
      <c r="MWX155" s="250"/>
      <c r="MWY155" s="250"/>
      <c r="MWZ155" s="250"/>
      <c r="MXA155" s="250"/>
      <c r="MXB155" s="250"/>
      <c r="MXC155" s="250"/>
      <c r="MXD155" s="250"/>
      <c r="MXE155" s="250"/>
      <c r="MXF155" s="250"/>
      <c r="MXG155" s="250"/>
      <c r="MXH155" s="250"/>
      <c r="MXI155" s="250"/>
      <c r="MXJ155" s="250"/>
      <c r="MXK155" s="250"/>
      <c r="MXL155" s="250"/>
      <c r="MXM155" s="250"/>
      <c r="MXN155" s="250"/>
      <c r="MXO155" s="250"/>
      <c r="MXP155" s="250"/>
      <c r="MXQ155" s="250"/>
      <c r="MXR155" s="250"/>
      <c r="MXS155" s="250"/>
      <c r="MXT155" s="250"/>
      <c r="MXU155" s="250"/>
      <c r="MXV155" s="250"/>
      <c r="MXW155" s="250"/>
      <c r="MXX155" s="250"/>
      <c r="MXY155" s="250"/>
      <c r="MXZ155" s="250"/>
      <c r="MYA155" s="250"/>
      <c r="MYB155" s="250"/>
      <c r="MYC155" s="250"/>
      <c r="MYD155" s="250"/>
      <c r="MYE155" s="250"/>
      <c r="MYF155" s="250"/>
      <c r="MYG155" s="250"/>
      <c r="MYH155" s="250"/>
      <c r="MYI155" s="250"/>
      <c r="MYJ155" s="250"/>
      <c r="MYK155" s="250"/>
      <c r="MYL155" s="250"/>
      <c r="MYM155" s="250"/>
      <c r="MYN155" s="250"/>
      <c r="MYO155" s="250"/>
      <c r="MYP155" s="250"/>
      <c r="MYQ155" s="250"/>
      <c r="MYR155" s="250"/>
      <c r="MYS155" s="250"/>
      <c r="MYT155" s="250"/>
      <c r="MYU155" s="250"/>
      <c r="MYV155" s="250"/>
      <c r="MYW155" s="250"/>
      <c r="MYX155" s="250"/>
      <c r="MYY155" s="250"/>
      <c r="MYZ155" s="250"/>
      <c r="MZA155" s="250"/>
      <c r="MZB155" s="250"/>
      <c r="MZC155" s="250"/>
      <c r="MZD155" s="250"/>
      <c r="MZE155" s="250"/>
      <c r="MZF155" s="250"/>
      <c r="MZG155" s="250"/>
      <c r="MZH155" s="250"/>
      <c r="MZI155" s="250"/>
      <c r="MZJ155" s="250"/>
      <c r="MZK155" s="250"/>
      <c r="MZL155" s="250"/>
      <c r="MZM155" s="250"/>
      <c r="MZN155" s="250"/>
      <c r="MZO155" s="250"/>
      <c r="MZP155" s="250"/>
      <c r="MZQ155" s="250"/>
      <c r="MZR155" s="250"/>
      <c r="MZS155" s="250"/>
      <c r="MZT155" s="250"/>
      <c r="MZU155" s="250"/>
      <c r="MZV155" s="250"/>
      <c r="MZW155" s="250"/>
      <c r="MZX155" s="250"/>
      <c r="MZY155" s="250"/>
      <c r="MZZ155" s="250"/>
      <c r="NAA155" s="250"/>
      <c r="NAB155" s="250"/>
      <c r="NAC155" s="250"/>
      <c r="NAD155" s="250"/>
      <c r="NAE155" s="250"/>
      <c r="NAF155" s="250"/>
      <c r="NAG155" s="250"/>
      <c r="NAH155" s="250"/>
      <c r="NAI155" s="250"/>
      <c r="NAJ155" s="250"/>
      <c r="NAK155" s="250"/>
      <c r="NAL155" s="250"/>
      <c r="NAM155" s="250"/>
      <c r="NAN155" s="250"/>
      <c r="NAO155" s="250"/>
      <c r="NAP155" s="250"/>
      <c r="NAQ155" s="250"/>
      <c r="NAR155" s="250"/>
      <c r="NAS155" s="250"/>
      <c r="NAT155" s="250"/>
      <c r="NAU155" s="250"/>
      <c r="NAV155" s="250"/>
      <c r="NAW155" s="250"/>
      <c r="NAX155" s="250"/>
      <c r="NAY155" s="250"/>
      <c r="NAZ155" s="250"/>
      <c r="NBA155" s="250"/>
      <c r="NBB155" s="250"/>
      <c r="NBC155" s="250"/>
      <c r="NBD155" s="250"/>
      <c r="NBE155" s="250"/>
      <c r="NBF155" s="250"/>
      <c r="NBG155" s="250"/>
      <c r="NBH155" s="250"/>
      <c r="NBI155" s="250"/>
      <c r="NBJ155" s="250"/>
      <c r="NBK155" s="250"/>
      <c r="NBL155" s="250"/>
      <c r="NBM155" s="250"/>
      <c r="NBN155" s="250"/>
      <c r="NBO155" s="250"/>
      <c r="NBP155" s="250"/>
      <c r="NBQ155" s="250"/>
      <c r="NBR155" s="250"/>
      <c r="NBS155" s="250"/>
      <c r="NBT155" s="250"/>
      <c r="NBU155" s="250"/>
      <c r="NBV155" s="250"/>
      <c r="NBW155" s="250"/>
      <c r="NBX155" s="250"/>
      <c r="NBY155" s="250"/>
      <c r="NBZ155" s="250"/>
      <c r="NCA155" s="250"/>
      <c r="NCB155" s="250"/>
      <c r="NCC155" s="250"/>
      <c r="NCD155" s="250"/>
      <c r="NCE155" s="250"/>
      <c r="NCF155" s="250"/>
      <c r="NCG155" s="250"/>
      <c r="NCH155" s="250"/>
      <c r="NCI155" s="250"/>
      <c r="NCJ155" s="250"/>
      <c r="NCK155" s="250"/>
      <c r="NCL155" s="250"/>
      <c r="NCM155" s="250"/>
      <c r="NCN155" s="250"/>
      <c r="NCO155" s="250"/>
      <c r="NCP155" s="250"/>
      <c r="NCQ155" s="250"/>
      <c r="NCR155" s="250"/>
      <c r="NCS155" s="250"/>
      <c r="NCT155" s="250"/>
      <c r="NCU155" s="250"/>
      <c r="NCV155" s="250"/>
      <c r="NCW155" s="250"/>
      <c r="NCX155" s="250"/>
      <c r="NCY155" s="250"/>
      <c r="NCZ155" s="250"/>
      <c r="NDA155" s="250"/>
      <c r="NDB155" s="250"/>
      <c r="NDC155" s="250"/>
      <c r="NDD155" s="250"/>
      <c r="NDE155" s="250"/>
      <c r="NDF155" s="250"/>
      <c r="NDG155" s="250"/>
      <c r="NDH155" s="250"/>
      <c r="NDI155" s="250"/>
      <c r="NDJ155" s="250"/>
      <c r="NDK155" s="250"/>
      <c r="NDL155" s="250"/>
      <c r="NDM155" s="250"/>
      <c r="NDN155" s="250"/>
      <c r="NDO155" s="250"/>
      <c r="NDP155" s="250"/>
      <c r="NDQ155" s="250"/>
      <c r="NDR155" s="250"/>
      <c r="NDS155" s="250"/>
      <c r="NDT155" s="250"/>
      <c r="NDU155" s="250"/>
      <c r="NDV155" s="250"/>
      <c r="NDW155" s="250"/>
      <c r="NDX155" s="250"/>
      <c r="NDY155" s="250"/>
      <c r="NDZ155" s="250"/>
      <c r="NEA155" s="250"/>
      <c r="NEB155" s="250"/>
      <c r="NEC155" s="250"/>
      <c r="NED155" s="250"/>
      <c r="NEE155" s="250"/>
      <c r="NEF155" s="250"/>
      <c r="NEG155" s="250"/>
      <c r="NEH155" s="250"/>
      <c r="NEI155" s="250"/>
      <c r="NEJ155" s="250"/>
      <c r="NEK155" s="250"/>
      <c r="NEL155" s="250"/>
      <c r="NEM155" s="250"/>
      <c r="NEN155" s="250"/>
      <c r="NEO155" s="250"/>
      <c r="NEP155" s="250"/>
      <c r="NEQ155" s="250"/>
      <c r="NER155" s="250"/>
      <c r="NES155" s="250"/>
      <c r="NET155" s="250"/>
      <c r="NEU155" s="250"/>
      <c r="NEV155" s="250"/>
      <c r="NEW155" s="250"/>
      <c r="NEX155" s="250"/>
      <c r="NEY155" s="250"/>
      <c r="NEZ155" s="250"/>
      <c r="NFA155" s="250"/>
      <c r="NFB155" s="250"/>
      <c r="NFC155" s="250"/>
      <c r="NFD155" s="250"/>
      <c r="NFE155" s="250"/>
      <c r="NFF155" s="250"/>
      <c r="NFG155" s="250"/>
      <c r="NFH155" s="250"/>
      <c r="NFI155" s="250"/>
      <c r="NFJ155" s="250"/>
      <c r="NFK155" s="250"/>
      <c r="NFL155" s="250"/>
      <c r="NFM155" s="250"/>
      <c r="NFN155" s="250"/>
      <c r="NFO155" s="250"/>
      <c r="NFP155" s="250"/>
      <c r="NFQ155" s="250"/>
      <c r="NFR155" s="250"/>
      <c r="NFS155" s="250"/>
      <c r="NFT155" s="250"/>
      <c r="NFU155" s="250"/>
      <c r="NFV155" s="250"/>
      <c r="NFW155" s="250"/>
      <c r="NFX155" s="250"/>
      <c r="NFY155" s="250"/>
      <c r="NFZ155" s="250"/>
      <c r="NGA155" s="250"/>
      <c r="NGB155" s="250"/>
      <c r="NGC155" s="250"/>
      <c r="NGD155" s="250"/>
      <c r="NGE155" s="250"/>
      <c r="NGF155" s="250"/>
      <c r="NGG155" s="250"/>
      <c r="NGH155" s="250"/>
      <c r="NGI155" s="250"/>
      <c r="NGJ155" s="250"/>
      <c r="NGK155" s="250"/>
      <c r="NGL155" s="250"/>
      <c r="NGM155" s="250"/>
      <c r="NGN155" s="250"/>
      <c r="NGO155" s="250"/>
      <c r="NGP155" s="250"/>
      <c r="NGQ155" s="250"/>
      <c r="NGR155" s="250"/>
      <c r="NGS155" s="250"/>
      <c r="NGT155" s="250"/>
      <c r="NGU155" s="250"/>
      <c r="NGV155" s="250"/>
      <c r="NGW155" s="250"/>
      <c r="NGX155" s="250"/>
      <c r="NGY155" s="250"/>
      <c r="NGZ155" s="250"/>
      <c r="NHA155" s="250"/>
      <c r="NHB155" s="250"/>
      <c r="NHC155" s="250"/>
      <c r="NHD155" s="250"/>
      <c r="NHE155" s="250"/>
      <c r="NHF155" s="250"/>
      <c r="NHG155" s="250"/>
      <c r="NHH155" s="250"/>
      <c r="NHI155" s="250"/>
      <c r="NHJ155" s="250"/>
      <c r="NHK155" s="250"/>
      <c r="NHL155" s="250"/>
      <c r="NHM155" s="250"/>
      <c r="NHN155" s="250"/>
      <c r="NHO155" s="250"/>
      <c r="NHP155" s="250"/>
      <c r="NHQ155" s="250"/>
      <c r="NHR155" s="250"/>
      <c r="NHS155" s="250"/>
      <c r="NHT155" s="250"/>
      <c r="NHU155" s="250"/>
      <c r="NHV155" s="250"/>
      <c r="NHW155" s="250"/>
      <c r="NHX155" s="250"/>
      <c r="NHY155" s="250"/>
      <c r="NHZ155" s="250"/>
      <c r="NIA155" s="250"/>
      <c r="NIB155" s="250"/>
      <c r="NIC155" s="250"/>
      <c r="NID155" s="250"/>
      <c r="NIE155" s="250"/>
      <c r="NIF155" s="250"/>
      <c r="NIG155" s="250"/>
      <c r="NIH155" s="250"/>
      <c r="NII155" s="250"/>
      <c r="NIJ155" s="250"/>
      <c r="NIK155" s="250"/>
      <c r="NIL155" s="250"/>
      <c r="NIM155" s="250"/>
      <c r="NIN155" s="250"/>
      <c r="NIO155" s="250"/>
      <c r="NIP155" s="250"/>
      <c r="NIQ155" s="250"/>
      <c r="NIR155" s="250"/>
      <c r="NIS155" s="250"/>
      <c r="NIT155" s="250"/>
      <c r="NIU155" s="250"/>
      <c r="NIV155" s="250"/>
      <c r="NIW155" s="250"/>
      <c r="NIX155" s="250"/>
      <c r="NIY155" s="250"/>
      <c r="NIZ155" s="250"/>
      <c r="NJA155" s="250"/>
      <c r="NJB155" s="250"/>
      <c r="NJC155" s="250"/>
      <c r="NJD155" s="250"/>
      <c r="NJE155" s="250"/>
      <c r="NJF155" s="250"/>
      <c r="NJG155" s="250"/>
      <c r="NJH155" s="250"/>
      <c r="NJI155" s="250"/>
      <c r="NJJ155" s="250"/>
      <c r="NJK155" s="250"/>
      <c r="NJL155" s="250"/>
      <c r="NJM155" s="250"/>
      <c r="NJN155" s="250"/>
      <c r="NJO155" s="250"/>
      <c r="NJP155" s="250"/>
      <c r="NJQ155" s="250"/>
      <c r="NJR155" s="250"/>
      <c r="NJS155" s="250"/>
      <c r="NJT155" s="250"/>
      <c r="NJU155" s="250"/>
      <c r="NJV155" s="250"/>
      <c r="NJW155" s="250"/>
      <c r="NJX155" s="250"/>
      <c r="NJY155" s="250"/>
      <c r="NJZ155" s="250"/>
      <c r="NKA155" s="250"/>
      <c r="NKB155" s="250"/>
      <c r="NKC155" s="250"/>
      <c r="NKD155" s="250"/>
      <c r="NKE155" s="250"/>
      <c r="NKF155" s="250"/>
      <c r="NKG155" s="250"/>
      <c r="NKH155" s="250"/>
      <c r="NKI155" s="250"/>
      <c r="NKJ155" s="250"/>
      <c r="NKK155" s="250"/>
      <c r="NKL155" s="250"/>
      <c r="NKM155" s="250"/>
      <c r="NKN155" s="250"/>
      <c r="NKO155" s="250"/>
      <c r="NKP155" s="250"/>
      <c r="NKQ155" s="250"/>
      <c r="NKR155" s="250"/>
      <c r="NKS155" s="250"/>
      <c r="NKT155" s="250"/>
      <c r="NKU155" s="250"/>
      <c r="NKV155" s="250"/>
      <c r="NKW155" s="250"/>
      <c r="NKX155" s="250"/>
      <c r="NKY155" s="250"/>
      <c r="NKZ155" s="250"/>
      <c r="NLA155" s="250"/>
      <c r="NLB155" s="250"/>
      <c r="NLC155" s="250"/>
      <c r="NLD155" s="250"/>
      <c r="NLE155" s="250"/>
      <c r="NLF155" s="250"/>
      <c r="NLG155" s="250"/>
      <c r="NLH155" s="250"/>
      <c r="NLI155" s="250"/>
      <c r="NLJ155" s="250"/>
      <c r="NLK155" s="250"/>
      <c r="NLL155" s="250"/>
      <c r="NLM155" s="250"/>
      <c r="NLN155" s="250"/>
      <c r="NLO155" s="250"/>
      <c r="NLP155" s="250"/>
      <c r="NLQ155" s="250"/>
      <c r="NLR155" s="250"/>
      <c r="NLS155" s="250"/>
      <c r="NLT155" s="250"/>
      <c r="NLU155" s="250"/>
      <c r="NLV155" s="250"/>
      <c r="NLW155" s="250"/>
      <c r="NLX155" s="250"/>
      <c r="NLY155" s="250"/>
      <c r="NLZ155" s="250"/>
      <c r="NMA155" s="250"/>
      <c r="NMB155" s="250"/>
      <c r="NMC155" s="250"/>
      <c r="NMD155" s="250"/>
      <c r="NME155" s="250"/>
      <c r="NMF155" s="250"/>
      <c r="NMG155" s="250"/>
      <c r="NMH155" s="250"/>
      <c r="NMI155" s="250"/>
      <c r="NMJ155" s="250"/>
      <c r="NMK155" s="250"/>
      <c r="NML155" s="250"/>
      <c r="NMM155" s="250"/>
      <c r="NMN155" s="250"/>
      <c r="NMO155" s="250"/>
      <c r="NMP155" s="250"/>
      <c r="NMQ155" s="250"/>
      <c r="NMR155" s="250"/>
      <c r="NMS155" s="250"/>
      <c r="NMT155" s="250"/>
      <c r="NMU155" s="250"/>
      <c r="NMV155" s="250"/>
      <c r="NMW155" s="250"/>
      <c r="NMX155" s="250"/>
      <c r="NMY155" s="250"/>
      <c r="NMZ155" s="250"/>
      <c r="NNA155" s="250"/>
      <c r="NNB155" s="250"/>
      <c r="NNC155" s="250"/>
      <c r="NND155" s="250"/>
      <c r="NNE155" s="250"/>
      <c r="NNF155" s="250"/>
      <c r="NNG155" s="250"/>
      <c r="NNH155" s="250"/>
      <c r="NNI155" s="250"/>
      <c r="NNJ155" s="250"/>
      <c r="NNK155" s="250"/>
      <c r="NNL155" s="250"/>
      <c r="NNM155" s="250"/>
      <c r="NNN155" s="250"/>
      <c r="NNO155" s="250"/>
      <c r="NNP155" s="250"/>
      <c r="NNQ155" s="250"/>
      <c r="NNR155" s="250"/>
      <c r="NNS155" s="250"/>
      <c r="NNT155" s="250"/>
      <c r="NNU155" s="250"/>
      <c r="NNV155" s="250"/>
      <c r="NNW155" s="250"/>
      <c r="NNX155" s="250"/>
      <c r="NNY155" s="250"/>
      <c r="NNZ155" s="250"/>
      <c r="NOA155" s="250"/>
      <c r="NOB155" s="250"/>
      <c r="NOC155" s="250"/>
      <c r="NOD155" s="250"/>
      <c r="NOE155" s="250"/>
      <c r="NOF155" s="250"/>
      <c r="NOG155" s="250"/>
      <c r="NOH155" s="250"/>
      <c r="NOI155" s="250"/>
      <c r="NOJ155" s="250"/>
      <c r="NOK155" s="250"/>
      <c r="NOL155" s="250"/>
      <c r="NOM155" s="250"/>
      <c r="NON155" s="250"/>
      <c r="NOO155" s="250"/>
      <c r="NOP155" s="250"/>
      <c r="NOQ155" s="250"/>
      <c r="NOR155" s="250"/>
      <c r="NOS155" s="250"/>
      <c r="NOT155" s="250"/>
      <c r="NOU155" s="250"/>
      <c r="NOV155" s="250"/>
      <c r="NOW155" s="250"/>
      <c r="NOX155" s="250"/>
      <c r="NOY155" s="250"/>
      <c r="NOZ155" s="250"/>
      <c r="NPA155" s="250"/>
      <c r="NPB155" s="250"/>
      <c r="NPC155" s="250"/>
      <c r="NPD155" s="250"/>
      <c r="NPE155" s="250"/>
      <c r="NPF155" s="250"/>
      <c r="NPG155" s="250"/>
      <c r="NPH155" s="250"/>
      <c r="NPI155" s="250"/>
      <c r="NPJ155" s="250"/>
      <c r="NPK155" s="250"/>
      <c r="NPL155" s="250"/>
      <c r="NPM155" s="250"/>
      <c r="NPN155" s="250"/>
      <c r="NPO155" s="250"/>
      <c r="NPP155" s="250"/>
      <c r="NPQ155" s="250"/>
      <c r="NPR155" s="250"/>
      <c r="NPS155" s="250"/>
      <c r="NPT155" s="250"/>
      <c r="NPU155" s="250"/>
      <c r="NPV155" s="250"/>
      <c r="NPW155" s="250"/>
      <c r="NPX155" s="250"/>
      <c r="NPY155" s="250"/>
      <c r="NPZ155" s="250"/>
      <c r="NQA155" s="250"/>
      <c r="NQB155" s="250"/>
      <c r="NQC155" s="250"/>
      <c r="NQD155" s="250"/>
      <c r="NQE155" s="250"/>
      <c r="NQF155" s="250"/>
      <c r="NQG155" s="250"/>
      <c r="NQH155" s="250"/>
      <c r="NQI155" s="250"/>
      <c r="NQJ155" s="250"/>
      <c r="NQK155" s="250"/>
      <c r="NQL155" s="250"/>
      <c r="NQM155" s="250"/>
      <c r="NQN155" s="250"/>
      <c r="NQO155" s="250"/>
      <c r="NQP155" s="250"/>
      <c r="NQQ155" s="250"/>
      <c r="NQR155" s="250"/>
      <c r="NQS155" s="250"/>
      <c r="NQT155" s="250"/>
      <c r="NQU155" s="250"/>
      <c r="NQV155" s="250"/>
      <c r="NQW155" s="250"/>
      <c r="NQX155" s="250"/>
      <c r="NQY155" s="250"/>
      <c r="NQZ155" s="250"/>
      <c r="NRA155" s="250"/>
      <c r="NRB155" s="250"/>
      <c r="NRC155" s="250"/>
      <c r="NRD155" s="250"/>
      <c r="NRE155" s="250"/>
      <c r="NRF155" s="250"/>
      <c r="NRG155" s="250"/>
      <c r="NRH155" s="250"/>
      <c r="NRI155" s="250"/>
      <c r="NRJ155" s="250"/>
      <c r="NRK155" s="250"/>
      <c r="NRL155" s="250"/>
      <c r="NRM155" s="250"/>
      <c r="NRN155" s="250"/>
      <c r="NRO155" s="250"/>
      <c r="NRP155" s="250"/>
      <c r="NRQ155" s="250"/>
      <c r="NRR155" s="250"/>
      <c r="NRS155" s="250"/>
      <c r="NRT155" s="250"/>
      <c r="NRU155" s="250"/>
      <c r="NRV155" s="250"/>
      <c r="NRW155" s="250"/>
      <c r="NRX155" s="250"/>
      <c r="NRY155" s="250"/>
      <c r="NRZ155" s="250"/>
      <c r="NSA155" s="250"/>
      <c r="NSB155" s="250"/>
      <c r="NSC155" s="250"/>
      <c r="NSD155" s="250"/>
      <c r="NSE155" s="250"/>
      <c r="NSF155" s="250"/>
      <c r="NSG155" s="250"/>
      <c r="NSH155" s="250"/>
      <c r="NSI155" s="250"/>
      <c r="NSJ155" s="250"/>
      <c r="NSK155" s="250"/>
      <c r="NSL155" s="250"/>
      <c r="NSM155" s="250"/>
      <c r="NSN155" s="250"/>
      <c r="NSO155" s="250"/>
      <c r="NSP155" s="250"/>
      <c r="NSQ155" s="250"/>
      <c r="NSR155" s="250"/>
      <c r="NSS155" s="250"/>
      <c r="NST155" s="250"/>
      <c r="NSU155" s="250"/>
      <c r="NSV155" s="250"/>
      <c r="NSW155" s="250"/>
      <c r="NSX155" s="250"/>
      <c r="NSY155" s="250"/>
      <c r="NSZ155" s="250"/>
      <c r="NTA155" s="250"/>
      <c r="NTB155" s="250"/>
      <c r="NTC155" s="250"/>
      <c r="NTD155" s="250"/>
      <c r="NTE155" s="250"/>
      <c r="NTF155" s="250"/>
      <c r="NTG155" s="250"/>
      <c r="NTH155" s="250"/>
      <c r="NTI155" s="250"/>
      <c r="NTJ155" s="250"/>
      <c r="NTK155" s="250"/>
      <c r="NTL155" s="250"/>
      <c r="NTM155" s="250"/>
      <c r="NTN155" s="250"/>
      <c r="NTO155" s="250"/>
      <c r="NTP155" s="250"/>
      <c r="NTQ155" s="250"/>
      <c r="NTR155" s="250"/>
      <c r="NTS155" s="250"/>
      <c r="NTT155" s="250"/>
      <c r="NTU155" s="250"/>
      <c r="NTV155" s="250"/>
      <c r="NTW155" s="250"/>
      <c r="NTX155" s="250"/>
      <c r="NTY155" s="250"/>
      <c r="NTZ155" s="250"/>
      <c r="NUA155" s="250"/>
      <c r="NUB155" s="250"/>
      <c r="NUC155" s="250"/>
      <c r="NUD155" s="250"/>
      <c r="NUE155" s="250"/>
      <c r="NUF155" s="250"/>
      <c r="NUG155" s="250"/>
      <c r="NUH155" s="250"/>
      <c r="NUI155" s="250"/>
      <c r="NUJ155" s="250"/>
      <c r="NUK155" s="250"/>
      <c r="NUL155" s="250"/>
      <c r="NUM155" s="250"/>
      <c r="NUN155" s="250"/>
      <c r="NUO155" s="250"/>
      <c r="NUP155" s="250"/>
      <c r="NUQ155" s="250"/>
      <c r="NUR155" s="250"/>
      <c r="NUS155" s="250"/>
      <c r="NUT155" s="250"/>
      <c r="NUU155" s="250"/>
      <c r="NUV155" s="250"/>
      <c r="NUW155" s="250"/>
      <c r="NUX155" s="250"/>
      <c r="NUY155" s="250"/>
      <c r="NUZ155" s="250"/>
      <c r="NVA155" s="250"/>
      <c r="NVB155" s="250"/>
      <c r="NVC155" s="250"/>
      <c r="NVD155" s="250"/>
      <c r="NVE155" s="250"/>
      <c r="NVF155" s="250"/>
      <c r="NVG155" s="250"/>
      <c r="NVH155" s="250"/>
      <c r="NVI155" s="250"/>
      <c r="NVJ155" s="250"/>
      <c r="NVK155" s="250"/>
      <c r="NVL155" s="250"/>
      <c r="NVM155" s="250"/>
      <c r="NVN155" s="250"/>
      <c r="NVO155" s="250"/>
      <c r="NVP155" s="250"/>
      <c r="NVQ155" s="250"/>
      <c r="NVR155" s="250"/>
      <c r="NVS155" s="250"/>
      <c r="NVT155" s="250"/>
      <c r="NVU155" s="250"/>
      <c r="NVV155" s="250"/>
      <c r="NVW155" s="250"/>
      <c r="NVX155" s="250"/>
      <c r="NVY155" s="250"/>
      <c r="NVZ155" s="250"/>
      <c r="NWA155" s="250"/>
      <c r="NWB155" s="250"/>
      <c r="NWC155" s="250"/>
      <c r="NWD155" s="250"/>
      <c r="NWE155" s="250"/>
      <c r="NWF155" s="250"/>
      <c r="NWG155" s="250"/>
      <c r="NWH155" s="250"/>
      <c r="NWI155" s="250"/>
      <c r="NWJ155" s="250"/>
      <c r="NWK155" s="250"/>
      <c r="NWL155" s="250"/>
      <c r="NWM155" s="250"/>
      <c r="NWN155" s="250"/>
      <c r="NWO155" s="250"/>
      <c r="NWP155" s="250"/>
      <c r="NWQ155" s="250"/>
      <c r="NWR155" s="250"/>
      <c r="NWS155" s="250"/>
      <c r="NWT155" s="250"/>
      <c r="NWU155" s="250"/>
      <c r="NWV155" s="250"/>
      <c r="NWW155" s="250"/>
      <c r="NWX155" s="250"/>
      <c r="NWY155" s="250"/>
      <c r="NWZ155" s="250"/>
      <c r="NXA155" s="250"/>
      <c r="NXB155" s="250"/>
      <c r="NXC155" s="250"/>
      <c r="NXD155" s="250"/>
      <c r="NXE155" s="250"/>
      <c r="NXF155" s="250"/>
      <c r="NXG155" s="250"/>
      <c r="NXH155" s="250"/>
      <c r="NXI155" s="250"/>
      <c r="NXJ155" s="250"/>
      <c r="NXK155" s="250"/>
      <c r="NXL155" s="250"/>
      <c r="NXM155" s="250"/>
      <c r="NXN155" s="250"/>
      <c r="NXO155" s="250"/>
      <c r="NXP155" s="250"/>
      <c r="NXQ155" s="250"/>
      <c r="NXR155" s="250"/>
      <c r="NXS155" s="250"/>
      <c r="NXT155" s="250"/>
      <c r="NXU155" s="250"/>
      <c r="NXV155" s="250"/>
      <c r="NXW155" s="250"/>
      <c r="NXX155" s="250"/>
      <c r="NXY155" s="250"/>
      <c r="NXZ155" s="250"/>
      <c r="NYA155" s="250"/>
      <c r="NYB155" s="250"/>
      <c r="NYC155" s="250"/>
      <c r="NYD155" s="250"/>
      <c r="NYE155" s="250"/>
      <c r="NYF155" s="250"/>
      <c r="NYG155" s="250"/>
      <c r="NYH155" s="250"/>
      <c r="NYI155" s="250"/>
      <c r="NYJ155" s="250"/>
      <c r="NYK155" s="250"/>
      <c r="NYL155" s="250"/>
      <c r="NYM155" s="250"/>
      <c r="NYN155" s="250"/>
      <c r="NYO155" s="250"/>
      <c r="NYP155" s="250"/>
      <c r="NYQ155" s="250"/>
      <c r="NYR155" s="250"/>
      <c r="NYS155" s="250"/>
      <c r="NYT155" s="250"/>
      <c r="NYU155" s="250"/>
      <c r="NYV155" s="250"/>
      <c r="NYW155" s="250"/>
      <c r="NYX155" s="250"/>
      <c r="NYY155" s="250"/>
      <c r="NYZ155" s="250"/>
      <c r="NZA155" s="250"/>
      <c r="NZB155" s="250"/>
      <c r="NZC155" s="250"/>
      <c r="NZD155" s="250"/>
      <c r="NZE155" s="250"/>
      <c r="NZF155" s="250"/>
      <c r="NZG155" s="250"/>
      <c r="NZH155" s="250"/>
      <c r="NZI155" s="250"/>
      <c r="NZJ155" s="250"/>
      <c r="NZK155" s="250"/>
      <c r="NZL155" s="250"/>
      <c r="NZM155" s="250"/>
      <c r="NZN155" s="250"/>
      <c r="NZO155" s="250"/>
      <c r="NZP155" s="250"/>
      <c r="NZQ155" s="250"/>
      <c r="NZR155" s="250"/>
      <c r="NZS155" s="250"/>
      <c r="NZT155" s="250"/>
      <c r="NZU155" s="250"/>
      <c r="NZV155" s="250"/>
      <c r="NZW155" s="250"/>
      <c r="NZX155" s="250"/>
      <c r="NZY155" s="250"/>
      <c r="NZZ155" s="250"/>
      <c r="OAA155" s="250"/>
      <c r="OAB155" s="250"/>
      <c r="OAC155" s="250"/>
      <c r="OAD155" s="250"/>
      <c r="OAE155" s="250"/>
      <c r="OAF155" s="250"/>
      <c r="OAG155" s="250"/>
      <c r="OAH155" s="250"/>
      <c r="OAI155" s="250"/>
      <c r="OAJ155" s="250"/>
      <c r="OAK155" s="250"/>
      <c r="OAL155" s="250"/>
      <c r="OAM155" s="250"/>
      <c r="OAN155" s="250"/>
      <c r="OAO155" s="250"/>
      <c r="OAP155" s="250"/>
      <c r="OAQ155" s="250"/>
      <c r="OAR155" s="250"/>
      <c r="OAS155" s="250"/>
      <c r="OAT155" s="250"/>
      <c r="OAU155" s="250"/>
      <c r="OAV155" s="250"/>
      <c r="OAW155" s="250"/>
      <c r="OAX155" s="250"/>
      <c r="OAY155" s="250"/>
      <c r="OAZ155" s="250"/>
      <c r="OBA155" s="250"/>
      <c r="OBB155" s="250"/>
      <c r="OBC155" s="250"/>
      <c r="OBD155" s="250"/>
      <c r="OBE155" s="250"/>
      <c r="OBF155" s="250"/>
      <c r="OBG155" s="250"/>
      <c r="OBH155" s="250"/>
      <c r="OBI155" s="250"/>
      <c r="OBJ155" s="250"/>
      <c r="OBK155" s="250"/>
      <c r="OBL155" s="250"/>
      <c r="OBM155" s="250"/>
      <c r="OBN155" s="250"/>
      <c r="OBO155" s="250"/>
      <c r="OBP155" s="250"/>
      <c r="OBQ155" s="250"/>
      <c r="OBR155" s="250"/>
      <c r="OBS155" s="250"/>
      <c r="OBT155" s="250"/>
      <c r="OBU155" s="250"/>
      <c r="OBV155" s="250"/>
      <c r="OBW155" s="250"/>
      <c r="OBX155" s="250"/>
      <c r="OBY155" s="250"/>
      <c r="OBZ155" s="250"/>
      <c r="OCA155" s="250"/>
      <c r="OCB155" s="250"/>
      <c r="OCC155" s="250"/>
      <c r="OCD155" s="250"/>
      <c r="OCE155" s="250"/>
      <c r="OCF155" s="250"/>
      <c r="OCG155" s="250"/>
      <c r="OCH155" s="250"/>
      <c r="OCI155" s="250"/>
      <c r="OCJ155" s="250"/>
      <c r="OCK155" s="250"/>
      <c r="OCL155" s="250"/>
      <c r="OCM155" s="250"/>
      <c r="OCN155" s="250"/>
      <c r="OCO155" s="250"/>
      <c r="OCP155" s="250"/>
      <c r="OCQ155" s="250"/>
      <c r="OCR155" s="250"/>
      <c r="OCS155" s="250"/>
      <c r="OCT155" s="250"/>
      <c r="OCU155" s="250"/>
      <c r="OCV155" s="250"/>
      <c r="OCW155" s="250"/>
      <c r="OCX155" s="250"/>
      <c r="OCY155" s="250"/>
      <c r="OCZ155" s="250"/>
      <c r="ODA155" s="250"/>
      <c r="ODB155" s="250"/>
      <c r="ODC155" s="250"/>
      <c r="ODD155" s="250"/>
      <c r="ODE155" s="250"/>
      <c r="ODF155" s="250"/>
      <c r="ODG155" s="250"/>
      <c r="ODH155" s="250"/>
      <c r="ODI155" s="250"/>
      <c r="ODJ155" s="250"/>
      <c r="ODK155" s="250"/>
      <c r="ODL155" s="250"/>
      <c r="ODM155" s="250"/>
      <c r="ODN155" s="250"/>
      <c r="ODO155" s="250"/>
      <c r="ODP155" s="250"/>
      <c r="ODQ155" s="250"/>
      <c r="ODR155" s="250"/>
      <c r="ODS155" s="250"/>
      <c r="ODT155" s="250"/>
      <c r="ODU155" s="250"/>
      <c r="ODV155" s="250"/>
      <c r="ODW155" s="250"/>
      <c r="ODX155" s="250"/>
      <c r="ODY155" s="250"/>
      <c r="ODZ155" s="250"/>
      <c r="OEA155" s="250"/>
      <c r="OEB155" s="250"/>
      <c r="OEC155" s="250"/>
      <c r="OED155" s="250"/>
      <c r="OEE155" s="250"/>
      <c r="OEF155" s="250"/>
      <c r="OEG155" s="250"/>
      <c r="OEH155" s="250"/>
      <c r="OEI155" s="250"/>
      <c r="OEJ155" s="250"/>
      <c r="OEK155" s="250"/>
      <c r="OEL155" s="250"/>
      <c r="OEM155" s="250"/>
      <c r="OEN155" s="250"/>
      <c r="OEO155" s="250"/>
      <c r="OEP155" s="250"/>
      <c r="OEQ155" s="250"/>
      <c r="OER155" s="250"/>
      <c r="OES155" s="250"/>
      <c r="OET155" s="250"/>
      <c r="OEU155" s="250"/>
      <c r="OEV155" s="250"/>
      <c r="OEW155" s="250"/>
      <c r="OEX155" s="250"/>
      <c r="OEY155" s="250"/>
      <c r="OEZ155" s="250"/>
      <c r="OFA155" s="250"/>
      <c r="OFB155" s="250"/>
      <c r="OFC155" s="250"/>
      <c r="OFD155" s="250"/>
      <c r="OFE155" s="250"/>
      <c r="OFF155" s="250"/>
      <c r="OFG155" s="250"/>
      <c r="OFH155" s="250"/>
      <c r="OFI155" s="250"/>
      <c r="OFJ155" s="250"/>
      <c r="OFK155" s="250"/>
      <c r="OFL155" s="250"/>
      <c r="OFM155" s="250"/>
      <c r="OFN155" s="250"/>
      <c r="OFO155" s="250"/>
      <c r="OFP155" s="250"/>
      <c r="OFQ155" s="250"/>
      <c r="OFR155" s="250"/>
      <c r="OFS155" s="250"/>
      <c r="OFT155" s="250"/>
      <c r="OFU155" s="250"/>
      <c r="OFV155" s="250"/>
      <c r="OFW155" s="250"/>
      <c r="OFX155" s="250"/>
      <c r="OFY155" s="250"/>
      <c r="OFZ155" s="250"/>
      <c r="OGA155" s="250"/>
      <c r="OGB155" s="250"/>
      <c r="OGC155" s="250"/>
      <c r="OGD155" s="250"/>
      <c r="OGE155" s="250"/>
      <c r="OGF155" s="250"/>
      <c r="OGG155" s="250"/>
      <c r="OGH155" s="250"/>
      <c r="OGI155" s="250"/>
      <c r="OGJ155" s="250"/>
      <c r="OGK155" s="250"/>
      <c r="OGL155" s="250"/>
      <c r="OGM155" s="250"/>
      <c r="OGN155" s="250"/>
      <c r="OGO155" s="250"/>
      <c r="OGP155" s="250"/>
      <c r="OGQ155" s="250"/>
      <c r="OGR155" s="250"/>
      <c r="OGS155" s="250"/>
      <c r="OGT155" s="250"/>
      <c r="OGU155" s="250"/>
      <c r="OGV155" s="250"/>
      <c r="OGW155" s="250"/>
      <c r="OGX155" s="250"/>
      <c r="OGY155" s="250"/>
      <c r="OGZ155" s="250"/>
      <c r="OHA155" s="250"/>
      <c r="OHB155" s="250"/>
      <c r="OHC155" s="250"/>
      <c r="OHD155" s="250"/>
      <c r="OHE155" s="250"/>
      <c r="OHF155" s="250"/>
      <c r="OHG155" s="250"/>
      <c r="OHH155" s="250"/>
      <c r="OHI155" s="250"/>
      <c r="OHJ155" s="250"/>
      <c r="OHK155" s="250"/>
      <c r="OHL155" s="250"/>
      <c r="OHM155" s="250"/>
      <c r="OHN155" s="250"/>
      <c r="OHO155" s="250"/>
      <c r="OHP155" s="250"/>
      <c r="OHQ155" s="250"/>
      <c r="OHR155" s="250"/>
      <c r="OHS155" s="250"/>
      <c r="OHT155" s="250"/>
      <c r="OHU155" s="250"/>
      <c r="OHV155" s="250"/>
      <c r="OHW155" s="250"/>
      <c r="OHX155" s="250"/>
      <c r="OHY155" s="250"/>
      <c r="OHZ155" s="250"/>
      <c r="OIA155" s="250"/>
      <c r="OIB155" s="250"/>
      <c r="OIC155" s="250"/>
      <c r="OID155" s="250"/>
      <c r="OIE155" s="250"/>
      <c r="OIF155" s="250"/>
      <c r="OIG155" s="250"/>
      <c r="OIH155" s="250"/>
      <c r="OII155" s="250"/>
      <c r="OIJ155" s="250"/>
      <c r="OIK155" s="250"/>
      <c r="OIL155" s="250"/>
      <c r="OIM155" s="250"/>
      <c r="OIN155" s="250"/>
      <c r="OIO155" s="250"/>
      <c r="OIP155" s="250"/>
      <c r="OIQ155" s="250"/>
      <c r="OIR155" s="250"/>
      <c r="OIS155" s="250"/>
      <c r="OIT155" s="250"/>
      <c r="OIU155" s="250"/>
      <c r="OIV155" s="250"/>
      <c r="OIW155" s="250"/>
      <c r="OIX155" s="250"/>
      <c r="OIY155" s="250"/>
      <c r="OIZ155" s="250"/>
      <c r="OJA155" s="250"/>
      <c r="OJB155" s="250"/>
      <c r="OJC155" s="250"/>
      <c r="OJD155" s="250"/>
      <c r="OJE155" s="250"/>
      <c r="OJF155" s="250"/>
      <c r="OJG155" s="250"/>
      <c r="OJH155" s="250"/>
      <c r="OJI155" s="250"/>
      <c r="OJJ155" s="250"/>
      <c r="OJK155" s="250"/>
      <c r="OJL155" s="250"/>
      <c r="OJM155" s="250"/>
      <c r="OJN155" s="250"/>
      <c r="OJO155" s="250"/>
      <c r="OJP155" s="250"/>
      <c r="OJQ155" s="250"/>
      <c r="OJR155" s="250"/>
      <c r="OJS155" s="250"/>
      <c r="OJT155" s="250"/>
      <c r="OJU155" s="250"/>
      <c r="OJV155" s="250"/>
      <c r="OJW155" s="250"/>
      <c r="OJX155" s="250"/>
      <c r="OJY155" s="250"/>
      <c r="OJZ155" s="250"/>
      <c r="OKA155" s="250"/>
      <c r="OKB155" s="250"/>
      <c r="OKC155" s="250"/>
      <c r="OKD155" s="250"/>
      <c r="OKE155" s="250"/>
      <c r="OKF155" s="250"/>
      <c r="OKG155" s="250"/>
      <c r="OKH155" s="250"/>
      <c r="OKI155" s="250"/>
      <c r="OKJ155" s="250"/>
      <c r="OKK155" s="250"/>
      <c r="OKL155" s="250"/>
      <c r="OKM155" s="250"/>
      <c r="OKN155" s="250"/>
      <c r="OKO155" s="250"/>
      <c r="OKP155" s="250"/>
      <c r="OKQ155" s="250"/>
      <c r="OKR155" s="250"/>
      <c r="OKS155" s="250"/>
      <c r="OKT155" s="250"/>
      <c r="OKU155" s="250"/>
      <c r="OKV155" s="250"/>
      <c r="OKW155" s="250"/>
      <c r="OKX155" s="250"/>
      <c r="OKY155" s="250"/>
      <c r="OKZ155" s="250"/>
      <c r="OLA155" s="250"/>
      <c r="OLB155" s="250"/>
      <c r="OLC155" s="250"/>
      <c r="OLD155" s="250"/>
      <c r="OLE155" s="250"/>
      <c r="OLF155" s="250"/>
      <c r="OLG155" s="250"/>
      <c r="OLH155" s="250"/>
      <c r="OLI155" s="250"/>
      <c r="OLJ155" s="250"/>
      <c r="OLK155" s="250"/>
      <c r="OLL155" s="250"/>
      <c r="OLM155" s="250"/>
      <c r="OLN155" s="250"/>
      <c r="OLO155" s="250"/>
      <c r="OLP155" s="250"/>
      <c r="OLQ155" s="250"/>
      <c r="OLR155" s="250"/>
      <c r="OLS155" s="250"/>
      <c r="OLT155" s="250"/>
      <c r="OLU155" s="250"/>
      <c r="OLV155" s="250"/>
      <c r="OLW155" s="250"/>
      <c r="OLX155" s="250"/>
      <c r="OLY155" s="250"/>
      <c r="OLZ155" s="250"/>
      <c r="OMA155" s="250"/>
      <c r="OMB155" s="250"/>
      <c r="OMC155" s="250"/>
      <c r="OMD155" s="250"/>
      <c r="OME155" s="250"/>
      <c r="OMF155" s="250"/>
      <c r="OMG155" s="250"/>
      <c r="OMH155" s="250"/>
      <c r="OMI155" s="250"/>
      <c r="OMJ155" s="250"/>
      <c r="OMK155" s="250"/>
      <c r="OML155" s="250"/>
      <c r="OMM155" s="250"/>
      <c r="OMN155" s="250"/>
      <c r="OMO155" s="250"/>
      <c r="OMP155" s="250"/>
      <c r="OMQ155" s="250"/>
      <c r="OMR155" s="250"/>
      <c r="OMS155" s="250"/>
      <c r="OMT155" s="250"/>
      <c r="OMU155" s="250"/>
      <c r="OMV155" s="250"/>
      <c r="OMW155" s="250"/>
      <c r="OMX155" s="250"/>
      <c r="OMY155" s="250"/>
      <c r="OMZ155" s="250"/>
      <c r="ONA155" s="250"/>
      <c r="ONB155" s="250"/>
      <c r="ONC155" s="250"/>
      <c r="OND155" s="250"/>
      <c r="ONE155" s="250"/>
      <c r="ONF155" s="250"/>
      <c r="ONG155" s="250"/>
      <c r="ONH155" s="250"/>
      <c r="ONI155" s="250"/>
      <c r="ONJ155" s="250"/>
      <c r="ONK155" s="250"/>
      <c r="ONL155" s="250"/>
      <c r="ONM155" s="250"/>
      <c r="ONN155" s="250"/>
      <c r="ONO155" s="250"/>
      <c r="ONP155" s="250"/>
      <c r="ONQ155" s="250"/>
      <c r="ONR155" s="250"/>
      <c r="ONS155" s="250"/>
      <c r="ONT155" s="250"/>
      <c r="ONU155" s="250"/>
      <c r="ONV155" s="250"/>
      <c r="ONW155" s="250"/>
      <c r="ONX155" s="250"/>
      <c r="ONY155" s="250"/>
      <c r="ONZ155" s="250"/>
      <c r="OOA155" s="250"/>
      <c r="OOB155" s="250"/>
      <c r="OOC155" s="250"/>
      <c r="OOD155" s="250"/>
      <c r="OOE155" s="250"/>
      <c r="OOF155" s="250"/>
      <c r="OOG155" s="250"/>
      <c r="OOH155" s="250"/>
      <c r="OOI155" s="250"/>
      <c r="OOJ155" s="250"/>
      <c r="OOK155" s="250"/>
      <c r="OOL155" s="250"/>
      <c r="OOM155" s="250"/>
      <c r="OON155" s="250"/>
      <c r="OOO155" s="250"/>
      <c r="OOP155" s="250"/>
      <c r="OOQ155" s="250"/>
      <c r="OOR155" s="250"/>
      <c r="OOS155" s="250"/>
      <c r="OOT155" s="250"/>
      <c r="OOU155" s="250"/>
      <c r="OOV155" s="250"/>
      <c r="OOW155" s="250"/>
      <c r="OOX155" s="250"/>
      <c r="OOY155" s="250"/>
      <c r="OOZ155" s="250"/>
      <c r="OPA155" s="250"/>
      <c r="OPB155" s="250"/>
      <c r="OPC155" s="250"/>
      <c r="OPD155" s="250"/>
      <c r="OPE155" s="250"/>
      <c r="OPF155" s="250"/>
      <c r="OPG155" s="250"/>
      <c r="OPH155" s="250"/>
      <c r="OPI155" s="250"/>
      <c r="OPJ155" s="250"/>
      <c r="OPK155" s="250"/>
      <c r="OPL155" s="250"/>
      <c r="OPM155" s="250"/>
      <c r="OPN155" s="250"/>
      <c r="OPO155" s="250"/>
      <c r="OPP155" s="250"/>
      <c r="OPQ155" s="250"/>
      <c r="OPR155" s="250"/>
      <c r="OPS155" s="250"/>
      <c r="OPT155" s="250"/>
      <c r="OPU155" s="250"/>
      <c r="OPV155" s="250"/>
      <c r="OPW155" s="250"/>
      <c r="OPX155" s="250"/>
      <c r="OPY155" s="250"/>
      <c r="OPZ155" s="250"/>
      <c r="OQA155" s="250"/>
      <c r="OQB155" s="250"/>
      <c r="OQC155" s="250"/>
      <c r="OQD155" s="250"/>
      <c r="OQE155" s="250"/>
      <c r="OQF155" s="250"/>
      <c r="OQG155" s="250"/>
      <c r="OQH155" s="250"/>
      <c r="OQI155" s="250"/>
      <c r="OQJ155" s="250"/>
      <c r="OQK155" s="250"/>
      <c r="OQL155" s="250"/>
      <c r="OQM155" s="250"/>
      <c r="OQN155" s="250"/>
      <c r="OQO155" s="250"/>
      <c r="OQP155" s="250"/>
      <c r="OQQ155" s="250"/>
      <c r="OQR155" s="250"/>
      <c r="OQS155" s="250"/>
      <c r="OQT155" s="250"/>
      <c r="OQU155" s="250"/>
      <c r="OQV155" s="250"/>
      <c r="OQW155" s="250"/>
      <c r="OQX155" s="250"/>
      <c r="OQY155" s="250"/>
      <c r="OQZ155" s="250"/>
      <c r="ORA155" s="250"/>
      <c r="ORB155" s="250"/>
      <c r="ORC155" s="250"/>
      <c r="ORD155" s="250"/>
      <c r="ORE155" s="250"/>
      <c r="ORF155" s="250"/>
      <c r="ORG155" s="250"/>
      <c r="ORH155" s="250"/>
      <c r="ORI155" s="250"/>
      <c r="ORJ155" s="250"/>
      <c r="ORK155" s="250"/>
      <c r="ORL155" s="250"/>
      <c r="ORM155" s="250"/>
      <c r="ORN155" s="250"/>
      <c r="ORO155" s="250"/>
      <c r="ORP155" s="250"/>
      <c r="ORQ155" s="250"/>
      <c r="ORR155" s="250"/>
      <c r="ORS155" s="250"/>
      <c r="ORT155" s="250"/>
      <c r="ORU155" s="250"/>
      <c r="ORV155" s="250"/>
      <c r="ORW155" s="250"/>
      <c r="ORX155" s="250"/>
      <c r="ORY155" s="250"/>
      <c r="ORZ155" s="250"/>
      <c r="OSA155" s="250"/>
      <c r="OSB155" s="250"/>
      <c r="OSC155" s="250"/>
      <c r="OSD155" s="250"/>
      <c r="OSE155" s="250"/>
      <c r="OSF155" s="250"/>
      <c r="OSG155" s="250"/>
      <c r="OSH155" s="250"/>
      <c r="OSI155" s="250"/>
      <c r="OSJ155" s="250"/>
      <c r="OSK155" s="250"/>
      <c r="OSL155" s="250"/>
      <c r="OSM155" s="250"/>
      <c r="OSN155" s="250"/>
      <c r="OSO155" s="250"/>
      <c r="OSP155" s="250"/>
      <c r="OSQ155" s="250"/>
      <c r="OSR155" s="250"/>
      <c r="OSS155" s="250"/>
      <c r="OST155" s="250"/>
      <c r="OSU155" s="250"/>
      <c r="OSV155" s="250"/>
      <c r="OSW155" s="250"/>
      <c r="OSX155" s="250"/>
      <c r="OSY155" s="250"/>
      <c r="OSZ155" s="250"/>
      <c r="OTA155" s="250"/>
      <c r="OTB155" s="250"/>
      <c r="OTC155" s="250"/>
      <c r="OTD155" s="250"/>
      <c r="OTE155" s="250"/>
      <c r="OTF155" s="250"/>
      <c r="OTG155" s="250"/>
      <c r="OTH155" s="250"/>
      <c r="OTI155" s="250"/>
      <c r="OTJ155" s="250"/>
      <c r="OTK155" s="250"/>
      <c r="OTL155" s="250"/>
      <c r="OTM155" s="250"/>
      <c r="OTN155" s="250"/>
      <c r="OTO155" s="250"/>
      <c r="OTP155" s="250"/>
      <c r="OTQ155" s="250"/>
      <c r="OTR155" s="250"/>
      <c r="OTS155" s="250"/>
      <c r="OTT155" s="250"/>
      <c r="OTU155" s="250"/>
      <c r="OTV155" s="250"/>
      <c r="OTW155" s="250"/>
      <c r="OTX155" s="250"/>
      <c r="OTY155" s="250"/>
      <c r="OTZ155" s="250"/>
      <c r="OUA155" s="250"/>
      <c r="OUB155" s="250"/>
      <c r="OUC155" s="250"/>
      <c r="OUD155" s="250"/>
      <c r="OUE155" s="250"/>
      <c r="OUF155" s="250"/>
      <c r="OUG155" s="250"/>
      <c r="OUH155" s="250"/>
      <c r="OUI155" s="250"/>
      <c r="OUJ155" s="250"/>
      <c r="OUK155" s="250"/>
      <c r="OUL155" s="250"/>
      <c r="OUM155" s="250"/>
      <c r="OUN155" s="250"/>
      <c r="OUO155" s="250"/>
      <c r="OUP155" s="250"/>
      <c r="OUQ155" s="250"/>
      <c r="OUR155" s="250"/>
      <c r="OUS155" s="250"/>
      <c r="OUT155" s="250"/>
      <c r="OUU155" s="250"/>
      <c r="OUV155" s="250"/>
      <c r="OUW155" s="250"/>
      <c r="OUX155" s="250"/>
      <c r="OUY155" s="250"/>
      <c r="OUZ155" s="250"/>
      <c r="OVA155" s="250"/>
      <c r="OVB155" s="250"/>
      <c r="OVC155" s="250"/>
      <c r="OVD155" s="250"/>
      <c r="OVE155" s="250"/>
      <c r="OVF155" s="250"/>
      <c r="OVG155" s="250"/>
      <c r="OVH155" s="250"/>
      <c r="OVI155" s="250"/>
      <c r="OVJ155" s="250"/>
      <c r="OVK155" s="250"/>
      <c r="OVL155" s="250"/>
      <c r="OVM155" s="250"/>
      <c r="OVN155" s="250"/>
      <c r="OVO155" s="250"/>
      <c r="OVP155" s="250"/>
      <c r="OVQ155" s="250"/>
      <c r="OVR155" s="250"/>
      <c r="OVS155" s="250"/>
      <c r="OVT155" s="250"/>
      <c r="OVU155" s="250"/>
      <c r="OVV155" s="250"/>
      <c r="OVW155" s="250"/>
      <c r="OVX155" s="250"/>
      <c r="OVY155" s="250"/>
      <c r="OVZ155" s="250"/>
      <c r="OWA155" s="250"/>
      <c r="OWB155" s="250"/>
      <c r="OWC155" s="250"/>
      <c r="OWD155" s="250"/>
      <c r="OWE155" s="250"/>
      <c r="OWF155" s="250"/>
      <c r="OWG155" s="250"/>
      <c r="OWH155" s="250"/>
      <c r="OWI155" s="250"/>
      <c r="OWJ155" s="250"/>
      <c r="OWK155" s="250"/>
      <c r="OWL155" s="250"/>
      <c r="OWM155" s="250"/>
      <c r="OWN155" s="250"/>
      <c r="OWO155" s="250"/>
      <c r="OWP155" s="250"/>
      <c r="OWQ155" s="250"/>
      <c r="OWR155" s="250"/>
      <c r="OWS155" s="250"/>
      <c r="OWT155" s="250"/>
      <c r="OWU155" s="250"/>
      <c r="OWV155" s="250"/>
      <c r="OWW155" s="250"/>
      <c r="OWX155" s="250"/>
      <c r="OWY155" s="250"/>
      <c r="OWZ155" s="250"/>
      <c r="OXA155" s="250"/>
      <c r="OXB155" s="250"/>
      <c r="OXC155" s="250"/>
      <c r="OXD155" s="250"/>
      <c r="OXE155" s="250"/>
      <c r="OXF155" s="250"/>
      <c r="OXG155" s="250"/>
      <c r="OXH155" s="250"/>
      <c r="OXI155" s="250"/>
      <c r="OXJ155" s="250"/>
      <c r="OXK155" s="250"/>
      <c r="OXL155" s="250"/>
      <c r="OXM155" s="250"/>
      <c r="OXN155" s="250"/>
      <c r="OXO155" s="250"/>
      <c r="OXP155" s="250"/>
      <c r="OXQ155" s="250"/>
      <c r="OXR155" s="250"/>
      <c r="OXS155" s="250"/>
      <c r="OXT155" s="250"/>
      <c r="OXU155" s="250"/>
      <c r="OXV155" s="250"/>
      <c r="OXW155" s="250"/>
      <c r="OXX155" s="250"/>
      <c r="OXY155" s="250"/>
      <c r="OXZ155" s="250"/>
      <c r="OYA155" s="250"/>
      <c r="OYB155" s="250"/>
      <c r="OYC155" s="250"/>
      <c r="OYD155" s="250"/>
      <c r="OYE155" s="250"/>
      <c r="OYF155" s="250"/>
      <c r="OYG155" s="250"/>
      <c r="OYH155" s="250"/>
      <c r="OYI155" s="250"/>
      <c r="OYJ155" s="250"/>
      <c r="OYK155" s="250"/>
      <c r="OYL155" s="250"/>
      <c r="OYM155" s="250"/>
      <c r="OYN155" s="250"/>
      <c r="OYO155" s="250"/>
      <c r="OYP155" s="250"/>
      <c r="OYQ155" s="250"/>
      <c r="OYR155" s="250"/>
      <c r="OYS155" s="250"/>
      <c r="OYT155" s="250"/>
      <c r="OYU155" s="250"/>
      <c r="OYV155" s="250"/>
      <c r="OYW155" s="250"/>
      <c r="OYX155" s="250"/>
      <c r="OYY155" s="250"/>
      <c r="OYZ155" s="250"/>
      <c r="OZA155" s="250"/>
      <c r="OZB155" s="250"/>
      <c r="OZC155" s="250"/>
      <c r="OZD155" s="250"/>
      <c r="OZE155" s="250"/>
      <c r="OZF155" s="250"/>
      <c r="OZG155" s="250"/>
      <c r="OZH155" s="250"/>
      <c r="OZI155" s="250"/>
      <c r="OZJ155" s="250"/>
      <c r="OZK155" s="250"/>
      <c r="OZL155" s="250"/>
      <c r="OZM155" s="250"/>
      <c r="OZN155" s="250"/>
      <c r="OZO155" s="250"/>
      <c r="OZP155" s="250"/>
      <c r="OZQ155" s="250"/>
      <c r="OZR155" s="250"/>
      <c r="OZS155" s="250"/>
      <c r="OZT155" s="250"/>
      <c r="OZU155" s="250"/>
      <c r="OZV155" s="250"/>
      <c r="OZW155" s="250"/>
      <c r="OZX155" s="250"/>
      <c r="OZY155" s="250"/>
      <c r="OZZ155" s="250"/>
      <c r="PAA155" s="250"/>
      <c r="PAB155" s="250"/>
      <c r="PAC155" s="250"/>
      <c r="PAD155" s="250"/>
      <c r="PAE155" s="250"/>
      <c r="PAF155" s="250"/>
      <c r="PAG155" s="250"/>
      <c r="PAH155" s="250"/>
      <c r="PAI155" s="250"/>
      <c r="PAJ155" s="250"/>
      <c r="PAK155" s="250"/>
      <c r="PAL155" s="250"/>
      <c r="PAM155" s="250"/>
      <c r="PAN155" s="250"/>
      <c r="PAO155" s="250"/>
      <c r="PAP155" s="250"/>
      <c r="PAQ155" s="250"/>
      <c r="PAR155" s="250"/>
      <c r="PAS155" s="250"/>
      <c r="PAT155" s="250"/>
      <c r="PAU155" s="250"/>
      <c r="PAV155" s="250"/>
      <c r="PAW155" s="250"/>
      <c r="PAX155" s="250"/>
      <c r="PAY155" s="250"/>
      <c r="PAZ155" s="250"/>
      <c r="PBA155" s="250"/>
      <c r="PBB155" s="250"/>
      <c r="PBC155" s="250"/>
      <c r="PBD155" s="250"/>
      <c r="PBE155" s="250"/>
      <c r="PBF155" s="250"/>
      <c r="PBG155" s="250"/>
      <c r="PBH155" s="250"/>
      <c r="PBI155" s="250"/>
      <c r="PBJ155" s="250"/>
      <c r="PBK155" s="250"/>
      <c r="PBL155" s="250"/>
      <c r="PBM155" s="250"/>
      <c r="PBN155" s="250"/>
      <c r="PBO155" s="250"/>
      <c r="PBP155" s="250"/>
      <c r="PBQ155" s="250"/>
      <c r="PBR155" s="250"/>
      <c r="PBS155" s="250"/>
      <c r="PBT155" s="250"/>
      <c r="PBU155" s="250"/>
      <c r="PBV155" s="250"/>
      <c r="PBW155" s="250"/>
      <c r="PBX155" s="250"/>
      <c r="PBY155" s="250"/>
      <c r="PBZ155" s="250"/>
      <c r="PCA155" s="250"/>
      <c r="PCB155" s="250"/>
      <c r="PCC155" s="250"/>
      <c r="PCD155" s="250"/>
      <c r="PCE155" s="250"/>
      <c r="PCF155" s="250"/>
      <c r="PCG155" s="250"/>
      <c r="PCH155" s="250"/>
      <c r="PCI155" s="250"/>
      <c r="PCJ155" s="250"/>
      <c r="PCK155" s="250"/>
      <c r="PCL155" s="250"/>
      <c r="PCM155" s="250"/>
      <c r="PCN155" s="250"/>
      <c r="PCO155" s="250"/>
      <c r="PCP155" s="250"/>
      <c r="PCQ155" s="250"/>
      <c r="PCR155" s="250"/>
      <c r="PCS155" s="250"/>
      <c r="PCT155" s="250"/>
      <c r="PCU155" s="250"/>
      <c r="PCV155" s="250"/>
      <c r="PCW155" s="250"/>
      <c r="PCX155" s="250"/>
      <c r="PCY155" s="250"/>
      <c r="PCZ155" s="250"/>
      <c r="PDA155" s="250"/>
      <c r="PDB155" s="250"/>
      <c r="PDC155" s="250"/>
      <c r="PDD155" s="250"/>
      <c r="PDE155" s="250"/>
      <c r="PDF155" s="250"/>
      <c r="PDG155" s="250"/>
      <c r="PDH155" s="250"/>
      <c r="PDI155" s="250"/>
      <c r="PDJ155" s="250"/>
      <c r="PDK155" s="250"/>
      <c r="PDL155" s="250"/>
      <c r="PDM155" s="250"/>
      <c r="PDN155" s="250"/>
      <c r="PDO155" s="250"/>
      <c r="PDP155" s="250"/>
      <c r="PDQ155" s="250"/>
      <c r="PDR155" s="250"/>
      <c r="PDS155" s="250"/>
      <c r="PDT155" s="250"/>
      <c r="PDU155" s="250"/>
      <c r="PDV155" s="250"/>
      <c r="PDW155" s="250"/>
      <c r="PDX155" s="250"/>
      <c r="PDY155" s="250"/>
      <c r="PDZ155" s="250"/>
      <c r="PEA155" s="250"/>
      <c r="PEB155" s="250"/>
      <c r="PEC155" s="250"/>
      <c r="PED155" s="250"/>
      <c r="PEE155" s="250"/>
      <c r="PEF155" s="250"/>
      <c r="PEG155" s="250"/>
      <c r="PEH155" s="250"/>
      <c r="PEI155" s="250"/>
      <c r="PEJ155" s="250"/>
      <c r="PEK155" s="250"/>
      <c r="PEL155" s="250"/>
      <c r="PEM155" s="250"/>
      <c r="PEN155" s="250"/>
      <c r="PEO155" s="250"/>
      <c r="PEP155" s="250"/>
      <c r="PEQ155" s="250"/>
      <c r="PER155" s="250"/>
      <c r="PES155" s="250"/>
      <c r="PET155" s="250"/>
      <c r="PEU155" s="250"/>
      <c r="PEV155" s="250"/>
      <c r="PEW155" s="250"/>
      <c r="PEX155" s="250"/>
      <c r="PEY155" s="250"/>
      <c r="PEZ155" s="250"/>
      <c r="PFA155" s="250"/>
      <c r="PFB155" s="250"/>
      <c r="PFC155" s="250"/>
      <c r="PFD155" s="250"/>
      <c r="PFE155" s="250"/>
      <c r="PFF155" s="250"/>
      <c r="PFG155" s="250"/>
      <c r="PFH155" s="250"/>
      <c r="PFI155" s="250"/>
      <c r="PFJ155" s="250"/>
      <c r="PFK155" s="250"/>
      <c r="PFL155" s="250"/>
      <c r="PFM155" s="250"/>
      <c r="PFN155" s="250"/>
      <c r="PFO155" s="250"/>
      <c r="PFP155" s="250"/>
      <c r="PFQ155" s="250"/>
      <c r="PFR155" s="250"/>
      <c r="PFS155" s="250"/>
      <c r="PFT155" s="250"/>
      <c r="PFU155" s="250"/>
      <c r="PFV155" s="250"/>
      <c r="PFW155" s="250"/>
      <c r="PFX155" s="250"/>
      <c r="PFY155" s="250"/>
      <c r="PFZ155" s="250"/>
      <c r="PGA155" s="250"/>
      <c r="PGB155" s="250"/>
      <c r="PGC155" s="250"/>
      <c r="PGD155" s="250"/>
      <c r="PGE155" s="250"/>
      <c r="PGF155" s="250"/>
      <c r="PGG155" s="250"/>
      <c r="PGH155" s="250"/>
      <c r="PGI155" s="250"/>
      <c r="PGJ155" s="250"/>
      <c r="PGK155" s="250"/>
      <c r="PGL155" s="250"/>
      <c r="PGM155" s="250"/>
      <c r="PGN155" s="250"/>
      <c r="PGO155" s="250"/>
      <c r="PGP155" s="250"/>
      <c r="PGQ155" s="250"/>
      <c r="PGR155" s="250"/>
      <c r="PGS155" s="250"/>
      <c r="PGT155" s="250"/>
      <c r="PGU155" s="250"/>
      <c r="PGV155" s="250"/>
      <c r="PGW155" s="250"/>
      <c r="PGX155" s="250"/>
      <c r="PGY155" s="250"/>
      <c r="PGZ155" s="250"/>
      <c r="PHA155" s="250"/>
      <c r="PHB155" s="250"/>
      <c r="PHC155" s="250"/>
      <c r="PHD155" s="250"/>
      <c r="PHE155" s="250"/>
      <c r="PHF155" s="250"/>
      <c r="PHG155" s="250"/>
      <c r="PHH155" s="250"/>
      <c r="PHI155" s="250"/>
      <c r="PHJ155" s="250"/>
      <c r="PHK155" s="250"/>
      <c r="PHL155" s="250"/>
      <c r="PHM155" s="250"/>
      <c r="PHN155" s="250"/>
      <c r="PHO155" s="250"/>
      <c r="PHP155" s="250"/>
      <c r="PHQ155" s="250"/>
      <c r="PHR155" s="250"/>
      <c r="PHS155" s="250"/>
      <c r="PHT155" s="250"/>
      <c r="PHU155" s="250"/>
      <c r="PHV155" s="250"/>
      <c r="PHW155" s="250"/>
      <c r="PHX155" s="250"/>
      <c r="PHY155" s="250"/>
      <c r="PHZ155" s="250"/>
      <c r="PIA155" s="250"/>
      <c r="PIB155" s="250"/>
      <c r="PIC155" s="250"/>
      <c r="PID155" s="250"/>
      <c r="PIE155" s="250"/>
      <c r="PIF155" s="250"/>
      <c r="PIG155" s="250"/>
      <c r="PIH155" s="250"/>
      <c r="PII155" s="250"/>
      <c r="PIJ155" s="250"/>
      <c r="PIK155" s="250"/>
      <c r="PIL155" s="250"/>
      <c r="PIM155" s="250"/>
      <c r="PIN155" s="250"/>
      <c r="PIO155" s="250"/>
      <c r="PIP155" s="250"/>
      <c r="PIQ155" s="250"/>
      <c r="PIR155" s="250"/>
      <c r="PIS155" s="250"/>
      <c r="PIT155" s="250"/>
      <c r="PIU155" s="250"/>
      <c r="PIV155" s="250"/>
      <c r="PIW155" s="250"/>
      <c r="PIX155" s="250"/>
      <c r="PIY155" s="250"/>
      <c r="PIZ155" s="250"/>
      <c r="PJA155" s="250"/>
      <c r="PJB155" s="250"/>
      <c r="PJC155" s="250"/>
      <c r="PJD155" s="250"/>
      <c r="PJE155" s="250"/>
      <c r="PJF155" s="250"/>
      <c r="PJG155" s="250"/>
      <c r="PJH155" s="250"/>
      <c r="PJI155" s="250"/>
      <c r="PJJ155" s="250"/>
      <c r="PJK155" s="250"/>
      <c r="PJL155" s="250"/>
      <c r="PJM155" s="250"/>
      <c r="PJN155" s="250"/>
      <c r="PJO155" s="250"/>
      <c r="PJP155" s="250"/>
      <c r="PJQ155" s="250"/>
      <c r="PJR155" s="250"/>
      <c r="PJS155" s="250"/>
      <c r="PJT155" s="250"/>
      <c r="PJU155" s="250"/>
      <c r="PJV155" s="250"/>
      <c r="PJW155" s="250"/>
      <c r="PJX155" s="250"/>
      <c r="PJY155" s="250"/>
      <c r="PJZ155" s="250"/>
      <c r="PKA155" s="250"/>
      <c r="PKB155" s="250"/>
      <c r="PKC155" s="250"/>
      <c r="PKD155" s="250"/>
      <c r="PKE155" s="250"/>
      <c r="PKF155" s="250"/>
      <c r="PKG155" s="250"/>
      <c r="PKH155" s="250"/>
      <c r="PKI155" s="250"/>
      <c r="PKJ155" s="250"/>
      <c r="PKK155" s="250"/>
      <c r="PKL155" s="250"/>
      <c r="PKM155" s="250"/>
      <c r="PKN155" s="250"/>
      <c r="PKO155" s="250"/>
      <c r="PKP155" s="250"/>
      <c r="PKQ155" s="250"/>
      <c r="PKR155" s="250"/>
      <c r="PKS155" s="250"/>
      <c r="PKT155" s="250"/>
      <c r="PKU155" s="250"/>
      <c r="PKV155" s="250"/>
      <c r="PKW155" s="250"/>
      <c r="PKX155" s="250"/>
      <c r="PKY155" s="250"/>
      <c r="PKZ155" s="250"/>
      <c r="PLA155" s="250"/>
      <c r="PLB155" s="250"/>
      <c r="PLC155" s="250"/>
      <c r="PLD155" s="250"/>
      <c r="PLE155" s="250"/>
      <c r="PLF155" s="250"/>
      <c r="PLG155" s="250"/>
      <c r="PLH155" s="250"/>
      <c r="PLI155" s="250"/>
      <c r="PLJ155" s="250"/>
      <c r="PLK155" s="250"/>
      <c r="PLL155" s="250"/>
      <c r="PLM155" s="250"/>
      <c r="PLN155" s="250"/>
      <c r="PLO155" s="250"/>
      <c r="PLP155" s="250"/>
      <c r="PLQ155" s="250"/>
      <c r="PLR155" s="250"/>
      <c r="PLS155" s="250"/>
      <c r="PLT155" s="250"/>
      <c r="PLU155" s="250"/>
      <c r="PLV155" s="250"/>
      <c r="PLW155" s="250"/>
      <c r="PLX155" s="250"/>
      <c r="PLY155" s="250"/>
      <c r="PLZ155" s="250"/>
      <c r="PMA155" s="250"/>
      <c r="PMB155" s="250"/>
      <c r="PMC155" s="250"/>
      <c r="PMD155" s="250"/>
      <c r="PME155" s="250"/>
      <c r="PMF155" s="250"/>
      <c r="PMG155" s="250"/>
      <c r="PMH155" s="250"/>
      <c r="PMI155" s="250"/>
      <c r="PMJ155" s="250"/>
      <c r="PMK155" s="250"/>
      <c r="PML155" s="250"/>
      <c r="PMM155" s="250"/>
      <c r="PMN155" s="250"/>
      <c r="PMO155" s="250"/>
      <c r="PMP155" s="250"/>
      <c r="PMQ155" s="250"/>
      <c r="PMR155" s="250"/>
      <c r="PMS155" s="250"/>
      <c r="PMT155" s="250"/>
      <c r="PMU155" s="250"/>
      <c r="PMV155" s="250"/>
      <c r="PMW155" s="250"/>
      <c r="PMX155" s="250"/>
      <c r="PMY155" s="250"/>
      <c r="PMZ155" s="250"/>
      <c r="PNA155" s="250"/>
      <c r="PNB155" s="250"/>
      <c r="PNC155" s="250"/>
      <c r="PND155" s="250"/>
      <c r="PNE155" s="250"/>
      <c r="PNF155" s="250"/>
      <c r="PNG155" s="250"/>
      <c r="PNH155" s="250"/>
      <c r="PNI155" s="250"/>
      <c r="PNJ155" s="250"/>
      <c r="PNK155" s="250"/>
      <c r="PNL155" s="250"/>
      <c r="PNM155" s="250"/>
      <c r="PNN155" s="250"/>
      <c r="PNO155" s="250"/>
      <c r="PNP155" s="250"/>
      <c r="PNQ155" s="250"/>
      <c r="PNR155" s="250"/>
      <c r="PNS155" s="250"/>
      <c r="PNT155" s="250"/>
      <c r="PNU155" s="250"/>
      <c r="PNV155" s="250"/>
      <c r="PNW155" s="250"/>
      <c r="PNX155" s="250"/>
      <c r="PNY155" s="250"/>
      <c r="PNZ155" s="250"/>
      <c r="POA155" s="250"/>
      <c r="POB155" s="250"/>
      <c r="POC155" s="250"/>
      <c r="POD155" s="250"/>
      <c r="POE155" s="250"/>
      <c r="POF155" s="250"/>
      <c r="POG155" s="250"/>
      <c r="POH155" s="250"/>
      <c r="POI155" s="250"/>
      <c r="POJ155" s="250"/>
      <c r="POK155" s="250"/>
      <c r="POL155" s="250"/>
      <c r="POM155" s="250"/>
      <c r="PON155" s="250"/>
      <c r="POO155" s="250"/>
      <c r="POP155" s="250"/>
      <c r="POQ155" s="250"/>
      <c r="POR155" s="250"/>
      <c r="POS155" s="250"/>
      <c r="POT155" s="250"/>
      <c r="POU155" s="250"/>
      <c r="POV155" s="250"/>
      <c r="POW155" s="250"/>
      <c r="POX155" s="250"/>
      <c r="POY155" s="250"/>
      <c r="POZ155" s="250"/>
      <c r="PPA155" s="250"/>
      <c r="PPB155" s="250"/>
      <c r="PPC155" s="250"/>
      <c r="PPD155" s="250"/>
      <c r="PPE155" s="250"/>
      <c r="PPF155" s="250"/>
      <c r="PPG155" s="250"/>
      <c r="PPH155" s="250"/>
      <c r="PPI155" s="250"/>
      <c r="PPJ155" s="250"/>
      <c r="PPK155" s="250"/>
      <c r="PPL155" s="250"/>
      <c r="PPM155" s="250"/>
      <c r="PPN155" s="250"/>
      <c r="PPO155" s="250"/>
      <c r="PPP155" s="250"/>
      <c r="PPQ155" s="250"/>
      <c r="PPR155" s="250"/>
      <c r="PPS155" s="250"/>
      <c r="PPT155" s="250"/>
      <c r="PPU155" s="250"/>
      <c r="PPV155" s="250"/>
      <c r="PPW155" s="250"/>
      <c r="PPX155" s="250"/>
      <c r="PPY155" s="250"/>
      <c r="PPZ155" s="250"/>
      <c r="PQA155" s="250"/>
      <c r="PQB155" s="250"/>
      <c r="PQC155" s="250"/>
      <c r="PQD155" s="250"/>
      <c r="PQE155" s="250"/>
      <c r="PQF155" s="250"/>
      <c r="PQG155" s="250"/>
      <c r="PQH155" s="250"/>
      <c r="PQI155" s="250"/>
      <c r="PQJ155" s="250"/>
      <c r="PQK155" s="250"/>
      <c r="PQL155" s="250"/>
      <c r="PQM155" s="250"/>
      <c r="PQN155" s="250"/>
      <c r="PQO155" s="250"/>
      <c r="PQP155" s="250"/>
      <c r="PQQ155" s="250"/>
      <c r="PQR155" s="250"/>
      <c r="PQS155" s="250"/>
      <c r="PQT155" s="250"/>
      <c r="PQU155" s="250"/>
      <c r="PQV155" s="250"/>
      <c r="PQW155" s="250"/>
      <c r="PQX155" s="250"/>
      <c r="PQY155" s="250"/>
      <c r="PQZ155" s="250"/>
      <c r="PRA155" s="250"/>
      <c r="PRB155" s="250"/>
      <c r="PRC155" s="250"/>
      <c r="PRD155" s="250"/>
      <c r="PRE155" s="250"/>
      <c r="PRF155" s="250"/>
      <c r="PRG155" s="250"/>
      <c r="PRH155" s="250"/>
      <c r="PRI155" s="250"/>
      <c r="PRJ155" s="250"/>
      <c r="PRK155" s="250"/>
      <c r="PRL155" s="250"/>
      <c r="PRM155" s="250"/>
      <c r="PRN155" s="250"/>
      <c r="PRO155" s="250"/>
      <c r="PRP155" s="250"/>
      <c r="PRQ155" s="250"/>
      <c r="PRR155" s="250"/>
      <c r="PRS155" s="250"/>
      <c r="PRT155" s="250"/>
      <c r="PRU155" s="250"/>
      <c r="PRV155" s="250"/>
      <c r="PRW155" s="250"/>
      <c r="PRX155" s="250"/>
      <c r="PRY155" s="250"/>
      <c r="PRZ155" s="250"/>
      <c r="PSA155" s="250"/>
      <c r="PSB155" s="250"/>
      <c r="PSC155" s="250"/>
      <c r="PSD155" s="250"/>
      <c r="PSE155" s="250"/>
      <c r="PSF155" s="250"/>
      <c r="PSG155" s="250"/>
      <c r="PSH155" s="250"/>
      <c r="PSI155" s="250"/>
      <c r="PSJ155" s="250"/>
      <c r="PSK155" s="250"/>
      <c r="PSL155" s="250"/>
      <c r="PSM155" s="250"/>
      <c r="PSN155" s="250"/>
      <c r="PSO155" s="250"/>
      <c r="PSP155" s="250"/>
      <c r="PSQ155" s="250"/>
      <c r="PSR155" s="250"/>
      <c r="PSS155" s="250"/>
      <c r="PST155" s="250"/>
      <c r="PSU155" s="250"/>
      <c r="PSV155" s="250"/>
      <c r="PSW155" s="250"/>
      <c r="PSX155" s="250"/>
      <c r="PSY155" s="250"/>
      <c r="PSZ155" s="250"/>
      <c r="PTA155" s="250"/>
      <c r="PTB155" s="250"/>
      <c r="PTC155" s="250"/>
      <c r="PTD155" s="250"/>
      <c r="PTE155" s="250"/>
      <c r="PTF155" s="250"/>
      <c r="PTG155" s="250"/>
      <c r="PTH155" s="250"/>
      <c r="PTI155" s="250"/>
      <c r="PTJ155" s="250"/>
      <c r="PTK155" s="250"/>
      <c r="PTL155" s="250"/>
      <c r="PTM155" s="250"/>
      <c r="PTN155" s="250"/>
      <c r="PTO155" s="250"/>
      <c r="PTP155" s="250"/>
      <c r="PTQ155" s="250"/>
      <c r="PTR155" s="250"/>
      <c r="PTS155" s="250"/>
      <c r="PTT155" s="250"/>
      <c r="PTU155" s="250"/>
      <c r="PTV155" s="250"/>
      <c r="PTW155" s="250"/>
      <c r="PTX155" s="250"/>
      <c r="PTY155" s="250"/>
      <c r="PTZ155" s="250"/>
      <c r="PUA155" s="250"/>
      <c r="PUB155" s="250"/>
      <c r="PUC155" s="250"/>
      <c r="PUD155" s="250"/>
      <c r="PUE155" s="250"/>
      <c r="PUF155" s="250"/>
      <c r="PUG155" s="250"/>
      <c r="PUH155" s="250"/>
      <c r="PUI155" s="250"/>
      <c r="PUJ155" s="250"/>
      <c r="PUK155" s="250"/>
      <c r="PUL155" s="250"/>
      <c r="PUM155" s="250"/>
      <c r="PUN155" s="250"/>
      <c r="PUO155" s="250"/>
      <c r="PUP155" s="250"/>
      <c r="PUQ155" s="250"/>
      <c r="PUR155" s="250"/>
      <c r="PUS155" s="250"/>
      <c r="PUT155" s="250"/>
      <c r="PUU155" s="250"/>
      <c r="PUV155" s="250"/>
      <c r="PUW155" s="250"/>
      <c r="PUX155" s="250"/>
      <c r="PUY155" s="250"/>
      <c r="PUZ155" s="250"/>
      <c r="PVA155" s="250"/>
      <c r="PVB155" s="250"/>
      <c r="PVC155" s="250"/>
      <c r="PVD155" s="250"/>
      <c r="PVE155" s="250"/>
      <c r="PVF155" s="250"/>
      <c r="PVG155" s="250"/>
      <c r="PVH155" s="250"/>
      <c r="PVI155" s="250"/>
      <c r="PVJ155" s="250"/>
      <c r="PVK155" s="250"/>
      <c r="PVL155" s="250"/>
      <c r="PVM155" s="250"/>
      <c r="PVN155" s="250"/>
      <c r="PVO155" s="250"/>
      <c r="PVP155" s="250"/>
      <c r="PVQ155" s="250"/>
      <c r="PVR155" s="250"/>
      <c r="PVS155" s="250"/>
      <c r="PVT155" s="250"/>
      <c r="PVU155" s="250"/>
      <c r="PVV155" s="250"/>
      <c r="PVW155" s="250"/>
      <c r="PVX155" s="250"/>
      <c r="PVY155" s="250"/>
      <c r="PVZ155" s="250"/>
      <c r="PWA155" s="250"/>
      <c r="PWB155" s="250"/>
      <c r="PWC155" s="250"/>
      <c r="PWD155" s="250"/>
      <c r="PWE155" s="250"/>
      <c r="PWF155" s="250"/>
      <c r="PWG155" s="250"/>
      <c r="PWH155" s="250"/>
      <c r="PWI155" s="250"/>
      <c r="PWJ155" s="250"/>
      <c r="PWK155" s="250"/>
      <c r="PWL155" s="250"/>
      <c r="PWM155" s="250"/>
      <c r="PWN155" s="250"/>
      <c r="PWO155" s="250"/>
      <c r="PWP155" s="250"/>
      <c r="PWQ155" s="250"/>
      <c r="PWR155" s="250"/>
      <c r="PWS155" s="250"/>
      <c r="PWT155" s="250"/>
      <c r="PWU155" s="250"/>
      <c r="PWV155" s="250"/>
      <c r="PWW155" s="250"/>
      <c r="PWX155" s="250"/>
      <c r="PWY155" s="250"/>
      <c r="PWZ155" s="250"/>
      <c r="PXA155" s="250"/>
      <c r="PXB155" s="250"/>
      <c r="PXC155" s="250"/>
      <c r="PXD155" s="250"/>
      <c r="PXE155" s="250"/>
      <c r="PXF155" s="250"/>
      <c r="PXG155" s="250"/>
      <c r="PXH155" s="250"/>
      <c r="PXI155" s="250"/>
      <c r="PXJ155" s="250"/>
      <c r="PXK155" s="250"/>
      <c r="PXL155" s="250"/>
      <c r="PXM155" s="250"/>
      <c r="PXN155" s="250"/>
      <c r="PXO155" s="250"/>
      <c r="PXP155" s="250"/>
      <c r="PXQ155" s="250"/>
      <c r="PXR155" s="250"/>
      <c r="PXS155" s="250"/>
      <c r="PXT155" s="250"/>
      <c r="PXU155" s="250"/>
      <c r="PXV155" s="250"/>
      <c r="PXW155" s="250"/>
      <c r="PXX155" s="250"/>
      <c r="PXY155" s="250"/>
      <c r="PXZ155" s="250"/>
      <c r="PYA155" s="250"/>
      <c r="PYB155" s="250"/>
      <c r="PYC155" s="250"/>
      <c r="PYD155" s="250"/>
      <c r="PYE155" s="250"/>
      <c r="PYF155" s="250"/>
      <c r="PYG155" s="250"/>
      <c r="PYH155" s="250"/>
      <c r="PYI155" s="250"/>
      <c r="PYJ155" s="250"/>
      <c r="PYK155" s="250"/>
      <c r="PYL155" s="250"/>
      <c r="PYM155" s="250"/>
      <c r="PYN155" s="250"/>
      <c r="PYO155" s="250"/>
      <c r="PYP155" s="250"/>
      <c r="PYQ155" s="250"/>
      <c r="PYR155" s="250"/>
      <c r="PYS155" s="250"/>
      <c r="PYT155" s="250"/>
      <c r="PYU155" s="250"/>
      <c r="PYV155" s="250"/>
      <c r="PYW155" s="250"/>
      <c r="PYX155" s="250"/>
      <c r="PYY155" s="250"/>
      <c r="PYZ155" s="250"/>
      <c r="PZA155" s="250"/>
      <c r="PZB155" s="250"/>
      <c r="PZC155" s="250"/>
      <c r="PZD155" s="250"/>
      <c r="PZE155" s="250"/>
      <c r="PZF155" s="250"/>
      <c r="PZG155" s="250"/>
      <c r="PZH155" s="250"/>
      <c r="PZI155" s="250"/>
      <c r="PZJ155" s="250"/>
      <c r="PZK155" s="250"/>
      <c r="PZL155" s="250"/>
      <c r="PZM155" s="250"/>
      <c r="PZN155" s="250"/>
      <c r="PZO155" s="250"/>
      <c r="PZP155" s="250"/>
      <c r="PZQ155" s="250"/>
      <c r="PZR155" s="250"/>
      <c r="PZS155" s="250"/>
      <c r="PZT155" s="250"/>
      <c r="PZU155" s="250"/>
      <c r="PZV155" s="250"/>
      <c r="PZW155" s="250"/>
      <c r="PZX155" s="250"/>
      <c r="PZY155" s="250"/>
      <c r="PZZ155" s="250"/>
      <c r="QAA155" s="250"/>
      <c r="QAB155" s="250"/>
      <c r="QAC155" s="250"/>
      <c r="QAD155" s="250"/>
      <c r="QAE155" s="250"/>
      <c r="QAF155" s="250"/>
      <c r="QAG155" s="250"/>
      <c r="QAH155" s="250"/>
      <c r="QAI155" s="250"/>
      <c r="QAJ155" s="250"/>
      <c r="QAK155" s="250"/>
      <c r="QAL155" s="250"/>
      <c r="QAM155" s="250"/>
      <c r="QAN155" s="250"/>
      <c r="QAO155" s="250"/>
      <c r="QAP155" s="250"/>
      <c r="QAQ155" s="250"/>
      <c r="QAR155" s="250"/>
      <c r="QAS155" s="250"/>
      <c r="QAT155" s="250"/>
      <c r="QAU155" s="250"/>
      <c r="QAV155" s="250"/>
      <c r="QAW155" s="250"/>
      <c r="QAX155" s="250"/>
      <c r="QAY155" s="250"/>
      <c r="QAZ155" s="250"/>
      <c r="QBA155" s="250"/>
      <c r="QBB155" s="250"/>
      <c r="QBC155" s="250"/>
      <c r="QBD155" s="250"/>
      <c r="QBE155" s="250"/>
      <c r="QBF155" s="250"/>
      <c r="QBG155" s="250"/>
      <c r="QBH155" s="250"/>
      <c r="QBI155" s="250"/>
      <c r="QBJ155" s="250"/>
      <c r="QBK155" s="250"/>
      <c r="QBL155" s="250"/>
      <c r="QBM155" s="250"/>
      <c r="QBN155" s="250"/>
      <c r="QBO155" s="250"/>
      <c r="QBP155" s="250"/>
      <c r="QBQ155" s="250"/>
      <c r="QBR155" s="250"/>
      <c r="QBS155" s="250"/>
      <c r="QBT155" s="250"/>
      <c r="QBU155" s="250"/>
      <c r="QBV155" s="250"/>
      <c r="QBW155" s="250"/>
      <c r="QBX155" s="250"/>
      <c r="QBY155" s="250"/>
      <c r="QBZ155" s="250"/>
      <c r="QCA155" s="250"/>
      <c r="QCB155" s="250"/>
      <c r="QCC155" s="250"/>
      <c r="QCD155" s="250"/>
      <c r="QCE155" s="250"/>
      <c r="QCF155" s="250"/>
      <c r="QCG155" s="250"/>
      <c r="QCH155" s="250"/>
      <c r="QCI155" s="250"/>
      <c r="QCJ155" s="250"/>
      <c r="QCK155" s="250"/>
      <c r="QCL155" s="250"/>
      <c r="QCM155" s="250"/>
      <c r="QCN155" s="250"/>
      <c r="QCO155" s="250"/>
      <c r="QCP155" s="250"/>
      <c r="QCQ155" s="250"/>
      <c r="QCR155" s="250"/>
      <c r="QCS155" s="250"/>
      <c r="QCT155" s="250"/>
      <c r="QCU155" s="250"/>
      <c r="QCV155" s="250"/>
      <c r="QCW155" s="250"/>
      <c r="QCX155" s="250"/>
      <c r="QCY155" s="250"/>
      <c r="QCZ155" s="250"/>
      <c r="QDA155" s="250"/>
      <c r="QDB155" s="250"/>
      <c r="QDC155" s="250"/>
      <c r="QDD155" s="250"/>
      <c r="QDE155" s="250"/>
      <c r="QDF155" s="250"/>
      <c r="QDG155" s="250"/>
      <c r="QDH155" s="250"/>
      <c r="QDI155" s="250"/>
      <c r="QDJ155" s="250"/>
      <c r="QDK155" s="250"/>
      <c r="QDL155" s="250"/>
      <c r="QDM155" s="250"/>
      <c r="QDN155" s="250"/>
      <c r="QDO155" s="250"/>
      <c r="QDP155" s="250"/>
      <c r="QDQ155" s="250"/>
      <c r="QDR155" s="250"/>
      <c r="QDS155" s="250"/>
      <c r="QDT155" s="250"/>
      <c r="QDU155" s="250"/>
      <c r="QDV155" s="250"/>
      <c r="QDW155" s="250"/>
      <c r="QDX155" s="250"/>
      <c r="QDY155" s="250"/>
      <c r="QDZ155" s="250"/>
      <c r="QEA155" s="250"/>
      <c r="QEB155" s="250"/>
      <c r="QEC155" s="250"/>
      <c r="QED155" s="250"/>
      <c r="QEE155" s="250"/>
      <c r="QEF155" s="250"/>
      <c r="QEG155" s="250"/>
      <c r="QEH155" s="250"/>
      <c r="QEI155" s="250"/>
      <c r="QEJ155" s="250"/>
      <c r="QEK155" s="250"/>
      <c r="QEL155" s="250"/>
      <c r="QEM155" s="250"/>
      <c r="QEN155" s="250"/>
      <c r="QEO155" s="250"/>
      <c r="QEP155" s="250"/>
      <c r="QEQ155" s="250"/>
      <c r="QER155" s="250"/>
      <c r="QES155" s="250"/>
      <c r="QET155" s="250"/>
      <c r="QEU155" s="250"/>
      <c r="QEV155" s="250"/>
      <c r="QEW155" s="250"/>
      <c r="QEX155" s="250"/>
      <c r="QEY155" s="250"/>
      <c r="QEZ155" s="250"/>
      <c r="QFA155" s="250"/>
      <c r="QFB155" s="250"/>
      <c r="QFC155" s="250"/>
      <c r="QFD155" s="250"/>
      <c r="QFE155" s="250"/>
      <c r="QFF155" s="250"/>
      <c r="QFG155" s="250"/>
      <c r="QFH155" s="250"/>
      <c r="QFI155" s="250"/>
      <c r="QFJ155" s="250"/>
      <c r="QFK155" s="250"/>
      <c r="QFL155" s="250"/>
      <c r="QFM155" s="250"/>
      <c r="QFN155" s="250"/>
      <c r="QFO155" s="250"/>
      <c r="QFP155" s="250"/>
      <c r="QFQ155" s="250"/>
      <c r="QFR155" s="250"/>
      <c r="QFS155" s="250"/>
      <c r="QFT155" s="250"/>
      <c r="QFU155" s="250"/>
      <c r="QFV155" s="250"/>
      <c r="QFW155" s="250"/>
      <c r="QFX155" s="250"/>
      <c r="QFY155" s="250"/>
      <c r="QFZ155" s="250"/>
      <c r="QGA155" s="250"/>
      <c r="QGB155" s="250"/>
      <c r="QGC155" s="250"/>
      <c r="QGD155" s="250"/>
      <c r="QGE155" s="250"/>
      <c r="QGF155" s="250"/>
      <c r="QGG155" s="250"/>
      <c r="QGH155" s="250"/>
      <c r="QGI155" s="250"/>
      <c r="QGJ155" s="250"/>
      <c r="QGK155" s="250"/>
      <c r="QGL155" s="250"/>
      <c r="QGM155" s="250"/>
      <c r="QGN155" s="250"/>
      <c r="QGO155" s="250"/>
      <c r="QGP155" s="250"/>
      <c r="QGQ155" s="250"/>
      <c r="QGR155" s="250"/>
      <c r="QGS155" s="250"/>
      <c r="QGT155" s="250"/>
      <c r="QGU155" s="250"/>
      <c r="QGV155" s="250"/>
      <c r="QGW155" s="250"/>
      <c r="QGX155" s="250"/>
      <c r="QGY155" s="250"/>
      <c r="QGZ155" s="250"/>
      <c r="QHA155" s="250"/>
      <c r="QHB155" s="250"/>
      <c r="QHC155" s="250"/>
      <c r="QHD155" s="250"/>
      <c r="QHE155" s="250"/>
      <c r="QHF155" s="250"/>
      <c r="QHG155" s="250"/>
      <c r="QHH155" s="250"/>
      <c r="QHI155" s="250"/>
      <c r="QHJ155" s="250"/>
      <c r="QHK155" s="250"/>
      <c r="QHL155" s="250"/>
      <c r="QHM155" s="250"/>
      <c r="QHN155" s="250"/>
      <c r="QHO155" s="250"/>
      <c r="QHP155" s="250"/>
      <c r="QHQ155" s="250"/>
      <c r="QHR155" s="250"/>
      <c r="QHS155" s="250"/>
      <c r="QHT155" s="250"/>
      <c r="QHU155" s="250"/>
      <c r="QHV155" s="250"/>
      <c r="QHW155" s="250"/>
      <c r="QHX155" s="250"/>
      <c r="QHY155" s="250"/>
      <c r="QHZ155" s="250"/>
      <c r="QIA155" s="250"/>
      <c r="QIB155" s="250"/>
      <c r="QIC155" s="250"/>
      <c r="QID155" s="250"/>
      <c r="QIE155" s="250"/>
      <c r="QIF155" s="250"/>
      <c r="QIG155" s="250"/>
      <c r="QIH155" s="250"/>
      <c r="QII155" s="250"/>
      <c r="QIJ155" s="250"/>
      <c r="QIK155" s="250"/>
      <c r="QIL155" s="250"/>
      <c r="QIM155" s="250"/>
      <c r="QIN155" s="250"/>
      <c r="QIO155" s="250"/>
      <c r="QIP155" s="250"/>
      <c r="QIQ155" s="250"/>
      <c r="QIR155" s="250"/>
      <c r="QIS155" s="250"/>
      <c r="QIT155" s="250"/>
      <c r="QIU155" s="250"/>
      <c r="QIV155" s="250"/>
      <c r="QIW155" s="250"/>
      <c r="QIX155" s="250"/>
      <c r="QIY155" s="250"/>
      <c r="QIZ155" s="250"/>
      <c r="QJA155" s="250"/>
      <c r="QJB155" s="250"/>
      <c r="QJC155" s="250"/>
      <c r="QJD155" s="250"/>
      <c r="QJE155" s="250"/>
      <c r="QJF155" s="250"/>
      <c r="QJG155" s="250"/>
      <c r="QJH155" s="250"/>
      <c r="QJI155" s="250"/>
      <c r="QJJ155" s="250"/>
      <c r="QJK155" s="250"/>
      <c r="QJL155" s="250"/>
      <c r="QJM155" s="250"/>
      <c r="QJN155" s="250"/>
      <c r="QJO155" s="250"/>
      <c r="QJP155" s="250"/>
      <c r="QJQ155" s="250"/>
      <c r="QJR155" s="250"/>
      <c r="QJS155" s="250"/>
      <c r="QJT155" s="250"/>
      <c r="QJU155" s="250"/>
      <c r="QJV155" s="250"/>
      <c r="QJW155" s="250"/>
      <c r="QJX155" s="250"/>
      <c r="QJY155" s="250"/>
      <c r="QJZ155" s="250"/>
      <c r="QKA155" s="250"/>
      <c r="QKB155" s="250"/>
      <c r="QKC155" s="250"/>
      <c r="QKD155" s="250"/>
      <c r="QKE155" s="250"/>
      <c r="QKF155" s="250"/>
      <c r="QKG155" s="250"/>
      <c r="QKH155" s="250"/>
      <c r="QKI155" s="250"/>
      <c r="QKJ155" s="250"/>
      <c r="QKK155" s="250"/>
      <c r="QKL155" s="250"/>
      <c r="QKM155" s="250"/>
      <c r="QKN155" s="250"/>
      <c r="QKO155" s="250"/>
      <c r="QKP155" s="250"/>
      <c r="QKQ155" s="250"/>
      <c r="QKR155" s="250"/>
      <c r="QKS155" s="250"/>
      <c r="QKT155" s="250"/>
      <c r="QKU155" s="250"/>
      <c r="QKV155" s="250"/>
      <c r="QKW155" s="250"/>
      <c r="QKX155" s="250"/>
      <c r="QKY155" s="250"/>
      <c r="QKZ155" s="250"/>
      <c r="QLA155" s="250"/>
      <c r="QLB155" s="250"/>
      <c r="QLC155" s="250"/>
      <c r="QLD155" s="250"/>
      <c r="QLE155" s="250"/>
      <c r="QLF155" s="250"/>
      <c r="QLG155" s="250"/>
      <c r="QLH155" s="250"/>
      <c r="QLI155" s="250"/>
      <c r="QLJ155" s="250"/>
      <c r="QLK155" s="250"/>
      <c r="QLL155" s="250"/>
      <c r="QLM155" s="250"/>
      <c r="QLN155" s="250"/>
      <c r="QLO155" s="250"/>
      <c r="QLP155" s="250"/>
      <c r="QLQ155" s="250"/>
      <c r="QLR155" s="250"/>
      <c r="QLS155" s="250"/>
      <c r="QLT155" s="250"/>
      <c r="QLU155" s="250"/>
      <c r="QLV155" s="250"/>
      <c r="QLW155" s="250"/>
      <c r="QLX155" s="250"/>
      <c r="QLY155" s="250"/>
      <c r="QLZ155" s="250"/>
      <c r="QMA155" s="250"/>
      <c r="QMB155" s="250"/>
      <c r="QMC155" s="250"/>
      <c r="QMD155" s="250"/>
      <c r="QME155" s="250"/>
      <c r="QMF155" s="250"/>
      <c r="QMG155" s="250"/>
      <c r="QMH155" s="250"/>
      <c r="QMI155" s="250"/>
      <c r="QMJ155" s="250"/>
      <c r="QMK155" s="250"/>
      <c r="QML155" s="250"/>
      <c r="QMM155" s="250"/>
      <c r="QMN155" s="250"/>
      <c r="QMO155" s="250"/>
      <c r="QMP155" s="250"/>
      <c r="QMQ155" s="250"/>
      <c r="QMR155" s="250"/>
      <c r="QMS155" s="250"/>
      <c r="QMT155" s="250"/>
      <c r="QMU155" s="250"/>
      <c r="QMV155" s="250"/>
      <c r="QMW155" s="250"/>
      <c r="QMX155" s="250"/>
      <c r="QMY155" s="250"/>
      <c r="QMZ155" s="250"/>
      <c r="QNA155" s="250"/>
      <c r="QNB155" s="250"/>
      <c r="QNC155" s="250"/>
      <c r="QND155" s="250"/>
      <c r="QNE155" s="250"/>
      <c r="QNF155" s="250"/>
      <c r="QNG155" s="250"/>
      <c r="QNH155" s="250"/>
      <c r="QNI155" s="250"/>
      <c r="QNJ155" s="250"/>
      <c r="QNK155" s="250"/>
      <c r="QNL155" s="250"/>
      <c r="QNM155" s="250"/>
      <c r="QNN155" s="250"/>
      <c r="QNO155" s="250"/>
      <c r="QNP155" s="250"/>
      <c r="QNQ155" s="250"/>
      <c r="QNR155" s="250"/>
      <c r="QNS155" s="250"/>
      <c r="QNT155" s="250"/>
      <c r="QNU155" s="250"/>
      <c r="QNV155" s="250"/>
      <c r="QNW155" s="250"/>
      <c r="QNX155" s="250"/>
      <c r="QNY155" s="250"/>
      <c r="QNZ155" s="250"/>
      <c r="QOA155" s="250"/>
      <c r="QOB155" s="250"/>
      <c r="QOC155" s="250"/>
      <c r="QOD155" s="250"/>
      <c r="QOE155" s="250"/>
      <c r="QOF155" s="250"/>
      <c r="QOG155" s="250"/>
      <c r="QOH155" s="250"/>
      <c r="QOI155" s="250"/>
      <c r="QOJ155" s="250"/>
      <c r="QOK155" s="250"/>
      <c r="QOL155" s="250"/>
      <c r="QOM155" s="250"/>
      <c r="QON155" s="250"/>
      <c r="QOO155" s="250"/>
      <c r="QOP155" s="250"/>
      <c r="QOQ155" s="250"/>
      <c r="QOR155" s="250"/>
      <c r="QOS155" s="250"/>
      <c r="QOT155" s="250"/>
      <c r="QOU155" s="250"/>
      <c r="QOV155" s="250"/>
      <c r="QOW155" s="250"/>
      <c r="QOX155" s="250"/>
      <c r="QOY155" s="250"/>
      <c r="QOZ155" s="250"/>
      <c r="QPA155" s="250"/>
      <c r="QPB155" s="250"/>
      <c r="QPC155" s="250"/>
      <c r="QPD155" s="250"/>
      <c r="QPE155" s="250"/>
      <c r="QPF155" s="250"/>
      <c r="QPG155" s="250"/>
      <c r="QPH155" s="250"/>
      <c r="QPI155" s="250"/>
      <c r="QPJ155" s="250"/>
      <c r="QPK155" s="250"/>
      <c r="QPL155" s="250"/>
      <c r="QPM155" s="250"/>
      <c r="QPN155" s="250"/>
      <c r="QPO155" s="250"/>
      <c r="QPP155" s="250"/>
      <c r="QPQ155" s="250"/>
      <c r="QPR155" s="250"/>
      <c r="QPS155" s="250"/>
      <c r="QPT155" s="250"/>
      <c r="QPU155" s="250"/>
      <c r="QPV155" s="250"/>
      <c r="QPW155" s="250"/>
      <c r="QPX155" s="250"/>
      <c r="QPY155" s="250"/>
      <c r="QPZ155" s="250"/>
      <c r="QQA155" s="250"/>
      <c r="QQB155" s="250"/>
      <c r="QQC155" s="250"/>
      <c r="QQD155" s="250"/>
      <c r="QQE155" s="250"/>
      <c r="QQF155" s="250"/>
      <c r="QQG155" s="250"/>
      <c r="QQH155" s="250"/>
      <c r="QQI155" s="250"/>
      <c r="QQJ155" s="250"/>
      <c r="QQK155" s="250"/>
      <c r="QQL155" s="250"/>
      <c r="QQM155" s="250"/>
      <c r="QQN155" s="250"/>
      <c r="QQO155" s="250"/>
      <c r="QQP155" s="250"/>
      <c r="QQQ155" s="250"/>
      <c r="QQR155" s="250"/>
      <c r="QQS155" s="250"/>
      <c r="QQT155" s="250"/>
      <c r="QQU155" s="250"/>
      <c r="QQV155" s="250"/>
      <c r="QQW155" s="250"/>
      <c r="QQX155" s="250"/>
      <c r="QQY155" s="250"/>
      <c r="QQZ155" s="250"/>
      <c r="QRA155" s="250"/>
      <c r="QRB155" s="250"/>
      <c r="QRC155" s="250"/>
      <c r="QRD155" s="250"/>
      <c r="QRE155" s="250"/>
      <c r="QRF155" s="250"/>
      <c r="QRG155" s="250"/>
      <c r="QRH155" s="250"/>
      <c r="QRI155" s="250"/>
      <c r="QRJ155" s="250"/>
      <c r="QRK155" s="250"/>
      <c r="QRL155" s="250"/>
      <c r="QRM155" s="250"/>
      <c r="QRN155" s="250"/>
      <c r="QRO155" s="250"/>
      <c r="QRP155" s="250"/>
      <c r="QRQ155" s="250"/>
      <c r="QRR155" s="250"/>
      <c r="QRS155" s="250"/>
      <c r="QRT155" s="250"/>
      <c r="QRU155" s="250"/>
      <c r="QRV155" s="250"/>
      <c r="QRW155" s="250"/>
      <c r="QRX155" s="250"/>
      <c r="QRY155" s="250"/>
      <c r="QRZ155" s="250"/>
      <c r="QSA155" s="250"/>
      <c r="QSB155" s="250"/>
      <c r="QSC155" s="250"/>
      <c r="QSD155" s="250"/>
      <c r="QSE155" s="250"/>
      <c r="QSF155" s="250"/>
      <c r="QSG155" s="250"/>
      <c r="QSH155" s="250"/>
      <c r="QSI155" s="250"/>
      <c r="QSJ155" s="250"/>
      <c r="QSK155" s="250"/>
      <c r="QSL155" s="250"/>
      <c r="QSM155" s="250"/>
      <c r="QSN155" s="250"/>
      <c r="QSO155" s="250"/>
      <c r="QSP155" s="250"/>
      <c r="QSQ155" s="250"/>
      <c r="QSR155" s="250"/>
      <c r="QSS155" s="250"/>
      <c r="QST155" s="250"/>
      <c r="QSU155" s="250"/>
      <c r="QSV155" s="250"/>
      <c r="QSW155" s="250"/>
      <c r="QSX155" s="250"/>
      <c r="QSY155" s="250"/>
      <c r="QSZ155" s="250"/>
      <c r="QTA155" s="250"/>
      <c r="QTB155" s="250"/>
      <c r="QTC155" s="250"/>
      <c r="QTD155" s="250"/>
      <c r="QTE155" s="250"/>
      <c r="QTF155" s="250"/>
      <c r="QTG155" s="250"/>
      <c r="QTH155" s="250"/>
      <c r="QTI155" s="250"/>
      <c r="QTJ155" s="250"/>
      <c r="QTK155" s="250"/>
      <c r="QTL155" s="250"/>
      <c r="QTM155" s="250"/>
      <c r="QTN155" s="250"/>
      <c r="QTO155" s="250"/>
      <c r="QTP155" s="250"/>
      <c r="QTQ155" s="250"/>
      <c r="QTR155" s="250"/>
      <c r="QTS155" s="250"/>
      <c r="QTT155" s="250"/>
      <c r="QTU155" s="250"/>
      <c r="QTV155" s="250"/>
      <c r="QTW155" s="250"/>
      <c r="QTX155" s="250"/>
      <c r="QTY155" s="250"/>
      <c r="QTZ155" s="250"/>
      <c r="QUA155" s="250"/>
      <c r="QUB155" s="250"/>
      <c r="QUC155" s="250"/>
      <c r="QUD155" s="250"/>
      <c r="QUE155" s="250"/>
      <c r="QUF155" s="250"/>
      <c r="QUG155" s="250"/>
      <c r="QUH155" s="250"/>
      <c r="QUI155" s="250"/>
      <c r="QUJ155" s="250"/>
      <c r="QUK155" s="250"/>
      <c r="QUL155" s="250"/>
      <c r="QUM155" s="250"/>
      <c r="QUN155" s="250"/>
      <c r="QUO155" s="250"/>
      <c r="QUP155" s="250"/>
      <c r="QUQ155" s="250"/>
      <c r="QUR155" s="250"/>
      <c r="QUS155" s="250"/>
      <c r="QUT155" s="250"/>
      <c r="QUU155" s="250"/>
      <c r="QUV155" s="250"/>
      <c r="QUW155" s="250"/>
      <c r="QUX155" s="250"/>
      <c r="QUY155" s="250"/>
      <c r="QUZ155" s="250"/>
      <c r="QVA155" s="250"/>
      <c r="QVB155" s="250"/>
      <c r="QVC155" s="250"/>
      <c r="QVD155" s="250"/>
      <c r="QVE155" s="250"/>
      <c r="QVF155" s="250"/>
      <c r="QVG155" s="250"/>
      <c r="QVH155" s="250"/>
      <c r="QVI155" s="250"/>
      <c r="QVJ155" s="250"/>
      <c r="QVK155" s="250"/>
      <c r="QVL155" s="250"/>
      <c r="QVM155" s="250"/>
      <c r="QVN155" s="250"/>
      <c r="QVO155" s="250"/>
      <c r="QVP155" s="250"/>
      <c r="QVQ155" s="250"/>
      <c r="QVR155" s="250"/>
      <c r="QVS155" s="250"/>
      <c r="QVT155" s="250"/>
      <c r="QVU155" s="250"/>
      <c r="QVV155" s="250"/>
      <c r="QVW155" s="250"/>
      <c r="QVX155" s="250"/>
      <c r="QVY155" s="250"/>
      <c r="QVZ155" s="250"/>
      <c r="QWA155" s="250"/>
      <c r="QWB155" s="250"/>
      <c r="QWC155" s="250"/>
      <c r="QWD155" s="250"/>
      <c r="QWE155" s="250"/>
      <c r="QWF155" s="250"/>
      <c r="QWG155" s="250"/>
      <c r="QWH155" s="250"/>
      <c r="QWI155" s="250"/>
      <c r="QWJ155" s="250"/>
      <c r="QWK155" s="250"/>
      <c r="QWL155" s="250"/>
      <c r="QWM155" s="250"/>
      <c r="QWN155" s="250"/>
      <c r="QWO155" s="250"/>
      <c r="QWP155" s="250"/>
      <c r="QWQ155" s="250"/>
      <c r="QWR155" s="250"/>
      <c r="QWS155" s="250"/>
      <c r="QWT155" s="250"/>
      <c r="QWU155" s="250"/>
      <c r="QWV155" s="250"/>
      <c r="QWW155" s="250"/>
      <c r="QWX155" s="250"/>
      <c r="QWY155" s="250"/>
      <c r="QWZ155" s="250"/>
      <c r="QXA155" s="250"/>
      <c r="QXB155" s="250"/>
      <c r="QXC155" s="250"/>
      <c r="QXD155" s="250"/>
      <c r="QXE155" s="250"/>
      <c r="QXF155" s="250"/>
      <c r="QXG155" s="250"/>
      <c r="QXH155" s="250"/>
      <c r="QXI155" s="250"/>
      <c r="QXJ155" s="250"/>
      <c r="QXK155" s="250"/>
      <c r="QXL155" s="250"/>
      <c r="QXM155" s="250"/>
      <c r="QXN155" s="250"/>
      <c r="QXO155" s="250"/>
      <c r="QXP155" s="250"/>
      <c r="QXQ155" s="250"/>
      <c r="QXR155" s="250"/>
      <c r="QXS155" s="250"/>
      <c r="QXT155" s="250"/>
      <c r="QXU155" s="250"/>
      <c r="QXV155" s="250"/>
      <c r="QXW155" s="250"/>
      <c r="QXX155" s="250"/>
      <c r="QXY155" s="250"/>
      <c r="QXZ155" s="250"/>
      <c r="QYA155" s="250"/>
      <c r="QYB155" s="250"/>
      <c r="QYC155" s="250"/>
      <c r="QYD155" s="250"/>
      <c r="QYE155" s="250"/>
      <c r="QYF155" s="250"/>
      <c r="QYG155" s="250"/>
      <c r="QYH155" s="250"/>
      <c r="QYI155" s="250"/>
      <c r="QYJ155" s="250"/>
      <c r="QYK155" s="250"/>
      <c r="QYL155" s="250"/>
      <c r="QYM155" s="250"/>
      <c r="QYN155" s="250"/>
      <c r="QYO155" s="250"/>
      <c r="QYP155" s="250"/>
      <c r="QYQ155" s="250"/>
      <c r="QYR155" s="250"/>
      <c r="QYS155" s="250"/>
      <c r="QYT155" s="250"/>
      <c r="QYU155" s="250"/>
      <c r="QYV155" s="250"/>
      <c r="QYW155" s="250"/>
      <c r="QYX155" s="250"/>
      <c r="QYY155" s="250"/>
      <c r="QYZ155" s="250"/>
      <c r="QZA155" s="250"/>
      <c r="QZB155" s="250"/>
      <c r="QZC155" s="250"/>
      <c r="QZD155" s="250"/>
      <c r="QZE155" s="250"/>
      <c r="QZF155" s="250"/>
      <c r="QZG155" s="250"/>
      <c r="QZH155" s="250"/>
      <c r="QZI155" s="250"/>
      <c r="QZJ155" s="250"/>
      <c r="QZK155" s="250"/>
      <c r="QZL155" s="250"/>
      <c r="QZM155" s="250"/>
      <c r="QZN155" s="250"/>
      <c r="QZO155" s="250"/>
      <c r="QZP155" s="250"/>
      <c r="QZQ155" s="250"/>
      <c r="QZR155" s="250"/>
      <c r="QZS155" s="250"/>
      <c r="QZT155" s="250"/>
      <c r="QZU155" s="250"/>
      <c r="QZV155" s="250"/>
      <c r="QZW155" s="250"/>
      <c r="QZX155" s="250"/>
      <c r="QZY155" s="250"/>
      <c r="QZZ155" s="250"/>
      <c r="RAA155" s="250"/>
      <c r="RAB155" s="250"/>
      <c r="RAC155" s="250"/>
      <c r="RAD155" s="250"/>
      <c r="RAE155" s="250"/>
      <c r="RAF155" s="250"/>
      <c r="RAG155" s="250"/>
      <c r="RAH155" s="250"/>
      <c r="RAI155" s="250"/>
      <c r="RAJ155" s="250"/>
      <c r="RAK155" s="250"/>
      <c r="RAL155" s="250"/>
      <c r="RAM155" s="250"/>
      <c r="RAN155" s="250"/>
      <c r="RAO155" s="250"/>
      <c r="RAP155" s="250"/>
      <c r="RAQ155" s="250"/>
      <c r="RAR155" s="250"/>
      <c r="RAS155" s="250"/>
      <c r="RAT155" s="250"/>
      <c r="RAU155" s="250"/>
      <c r="RAV155" s="250"/>
      <c r="RAW155" s="250"/>
      <c r="RAX155" s="250"/>
      <c r="RAY155" s="250"/>
      <c r="RAZ155" s="250"/>
      <c r="RBA155" s="250"/>
      <c r="RBB155" s="250"/>
      <c r="RBC155" s="250"/>
      <c r="RBD155" s="250"/>
      <c r="RBE155" s="250"/>
      <c r="RBF155" s="250"/>
      <c r="RBG155" s="250"/>
      <c r="RBH155" s="250"/>
      <c r="RBI155" s="250"/>
      <c r="RBJ155" s="250"/>
      <c r="RBK155" s="250"/>
      <c r="RBL155" s="250"/>
      <c r="RBM155" s="250"/>
      <c r="RBN155" s="250"/>
      <c r="RBO155" s="250"/>
      <c r="RBP155" s="250"/>
      <c r="RBQ155" s="250"/>
      <c r="RBR155" s="250"/>
      <c r="RBS155" s="250"/>
      <c r="RBT155" s="250"/>
      <c r="RBU155" s="250"/>
      <c r="RBV155" s="250"/>
      <c r="RBW155" s="250"/>
      <c r="RBX155" s="250"/>
      <c r="RBY155" s="250"/>
      <c r="RBZ155" s="250"/>
      <c r="RCA155" s="250"/>
      <c r="RCB155" s="250"/>
      <c r="RCC155" s="250"/>
      <c r="RCD155" s="250"/>
      <c r="RCE155" s="250"/>
      <c r="RCF155" s="250"/>
      <c r="RCG155" s="250"/>
      <c r="RCH155" s="250"/>
      <c r="RCI155" s="250"/>
      <c r="RCJ155" s="250"/>
      <c r="RCK155" s="250"/>
      <c r="RCL155" s="250"/>
      <c r="RCM155" s="250"/>
      <c r="RCN155" s="250"/>
      <c r="RCO155" s="250"/>
      <c r="RCP155" s="250"/>
      <c r="RCQ155" s="250"/>
      <c r="RCR155" s="250"/>
      <c r="RCS155" s="250"/>
      <c r="RCT155" s="250"/>
      <c r="RCU155" s="250"/>
      <c r="RCV155" s="250"/>
      <c r="RCW155" s="250"/>
      <c r="RCX155" s="250"/>
      <c r="RCY155" s="250"/>
      <c r="RCZ155" s="250"/>
      <c r="RDA155" s="250"/>
      <c r="RDB155" s="250"/>
      <c r="RDC155" s="250"/>
      <c r="RDD155" s="250"/>
      <c r="RDE155" s="250"/>
      <c r="RDF155" s="250"/>
      <c r="RDG155" s="250"/>
      <c r="RDH155" s="250"/>
      <c r="RDI155" s="250"/>
      <c r="RDJ155" s="250"/>
      <c r="RDK155" s="250"/>
      <c r="RDL155" s="250"/>
      <c r="RDM155" s="250"/>
      <c r="RDN155" s="250"/>
      <c r="RDO155" s="250"/>
      <c r="RDP155" s="250"/>
      <c r="RDQ155" s="250"/>
      <c r="RDR155" s="250"/>
      <c r="RDS155" s="250"/>
      <c r="RDT155" s="250"/>
      <c r="RDU155" s="250"/>
      <c r="RDV155" s="250"/>
      <c r="RDW155" s="250"/>
      <c r="RDX155" s="250"/>
      <c r="RDY155" s="250"/>
      <c r="RDZ155" s="250"/>
      <c r="REA155" s="250"/>
      <c r="REB155" s="250"/>
      <c r="REC155" s="250"/>
      <c r="RED155" s="250"/>
      <c r="REE155" s="250"/>
      <c r="REF155" s="250"/>
      <c r="REG155" s="250"/>
      <c r="REH155" s="250"/>
      <c r="REI155" s="250"/>
      <c r="REJ155" s="250"/>
      <c r="REK155" s="250"/>
      <c r="REL155" s="250"/>
      <c r="REM155" s="250"/>
      <c r="REN155" s="250"/>
      <c r="REO155" s="250"/>
      <c r="REP155" s="250"/>
      <c r="REQ155" s="250"/>
      <c r="RER155" s="250"/>
      <c r="RES155" s="250"/>
      <c r="RET155" s="250"/>
      <c r="REU155" s="250"/>
      <c r="REV155" s="250"/>
      <c r="REW155" s="250"/>
      <c r="REX155" s="250"/>
      <c r="REY155" s="250"/>
      <c r="REZ155" s="250"/>
      <c r="RFA155" s="250"/>
      <c r="RFB155" s="250"/>
      <c r="RFC155" s="250"/>
      <c r="RFD155" s="250"/>
      <c r="RFE155" s="250"/>
      <c r="RFF155" s="250"/>
      <c r="RFG155" s="250"/>
      <c r="RFH155" s="250"/>
      <c r="RFI155" s="250"/>
      <c r="RFJ155" s="250"/>
      <c r="RFK155" s="250"/>
      <c r="RFL155" s="250"/>
      <c r="RFM155" s="250"/>
      <c r="RFN155" s="250"/>
      <c r="RFO155" s="250"/>
      <c r="RFP155" s="250"/>
      <c r="RFQ155" s="250"/>
      <c r="RFR155" s="250"/>
      <c r="RFS155" s="250"/>
      <c r="RFT155" s="250"/>
      <c r="RFU155" s="250"/>
      <c r="RFV155" s="250"/>
      <c r="RFW155" s="250"/>
      <c r="RFX155" s="250"/>
      <c r="RFY155" s="250"/>
      <c r="RFZ155" s="250"/>
      <c r="RGA155" s="250"/>
      <c r="RGB155" s="250"/>
      <c r="RGC155" s="250"/>
      <c r="RGD155" s="250"/>
      <c r="RGE155" s="250"/>
      <c r="RGF155" s="250"/>
      <c r="RGG155" s="250"/>
      <c r="RGH155" s="250"/>
      <c r="RGI155" s="250"/>
      <c r="RGJ155" s="250"/>
      <c r="RGK155" s="250"/>
      <c r="RGL155" s="250"/>
      <c r="RGM155" s="250"/>
      <c r="RGN155" s="250"/>
      <c r="RGO155" s="250"/>
      <c r="RGP155" s="250"/>
      <c r="RGQ155" s="250"/>
      <c r="RGR155" s="250"/>
      <c r="RGS155" s="250"/>
      <c r="RGT155" s="250"/>
      <c r="RGU155" s="250"/>
      <c r="RGV155" s="250"/>
      <c r="RGW155" s="250"/>
      <c r="RGX155" s="250"/>
      <c r="RGY155" s="250"/>
      <c r="RGZ155" s="250"/>
      <c r="RHA155" s="250"/>
      <c r="RHB155" s="250"/>
      <c r="RHC155" s="250"/>
      <c r="RHD155" s="250"/>
      <c r="RHE155" s="250"/>
      <c r="RHF155" s="250"/>
      <c r="RHG155" s="250"/>
      <c r="RHH155" s="250"/>
      <c r="RHI155" s="250"/>
      <c r="RHJ155" s="250"/>
      <c r="RHK155" s="250"/>
      <c r="RHL155" s="250"/>
      <c r="RHM155" s="250"/>
      <c r="RHN155" s="250"/>
      <c r="RHO155" s="250"/>
      <c r="RHP155" s="250"/>
      <c r="RHQ155" s="250"/>
      <c r="RHR155" s="250"/>
      <c r="RHS155" s="250"/>
      <c r="RHT155" s="250"/>
      <c r="RHU155" s="250"/>
      <c r="RHV155" s="250"/>
      <c r="RHW155" s="250"/>
      <c r="RHX155" s="250"/>
      <c r="RHY155" s="250"/>
      <c r="RHZ155" s="250"/>
      <c r="RIA155" s="250"/>
      <c r="RIB155" s="250"/>
      <c r="RIC155" s="250"/>
      <c r="RID155" s="250"/>
      <c r="RIE155" s="250"/>
      <c r="RIF155" s="250"/>
      <c r="RIG155" s="250"/>
      <c r="RIH155" s="250"/>
      <c r="RII155" s="250"/>
      <c r="RIJ155" s="250"/>
      <c r="RIK155" s="250"/>
      <c r="RIL155" s="250"/>
      <c r="RIM155" s="250"/>
      <c r="RIN155" s="250"/>
      <c r="RIO155" s="250"/>
      <c r="RIP155" s="250"/>
      <c r="RIQ155" s="250"/>
      <c r="RIR155" s="250"/>
      <c r="RIS155" s="250"/>
      <c r="RIT155" s="250"/>
      <c r="RIU155" s="250"/>
      <c r="RIV155" s="250"/>
      <c r="RIW155" s="250"/>
      <c r="RIX155" s="250"/>
      <c r="RIY155" s="250"/>
      <c r="RIZ155" s="250"/>
      <c r="RJA155" s="250"/>
      <c r="RJB155" s="250"/>
      <c r="RJC155" s="250"/>
      <c r="RJD155" s="250"/>
      <c r="RJE155" s="250"/>
      <c r="RJF155" s="250"/>
      <c r="RJG155" s="250"/>
      <c r="RJH155" s="250"/>
      <c r="RJI155" s="250"/>
      <c r="RJJ155" s="250"/>
      <c r="RJK155" s="250"/>
      <c r="RJL155" s="250"/>
      <c r="RJM155" s="250"/>
      <c r="RJN155" s="250"/>
      <c r="RJO155" s="250"/>
      <c r="RJP155" s="250"/>
      <c r="RJQ155" s="250"/>
      <c r="RJR155" s="250"/>
      <c r="RJS155" s="250"/>
      <c r="RJT155" s="250"/>
      <c r="RJU155" s="250"/>
      <c r="RJV155" s="250"/>
      <c r="RJW155" s="250"/>
      <c r="RJX155" s="250"/>
      <c r="RJY155" s="250"/>
      <c r="RJZ155" s="250"/>
      <c r="RKA155" s="250"/>
      <c r="RKB155" s="250"/>
      <c r="RKC155" s="250"/>
      <c r="RKD155" s="250"/>
      <c r="RKE155" s="250"/>
      <c r="RKF155" s="250"/>
      <c r="RKG155" s="250"/>
      <c r="RKH155" s="250"/>
      <c r="RKI155" s="250"/>
      <c r="RKJ155" s="250"/>
      <c r="RKK155" s="250"/>
      <c r="RKL155" s="250"/>
      <c r="RKM155" s="250"/>
      <c r="RKN155" s="250"/>
      <c r="RKO155" s="250"/>
      <c r="RKP155" s="250"/>
      <c r="RKQ155" s="250"/>
      <c r="RKR155" s="250"/>
      <c r="RKS155" s="250"/>
      <c r="RKT155" s="250"/>
      <c r="RKU155" s="250"/>
      <c r="RKV155" s="250"/>
      <c r="RKW155" s="250"/>
      <c r="RKX155" s="250"/>
      <c r="RKY155" s="250"/>
      <c r="RKZ155" s="250"/>
      <c r="RLA155" s="250"/>
      <c r="RLB155" s="250"/>
      <c r="RLC155" s="250"/>
      <c r="RLD155" s="250"/>
      <c r="RLE155" s="250"/>
      <c r="RLF155" s="250"/>
      <c r="RLG155" s="250"/>
      <c r="RLH155" s="250"/>
      <c r="RLI155" s="250"/>
      <c r="RLJ155" s="250"/>
      <c r="RLK155" s="250"/>
      <c r="RLL155" s="250"/>
      <c r="RLM155" s="250"/>
      <c r="RLN155" s="250"/>
      <c r="RLO155" s="250"/>
      <c r="RLP155" s="250"/>
      <c r="RLQ155" s="250"/>
      <c r="RLR155" s="250"/>
      <c r="RLS155" s="250"/>
      <c r="RLT155" s="250"/>
      <c r="RLU155" s="250"/>
      <c r="RLV155" s="250"/>
      <c r="RLW155" s="250"/>
      <c r="RLX155" s="250"/>
      <c r="RLY155" s="250"/>
      <c r="RLZ155" s="250"/>
      <c r="RMA155" s="250"/>
      <c r="RMB155" s="250"/>
      <c r="RMC155" s="250"/>
      <c r="RMD155" s="250"/>
      <c r="RME155" s="250"/>
      <c r="RMF155" s="250"/>
      <c r="RMG155" s="250"/>
      <c r="RMH155" s="250"/>
      <c r="RMI155" s="250"/>
      <c r="RMJ155" s="250"/>
      <c r="RMK155" s="250"/>
      <c r="RML155" s="250"/>
      <c r="RMM155" s="250"/>
      <c r="RMN155" s="250"/>
      <c r="RMO155" s="250"/>
      <c r="RMP155" s="250"/>
      <c r="RMQ155" s="250"/>
      <c r="RMR155" s="250"/>
      <c r="RMS155" s="250"/>
      <c r="RMT155" s="250"/>
      <c r="RMU155" s="250"/>
      <c r="RMV155" s="250"/>
      <c r="RMW155" s="250"/>
      <c r="RMX155" s="250"/>
      <c r="RMY155" s="250"/>
      <c r="RMZ155" s="250"/>
      <c r="RNA155" s="250"/>
      <c r="RNB155" s="250"/>
      <c r="RNC155" s="250"/>
      <c r="RND155" s="250"/>
      <c r="RNE155" s="250"/>
      <c r="RNF155" s="250"/>
      <c r="RNG155" s="250"/>
      <c r="RNH155" s="250"/>
      <c r="RNI155" s="250"/>
      <c r="RNJ155" s="250"/>
      <c r="RNK155" s="250"/>
      <c r="RNL155" s="250"/>
      <c r="RNM155" s="250"/>
      <c r="RNN155" s="250"/>
      <c r="RNO155" s="250"/>
      <c r="RNP155" s="250"/>
      <c r="RNQ155" s="250"/>
      <c r="RNR155" s="250"/>
      <c r="RNS155" s="250"/>
      <c r="RNT155" s="250"/>
      <c r="RNU155" s="250"/>
      <c r="RNV155" s="250"/>
      <c r="RNW155" s="250"/>
      <c r="RNX155" s="250"/>
      <c r="RNY155" s="250"/>
      <c r="RNZ155" s="250"/>
      <c r="ROA155" s="250"/>
      <c r="ROB155" s="250"/>
      <c r="ROC155" s="250"/>
      <c r="ROD155" s="250"/>
      <c r="ROE155" s="250"/>
      <c r="ROF155" s="250"/>
      <c r="ROG155" s="250"/>
      <c r="ROH155" s="250"/>
      <c r="ROI155" s="250"/>
      <c r="ROJ155" s="250"/>
      <c r="ROK155" s="250"/>
      <c r="ROL155" s="250"/>
      <c r="ROM155" s="250"/>
      <c r="RON155" s="250"/>
      <c r="ROO155" s="250"/>
      <c r="ROP155" s="250"/>
      <c r="ROQ155" s="250"/>
      <c r="ROR155" s="250"/>
      <c r="ROS155" s="250"/>
      <c r="ROT155" s="250"/>
      <c r="ROU155" s="250"/>
      <c r="ROV155" s="250"/>
      <c r="ROW155" s="250"/>
      <c r="ROX155" s="250"/>
      <c r="ROY155" s="250"/>
      <c r="ROZ155" s="250"/>
      <c r="RPA155" s="250"/>
      <c r="RPB155" s="250"/>
      <c r="RPC155" s="250"/>
      <c r="RPD155" s="250"/>
      <c r="RPE155" s="250"/>
      <c r="RPF155" s="250"/>
      <c r="RPG155" s="250"/>
      <c r="RPH155" s="250"/>
      <c r="RPI155" s="250"/>
      <c r="RPJ155" s="250"/>
      <c r="RPK155" s="250"/>
      <c r="RPL155" s="250"/>
      <c r="RPM155" s="250"/>
      <c r="RPN155" s="250"/>
      <c r="RPO155" s="250"/>
      <c r="RPP155" s="250"/>
      <c r="RPQ155" s="250"/>
      <c r="RPR155" s="250"/>
      <c r="RPS155" s="250"/>
      <c r="RPT155" s="250"/>
      <c r="RPU155" s="250"/>
      <c r="RPV155" s="250"/>
      <c r="RPW155" s="250"/>
      <c r="RPX155" s="250"/>
      <c r="RPY155" s="250"/>
      <c r="RPZ155" s="250"/>
      <c r="RQA155" s="250"/>
      <c r="RQB155" s="250"/>
      <c r="RQC155" s="250"/>
      <c r="RQD155" s="250"/>
      <c r="RQE155" s="250"/>
      <c r="RQF155" s="250"/>
      <c r="RQG155" s="250"/>
      <c r="RQH155" s="250"/>
      <c r="RQI155" s="250"/>
      <c r="RQJ155" s="250"/>
      <c r="RQK155" s="250"/>
      <c r="RQL155" s="250"/>
      <c r="RQM155" s="250"/>
      <c r="RQN155" s="250"/>
      <c r="RQO155" s="250"/>
      <c r="RQP155" s="250"/>
      <c r="RQQ155" s="250"/>
      <c r="RQR155" s="250"/>
      <c r="RQS155" s="250"/>
      <c r="RQT155" s="250"/>
      <c r="RQU155" s="250"/>
      <c r="RQV155" s="250"/>
      <c r="RQW155" s="250"/>
      <c r="RQX155" s="250"/>
      <c r="RQY155" s="250"/>
      <c r="RQZ155" s="250"/>
      <c r="RRA155" s="250"/>
      <c r="RRB155" s="250"/>
      <c r="RRC155" s="250"/>
      <c r="RRD155" s="250"/>
      <c r="RRE155" s="250"/>
      <c r="RRF155" s="250"/>
      <c r="RRG155" s="250"/>
      <c r="RRH155" s="250"/>
      <c r="RRI155" s="250"/>
      <c r="RRJ155" s="250"/>
      <c r="RRK155" s="250"/>
      <c r="RRL155" s="250"/>
      <c r="RRM155" s="250"/>
      <c r="RRN155" s="250"/>
      <c r="RRO155" s="250"/>
      <c r="RRP155" s="250"/>
      <c r="RRQ155" s="250"/>
      <c r="RRR155" s="250"/>
      <c r="RRS155" s="250"/>
      <c r="RRT155" s="250"/>
      <c r="RRU155" s="250"/>
      <c r="RRV155" s="250"/>
      <c r="RRW155" s="250"/>
      <c r="RRX155" s="250"/>
      <c r="RRY155" s="250"/>
      <c r="RRZ155" s="250"/>
      <c r="RSA155" s="250"/>
      <c r="RSB155" s="250"/>
      <c r="RSC155" s="250"/>
      <c r="RSD155" s="250"/>
      <c r="RSE155" s="250"/>
      <c r="RSF155" s="250"/>
      <c r="RSG155" s="250"/>
      <c r="RSH155" s="250"/>
      <c r="RSI155" s="250"/>
      <c r="RSJ155" s="250"/>
      <c r="RSK155" s="250"/>
      <c r="RSL155" s="250"/>
      <c r="RSM155" s="250"/>
      <c r="RSN155" s="250"/>
      <c r="RSO155" s="250"/>
      <c r="RSP155" s="250"/>
      <c r="RSQ155" s="250"/>
      <c r="RSR155" s="250"/>
      <c r="RSS155" s="250"/>
      <c r="RST155" s="250"/>
      <c r="RSU155" s="250"/>
      <c r="RSV155" s="250"/>
      <c r="RSW155" s="250"/>
      <c r="RSX155" s="250"/>
      <c r="RSY155" s="250"/>
      <c r="RSZ155" s="250"/>
      <c r="RTA155" s="250"/>
      <c r="RTB155" s="250"/>
      <c r="RTC155" s="250"/>
      <c r="RTD155" s="250"/>
      <c r="RTE155" s="250"/>
      <c r="RTF155" s="250"/>
      <c r="RTG155" s="250"/>
      <c r="RTH155" s="250"/>
      <c r="RTI155" s="250"/>
      <c r="RTJ155" s="250"/>
      <c r="RTK155" s="250"/>
      <c r="RTL155" s="250"/>
      <c r="RTM155" s="250"/>
      <c r="RTN155" s="250"/>
      <c r="RTO155" s="250"/>
      <c r="RTP155" s="250"/>
      <c r="RTQ155" s="250"/>
      <c r="RTR155" s="250"/>
      <c r="RTS155" s="250"/>
      <c r="RTT155" s="250"/>
      <c r="RTU155" s="250"/>
      <c r="RTV155" s="250"/>
      <c r="RTW155" s="250"/>
      <c r="RTX155" s="250"/>
      <c r="RTY155" s="250"/>
      <c r="RTZ155" s="250"/>
      <c r="RUA155" s="250"/>
      <c r="RUB155" s="250"/>
      <c r="RUC155" s="250"/>
      <c r="RUD155" s="250"/>
      <c r="RUE155" s="250"/>
      <c r="RUF155" s="250"/>
      <c r="RUG155" s="250"/>
      <c r="RUH155" s="250"/>
      <c r="RUI155" s="250"/>
      <c r="RUJ155" s="250"/>
      <c r="RUK155" s="250"/>
      <c r="RUL155" s="250"/>
      <c r="RUM155" s="250"/>
      <c r="RUN155" s="250"/>
      <c r="RUO155" s="250"/>
      <c r="RUP155" s="250"/>
      <c r="RUQ155" s="250"/>
      <c r="RUR155" s="250"/>
      <c r="RUS155" s="250"/>
      <c r="RUT155" s="250"/>
      <c r="RUU155" s="250"/>
      <c r="RUV155" s="250"/>
      <c r="RUW155" s="250"/>
      <c r="RUX155" s="250"/>
      <c r="RUY155" s="250"/>
      <c r="RUZ155" s="250"/>
      <c r="RVA155" s="250"/>
      <c r="RVB155" s="250"/>
      <c r="RVC155" s="250"/>
      <c r="RVD155" s="250"/>
      <c r="RVE155" s="250"/>
      <c r="RVF155" s="250"/>
      <c r="RVG155" s="250"/>
      <c r="RVH155" s="250"/>
      <c r="RVI155" s="250"/>
      <c r="RVJ155" s="250"/>
      <c r="RVK155" s="250"/>
      <c r="RVL155" s="250"/>
      <c r="RVM155" s="250"/>
      <c r="RVN155" s="250"/>
      <c r="RVO155" s="250"/>
      <c r="RVP155" s="250"/>
      <c r="RVQ155" s="250"/>
      <c r="RVR155" s="250"/>
      <c r="RVS155" s="250"/>
      <c r="RVT155" s="250"/>
      <c r="RVU155" s="250"/>
      <c r="RVV155" s="250"/>
      <c r="RVW155" s="250"/>
      <c r="RVX155" s="250"/>
      <c r="RVY155" s="250"/>
      <c r="RVZ155" s="250"/>
      <c r="RWA155" s="250"/>
      <c r="RWB155" s="250"/>
      <c r="RWC155" s="250"/>
      <c r="RWD155" s="250"/>
      <c r="RWE155" s="250"/>
      <c r="RWF155" s="250"/>
      <c r="RWG155" s="250"/>
      <c r="RWH155" s="250"/>
      <c r="RWI155" s="250"/>
      <c r="RWJ155" s="250"/>
      <c r="RWK155" s="250"/>
      <c r="RWL155" s="250"/>
      <c r="RWM155" s="250"/>
      <c r="RWN155" s="250"/>
      <c r="RWO155" s="250"/>
      <c r="RWP155" s="250"/>
      <c r="RWQ155" s="250"/>
      <c r="RWR155" s="250"/>
      <c r="RWS155" s="250"/>
      <c r="RWT155" s="250"/>
      <c r="RWU155" s="250"/>
      <c r="RWV155" s="250"/>
      <c r="RWW155" s="250"/>
      <c r="RWX155" s="250"/>
      <c r="RWY155" s="250"/>
      <c r="RWZ155" s="250"/>
      <c r="RXA155" s="250"/>
      <c r="RXB155" s="250"/>
      <c r="RXC155" s="250"/>
      <c r="RXD155" s="250"/>
      <c r="RXE155" s="250"/>
      <c r="RXF155" s="250"/>
      <c r="RXG155" s="250"/>
      <c r="RXH155" s="250"/>
      <c r="RXI155" s="250"/>
      <c r="RXJ155" s="250"/>
      <c r="RXK155" s="250"/>
      <c r="RXL155" s="250"/>
      <c r="RXM155" s="250"/>
      <c r="RXN155" s="250"/>
      <c r="RXO155" s="250"/>
      <c r="RXP155" s="250"/>
      <c r="RXQ155" s="250"/>
      <c r="RXR155" s="250"/>
      <c r="RXS155" s="250"/>
      <c r="RXT155" s="250"/>
      <c r="RXU155" s="250"/>
      <c r="RXV155" s="250"/>
      <c r="RXW155" s="250"/>
      <c r="RXX155" s="250"/>
      <c r="RXY155" s="250"/>
      <c r="RXZ155" s="250"/>
      <c r="RYA155" s="250"/>
      <c r="RYB155" s="250"/>
      <c r="RYC155" s="250"/>
      <c r="RYD155" s="250"/>
      <c r="RYE155" s="250"/>
      <c r="RYF155" s="250"/>
      <c r="RYG155" s="250"/>
      <c r="RYH155" s="250"/>
      <c r="RYI155" s="250"/>
      <c r="RYJ155" s="250"/>
      <c r="RYK155" s="250"/>
      <c r="RYL155" s="250"/>
      <c r="RYM155" s="250"/>
      <c r="RYN155" s="250"/>
      <c r="RYO155" s="250"/>
      <c r="RYP155" s="250"/>
      <c r="RYQ155" s="250"/>
      <c r="RYR155" s="250"/>
      <c r="RYS155" s="250"/>
      <c r="RYT155" s="250"/>
      <c r="RYU155" s="250"/>
      <c r="RYV155" s="250"/>
      <c r="RYW155" s="250"/>
      <c r="RYX155" s="250"/>
      <c r="RYY155" s="250"/>
      <c r="RYZ155" s="250"/>
      <c r="RZA155" s="250"/>
      <c r="RZB155" s="250"/>
      <c r="RZC155" s="250"/>
      <c r="RZD155" s="250"/>
      <c r="RZE155" s="250"/>
      <c r="RZF155" s="250"/>
      <c r="RZG155" s="250"/>
      <c r="RZH155" s="250"/>
      <c r="RZI155" s="250"/>
      <c r="RZJ155" s="250"/>
      <c r="RZK155" s="250"/>
      <c r="RZL155" s="250"/>
      <c r="RZM155" s="250"/>
      <c r="RZN155" s="250"/>
      <c r="RZO155" s="250"/>
      <c r="RZP155" s="250"/>
      <c r="RZQ155" s="250"/>
      <c r="RZR155" s="250"/>
      <c r="RZS155" s="250"/>
      <c r="RZT155" s="250"/>
      <c r="RZU155" s="250"/>
      <c r="RZV155" s="250"/>
      <c r="RZW155" s="250"/>
      <c r="RZX155" s="250"/>
      <c r="RZY155" s="250"/>
      <c r="RZZ155" s="250"/>
      <c r="SAA155" s="250"/>
      <c r="SAB155" s="250"/>
      <c r="SAC155" s="250"/>
      <c r="SAD155" s="250"/>
      <c r="SAE155" s="250"/>
      <c r="SAF155" s="250"/>
      <c r="SAG155" s="250"/>
      <c r="SAH155" s="250"/>
      <c r="SAI155" s="250"/>
      <c r="SAJ155" s="250"/>
      <c r="SAK155" s="250"/>
      <c r="SAL155" s="250"/>
      <c r="SAM155" s="250"/>
      <c r="SAN155" s="250"/>
      <c r="SAO155" s="250"/>
      <c r="SAP155" s="250"/>
      <c r="SAQ155" s="250"/>
      <c r="SAR155" s="250"/>
      <c r="SAS155" s="250"/>
      <c r="SAT155" s="250"/>
      <c r="SAU155" s="250"/>
      <c r="SAV155" s="250"/>
      <c r="SAW155" s="250"/>
      <c r="SAX155" s="250"/>
      <c r="SAY155" s="250"/>
      <c r="SAZ155" s="250"/>
      <c r="SBA155" s="250"/>
      <c r="SBB155" s="250"/>
      <c r="SBC155" s="250"/>
      <c r="SBD155" s="250"/>
      <c r="SBE155" s="250"/>
      <c r="SBF155" s="250"/>
      <c r="SBG155" s="250"/>
      <c r="SBH155" s="250"/>
      <c r="SBI155" s="250"/>
      <c r="SBJ155" s="250"/>
      <c r="SBK155" s="250"/>
      <c r="SBL155" s="250"/>
      <c r="SBM155" s="250"/>
      <c r="SBN155" s="250"/>
      <c r="SBO155" s="250"/>
      <c r="SBP155" s="250"/>
      <c r="SBQ155" s="250"/>
      <c r="SBR155" s="250"/>
      <c r="SBS155" s="250"/>
      <c r="SBT155" s="250"/>
      <c r="SBU155" s="250"/>
      <c r="SBV155" s="250"/>
      <c r="SBW155" s="250"/>
      <c r="SBX155" s="250"/>
      <c r="SBY155" s="250"/>
      <c r="SBZ155" s="250"/>
      <c r="SCA155" s="250"/>
      <c r="SCB155" s="250"/>
      <c r="SCC155" s="250"/>
      <c r="SCD155" s="250"/>
      <c r="SCE155" s="250"/>
      <c r="SCF155" s="250"/>
      <c r="SCG155" s="250"/>
      <c r="SCH155" s="250"/>
      <c r="SCI155" s="250"/>
      <c r="SCJ155" s="250"/>
      <c r="SCK155" s="250"/>
      <c r="SCL155" s="250"/>
      <c r="SCM155" s="250"/>
      <c r="SCN155" s="250"/>
      <c r="SCO155" s="250"/>
      <c r="SCP155" s="250"/>
      <c r="SCQ155" s="250"/>
      <c r="SCR155" s="250"/>
      <c r="SCS155" s="250"/>
      <c r="SCT155" s="250"/>
      <c r="SCU155" s="250"/>
      <c r="SCV155" s="250"/>
      <c r="SCW155" s="250"/>
      <c r="SCX155" s="250"/>
      <c r="SCY155" s="250"/>
      <c r="SCZ155" s="250"/>
      <c r="SDA155" s="250"/>
      <c r="SDB155" s="250"/>
      <c r="SDC155" s="250"/>
      <c r="SDD155" s="250"/>
      <c r="SDE155" s="250"/>
      <c r="SDF155" s="250"/>
      <c r="SDG155" s="250"/>
      <c r="SDH155" s="250"/>
      <c r="SDI155" s="250"/>
      <c r="SDJ155" s="250"/>
      <c r="SDK155" s="250"/>
      <c r="SDL155" s="250"/>
      <c r="SDM155" s="250"/>
      <c r="SDN155" s="250"/>
      <c r="SDO155" s="250"/>
      <c r="SDP155" s="250"/>
      <c r="SDQ155" s="250"/>
      <c r="SDR155" s="250"/>
      <c r="SDS155" s="250"/>
      <c r="SDT155" s="250"/>
      <c r="SDU155" s="250"/>
      <c r="SDV155" s="250"/>
      <c r="SDW155" s="250"/>
      <c r="SDX155" s="250"/>
      <c r="SDY155" s="250"/>
      <c r="SDZ155" s="250"/>
      <c r="SEA155" s="250"/>
      <c r="SEB155" s="250"/>
      <c r="SEC155" s="250"/>
      <c r="SED155" s="250"/>
      <c r="SEE155" s="250"/>
      <c r="SEF155" s="250"/>
      <c r="SEG155" s="250"/>
      <c r="SEH155" s="250"/>
      <c r="SEI155" s="250"/>
      <c r="SEJ155" s="250"/>
      <c r="SEK155" s="250"/>
      <c r="SEL155" s="250"/>
      <c r="SEM155" s="250"/>
      <c r="SEN155" s="250"/>
      <c r="SEO155" s="250"/>
      <c r="SEP155" s="250"/>
      <c r="SEQ155" s="250"/>
      <c r="SER155" s="250"/>
      <c r="SES155" s="250"/>
      <c r="SET155" s="250"/>
      <c r="SEU155" s="250"/>
      <c r="SEV155" s="250"/>
      <c r="SEW155" s="250"/>
      <c r="SEX155" s="250"/>
      <c r="SEY155" s="250"/>
      <c r="SEZ155" s="250"/>
      <c r="SFA155" s="250"/>
      <c r="SFB155" s="250"/>
      <c r="SFC155" s="250"/>
      <c r="SFD155" s="250"/>
      <c r="SFE155" s="250"/>
      <c r="SFF155" s="250"/>
      <c r="SFG155" s="250"/>
      <c r="SFH155" s="250"/>
      <c r="SFI155" s="250"/>
      <c r="SFJ155" s="250"/>
      <c r="SFK155" s="250"/>
      <c r="SFL155" s="250"/>
      <c r="SFM155" s="250"/>
      <c r="SFN155" s="250"/>
      <c r="SFO155" s="250"/>
      <c r="SFP155" s="250"/>
      <c r="SFQ155" s="250"/>
      <c r="SFR155" s="250"/>
      <c r="SFS155" s="250"/>
      <c r="SFT155" s="250"/>
      <c r="SFU155" s="250"/>
      <c r="SFV155" s="250"/>
      <c r="SFW155" s="250"/>
      <c r="SFX155" s="250"/>
      <c r="SFY155" s="250"/>
      <c r="SFZ155" s="250"/>
      <c r="SGA155" s="250"/>
      <c r="SGB155" s="250"/>
      <c r="SGC155" s="250"/>
      <c r="SGD155" s="250"/>
      <c r="SGE155" s="250"/>
      <c r="SGF155" s="250"/>
      <c r="SGG155" s="250"/>
      <c r="SGH155" s="250"/>
      <c r="SGI155" s="250"/>
      <c r="SGJ155" s="250"/>
      <c r="SGK155" s="250"/>
      <c r="SGL155" s="250"/>
      <c r="SGM155" s="250"/>
      <c r="SGN155" s="250"/>
      <c r="SGO155" s="250"/>
      <c r="SGP155" s="250"/>
      <c r="SGQ155" s="250"/>
      <c r="SGR155" s="250"/>
      <c r="SGS155" s="250"/>
      <c r="SGT155" s="250"/>
      <c r="SGU155" s="250"/>
      <c r="SGV155" s="250"/>
      <c r="SGW155" s="250"/>
      <c r="SGX155" s="250"/>
      <c r="SGY155" s="250"/>
      <c r="SGZ155" s="250"/>
      <c r="SHA155" s="250"/>
      <c r="SHB155" s="250"/>
      <c r="SHC155" s="250"/>
      <c r="SHD155" s="250"/>
      <c r="SHE155" s="250"/>
      <c r="SHF155" s="250"/>
      <c r="SHG155" s="250"/>
      <c r="SHH155" s="250"/>
      <c r="SHI155" s="250"/>
      <c r="SHJ155" s="250"/>
      <c r="SHK155" s="250"/>
      <c r="SHL155" s="250"/>
      <c r="SHM155" s="250"/>
      <c r="SHN155" s="250"/>
      <c r="SHO155" s="250"/>
      <c r="SHP155" s="250"/>
      <c r="SHQ155" s="250"/>
      <c r="SHR155" s="250"/>
      <c r="SHS155" s="250"/>
      <c r="SHT155" s="250"/>
      <c r="SHU155" s="250"/>
      <c r="SHV155" s="250"/>
      <c r="SHW155" s="250"/>
      <c r="SHX155" s="250"/>
      <c r="SHY155" s="250"/>
      <c r="SHZ155" s="250"/>
      <c r="SIA155" s="250"/>
      <c r="SIB155" s="250"/>
      <c r="SIC155" s="250"/>
      <c r="SID155" s="250"/>
      <c r="SIE155" s="250"/>
      <c r="SIF155" s="250"/>
      <c r="SIG155" s="250"/>
      <c r="SIH155" s="250"/>
      <c r="SII155" s="250"/>
      <c r="SIJ155" s="250"/>
      <c r="SIK155" s="250"/>
      <c r="SIL155" s="250"/>
      <c r="SIM155" s="250"/>
      <c r="SIN155" s="250"/>
      <c r="SIO155" s="250"/>
      <c r="SIP155" s="250"/>
      <c r="SIQ155" s="250"/>
      <c r="SIR155" s="250"/>
      <c r="SIS155" s="250"/>
      <c r="SIT155" s="250"/>
      <c r="SIU155" s="250"/>
      <c r="SIV155" s="250"/>
      <c r="SIW155" s="250"/>
      <c r="SIX155" s="250"/>
      <c r="SIY155" s="250"/>
      <c r="SIZ155" s="250"/>
      <c r="SJA155" s="250"/>
      <c r="SJB155" s="250"/>
      <c r="SJC155" s="250"/>
      <c r="SJD155" s="250"/>
      <c r="SJE155" s="250"/>
      <c r="SJF155" s="250"/>
      <c r="SJG155" s="250"/>
      <c r="SJH155" s="250"/>
      <c r="SJI155" s="250"/>
      <c r="SJJ155" s="250"/>
      <c r="SJK155" s="250"/>
      <c r="SJL155" s="250"/>
      <c r="SJM155" s="250"/>
      <c r="SJN155" s="250"/>
      <c r="SJO155" s="250"/>
      <c r="SJP155" s="250"/>
      <c r="SJQ155" s="250"/>
      <c r="SJR155" s="250"/>
      <c r="SJS155" s="250"/>
      <c r="SJT155" s="250"/>
      <c r="SJU155" s="250"/>
      <c r="SJV155" s="250"/>
      <c r="SJW155" s="250"/>
      <c r="SJX155" s="250"/>
      <c r="SJY155" s="250"/>
      <c r="SJZ155" s="250"/>
      <c r="SKA155" s="250"/>
      <c r="SKB155" s="250"/>
      <c r="SKC155" s="250"/>
      <c r="SKD155" s="250"/>
      <c r="SKE155" s="250"/>
      <c r="SKF155" s="250"/>
      <c r="SKG155" s="250"/>
      <c r="SKH155" s="250"/>
      <c r="SKI155" s="250"/>
      <c r="SKJ155" s="250"/>
      <c r="SKK155" s="250"/>
      <c r="SKL155" s="250"/>
      <c r="SKM155" s="250"/>
      <c r="SKN155" s="250"/>
      <c r="SKO155" s="250"/>
      <c r="SKP155" s="250"/>
      <c r="SKQ155" s="250"/>
      <c r="SKR155" s="250"/>
      <c r="SKS155" s="250"/>
      <c r="SKT155" s="250"/>
      <c r="SKU155" s="250"/>
      <c r="SKV155" s="250"/>
      <c r="SKW155" s="250"/>
      <c r="SKX155" s="250"/>
      <c r="SKY155" s="250"/>
      <c r="SKZ155" s="250"/>
      <c r="SLA155" s="250"/>
      <c r="SLB155" s="250"/>
      <c r="SLC155" s="250"/>
      <c r="SLD155" s="250"/>
      <c r="SLE155" s="250"/>
      <c r="SLF155" s="250"/>
      <c r="SLG155" s="250"/>
      <c r="SLH155" s="250"/>
      <c r="SLI155" s="250"/>
      <c r="SLJ155" s="250"/>
      <c r="SLK155" s="250"/>
      <c r="SLL155" s="250"/>
      <c r="SLM155" s="250"/>
      <c r="SLN155" s="250"/>
      <c r="SLO155" s="250"/>
      <c r="SLP155" s="250"/>
      <c r="SLQ155" s="250"/>
      <c r="SLR155" s="250"/>
      <c r="SLS155" s="250"/>
      <c r="SLT155" s="250"/>
      <c r="SLU155" s="250"/>
      <c r="SLV155" s="250"/>
      <c r="SLW155" s="250"/>
      <c r="SLX155" s="250"/>
      <c r="SLY155" s="250"/>
      <c r="SLZ155" s="250"/>
      <c r="SMA155" s="250"/>
      <c r="SMB155" s="250"/>
      <c r="SMC155" s="250"/>
      <c r="SMD155" s="250"/>
      <c r="SME155" s="250"/>
      <c r="SMF155" s="250"/>
      <c r="SMG155" s="250"/>
      <c r="SMH155" s="250"/>
      <c r="SMI155" s="250"/>
      <c r="SMJ155" s="250"/>
      <c r="SMK155" s="250"/>
      <c r="SML155" s="250"/>
      <c r="SMM155" s="250"/>
      <c r="SMN155" s="250"/>
      <c r="SMO155" s="250"/>
      <c r="SMP155" s="250"/>
      <c r="SMQ155" s="250"/>
      <c r="SMR155" s="250"/>
      <c r="SMS155" s="250"/>
      <c r="SMT155" s="250"/>
      <c r="SMU155" s="250"/>
      <c r="SMV155" s="250"/>
      <c r="SMW155" s="250"/>
      <c r="SMX155" s="250"/>
      <c r="SMY155" s="250"/>
      <c r="SMZ155" s="250"/>
      <c r="SNA155" s="250"/>
      <c r="SNB155" s="250"/>
      <c r="SNC155" s="250"/>
      <c r="SND155" s="250"/>
      <c r="SNE155" s="250"/>
      <c r="SNF155" s="250"/>
      <c r="SNG155" s="250"/>
      <c r="SNH155" s="250"/>
      <c r="SNI155" s="250"/>
      <c r="SNJ155" s="250"/>
      <c r="SNK155" s="250"/>
      <c r="SNL155" s="250"/>
      <c r="SNM155" s="250"/>
      <c r="SNN155" s="250"/>
      <c r="SNO155" s="250"/>
      <c r="SNP155" s="250"/>
      <c r="SNQ155" s="250"/>
      <c r="SNR155" s="250"/>
      <c r="SNS155" s="250"/>
      <c r="SNT155" s="250"/>
      <c r="SNU155" s="250"/>
      <c r="SNV155" s="250"/>
      <c r="SNW155" s="250"/>
      <c r="SNX155" s="250"/>
      <c r="SNY155" s="250"/>
      <c r="SNZ155" s="250"/>
      <c r="SOA155" s="250"/>
      <c r="SOB155" s="250"/>
      <c r="SOC155" s="250"/>
      <c r="SOD155" s="250"/>
      <c r="SOE155" s="250"/>
      <c r="SOF155" s="250"/>
      <c r="SOG155" s="250"/>
      <c r="SOH155" s="250"/>
      <c r="SOI155" s="250"/>
      <c r="SOJ155" s="250"/>
      <c r="SOK155" s="250"/>
      <c r="SOL155" s="250"/>
      <c r="SOM155" s="250"/>
      <c r="SON155" s="250"/>
      <c r="SOO155" s="250"/>
      <c r="SOP155" s="250"/>
      <c r="SOQ155" s="250"/>
      <c r="SOR155" s="250"/>
      <c r="SOS155" s="250"/>
      <c r="SOT155" s="250"/>
      <c r="SOU155" s="250"/>
      <c r="SOV155" s="250"/>
      <c r="SOW155" s="250"/>
      <c r="SOX155" s="250"/>
      <c r="SOY155" s="250"/>
      <c r="SOZ155" s="250"/>
      <c r="SPA155" s="250"/>
      <c r="SPB155" s="250"/>
      <c r="SPC155" s="250"/>
      <c r="SPD155" s="250"/>
      <c r="SPE155" s="250"/>
      <c r="SPF155" s="250"/>
      <c r="SPG155" s="250"/>
      <c r="SPH155" s="250"/>
      <c r="SPI155" s="250"/>
      <c r="SPJ155" s="250"/>
      <c r="SPK155" s="250"/>
      <c r="SPL155" s="250"/>
      <c r="SPM155" s="250"/>
      <c r="SPN155" s="250"/>
      <c r="SPO155" s="250"/>
      <c r="SPP155" s="250"/>
      <c r="SPQ155" s="250"/>
      <c r="SPR155" s="250"/>
      <c r="SPS155" s="250"/>
      <c r="SPT155" s="250"/>
      <c r="SPU155" s="250"/>
      <c r="SPV155" s="250"/>
      <c r="SPW155" s="250"/>
      <c r="SPX155" s="250"/>
      <c r="SPY155" s="250"/>
      <c r="SPZ155" s="250"/>
      <c r="SQA155" s="250"/>
      <c r="SQB155" s="250"/>
      <c r="SQC155" s="250"/>
      <c r="SQD155" s="250"/>
      <c r="SQE155" s="250"/>
      <c r="SQF155" s="250"/>
      <c r="SQG155" s="250"/>
      <c r="SQH155" s="250"/>
      <c r="SQI155" s="250"/>
      <c r="SQJ155" s="250"/>
      <c r="SQK155" s="250"/>
      <c r="SQL155" s="250"/>
      <c r="SQM155" s="250"/>
      <c r="SQN155" s="250"/>
      <c r="SQO155" s="250"/>
      <c r="SQP155" s="250"/>
      <c r="SQQ155" s="250"/>
      <c r="SQR155" s="250"/>
      <c r="SQS155" s="250"/>
      <c r="SQT155" s="250"/>
      <c r="SQU155" s="250"/>
      <c r="SQV155" s="250"/>
      <c r="SQW155" s="250"/>
      <c r="SQX155" s="250"/>
      <c r="SQY155" s="250"/>
      <c r="SQZ155" s="250"/>
      <c r="SRA155" s="250"/>
      <c r="SRB155" s="250"/>
      <c r="SRC155" s="250"/>
      <c r="SRD155" s="250"/>
      <c r="SRE155" s="250"/>
      <c r="SRF155" s="250"/>
      <c r="SRG155" s="250"/>
      <c r="SRH155" s="250"/>
      <c r="SRI155" s="250"/>
      <c r="SRJ155" s="250"/>
      <c r="SRK155" s="250"/>
      <c r="SRL155" s="250"/>
      <c r="SRM155" s="250"/>
      <c r="SRN155" s="250"/>
      <c r="SRO155" s="250"/>
      <c r="SRP155" s="250"/>
      <c r="SRQ155" s="250"/>
      <c r="SRR155" s="250"/>
      <c r="SRS155" s="250"/>
      <c r="SRT155" s="250"/>
      <c r="SRU155" s="250"/>
      <c r="SRV155" s="250"/>
      <c r="SRW155" s="250"/>
      <c r="SRX155" s="250"/>
      <c r="SRY155" s="250"/>
      <c r="SRZ155" s="250"/>
      <c r="SSA155" s="250"/>
      <c r="SSB155" s="250"/>
      <c r="SSC155" s="250"/>
      <c r="SSD155" s="250"/>
      <c r="SSE155" s="250"/>
      <c r="SSF155" s="250"/>
      <c r="SSG155" s="250"/>
      <c r="SSH155" s="250"/>
      <c r="SSI155" s="250"/>
      <c r="SSJ155" s="250"/>
      <c r="SSK155" s="250"/>
      <c r="SSL155" s="250"/>
      <c r="SSM155" s="250"/>
      <c r="SSN155" s="250"/>
      <c r="SSO155" s="250"/>
      <c r="SSP155" s="250"/>
      <c r="SSQ155" s="250"/>
      <c r="SSR155" s="250"/>
      <c r="SSS155" s="250"/>
      <c r="SST155" s="250"/>
      <c r="SSU155" s="250"/>
      <c r="SSV155" s="250"/>
      <c r="SSW155" s="250"/>
      <c r="SSX155" s="250"/>
      <c r="SSY155" s="250"/>
      <c r="SSZ155" s="250"/>
      <c r="STA155" s="250"/>
      <c r="STB155" s="250"/>
      <c r="STC155" s="250"/>
      <c r="STD155" s="250"/>
      <c r="STE155" s="250"/>
      <c r="STF155" s="250"/>
      <c r="STG155" s="250"/>
      <c r="STH155" s="250"/>
      <c r="STI155" s="250"/>
      <c r="STJ155" s="250"/>
      <c r="STK155" s="250"/>
      <c r="STL155" s="250"/>
      <c r="STM155" s="250"/>
      <c r="STN155" s="250"/>
      <c r="STO155" s="250"/>
      <c r="STP155" s="250"/>
      <c r="STQ155" s="250"/>
      <c r="STR155" s="250"/>
      <c r="STS155" s="250"/>
      <c r="STT155" s="250"/>
      <c r="STU155" s="250"/>
      <c r="STV155" s="250"/>
      <c r="STW155" s="250"/>
      <c r="STX155" s="250"/>
      <c r="STY155" s="250"/>
      <c r="STZ155" s="250"/>
      <c r="SUA155" s="250"/>
      <c r="SUB155" s="250"/>
      <c r="SUC155" s="250"/>
      <c r="SUD155" s="250"/>
      <c r="SUE155" s="250"/>
      <c r="SUF155" s="250"/>
      <c r="SUG155" s="250"/>
      <c r="SUH155" s="250"/>
      <c r="SUI155" s="250"/>
      <c r="SUJ155" s="250"/>
      <c r="SUK155" s="250"/>
      <c r="SUL155" s="250"/>
      <c r="SUM155" s="250"/>
      <c r="SUN155" s="250"/>
      <c r="SUO155" s="250"/>
      <c r="SUP155" s="250"/>
      <c r="SUQ155" s="250"/>
      <c r="SUR155" s="250"/>
      <c r="SUS155" s="250"/>
      <c r="SUT155" s="250"/>
      <c r="SUU155" s="250"/>
      <c r="SUV155" s="250"/>
      <c r="SUW155" s="250"/>
      <c r="SUX155" s="250"/>
      <c r="SUY155" s="250"/>
      <c r="SUZ155" s="250"/>
      <c r="SVA155" s="250"/>
      <c r="SVB155" s="250"/>
      <c r="SVC155" s="250"/>
      <c r="SVD155" s="250"/>
      <c r="SVE155" s="250"/>
      <c r="SVF155" s="250"/>
      <c r="SVG155" s="250"/>
      <c r="SVH155" s="250"/>
      <c r="SVI155" s="250"/>
      <c r="SVJ155" s="250"/>
      <c r="SVK155" s="250"/>
      <c r="SVL155" s="250"/>
      <c r="SVM155" s="250"/>
      <c r="SVN155" s="250"/>
      <c r="SVO155" s="250"/>
      <c r="SVP155" s="250"/>
      <c r="SVQ155" s="250"/>
      <c r="SVR155" s="250"/>
      <c r="SVS155" s="250"/>
      <c r="SVT155" s="250"/>
      <c r="SVU155" s="250"/>
      <c r="SVV155" s="250"/>
      <c r="SVW155" s="250"/>
      <c r="SVX155" s="250"/>
      <c r="SVY155" s="250"/>
      <c r="SVZ155" s="250"/>
      <c r="SWA155" s="250"/>
      <c r="SWB155" s="250"/>
      <c r="SWC155" s="250"/>
      <c r="SWD155" s="250"/>
      <c r="SWE155" s="250"/>
      <c r="SWF155" s="250"/>
      <c r="SWG155" s="250"/>
      <c r="SWH155" s="250"/>
      <c r="SWI155" s="250"/>
      <c r="SWJ155" s="250"/>
      <c r="SWK155" s="250"/>
      <c r="SWL155" s="250"/>
      <c r="SWM155" s="250"/>
      <c r="SWN155" s="250"/>
      <c r="SWO155" s="250"/>
      <c r="SWP155" s="250"/>
      <c r="SWQ155" s="250"/>
      <c r="SWR155" s="250"/>
      <c r="SWS155" s="250"/>
      <c r="SWT155" s="250"/>
      <c r="SWU155" s="250"/>
      <c r="SWV155" s="250"/>
      <c r="SWW155" s="250"/>
      <c r="SWX155" s="250"/>
      <c r="SWY155" s="250"/>
      <c r="SWZ155" s="250"/>
      <c r="SXA155" s="250"/>
      <c r="SXB155" s="250"/>
      <c r="SXC155" s="250"/>
      <c r="SXD155" s="250"/>
      <c r="SXE155" s="250"/>
      <c r="SXF155" s="250"/>
      <c r="SXG155" s="250"/>
      <c r="SXH155" s="250"/>
      <c r="SXI155" s="250"/>
      <c r="SXJ155" s="250"/>
      <c r="SXK155" s="250"/>
      <c r="SXL155" s="250"/>
      <c r="SXM155" s="250"/>
      <c r="SXN155" s="250"/>
      <c r="SXO155" s="250"/>
      <c r="SXP155" s="250"/>
      <c r="SXQ155" s="250"/>
      <c r="SXR155" s="250"/>
      <c r="SXS155" s="250"/>
      <c r="SXT155" s="250"/>
      <c r="SXU155" s="250"/>
      <c r="SXV155" s="250"/>
      <c r="SXW155" s="250"/>
      <c r="SXX155" s="250"/>
      <c r="SXY155" s="250"/>
      <c r="SXZ155" s="250"/>
      <c r="SYA155" s="250"/>
      <c r="SYB155" s="250"/>
      <c r="SYC155" s="250"/>
      <c r="SYD155" s="250"/>
      <c r="SYE155" s="250"/>
      <c r="SYF155" s="250"/>
      <c r="SYG155" s="250"/>
      <c r="SYH155" s="250"/>
      <c r="SYI155" s="250"/>
      <c r="SYJ155" s="250"/>
      <c r="SYK155" s="250"/>
      <c r="SYL155" s="250"/>
      <c r="SYM155" s="250"/>
      <c r="SYN155" s="250"/>
      <c r="SYO155" s="250"/>
      <c r="SYP155" s="250"/>
      <c r="SYQ155" s="250"/>
      <c r="SYR155" s="250"/>
      <c r="SYS155" s="250"/>
      <c r="SYT155" s="250"/>
      <c r="SYU155" s="250"/>
      <c r="SYV155" s="250"/>
      <c r="SYW155" s="250"/>
      <c r="SYX155" s="250"/>
      <c r="SYY155" s="250"/>
      <c r="SYZ155" s="250"/>
      <c r="SZA155" s="250"/>
      <c r="SZB155" s="250"/>
      <c r="SZC155" s="250"/>
      <c r="SZD155" s="250"/>
      <c r="SZE155" s="250"/>
      <c r="SZF155" s="250"/>
      <c r="SZG155" s="250"/>
      <c r="SZH155" s="250"/>
      <c r="SZI155" s="250"/>
      <c r="SZJ155" s="250"/>
      <c r="SZK155" s="250"/>
      <c r="SZL155" s="250"/>
      <c r="SZM155" s="250"/>
      <c r="SZN155" s="250"/>
      <c r="SZO155" s="250"/>
      <c r="SZP155" s="250"/>
      <c r="SZQ155" s="250"/>
      <c r="SZR155" s="250"/>
      <c r="SZS155" s="250"/>
      <c r="SZT155" s="250"/>
      <c r="SZU155" s="250"/>
      <c r="SZV155" s="250"/>
      <c r="SZW155" s="250"/>
      <c r="SZX155" s="250"/>
      <c r="SZY155" s="250"/>
      <c r="SZZ155" s="250"/>
      <c r="TAA155" s="250"/>
      <c r="TAB155" s="250"/>
      <c r="TAC155" s="250"/>
      <c r="TAD155" s="250"/>
      <c r="TAE155" s="250"/>
      <c r="TAF155" s="250"/>
      <c r="TAG155" s="250"/>
      <c r="TAH155" s="250"/>
      <c r="TAI155" s="250"/>
      <c r="TAJ155" s="250"/>
      <c r="TAK155" s="250"/>
      <c r="TAL155" s="250"/>
      <c r="TAM155" s="250"/>
      <c r="TAN155" s="250"/>
      <c r="TAO155" s="250"/>
      <c r="TAP155" s="250"/>
      <c r="TAQ155" s="250"/>
      <c r="TAR155" s="250"/>
      <c r="TAS155" s="250"/>
      <c r="TAT155" s="250"/>
      <c r="TAU155" s="250"/>
      <c r="TAV155" s="250"/>
      <c r="TAW155" s="250"/>
      <c r="TAX155" s="250"/>
      <c r="TAY155" s="250"/>
      <c r="TAZ155" s="250"/>
      <c r="TBA155" s="250"/>
      <c r="TBB155" s="250"/>
      <c r="TBC155" s="250"/>
      <c r="TBD155" s="250"/>
      <c r="TBE155" s="250"/>
      <c r="TBF155" s="250"/>
      <c r="TBG155" s="250"/>
      <c r="TBH155" s="250"/>
      <c r="TBI155" s="250"/>
      <c r="TBJ155" s="250"/>
      <c r="TBK155" s="250"/>
      <c r="TBL155" s="250"/>
      <c r="TBM155" s="250"/>
      <c r="TBN155" s="250"/>
      <c r="TBO155" s="250"/>
      <c r="TBP155" s="250"/>
      <c r="TBQ155" s="250"/>
      <c r="TBR155" s="250"/>
      <c r="TBS155" s="250"/>
      <c r="TBT155" s="250"/>
      <c r="TBU155" s="250"/>
      <c r="TBV155" s="250"/>
      <c r="TBW155" s="250"/>
      <c r="TBX155" s="250"/>
      <c r="TBY155" s="250"/>
      <c r="TBZ155" s="250"/>
      <c r="TCA155" s="250"/>
      <c r="TCB155" s="250"/>
      <c r="TCC155" s="250"/>
      <c r="TCD155" s="250"/>
      <c r="TCE155" s="250"/>
      <c r="TCF155" s="250"/>
      <c r="TCG155" s="250"/>
      <c r="TCH155" s="250"/>
      <c r="TCI155" s="250"/>
      <c r="TCJ155" s="250"/>
      <c r="TCK155" s="250"/>
      <c r="TCL155" s="250"/>
      <c r="TCM155" s="250"/>
      <c r="TCN155" s="250"/>
      <c r="TCO155" s="250"/>
      <c r="TCP155" s="250"/>
      <c r="TCQ155" s="250"/>
      <c r="TCR155" s="250"/>
      <c r="TCS155" s="250"/>
      <c r="TCT155" s="250"/>
      <c r="TCU155" s="250"/>
      <c r="TCV155" s="250"/>
      <c r="TCW155" s="250"/>
      <c r="TCX155" s="250"/>
      <c r="TCY155" s="250"/>
      <c r="TCZ155" s="250"/>
      <c r="TDA155" s="250"/>
      <c r="TDB155" s="250"/>
      <c r="TDC155" s="250"/>
      <c r="TDD155" s="250"/>
      <c r="TDE155" s="250"/>
      <c r="TDF155" s="250"/>
      <c r="TDG155" s="250"/>
      <c r="TDH155" s="250"/>
      <c r="TDI155" s="250"/>
      <c r="TDJ155" s="250"/>
      <c r="TDK155" s="250"/>
      <c r="TDL155" s="250"/>
      <c r="TDM155" s="250"/>
      <c r="TDN155" s="250"/>
      <c r="TDO155" s="250"/>
      <c r="TDP155" s="250"/>
      <c r="TDQ155" s="250"/>
      <c r="TDR155" s="250"/>
      <c r="TDS155" s="250"/>
      <c r="TDT155" s="250"/>
      <c r="TDU155" s="250"/>
      <c r="TDV155" s="250"/>
      <c r="TDW155" s="250"/>
      <c r="TDX155" s="250"/>
      <c r="TDY155" s="250"/>
      <c r="TDZ155" s="250"/>
      <c r="TEA155" s="250"/>
      <c r="TEB155" s="250"/>
      <c r="TEC155" s="250"/>
      <c r="TED155" s="250"/>
      <c r="TEE155" s="250"/>
      <c r="TEF155" s="250"/>
      <c r="TEG155" s="250"/>
      <c r="TEH155" s="250"/>
      <c r="TEI155" s="250"/>
      <c r="TEJ155" s="250"/>
      <c r="TEK155" s="250"/>
      <c r="TEL155" s="250"/>
      <c r="TEM155" s="250"/>
      <c r="TEN155" s="250"/>
      <c r="TEO155" s="250"/>
      <c r="TEP155" s="250"/>
      <c r="TEQ155" s="250"/>
      <c r="TER155" s="250"/>
      <c r="TES155" s="250"/>
      <c r="TET155" s="250"/>
      <c r="TEU155" s="250"/>
      <c r="TEV155" s="250"/>
      <c r="TEW155" s="250"/>
      <c r="TEX155" s="250"/>
      <c r="TEY155" s="250"/>
      <c r="TEZ155" s="250"/>
      <c r="TFA155" s="250"/>
      <c r="TFB155" s="250"/>
      <c r="TFC155" s="250"/>
      <c r="TFD155" s="250"/>
      <c r="TFE155" s="250"/>
      <c r="TFF155" s="250"/>
      <c r="TFG155" s="250"/>
      <c r="TFH155" s="250"/>
      <c r="TFI155" s="250"/>
      <c r="TFJ155" s="250"/>
      <c r="TFK155" s="250"/>
      <c r="TFL155" s="250"/>
      <c r="TFM155" s="250"/>
      <c r="TFN155" s="250"/>
      <c r="TFO155" s="250"/>
      <c r="TFP155" s="250"/>
      <c r="TFQ155" s="250"/>
      <c r="TFR155" s="250"/>
      <c r="TFS155" s="250"/>
      <c r="TFT155" s="250"/>
      <c r="TFU155" s="250"/>
      <c r="TFV155" s="250"/>
      <c r="TFW155" s="250"/>
      <c r="TFX155" s="250"/>
      <c r="TFY155" s="250"/>
      <c r="TFZ155" s="250"/>
      <c r="TGA155" s="250"/>
      <c r="TGB155" s="250"/>
      <c r="TGC155" s="250"/>
      <c r="TGD155" s="250"/>
      <c r="TGE155" s="250"/>
      <c r="TGF155" s="250"/>
      <c r="TGG155" s="250"/>
      <c r="TGH155" s="250"/>
      <c r="TGI155" s="250"/>
      <c r="TGJ155" s="250"/>
      <c r="TGK155" s="250"/>
      <c r="TGL155" s="250"/>
      <c r="TGM155" s="250"/>
      <c r="TGN155" s="250"/>
      <c r="TGO155" s="250"/>
      <c r="TGP155" s="250"/>
      <c r="TGQ155" s="250"/>
      <c r="TGR155" s="250"/>
      <c r="TGS155" s="250"/>
      <c r="TGT155" s="250"/>
      <c r="TGU155" s="250"/>
      <c r="TGV155" s="250"/>
      <c r="TGW155" s="250"/>
      <c r="TGX155" s="250"/>
      <c r="TGY155" s="250"/>
      <c r="TGZ155" s="250"/>
      <c r="THA155" s="250"/>
      <c r="THB155" s="250"/>
      <c r="THC155" s="250"/>
      <c r="THD155" s="250"/>
      <c r="THE155" s="250"/>
      <c r="THF155" s="250"/>
      <c r="THG155" s="250"/>
      <c r="THH155" s="250"/>
      <c r="THI155" s="250"/>
      <c r="THJ155" s="250"/>
      <c r="THK155" s="250"/>
      <c r="THL155" s="250"/>
      <c r="THM155" s="250"/>
      <c r="THN155" s="250"/>
      <c r="THO155" s="250"/>
      <c r="THP155" s="250"/>
      <c r="THQ155" s="250"/>
      <c r="THR155" s="250"/>
      <c r="THS155" s="250"/>
      <c r="THT155" s="250"/>
      <c r="THU155" s="250"/>
      <c r="THV155" s="250"/>
      <c r="THW155" s="250"/>
      <c r="THX155" s="250"/>
      <c r="THY155" s="250"/>
      <c r="THZ155" s="250"/>
      <c r="TIA155" s="250"/>
      <c r="TIB155" s="250"/>
      <c r="TIC155" s="250"/>
      <c r="TID155" s="250"/>
      <c r="TIE155" s="250"/>
      <c r="TIF155" s="250"/>
      <c r="TIG155" s="250"/>
      <c r="TIH155" s="250"/>
      <c r="TII155" s="250"/>
      <c r="TIJ155" s="250"/>
      <c r="TIK155" s="250"/>
      <c r="TIL155" s="250"/>
      <c r="TIM155" s="250"/>
      <c r="TIN155" s="250"/>
      <c r="TIO155" s="250"/>
      <c r="TIP155" s="250"/>
      <c r="TIQ155" s="250"/>
      <c r="TIR155" s="250"/>
      <c r="TIS155" s="250"/>
      <c r="TIT155" s="250"/>
      <c r="TIU155" s="250"/>
      <c r="TIV155" s="250"/>
      <c r="TIW155" s="250"/>
      <c r="TIX155" s="250"/>
      <c r="TIY155" s="250"/>
      <c r="TIZ155" s="250"/>
      <c r="TJA155" s="250"/>
      <c r="TJB155" s="250"/>
      <c r="TJC155" s="250"/>
      <c r="TJD155" s="250"/>
      <c r="TJE155" s="250"/>
      <c r="TJF155" s="250"/>
      <c r="TJG155" s="250"/>
      <c r="TJH155" s="250"/>
      <c r="TJI155" s="250"/>
      <c r="TJJ155" s="250"/>
      <c r="TJK155" s="250"/>
      <c r="TJL155" s="250"/>
      <c r="TJM155" s="250"/>
      <c r="TJN155" s="250"/>
      <c r="TJO155" s="250"/>
      <c r="TJP155" s="250"/>
      <c r="TJQ155" s="250"/>
      <c r="TJR155" s="250"/>
      <c r="TJS155" s="250"/>
      <c r="TJT155" s="250"/>
      <c r="TJU155" s="250"/>
      <c r="TJV155" s="250"/>
      <c r="TJW155" s="250"/>
      <c r="TJX155" s="250"/>
      <c r="TJY155" s="250"/>
      <c r="TJZ155" s="250"/>
      <c r="TKA155" s="250"/>
      <c r="TKB155" s="250"/>
      <c r="TKC155" s="250"/>
      <c r="TKD155" s="250"/>
      <c r="TKE155" s="250"/>
      <c r="TKF155" s="250"/>
      <c r="TKG155" s="250"/>
      <c r="TKH155" s="250"/>
      <c r="TKI155" s="250"/>
      <c r="TKJ155" s="250"/>
      <c r="TKK155" s="250"/>
      <c r="TKL155" s="250"/>
      <c r="TKM155" s="250"/>
      <c r="TKN155" s="250"/>
      <c r="TKO155" s="250"/>
      <c r="TKP155" s="250"/>
      <c r="TKQ155" s="250"/>
      <c r="TKR155" s="250"/>
      <c r="TKS155" s="250"/>
      <c r="TKT155" s="250"/>
      <c r="TKU155" s="250"/>
      <c r="TKV155" s="250"/>
      <c r="TKW155" s="250"/>
      <c r="TKX155" s="250"/>
      <c r="TKY155" s="250"/>
      <c r="TKZ155" s="250"/>
      <c r="TLA155" s="250"/>
      <c r="TLB155" s="250"/>
      <c r="TLC155" s="250"/>
      <c r="TLD155" s="250"/>
      <c r="TLE155" s="250"/>
      <c r="TLF155" s="250"/>
      <c r="TLG155" s="250"/>
      <c r="TLH155" s="250"/>
      <c r="TLI155" s="250"/>
      <c r="TLJ155" s="250"/>
      <c r="TLK155" s="250"/>
      <c r="TLL155" s="250"/>
      <c r="TLM155" s="250"/>
      <c r="TLN155" s="250"/>
      <c r="TLO155" s="250"/>
      <c r="TLP155" s="250"/>
      <c r="TLQ155" s="250"/>
      <c r="TLR155" s="250"/>
      <c r="TLS155" s="250"/>
      <c r="TLT155" s="250"/>
      <c r="TLU155" s="250"/>
      <c r="TLV155" s="250"/>
      <c r="TLW155" s="250"/>
      <c r="TLX155" s="250"/>
      <c r="TLY155" s="250"/>
      <c r="TLZ155" s="250"/>
      <c r="TMA155" s="250"/>
      <c r="TMB155" s="250"/>
      <c r="TMC155" s="250"/>
      <c r="TMD155" s="250"/>
      <c r="TME155" s="250"/>
      <c r="TMF155" s="250"/>
      <c r="TMG155" s="250"/>
      <c r="TMH155" s="250"/>
      <c r="TMI155" s="250"/>
      <c r="TMJ155" s="250"/>
      <c r="TMK155" s="250"/>
      <c r="TML155" s="250"/>
      <c r="TMM155" s="250"/>
      <c r="TMN155" s="250"/>
      <c r="TMO155" s="250"/>
      <c r="TMP155" s="250"/>
      <c r="TMQ155" s="250"/>
      <c r="TMR155" s="250"/>
      <c r="TMS155" s="250"/>
      <c r="TMT155" s="250"/>
      <c r="TMU155" s="250"/>
      <c r="TMV155" s="250"/>
      <c r="TMW155" s="250"/>
      <c r="TMX155" s="250"/>
      <c r="TMY155" s="250"/>
      <c r="TMZ155" s="250"/>
      <c r="TNA155" s="250"/>
      <c r="TNB155" s="250"/>
      <c r="TNC155" s="250"/>
      <c r="TND155" s="250"/>
      <c r="TNE155" s="250"/>
      <c r="TNF155" s="250"/>
      <c r="TNG155" s="250"/>
      <c r="TNH155" s="250"/>
      <c r="TNI155" s="250"/>
      <c r="TNJ155" s="250"/>
      <c r="TNK155" s="250"/>
      <c r="TNL155" s="250"/>
      <c r="TNM155" s="250"/>
      <c r="TNN155" s="250"/>
      <c r="TNO155" s="250"/>
      <c r="TNP155" s="250"/>
      <c r="TNQ155" s="250"/>
      <c r="TNR155" s="250"/>
      <c r="TNS155" s="250"/>
      <c r="TNT155" s="250"/>
      <c r="TNU155" s="250"/>
      <c r="TNV155" s="250"/>
      <c r="TNW155" s="250"/>
      <c r="TNX155" s="250"/>
      <c r="TNY155" s="250"/>
      <c r="TNZ155" s="250"/>
      <c r="TOA155" s="250"/>
      <c r="TOB155" s="250"/>
      <c r="TOC155" s="250"/>
      <c r="TOD155" s="250"/>
      <c r="TOE155" s="250"/>
      <c r="TOF155" s="250"/>
      <c r="TOG155" s="250"/>
      <c r="TOH155" s="250"/>
      <c r="TOI155" s="250"/>
      <c r="TOJ155" s="250"/>
      <c r="TOK155" s="250"/>
      <c r="TOL155" s="250"/>
      <c r="TOM155" s="250"/>
      <c r="TON155" s="250"/>
      <c r="TOO155" s="250"/>
      <c r="TOP155" s="250"/>
      <c r="TOQ155" s="250"/>
      <c r="TOR155" s="250"/>
      <c r="TOS155" s="250"/>
      <c r="TOT155" s="250"/>
      <c r="TOU155" s="250"/>
      <c r="TOV155" s="250"/>
      <c r="TOW155" s="250"/>
      <c r="TOX155" s="250"/>
      <c r="TOY155" s="250"/>
      <c r="TOZ155" s="250"/>
      <c r="TPA155" s="250"/>
      <c r="TPB155" s="250"/>
      <c r="TPC155" s="250"/>
      <c r="TPD155" s="250"/>
      <c r="TPE155" s="250"/>
      <c r="TPF155" s="250"/>
      <c r="TPG155" s="250"/>
      <c r="TPH155" s="250"/>
      <c r="TPI155" s="250"/>
      <c r="TPJ155" s="250"/>
      <c r="TPK155" s="250"/>
      <c r="TPL155" s="250"/>
      <c r="TPM155" s="250"/>
      <c r="TPN155" s="250"/>
      <c r="TPO155" s="250"/>
      <c r="TPP155" s="250"/>
      <c r="TPQ155" s="250"/>
      <c r="TPR155" s="250"/>
      <c r="TPS155" s="250"/>
      <c r="TPT155" s="250"/>
      <c r="TPU155" s="250"/>
      <c r="TPV155" s="250"/>
      <c r="TPW155" s="250"/>
      <c r="TPX155" s="250"/>
      <c r="TPY155" s="250"/>
      <c r="TPZ155" s="250"/>
      <c r="TQA155" s="250"/>
      <c r="TQB155" s="250"/>
      <c r="TQC155" s="250"/>
      <c r="TQD155" s="250"/>
      <c r="TQE155" s="250"/>
      <c r="TQF155" s="250"/>
      <c r="TQG155" s="250"/>
      <c r="TQH155" s="250"/>
      <c r="TQI155" s="250"/>
      <c r="TQJ155" s="250"/>
      <c r="TQK155" s="250"/>
      <c r="TQL155" s="250"/>
      <c r="TQM155" s="250"/>
      <c r="TQN155" s="250"/>
      <c r="TQO155" s="250"/>
      <c r="TQP155" s="250"/>
      <c r="TQQ155" s="250"/>
      <c r="TQR155" s="250"/>
      <c r="TQS155" s="250"/>
      <c r="TQT155" s="250"/>
      <c r="TQU155" s="250"/>
      <c r="TQV155" s="250"/>
      <c r="TQW155" s="250"/>
      <c r="TQX155" s="250"/>
      <c r="TQY155" s="250"/>
      <c r="TQZ155" s="250"/>
      <c r="TRA155" s="250"/>
      <c r="TRB155" s="250"/>
      <c r="TRC155" s="250"/>
      <c r="TRD155" s="250"/>
      <c r="TRE155" s="250"/>
      <c r="TRF155" s="250"/>
      <c r="TRG155" s="250"/>
      <c r="TRH155" s="250"/>
      <c r="TRI155" s="250"/>
      <c r="TRJ155" s="250"/>
      <c r="TRK155" s="250"/>
      <c r="TRL155" s="250"/>
      <c r="TRM155" s="250"/>
      <c r="TRN155" s="250"/>
      <c r="TRO155" s="250"/>
      <c r="TRP155" s="250"/>
      <c r="TRQ155" s="250"/>
      <c r="TRR155" s="250"/>
      <c r="TRS155" s="250"/>
      <c r="TRT155" s="250"/>
      <c r="TRU155" s="250"/>
      <c r="TRV155" s="250"/>
      <c r="TRW155" s="250"/>
      <c r="TRX155" s="250"/>
      <c r="TRY155" s="250"/>
      <c r="TRZ155" s="250"/>
      <c r="TSA155" s="250"/>
      <c r="TSB155" s="250"/>
      <c r="TSC155" s="250"/>
      <c r="TSD155" s="250"/>
      <c r="TSE155" s="250"/>
      <c r="TSF155" s="250"/>
      <c r="TSG155" s="250"/>
      <c r="TSH155" s="250"/>
      <c r="TSI155" s="250"/>
      <c r="TSJ155" s="250"/>
      <c r="TSK155" s="250"/>
      <c r="TSL155" s="250"/>
      <c r="TSM155" s="250"/>
      <c r="TSN155" s="250"/>
      <c r="TSO155" s="250"/>
      <c r="TSP155" s="250"/>
      <c r="TSQ155" s="250"/>
      <c r="TSR155" s="250"/>
      <c r="TSS155" s="250"/>
      <c r="TST155" s="250"/>
      <c r="TSU155" s="250"/>
      <c r="TSV155" s="250"/>
      <c r="TSW155" s="250"/>
      <c r="TSX155" s="250"/>
      <c r="TSY155" s="250"/>
      <c r="TSZ155" s="250"/>
      <c r="TTA155" s="250"/>
      <c r="TTB155" s="250"/>
      <c r="TTC155" s="250"/>
      <c r="TTD155" s="250"/>
      <c r="TTE155" s="250"/>
      <c r="TTF155" s="250"/>
      <c r="TTG155" s="250"/>
      <c r="TTH155" s="250"/>
      <c r="TTI155" s="250"/>
      <c r="TTJ155" s="250"/>
      <c r="TTK155" s="250"/>
      <c r="TTL155" s="250"/>
      <c r="TTM155" s="250"/>
      <c r="TTN155" s="250"/>
      <c r="TTO155" s="250"/>
      <c r="TTP155" s="250"/>
      <c r="TTQ155" s="250"/>
      <c r="TTR155" s="250"/>
      <c r="TTS155" s="250"/>
      <c r="TTT155" s="250"/>
      <c r="TTU155" s="250"/>
      <c r="TTV155" s="250"/>
      <c r="TTW155" s="250"/>
      <c r="TTX155" s="250"/>
      <c r="TTY155" s="250"/>
      <c r="TTZ155" s="250"/>
      <c r="TUA155" s="250"/>
      <c r="TUB155" s="250"/>
      <c r="TUC155" s="250"/>
      <c r="TUD155" s="250"/>
      <c r="TUE155" s="250"/>
      <c r="TUF155" s="250"/>
      <c r="TUG155" s="250"/>
      <c r="TUH155" s="250"/>
      <c r="TUI155" s="250"/>
      <c r="TUJ155" s="250"/>
      <c r="TUK155" s="250"/>
      <c r="TUL155" s="250"/>
      <c r="TUM155" s="250"/>
      <c r="TUN155" s="250"/>
      <c r="TUO155" s="250"/>
      <c r="TUP155" s="250"/>
      <c r="TUQ155" s="250"/>
      <c r="TUR155" s="250"/>
      <c r="TUS155" s="250"/>
      <c r="TUT155" s="250"/>
      <c r="TUU155" s="250"/>
      <c r="TUV155" s="250"/>
      <c r="TUW155" s="250"/>
      <c r="TUX155" s="250"/>
      <c r="TUY155" s="250"/>
      <c r="TUZ155" s="250"/>
      <c r="TVA155" s="250"/>
      <c r="TVB155" s="250"/>
      <c r="TVC155" s="250"/>
      <c r="TVD155" s="250"/>
      <c r="TVE155" s="250"/>
      <c r="TVF155" s="250"/>
      <c r="TVG155" s="250"/>
      <c r="TVH155" s="250"/>
      <c r="TVI155" s="250"/>
      <c r="TVJ155" s="250"/>
      <c r="TVK155" s="250"/>
      <c r="TVL155" s="250"/>
      <c r="TVM155" s="250"/>
      <c r="TVN155" s="250"/>
      <c r="TVO155" s="250"/>
      <c r="TVP155" s="250"/>
      <c r="TVQ155" s="250"/>
      <c r="TVR155" s="250"/>
      <c r="TVS155" s="250"/>
      <c r="TVT155" s="250"/>
      <c r="TVU155" s="250"/>
      <c r="TVV155" s="250"/>
      <c r="TVW155" s="250"/>
      <c r="TVX155" s="250"/>
      <c r="TVY155" s="250"/>
      <c r="TVZ155" s="250"/>
      <c r="TWA155" s="250"/>
      <c r="TWB155" s="250"/>
      <c r="TWC155" s="250"/>
      <c r="TWD155" s="250"/>
      <c r="TWE155" s="250"/>
      <c r="TWF155" s="250"/>
      <c r="TWG155" s="250"/>
      <c r="TWH155" s="250"/>
      <c r="TWI155" s="250"/>
      <c r="TWJ155" s="250"/>
      <c r="TWK155" s="250"/>
      <c r="TWL155" s="250"/>
      <c r="TWM155" s="250"/>
      <c r="TWN155" s="250"/>
      <c r="TWO155" s="250"/>
      <c r="TWP155" s="250"/>
      <c r="TWQ155" s="250"/>
      <c r="TWR155" s="250"/>
      <c r="TWS155" s="250"/>
      <c r="TWT155" s="250"/>
      <c r="TWU155" s="250"/>
      <c r="TWV155" s="250"/>
      <c r="TWW155" s="250"/>
      <c r="TWX155" s="250"/>
      <c r="TWY155" s="250"/>
      <c r="TWZ155" s="250"/>
      <c r="TXA155" s="250"/>
      <c r="TXB155" s="250"/>
      <c r="TXC155" s="250"/>
      <c r="TXD155" s="250"/>
      <c r="TXE155" s="250"/>
      <c r="TXF155" s="250"/>
      <c r="TXG155" s="250"/>
      <c r="TXH155" s="250"/>
      <c r="TXI155" s="250"/>
      <c r="TXJ155" s="250"/>
      <c r="TXK155" s="250"/>
      <c r="TXL155" s="250"/>
      <c r="TXM155" s="250"/>
      <c r="TXN155" s="250"/>
      <c r="TXO155" s="250"/>
      <c r="TXP155" s="250"/>
      <c r="TXQ155" s="250"/>
      <c r="TXR155" s="250"/>
      <c r="TXS155" s="250"/>
      <c r="TXT155" s="250"/>
      <c r="TXU155" s="250"/>
      <c r="TXV155" s="250"/>
      <c r="TXW155" s="250"/>
      <c r="TXX155" s="250"/>
      <c r="TXY155" s="250"/>
      <c r="TXZ155" s="250"/>
      <c r="TYA155" s="250"/>
      <c r="TYB155" s="250"/>
      <c r="TYC155" s="250"/>
      <c r="TYD155" s="250"/>
      <c r="TYE155" s="250"/>
      <c r="TYF155" s="250"/>
      <c r="TYG155" s="250"/>
      <c r="TYH155" s="250"/>
      <c r="TYI155" s="250"/>
      <c r="TYJ155" s="250"/>
      <c r="TYK155" s="250"/>
      <c r="TYL155" s="250"/>
      <c r="TYM155" s="250"/>
      <c r="TYN155" s="250"/>
      <c r="TYO155" s="250"/>
      <c r="TYP155" s="250"/>
      <c r="TYQ155" s="250"/>
      <c r="TYR155" s="250"/>
      <c r="TYS155" s="250"/>
      <c r="TYT155" s="250"/>
      <c r="TYU155" s="250"/>
      <c r="TYV155" s="250"/>
      <c r="TYW155" s="250"/>
      <c r="TYX155" s="250"/>
      <c r="TYY155" s="250"/>
      <c r="TYZ155" s="250"/>
      <c r="TZA155" s="250"/>
      <c r="TZB155" s="250"/>
      <c r="TZC155" s="250"/>
      <c r="TZD155" s="250"/>
      <c r="TZE155" s="250"/>
      <c r="TZF155" s="250"/>
      <c r="TZG155" s="250"/>
      <c r="TZH155" s="250"/>
      <c r="TZI155" s="250"/>
      <c r="TZJ155" s="250"/>
      <c r="TZK155" s="250"/>
      <c r="TZL155" s="250"/>
      <c r="TZM155" s="250"/>
      <c r="TZN155" s="250"/>
      <c r="TZO155" s="250"/>
      <c r="TZP155" s="250"/>
      <c r="TZQ155" s="250"/>
      <c r="TZR155" s="250"/>
      <c r="TZS155" s="250"/>
      <c r="TZT155" s="250"/>
      <c r="TZU155" s="250"/>
      <c r="TZV155" s="250"/>
      <c r="TZW155" s="250"/>
      <c r="TZX155" s="250"/>
      <c r="TZY155" s="250"/>
      <c r="TZZ155" s="250"/>
      <c r="UAA155" s="250"/>
      <c r="UAB155" s="250"/>
      <c r="UAC155" s="250"/>
      <c r="UAD155" s="250"/>
      <c r="UAE155" s="250"/>
      <c r="UAF155" s="250"/>
      <c r="UAG155" s="250"/>
      <c r="UAH155" s="250"/>
      <c r="UAI155" s="250"/>
      <c r="UAJ155" s="250"/>
      <c r="UAK155" s="250"/>
      <c r="UAL155" s="250"/>
      <c r="UAM155" s="250"/>
      <c r="UAN155" s="250"/>
      <c r="UAO155" s="250"/>
      <c r="UAP155" s="250"/>
      <c r="UAQ155" s="250"/>
      <c r="UAR155" s="250"/>
      <c r="UAS155" s="250"/>
      <c r="UAT155" s="250"/>
      <c r="UAU155" s="250"/>
      <c r="UAV155" s="250"/>
      <c r="UAW155" s="250"/>
      <c r="UAX155" s="250"/>
      <c r="UAY155" s="250"/>
      <c r="UAZ155" s="250"/>
      <c r="UBA155" s="250"/>
      <c r="UBB155" s="250"/>
      <c r="UBC155" s="250"/>
      <c r="UBD155" s="250"/>
      <c r="UBE155" s="250"/>
      <c r="UBF155" s="250"/>
      <c r="UBG155" s="250"/>
      <c r="UBH155" s="250"/>
      <c r="UBI155" s="250"/>
      <c r="UBJ155" s="250"/>
      <c r="UBK155" s="250"/>
      <c r="UBL155" s="250"/>
      <c r="UBM155" s="250"/>
      <c r="UBN155" s="250"/>
      <c r="UBO155" s="250"/>
      <c r="UBP155" s="250"/>
      <c r="UBQ155" s="250"/>
      <c r="UBR155" s="250"/>
      <c r="UBS155" s="250"/>
      <c r="UBT155" s="250"/>
      <c r="UBU155" s="250"/>
      <c r="UBV155" s="250"/>
      <c r="UBW155" s="250"/>
      <c r="UBX155" s="250"/>
      <c r="UBY155" s="250"/>
      <c r="UBZ155" s="250"/>
      <c r="UCA155" s="250"/>
      <c r="UCB155" s="250"/>
      <c r="UCC155" s="250"/>
      <c r="UCD155" s="250"/>
      <c r="UCE155" s="250"/>
      <c r="UCF155" s="250"/>
      <c r="UCG155" s="250"/>
      <c r="UCH155" s="250"/>
      <c r="UCI155" s="250"/>
      <c r="UCJ155" s="250"/>
      <c r="UCK155" s="250"/>
      <c r="UCL155" s="250"/>
      <c r="UCM155" s="250"/>
      <c r="UCN155" s="250"/>
      <c r="UCO155" s="250"/>
      <c r="UCP155" s="250"/>
      <c r="UCQ155" s="250"/>
      <c r="UCR155" s="250"/>
      <c r="UCS155" s="250"/>
      <c r="UCT155" s="250"/>
      <c r="UCU155" s="250"/>
      <c r="UCV155" s="250"/>
      <c r="UCW155" s="250"/>
      <c r="UCX155" s="250"/>
      <c r="UCY155" s="250"/>
      <c r="UCZ155" s="250"/>
      <c r="UDA155" s="250"/>
      <c r="UDB155" s="250"/>
      <c r="UDC155" s="250"/>
      <c r="UDD155" s="250"/>
      <c r="UDE155" s="250"/>
      <c r="UDF155" s="250"/>
      <c r="UDG155" s="250"/>
      <c r="UDH155" s="250"/>
      <c r="UDI155" s="250"/>
      <c r="UDJ155" s="250"/>
      <c r="UDK155" s="250"/>
      <c r="UDL155" s="250"/>
      <c r="UDM155" s="250"/>
      <c r="UDN155" s="250"/>
      <c r="UDO155" s="250"/>
      <c r="UDP155" s="250"/>
      <c r="UDQ155" s="250"/>
      <c r="UDR155" s="250"/>
      <c r="UDS155" s="250"/>
      <c r="UDT155" s="250"/>
      <c r="UDU155" s="250"/>
      <c r="UDV155" s="250"/>
      <c r="UDW155" s="250"/>
      <c r="UDX155" s="250"/>
      <c r="UDY155" s="250"/>
      <c r="UDZ155" s="250"/>
      <c r="UEA155" s="250"/>
      <c r="UEB155" s="250"/>
      <c r="UEC155" s="250"/>
      <c r="UED155" s="250"/>
      <c r="UEE155" s="250"/>
      <c r="UEF155" s="250"/>
      <c r="UEG155" s="250"/>
      <c r="UEH155" s="250"/>
      <c r="UEI155" s="250"/>
      <c r="UEJ155" s="250"/>
      <c r="UEK155" s="250"/>
      <c r="UEL155" s="250"/>
      <c r="UEM155" s="250"/>
      <c r="UEN155" s="250"/>
      <c r="UEO155" s="250"/>
      <c r="UEP155" s="250"/>
      <c r="UEQ155" s="250"/>
      <c r="UER155" s="250"/>
      <c r="UES155" s="250"/>
      <c r="UET155" s="250"/>
      <c r="UEU155" s="250"/>
      <c r="UEV155" s="250"/>
      <c r="UEW155" s="250"/>
      <c r="UEX155" s="250"/>
      <c r="UEY155" s="250"/>
      <c r="UEZ155" s="250"/>
      <c r="UFA155" s="250"/>
      <c r="UFB155" s="250"/>
      <c r="UFC155" s="250"/>
      <c r="UFD155" s="250"/>
      <c r="UFE155" s="250"/>
      <c r="UFF155" s="250"/>
      <c r="UFG155" s="250"/>
      <c r="UFH155" s="250"/>
      <c r="UFI155" s="250"/>
      <c r="UFJ155" s="250"/>
      <c r="UFK155" s="250"/>
      <c r="UFL155" s="250"/>
      <c r="UFM155" s="250"/>
      <c r="UFN155" s="250"/>
      <c r="UFO155" s="250"/>
      <c r="UFP155" s="250"/>
      <c r="UFQ155" s="250"/>
      <c r="UFR155" s="250"/>
      <c r="UFS155" s="250"/>
      <c r="UFT155" s="250"/>
      <c r="UFU155" s="250"/>
      <c r="UFV155" s="250"/>
      <c r="UFW155" s="250"/>
      <c r="UFX155" s="250"/>
      <c r="UFY155" s="250"/>
      <c r="UFZ155" s="250"/>
      <c r="UGA155" s="250"/>
      <c r="UGB155" s="250"/>
      <c r="UGC155" s="250"/>
      <c r="UGD155" s="250"/>
      <c r="UGE155" s="250"/>
      <c r="UGF155" s="250"/>
      <c r="UGG155" s="250"/>
      <c r="UGH155" s="250"/>
      <c r="UGI155" s="250"/>
      <c r="UGJ155" s="250"/>
      <c r="UGK155" s="250"/>
      <c r="UGL155" s="250"/>
      <c r="UGM155" s="250"/>
      <c r="UGN155" s="250"/>
      <c r="UGO155" s="250"/>
      <c r="UGP155" s="250"/>
      <c r="UGQ155" s="250"/>
      <c r="UGR155" s="250"/>
      <c r="UGS155" s="250"/>
      <c r="UGT155" s="250"/>
      <c r="UGU155" s="250"/>
      <c r="UGV155" s="250"/>
      <c r="UGW155" s="250"/>
      <c r="UGX155" s="250"/>
      <c r="UGY155" s="250"/>
      <c r="UGZ155" s="250"/>
      <c r="UHA155" s="250"/>
      <c r="UHB155" s="250"/>
      <c r="UHC155" s="250"/>
      <c r="UHD155" s="250"/>
      <c r="UHE155" s="250"/>
      <c r="UHF155" s="250"/>
      <c r="UHG155" s="250"/>
      <c r="UHH155" s="250"/>
      <c r="UHI155" s="250"/>
      <c r="UHJ155" s="250"/>
      <c r="UHK155" s="250"/>
      <c r="UHL155" s="250"/>
      <c r="UHM155" s="250"/>
      <c r="UHN155" s="250"/>
      <c r="UHO155" s="250"/>
      <c r="UHP155" s="250"/>
      <c r="UHQ155" s="250"/>
      <c r="UHR155" s="250"/>
      <c r="UHS155" s="250"/>
      <c r="UHT155" s="250"/>
      <c r="UHU155" s="250"/>
      <c r="UHV155" s="250"/>
      <c r="UHW155" s="250"/>
      <c r="UHX155" s="250"/>
      <c r="UHY155" s="250"/>
      <c r="UHZ155" s="250"/>
      <c r="UIA155" s="250"/>
      <c r="UIB155" s="250"/>
      <c r="UIC155" s="250"/>
      <c r="UID155" s="250"/>
      <c r="UIE155" s="250"/>
      <c r="UIF155" s="250"/>
      <c r="UIG155" s="250"/>
      <c r="UIH155" s="250"/>
      <c r="UII155" s="250"/>
      <c r="UIJ155" s="250"/>
      <c r="UIK155" s="250"/>
      <c r="UIL155" s="250"/>
      <c r="UIM155" s="250"/>
      <c r="UIN155" s="250"/>
      <c r="UIO155" s="250"/>
      <c r="UIP155" s="250"/>
      <c r="UIQ155" s="250"/>
      <c r="UIR155" s="250"/>
      <c r="UIS155" s="250"/>
      <c r="UIT155" s="250"/>
      <c r="UIU155" s="250"/>
      <c r="UIV155" s="250"/>
      <c r="UIW155" s="250"/>
      <c r="UIX155" s="250"/>
      <c r="UIY155" s="250"/>
      <c r="UIZ155" s="250"/>
      <c r="UJA155" s="250"/>
      <c r="UJB155" s="250"/>
      <c r="UJC155" s="250"/>
      <c r="UJD155" s="250"/>
      <c r="UJE155" s="250"/>
      <c r="UJF155" s="250"/>
      <c r="UJG155" s="250"/>
      <c r="UJH155" s="250"/>
      <c r="UJI155" s="250"/>
      <c r="UJJ155" s="250"/>
      <c r="UJK155" s="250"/>
      <c r="UJL155" s="250"/>
      <c r="UJM155" s="250"/>
      <c r="UJN155" s="250"/>
      <c r="UJO155" s="250"/>
      <c r="UJP155" s="250"/>
      <c r="UJQ155" s="250"/>
      <c r="UJR155" s="250"/>
      <c r="UJS155" s="250"/>
      <c r="UJT155" s="250"/>
      <c r="UJU155" s="250"/>
      <c r="UJV155" s="250"/>
      <c r="UJW155" s="250"/>
      <c r="UJX155" s="250"/>
      <c r="UJY155" s="250"/>
      <c r="UJZ155" s="250"/>
      <c r="UKA155" s="250"/>
      <c r="UKB155" s="250"/>
      <c r="UKC155" s="250"/>
      <c r="UKD155" s="250"/>
      <c r="UKE155" s="250"/>
      <c r="UKF155" s="250"/>
      <c r="UKG155" s="250"/>
      <c r="UKH155" s="250"/>
      <c r="UKI155" s="250"/>
      <c r="UKJ155" s="250"/>
      <c r="UKK155" s="250"/>
      <c r="UKL155" s="250"/>
      <c r="UKM155" s="250"/>
      <c r="UKN155" s="250"/>
      <c r="UKO155" s="250"/>
      <c r="UKP155" s="250"/>
      <c r="UKQ155" s="250"/>
      <c r="UKR155" s="250"/>
      <c r="UKS155" s="250"/>
      <c r="UKT155" s="250"/>
      <c r="UKU155" s="250"/>
      <c r="UKV155" s="250"/>
      <c r="UKW155" s="250"/>
      <c r="UKX155" s="250"/>
      <c r="UKY155" s="250"/>
      <c r="UKZ155" s="250"/>
      <c r="ULA155" s="250"/>
      <c r="ULB155" s="250"/>
      <c r="ULC155" s="250"/>
      <c r="ULD155" s="250"/>
      <c r="ULE155" s="250"/>
      <c r="ULF155" s="250"/>
      <c r="ULG155" s="250"/>
      <c r="ULH155" s="250"/>
      <c r="ULI155" s="250"/>
      <c r="ULJ155" s="250"/>
      <c r="ULK155" s="250"/>
      <c r="ULL155" s="250"/>
      <c r="ULM155" s="250"/>
      <c r="ULN155" s="250"/>
      <c r="ULO155" s="250"/>
      <c r="ULP155" s="250"/>
      <c r="ULQ155" s="250"/>
      <c r="ULR155" s="250"/>
      <c r="ULS155" s="250"/>
      <c r="ULT155" s="250"/>
      <c r="ULU155" s="250"/>
      <c r="ULV155" s="250"/>
      <c r="ULW155" s="250"/>
      <c r="ULX155" s="250"/>
      <c r="ULY155" s="250"/>
      <c r="ULZ155" s="250"/>
      <c r="UMA155" s="250"/>
      <c r="UMB155" s="250"/>
      <c r="UMC155" s="250"/>
      <c r="UMD155" s="250"/>
      <c r="UME155" s="250"/>
      <c r="UMF155" s="250"/>
      <c r="UMG155" s="250"/>
      <c r="UMH155" s="250"/>
      <c r="UMI155" s="250"/>
      <c r="UMJ155" s="250"/>
      <c r="UMK155" s="250"/>
      <c r="UML155" s="250"/>
      <c r="UMM155" s="250"/>
      <c r="UMN155" s="250"/>
      <c r="UMO155" s="250"/>
      <c r="UMP155" s="250"/>
      <c r="UMQ155" s="250"/>
      <c r="UMR155" s="250"/>
      <c r="UMS155" s="250"/>
      <c r="UMT155" s="250"/>
      <c r="UMU155" s="250"/>
      <c r="UMV155" s="250"/>
      <c r="UMW155" s="250"/>
      <c r="UMX155" s="250"/>
      <c r="UMY155" s="250"/>
      <c r="UMZ155" s="250"/>
      <c r="UNA155" s="250"/>
      <c r="UNB155" s="250"/>
      <c r="UNC155" s="250"/>
      <c r="UND155" s="250"/>
      <c r="UNE155" s="250"/>
      <c r="UNF155" s="250"/>
      <c r="UNG155" s="250"/>
      <c r="UNH155" s="250"/>
      <c r="UNI155" s="250"/>
      <c r="UNJ155" s="250"/>
      <c r="UNK155" s="250"/>
      <c r="UNL155" s="250"/>
      <c r="UNM155" s="250"/>
      <c r="UNN155" s="250"/>
      <c r="UNO155" s="250"/>
      <c r="UNP155" s="250"/>
      <c r="UNQ155" s="250"/>
      <c r="UNR155" s="250"/>
      <c r="UNS155" s="250"/>
      <c r="UNT155" s="250"/>
      <c r="UNU155" s="250"/>
      <c r="UNV155" s="250"/>
      <c r="UNW155" s="250"/>
      <c r="UNX155" s="250"/>
      <c r="UNY155" s="250"/>
      <c r="UNZ155" s="250"/>
      <c r="UOA155" s="250"/>
      <c r="UOB155" s="250"/>
      <c r="UOC155" s="250"/>
      <c r="UOD155" s="250"/>
      <c r="UOE155" s="250"/>
      <c r="UOF155" s="250"/>
      <c r="UOG155" s="250"/>
      <c r="UOH155" s="250"/>
      <c r="UOI155" s="250"/>
      <c r="UOJ155" s="250"/>
      <c r="UOK155" s="250"/>
      <c r="UOL155" s="250"/>
      <c r="UOM155" s="250"/>
      <c r="UON155" s="250"/>
      <c r="UOO155" s="250"/>
      <c r="UOP155" s="250"/>
      <c r="UOQ155" s="250"/>
      <c r="UOR155" s="250"/>
      <c r="UOS155" s="250"/>
      <c r="UOT155" s="250"/>
      <c r="UOU155" s="250"/>
      <c r="UOV155" s="250"/>
      <c r="UOW155" s="250"/>
      <c r="UOX155" s="250"/>
      <c r="UOY155" s="250"/>
      <c r="UOZ155" s="250"/>
      <c r="UPA155" s="250"/>
      <c r="UPB155" s="250"/>
      <c r="UPC155" s="250"/>
      <c r="UPD155" s="250"/>
      <c r="UPE155" s="250"/>
      <c r="UPF155" s="250"/>
      <c r="UPG155" s="250"/>
      <c r="UPH155" s="250"/>
      <c r="UPI155" s="250"/>
      <c r="UPJ155" s="250"/>
      <c r="UPK155" s="250"/>
      <c r="UPL155" s="250"/>
      <c r="UPM155" s="250"/>
      <c r="UPN155" s="250"/>
      <c r="UPO155" s="250"/>
      <c r="UPP155" s="250"/>
      <c r="UPQ155" s="250"/>
      <c r="UPR155" s="250"/>
      <c r="UPS155" s="250"/>
      <c r="UPT155" s="250"/>
      <c r="UPU155" s="250"/>
      <c r="UPV155" s="250"/>
      <c r="UPW155" s="250"/>
      <c r="UPX155" s="250"/>
      <c r="UPY155" s="250"/>
      <c r="UPZ155" s="250"/>
      <c r="UQA155" s="250"/>
      <c r="UQB155" s="250"/>
      <c r="UQC155" s="250"/>
      <c r="UQD155" s="250"/>
      <c r="UQE155" s="250"/>
      <c r="UQF155" s="250"/>
      <c r="UQG155" s="250"/>
      <c r="UQH155" s="250"/>
      <c r="UQI155" s="250"/>
      <c r="UQJ155" s="250"/>
      <c r="UQK155" s="250"/>
      <c r="UQL155" s="250"/>
      <c r="UQM155" s="250"/>
      <c r="UQN155" s="250"/>
      <c r="UQO155" s="250"/>
      <c r="UQP155" s="250"/>
      <c r="UQQ155" s="250"/>
      <c r="UQR155" s="250"/>
      <c r="UQS155" s="250"/>
      <c r="UQT155" s="250"/>
      <c r="UQU155" s="250"/>
      <c r="UQV155" s="250"/>
      <c r="UQW155" s="250"/>
      <c r="UQX155" s="250"/>
      <c r="UQY155" s="250"/>
      <c r="UQZ155" s="250"/>
      <c r="URA155" s="250"/>
      <c r="URB155" s="250"/>
      <c r="URC155" s="250"/>
      <c r="URD155" s="250"/>
      <c r="URE155" s="250"/>
      <c r="URF155" s="250"/>
      <c r="URG155" s="250"/>
      <c r="URH155" s="250"/>
      <c r="URI155" s="250"/>
      <c r="URJ155" s="250"/>
      <c r="URK155" s="250"/>
      <c r="URL155" s="250"/>
      <c r="URM155" s="250"/>
      <c r="URN155" s="250"/>
      <c r="URO155" s="250"/>
      <c r="URP155" s="250"/>
      <c r="URQ155" s="250"/>
      <c r="URR155" s="250"/>
      <c r="URS155" s="250"/>
      <c r="URT155" s="250"/>
      <c r="URU155" s="250"/>
      <c r="URV155" s="250"/>
      <c r="URW155" s="250"/>
      <c r="URX155" s="250"/>
      <c r="URY155" s="250"/>
      <c r="URZ155" s="250"/>
      <c r="USA155" s="250"/>
      <c r="USB155" s="250"/>
      <c r="USC155" s="250"/>
      <c r="USD155" s="250"/>
      <c r="USE155" s="250"/>
      <c r="USF155" s="250"/>
      <c r="USG155" s="250"/>
      <c r="USH155" s="250"/>
      <c r="USI155" s="250"/>
      <c r="USJ155" s="250"/>
      <c r="USK155" s="250"/>
      <c r="USL155" s="250"/>
      <c r="USM155" s="250"/>
      <c r="USN155" s="250"/>
      <c r="USO155" s="250"/>
      <c r="USP155" s="250"/>
      <c r="USQ155" s="250"/>
      <c r="USR155" s="250"/>
      <c r="USS155" s="250"/>
      <c r="UST155" s="250"/>
      <c r="USU155" s="250"/>
      <c r="USV155" s="250"/>
      <c r="USW155" s="250"/>
      <c r="USX155" s="250"/>
      <c r="USY155" s="250"/>
      <c r="USZ155" s="250"/>
      <c r="UTA155" s="250"/>
      <c r="UTB155" s="250"/>
      <c r="UTC155" s="250"/>
      <c r="UTD155" s="250"/>
      <c r="UTE155" s="250"/>
      <c r="UTF155" s="250"/>
      <c r="UTG155" s="250"/>
      <c r="UTH155" s="250"/>
      <c r="UTI155" s="250"/>
      <c r="UTJ155" s="250"/>
      <c r="UTK155" s="250"/>
      <c r="UTL155" s="250"/>
      <c r="UTM155" s="250"/>
      <c r="UTN155" s="250"/>
      <c r="UTO155" s="250"/>
      <c r="UTP155" s="250"/>
      <c r="UTQ155" s="250"/>
      <c r="UTR155" s="250"/>
      <c r="UTS155" s="250"/>
      <c r="UTT155" s="250"/>
      <c r="UTU155" s="250"/>
      <c r="UTV155" s="250"/>
      <c r="UTW155" s="250"/>
      <c r="UTX155" s="250"/>
      <c r="UTY155" s="250"/>
      <c r="UTZ155" s="250"/>
      <c r="UUA155" s="250"/>
      <c r="UUB155" s="250"/>
      <c r="UUC155" s="250"/>
      <c r="UUD155" s="250"/>
      <c r="UUE155" s="250"/>
      <c r="UUF155" s="250"/>
      <c r="UUG155" s="250"/>
      <c r="UUH155" s="250"/>
      <c r="UUI155" s="250"/>
      <c r="UUJ155" s="250"/>
      <c r="UUK155" s="250"/>
      <c r="UUL155" s="250"/>
      <c r="UUM155" s="250"/>
      <c r="UUN155" s="250"/>
      <c r="UUO155" s="250"/>
      <c r="UUP155" s="250"/>
      <c r="UUQ155" s="250"/>
      <c r="UUR155" s="250"/>
      <c r="UUS155" s="250"/>
      <c r="UUT155" s="250"/>
      <c r="UUU155" s="250"/>
      <c r="UUV155" s="250"/>
      <c r="UUW155" s="250"/>
      <c r="UUX155" s="250"/>
      <c r="UUY155" s="250"/>
      <c r="UUZ155" s="250"/>
      <c r="UVA155" s="250"/>
      <c r="UVB155" s="250"/>
      <c r="UVC155" s="250"/>
      <c r="UVD155" s="250"/>
      <c r="UVE155" s="250"/>
      <c r="UVF155" s="250"/>
      <c r="UVG155" s="250"/>
      <c r="UVH155" s="250"/>
      <c r="UVI155" s="250"/>
      <c r="UVJ155" s="250"/>
      <c r="UVK155" s="250"/>
      <c r="UVL155" s="250"/>
      <c r="UVM155" s="250"/>
      <c r="UVN155" s="250"/>
      <c r="UVO155" s="250"/>
      <c r="UVP155" s="250"/>
      <c r="UVQ155" s="250"/>
      <c r="UVR155" s="250"/>
      <c r="UVS155" s="250"/>
      <c r="UVT155" s="250"/>
      <c r="UVU155" s="250"/>
      <c r="UVV155" s="250"/>
      <c r="UVW155" s="250"/>
      <c r="UVX155" s="250"/>
      <c r="UVY155" s="250"/>
      <c r="UVZ155" s="250"/>
      <c r="UWA155" s="250"/>
      <c r="UWB155" s="250"/>
      <c r="UWC155" s="250"/>
      <c r="UWD155" s="250"/>
      <c r="UWE155" s="250"/>
      <c r="UWF155" s="250"/>
      <c r="UWG155" s="250"/>
      <c r="UWH155" s="250"/>
      <c r="UWI155" s="250"/>
      <c r="UWJ155" s="250"/>
      <c r="UWK155" s="250"/>
      <c r="UWL155" s="250"/>
      <c r="UWM155" s="250"/>
      <c r="UWN155" s="250"/>
      <c r="UWO155" s="250"/>
      <c r="UWP155" s="250"/>
      <c r="UWQ155" s="250"/>
      <c r="UWR155" s="250"/>
      <c r="UWS155" s="250"/>
      <c r="UWT155" s="250"/>
      <c r="UWU155" s="250"/>
      <c r="UWV155" s="250"/>
      <c r="UWW155" s="250"/>
      <c r="UWX155" s="250"/>
      <c r="UWY155" s="250"/>
      <c r="UWZ155" s="250"/>
      <c r="UXA155" s="250"/>
      <c r="UXB155" s="250"/>
      <c r="UXC155" s="250"/>
      <c r="UXD155" s="250"/>
      <c r="UXE155" s="250"/>
      <c r="UXF155" s="250"/>
      <c r="UXG155" s="250"/>
      <c r="UXH155" s="250"/>
      <c r="UXI155" s="250"/>
      <c r="UXJ155" s="250"/>
      <c r="UXK155" s="250"/>
      <c r="UXL155" s="250"/>
      <c r="UXM155" s="250"/>
      <c r="UXN155" s="250"/>
      <c r="UXO155" s="250"/>
      <c r="UXP155" s="250"/>
      <c r="UXQ155" s="250"/>
      <c r="UXR155" s="250"/>
      <c r="UXS155" s="250"/>
      <c r="UXT155" s="250"/>
      <c r="UXU155" s="250"/>
      <c r="UXV155" s="250"/>
      <c r="UXW155" s="250"/>
      <c r="UXX155" s="250"/>
      <c r="UXY155" s="250"/>
      <c r="UXZ155" s="250"/>
      <c r="UYA155" s="250"/>
      <c r="UYB155" s="250"/>
      <c r="UYC155" s="250"/>
      <c r="UYD155" s="250"/>
      <c r="UYE155" s="250"/>
      <c r="UYF155" s="250"/>
      <c r="UYG155" s="250"/>
      <c r="UYH155" s="250"/>
      <c r="UYI155" s="250"/>
      <c r="UYJ155" s="250"/>
      <c r="UYK155" s="250"/>
      <c r="UYL155" s="250"/>
      <c r="UYM155" s="250"/>
      <c r="UYN155" s="250"/>
      <c r="UYO155" s="250"/>
      <c r="UYP155" s="250"/>
      <c r="UYQ155" s="250"/>
      <c r="UYR155" s="250"/>
      <c r="UYS155" s="250"/>
      <c r="UYT155" s="250"/>
      <c r="UYU155" s="250"/>
      <c r="UYV155" s="250"/>
      <c r="UYW155" s="250"/>
      <c r="UYX155" s="250"/>
      <c r="UYY155" s="250"/>
      <c r="UYZ155" s="250"/>
      <c r="UZA155" s="250"/>
      <c r="UZB155" s="250"/>
      <c r="UZC155" s="250"/>
      <c r="UZD155" s="250"/>
      <c r="UZE155" s="250"/>
      <c r="UZF155" s="250"/>
      <c r="UZG155" s="250"/>
      <c r="UZH155" s="250"/>
      <c r="UZI155" s="250"/>
      <c r="UZJ155" s="250"/>
      <c r="UZK155" s="250"/>
      <c r="UZL155" s="250"/>
      <c r="UZM155" s="250"/>
      <c r="UZN155" s="250"/>
      <c r="UZO155" s="250"/>
      <c r="UZP155" s="250"/>
      <c r="UZQ155" s="250"/>
      <c r="UZR155" s="250"/>
      <c r="UZS155" s="250"/>
      <c r="UZT155" s="250"/>
      <c r="UZU155" s="250"/>
      <c r="UZV155" s="250"/>
      <c r="UZW155" s="250"/>
      <c r="UZX155" s="250"/>
      <c r="UZY155" s="250"/>
      <c r="UZZ155" s="250"/>
      <c r="VAA155" s="250"/>
      <c r="VAB155" s="250"/>
      <c r="VAC155" s="250"/>
      <c r="VAD155" s="250"/>
      <c r="VAE155" s="250"/>
      <c r="VAF155" s="250"/>
      <c r="VAG155" s="250"/>
      <c r="VAH155" s="250"/>
      <c r="VAI155" s="250"/>
      <c r="VAJ155" s="250"/>
      <c r="VAK155" s="250"/>
      <c r="VAL155" s="250"/>
      <c r="VAM155" s="250"/>
      <c r="VAN155" s="250"/>
      <c r="VAO155" s="250"/>
      <c r="VAP155" s="250"/>
      <c r="VAQ155" s="250"/>
      <c r="VAR155" s="250"/>
      <c r="VAS155" s="250"/>
      <c r="VAT155" s="250"/>
      <c r="VAU155" s="250"/>
      <c r="VAV155" s="250"/>
      <c r="VAW155" s="250"/>
      <c r="VAX155" s="250"/>
      <c r="VAY155" s="250"/>
      <c r="VAZ155" s="250"/>
      <c r="VBA155" s="250"/>
      <c r="VBB155" s="250"/>
      <c r="VBC155" s="250"/>
      <c r="VBD155" s="250"/>
      <c r="VBE155" s="250"/>
      <c r="VBF155" s="250"/>
      <c r="VBG155" s="250"/>
      <c r="VBH155" s="250"/>
      <c r="VBI155" s="250"/>
      <c r="VBJ155" s="250"/>
      <c r="VBK155" s="250"/>
      <c r="VBL155" s="250"/>
      <c r="VBM155" s="250"/>
      <c r="VBN155" s="250"/>
      <c r="VBO155" s="250"/>
      <c r="VBP155" s="250"/>
      <c r="VBQ155" s="250"/>
      <c r="VBR155" s="250"/>
      <c r="VBS155" s="250"/>
      <c r="VBT155" s="250"/>
      <c r="VBU155" s="250"/>
      <c r="VBV155" s="250"/>
      <c r="VBW155" s="250"/>
      <c r="VBX155" s="250"/>
      <c r="VBY155" s="250"/>
      <c r="VBZ155" s="250"/>
      <c r="VCA155" s="250"/>
      <c r="VCB155" s="250"/>
      <c r="VCC155" s="250"/>
      <c r="VCD155" s="250"/>
      <c r="VCE155" s="250"/>
      <c r="VCF155" s="250"/>
      <c r="VCG155" s="250"/>
      <c r="VCH155" s="250"/>
      <c r="VCI155" s="250"/>
      <c r="VCJ155" s="250"/>
      <c r="VCK155" s="250"/>
      <c r="VCL155" s="250"/>
      <c r="VCM155" s="250"/>
      <c r="VCN155" s="250"/>
      <c r="VCO155" s="250"/>
      <c r="VCP155" s="250"/>
      <c r="VCQ155" s="250"/>
      <c r="VCR155" s="250"/>
      <c r="VCS155" s="250"/>
      <c r="VCT155" s="250"/>
      <c r="VCU155" s="250"/>
      <c r="VCV155" s="250"/>
      <c r="VCW155" s="250"/>
      <c r="VCX155" s="250"/>
      <c r="VCY155" s="250"/>
      <c r="VCZ155" s="250"/>
      <c r="VDA155" s="250"/>
      <c r="VDB155" s="250"/>
      <c r="VDC155" s="250"/>
      <c r="VDD155" s="250"/>
      <c r="VDE155" s="250"/>
      <c r="VDF155" s="250"/>
      <c r="VDG155" s="250"/>
      <c r="VDH155" s="250"/>
      <c r="VDI155" s="250"/>
      <c r="VDJ155" s="250"/>
      <c r="VDK155" s="250"/>
      <c r="VDL155" s="250"/>
      <c r="VDM155" s="250"/>
      <c r="VDN155" s="250"/>
      <c r="VDO155" s="250"/>
      <c r="VDP155" s="250"/>
      <c r="VDQ155" s="250"/>
      <c r="VDR155" s="250"/>
      <c r="VDS155" s="250"/>
      <c r="VDT155" s="250"/>
      <c r="VDU155" s="250"/>
      <c r="VDV155" s="250"/>
      <c r="VDW155" s="250"/>
      <c r="VDX155" s="250"/>
      <c r="VDY155" s="250"/>
      <c r="VDZ155" s="250"/>
      <c r="VEA155" s="250"/>
      <c r="VEB155" s="250"/>
      <c r="VEC155" s="250"/>
      <c r="VED155" s="250"/>
      <c r="VEE155" s="250"/>
      <c r="VEF155" s="250"/>
      <c r="VEG155" s="250"/>
      <c r="VEH155" s="250"/>
      <c r="VEI155" s="250"/>
      <c r="VEJ155" s="250"/>
      <c r="VEK155" s="250"/>
      <c r="VEL155" s="250"/>
      <c r="VEM155" s="250"/>
      <c r="VEN155" s="250"/>
      <c r="VEO155" s="250"/>
      <c r="VEP155" s="250"/>
      <c r="VEQ155" s="250"/>
      <c r="VER155" s="250"/>
      <c r="VES155" s="250"/>
      <c r="VET155" s="250"/>
      <c r="VEU155" s="250"/>
      <c r="VEV155" s="250"/>
      <c r="VEW155" s="250"/>
      <c r="VEX155" s="250"/>
      <c r="VEY155" s="250"/>
      <c r="VEZ155" s="250"/>
      <c r="VFA155" s="250"/>
      <c r="VFB155" s="250"/>
      <c r="VFC155" s="250"/>
      <c r="VFD155" s="250"/>
      <c r="VFE155" s="250"/>
      <c r="VFF155" s="250"/>
      <c r="VFG155" s="250"/>
      <c r="VFH155" s="250"/>
      <c r="VFI155" s="250"/>
      <c r="VFJ155" s="250"/>
      <c r="VFK155" s="250"/>
      <c r="VFL155" s="250"/>
      <c r="VFM155" s="250"/>
      <c r="VFN155" s="250"/>
      <c r="VFO155" s="250"/>
      <c r="VFP155" s="250"/>
      <c r="VFQ155" s="250"/>
      <c r="VFR155" s="250"/>
      <c r="VFS155" s="250"/>
      <c r="VFT155" s="250"/>
      <c r="VFU155" s="250"/>
      <c r="VFV155" s="250"/>
      <c r="VFW155" s="250"/>
      <c r="VFX155" s="250"/>
      <c r="VFY155" s="250"/>
      <c r="VFZ155" s="250"/>
      <c r="VGA155" s="250"/>
      <c r="VGB155" s="250"/>
      <c r="VGC155" s="250"/>
      <c r="VGD155" s="250"/>
      <c r="VGE155" s="250"/>
      <c r="VGF155" s="250"/>
      <c r="VGG155" s="250"/>
      <c r="VGH155" s="250"/>
      <c r="VGI155" s="250"/>
      <c r="VGJ155" s="250"/>
      <c r="VGK155" s="250"/>
      <c r="VGL155" s="250"/>
      <c r="VGM155" s="250"/>
      <c r="VGN155" s="250"/>
      <c r="VGO155" s="250"/>
      <c r="VGP155" s="250"/>
      <c r="VGQ155" s="250"/>
      <c r="VGR155" s="250"/>
      <c r="VGS155" s="250"/>
      <c r="VGT155" s="250"/>
      <c r="VGU155" s="250"/>
      <c r="VGV155" s="250"/>
      <c r="VGW155" s="250"/>
      <c r="VGX155" s="250"/>
      <c r="VGY155" s="250"/>
      <c r="VGZ155" s="250"/>
      <c r="VHA155" s="250"/>
      <c r="VHB155" s="250"/>
      <c r="VHC155" s="250"/>
      <c r="VHD155" s="250"/>
      <c r="VHE155" s="250"/>
      <c r="VHF155" s="250"/>
      <c r="VHG155" s="250"/>
      <c r="VHH155" s="250"/>
      <c r="VHI155" s="250"/>
      <c r="VHJ155" s="250"/>
      <c r="VHK155" s="250"/>
      <c r="VHL155" s="250"/>
      <c r="VHM155" s="250"/>
      <c r="VHN155" s="250"/>
      <c r="VHO155" s="250"/>
      <c r="VHP155" s="250"/>
      <c r="VHQ155" s="250"/>
      <c r="VHR155" s="250"/>
      <c r="VHS155" s="250"/>
      <c r="VHT155" s="250"/>
      <c r="VHU155" s="250"/>
      <c r="VHV155" s="250"/>
      <c r="VHW155" s="250"/>
      <c r="VHX155" s="250"/>
      <c r="VHY155" s="250"/>
      <c r="VHZ155" s="250"/>
      <c r="VIA155" s="250"/>
      <c r="VIB155" s="250"/>
      <c r="VIC155" s="250"/>
      <c r="VID155" s="250"/>
      <c r="VIE155" s="250"/>
      <c r="VIF155" s="250"/>
      <c r="VIG155" s="250"/>
      <c r="VIH155" s="250"/>
      <c r="VII155" s="250"/>
      <c r="VIJ155" s="250"/>
      <c r="VIK155" s="250"/>
      <c r="VIL155" s="250"/>
      <c r="VIM155" s="250"/>
      <c r="VIN155" s="250"/>
      <c r="VIO155" s="250"/>
      <c r="VIP155" s="250"/>
      <c r="VIQ155" s="250"/>
      <c r="VIR155" s="250"/>
      <c r="VIS155" s="250"/>
      <c r="VIT155" s="250"/>
      <c r="VIU155" s="250"/>
      <c r="VIV155" s="250"/>
      <c r="VIW155" s="250"/>
      <c r="VIX155" s="250"/>
      <c r="VIY155" s="250"/>
      <c r="VIZ155" s="250"/>
      <c r="VJA155" s="250"/>
      <c r="VJB155" s="250"/>
      <c r="VJC155" s="250"/>
      <c r="VJD155" s="250"/>
      <c r="VJE155" s="250"/>
      <c r="VJF155" s="250"/>
      <c r="VJG155" s="250"/>
      <c r="VJH155" s="250"/>
      <c r="VJI155" s="250"/>
      <c r="VJJ155" s="250"/>
      <c r="VJK155" s="250"/>
      <c r="VJL155" s="250"/>
      <c r="VJM155" s="250"/>
      <c r="VJN155" s="250"/>
      <c r="VJO155" s="250"/>
      <c r="VJP155" s="250"/>
      <c r="VJQ155" s="250"/>
      <c r="VJR155" s="250"/>
      <c r="VJS155" s="250"/>
      <c r="VJT155" s="250"/>
      <c r="VJU155" s="250"/>
      <c r="VJV155" s="250"/>
      <c r="VJW155" s="250"/>
      <c r="VJX155" s="250"/>
      <c r="VJY155" s="250"/>
      <c r="VJZ155" s="250"/>
      <c r="VKA155" s="250"/>
      <c r="VKB155" s="250"/>
      <c r="VKC155" s="250"/>
      <c r="VKD155" s="250"/>
      <c r="VKE155" s="250"/>
      <c r="VKF155" s="250"/>
      <c r="VKG155" s="250"/>
      <c r="VKH155" s="250"/>
      <c r="VKI155" s="250"/>
      <c r="VKJ155" s="250"/>
      <c r="VKK155" s="250"/>
      <c r="VKL155" s="250"/>
      <c r="VKM155" s="250"/>
      <c r="VKN155" s="250"/>
      <c r="VKO155" s="250"/>
      <c r="VKP155" s="250"/>
      <c r="VKQ155" s="250"/>
      <c r="VKR155" s="250"/>
      <c r="VKS155" s="250"/>
      <c r="VKT155" s="250"/>
      <c r="VKU155" s="250"/>
      <c r="VKV155" s="250"/>
      <c r="VKW155" s="250"/>
      <c r="VKX155" s="250"/>
      <c r="VKY155" s="250"/>
      <c r="VKZ155" s="250"/>
      <c r="VLA155" s="250"/>
      <c r="VLB155" s="250"/>
      <c r="VLC155" s="250"/>
      <c r="VLD155" s="250"/>
      <c r="VLE155" s="250"/>
      <c r="VLF155" s="250"/>
      <c r="VLG155" s="250"/>
      <c r="VLH155" s="250"/>
      <c r="VLI155" s="250"/>
      <c r="VLJ155" s="250"/>
      <c r="VLK155" s="250"/>
      <c r="VLL155" s="250"/>
      <c r="VLM155" s="250"/>
      <c r="VLN155" s="250"/>
      <c r="VLO155" s="250"/>
      <c r="VLP155" s="250"/>
      <c r="VLQ155" s="250"/>
      <c r="VLR155" s="250"/>
      <c r="VLS155" s="250"/>
      <c r="VLT155" s="250"/>
      <c r="VLU155" s="250"/>
      <c r="VLV155" s="250"/>
      <c r="VLW155" s="250"/>
      <c r="VLX155" s="250"/>
      <c r="VLY155" s="250"/>
      <c r="VLZ155" s="250"/>
      <c r="VMA155" s="250"/>
      <c r="VMB155" s="250"/>
      <c r="VMC155" s="250"/>
      <c r="VMD155" s="250"/>
      <c r="VME155" s="250"/>
      <c r="VMF155" s="250"/>
      <c r="VMG155" s="250"/>
      <c r="VMH155" s="250"/>
      <c r="VMI155" s="250"/>
      <c r="VMJ155" s="250"/>
      <c r="VMK155" s="250"/>
      <c r="VML155" s="250"/>
      <c r="VMM155" s="250"/>
      <c r="VMN155" s="250"/>
      <c r="VMO155" s="250"/>
      <c r="VMP155" s="250"/>
      <c r="VMQ155" s="250"/>
      <c r="VMR155" s="250"/>
      <c r="VMS155" s="250"/>
      <c r="VMT155" s="250"/>
      <c r="VMU155" s="250"/>
      <c r="VMV155" s="250"/>
      <c r="VMW155" s="250"/>
      <c r="VMX155" s="250"/>
      <c r="VMY155" s="250"/>
      <c r="VMZ155" s="250"/>
      <c r="VNA155" s="250"/>
      <c r="VNB155" s="250"/>
      <c r="VNC155" s="250"/>
      <c r="VND155" s="250"/>
      <c r="VNE155" s="250"/>
      <c r="VNF155" s="250"/>
      <c r="VNG155" s="250"/>
      <c r="VNH155" s="250"/>
      <c r="VNI155" s="250"/>
      <c r="VNJ155" s="250"/>
      <c r="VNK155" s="250"/>
      <c r="VNL155" s="250"/>
      <c r="VNM155" s="250"/>
      <c r="VNN155" s="250"/>
      <c r="VNO155" s="250"/>
      <c r="VNP155" s="250"/>
      <c r="VNQ155" s="250"/>
      <c r="VNR155" s="250"/>
      <c r="VNS155" s="250"/>
      <c r="VNT155" s="250"/>
      <c r="VNU155" s="250"/>
      <c r="VNV155" s="250"/>
      <c r="VNW155" s="250"/>
      <c r="VNX155" s="250"/>
      <c r="VNY155" s="250"/>
      <c r="VNZ155" s="250"/>
      <c r="VOA155" s="250"/>
      <c r="VOB155" s="250"/>
      <c r="VOC155" s="250"/>
      <c r="VOD155" s="250"/>
      <c r="VOE155" s="250"/>
      <c r="VOF155" s="250"/>
      <c r="VOG155" s="250"/>
      <c r="VOH155" s="250"/>
      <c r="VOI155" s="250"/>
      <c r="VOJ155" s="250"/>
      <c r="VOK155" s="250"/>
      <c r="VOL155" s="250"/>
      <c r="VOM155" s="250"/>
      <c r="VON155" s="250"/>
      <c r="VOO155" s="250"/>
      <c r="VOP155" s="250"/>
      <c r="VOQ155" s="250"/>
      <c r="VOR155" s="250"/>
      <c r="VOS155" s="250"/>
      <c r="VOT155" s="250"/>
      <c r="VOU155" s="250"/>
      <c r="VOV155" s="250"/>
      <c r="VOW155" s="250"/>
      <c r="VOX155" s="250"/>
      <c r="VOY155" s="250"/>
      <c r="VOZ155" s="250"/>
      <c r="VPA155" s="250"/>
      <c r="VPB155" s="250"/>
      <c r="VPC155" s="250"/>
      <c r="VPD155" s="250"/>
      <c r="VPE155" s="250"/>
      <c r="VPF155" s="250"/>
      <c r="VPG155" s="250"/>
      <c r="VPH155" s="250"/>
      <c r="VPI155" s="250"/>
      <c r="VPJ155" s="250"/>
      <c r="VPK155" s="250"/>
      <c r="VPL155" s="250"/>
      <c r="VPM155" s="250"/>
      <c r="VPN155" s="250"/>
      <c r="VPO155" s="250"/>
      <c r="VPP155" s="250"/>
      <c r="VPQ155" s="250"/>
      <c r="VPR155" s="250"/>
      <c r="VPS155" s="250"/>
      <c r="VPT155" s="250"/>
      <c r="VPU155" s="250"/>
      <c r="VPV155" s="250"/>
      <c r="VPW155" s="250"/>
      <c r="VPX155" s="250"/>
      <c r="VPY155" s="250"/>
      <c r="VPZ155" s="250"/>
      <c r="VQA155" s="250"/>
      <c r="VQB155" s="250"/>
      <c r="VQC155" s="250"/>
      <c r="VQD155" s="250"/>
      <c r="VQE155" s="250"/>
      <c r="VQF155" s="250"/>
      <c r="VQG155" s="250"/>
      <c r="VQH155" s="250"/>
      <c r="VQI155" s="250"/>
      <c r="VQJ155" s="250"/>
      <c r="VQK155" s="250"/>
      <c r="VQL155" s="250"/>
      <c r="VQM155" s="250"/>
      <c r="VQN155" s="250"/>
      <c r="VQO155" s="250"/>
      <c r="VQP155" s="250"/>
      <c r="VQQ155" s="250"/>
      <c r="VQR155" s="250"/>
      <c r="VQS155" s="250"/>
      <c r="VQT155" s="250"/>
      <c r="VQU155" s="250"/>
      <c r="VQV155" s="250"/>
      <c r="VQW155" s="250"/>
      <c r="VQX155" s="250"/>
      <c r="VQY155" s="250"/>
      <c r="VQZ155" s="250"/>
      <c r="VRA155" s="250"/>
      <c r="VRB155" s="250"/>
      <c r="VRC155" s="250"/>
      <c r="VRD155" s="250"/>
      <c r="VRE155" s="250"/>
      <c r="VRF155" s="250"/>
      <c r="VRG155" s="250"/>
      <c r="VRH155" s="250"/>
      <c r="VRI155" s="250"/>
      <c r="VRJ155" s="250"/>
      <c r="VRK155" s="250"/>
      <c r="VRL155" s="250"/>
      <c r="VRM155" s="250"/>
      <c r="VRN155" s="250"/>
      <c r="VRO155" s="250"/>
      <c r="VRP155" s="250"/>
      <c r="VRQ155" s="250"/>
      <c r="VRR155" s="250"/>
      <c r="VRS155" s="250"/>
      <c r="VRT155" s="250"/>
      <c r="VRU155" s="250"/>
      <c r="VRV155" s="250"/>
      <c r="VRW155" s="250"/>
      <c r="VRX155" s="250"/>
      <c r="VRY155" s="250"/>
      <c r="VRZ155" s="250"/>
      <c r="VSA155" s="250"/>
      <c r="VSB155" s="250"/>
      <c r="VSC155" s="250"/>
      <c r="VSD155" s="250"/>
      <c r="VSE155" s="250"/>
      <c r="VSF155" s="250"/>
      <c r="VSG155" s="250"/>
      <c r="VSH155" s="250"/>
      <c r="VSI155" s="250"/>
      <c r="VSJ155" s="250"/>
      <c r="VSK155" s="250"/>
      <c r="VSL155" s="250"/>
      <c r="VSM155" s="250"/>
      <c r="VSN155" s="250"/>
      <c r="VSO155" s="250"/>
      <c r="VSP155" s="250"/>
      <c r="VSQ155" s="250"/>
      <c r="VSR155" s="250"/>
      <c r="VSS155" s="250"/>
      <c r="VST155" s="250"/>
      <c r="VSU155" s="250"/>
      <c r="VSV155" s="250"/>
      <c r="VSW155" s="250"/>
      <c r="VSX155" s="250"/>
      <c r="VSY155" s="250"/>
      <c r="VSZ155" s="250"/>
      <c r="VTA155" s="250"/>
      <c r="VTB155" s="250"/>
      <c r="VTC155" s="250"/>
      <c r="VTD155" s="250"/>
      <c r="VTE155" s="250"/>
      <c r="VTF155" s="250"/>
      <c r="VTG155" s="250"/>
      <c r="VTH155" s="250"/>
      <c r="VTI155" s="250"/>
      <c r="VTJ155" s="250"/>
      <c r="VTK155" s="250"/>
      <c r="VTL155" s="250"/>
      <c r="VTM155" s="250"/>
      <c r="VTN155" s="250"/>
      <c r="VTO155" s="250"/>
      <c r="VTP155" s="250"/>
      <c r="VTQ155" s="250"/>
      <c r="VTR155" s="250"/>
      <c r="VTS155" s="250"/>
      <c r="VTT155" s="250"/>
      <c r="VTU155" s="250"/>
      <c r="VTV155" s="250"/>
      <c r="VTW155" s="250"/>
      <c r="VTX155" s="250"/>
      <c r="VTY155" s="250"/>
      <c r="VTZ155" s="250"/>
      <c r="VUA155" s="250"/>
      <c r="VUB155" s="250"/>
      <c r="VUC155" s="250"/>
      <c r="VUD155" s="250"/>
      <c r="VUE155" s="250"/>
      <c r="VUF155" s="250"/>
      <c r="VUG155" s="250"/>
      <c r="VUH155" s="250"/>
      <c r="VUI155" s="250"/>
      <c r="VUJ155" s="250"/>
      <c r="VUK155" s="250"/>
      <c r="VUL155" s="250"/>
      <c r="VUM155" s="250"/>
      <c r="VUN155" s="250"/>
      <c r="VUO155" s="250"/>
      <c r="VUP155" s="250"/>
      <c r="VUQ155" s="250"/>
      <c r="VUR155" s="250"/>
      <c r="VUS155" s="250"/>
      <c r="VUT155" s="250"/>
      <c r="VUU155" s="250"/>
      <c r="VUV155" s="250"/>
      <c r="VUW155" s="250"/>
      <c r="VUX155" s="250"/>
      <c r="VUY155" s="250"/>
      <c r="VUZ155" s="250"/>
      <c r="VVA155" s="250"/>
      <c r="VVB155" s="250"/>
      <c r="VVC155" s="250"/>
      <c r="VVD155" s="250"/>
      <c r="VVE155" s="250"/>
      <c r="VVF155" s="250"/>
      <c r="VVG155" s="250"/>
      <c r="VVH155" s="250"/>
      <c r="VVI155" s="250"/>
      <c r="VVJ155" s="250"/>
      <c r="VVK155" s="250"/>
      <c r="VVL155" s="250"/>
      <c r="VVM155" s="250"/>
      <c r="VVN155" s="250"/>
      <c r="VVO155" s="250"/>
      <c r="VVP155" s="250"/>
      <c r="VVQ155" s="250"/>
      <c r="VVR155" s="250"/>
      <c r="VVS155" s="250"/>
      <c r="VVT155" s="250"/>
      <c r="VVU155" s="250"/>
      <c r="VVV155" s="250"/>
      <c r="VVW155" s="250"/>
      <c r="VVX155" s="250"/>
      <c r="VVY155" s="250"/>
      <c r="VVZ155" s="250"/>
      <c r="VWA155" s="250"/>
      <c r="VWB155" s="250"/>
      <c r="VWC155" s="250"/>
      <c r="VWD155" s="250"/>
      <c r="VWE155" s="250"/>
      <c r="VWF155" s="250"/>
      <c r="VWG155" s="250"/>
      <c r="VWH155" s="250"/>
      <c r="VWI155" s="250"/>
      <c r="VWJ155" s="250"/>
      <c r="VWK155" s="250"/>
      <c r="VWL155" s="250"/>
      <c r="VWM155" s="250"/>
      <c r="VWN155" s="250"/>
      <c r="VWO155" s="250"/>
      <c r="VWP155" s="250"/>
      <c r="VWQ155" s="250"/>
      <c r="VWR155" s="250"/>
      <c r="VWS155" s="250"/>
      <c r="VWT155" s="250"/>
      <c r="VWU155" s="250"/>
      <c r="VWV155" s="250"/>
      <c r="VWW155" s="250"/>
      <c r="VWX155" s="250"/>
      <c r="VWY155" s="250"/>
      <c r="VWZ155" s="250"/>
      <c r="VXA155" s="250"/>
      <c r="VXB155" s="250"/>
      <c r="VXC155" s="250"/>
      <c r="VXD155" s="250"/>
      <c r="VXE155" s="250"/>
      <c r="VXF155" s="250"/>
      <c r="VXG155" s="250"/>
      <c r="VXH155" s="250"/>
      <c r="VXI155" s="250"/>
      <c r="VXJ155" s="250"/>
      <c r="VXK155" s="250"/>
      <c r="VXL155" s="250"/>
      <c r="VXM155" s="250"/>
      <c r="VXN155" s="250"/>
      <c r="VXO155" s="250"/>
      <c r="VXP155" s="250"/>
      <c r="VXQ155" s="250"/>
      <c r="VXR155" s="250"/>
      <c r="VXS155" s="250"/>
      <c r="VXT155" s="250"/>
      <c r="VXU155" s="250"/>
      <c r="VXV155" s="250"/>
      <c r="VXW155" s="250"/>
      <c r="VXX155" s="250"/>
      <c r="VXY155" s="250"/>
      <c r="VXZ155" s="250"/>
      <c r="VYA155" s="250"/>
      <c r="VYB155" s="250"/>
      <c r="VYC155" s="250"/>
      <c r="VYD155" s="250"/>
      <c r="VYE155" s="250"/>
      <c r="VYF155" s="250"/>
      <c r="VYG155" s="250"/>
      <c r="VYH155" s="250"/>
      <c r="VYI155" s="250"/>
      <c r="VYJ155" s="250"/>
      <c r="VYK155" s="250"/>
      <c r="VYL155" s="250"/>
      <c r="VYM155" s="250"/>
      <c r="VYN155" s="250"/>
      <c r="VYO155" s="250"/>
      <c r="VYP155" s="250"/>
      <c r="VYQ155" s="250"/>
      <c r="VYR155" s="250"/>
      <c r="VYS155" s="250"/>
      <c r="VYT155" s="250"/>
      <c r="VYU155" s="250"/>
      <c r="VYV155" s="250"/>
      <c r="VYW155" s="250"/>
      <c r="VYX155" s="250"/>
      <c r="VYY155" s="250"/>
      <c r="VYZ155" s="250"/>
      <c r="VZA155" s="250"/>
      <c r="VZB155" s="250"/>
      <c r="VZC155" s="250"/>
      <c r="VZD155" s="250"/>
      <c r="VZE155" s="250"/>
      <c r="VZF155" s="250"/>
      <c r="VZG155" s="250"/>
      <c r="VZH155" s="250"/>
      <c r="VZI155" s="250"/>
      <c r="VZJ155" s="250"/>
      <c r="VZK155" s="250"/>
      <c r="VZL155" s="250"/>
      <c r="VZM155" s="250"/>
      <c r="VZN155" s="250"/>
      <c r="VZO155" s="250"/>
      <c r="VZP155" s="250"/>
      <c r="VZQ155" s="250"/>
      <c r="VZR155" s="250"/>
      <c r="VZS155" s="250"/>
      <c r="VZT155" s="250"/>
      <c r="VZU155" s="250"/>
      <c r="VZV155" s="250"/>
      <c r="VZW155" s="250"/>
      <c r="VZX155" s="250"/>
      <c r="VZY155" s="250"/>
      <c r="VZZ155" s="250"/>
      <c r="WAA155" s="250"/>
      <c r="WAB155" s="250"/>
      <c r="WAC155" s="250"/>
      <c r="WAD155" s="250"/>
      <c r="WAE155" s="250"/>
      <c r="WAF155" s="250"/>
      <c r="WAG155" s="250"/>
      <c r="WAH155" s="250"/>
      <c r="WAI155" s="250"/>
      <c r="WAJ155" s="250"/>
      <c r="WAK155" s="250"/>
      <c r="WAL155" s="250"/>
      <c r="WAM155" s="250"/>
      <c r="WAN155" s="250"/>
      <c r="WAO155" s="250"/>
      <c r="WAP155" s="250"/>
      <c r="WAQ155" s="250"/>
      <c r="WAR155" s="250"/>
      <c r="WAS155" s="250"/>
      <c r="WAT155" s="250"/>
      <c r="WAU155" s="250"/>
      <c r="WAV155" s="250"/>
      <c r="WAW155" s="250"/>
      <c r="WAX155" s="250"/>
      <c r="WAY155" s="250"/>
      <c r="WAZ155" s="250"/>
      <c r="WBA155" s="250"/>
      <c r="WBB155" s="250"/>
      <c r="WBC155" s="250"/>
      <c r="WBD155" s="250"/>
      <c r="WBE155" s="250"/>
      <c r="WBF155" s="250"/>
      <c r="WBG155" s="250"/>
      <c r="WBH155" s="250"/>
      <c r="WBI155" s="250"/>
      <c r="WBJ155" s="250"/>
      <c r="WBK155" s="250"/>
      <c r="WBL155" s="250"/>
      <c r="WBM155" s="250"/>
      <c r="WBN155" s="250"/>
      <c r="WBO155" s="250"/>
      <c r="WBP155" s="250"/>
      <c r="WBQ155" s="250"/>
      <c r="WBR155" s="250"/>
      <c r="WBS155" s="250"/>
      <c r="WBT155" s="250"/>
      <c r="WBU155" s="250"/>
      <c r="WBV155" s="250"/>
      <c r="WBW155" s="250"/>
      <c r="WBX155" s="250"/>
      <c r="WBY155" s="250"/>
      <c r="WBZ155" s="250"/>
      <c r="WCA155" s="250"/>
      <c r="WCB155" s="250"/>
      <c r="WCC155" s="250"/>
      <c r="WCD155" s="250"/>
      <c r="WCE155" s="250"/>
      <c r="WCF155" s="250"/>
      <c r="WCG155" s="250"/>
      <c r="WCH155" s="250"/>
      <c r="WCI155" s="250"/>
      <c r="WCJ155" s="250"/>
      <c r="WCK155" s="250"/>
      <c r="WCL155" s="250"/>
      <c r="WCM155" s="250"/>
      <c r="WCN155" s="250"/>
      <c r="WCO155" s="250"/>
      <c r="WCP155" s="250"/>
      <c r="WCQ155" s="250"/>
      <c r="WCR155" s="250"/>
      <c r="WCS155" s="250"/>
      <c r="WCT155" s="250"/>
      <c r="WCU155" s="250"/>
      <c r="WCV155" s="250"/>
      <c r="WCW155" s="250"/>
      <c r="WCX155" s="250"/>
      <c r="WCY155" s="250"/>
      <c r="WCZ155" s="250"/>
      <c r="WDA155" s="250"/>
      <c r="WDB155" s="250"/>
      <c r="WDC155" s="250"/>
      <c r="WDD155" s="250"/>
      <c r="WDE155" s="250"/>
      <c r="WDF155" s="250"/>
      <c r="WDG155" s="250"/>
      <c r="WDH155" s="250"/>
      <c r="WDI155" s="250"/>
      <c r="WDJ155" s="250"/>
      <c r="WDK155" s="250"/>
      <c r="WDL155" s="250"/>
      <c r="WDM155" s="250"/>
      <c r="WDN155" s="250"/>
      <c r="WDO155" s="250"/>
      <c r="WDP155" s="250"/>
      <c r="WDQ155" s="250"/>
      <c r="WDR155" s="250"/>
      <c r="WDS155" s="250"/>
      <c r="WDT155" s="250"/>
      <c r="WDU155" s="250"/>
      <c r="WDV155" s="250"/>
      <c r="WDW155" s="250"/>
      <c r="WDX155" s="250"/>
      <c r="WDY155" s="250"/>
      <c r="WDZ155" s="250"/>
      <c r="WEA155" s="250"/>
      <c r="WEB155" s="250"/>
      <c r="WEC155" s="250"/>
      <c r="WED155" s="250"/>
      <c r="WEE155" s="250"/>
      <c r="WEF155" s="250"/>
      <c r="WEG155" s="250"/>
      <c r="WEH155" s="250"/>
      <c r="WEI155" s="250"/>
      <c r="WEJ155" s="250"/>
      <c r="WEK155" s="250"/>
      <c r="WEL155" s="250"/>
      <c r="WEM155" s="250"/>
      <c r="WEN155" s="250"/>
      <c r="WEO155" s="250"/>
      <c r="WEP155" s="250"/>
      <c r="WEQ155" s="250"/>
      <c r="WER155" s="250"/>
      <c r="WES155" s="250"/>
      <c r="WET155" s="250"/>
      <c r="WEU155" s="250"/>
      <c r="WEV155" s="250"/>
      <c r="WEW155" s="250"/>
      <c r="WEX155" s="250"/>
      <c r="WEY155" s="250"/>
      <c r="WEZ155" s="250"/>
      <c r="WFA155" s="250"/>
      <c r="WFB155" s="250"/>
      <c r="WFC155" s="250"/>
      <c r="WFD155" s="250"/>
      <c r="WFE155" s="250"/>
      <c r="WFF155" s="250"/>
      <c r="WFG155" s="250"/>
      <c r="WFH155" s="250"/>
      <c r="WFI155" s="250"/>
      <c r="WFJ155" s="250"/>
      <c r="WFK155" s="250"/>
      <c r="WFL155" s="250"/>
      <c r="WFM155" s="250"/>
      <c r="WFN155" s="250"/>
      <c r="WFO155" s="250"/>
      <c r="WFP155" s="250"/>
      <c r="WFQ155" s="250"/>
      <c r="WFR155" s="250"/>
      <c r="WFS155" s="250"/>
      <c r="WFT155" s="250"/>
      <c r="WFU155" s="250"/>
      <c r="WFV155" s="250"/>
      <c r="WFW155" s="250"/>
      <c r="WFX155" s="250"/>
      <c r="WFY155" s="250"/>
      <c r="WFZ155" s="250"/>
      <c r="WGA155" s="250"/>
      <c r="WGB155" s="250"/>
      <c r="WGC155" s="250"/>
      <c r="WGD155" s="250"/>
      <c r="WGE155" s="250"/>
      <c r="WGF155" s="250"/>
      <c r="WGG155" s="250"/>
      <c r="WGH155" s="250"/>
      <c r="WGI155" s="250"/>
      <c r="WGJ155" s="250"/>
      <c r="WGK155" s="250"/>
      <c r="WGL155" s="250"/>
      <c r="WGM155" s="250"/>
      <c r="WGN155" s="250"/>
      <c r="WGO155" s="250"/>
      <c r="WGP155" s="250"/>
      <c r="WGQ155" s="250"/>
      <c r="WGR155" s="250"/>
      <c r="WGS155" s="250"/>
      <c r="WGT155" s="250"/>
      <c r="WGU155" s="250"/>
      <c r="WGV155" s="250"/>
      <c r="WGW155" s="250"/>
      <c r="WGX155" s="250"/>
      <c r="WGY155" s="250"/>
      <c r="WGZ155" s="250"/>
      <c r="WHA155" s="250"/>
      <c r="WHB155" s="250"/>
      <c r="WHC155" s="250"/>
      <c r="WHD155" s="250"/>
      <c r="WHE155" s="250"/>
      <c r="WHF155" s="250"/>
      <c r="WHG155" s="250"/>
      <c r="WHH155" s="250"/>
      <c r="WHI155" s="250"/>
      <c r="WHJ155" s="250"/>
      <c r="WHK155" s="250"/>
      <c r="WHL155" s="250"/>
      <c r="WHM155" s="250"/>
      <c r="WHN155" s="250"/>
      <c r="WHO155" s="250"/>
      <c r="WHP155" s="250"/>
      <c r="WHQ155" s="250"/>
      <c r="WHR155" s="250"/>
      <c r="WHS155" s="250"/>
      <c r="WHT155" s="250"/>
      <c r="WHU155" s="250"/>
      <c r="WHV155" s="250"/>
      <c r="WHW155" s="250"/>
      <c r="WHX155" s="250"/>
      <c r="WHY155" s="250"/>
      <c r="WHZ155" s="250"/>
      <c r="WIA155" s="250"/>
      <c r="WIB155" s="250"/>
      <c r="WIC155" s="250"/>
      <c r="WID155" s="250"/>
      <c r="WIE155" s="250"/>
      <c r="WIF155" s="250"/>
      <c r="WIG155" s="250"/>
      <c r="WIH155" s="250"/>
      <c r="WII155" s="250"/>
      <c r="WIJ155" s="250"/>
      <c r="WIK155" s="250"/>
      <c r="WIL155" s="250"/>
      <c r="WIM155" s="250"/>
      <c r="WIN155" s="250"/>
      <c r="WIO155" s="250"/>
      <c r="WIP155" s="250"/>
      <c r="WIQ155" s="250"/>
      <c r="WIR155" s="250"/>
      <c r="WIS155" s="250"/>
      <c r="WIT155" s="250"/>
      <c r="WIU155" s="250"/>
      <c r="WIV155" s="250"/>
      <c r="WIW155" s="250"/>
      <c r="WIX155" s="250"/>
      <c r="WIY155" s="250"/>
      <c r="WIZ155" s="250"/>
      <c r="WJA155" s="250"/>
      <c r="WJB155" s="250"/>
      <c r="WJC155" s="250"/>
      <c r="WJD155" s="250"/>
      <c r="WJE155" s="250"/>
      <c r="WJF155" s="250"/>
      <c r="WJG155" s="250"/>
      <c r="WJH155" s="250"/>
      <c r="WJI155" s="250"/>
      <c r="WJJ155" s="250"/>
      <c r="WJK155" s="250"/>
      <c r="WJL155" s="250"/>
      <c r="WJM155" s="250"/>
      <c r="WJN155" s="250"/>
      <c r="WJO155" s="250"/>
      <c r="WJP155" s="250"/>
      <c r="WJQ155" s="250"/>
      <c r="WJR155" s="250"/>
      <c r="WJS155" s="250"/>
      <c r="WJT155" s="250"/>
      <c r="WJU155" s="250"/>
      <c r="WJV155" s="250"/>
      <c r="WJW155" s="250"/>
      <c r="WJX155" s="250"/>
      <c r="WJY155" s="250"/>
      <c r="WJZ155" s="250"/>
      <c r="WKA155" s="250"/>
      <c r="WKB155" s="250"/>
      <c r="WKC155" s="250"/>
      <c r="WKD155" s="250"/>
      <c r="WKE155" s="250"/>
      <c r="WKF155" s="250"/>
      <c r="WKG155" s="250"/>
      <c r="WKH155" s="250"/>
      <c r="WKI155" s="250"/>
      <c r="WKJ155" s="250"/>
      <c r="WKK155" s="250"/>
      <c r="WKL155" s="250"/>
      <c r="WKM155" s="250"/>
      <c r="WKN155" s="250"/>
      <c r="WKO155" s="250"/>
      <c r="WKP155" s="250"/>
      <c r="WKQ155" s="250"/>
      <c r="WKR155" s="250"/>
      <c r="WKS155" s="250"/>
      <c r="WKT155" s="250"/>
      <c r="WKU155" s="250"/>
      <c r="WKV155" s="250"/>
      <c r="WKW155" s="250"/>
      <c r="WKX155" s="250"/>
      <c r="WKY155" s="250"/>
      <c r="WKZ155" s="250"/>
      <c r="WLA155" s="250"/>
      <c r="WLB155" s="250"/>
      <c r="WLC155" s="250"/>
      <c r="WLD155" s="250"/>
      <c r="WLE155" s="250"/>
      <c r="WLF155" s="250"/>
      <c r="WLG155" s="250"/>
      <c r="WLH155" s="250"/>
      <c r="WLI155" s="250"/>
      <c r="WLJ155" s="250"/>
      <c r="WLK155" s="250"/>
      <c r="WLL155" s="250"/>
      <c r="WLM155" s="250"/>
      <c r="WLN155" s="250"/>
      <c r="WLO155" s="250"/>
      <c r="WLP155" s="250"/>
      <c r="WLQ155" s="250"/>
      <c r="WLR155" s="250"/>
      <c r="WLS155" s="250"/>
      <c r="WLT155" s="250"/>
      <c r="WLU155" s="250"/>
      <c r="WLV155" s="250"/>
      <c r="WLW155" s="250"/>
      <c r="WLX155" s="250"/>
      <c r="WLY155" s="250"/>
      <c r="WLZ155" s="250"/>
      <c r="WMA155" s="250"/>
      <c r="WMB155" s="250"/>
      <c r="WMC155" s="250"/>
      <c r="WMD155" s="250"/>
      <c r="WME155" s="250"/>
      <c r="WMF155" s="250"/>
      <c r="WMG155" s="250"/>
      <c r="WMH155" s="250"/>
      <c r="WMI155" s="250"/>
      <c r="WMJ155" s="250"/>
      <c r="WMK155" s="250"/>
      <c r="WML155" s="250"/>
      <c r="WMM155" s="250"/>
      <c r="WMN155" s="250"/>
      <c r="WMO155" s="250"/>
      <c r="WMP155" s="250"/>
      <c r="WMQ155" s="250"/>
      <c r="WMR155" s="250"/>
      <c r="WMS155" s="250"/>
      <c r="WMT155" s="250"/>
      <c r="WMU155" s="250"/>
      <c r="WMV155" s="250"/>
      <c r="WMW155" s="250"/>
      <c r="WMX155" s="250"/>
      <c r="WMY155" s="250"/>
      <c r="WMZ155" s="250"/>
      <c r="WNA155" s="250"/>
      <c r="WNB155" s="250"/>
      <c r="WNC155" s="250"/>
      <c r="WND155" s="250"/>
      <c r="WNE155" s="250"/>
      <c r="WNF155" s="250"/>
      <c r="WNG155" s="250"/>
      <c r="WNH155" s="250"/>
      <c r="WNI155" s="250"/>
      <c r="WNJ155" s="250"/>
      <c r="WNK155" s="250"/>
      <c r="WNL155" s="250"/>
      <c r="WNM155" s="250"/>
      <c r="WNN155" s="250"/>
      <c r="WNO155" s="250"/>
      <c r="WNP155" s="250"/>
      <c r="WNQ155" s="250"/>
      <c r="WNR155" s="250"/>
      <c r="WNS155" s="250"/>
      <c r="WNT155" s="250"/>
      <c r="WNU155" s="250"/>
      <c r="WNV155" s="250"/>
      <c r="WNW155" s="250"/>
      <c r="WNX155" s="250"/>
      <c r="WNY155" s="250"/>
      <c r="WNZ155" s="250"/>
      <c r="WOA155" s="250"/>
      <c r="WOB155" s="250"/>
      <c r="WOC155" s="250"/>
      <c r="WOD155" s="250"/>
      <c r="WOE155" s="250"/>
      <c r="WOF155" s="250"/>
      <c r="WOG155" s="250"/>
      <c r="WOH155" s="250"/>
      <c r="WOI155" s="250"/>
      <c r="WOJ155" s="250"/>
      <c r="WOK155" s="250"/>
      <c r="WOL155" s="250"/>
      <c r="WOM155" s="250"/>
      <c r="WON155" s="250"/>
      <c r="WOO155" s="250"/>
      <c r="WOP155" s="250"/>
      <c r="WOQ155" s="250"/>
      <c r="WOR155" s="250"/>
      <c r="WOS155" s="250"/>
      <c r="WOT155" s="250"/>
      <c r="WOU155" s="250"/>
      <c r="WOV155" s="250"/>
      <c r="WOW155" s="250"/>
      <c r="WOX155" s="250"/>
      <c r="WOY155" s="250"/>
      <c r="WOZ155" s="250"/>
      <c r="WPA155" s="250"/>
      <c r="WPB155" s="250"/>
      <c r="WPC155" s="250"/>
      <c r="WPD155" s="250"/>
      <c r="WPE155" s="250"/>
      <c r="WPF155" s="250"/>
      <c r="WPG155" s="250"/>
      <c r="WPH155" s="250"/>
      <c r="WPI155" s="250"/>
      <c r="WPJ155" s="250"/>
      <c r="WPK155" s="250"/>
      <c r="WPL155" s="250"/>
      <c r="WPM155" s="250"/>
      <c r="WPN155" s="250"/>
      <c r="WPO155" s="250"/>
      <c r="WPP155" s="250"/>
      <c r="WPQ155" s="250"/>
      <c r="WPR155" s="250"/>
      <c r="WPS155" s="250"/>
      <c r="WPT155" s="250"/>
      <c r="WPU155" s="250"/>
      <c r="WPV155" s="250"/>
      <c r="WPW155" s="250"/>
      <c r="WPX155" s="250"/>
      <c r="WPY155" s="250"/>
      <c r="WPZ155" s="250"/>
      <c r="WQA155" s="250"/>
      <c r="WQB155" s="250"/>
      <c r="WQC155" s="250"/>
      <c r="WQD155" s="250"/>
      <c r="WQE155" s="250"/>
      <c r="WQF155" s="250"/>
      <c r="WQG155" s="250"/>
      <c r="WQH155" s="250"/>
      <c r="WQI155" s="250"/>
      <c r="WQJ155" s="250"/>
      <c r="WQK155" s="250"/>
      <c r="WQL155" s="250"/>
      <c r="WQM155" s="250"/>
      <c r="WQN155" s="250"/>
      <c r="WQO155" s="250"/>
      <c r="WQP155" s="250"/>
      <c r="WQQ155" s="250"/>
      <c r="WQR155" s="250"/>
      <c r="WQS155" s="250"/>
      <c r="WQT155" s="250"/>
      <c r="WQU155" s="250"/>
      <c r="WQV155" s="250"/>
      <c r="WQW155" s="250"/>
      <c r="WQX155" s="250"/>
      <c r="WQY155" s="250"/>
      <c r="WQZ155" s="250"/>
      <c r="WRA155" s="250"/>
      <c r="WRB155" s="250"/>
      <c r="WRC155" s="250"/>
      <c r="WRD155" s="250"/>
      <c r="WRE155" s="250"/>
      <c r="WRF155" s="250"/>
      <c r="WRG155" s="250"/>
      <c r="WRH155" s="250"/>
      <c r="WRI155" s="250"/>
      <c r="WRJ155" s="250"/>
      <c r="WRK155" s="250"/>
      <c r="WRL155" s="250"/>
      <c r="WRM155" s="250"/>
      <c r="WRN155" s="250"/>
      <c r="WRO155" s="250"/>
      <c r="WRP155" s="250"/>
      <c r="WRQ155" s="250"/>
      <c r="WRR155" s="250"/>
      <c r="WRS155" s="250"/>
      <c r="WRT155" s="250"/>
      <c r="WRU155" s="250"/>
      <c r="WRV155" s="250"/>
      <c r="WRW155" s="250"/>
      <c r="WRX155" s="250"/>
      <c r="WRY155" s="250"/>
      <c r="WRZ155" s="250"/>
      <c r="WSA155" s="250"/>
      <c r="WSB155" s="250"/>
      <c r="WSC155" s="250"/>
      <c r="WSD155" s="250"/>
      <c r="WSE155" s="250"/>
      <c r="WSF155" s="250"/>
      <c r="WSG155" s="250"/>
      <c r="WSH155" s="250"/>
      <c r="WSI155" s="250"/>
      <c r="WSJ155" s="250"/>
      <c r="WSK155" s="250"/>
      <c r="WSL155" s="250"/>
      <c r="WSM155" s="250"/>
      <c r="WSN155" s="250"/>
      <c r="WSO155" s="250"/>
      <c r="WSP155" s="250"/>
      <c r="WSQ155" s="250"/>
      <c r="WSR155" s="250"/>
      <c r="WSS155" s="250"/>
      <c r="WST155" s="250"/>
      <c r="WSU155" s="250"/>
      <c r="WSV155" s="250"/>
      <c r="WSW155" s="250"/>
      <c r="WSX155" s="250"/>
      <c r="WSY155" s="250"/>
      <c r="WSZ155" s="250"/>
      <c r="WTA155" s="250"/>
      <c r="WTB155" s="250"/>
      <c r="WTC155" s="250"/>
      <c r="WTD155" s="250"/>
      <c r="WTE155" s="250"/>
      <c r="WTF155" s="250"/>
      <c r="WTG155" s="250"/>
      <c r="WTH155" s="250"/>
      <c r="WTI155" s="250"/>
      <c r="WTJ155" s="250"/>
      <c r="WTK155" s="250"/>
      <c r="WTL155" s="250"/>
      <c r="WTM155" s="250"/>
      <c r="WTN155" s="250"/>
      <c r="WTO155" s="250"/>
      <c r="WTP155" s="250"/>
      <c r="WTQ155" s="250"/>
      <c r="WTR155" s="250"/>
      <c r="WTS155" s="250"/>
      <c r="WTT155" s="250"/>
      <c r="WTU155" s="250"/>
      <c r="WTV155" s="250"/>
      <c r="WTW155" s="250"/>
      <c r="WTX155" s="250"/>
      <c r="WTY155" s="250"/>
      <c r="WTZ155" s="250"/>
      <c r="WUA155" s="250"/>
      <c r="WUB155" s="250"/>
      <c r="WUC155" s="250"/>
      <c r="WUD155" s="250"/>
      <c r="WUE155" s="250"/>
      <c r="WUF155" s="250"/>
      <c r="WUG155" s="250"/>
      <c r="WUH155" s="250"/>
      <c r="WUI155" s="250"/>
      <c r="WUJ155" s="250"/>
      <c r="WUK155" s="250"/>
      <c r="WUL155" s="250"/>
      <c r="WUM155" s="250"/>
      <c r="WUN155" s="250"/>
      <c r="WUO155" s="250"/>
      <c r="WUP155" s="250"/>
      <c r="WUQ155" s="250"/>
      <c r="WUR155" s="250"/>
      <c r="WUS155" s="250"/>
      <c r="WUT155" s="250"/>
      <c r="WUU155" s="250"/>
      <c r="WUV155" s="250"/>
      <c r="WUW155" s="250"/>
      <c r="WUX155" s="250"/>
      <c r="WUY155" s="250"/>
      <c r="WUZ155" s="250"/>
      <c r="WVA155" s="250"/>
      <c r="WVB155" s="250"/>
      <c r="WVC155" s="250"/>
      <c r="WVD155" s="250"/>
      <c r="WVE155" s="250"/>
      <c r="WVF155" s="250"/>
      <c r="WVG155" s="250"/>
      <c r="WVH155" s="250"/>
      <c r="WVI155" s="250"/>
      <c r="WVJ155" s="250"/>
      <c r="WVK155" s="250"/>
      <c r="WVL155" s="250"/>
      <c r="WVM155" s="250"/>
      <c r="WVN155" s="250"/>
      <c r="WVO155" s="250"/>
      <c r="WVP155" s="250"/>
      <c r="WVQ155" s="250"/>
      <c r="WVR155" s="250"/>
      <c r="WVS155" s="250"/>
      <c r="WVT155" s="250"/>
      <c r="WVU155" s="250"/>
      <c r="WVV155" s="250"/>
      <c r="WVW155" s="250"/>
      <c r="WVX155" s="250"/>
      <c r="WVY155" s="250"/>
      <c r="WVZ155" s="250"/>
      <c r="WWA155" s="250"/>
      <c r="WWB155" s="250"/>
      <c r="WWC155" s="250"/>
      <c r="WWD155" s="250"/>
      <c r="WWE155" s="250"/>
      <c r="WWF155" s="250"/>
      <c r="WWG155" s="250"/>
      <c r="WWH155" s="250"/>
      <c r="WWI155" s="250"/>
      <c r="WWJ155" s="250"/>
      <c r="WWK155" s="250"/>
      <c r="WWL155" s="250"/>
      <c r="WWM155" s="250"/>
      <c r="WWN155" s="250"/>
      <c r="WWO155" s="250"/>
      <c r="WWP155" s="250"/>
      <c r="WWQ155" s="250"/>
      <c r="WWR155" s="250"/>
      <c r="WWS155" s="250"/>
      <c r="WWT155" s="250"/>
      <c r="WWU155" s="250"/>
      <c r="WWV155" s="250"/>
      <c r="WWW155" s="250"/>
      <c r="WWX155" s="250"/>
      <c r="WWY155" s="250"/>
      <c r="WWZ155" s="250"/>
      <c r="WXA155" s="250"/>
      <c r="WXB155" s="250"/>
      <c r="WXC155" s="250"/>
      <c r="WXD155" s="250"/>
      <c r="WXE155" s="250"/>
      <c r="WXF155" s="250"/>
      <c r="WXG155" s="250"/>
      <c r="WXH155" s="250"/>
      <c r="WXI155" s="250"/>
      <c r="WXJ155" s="250"/>
      <c r="WXK155" s="250"/>
      <c r="WXL155" s="250"/>
      <c r="WXM155" s="250"/>
      <c r="WXN155" s="250"/>
      <c r="WXO155" s="250"/>
      <c r="WXP155" s="250"/>
      <c r="WXQ155" s="250"/>
      <c r="WXR155" s="250"/>
      <c r="WXS155" s="250"/>
      <c r="WXT155" s="250"/>
      <c r="WXU155" s="250"/>
      <c r="WXV155" s="250"/>
      <c r="WXW155" s="250"/>
      <c r="WXX155" s="250"/>
      <c r="WXY155" s="250"/>
      <c r="WXZ155" s="250"/>
      <c r="WYA155" s="250"/>
      <c r="WYB155" s="250"/>
      <c r="WYC155" s="250"/>
      <c r="WYD155" s="250"/>
      <c r="WYE155" s="250"/>
      <c r="WYF155" s="250"/>
      <c r="WYG155" s="250"/>
      <c r="WYH155" s="250"/>
      <c r="WYI155" s="250"/>
      <c r="WYJ155" s="250"/>
      <c r="WYK155" s="250"/>
      <c r="WYL155" s="250"/>
      <c r="WYM155" s="250"/>
      <c r="WYN155" s="250"/>
      <c r="WYO155" s="250"/>
      <c r="WYP155" s="250"/>
      <c r="WYQ155" s="250"/>
      <c r="WYR155" s="250"/>
      <c r="WYS155" s="250"/>
      <c r="WYT155" s="250"/>
      <c r="WYU155" s="250"/>
      <c r="WYV155" s="250"/>
      <c r="WYW155" s="250"/>
      <c r="WYX155" s="250"/>
      <c r="WYY155" s="250"/>
      <c r="WYZ155" s="250"/>
      <c r="WZA155" s="250"/>
      <c r="WZB155" s="250"/>
      <c r="WZC155" s="250"/>
      <c r="WZD155" s="250"/>
      <c r="WZE155" s="250"/>
      <c r="WZF155" s="250"/>
      <c r="WZG155" s="250"/>
      <c r="WZH155" s="250"/>
      <c r="WZI155" s="250"/>
      <c r="WZJ155" s="250"/>
      <c r="WZK155" s="250"/>
      <c r="WZL155" s="250"/>
      <c r="WZM155" s="250"/>
      <c r="WZN155" s="250"/>
      <c r="WZO155" s="250"/>
      <c r="WZP155" s="250"/>
      <c r="WZQ155" s="250"/>
      <c r="WZR155" s="250"/>
      <c r="WZS155" s="250"/>
      <c r="WZT155" s="250"/>
      <c r="WZU155" s="250"/>
      <c r="WZV155" s="250"/>
      <c r="WZW155" s="250"/>
      <c r="WZX155" s="250"/>
      <c r="WZY155" s="250"/>
      <c r="WZZ155" s="250"/>
      <c r="XAA155" s="250"/>
      <c r="XAB155" s="250"/>
      <c r="XAC155" s="250"/>
      <c r="XAD155" s="250"/>
      <c r="XAE155" s="250"/>
      <c r="XAF155" s="250"/>
      <c r="XAG155" s="250"/>
      <c r="XAH155" s="250"/>
      <c r="XAI155" s="250"/>
      <c r="XAJ155" s="250"/>
      <c r="XAK155" s="250"/>
      <c r="XAL155" s="250"/>
      <c r="XAM155" s="250"/>
      <c r="XAN155" s="250"/>
      <c r="XAO155" s="250"/>
      <c r="XAP155" s="250"/>
      <c r="XAQ155" s="250"/>
      <c r="XAR155" s="250"/>
      <c r="XAS155" s="250"/>
      <c r="XAT155" s="250"/>
      <c r="XAU155" s="250"/>
      <c r="XAV155" s="250"/>
      <c r="XAW155" s="250"/>
      <c r="XAX155" s="250"/>
      <c r="XAY155" s="250"/>
      <c r="XAZ155" s="250"/>
      <c r="XBA155" s="250"/>
      <c r="XBB155" s="250"/>
      <c r="XBC155" s="250"/>
      <c r="XBD155" s="250"/>
      <c r="XBE155" s="250"/>
      <c r="XBF155" s="250"/>
      <c r="XBG155" s="250"/>
      <c r="XBH155" s="250"/>
      <c r="XBI155" s="250"/>
      <c r="XBJ155" s="250"/>
      <c r="XBK155" s="250"/>
      <c r="XBL155" s="250"/>
      <c r="XBM155" s="250"/>
      <c r="XBN155" s="250"/>
      <c r="XBO155" s="250"/>
      <c r="XBP155" s="250"/>
      <c r="XBQ155" s="250"/>
      <c r="XBR155" s="250"/>
      <c r="XBS155" s="250"/>
      <c r="XBT155" s="250"/>
      <c r="XBU155" s="250"/>
      <c r="XBV155" s="250"/>
      <c r="XBW155" s="250"/>
      <c r="XBX155" s="250"/>
      <c r="XBY155" s="250"/>
      <c r="XBZ155" s="250"/>
      <c r="XCA155" s="250"/>
      <c r="XCB155" s="250"/>
      <c r="XCC155" s="250"/>
      <c r="XCD155" s="250"/>
      <c r="XCE155" s="250"/>
      <c r="XCF155" s="250"/>
      <c r="XCG155" s="250"/>
      <c r="XCH155" s="250"/>
      <c r="XCI155" s="250"/>
      <c r="XCJ155" s="250"/>
      <c r="XCK155" s="250"/>
      <c r="XCL155" s="250"/>
      <c r="XCM155" s="250"/>
      <c r="XCN155" s="250"/>
      <c r="XCO155" s="250"/>
      <c r="XCP155" s="250"/>
      <c r="XCQ155" s="250"/>
      <c r="XCR155" s="250"/>
      <c r="XCS155" s="250"/>
      <c r="XCT155" s="250"/>
      <c r="XCU155" s="250"/>
      <c r="XCV155" s="250"/>
      <c r="XCW155" s="250"/>
      <c r="XCX155" s="250"/>
      <c r="XCY155" s="250"/>
      <c r="XCZ155" s="250"/>
      <c r="XDA155" s="250"/>
      <c r="XDB155" s="250"/>
      <c r="XDC155" s="250"/>
      <c r="XDD155" s="250"/>
      <c r="XDE155" s="250"/>
      <c r="XDF155" s="250"/>
      <c r="XDG155" s="250"/>
      <c r="XDH155" s="250"/>
      <c r="XDI155" s="250"/>
      <c r="XDJ155" s="250"/>
      <c r="XDK155" s="250"/>
      <c r="XDL155" s="250"/>
      <c r="XDM155" s="250"/>
      <c r="XDN155" s="250"/>
      <c r="XDO155" s="250"/>
      <c r="XDP155" s="250"/>
      <c r="XDQ155" s="250"/>
      <c r="XDR155" s="250"/>
      <c r="XDS155" s="250"/>
      <c r="XDT155" s="250"/>
      <c r="XDU155" s="250"/>
      <c r="XDV155" s="250"/>
      <c r="XDW155" s="250"/>
      <c r="XDX155" s="250"/>
      <c r="XDY155" s="250"/>
      <c r="XDZ155" s="250"/>
      <c r="XEA155" s="250"/>
      <c r="XEB155" s="250"/>
      <c r="XEC155" s="250"/>
      <c r="XED155" s="250"/>
      <c r="XEE155" s="250"/>
      <c r="XEF155" s="250"/>
      <c r="XEG155" s="250"/>
      <c r="XEH155" s="250"/>
      <c r="XEI155" s="250"/>
      <c r="XEJ155" s="250"/>
      <c r="XEK155" s="250"/>
      <c r="XEL155" s="250"/>
      <c r="XEM155" s="250"/>
      <c r="XEN155" s="250"/>
      <c r="XEO155" s="250"/>
      <c r="XEP155" s="250"/>
      <c r="XEQ155" s="250"/>
      <c r="XER155" s="250"/>
      <c r="XES155" s="250"/>
      <c r="XET155" s="250"/>
      <c r="XEU155" s="250"/>
      <c r="XEV155" s="250"/>
      <c r="XEW155" s="250"/>
      <c r="XEX155" s="250"/>
      <c r="XEY155" s="250"/>
      <c r="XEZ155" s="250"/>
      <c r="XFA155" s="250"/>
      <c r="XFB155" s="250"/>
      <c r="XFC155" s="250"/>
    </row>
    <row r="156" spans="1:16383" ht="12" customHeight="1" x14ac:dyDescent="0.2">
      <c r="A156" s="229"/>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c r="DY156" s="250"/>
      <c r="DZ156" s="250"/>
      <c r="EA156" s="250"/>
      <c r="EB156" s="250"/>
      <c r="EC156" s="250"/>
      <c r="ED156" s="250"/>
      <c r="EE156" s="250"/>
      <c r="EF156" s="250"/>
      <c r="EG156" s="250"/>
      <c r="EH156" s="250"/>
      <c r="EI156" s="250"/>
      <c r="EJ156" s="250"/>
      <c r="EK156" s="250"/>
      <c r="EL156" s="250"/>
      <c r="EM156" s="250"/>
      <c r="EN156" s="250"/>
      <c r="EO156" s="250"/>
      <c r="EP156" s="250"/>
      <c r="EQ156" s="250"/>
      <c r="ER156" s="250"/>
      <c r="ES156" s="250"/>
      <c r="ET156" s="250"/>
      <c r="EU156" s="250"/>
      <c r="EV156" s="250"/>
      <c r="EW156" s="250"/>
      <c r="EX156" s="250"/>
      <c r="EY156" s="250"/>
      <c r="EZ156" s="250"/>
      <c r="FA156" s="250"/>
      <c r="FB156" s="250"/>
      <c r="FC156" s="250"/>
      <c r="FD156" s="250"/>
      <c r="FE156" s="250"/>
      <c r="FF156" s="250"/>
      <c r="FG156" s="250"/>
      <c r="FH156" s="250"/>
      <c r="FI156" s="250"/>
      <c r="FJ156" s="250"/>
      <c r="FK156" s="250"/>
      <c r="FL156" s="250"/>
      <c r="FM156" s="250"/>
      <c r="FN156" s="250"/>
      <c r="FO156" s="250"/>
      <c r="FP156" s="250"/>
      <c r="FQ156" s="250"/>
      <c r="FR156" s="250"/>
      <c r="FS156" s="250"/>
      <c r="FT156" s="250"/>
      <c r="FU156" s="250"/>
      <c r="FV156" s="250"/>
      <c r="FW156" s="250"/>
      <c r="FX156" s="250"/>
      <c r="FY156" s="250"/>
      <c r="FZ156" s="250"/>
      <c r="GA156" s="250"/>
      <c r="GB156" s="250"/>
      <c r="GC156" s="250"/>
      <c r="GD156" s="250"/>
      <c r="GE156" s="250"/>
      <c r="GF156" s="250"/>
      <c r="GG156" s="250"/>
      <c r="GH156" s="250"/>
      <c r="GI156" s="250"/>
      <c r="GJ156" s="250"/>
      <c r="GK156" s="250"/>
      <c r="GL156" s="250"/>
      <c r="GM156" s="250"/>
      <c r="GN156" s="250"/>
      <c r="GO156" s="250"/>
      <c r="GP156" s="250"/>
      <c r="GQ156" s="250"/>
      <c r="GR156" s="250"/>
      <c r="GS156" s="250"/>
      <c r="GT156" s="250"/>
      <c r="GU156" s="250"/>
      <c r="GV156" s="250"/>
      <c r="GW156" s="250"/>
      <c r="GX156" s="250"/>
      <c r="GY156" s="250"/>
      <c r="GZ156" s="250"/>
      <c r="HA156" s="250"/>
      <c r="HB156" s="250"/>
      <c r="HC156" s="250"/>
      <c r="HD156" s="250"/>
      <c r="HE156" s="250"/>
      <c r="HF156" s="250"/>
      <c r="HG156" s="250"/>
      <c r="HH156" s="250"/>
      <c r="HI156" s="250"/>
      <c r="HJ156" s="250"/>
      <c r="HK156" s="250"/>
      <c r="HL156" s="250"/>
      <c r="HM156" s="250"/>
      <c r="HN156" s="250"/>
      <c r="HO156" s="250"/>
      <c r="HP156" s="250"/>
      <c r="HQ156" s="250"/>
      <c r="HR156" s="250"/>
      <c r="HS156" s="250"/>
      <c r="HT156" s="250"/>
      <c r="HU156" s="250"/>
      <c r="HV156" s="250"/>
      <c r="HW156" s="250"/>
      <c r="HX156" s="250"/>
      <c r="HY156" s="250"/>
      <c r="HZ156" s="250"/>
      <c r="IA156" s="250"/>
      <c r="IB156" s="250"/>
      <c r="IC156" s="250"/>
      <c r="ID156" s="250"/>
      <c r="IE156" s="250"/>
      <c r="IF156" s="250"/>
      <c r="IG156" s="250"/>
      <c r="IH156" s="250"/>
      <c r="II156" s="250"/>
      <c r="IJ156" s="250"/>
      <c r="IK156" s="250"/>
      <c r="IL156" s="250"/>
      <c r="IM156" s="250"/>
      <c r="IN156" s="250"/>
      <c r="IO156" s="250"/>
      <c r="IP156" s="250"/>
      <c r="IQ156" s="250"/>
      <c r="IR156" s="250"/>
      <c r="IS156" s="250"/>
      <c r="IT156" s="250"/>
      <c r="IU156" s="250"/>
      <c r="IV156" s="250"/>
      <c r="IW156" s="250"/>
      <c r="IX156" s="250"/>
      <c r="IY156" s="250"/>
      <c r="IZ156" s="250"/>
      <c r="JA156" s="250"/>
      <c r="JB156" s="250"/>
      <c r="JC156" s="250"/>
      <c r="JD156" s="250"/>
      <c r="JE156" s="250"/>
      <c r="JF156" s="250"/>
      <c r="JG156" s="250"/>
      <c r="JH156" s="250"/>
      <c r="JI156" s="250"/>
      <c r="JJ156" s="250"/>
      <c r="JK156" s="250"/>
      <c r="JL156" s="250"/>
      <c r="JM156" s="250"/>
      <c r="JN156" s="250"/>
      <c r="JO156" s="250"/>
      <c r="JP156" s="250"/>
      <c r="JQ156" s="250"/>
      <c r="JR156" s="250"/>
      <c r="JS156" s="250"/>
      <c r="JT156" s="250"/>
      <c r="JU156" s="250"/>
      <c r="JV156" s="250"/>
      <c r="JW156" s="250"/>
      <c r="JX156" s="250"/>
      <c r="JY156" s="250"/>
      <c r="JZ156" s="250"/>
      <c r="KA156" s="250"/>
      <c r="KB156" s="250"/>
      <c r="KC156" s="250"/>
      <c r="KD156" s="250"/>
      <c r="KE156" s="250"/>
      <c r="KF156" s="250"/>
      <c r="KG156" s="250"/>
      <c r="KH156" s="250"/>
      <c r="KI156" s="250"/>
      <c r="KJ156" s="250"/>
      <c r="KK156" s="250"/>
      <c r="KL156" s="250"/>
      <c r="KM156" s="250"/>
      <c r="KN156" s="250"/>
      <c r="KO156" s="250"/>
      <c r="KP156" s="250"/>
      <c r="KQ156" s="250"/>
      <c r="KR156" s="250"/>
      <c r="KS156" s="250"/>
      <c r="KT156" s="250"/>
      <c r="KU156" s="250"/>
      <c r="KV156" s="250"/>
      <c r="KW156" s="250"/>
      <c r="KX156" s="250"/>
      <c r="KY156" s="250"/>
      <c r="KZ156" s="250"/>
      <c r="LA156" s="250"/>
      <c r="LB156" s="250"/>
      <c r="LC156" s="250"/>
      <c r="LD156" s="250"/>
      <c r="LE156" s="250"/>
      <c r="LF156" s="250"/>
      <c r="LG156" s="250"/>
      <c r="LH156" s="250"/>
      <c r="LI156" s="250"/>
      <c r="LJ156" s="250"/>
      <c r="LK156" s="250"/>
      <c r="LL156" s="250"/>
      <c r="LM156" s="250"/>
      <c r="LN156" s="250"/>
      <c r="LO156" s="250"/>
      <c r="LP156" s="250"/>
      <c r="LQ156" s="250"/>
      <c r="LR156" s="250"/>
      <c r="LS156" s="250"/>
      <c r="LT156" s="250"/>
      <c r="LU156" s="250"/>
      <c r="LV156" s="250"/>
      <c r="LW156" s="250"/>
      <c r="LX156" s="250"/>
      <c r="LY156" s="250"/>
      <c r="LZ156" s="250"/>
      <c r="MA156" s="250"/>
      <c r="MB156" s="250"/>
      <c r="MC156" s="250"/>
      <c r="MD156" s="250"/>
      <c r="ME156" s="250"/>
      <c r="MF156" s="250"/>
      <c r="MG156" s="250"/>
      <c r="MH156" s="250"/>
      <c r="MI156" s="250"/>
      <c r="MJ156" s="250"/>
      <c r="MK156" s="250"/>
      <c r="ML156" s="250"/>
      <c r="MM156" s="250"/>
      <c r="MN156" s="250"/>
      <c r="MO156" s="250"/>
      <c r="MP156" s="250"/>
      <c r="MQ156" s="250"/>
      <c r="MR156" s="250"/>
      <c r="MS156" s="250"/>
      <c r="MT156" s="250"/>
      <c r="MU156" s="250"/>
      <c r="MV156" s="250"/>
      <c r="MW156" s="250"/>
      <c r="MX156" s="250"/>
      <c r="MY156" s="250"/>
      <c r="MZ156" s="250"/>
      <c r="NA156" s="250"/>
      <c r="NB156" s="250"/>
      <c r="NC156" s="250"/>
      <c r="ND156" s="250"/>
      <c r="NE156" s="250"/>
      <c r="NF156" s="250"/>
      <c r="NG156" s="250"/>
      <c r="NH156" s="250"/>
      <c r="NI156" s="250"/>
      <c r="NJ156" s="250"/>
      <c r="NK156" s="250"/>
      <c r="NL156" s="250"/>
      <c r="NM156" s="250"/>
      <c r="NN156" s="250"/>
      <c r="NO156" s="250"/>
      <c r="NP156" s="250"/>
      <c r="NQ156" s="250"/>
      <c r="NR156" s="250"/>
      <c r="NS156" s="250"/>
      <c r="NT156" s="250"/>
      <c r="NU156" s="250"/>
      <c r="NV156" s="250"/>
      <c r="NW156" s="250"/>
      <c r="NX156" s="250"/>
      <c r="NY156" s="250"/>
      <c r="NZ156" s="250"/>
      <c r="OA156" s="250"/>
      <c r="OB156" s="250"/>
      <c r="OC156" s="250"/>
      <c r="OD156" s="250"/>
      <c r="OE156" s="250"/>
      <c r="OF156" s="250"/>
      <c r="OG156" s="250"/>
      <c r="OH156" s="250"/>
      <c r="OI156" s="250"/>
      <c r="OJ156" s="250"/>
      <c r="OK156" s="250"/>
      <c r="OL156" s="250"/>
      <c r="OM156" s="250"/>
      <c r="ON156" s="250"/>
      <c r="OO156" s="250"/>
      <c r="OP156" s="250"/>
      <c r="OQ156" s="250"/>
      <c r="OR156" s="250"/>
      <c r="OS156" s="250"/>
      <c r="OT156" s="250"/>
      <c r="OU156" s="250"/>
      <c r="OV156" s="250"/>
      <c r="OW156" s="250"/>
      <c r="OX156" s="250"/>
      <c r="OY156" s="250"/>
      <c r="OZ156" s="250"/>
      <c r="PA156" s="250"/>
      <c r="PB156" s="250"/>
      <c r="PC156" s="250"/>
      <c r="PD156" s="250"/>
      <c r="PE156" s="250"/>
      <c r="PF156" s="250"/>
      <c r="PG156" s="250"/>
      <c r="PH156" s="250"/>
      <c r="PI156" s="250"/>
      <c r="PJ156" s="250"/>
      <c r="PK156" s="250"/>
      <c r="PL156" s="250"/>
      <c r="PM156" s="250"/>
      <c r="PN156" s="250"/>
      <c r="PO156" s="250"/>
      <c r="PP156" s="250"/>
      <c r="PQ156" s="250"/>
      <c r="PR156" s="250"/>
      <c r="PS156" s="250"/>
      <c r="PT156" s="250"/>
      <c r="PU156" s="250"/>
      <c r="PV156" s="250"/>
      <c r="PW156" s="250"/>
      <c r="PX156" s="250"/>
      <c r="PY156" s="250"/>
      <c r="PZ156" s="250"/>
      <c r="QA156" s="250"/>
      <c r="QB156" s="250"/>
      <c r="QC156" s="250"/>
      <c r="QD156" s="250"/>
      <c r="QE156" s="250"/>
      <c r="QF156" s="250"/>
      <c r="QG156" s="250"/>
      <c r="QH156" s="250"/>
      <c r="QI156" s="250"/>
      <c r="QJ156" s="250"/>
      <c r="QK156" s="250"/>
      <c r="QL156" s="250"/>
      <c r="QM156" s="250"/>
      <c r="QN156" s="250"/>
      <c r="QO156" s="250"/>
      <c r="QP156" s="250"/>
      <c r="QQ156" s="250"/>
      <c r="QR156" s="250"/>
      <c r="QS156" s="250"/>
      <c r="QT156" s="250"/>
      <c r="QU156" s="250"/>
      <c r="QV156" s="250"/>
      <c r="QW156" s="250"/>
      <c r="QX156" s="250"/>
      <c r="QY156" s="250"/>
      <c r="QZ156" s="250"/>
      <c r="RA156" s="250"/>
      <c r="RB156" s="250"/>
      <c r="RC156" s="250"/>
      <c r="RD156" s="250"/>
      <c r="RE156" s="250"/>
      <c r="RF156" s="250"/>
      <c r="RG156" s="250"/>
      <c r="RH156" s="250"/>
      <c r="RI156" s="250"/>
      <c r="RJ156" s="250"/>
      <c r="RK156" s="250"/>
      <c r="RL156" s="250"/>
      <c r="RM156" s="250"/>
      <c r="RN156" s="250"/>
      <c r="RO156" s="250"/>
      <c r="RP156" s="250"/>
      <c r="RQ156" s="250"/>
      <c r="RR156" s="250"/>
      <c r="RS156" s="250"/>
      <c r="RT156" s="250"/>
      <c r="RU156" s="250"/>
      <c r="RV156" s="250"/>
      <c r="RW156" s="250"/>
      <c r="RX156" s="250"/>
      <c r="RY156" s="250"/>
      <c r="RZ156" s="250"/>
      <c r="SA156" s="250"/>
      <c r="SB156" s="250"/>
      <c r="SC156" s="250"/>
      <c r="SD156" s="250"/>
      <c r="SE156" s="250"/>
      <c r="SF156" s="250"/>
      <c r="SG156" s="250"/>
      <c r="SH156" s="250"/>
      <c r="SI156" s="250"/>
      <c r="SJ156" s="250"/>
      <c r="SK156" s="250"/>
      <c r="SL156" s="250"/>
      <c r="SM156" s="250"/>
      <c r="SN156" s="250"/>
      <c r="SO156" s="250"/>
      <c r="SP156" s="250"/>
      <c r="SQ156" s="250"/>
      <c r="SR156" s="250"/>
      <c r="SS156" s="250"/>
      <c r="ST156" s="250"/>
      <c r="SU156" s="250"/>
      <c r="SV156" s="250"/>
      <c r="SW156" s="250"/>
      <c r="SX156" s="250"/>
      <c r="SY156" s="250"/>
      <c r="SZ156" s="250"/>
      <c r="TA156" s="250"/>
      <c r="TB156" s="250"/>
      <c r="TC156" s="250"/>
      <c r="TD156" s="250"/>
      <c r="TE156" s="250"/>
      <c r="TF156" s="250"/>
      <c r="TG156" s="250"/>
      <c r="TH156" s="250"/>
      <c r="TI156" s="250"/>
      <c r="TJ156" s="250"/>
      <c r="TK156" s="250"/>
      <c r="TL156" s="250"/>
      <c r="TM156" s="250"/>
      <c r="TN156" s="250"/>
      <c r="TO156" s="250"/>
      <c r="TP156" s="250"/>
      <c r="TQ156" s="250"/>
      <c r="TR156" s="250"/>
      <c r="TS156" s="250"/>
      <c r="TT156" s="250"/>
      <c r="TU156" s="250"/>
      <c r="TV156" s="250"/>
      <c r="TW156" s="250"/>
      <c r="TX156" s="250"/>
      <c r="TY156" s="250"/>
      <c r="TZ156" s="250"/>
      <c r="UA156" s="250"/>
      <c r="UB156" s="250"/>
      <c r="UC156" s="250"/>
      <c r="UD156" s="250"/>
      <c r="UE156" s="250"/>
      <c r="UF156" s="250"/>
      <c r="UG156" s="250"/>
      <c r="UH156" s="250"/>
      <c r="UI156" s="250"/>
      <c r="UJ156" s="250"/>
      <c r="UK156" s="250"/>
      <c r="UL156" s="250"/>
      <c r="UM156" s="250"/>
      <c r="UN156" s="250"/>
      <c r="UO156" s="250"/>
      <c r="UP156" s="250"/>
      <c r="UQ156" s="250"/>
      <c r="UR156" s="250"/>
      <c r="US156" s="250"/>
      <c r="UT156" s="250"/>
      <c r="UU156" s="250"/>
      <c r="UV156" s="250"/>
      <c r="UW156" s="250"/>
      <c r="UX156" s="250"/>
      <c r="UY156" s="250"/>
      <c r="UZ156" s="250"/>
      <c r="VA156" s="250"/>
      <c r="VB156" s="250"/>
      <c r="VC156" s="250"/>
      <c r="VD156" s="250"/>
      <c r="VE156" s="250"/>
      <c r="VF156" s="250"/>
      <c r="VG156" s="250"/>
      <c r="VH156" s="250"/>
      <c r="VI156" s="250"/>
      <c r="VJ156" s="250"/>
      <c r="VK156" s="250"/>
      <c r="VL156" s="250"/>
      <c r="VM156" s="250"/>
      <c r="VN156" s="250"/>
      <c r="VO156" s="250"/>
      <c r="VP156" s="250"/>
      <c r="VQ156" s="250"/>
      <c r="VR156" s="250"/>
      <c r="VS156" s="250"/>
      <c r="VT156" s="250"/>
      <c r="VU156" s="250"/>
      <c r="VV156" s="250"/>
      <c r="VW156" s="250"/>
      <c r="VX156" s="250"/>
      <c r="VY156" s="250"/>
      <c r="VZ156" s="250"/>
      <c r="WA156" s="250"/>
      <c r="WB156" s="250"/>
      <c r="WC156" s="250"/>
      <c r="WD156" s="250"/>
      <c r="WE156" s="250"/>
      <c r="WF156" s="250"/>
      <c r="WG156" s="250"/>
      <c r="WH156" s="250"/>
      <c r="WI156" s="250"/>
      <c r="WJ156" s="250"/>
      <c r="WK156" s="250"/>
      <c r="WL156" s="250"/>
      <c r="WM156" s="250"/>
      <c r="WN156" s="250"/>
      <c r="WO156" s="250"/>
      <c r="WP156" s="250"/>
      <c r="WQ156" s="250"/>
      <c r="WR156" s="250"/>
      <c r="WS156" s="250"/>
      <c r="WT156" s="250"/>
      <c r="WU156" s="250"/>
      <c r="WV156" s="250"/>
      <c r="WW156" s="250"/>
      <c r="WX156" s="250"/>
      <c r="WY156" s="250"/>
      <c r="WZ156" s="250"/>
      <c r="XA156" s="250"/>
      <c r="XB156" s="250"/>
      <c r="XC156" s="250"/>
      <c r="XD156" s="250"/>
      <c r="XE156" s="250"/>
      <c r="XF156" s="250"/>
      <c r="XG156" s="250"/>
      <c r="XH156" s="250"/>
      <c r="XI156" s="250"/>
      <c r="XJ156" s="250"/>
      <c r="XK156" s="250"/>
      <c r="XL156" s="250"/>
      <c r="XM156" s="250"/>
      <c r="XN156" s="250"/>
      <c r="XO156" s="250"/>
      <c r="XP156" s="250"/>
      <c r="XQ156" s="250"/>
      <c r="XR156" s="250"/>
      <c r="XS156" s="250"/>
      <c r="XT156" s="250"/>
      <c r="XU156" s="250"/>
      <c r="XV156" s="250"/>
      <c r="XW156" s="250"/>
      <c r="XX156" s="250"/>
      <c r="XY156" s="250"/>
      <c r="XZ156" s="250"/>
      <c r="YA156" s="250"/>
      <c r="YB156" s="250"/>
      <c r="YC156" s="250"/>
      <c r="YD156" s="250"/>
      <c r="YE156" s="250"/>
      <c r="YF156" s="250"/>
      <c r="YG156" s="250"/>
      <c r="YH156" s="250"/>
      <c r="YI156" s="250"/>
      <c r="YJ156" s="250"/>
      <c r="YK156" s="250"/>
      <c r="YL156" s="250"/>
      <c r="YM156" s="250"/>
      <c r="YN156" s="250"/>
      <c r="YO156" s="250"/>
      <c r="YP156" s="250"/>
      <c r="YQ156" s="250"/>
      <c r="YR156" s="250"/>
      <c r="YS156" s="250"/>
      <c r="YT156" s="250"/>
      <c r="YU156" s="250"/>
      <c r="YV156" s="250"/>
      <c r="YW156" s="250"/>
      <c r="YX156" s="250"/>
      <c r="YY156" s="250"/>
      <c r="YZ156" s="250"/>
      <c r="ZA156" s="250"/>
      <c r="ZB156" s="250"/>
      <c r="ZC156" s="250"/>
      <c r="ZD156" s="250"/>
      <c r="ZE156" s="250"/>
      <c r="ZF156" s="250"/>
      <c r="ZG156" s="250"/>
      <c r="ZH156" s="250"/>
      <c r="ZI156" s="250"/>
      <c r="ZJ156" s="250"/>
      <c r="ZK156" s="250"/>
      <c r="ZL156" s="250"/>
      <c r="ZM156" s="250"/>
      <c r="ZN156" s="250"/>
      <c r="ZO156" s="250"/>
      <c r="ZP156" s="250"/>
      <c r="ZQ156" s="250"/>
      <c r="ZR156" s="250"/>
      <c r="ZS156" s="250"/>
      <c r="ZT156" s="250"/>
      <c r="ZU156" s="250"/>
      <c r="ZV156" s="250"/>
      <c r="ZW156" s="250"/>
      <c r="ZX156" s="250"/>
      <c r="ZY156" s="250"/>
      <c r="ZZ156" s="250"/>
      <c r="AAA156" s="250"/>
      <c r="AAB156" s="250"/>
      <c r="AAC156" s="250"/>
      <c r="AAD156" s="250"/>
      <c r="AAE156" s="250"/>
      <c r="AAF156" s="250"/>
      <c r="AAG156" s="250"/>
      <c r="AAH156" s="250"/>
      <c r="AAI156" s="250"/>
      <c r="AAJ156" s="250"/>
      <c r="AAK156" s="250"/>
      <c r="AAL156" s="250"/>
      <c r="AAM156" s="250"/>
      <c r="AAN156" s="250"/>
      <c r="AAO156" s="250"/>
      <c r="AAP156" s="250"/>
      <c r="AAQ156" s="250"/>
      <c r="AAR156" s="250"/>
      <c r="AAS156" s="250"/>
      <c r="AAT156" s="250"/>
      <c r="AAU156" s="250"/>
      <c r="AAV156" s="250"/>
      <c r="AAW156" s="250"/>
      <c r="AAX156" s="250"/>
      <c r="AAY156" s="250"/>
      <c r="AAZ156" s="250"/>
      <c r="ABA156" s="250"/>
      <c r="ABB156" s="250"/>
      <c r="ABC156" s="250"/>
      <c r="ABD156" s="250"/>
      <c r="ABE156" s="250"/>
      <c r="ABF156" s="250"/>
      <c r="ABG156" s="250"/>
      <c r="ABH156" s="250"/>
      <c r="ABI156" s="250"/>
      <c r="ABJ156" s="250"/>
      <c r="ABK156" s="250"/>
      <c r="ABL156" s="250"/>
      <c r="ABM156" s="250"/>
      <c r="ABN156" s="250"/>
      <c r="ABO156" s="250"/>
      <c r="ABP156" s="250"/>
      <c r="ABQ156" s="250"/>
      <c r="ABR156" s="250"/>
      <c r="ABS156" s="250"/>
      <c r="ABT156" s="250"/>
      <c r="ABU156" s="250"/>
      <c r="ABV156" s="250"/>
      <c r="ABW156" s="250"/>
      <c r="ABX156" s="250"/>
      <c r="ABY156" s="250"/>
      <c r="ABZ156" s="250"/>
      <c r="ACA156" s="250"/>
      <c r="ACB156" s="250"/>
      <c r="ACC156" s="250"/>
      <c r="ACD156" s="250"/>
      <c r="ACE156" s="250"/>
      <c r="ACF156" s="250"/>
      <c r="ACG156" s="250"/>
      <c r="ACH156" s="250"/>
      <c r="ACI156" s="250"/>
      <c r="ACJ156" s="250"/>
      <c r="ACK156" s="250"/>
      <c r="ACL156" s="250"/>
      <c r="ACM156" s="250"/>
      <c r="ACN156" s="250"/>
      <c r="ACO156" s="250"/>
      <c r="ACP156" s="250"/>
      <c r="ACQ156" s="250"/>
      <c r="ACR156" s="250"/>
      <c r="ACS156" s="250"/>
      <c r="ACT156" s="250"/>
      <c r="ACU156" s="250"/>
      <c r="ACV156" s="250"/>
      <c r="ACW156" s="250"/>
      <c r="ACX156" s="250"/>
      <c r="ACY156" s="250"/>
      <c r="ACZ156" s="250"/>
      <c r="ADA156" s="250"/>
      <c r="ADB156" s="250"/>
      <c r="ADC156" s="250"/>
      <c r="ADD156" s="250"/>
      <c r="ADE156" s="250"/>
      <c r="ADF156" s="250"/>
      <c r="ADG156" s="250"/>
      <c r="ADH156" s="250"/>
      <c r="ADI156" s="250"/>
      <c r="ADJ156" s="250"/>
      <c r="ADK156" s="250"/>
      <c r="ADL156" s="250"/>
      <c r="ADM156" s="250"/>
      <c r="ADN156" s="250"/>
      <c r="ADO156" s="250"/>
      <c r="ADP156" s="250"/>
      <c r="ADQ156" s="250"/>
      <c r="ADR156" s="250"/>
      <c r="ADS156" s="250"/>
      <c r="ADT156" s="250"/>
      <c r="ADU156" s="250"/>
      <c r="ADV156" s="250"/>
      <c r="ADW156" s="250"/>
      <c r="ADX156" s="250"/>
      <c r="ADY156" s="250"/>
      <c r="ADZ156" s="250"/>
      <c r="AEA156" s="250"/>
      <c r="AEB156" s="250"/>
      <c r="AEC156" s="250"/>
      <c r="AED156" s="250"/>
      <c r="AEE156" s="250"/>
      <c r="AEF156" s="250"/>
      <c r="AEG156" s="250"/>
      <c r="AEH156" s="250"/>
      <c r="AEI156" s="250"/>
      <c r="AEJ156" s="250"/>
      <c r="AEK156" s="250"/>
      <c r="AEL156" s="250"/>
      <c r="AEM156" s="250"/>
      <c r="AEN156" s="250"/>
      <c r="AEO156" s="250"/>
      <c r="AEP156" s="250"/>
      <c r="AEQ156" s="250"/>
      <c r="AER156" s="250"/>
      <c r="AES156" s="250"/>
      <c r="AET156" s="250"/>
      <c r="AEU156" s="250"/>
      <c r="AEV156" s="250"/>
      <c r="AEW156" s="250"/>
      <c r="AEX156" s="250"/>
      <c r="AEY156" s="250"/>
      <c r="AEZ156" s="250"/>
      <c r="AFA156" s="250"/>
      <c r="AFB156" s="250"/>
      <c r="AFC156" s="250"/>
      <c r="AFD156" s="250"/>
      <c r="AFE156" s="250"/>
      <c r="AFF156" s="250"/>
      <c r="AFG156" s="250"/>
      <c r="AFH156" s="250"/>
      <c r="AFI156" s="250"/>
      <c r="AFJ156" s="250"/>
      <c r="AFK156" s="250"/>
      <c r="AFL156" s="250"/>
      <c r="AFM156" s="250"/>
      <c r="AFN156" s="250"/>
      <c r="AFO156" s="250"/>
      <c r="AFP156" s="250"/>
      <c r="AFQ156" s="250"/>
      <c r="AFR156" s="250"/>
      <c r="AFS156" s="250"/>
      <c r="AFT156" s="250"/>
      <c r="AFU156" s="250"/>
      <c r="AFV156" s="250"/>
      <c r="AFW156" s="250"/>
      <c r="AFX156" s="250"/>
      <c r="AFY156" s="250"/>
      <c r="AFZ156" s="250"/>
      <c r="AGA156" s="250"/>
      <c r="AGB156" s="250"/>
      <c r="AGC156" s="250"/>
      <c r="AGD156" s="250"/>
      <c r="AGE156" s="250"/>
      <c r="AGF156" s="250"/>
      <c r="AGG156" s="250"/>
      <c r="AGH156" s="250"/>
      <c r="AGI156" s="250"/>
      <c r="AGJ156" s="250"/>
      <c r="AGK156" s="250"/>
      <c r="AGL156" s="250"/>
      <c r="AGM156" s="250"/>
      <c r="AGN156" s="250"/>
      <c r="AGO156" s="250"/>
      <c r="AGP156" s="250"/>
      <c r="AGQ156" s="250"/>
      <c r="AGR156" s="250"/>
      <c r="AGS156" s="250"/>
      <c r="AGT156" s="250"/>
      <c r="AGU156" s="250"/>
      <c r="AGV156" s="250"/>
      <c r="AGW156" s="250"/>
      <c r="AGX156" s="250"/>
      <c r="AGY156" s="250"/>
      <c r="AGZ156" s="250"/>
      <c r="AHA156" s="250"/>
      <c r="AHB156" s="250"/>
      <c r="AHC156" s="250"/>
      <c r="AHD156" s="250"/>
      <c r="AHE156" s="250"/>
      <c r="AHF156" s="250"/>
      <c r="AHG156" s="250"/>
      <c r="AHH156" s="250"/>
      <c r="AHI156" s="250"/>
      <c r="AHJ156" s="250"/>
      <c r="AHK156" s="250"/>
      <c r="AHL156" s="250"/>
      <c r="AHM156" s="250"/>
      <c r="AHN156" s="250"/>
      <c r="AHO156" s="250"/>
      <c r="AHP156" s="250"/>
      <c r="AHQ156" s="250"/>
      <c r="AHR156" s="250"/>
      <c r="AHS156" s="250"/>
      <c r="AHT156" s="250"/>
      <c r="AHU156" s="250"/>
      <c r="AHV156" s="250"/>
      <c r="AHW156" s="250"/>
      <c r="AHX156" s="250"/>
      <c r="AHY156" s="250"/>
      <c r="AHZ156" s="250"/>
      <c r="AIA156" s="250"/>
      <c r="AIB156" s="250"/>
      <c r="AIC156" s="250"/>
      <c r="AID156" s="250"/>
      <c r="AIE156" s="250"/>
      <c r="AIF156" s="250"/>
      <c r="AIG156" s="250"/>
      <c r="AIH156" s="250"/>
      <c r="AII156" s="250"/>
      <c r="AIJ156" s="250"/>
      <c r="AIK156" s="250"/>
      <c r="AIL156" s="250"/>
      <c r="AIM156" s="250"/>
      <c r="AIN156" s="250"/>
      <c r="AIO156" s="250"/>
      <c r="AIP156" s="250"/>
      <c r="AIQ156" s="250"/>
      <c r="AIR156" s="250"/>
      <c r="AIS156" s="250"/>
      <c r="AIT156" s="250"/>
      <c r="AIU156" s="250"/>
      <c r="AIV156" s="250"/>
      <c r="AIW156" s="250"/>
      <c r="AIX156" s="250"/>
      <c r="AIY156" s="250"/>
      <c r="AIZ156" s="250"/>
      <c r="AJA156" s="250"/>
      <c r="AJB156" s="250"/>
      <c r="AJC156" s="250"/>
      <c r="AJD156" s="250"/>
      <c r="AJE156" s="250"/>
      <c r="AJF156" s="250"/>
      <c r="AJG156" s="250"/>
      <c r="AJH156" s="250"/>
      <c r="AJI156" s="250"/>
      <c r="AJJ156" s="250"/>
      <c r="AJK156" s="250"/>
      <c r="AJL156" s="250"/>
      <c r="AJM156" s="250"/>
      <c r="AJN156" s="250"/>
      <c r="AJO156" s="250"/>
      <c r="AJP156" s="250"/>
      <c r="AJQ156" s="250"/>
      <c r="AJR156" s="250"/>
      <c r="AJS156" s="250"/>
      <c r="AJT156" s="250"/>
      <c r="AJU156" s="250"/>
      <c r="AJV156" s="250"/>
      <c r="AJW156" s="250"/>
      <c r="AJX156" s="250"/>
      <c r="AJY156" s="250"/>
      <c r="AJZ156" s="250"/>
      <c r="AKA156" s="250"/>
      <c r="AKB156" s="250"/>
      <c r="AKC156" s="250"/>
      <c r="AKD156" s="250"/>
      <c r="AKE156" s="250"/>
      <c r="AKF156" s="250"/>
      <c r="AKG156" s="250"/>
      <c r="AKH156" s="250"/>
      <c r="AKI156" s="250"/>
      <c r="AKJ156" s="250"/>
      <c r="AKK156" s="250"/>
      <c r="AKL156" s="250"/>
      <c r="AKM156" s="250"/>
      <c r="AKN156" s="250"/>
      <c r="AKO156" s="250"/>
      <c r="AKP156" s="250"/>
      <c r="AKQ156" s="250"/>
      <c r="AKR156" s="250"/>
      <c r="AKS156" s="250"/>
      <c r="AKT156" s="250"/>
      <c r="AKU156" s="250"/>
      <c r="AKV156" s="250"/>
      <c r="AKW156" s="250"/>
      <c r="AKX156" s="250"/>
      <c r="AKY156" s="250"/>
      <c r="AKZ156" s="250"/>
      <c r="ALA156" s="250"/>
      <c r="ALB156" s="250"/>
      <c r="ALC156" s="250"/>
      <c r="ALD156" s="250"/>
      <c r="ALE156" s="250"/>
      <c r="ALF156" s="250"/>
      <c r="ALG156" s="250"/>
      <c r="ALH156" s="250"/>
      <c r="ALI156" s="250"/>
      <c r="ALJ156" s="250"/>
      <c r="ALK156" s="250"/>
      <c r="ALL156" s="250"/>
      <c r="ALM156" s="250"/>
      <c r="ALN156" s="250"/>
      <c r="ALO156" s="250"/>
      <c r="ALP156" s="250"/>
      <c r="ALQ156" s="250"/>
      <c r="ALR156" s="250"/>
      <c r="ALS156" s="250"/>
      <c r="ALT156" s="250"/>
      <c r="ALU156" s="250"/>
      <c r="ALV156" s="250"/>
      <c r="ALW156" s="250"/>
      <c r="ALX156" s="250"/>
      <c r="ALY156" s="250"/>
      <c r="ALZ156" s="250"/>
      <c r="AMA156" s="250"/>
      <c r="AMB156" s="250"/>
      <c r="AMC156" s="250"/>
      <c r="AMD156" s="250"/>
      <c r="AME156" s="250"/>
      <c r="AMF156" s="250"/>
      <c r="AMG156" s="250"/>
      <c r="AMH156" s="250"/>
      <c r="AMI156" s="250"/>
      <c r="AMJ156" s="250"/>
      <c r="AMK156" s="250"/>
      <c r="AML156" s="250"/>
      <c r="AMM156" s="250"/>
      <c r="AMN156" s="250"/>
      <c r="AMO156" s="250"/>
      <c r="AMP156" s="250"/>
      <c r="AMQ156" s="250"/>
      <c r="AMR156" s="250"/>
      <c r="AMS156" s="250"/>
      <c r="AMT156" s="250"/>
      <c r="AMU156" s="250"/>
      <c r="AMV156" s="250"/>
      <c r="AMW156" s="250"/>
      <c r="AMX156" s="250"/>
      <c r="AMY156" s="250"/>
      <c r="AMZ156" s="250"/>
      <c r="ANA156" s="250"/>
      <c r="ANB156" s="250"/>
      <c r="ANC156" s="250"/>
      <c r="AND156" s="250"/>
      <c r="ANE156" s="250"/>
      <c r="ANF156" s="250"/>
      <c r="ANG156" s="250"/>
      <c r="ANH156" s="250"/>
      <c r="ANI156" s="250"/>
      <c r="ANJ156" s="250"/>
      <c r="ANK156" s="250"/>
      <c r="ANL156" s="250"/>
      <c r="ANM156" s="250"/>
      <c r="ANN156" s="250"/>
      <c r="ANO156" s="250"/>
      <c r="ANP156" s="250"/>
      <c r="ANQ156" s="250"/>
      <c r="ANR156" s="250"/>
      <c r="ANS156" s="250"/>
      <c r="ANT156" s="250"/>
      <c r="ANU156" s="250"/>
      <c r="ANV156" s="250"/>
      <c r="ANW156" s="250"/>
      <c r="ANX156" s="250"/>
      <c r="ANY156" s="250"/>
      <c r="ANZ156" s="250"/>
      <c r="AOA156" s="250"/>
      <c r="AOB156" s="250"/>
      <c r="AOC156" s="250"/>
      <c r="AOD156" s="250"/>
      <c r="AOE156" s="250"/>
      <c r="AOF156" s="250"/>
      <c r="AOG156" s="250"/>
      <c r="AOH156" s="250"/>
      <c r="AOI156" s="250"/>
      <c r="AOJ156" s="250"/>
      <c r="AOK156" s="250"/>
      <c r="AOL156" s="250"/>
      <c r="AOM156" s="250"/>
      <c r="AON156" s="250"/>
      <c r="AOO156" s="250"/>
      <c r="AOP156" s="250"/>
      <c r="AOQ156" s="250"/>
      <c r="AOR156" s="250"/>
      <c r="AOS156" s="250"/>
      <c r="AOT156" s="250"/>
      <c r="AOU156" s="250"/>
      <c r="AOV156" s="250"/>
      <c r="AOW156" s="250"/>
      <c r="AOX156" s="250"/>
      <c r="AOY156" s="250"/>
      <c r="AOZ156" s="250"/>
      <c r="APA156" s="250"/>
      <c r="APB156" s="250"/>
      <c r="APC156" s="250"/>
      <c r="APD156" s="250"/>
      <c r="APE156" s="250"/>
      <c r="APF156" s="250"/>
      <c r="APG156" s="250"/>
      <c r="APH156" s="250"/>
      <c r="API156" s="250"/>
      <c r="APJ156" s="250"/>
      <c r="APK156" s="250"/>
      <c r="APL156" s="250"/>
      <c r="APM156" s="250"/>
      <c r="APN156" s="250"/>
      <c r="APO156" s="250"/>
      <c r="APP156" s="250"/>
      <c r="APQ156" s="250"/>
      <c r="APR156" s="250"/>
      <c r="APS156" s="250"/>
      <c r="APT156" s="250"/>
      <c r="APU156" s="250"/>
      <c r="APV156" s="250"/>
      <c r="APW156" s="250"/>
      <c r="APX156" s="250"/>
      <c r="APY156" s="250"/>
      <c r="APZ156" s="250"/>
      <c r="AQA156" s="250"/>
      <c r="AQB156" s="250"/>
      <c r="AQC156" s="250"/>
      <c r="AQD156" s="250"/>
      <c r="AQE156" s="250"/>
      <c r="AQF156" s="250"/>
      <c r="AQG156" s="250"/>
      <c r="AQH156" s="250"/>
      <c r="AQI156" s="250"/>
      <c r="AQJ156" s="250"/>
      <c r="AQK156" s="250"/>
      <c r="AQL156" s="250"/>
      <c r="AQM156" s="250"/>
      <c r="AQN156" s="250"/>
      <c r="AQO156" s="250"/>
      <c r="AQP156" s="250"/>
      <c r="AQQ156" s="250"/>
      <c r="AQR156" s="250"/>
      <c r="AQS156" s="250"/>
      <c r="AQT156" s="250"/>
      <c r="AQU156" s="250"/>
      <c r="AQV156" s="250"/>
      <c r="AQW156" s="250"/>
      <c r="AQX156" s="250"/>
      <c r="AQY156" s="250"/>
      <c r="AQZ156" s="250"/>
      <c r="ARA156" s="250"/>
      <c r="ARB156" s="250"/>
      <c r="ARC156" s="250"/>
      <c r="ARD156" s="250"/>
      <c r="ARE156" s="250"/>
      <c r="ARF156" s="250"/>
      <c r="ARG156" s="250"/>
      <c r="ARH156" s="250"/>
      <c r="ARI156" s="250"/>
      <c r="ARJ156" s="250"/>
      <c r="ARK156" s="250"/>
      <c r="ARL156" s="250"/>
      <c r="ARM156" s="250"/>
      <c r="ARN156" s="250"/>
      <c r="ARO156" s="250"/>
      <c r="ARP156" s="250"/>
      <c r="ARQ156" s="250"/>
      <c r="ARR156" s="250"/>
      <c r="ARS156" s="250"/>
      <c r="ART156" s="250"/>
      <c r="ARU156" s="250"/>
      <c r="ARV156" s="250"/>
      <c r="ARW156" s="250"/>
      <c r="ARX156" s="250"/>
      <c r="ARY156" s="250"/>
      <c r="ARZ156" s="250"/>
      <c r="ASA156" s="250"/>
      <c r="ASB156" s="250"/>
      <c r="ASC156" s="250"/>
      <c r="ASD156" s="250"/>
      <c r="ASE156" s="250"/>
      <c r="ASF156" s="250"/>
      <c r="ASG156" s="250"/>
      <c r="ASH156" s="250"/>
      <c r="ASI156" s="250"/>
      <c r="ASJ156" s="250"/>
      <c r="ASK156" s="250"/>
      <c r="ASL156" s="250"/>
      <c r="ASM156" s="250"/>
      <c r="ASN156" s="250"/>
      <c r="ASO156" s="250"/>
      <c r="ASP156" s="250"/>
      <c r="ASQ156" s="250"/>
      <c r="ASR156" s="250"/>
      <c r="ASS156" s="250"/>
      <c r="AST156" s="250"/>
      <c r="ASU156" s="250"/>
      <c r="ASV156" s="250"/>
      <c r="ASW156" s="250"/>
      <c r="ASX156" s="250"/>
      <c r="ASY156" s="250"/>
      <c r="ASZ156" s="250"/>
      <c r="ATA156" s="250"/>
      <c r="ATB156" s="250"/>
      <c r="ATC156" s="250"/>
      <c r="ATD156" s="250"/>
      <c r="ATE156" s="250"/>
      <c r="ATF156" s="250"/>
      <c r="ATG156" s="250"/>
      <c r="ATH156" s="250"/>
      <c r="ATI156" s="250"/>
      <c r="ATJ156" s="250"/>
      <c r="ATK156" s="250"/>
      <c r="ATL156" s="250"/>
      <c r="ATM156" s="250"/>
      <c r="ATN156" s="250"/>
      <c r="ATO156" s="250"/>
      <c r="ATP156" s="250"/>
      <c r="ATQ156" s="250"/>
      <c r="ATR156" s="250"/>
      <c r="ATS156" s="250"/>
      <c r="ATT156" s="250"/>
      <c r="ATU156" s="250"/>
      <c r="ATV156" s="250"/>
      <c r="ATW156" s="250"/>
      <c r="ATX156" s="250"/>
      <c r="ATY156" s="250"/>
      <c r="ATZ156" s="250"/>
      <c r="AUA156" s="250"/>
      <c r="AUB156" s="250"/>
      <c r="AUC156" s="250"/>
      <c r="AUD156" s="250"/>
      <c r="AUE156" s="250"/>
      <c r="AUF156" s="250"/>
      <c r="AUG156" s="250"/>
      <c r="AUH156" s="250"/>
      <c r="AUI156" s="250"/>
      <c r="AUJ156" s="250"/>
      <c r="AUK156" s="250"/>
      <c r="AUL156" s="250"/>
      <c r="AUM156" s="250"/>
      <c r="AUN156" s="250"/>
      <c r="AUO156" s="250"/>
      <c r="AUP156" s="250"/>
      <c r="AUQ156" s="250"/>
      <c r="AUR156" s="250"/>
      <c r="AUS156" s="250"/>
      <c r="AUT156" s="250"/>
      <c r="AUU156" s="250"/>
      <c r="AUV156" s="250"/>
      <c r="AUW156" s="250"/>
      <c r="AUX156" s="250"/>
      <c r="AUY156" s="250"/>
      <c r="AUZ156" s="250"/>
      <c r="AVA156" s="250"/>
      <c r="AVB156" s="250"/>
      <c r="AVC156" s="250"/>
      <c r="AVD156" s="250"/>
      <c r="AVE156" s="250"/>
      <c r="AVF156" s="250"/>
      <c r="AVG156" s="250"/>
      <c r="AVH156" s="250"/>
      <c r="AVI156" s="250"/>
      <c r="AVJ156" s="250"/>
      <c r="AVK156" s="250"/>
      <c r="AVL156" s="250"/>
      <c r="AVM156" s="250"/>
      <c r="AVN156" s="250"/>
      <c r="AVO156" s="250"/>
      <c r="AVP156" s="250"/>
      <c r="AVQ156" s="250"/>
      <c r="AVR156" s="250"/>
      <c r="AVS156" s="250"/>
      <c r="AVT156" s="250"/>
      <c r="AVU156" s="250"/>
      <c r="AVV156" s="250"/>
      <c r="AVW156" s="250"/>
      <c r="AVX156" s="250"/>
      <c r="AVY156" s="250"/>
      <c r="AVZ156" s="250"/>
      <c r="AWA156" s="250"/>
      <c r="AWB156" s="250"/>
      <c r="AWC156" s="250"/>
      <c r="AWD156" s="250"/>
      <c r="AWE156" s="250"/>
      <c r="AWF156" s="250"/>
      <c r="AWG156" s="250"/>
      <c r="AWH156" s="250"/>
      <c r="AWI156" s="250"/>
      <c r="AWJ156" s="250"/>
      <c r="AWK156" s="250"/>
      <c r="AWL156" s="250"/>
      <c r="AWM156" s="250"/>
      <c r="AWN156" s="250"/>
      <c r="AWO156" s="250"/>
      <c r="AWP156" s="250"/>
      <c r="AWQ156" s="250"/>
      <c r="AWR156" s="250"/>
      <c r="AWS156" s="250"/>
      <c r="AWT156" s="250"/>
      <c r="AWU156" s="250"/>
      <c r="AWV156" s="250"/>
      <c r="AWW156" s="250"/>
      <c r="AWX156" s="250"/>
      <c r="AWY156" s="250"/>
      <c r="AWZ156" s="250"/>
      <c r="AXA156" s="250"/>
      <c r="AXB156" s="250"/>
      <c r="AXC156" s="250"/>
      <c r="AXD156" s="250"/>
      <c r="AXE156" s="250"/>
      <c r="AXF156" s="250"/>
      <c r="AXG156" s="250"/>
      <c r="AXH156" s="250"/>
      <c r="AXI156" s="250"/>
      <c r="AXJ156" s="250"/>
      <c r="AXK156" s="250"/>
      <c r="AXL156" s="250"/>
      <c r="AXM156" s="250"/>
      <c r="AXN156" s="250"/>
      <c r="AXO156" s="250"/>
      <c r="AXP156" s="250"/>
      <c r="AXQ156" s="250"/>
      <c r="AXR156" s="250"/>
      <c r="AXS156" s="250"/>
      <c r="AXT156" s="250"/>
      <c r="AXU156" s="250"/>
      <c r="AXV156" s="250"/>
      <c r="AXW156" s="250"/>
      <c r="AXX156" s="250"/>
      <c r="AXY156" s="250"/>
      <c r="AXZ156" s="250"/>
      <c r="AYA156" s="250"/>
      <c r="AYB156" s="250"/>
      <c r="AYC156" s="250"/>
      <c r="AYD156" s="250"/>
      <c r="AYE156" s="250"/>
      <c r="AYF156" s="250"/>
      <c r="AYG156" s="250"/>
      <c r="AYH156" s="250"/>
      <c r="AYI156" s="250"/>
      <c r="AYJ156" s="250"/>
      <c r="AYK156" s="250"/>
      <c r="AYL156" s="250"/>
      <c r="AYM156" s="250"/>
      <c r="AYN156" s="250"/>
      <c r="AYO156" s="250"/>
      <c r="AYP156" s="250"/>
      <c r="AYQ156" s="250"/>
      <c r="AYR156" s="250"/>
      <c r="AYS156" s="250"/>
      <c r="AYT156" s="250"/>
      <c r="AYU156" s="250"/>
      <c r="AYV156" s="250"/>
      <c r="AYW156" s="250"/>
      <c r="AYX156" s="250"/>
      <c r="AYY156" s="250"/>
      <c r="AYZ156" s="250"/>
      <c r="AZA156" s="250"/>
      <c r="AZB156" s="250"/>
      <c r="AZC156" s="250"/>
      <c r="AZD156" s="250"/>
      <c r="AZE156" s="250"/>
      <c r="AZF156" s="250"/>
      <c r="AZG156" s="250"/>
      <c r="AZH156" s="250"/>
      <c r="AZI156" s="250"/>
      <c r="AZJ156" s="250"/>
      <c r="AZK156" s="250"/>
      <c r="AZL156" s="250"/>
      <c r="AZM156" s="250"/>
      <c r="AZN156" s="250"/>
      <c r="AZO156" s="250"/>
      <c r="AZP156" s="250"/>
      <c r="AZQ156" s="250"/>
      <c r="AZR156" s="250"/>
      <c r="AZS156" s="250"/>
      <c r="AZT156" s="250"/>
      <c r="AZU156" s="250"/>
      <c r="AZV156" s="250"/>
      <c r="AZW156" s="250"/>
      <c r="AZX156" s="250"/>
      <c r="AZY156" s="250"/>
      <c r="AZZ156" s="250"/>
      <c r="BAA156" s="250"/>
      <c r="BAB156" s="250"/>
      <c r="BAC156" s="250"/>
      <c r="BAD156" s="250"/>
      <c r="BAE156" s="250"/>
      <c r="BAF156" s="250"/>
      <c r="BAG156" s="250"/>
      <c r="BAH156" s="250"/>
      <c r="BAI156" s="250"/>
      <c r="BAJ156" s="250"/>
      <c r="BAK156" s="250"/>
      <c r="BAL156" s="250"/>
      <c r="BAM156" s="250"/>
      <c r="BAN156" s="250"/>
      <c r="BAO156" s="250"/>
      <c r="BAP156" s="250"/>
      <c r="BAQ156" s="250"/>
      <c r="BAR156" s="250"/>
      <c r="BAS156" s="250"/>
      <c r="BAT156" s="250"/>
      <c r="BAU156" s="250"/>
      <c r="BAV156" s="250"/>
      <c r="BAW156" s="250"/>
      <c r="BAX156" s="250"/>
      <c r="BAY156" s="250"/>
      <c r="BAZ156" s="250"/>
      <c r="BBA156" s="250"/>
      <c r="BBB156" s="250"/>
      <c r="BBC156" s="250"/>
      <c r="BBD156" s="250"/>
      <c r="BBE156" s="250"/>
      <c r="BBF156" s="250"/>
      <c r="BBG156" s="250"/>
      <c r="BBH156" s="250"/>
      <c r="BBI156" s="250"/>
      <c r="BBJ156" s="250"/>
      <c r="BBK156" s="250"/>
      <c r="BBL156" s="250"/>
      <c r="BBM156" s="250"/>
      <c r="BBN156" s="250"/>
      <c r="BBO156" s="250"/>
      <c r="BBP156" s="250"/>
      <c r="BBQ156" s="250"/>
      <c r="BBR156" s="250"/>
      <c r="BBS156" s="250"/>
      <c r="BBT156" s="250"/>
      <c r="BBU156" s="250"/>
      <c r="BBV156" s="250"/>
      <c r="BBW156" s="250"/>
      <c r="BBX156" s="250"/>
      <c r="BBY156" s="250"/>
      <c r="BBZ156" s="250"/>
      <c r="BCA156" s="250"/>
      <c r="BCB156" s="250"/>
      <c r="BCC156" s="250"/>
      <c r="BCD156" s="250"/>
      <c r="BCE156" s="250"/>
      <c r="BCF156" s="250"/>
      <c r="BCG156" s="250"/>
      <c r="BCH156" s="250"/>
      <c r="BCI156" s="250"/>
      <c r="BCJ156" s="250"/>
      <c r="BCK156" s="250"/>
      <c r="BCL156" s="250"/>
      <c r="BCM156" s="250"/>
      <c r="BCN156" s="250"/>
      <c r="BCO156" s="250"/>
      <c r="BCP156" s="250"/>
      <c r="BCQ156" s="250"/>
      <c r="BCR156" s="250"/>
      <c r="BCS156" s="250"/>
      <c r="BCT156" s="250"/>
      <c r="BCU156" s="250"/>
      <c r="BCV156" s="250"/>
      <c r="BCW156" s="250"/>
      <c r="BCX156" s="250"/>
      <c r="BCY156" s="250"/>
      <c r="BCZ156" s="250"/>
      <c r="BDA156" s="250"/>
      <c r="BDB156" s="250"/>
      <c r="BDC156" s="250"/>
      <c r="BDD156" s="250"/>
      <c r="BDE156" s="250"/>
      <c r="BDF156" s="250"/>
      <c r="BDG156" s="250"/>
      <c r="BDH156" s="250"/>
      <c r="BDI156" s="250"/>
      <c r="BDJ156" s="250"/>
      <c r="BDK156" s="250"/>
      <c r="BDL156" s="250"/>
      <c r="BDM156" s="250"/>
      <c r="BDN156" s="250"/>
      <c r="BDO156" s="250"/>
      <c r="BDP156" s="250"/>
      <c r="BDQ156" s="250"/>
      <c r="BDR156" s="250"/>
      <c r="BDS156" s="250"/>
      <c r="BDT156" s="250"/>
      <c r="BDU156" s="250"/>
      <c r="BDV156" s="250"/>
      <c r="BDW156" s="250"/>
      <c r="BDX156" s="250"/>
      <c r="BDY156" s="250"/>
      <c r="BDZ156" s="250"/>
      <c r="BEA156" s="250"/>
      <c r="BEB156" s="250"/>
      <c r="BEC156" s="250"/>
      <c r="BED156" s="250"/>
      <c r="BEE156" s="250"/>
      <c r="BEF156" s="250"/>
      <c r="BEG156" s="250"/>
      <c r="BEH156" s="250"/>
      <c r="BEI156" s="250"/>
      <c r="BEJ156" s="250"/>
      <c r="BEK156" s="250"/>
      <c r="BEL156" s="250"/>
      <c r="BEM156" s="250"/>
      <c r="BEN156" s="250"/>
      <c r="BEO156" s="250"/>
      <c r="BEP156" s="250"/>
      <c r="BEQ156" s="250"/>
      <c r="BER156" s="250"/>
      <c r="BES156" s="250"/>
      <c r="BET156" s="250"/>
      <c r="BEU156" s="250"/>
      <c r="BEV156" s="250"/>
      <c r="BEW156" s="250"/>
      <c r="BEX156" s="250"/>
      <c r="BEY156" s="250"/>
      <c r="BEZ156" s="250"/>
      <c r="BFA156" s="250"/>
      <c r="BFB156" s="250"/>
      <c r="BFC156" s="250"/>
      <c r="BFD156" s="250"/>
      <c r="BFE156" s="250"/>
      <c r="BFF156" s="250"/>
      <c r="BFG156" s="250"/>
      <c r="BFH156" s="250"/>
      <c r="BFI156" s="250"/>
      <c r="BFJ156" s="250"/>
      <c r="BFK156" s="250"/>
      <c r="BFL156" s="250"/>
      <c r="BFM156" s="250"/>
      <c r="BFN156" s="250"/>
      <c r="BFO156" s="250"/>
      <c r="BFP156" s="250"/>
      <c r="BFQ156" s="250"/>
      <c r="BFR156" s="250"/>
      <c r="BFS156" s="250"/>
      <c r="BFT156" s="250"/>
      <c r="BFU156" s="250"/>
      <c r="BFV156" s="250"/>
      <c r="BFW156" s="250"/>
      <c r="BFX156" s="250"/>
      <c r="BFY156" s="250"/>
      <c r="BFZ156" s="250"/>
      <c r="BGA156" s="250"/>
      <c r="BGB156" s="250"/>
      <c r="BGC156" s="250"/>
      <c r="BGD156" s="250"/>
      <c r="BGE156" s="250"/>
      <c r="BGF156" s="250"/>
      <c r="BGG156" s="250"/>
      <c r="BGH156" s="250"/>
      <c r="BGI156" s="250"/>
      <c r="BGJ156" s="250"/>
      <c r="BGK156" s="250"/>
      <c r="BGL156" s="250"/>
      <c r="BGM156" s="250"/>
      <c r="BGN156" s="250"/>
      <c r="BGO156" s="250"/>
      <c r="BGP156" s="250"/>
      <c r="BGQ156" s="250"/>
      <c r="BGR156" s="250"/>
      <c r="BGS156" s="250"/>
      <c r="BGT156" s="250"/>
      <c r="BGU156" s="250"/>
      <c r="BGV156" s="250"/>
      <c r="BGW156" s="250"/>
      <c r="BGX156" s="250"/>
      <c r="BGY156" s="250"/>
      <c r="BGZ156" s="250"/>
      <c r="BHA156" s="250"/>
      <c r="BHB156" s="250"/>
      <c r="BHC156" s="250"/>
      <c r="BHD156" s="250"/>
      <c r="BHE156" s="250"/>
      <c r="BHF156" s="250"/>
      <c r="BHG156" s="250"/>
      <c r="BHH156" s="250"/>
      <c r="BHI156" s="250"/>
      <c r="BHJ156" s="250"/>
      <c r="BHK156" s="250"/>
      <c r="BHL156" s="250"/>
      <c r="BHM156" s="250"/>
      <c r="BHN156" s="250"/>
      <c r="BHO156" s="250"/>
      <c r="BHP156" s="250"/>
      <c r="BHQ156" s="250"/>
      <c r="BHR156" s="250"/>
      <c r="BHS156" s="250"/>
      <c r="BHT156" s="250"/>
      <c r="BHU156" s="250"/>
      <c r="BHV156" s="250"/>
      <c r="BHW156" s="250"/>
      <c r="BHX156" s="250"/>
      <c r="BHY156" s="250"/>
      <c r="BHZ156" s="250"/>
      <c r="BIA156" s="250"/>
      <c r="BIB156" s="250"/>
      <c r="BIC156" s="250"/>
      <c r="BID156" s="250"/>
      <c r="BIE156" s="250"/>
      <c r="BIF156" s="250"/>
      <c r="BIG156" s="250"/>
      <c r="BIH156" s="250"/>
      <c r="BII156" s="250"/>
      <c r="BIJ156" s="250"/>
      <c r="BIK156" s="250"/>
      <c r="BIL156" s="250"/>
      <c r="BIM156" s="250"/>
      <c r="BIN156" s="250"/>
      <c r="BIO156" s="250"/>
      <c r="BIP156" s="250"/>
      <c r="BIQ156" s="250"/>
      <c r="BIR156" s="250"/>
      <c r="BIS156" s="250"/>
      <c r="BIT156" s="250"/>
      <c r="BIU156" s="250"/>
      <c r="BIV156" s="250"/>
      <c r="BIW156" s="250"/>
      <c r="BIX156" s="250"/>
      <c r="BIY156" s="250"/>
      <c r="BIZ156" s="250"/>
      <c r="BJA156" s="250"/>
      <c r="BJB156" s="250"/>
      <c r="BJC156" s="250"/>
      <c r="BJD156" s="250"/>
      <c r="BJE156" s="250"/>
      <c r="BJF156" s="250"/>
      <c r="BJG156" s="250"/>
      <c r="BJH156" s="250"/>
      <c r="BJI156" s="250"/>
      <c r="BJJ156" s="250"/>
      <c r="BJK156" s="250"/>
      <c r="BJL156" s="250"/>
      <c r="BJM156" s="250"/>
      <c r="BJN156" s="250"/>
      <c r="BJO156" s="250"/>
      <c r="BJP156" s="250"/>
      <c r="BJQ156" s="250"/>
      <c r="BJR156" s="250"/>
      <c r="BJS156" s="250"/>
      <c r="BJT156" s="250"/>
      <c r="BJU156" s="250"/>
      <c r="BJV156" s="250"/>
      <c r="BJW156" s="250"/>
      <c r="BJX156" s="250"/>
      <c r="BJY156" s="250"/>
      <c r="BJZ156" s="250"/>
      <c r="BKA156" s="250"/>
      <c r="BKB156" s="250"/>
      <c r="BKC156" s="250"/>
      <c r="BKD156" s="250"/>
      <c r="BKE156" s="250"/>
      <c r="BKF156" s="250"/>
      <c r="BKG156" s="250"/>
      <c r="BKH156" s="250"/>
      <c r="BKI156" s="250"/>
      <c r="BKJ156" s="250"/>
      <c r="BKK156" s="250"/>
      <c r="BKL156" s="250"/>
      <c r="BKM156" s="250"/>
      <c r="BKN156" s="250"/>
      <c r="BKO156" s="250"/>
      <c r="BKP156" s="250"/>
      <c r="BKQ156" s="250"/>
      <c r="BKR156" s="250"/>
      <c r="BKS156" s="250"/>
      <c r="BKT156" s="250"/>
      <c r="BKU156" s="250"/>
      <c r="BKV156" s="250"/>
      <c r="BKW156" s="250"/>
      <c r="BKX156" s="250"/>
      <c r="BKY156" s="250"/>
      <c r="BKZ156" s="250"/>
      <c r="BLA156" s="250"/>
      <c r="BLB156" s="250"/>
      <c r="BLC156" s="250"/>
      <c r="BLD156" s="250"/>
      <c r="BLE156" s="250"/>
      <c r="BLF156" s="250"/>
      <c r="BLG156" s="250"/>
      <c r="BLH156" s="250"/>
      <c r="BLI156" s="250"/>
      <c r="BLJ156" s="250"/>
      <c r="BLK156" s="250"/>
      <c r="BLL156" s="250"/>
      <c r="BLM156" s="250"/>
      <c r="BLN156" s="250"/>
      <c r="BLO156" s="250"/>
      <c r="BLP156" s="250"/>
      <c r="BLQ156" s="250"/>
      <c r="BLR156" s="250"/>
      <c r="BLS156" s="250"/>
      <c r="BLT156" s="250"/>
      <c r="BLU156" s="250"/>
      <c r="BLV156" s="250"/>
      <c r="BLW156" s="250"/>
      <c r="BLX156" s="250"/>
      <c r="BLY156" s="250"/>
      <c r="BLZ156" s="250"/>
      <c r="BMA156" s="250"/>
      <c r="BMB156" s="250"/>
      <c r="BMC156" s="250"/>
      <c r="BMD156" s="250"/>
      <c r="BME156" s="250"/>
      <c r="BMF156" s="250"/>
      <c r="BMG156" s="250"/>
      <c r="BMH156" s="250"/>
      <c r="BMI156" s="250"/>
      <c r="BMJ156" s="250"/>
      <c r="BMK156" s="250"/>
      <c r="BML156" s="250"/>
      <c r="BMM156" s="250"/>
      <c r="BMN156" s="250"/>
      <c r="BMO156" s="250"/>
      <c r="BMP156" s="250"/>
      <c r="BMQ156" s="250"/>
      <c r="BMR156" s="250"/>
      <c r="BMS156" s="250"/>
      <c r="BMT156" s="250"/>
      <c r="BMU156" s="250"/>
      <c r="BMV156" s="250"/>
      <c r="BMW156" s="250"/>
      <c r="BMX156" s="250"/>
      <c r="BMY156" s="250"/>
      <c r="BMZ156" s="250"/>
      <c r="BNA156" s="250"/>
      <c r="BNB156" s="250"/>
      <c r="BNC156" s="250"/>
      <c r="BND156" s="250"/>
      <c r="BNE156" s="250"/>
      <c r="BNF156" s="250"/>
      <c r="BNG156" s="250"/>
      <c r="BNH156" s="250"/>
      <c r="BNI156" s="250"/>
      <c r="BNJ156" s="250"/>
      <c r="BNK156" s="250"/>
      <c r="BNL156" s="250"/>
      <c r="BNM156" s="250"/>
      <c r="BNN156" s="250"/>
      <c r="BNO156" s="250"/>
      <c r="BNP156" s="250"/>
      <c r="BNQ156" s="250"/>
      <c r="BNR156" s="250"/>
      <c r="BNS156" s="250"/>
      <c r="BNT156" s="250"/>
      <c r="BNU156" s="250"/>
      <c r="BNV156" s="250"/>
      <c r="BNW156" s="250"/>
      <c r="BNX156" s="250"/>
      <c r="BNY156" s="250"/>
      <c r="BNZ156" s="250"/>
      <c r="BOA156" s="250"/>
      <c r="BOB156" s="250"/>
      <c r="BOC156" s="250"/>
      <c r="BOD156" s="250"/>
      <c r="BOE156" s="250"/>
      <c r="BOF156" s="250"/>
      <c r="BOG156" s="250"/>
      <c r="BOH156" s="250"/>
      <c r="BOI156" s="250"/>
      <c r="BOJ156" s="250"/>
      <c r="BOK156" s="250"/>
      <c r="BOL156" s="250"/>
      <c r="BOM156" s="250"/>
      <c r="BON156" s="250"/>
      <c r="BOO156" s="250"/>
      <c r="BOP156" s="250"/>
      <c r="BOQ156" s="250"/>
      <c r="BOR156" s="250"/>
      <c r="BOS156" s="250"/>
      <c r="BOT156" s="250"/>
      <c r="BOU156" s="250"/>
      <c r="BOV156" s="250"/>
      <c r="BOW156" s="250"/>
      <c r="BOX156" s="250"/>
      <c r="BOY156" s="250"/>
      <c r="BOZ156" s="250"/>
      <c r="BPA156" s="250"/>
      <c r="BPB156" s="250"/>
      <c r="BPC156" s="250"/>
      <c r="BPD156" s="250"/>
      <c r="BPE156" s="250"/>
      <c r="BPF156" s="250"/>
      <c r="BPG156" s="250"/>
      <c r="BPH156" s="250"/>
      <c r="BPI156" s="250"/>
      <c r="BPJ156" s="250"/>
      <c r="BPK156" s="250"/>
      <c r="BPL156" s="250"/>
      <c r="BPM156" s="250"/>
      <c r="BPN156" s="250"/>
      <c r="BPO156" s="250"/>
      <c r="BPP156" s="250"/>
      <c r="BPQ156" s="250"/>
      <c r="BPR156" s="250"/>
      <c r="BPS156" s="250"/>
      <c r="BPT156" s="250"/>
      <c r="BPU156" s="250"/>
      <c r="BPV156" s="250"/>
      <c r="BPW156" s="250"/>
      <c r="BPX156" s="250"/>
      <c r="BPY156" s="250"/>
      <c r="BPZ156" s="250"/>
      <c r="BQA156" s="250"/>
      <c r="BQB156" s="250"/>
      <c r="BQC156" s="250"/>
      <c r="BQD156" s="250"/>
      <c r="BQE156" s="250"/>
      <c r="BQF156" s="250"/>
      <c r="BQG156" s="250"/>
      <c r="BQH156" s="250"/>
      <c r="BQI156" s="250"/>
      <c r="BQJ156" s="250"/>
      <c r="BQK156" s="250"/>
      <c r="BQL156" s="250"/>
      <c r="BQM156" s="250"/>
      <c r="BQN156" s="250"/>
      <c r="BQO156" s="250"/>
      <c r="BQP156" s="250"/>
      <c r="BQQ156" s="250"/>
      <c r="BQR156" s="250"/>
      <c r="BQS156" s="250"/>
      <c r="BQT156" s="250"/>
      <c r="BQU156" s="250"/>
      <c r="BQV156" s="250"/>
      <c r="BQW156" s="250"/>
      <c r="BQX156" s="250"/>
      <c r="BQY156" s="250"/>
      <c r="BQZ156" s="250"/>
      <c r="BRA156" s="250"/>
      <c r="BRB156" s="250"/>
      <c r="BRC156" s="250"/>
      <c r="BRD156" s="250"/>
      <c r="BRE156" s="250"/>
      <c r="BRF156" s="250"/>
      <c r="BRG156" s="250"/>
      <c r="BRH156" s="250"/>
      <c r="BRI156" s="250"/>
      <c r="BRJ156" s="250"/>
      <c r="BRK156" s="250"/>
      <c r="BRL156" s="250"/>
      <c r="BRM156" s="250"/>
      <c r="BRN156" s="250"/>
      <c r="BRO156" s="250"/>
      <c r="BRP156" s="250"/>
      <c r="BRQ156" s="250"/>
      <c r="BRR156" s="250"/>
      <c r="BRS156" s="250"/>
      <c r="BRT156" s="250"/>
      <c r="BRU156" s="250"/>
      <c r="BRV156" s="250"/>
      <c r="BRW156" s="250"/>
      <c r="BRX156" s="250"/>
      <c r="BRY156" s="250"/>
      <c r="BRZ156" s="250"/>
      <c r="BSA156" s="250"/>
      <c r="BSB156" s="250"/>
      <c r="BSC156" s="250"/>
      <c r="BSD156" s="250"/>
      <c r="BSE156" s="250"/>
      <c r="BSF156" s="250"/>
      <c r="BSG156" s="250"/>
      <c r="BSH156" s="250"/>
      <c r="BSI156" s="250"/>
      <c r="BSJ156" s="250"/>
      <c r="BSK156" s="250"/>
      <c r="BSL156" s="250"/>
      <c r="BSM156" s="250"/>
      <c r="BSN156" s="250"/>
      <c r="BSO156" s="250"/>
      <c r="BSP156" s="250"/>
      <c r="BSQ156" s="250"/>
      <c r="BSR156" s="250"/>
      <c r="BSS156" s="250"/>
      <c r="BST156" s="250"/>
      <c r="BSU156" s="250"/>
      <c r="BSV156" s="250"/>
      <c r="BSW156" s="250"/>
      <c r="BSX156" s="250"/>
      <c r="BSY156" s="250"/>
      <c r="BSZ156" s="250"/>
      <c r="BTA156" s="250"/>
      <c r="BTB156" s="250"/>
      <c r="BTC156" s="250"/>
      <c r="BTD156" s="250"/>
      <c r="BTE156" s="250"/>
      <c r="BTF156" s="250"/>
      <c r="BTG156" s="250"/>
      <c r="BTH156" s="250"/>
      <c r="BTI156" s="250"/>
      <c r="BTJ156" s="250"/>
      <c r="BTK156" s="250"/>
      <c r="BTL156" s="250"/>
      <c r="BTM156" s="250"/>
      <c r="BTN156" s="250"/>
      <c r="BTO156" s="250"/>
      <c r="BTP156" s="250"/>
      <c r="BTQ156" s="250"/>
      <c r="BTR156" s="250"/>
      <c r="BTS156" s="250"/>
      <c r="BTT156" s="250"/>
      <c r="BTU156" s="250"/>
      <c r="BTV156" s="250"/>
      <c r="BTW156" s="250"/>
      <c r="BTX156" s="250"/>
      <c r="BTY156" s="250"/>
      <c r="BTZ156" s="250"/>
      <c r="BUA156" s="250"/>
      <c r="BUB156" s="250"/>
      <c r="BUC156" s="250"/>
      <c r="BUD156" s="250"/>
      <c r="BUE156" s="250"/>
      <c r="BUF156" s="250"/>
      <c r="BUG156" s="250"/>
      <c r="BUH156" s="250"/>
      <c r="BUI156" s="250"/>
      <c r="BUJ156" s="250"/>
      <c r="BUK156" s="250"/>
      <c r="BUL156" s="250"/>
      <c r="BUM156" s="250"/>
      <c r="BUN156" s="250"/>
      <c r="BUO156" s="250"/>
      <c r="BUP156" s="250"/>
      <c r="BUQ156" s="250"/>
      <c r="BUR156" s="250"/>
      <c r="BUS156" s="250"/>
      <c r="BUT156" s="250"/>
      <c r="BUU156" s="250"/>
      <c r="BUV156" s="250"/>
      <c r="BUW156" s="250"/>
      <c r="BUX156" s="250"/>
      <c r="BUY156" s="250"/>
      <c r="BUZ156" s="250"/>
      <c r="BVA156" s="250"/>
      <c r="BVB156" s="250"/>
      <c r="BVC156" s="250"/>
      <c r="BVD156" s="250"/>
      <c r="BVE156" s="250"/>
      <c r="BVF156" s="250"/>
      <c r="BVG156" s="250"/>
      <c r="BVH156" s="250"/>
      <c r="BVI156" s="250"/>
      <c r="BVJ156" s="250"/>
      <c r="BVK156" s="250"/>
      <c r="BVL156" s="250"/>
      <c r="BVM156" s="250"/>
      <c r="BVN156" s="250"/>
      <c r="BVO156" s="250"/>
      <c r="BVP156" s="250"/>
      <c r="BVQ156" s="250"/>
      <c r="BVR156" s="250"/>
      <c r="BVS156" s="250"/>
      <c r="BVT156" s="250"/>
      <c r="BVU156" s="250"/>
      <c r="BVV156" s="250"/>
      <c r="BVW156" s="250"/>
      <c r="BVX156" s="250"/>
      <c r="BVY156" s="250"/>
      <c r="BVZ156" s="250"/>
      <c r="BWA156" s="250"/>
      <c r="BWB156" s="250"/>
      <c r="BWC156" s="250"/>
      <c r="BWD156" s="250"/>
      <c r="BWE156" s="250"/>
      <c r="BWF156" s="250"/>
      <c r="BWG156" s="250"/>
      <c r="BWH156" s="250"/>
      <c r="BWI156" s="250"/>
      <c r="BWJ156" s="250"/>
      <c r="BWK156" s="250"/>
      <c r="BWL156" s="250"/>
      <c r="BWM156" s="250"/>
      <c r="BWN156" s="250"/>
      <c r="BWO156" s="250"/>
      <c r="BWP156" s="250"/>
      <c r="BWQ156" s="250"/>
      <c r="BWR156" s="250"/>
      <c r="BWS156" s="250"/>
      <c r="BWT156" s="250"/>
      <c r="BWU156" s="250"/>
      <c r="BWV156" s="250"/>
      <c r="BWW156" s="250"/>
      <c r="BWX156" s="250"/>
      <c r="BWY156" s="250"/>
      <c r="BWZ156" s="250"/>
      <c r="BXA156" s="250"/>
      <c r="BXB156" s="250"/>
      <c r="BXC156" s="250"/>
      <c r="BXD156" s="250"/>
      <c r="BXE156" s="250"/>
      <c r="BXF156" s="250"/>
      <c r="BXG156" s="250"/>
      <c r="BXH156" s="250"/>
      <c r="BXI156" s="250"/>
      <c r="BXJ156" s="250"/>
      <c r="BXK156" s="250"/>
      <c r="BXL156" s="250"/>
      <c r="BXM156" s="250"/>
      <c r="BXN156" s="250"/>
      <c r="BXO156" s="250"/>
      <c r="BXP156" s="250"/>
      <c r="BXQ156" s="250"/>
      <c r="BXR156" s="250"/>
      <c r="BXS156" s="250"/>
      <c r="BXT156" s="250"/>
      <c r="BXU156" s="250"/>
      <c r="BXV156" s="250"/>
      <c r="BXW156" s="250"/>
      <c r="BXX156" s="250"/>
      <c r="BXY156" s="250"/>
      <c r="BXZ156" s="250"/>
      <c r="BYA156" s="250"/>
      <c r="BYB156" s="250"/>
      <c r="BYC156" s="250"/>
      <c r="BYD156" s="250"/>
      <c r="BYE156" s="250"/>
      <c r="BYF156" s="250"/>
      <c r="BYG156" s="250"/>
      <c r="BYH156" s="250"/>
      <c r="BYI156" s="250"/>
      <c r="BYJ156" s="250"/>
      <c r="BYK156" s="250"/>
      <c r="BYL156" s="250"/>
      <c r="BYM156" s="250"/>
      <c r="BYN156" s="250"/>
      <c r="BYO156" s="250"/>
      <c r="BYP156" s="250"/>
      <c r="BYQ156" s="250"/>
      <c r="BYR156" s="250"/>
      <c r="BYS156" s="250"/>
      <c r="BYT156" s="250"/>
      <c r="BYU156" s="250"/>
      <c r="BYV156" s="250"/>
      <c r="BYW156" s="250"/>
      <c r="BYX156" s="250"/>
      <c r="BYY156" s="250"/>
      <c r="BYZ156" s="250"/>
      <c r="BZA156" s="250"/>
      <c r="BZB156" s="250"/>
      <c r="BZC156" s="250"/>
      <c r="BZD156" s="250"/>
      <c r="BZE156" s="250"/>
      <c r="BZF156" s="250"/>
      <c r="BZG156" s="250"/>
      <c r="BZH156" s="250"/>
      <c r="BZI156" s="250"/>
      <c r="BZJ156" s="250"/>
      <c r="BZK156" s="250"/>
      <c r="BZL156" s="250"/>
      <c r="BZM156" s="250"/>
      <c r="BZN156" s="250"/>
      <c r="BZO156" s="250"/>
      <c r="BZP156" s="250"/>
      <c r="BZQ156" s="250"/>
      <c r="BZR156" s="250"/>
      <c r="BZS156" s="250"/>
      <c r="BZT156" s="250"/>
      <c r="BZU156" s="250"/>
      <c r="BZV156" s="250"/>
      <c r="BZW156" s="250"/>
      <c r="BZX156" s="250"/>
      <c r="BZY156" s="250"/>
      <c r="BZZ156" s="250"/>
      <c r="CAA156" s="250"/>
      <c r="CAB156" s="250"/>
      <c r="CAC156" s="250"/>
      <c r="CAD156" s="250"/>
      <c r="CAE156" s="250"/>
      <c r="CAF156" s="250"/>
      <c r="CAG156" s="250"/>
      <c r="CAH156" s="250"/>
      <c r="CAI156" s="250"/>
      <c r="CAJ156" s="250"/>
      <c r="CAK156" s="250"/>
      <c r="CAL156" s="250"/>
      <c r="CAM156" s="250"/>
      <c r="CAN156" s="250"/>
      <c r="CAO156" s="250"/>
      <c r="CAP156" s="250"/>
      <c r="CAQ156" s="250"/>
      <c r="CAR156" s="250"/>
      <c r="CAS156" s="250"/>
      <c r="CAT156" s="250"/>
      <c r="CAU156" s="250"/>
      <c r="CAV156" s="250"/>
      <c r="CAW156" s="250"/>
      <c r="CAX156" s="250"/>
      <c r="CAY156" s="250"/>
      <c r="CAZ156" s="250"/>
      <c r="CBA156" s="250"/>
      <c r="CBB156" s="250"/>
      <c r="CBC156" s="250"/>
      <c r="CBD156" s="250"/>
      <c r="CBE156" s="250"/>
      <c r="CBF156" s="250"/>
      <c r="CBG156" s="250"/>
      <c r="CBH156" s="250"/>
      <c r="CBI156" s="250"/>
      <c r="CBJ156" s="250"/>
      <c r="CBK156" s="250"/>
      <c r="CBL156" s="250"/>
      <c r="CBM156" s="250"/>
      <c r="CBN156" s="250"/>
      <c r="CBO156" s="250"/>
      <c r="CBP156" s="250"/>
      <c r="CBQ156" s="250"/>
      <c r="CBR156" s="250"/>
      <c r="CBS156" s="250"/>
      <c r="CBT156" s="250"/>
      <c r="CBU156" s="250"/>
      <c r="CBV156" s="250"/>
      <c r="CBW156" s="250"/>
      <c r="CBX156" s="250"/>
      <c r="CBY156" s="250"/>
      <c r="CBZ156" s="250"/>
      <c r="CCA156" s="250"/>
      <c r="CCB156" s="250"/>
      <c r="CCC156" s="250"/>
      <c r="CCD156" s="250"/>
      <c r="CCE156" s="250"/>
      <c r="CCF156" s="250"/>
      <c r="CCG156" s="250"/>
      <c r="CCH156" s="250"/>
      <c r="CCI156" s="250"/>
      <c r="CCJ156" s="250"/>
      <c r="CCK156" s="250"/>
      <c r="CCL156" s="250"/>
      <c r="CCM156" s="250"/>
      <c r="CCN156" s="250"/>
      <c r="CCO156" s="250"/>
      <c r="CCP156" s="250"/>
      <c r="CCQ156" s="250"/>
      <c r="CCR156" s="250"/>
      <c r="CCS156" s="250"/>
      <c r="CCT156" s="250"/>
      <c r="CCU156" s="250"/>
      <c r="CCV156" s="250"/>
      <c r="CCW156" s="250"/>
      <c r="CCX156" s="250"/>
      <c r="CCY156" s="250"/>
      <c r="CCZ156" s="250"/>
      <c r="CDA156" s="250"/>
      <c r="CDB156" s="250"/>
      <c r="CDC156" s="250"/>
      <c r="CDD156" s="250"/>
      <c r="CDE156" s="250"/>
      <c r="CDF156" s="250"/>
      <c r="CDG156" s="250"/>
      <c r="CDH156" s="250"/>
      <c r="CDI156" s="250"/>
      <c r="CDJ156" s="250"/>
      <c r="CDK156" s="250"/>
      <c r="CDL156" s="250"/>
      <c r="CDM156" s="250"/>
      <c r="CDN156" s="250"/>
      <c r="CDO156" s="250"/>
      <c r="CDP156" s="250"/>
      <c r="CDQ156" s="250"/>
      <c r="CDR156" s="250"/>
      <c r="CDS156" s="250"/>
      <c r="CDT156" s="250"/>
      <c r="CDU156" s="250"/>
      <c r="CDV156" s="250"/>
      <c r="CDW156" s="250"/>
      <c r="CDX156" s="250"/>
      <c r="CDY156" s="250"/>
      <c r="CDZ156" s="250"/>
      <c r="CEA156" s="250"/>
      <c r="CEB156" s="250"/>
      <c r="CEC156" s="250"/>
      <c r="CED156" s="250"/>
      <c r="CEE156" s="250"/>
      <c r="CEF156" s="250"/>
      <c r="CEG156" s="250"/>
      <c r="CEH156" s="250"/>
      <c r="CEI156" s="250"/>
      <c r="CEJ156" s="250"/>
      <c r="CEK156" s="250"/>
      <c r="CEL156" s="250"/>
      <c r="CEM156" s="250"/>
      <c r="CEN156" s="250"/>
      <c r="CEO156" s="250"/>
      <c r="CEP156" s="250"/>
      <c r="CEQ156" s="250"/>
      <c r="CER156" s="250"/>
      <c r="CES156" s="250"/>
      <c r="CET156" s="250"/>
      <c r="CEU156" s="250"/>
      <c r="CEV156" s="250"/>
      <c r="CEW156" s="250"/>
      <c r="CEX156" s="250"/>
      <c r="CEY156" s="250"/>
      <c r="CEZ156" s="250"/>
      <c r="CFA156" s="250"/>
      <c r="CFB156" s="250"/>
      <c r="CFC156" s="250"/>
      <c r="CFD156" s="250"/>
      <c r="CFE156" s="250"/>
      <c r="CFF156" s="250"/>
      <c r="CFG156" s="250"/>
      <c r="CFH156" s="250"/>
      <c r="CFI156" s="250"/>
      <c r="CFJ156" s="250"/>
      <c r="CFK156" s="250"/>
      <c r="CFL156" s="250"/>
      <c r="CFM156" s="250"/>
      <c r="CFN156" s="250"/>
      <c r="CFO156" s="250"/>
      <c r="CFP156" s="250"/>
      <c r="CFQ156" s="250"/>
      <c r="CFR156" s="250"/>
      <c r="CFS156" s="250"/>
      <c r="CFT156" s="250"/>
      <c r="CFU156" s="250"/>
      <c r="CFV156" s="250"/>
      <c r="CFW156" s="250"/>
      <c r="CFX156" s="250"/>
      <c r="CFY156" s="250"/>
      <c r="CFZ156" s="250"/>
      <c r="CGA156" s="250"/>
      <c r="CGB156" s="250"/>
      <c r="CGC156" s="250"/>
      <c r="CGD156" s="250"/>
      <c r="CGE156" s="250"/>
      <c r="CGF156" s="250"/>
      <c r="CGG156" s="250"/>
      <c r="CGH156" s="250"/>
      <c r="CGI156" s="250"/>
      <c r="CGJ156" s="250"/>
      <c r="CGK156" s="250"/>
      <c r="CGL156" s="250"/>
      <c r="CGM156" s="250"/>
      <c r="CGN156" s="250"/>
      <c r="CGO156" s="250"/>
      <c r="CGP156" s="250"/>
      <c r="CGQ156" s="250"/>
      <c r="CGR156" s="250"/>
      <c r="CGS156" s="250"/>
      <c r="CGT156" s="250"/>
      <c r="CGU156" s="250"/>
      <c r="CGV156" s="250"/>
      <c r="CGW156" s="250"/>
      <c r="CGX156" s="250"/>
      <c r="CGY156" s="250"/>
      <c r="CGZ156" s="250"/>
      <c r="CHA156" s="250"/>
      <c r="CHB156" s="250"/>
      <c r="CHC156" s="250"/>
      <c r="CHD156" s="250"/>
      <c r="CHE156" s="250"/>
      <c r="CHF156" s="250"/>
      <c r="CHG156" s="250"/>
      <c r="CHH156" s="250"/>
      <c r="CHI156" s="250"/>
      <c r="CHJ156" s="250"/>
      <c r="CHK156" s="250"/>
      <c r="CHL156" s="250"/>
      <c r="CHM156" s="250"/>
      <c r="CHN156" s="250"/>
      <c r="CHO156" s="250"/>
      <c r="CHP156" s="250"/>
      <c r="CHQ156" s="250"/>
      <c r="CHR156" s="250"/>
      <c r="CHS156" s="250"/>
      <c r="CHT156" s="250"/>
      <c r="CHU156" s="250"/>
      <c r="CHV156" s="250"/>
      <c r="CHW156" s="250"/>
      <c r="CHX156" s="250"/>
      <c r="CHY156" s="250"/>
      <c r="CHZ156" s="250"/>
      <c r="CIA156" s="250"/>
      <c r="CIB156" s="250"/>
      <c r="CIC156" s="250"/>
      <c r="CID156" s="250"/>
      <c r="CIE156" s="250"/>
      <c r="CIF156" s="250"/>
      <c r="CIG156" s="250"/>
      <c r="CIH156" s="250"/>
      <c r="CII156" s="250"/>
      <c r="CIJ156" s="250"/>
      <c r="CIK156" s="250"/>
      <c r="CIL156" s="250"/>
      <c r="CIM156" s="250"/>
      <c r="CIN156" s="250"/>
      <c r="CIO156" s="250"/>
      <c r="CIP156" s="250"/>
      <c r="CIQ156" s="250"/>
      <c r="CIR156" s="250"/>
      <c r="CIS156" s="250"/>
      <c r="CIT156" s="250"/>
      <c r="CIU156" s="250"/>
      <c r="CIV156" s="250"/>
      <c r="CIW156" s="250"/>
      <c r="CIX156" s="250"/>
      <c r="CIY156" s="250"/>
      <c r="CIZ156" s="250"/>
      <c r="CJA156" s="250"/>
      <c r="CJB156" s="250"/>
      <c r="CJC156" s="250"/>
      <c r="CJD156" s="250"/>
      <c r="CJE156" s="250"/>
      <c r="CJF156" s="250"/>
      <c r="CJG156" s="250"/>
      <c r="CJH156" s="250"/>
      <c r="CJI156" s="250"/>
      <c r="CJJ156" s="250"/>
      <c r="CJK156" s="250"/>
      <c r="CJL156" s="250"/>
      <c r="CJM156" s="250"/>
      <c r="CJN156" s="250"/>
      <c r="CJO156" s="250"/>
      <c r="CJP156" s="250"/>
      <c r="CJQ156" s="250"/>
      <c r="CJR156" s="250"/>
      <c r="CJS156" s="250"/>
      <c r="CJT156" s="250"/>
      <c r="CJU156" s="250"/>
      <c r="CJV156" s="250"/>
      <c r="CJW156" s="250"/>
      <c r="CJX156" s="250"/>
      <c r="CJY156" s="250"/>
      <c r="CJZ156" s="250"/>
      <c r="CKA156" s="250"/>
      <c r="CKB156" s="250"/>
      <c r="CKC156" s="250"/>
      <c r="CKD156" s="250"/>
      <c r="CKE156" s="250"/>
      <c r="CKF156" s="250"/>
      <c r="CKG156" s="250"/>
      <c r="CKH156" s="250"/>
      <c r="CKI156" s="250"/>
      <c r="CKJ156" s="250"/>
      <c r="CKK156" s="250"/>
      <c r="CKL156" s="250"/>
      <c r="CKM156" s="250"/>
      <c r="CKN156" s="250"/>
      <c r="CKO156" s="250"/>
      <c r="CKP156" s="250"/>
      <c r="CKQ156" s="250"/>
      <c r="CKR156" s="250"/>
      <c r="CKS156" s="250"/>
      <c r="CKT156" s="250"/>
      <c r="CKU156" s="250"/>
      <c r="CKV156" s="250"/>
      <c r="CKW156" s="250"/>
      <c r="CKX156" s="250"/>
      <c r="CKY156" s="250"/>
      <c r="CKZ156" s="250"/>
      <c r="CLA156" s="250"/>
      <c r="CLB156" s="250"/>
      <c r="CLC156" s="250"/>
      <c r="CLD156" s="250"/>
      <c r="CLE156" s="250"/>
      <c r="CLF156" s="250"/>
      <c r="CLG156" s="250"/>
      <c r="CLH156" s="250"/>
      <c r="CLI156" s="250"/>
      <c r="CLJ156" s="250"/>
      <c r="CLK156" s="250"/>
      <c r="CLL156" s="250"/>
      <c r="CLM156" s="250"/>
      <c r="CLN156" s="250"/>
      <c r="CLO156" s="250"/>
      <c r="CLP156" s="250"/>
      <c r="CLQ156" s="250"/>
      <c r="CLR156" s="250"/>
      <c r="CLS156" s="250"/>
      <c r="CLT156" s="250"/>
      <c r="CLU156" s="250"/>
      <c r="CLV156" s="250"/>
      <c r="CLW156" s="250"/>
      <c r="CLX156" s="250"/>
      <c r="CLY156" s="250"/>
      <c r="CLZ156" s="250"/>
      <c r="CMA156" s="250"/>
      <c r="CMB156" s="250"/>
      <c r="CMC156" s="250"/>
      <c r="CMD156" s="250"/>
      <c r="CME156" s="250"/>
      <c r="CMF156" s="250"/>
      <c r="CMG156" s="250"/>
      <c r="CMH156" s="250"/>
      <c r="CMI156" s="250"/>
      <c r="CMJ156" s="250"/>
      <c r="CMK156" s="250"/>
      <c r="CML156" s="250"/>
      <c r="CMM156" s="250"/>
      <c r="CMN156" s="250"/>
      <c r="CMO156" s="250"/>
      <c r="CMP156" s="250"/>
      <c r="CMQ156" s="250"/>
      <c r="CMR156" s="250"/>
      <c r="CMS156" s="250"/>
      <c r="CMT156" s="250"/>
      <c r="CMU156" s="250"/>
      <c r="CMV156" s="250"/>
      <c r="CMW156" s="250"/>
      <c r="CMX156" s="250"/>
      <c r="CMY156" s="250"/>
      <c r="CMZ156" s="250"/>
      <c r="CNA156" s="250"/>
      <c r="CNB156" s="250"/>
      <c r="CNC156" s="250"/>
      <c r="CND156" s="250"/>
      <c r="CNE156" s="250"/>
      <c r="CNF156" s="250"/>
      <c r="CNG156" s="250"/>
      <c r="CNH156" s="250"/>
      <c r="CNI156" s="250"/>
      <c r="CNJ156" s="250"/>
      <c r="CNK156" s="250"/>
      <c r="CNL156" s="250"/>
      <c r="CNM156" s="250"/>
      <c r="CNN156" s="250"/>
      <c r="CNO156" s="250"/>
      <c r="CNP156" s="250"/>
      <c r="CNQ156" s="250"/>
      <c r="CNR156" s="250"/>
      <c r="CNS156" s="250"/>
      <c r="CNT156" s="250"/>
      <c r="CNU156" s="250"/>
      <c r="CNV156" s="250"/>
      <c r="CNW156" s="250"/>
      <c r="CNX156" s="250"/>
      <c r="CNY156" s="250"/>
      <c r="CNZ156" s="250"/>
      <c r="COA156" s="250"/>
      <c r="COB156" s="250"/>
      <c r="COC156" s="250"/>
      <c r="COD156" s="250"/>
      <c r="COE156" s="250"/>
      <c r="COF156" s="250"/>
      <c r="COG156" s="250"/>
      <c r="COH156" s="250"/>
      <c r="COI156" s="250"/>
      <c r="COJ156" s="250"/>
      <c r="COK156" s="250"/>
      <c r="COL156" s="250"/>
      <c r="COM156" s="250"/>
      <c r="CON156" s="250"/>
      <c r="COO156" s="250"/>
      <c r="COP156" s="250"/>
      <c r="COQ156" s="250"/>
      <c r="COR156" s="250"/>
      <c r="COS156" s="250"/>
      <c r="COT156" s="250"/>
      <c r="COU156" s="250"/>
      <c r="COV156" s="250"/>
      <c r="COW156" s="250"/>
      <c r="COX156" s="250"/>
      <c r="COY156" s="250"/>
      <c r="COZ156" s="250"/>
      <c r="CPA156" s="250"/>
      <c r="CPB156" s="250"/>
      <c r="CPC156" s="250"/>
      <c r="CPD156" s="250"/>
      <c r="CPE156" s="250"/>
      <c r="CPF156" s="250"/>
      <c r="CPG156" s="250"/>
      <c r="CPH156" s="250"/>
      <c r="CPI156" s="250"/>
      <c r="CPJ156" s="250"/>
      <c r="CPK156" s="250"/>
      <c r="CPL156" s="250"/>
      <c r="CPM156" s="250"/>
      <c r="CPN156" s="250"/>
      <c r="CPO156" s="250"/>
      <c r="CPP156" s="250"/>
      <c r="CPQ156" s="250"/>
      <c r="CPR156" s="250"/>
      <c r="CPS156" s="250"/>
      <c r="CPT156" s="250"/>
      <c r="CPU156" s="250"/>
      <c r="CPV156" s="250"/>
      <c r="CPW156" s="250"/>
      <c r="CPX156" s="250"/>
      <c r="CPY156" s="250"/>
      <c r="CPZ156" s="250"/>
      <c r="CQA156" s="250"/>
      <c r="CQB156" s="250"/>
      <c r="CQC156" s="250"/>
      <c r="CQD156" s="250"/>
      <c r="CQE156" s="250"/>
      <c r="CQF156" s="250"/>
      <c r="CQG156" s="250"/>
      <c r="CQH156" s="250"/>
      <c r="CQI156" s="250"/>
      <c r="CQJ156" s="250"/>
      <c r="CQK156" s="250"/>
      <c r="CQL156" s="250"/>
      <c r="CQM156" s="250"/>
      <c r="CQN156" s="250"/>
      <c r="CQO156" s="250"/>
      <c r="CQP156" s="250"/>
      <c r="CQQ156" s="250"/>
      <c r="CQR156" s="250"/>
      <c r="CQS156" s="250"/>
      <c r="CQT156" s="250"/>
      <c r="CQU156" s="250"/>
      <c r="CQV156" s="250"/>
      <c r="CQW156" s="250"/>
      <c r="CQX156" s="250"/>
      <c r="CQY156" s="250"/>
      <c r="CQZ156" s="250"/>
      <c r="CRA156" s="250"/>
      <c r="CRB156" s="250"/>
      <c r="CRC156" s="250"/>
      <c r="CRD156" s="250"/>
      <c r="CRE156" s="250"/>
      <c r="CRF156" s="250"/>
      <c r="CRG156" s="250"/>
      <c r="CRH156" s="250"/>
      <c r="CRI156" s="250"/>
      <c r="CRJ156" s="250"/>
      <c r="CRK156" s="250"/>
      <c r="CRL156" s="250"/>
      <c r="CRM156" s="250"/>
      <c r="CRN156" s="250"/>
      <c r="CRO156" s="250"/>
      <c r="CRP156" s="250"/>
      <c r="CRQ156" s="250"/>
      <c r="CRR156" s="250"/>
      <c r="CRS156" s="250"/>
      <c r="CRT156" s="250"/>
      <c r="CRU156" s="250"/>
      <c r="CRV156" s="250"/>
      <c r="CRW156" s="250"/>
      <c r="CRX156" s="250"/>
      <c r="CRY156" s="250"/>
      <c r="CRZ156" s="250"/>
      <c r="CSA156" s="250"/>
      <c r="CSB156" s="250"/>
      <c r="CSC156" s="250"/>
      <c r="CSD156" s="250"/>
      <c r="CSE156" s="250"/>
      <c r="CSF156" s="250"/>
      <c r="CSG156" s="250"/>
      <c r="CSH156" s="250"/>
      <c r="CSI156" s="250"/>
      <c r="CSJ156" s="250"/>
      <c r="CSK156" s="250"/>
      <c r="CSL156" s="250"/>
      <c r="CSM156" s="250"/>
      <c r="CSN156" s="250"/>
      <c r="CSO156" s="250"/>
      <c r="CSP156" s="250"/>
      <c r="CSQ156" s="250"/>
      <c r="CSR156" s="250"/>
      <c r="CSS156" s="250"/>
      <c r="CST156" s="250"/>
      <c r="CSU156" s="250"/>
      <c r="CSV156" s="250"/>
      <c r="CSW156" s="250"/>
      <c r="CSX156" s="250"/>
      <c r="CSY156" s="250"/>
      <c r="CSZ156" s="250"/>
      <c r="CTA156" s="250"/>
      <c r="CTB156" s="250"/>
      <c r="CTC156" s="250"/>
      <c r="CTD156" s="250"/>
      <c r="CTE156" s="250"/>
      <c r="CTF156" s="250"/>
      <c r="CTG156" s="250"/>
      <c r="CTH156" s="250"/>
      <c r="CTI156" s="250"/>
      <c r="CTJ156" s="250"/>
      <c r="CTK156" s="250"/>
      <c r="CTL156" s="250"/>
      <c r="CTM156" s="250"/>
      <c r="CTN156" s="250"/>
      <c r="CTO156" s="250"/>
      <c r="CTP156" s="250"/>
      <c r="CTQ156" s="250"/>
      <c r="CTR156" s="250"/>
      <c r="CTS156" s="250"/>
      <c r="CTT156" s="250"/>
      <c r="CTU156" s="250"/>
      <c r="CTV156" s="250"/>
      <c r="CTW156" s="250"/>
      <c r="CTX156" s="250"/>
      <c r="CTY156" s="250"/>
      <c r="CTZ156" s="250"/>
      <c r="CUA156" s="250"/>
      <c r="CUB156" s="250"/>
      <c r="CUC156" s="250"/>
      <c r="CUD156" s="250"/>
      <c r="CUE156" s="250"/>
      <c r="CUF156" s="250"/>
      <c r="CUG156" s="250"/>
      <c r="CUH156" s="250"/>
      <c r="CUI156" s="250"/>
      <c r="CUJ156" s="250"/>
      <c r="CUK156" s="250"/>
      <c r="CUL156" s="250"/>
      <c r="CUM156" s="250"/>
      <c r="CUN156" s="250"/>
      <c r="CUO156" s="250"/>
      <c r="CUP156" s="250"/>
      <c r="CUQ156" s="250"/>
      <c r="CUR156" s="250"/>
      <c r="CUS156" s="250"/>
      <c r="CUT156" s="250"/>
      <c r="CUU156" s="250"/>
      <c r="CUV156" s="250"/>
      <c r="CUW156" s="250"/>
      <c r="CUX156" s="250"/>
      <c r="CUY156" s="250"/>
      <c r="CUZ156" s="250"/>
      <c r="CVA156" s="250"/>
      <c r="CVB156" s="250"/>
      <c r="CVC156" s="250"/>
      <c r="CVD156" s="250"/>
      <c r="CVE156" s="250"/>
      <c r="CVF156" s="250"/>
      <c r="CVG156" s="250"/>
      <c r="CVH156" s="250"/>
      <c r="CVI156" s="250"/>
      <c r="CVJ156" s="250"/>
      <c r="CVK156" s="250"/>
      <c r="CVL156" s="250"/>
      <c r="CVM156" s="250"/>
      <c r="CVN156" s="250"/>
      <c r="CVO156" s="250"/>
      <c r="CVP156" s="250"/>
      <c r="CVQ156" s="250"/>
      <c r="CVR156" s="250"/>
      <c r="CVS156" s="250"/>
      <c r="CVT156" s="250"/>
      <c r="CVU156" s="250"/>
      <c r="CVV156" s="250"/>
      <c r="CVW156" s="250"/>
      <c r="CVX156" s="250"/>
      <c r="CVY156" s="250"/>
      <c r="CVZ156" s="250"/>
      <c r="CWA156" s="250"/>
      <c r="CWB156" s="250"/>
      <c r="CWC156" s="250"/>
      <c r="CWD156" s="250"/>
      <c r="CWE156" s="250"/>
      <c r="CWF156" s="250"/>
      <c r="CWG156" s="250"/>
      <c r="CWH156" s="250"/>
      <c r="CWI156" s="250"/>
      <c r="CWJ156" s="250"/>
      <c r="CWK156" s="250"/>
      <c r="CWL156" s="250"/>
      <c r="CWM156" s="250"/>
      <c r="CWN156" s="250"/>
      <c r="CWO156" s="250"/>
      <c r="CWP156" s="250"/>
      <c r="CWQ156" s="250"/>
      <c r="CWR156" s="250"/>
      <c r="CWS156" s="250"/>
      <c r="CWT156" s="250"/>
      <c r="CWU156" s="250"/>
      <c r="CWV156" s="250"/>
      <c r="CWW156" s="250"/>
      <c r="CWX156" s="250"/>
      <c r="CWY156" s="250"/>
      <c r="CWZ156" s="250"/>
      <c r="CXA156" s="250"/>
      <c r="CXB156" s="250"/>
      <c r="CXC156" s="250"/>
      <c r="CXD156" s="250"/>
      <c r="CXE156" s="250"/>
      <c r="CXF156" s="250"/>
      <c r="CXG156" s="250"/>
      <c r="CXH156" s="250"/>
      <c r="CXI156" s="250"/>
      <c r="CXJ156" s="250"/>
      <c r="CXK156" s="250"/>
      <c r="CXL156" s="250"/>
      <c r="CXM156" s="250"/>
      <c r="CXN156" s="250"/>
      <c r="CXO156" s="250"/>
      <c r="CXP156" s="250"/>
      <c r="CXQ156" s="250"/>
      <c r="CXR156" s="250"/>
      <c r="CXS156" s="250"/>
      <c r="CXT156" s="250"/>
      <c r="CXU156" s="250"/>
      <c r="CXV156" s="250"/>
      <c r="CXW156" s="250"/>
      <c r="CXX156" s="250"/>
      <c r="CXY156" s="250"/>
      <c r="CXZ156" s="250"/>
      <c r="CYA156" s="250"/>
      <c r="CYB156" s="250"/>
      <c r="CYC156" s="250"/>
      <c r="CYD156" s="250"/>
      <c r="CYE156" s="250"/>
      <c r="CYF156" s="250"/>
      <c r="CYG156" s="250"/>
      <c r="CYH156" s="250"/>
      <c r="CYI156" s="250"/>
      <c r="CYJ156" s="250"/>
      <c r="CYK156" s="250"/>
      <c r="CYL156" s="250"/>
      <c r="CYM156" s="250"/>
      <c r="CYN156" s="250"/>
      <c r="CYO156" s="250"/>
      <c r="CYP156" s="250"/>
      <c r="CYQ156" s="250"/>
      <c r="CYR156" s="250"/>
      <c r="CYS156" s="250"/>
      <c r="CYT156" s="250"/>
      <c r="CYU156" s="250"/>
      <c r="CYV156" s="250"/>
      <c r="CYW156" s="250"/>
      <c r="CYX156" s="250"/>
      <c r="CYY156" s="250"/>
      <c r="CYZ156" s="250"/>
      <c r="CZA156" s="250"/>
      <c r="CZB156" s="250"/>
      <c r="CZC156" s="250"/>
      <c r="CZD156" s="250"/>
      <c r="CZE156" s="250"/>
      <c r="CZF156" s="250"/>
      <c r="CZG156" s="250"/>
      <c r="CZH156" s="250"/>
      <c r="CZI156" s="250"/>
      <c r="CZJ156" s="250"/>
      <c r="CZK156" s="250"/>
      <c r="CZL156" s="250"/>
      <c r="CZM156" s="250"/>
      <c r="CZN156" s="250"/>
      <c r="CZO156" s="250"/>
      <c r="CZP156" s="250"/>
      <c r="CZQ156" s="250"/>
      <c r="CZR156" s="250"/>
      <c r="CZS156" s="250"/>
      <c r="CZT156" s="250"/>
      <c r="CZU156" s="250"/>
      <c r="CZV156" s="250"/>
      <c r="CZW156" s="250"/>
      <c r="CZX156" s="250"/>
      <c r="CZY156" s="250"/>
      <c r="CZZ156" s="250"/>
      <c r="DAA156" s="250"/>
      <c r="DAB156" s="250"/>
      <c r="DAC156" s="250"/>
      <c r="DAD156" s="250"/>
      <c r="DAE156" s="250"/>
      <c r="DAF156" s="250"/>
      <c r="DAG156" s="250"/>
      <c r="DAH156" s="250"/>
      <c r="DAI156" s="250"/>
      <c r="DAJ156" s="250"/>
      <c r="DAK156" s="250"/>
      <c r="DAL156" s="250"/>
      <c r="DAM156" s="250"/>
      <c r="DAN156" s="250"/>
      <c r="DAO156" s="250"/>
      <c r="DAP156" s="250"/>
      <c r="DAQ156" s="250"/>
      <c r="DAR156" s="250"/>
      <c r="DAS156" s="250"/>
      <c r="DAT156" s="250"/>
      <c r="DAU156" s="250"/>
      <c r="DAV156" s="250"/>
      <c r="DAW156" s="250"/>
      <c r="DAX156" s="250"/>
      <c r="DAY156" s="250"/>
      <c r="DAZ156" s="250"/>
      <c r="DBA156" s="250"/>
      <c r="DBB156" s="250"/>
      <c r="DBC156" s="250"/>
      <c r="DBD156" s="250"/>
      <c r="DBE156" s="250"/>
      <c r="DBF156" s="250"/>
      <c r="DBG156" s="250"/>
      <c r="DBH156" s="250"/>
      <c r="DBI156" s="250"/>
      <c r="DBJ156" s="250"/>
      <c r="DBK156" s="250"/>
      <c r="DBL156" s="250"/>
      <c r="DBM156" s="250"/>
      <c r="DBN156" s="250"/>
      <c r="DBO156" s="250"/>
      <c r="DBP156" s="250"/>
      <c r="DBQ156" s="250"/>
      <c r="DBR156" s="250"/>
      <c r="DBS156" s="250"/>
      <c r="DBT156" s="250"/>
      <c r="DBU156" s="250"/>
      <c r="DBV156" s="250"/>
      <c r="DBW156" s="250"/>
      <c r="DBX156" s="250"/>
      <c r="DBY156" s="250"/>
      <c r="DBZ156" s="250"/>
      <c r="DCA156" s="250"/>
      <c r="DCB156" s="250"/>
      <c r="DCC156" s="250"/>
      <c r="DCD156" s="250"/>
      <c r="DCE156" s="250"/>
      <c r="DCF156" s="250"/>
      <c r="DCG156" s="250"/>
      <c r="DCH156" s="250"/>
      <c r="DCI156" s="250"/>
      <c r="DCJ156" s="250"/>
      <c r="DCK156" s="250"/>
      <c r="DCL156" s="250"/>
      <c r="DCM156" s="250"/>
      <c r="DCN156" s="250"/>
      <c r="DCO156" s="250"/>
      <c r="DCP156" s="250"/>
      <c r="DCQ156" s="250"/>
      <c r="DCR156" s="250"/>
      <c r="DCS156" s="250"/>
      <c r="DCT156" s="250"/>
      <c r="DCU156" s="250"/>
      <c r="DCV156" s="250"/>
      <c r="DCW156" s="250"/>
      <c r="DCX156" s="250"/>
      <c r="DCY156" s="250"/>
      <c r="DCZ156" s="250"/>
      <c r="DDA156" s="250"/>
      <c r="DDB156" s="250"/>
      <c r="DDC156" s="250"/>
      <c r="DDD156" s="250"/>
      <c r="DDE156" s="250"/>
      <c r="DDF156" s="250"/>
      <c r="DDG156" s="250"/>
      <c r="DDH156" s="250"/>
      <c r="DDI156" s="250"/>
      <c r="DDJ156" s="250"/>
      <c r="DDK156" s="250"/>
      <c r="DDL156" s="250"/>
      <c r="DDM156" s="250"/>
      <c r="DDN156" s="250"/>
      <c r="DDO156" s="250"/>
      <c r="DDP156" s="250"/>
      <c r="DDQ156" s="250"/>
      <c r="DDR156" s="250"/>
      <c r="DDS156" s="250"/>
      <c r="DDT156" s="250"/>
      <c r="DDU156" s="250"/>
      <c r="DDV156" s="250"/>
      <c r="DDW156" s="250"/>
      <c r="DDX156" s="250"/>
      <c r="DDY156" s="250"/>
      <c r="DDZ156" s="250"/>
      <c r="DEA156" s="250"/>
      <c r="DEB156" s="250"/>
      <c r="DEC156" s="250"/>
      <c r="DED156" s="250"/>
      <c r="DEE156" s="250"/>
      <c r="DEF156" s="250"/>
      <c r="DEG156" s="250"/>
      <c r="DEH156" s="250"/>
      <c r="DEI156" s="250"/>
      <c r="DEJ156" s="250"/>
      <c r="DEK156" s="250"/>
      <c r="DEL156" s="250"/>
      <c r="DEM156" s="250"/>
      <c r="DEN156" s="250"/>
      <c r="DEO156" s="250"/>
      <c r="DEP156" s="250"/>
      <c r="DEQ156" s="250"/>
      <c r="DER156" s="250"/>
      <c r="DES156" s="250"/>
      <c r="DET156" s="250"/>
      <c r="DEU156" s="250"/>
      <c r="DEV156" s="250"/>
      <c r="DEW156" s="250"/>
      <c r="DEX156" s="250"/>
      <c r="DEY156" s="250"/>
      <c r="DEZ156" s="250"/>
      <c r="DFA156" s="250"/>
      <c r="DFB156" s="250"/>
      <c r="DFC156" s="250"/>
      <c r="DFD156" s="250"/>
      <c r="DFE156" s="250"/>
      <c r="DFF156" s="250"/>
      <c r="DFG156" s="250"/>
      <c r="DFH156" s="250"/>
      <c r="DFI156" s="250"/>
      <c r="DFJ156" s="250"/>
      <c r="DFK156" s="250"/>
      <c r="DFL156" s="250"/>
      <c r="DFM156" s="250"/>
      <c r="DFN156" s="250"/>
      <c r="DFO156" s="250"/>
      <c r="DFP156" s="250"/>
      <c r="DFQ156" s="250"/>
      <c r="DFR156" s="250"/>
      <c r="DFS156" s="250"/>
      <c r="DFT156" s="250"/>
      <c r="DFU156" s="250"/>
      <c r="DFV156" s="250"/>
      <c r="DFW156" s="250"/>
      <c r="DFX156" s="250"/>
      <c r="DFY156" s="250"/>
      <c r="DFZ156" s="250"/>
      <c r="DGA156" s="250"/>
      <c r="DGB156" s="250"/>
      <c r="DGC156" s="250"/>
      <c r="DGD156" s="250"/>
      <c r="DGE156" s="250"/>
      <c r="DGF156" s="250"/>
      <c r="DGG156" s="250"/>
      <c r="DGH156" s="250"/>
      <c r="DGI156" s="250"/>
      <c r="DGJ156" s="250"/>
      <c r="DGK156" s="250"/>
      <c r="DGL156" s="250"/>
      <c r="DGM156" s="250"/>
      <c r="DGN156" s="250"/>
      <c r="DGO156" s="250"/>
      <c r="DGP156" s="250"/>
      <c r="DGQ156" s="250"/>
      <c r="DGR156" s="250"/>
      <c r="DGS156" s="250"/>
      <c r="DGT156" s="250"/>
      <c r="DGU156" s="250"/>
      <c r="DGV156" s="250"/>
      <c r="DGW156" s="250"/>
      <c r="DGX156" s="250"/>
      <c r="DGY156" s="250"/>
      <c r="DGZ156" s="250"/>
      <c r="DHA156" s="250"/>
      <c r="DHB156" s="250"/>
      <c r="DHC156" s="250"/>
      <c r="DHD156" s="250"/>
      <c r="DHE156" s="250"/>
      <c r="DHF156" s="250"/>
      <c r="DHG156" s="250"/>
      <c r="DHH156" s="250"/>
      <c r="DHI156" s="250"/>
      <c r="DHJ156" s="250"/>
      <c r="DHK156" s="250"/>
      <c r="DHL156" s="250"/>
      <c r="DHM156" s="250"/>
      <c r="DHN156" s="250"/>
      <c r="DHO156" s="250"/>
      <c r="DHP156" s="250"/>
      <c r="DHQ156" s="250"/>
      <c r="DHR156" s="250"/>
      <c r="DHS156" s="250"/>
      <c r="DHT156" s="250"/>
      <c r="DHU156" s="250"/>
      <c r="DHV156" s="250"/>
      <c r="DHW156" s="250"/>
      <c r="DHX156" s="250"/>
      <c r="DHY156" s="250"/>
      <c r="DHZ156" s="250"/>
      <c r="DIA156" s="250"/>
      <c r="DIB156" s="250"/>
      <c r="DIC156" s="250"/>
      <c r="DID156" s="250"/>
      <c r="DIE156" s="250"/>
      <c r="DIF156" s="250"/>
      <c r="DIG156" s="250"/>
      <c r="DIH156" s="250"/>
      <c r="DII156" s="250"/>
      <c r="DIJ156" s="250"/>
      <c r="DIK156" s="250"/>
      <c r="DIL156" s="250"/>
      <c r="DIM156" s="250"/>
      <c r="DIN156" s="250"/>
      <c r="DIO156" s="250"/>
      <c r="DIP156" s="250"/>
      <c r="DIQ156" s="250"/>
      <c r="DIR156" s="250"/>
      <c r="DIS156" s="250"/>
      <c r="DIT156" s="250"/>
      <c r="DIU156" s="250"/>
      <c r="DIV156" s="250"/>
      <c r="DIW156" s="250"/>
      <c r="DIX156" s="250"/>
      <c r="DIY156" s="250"/>
      <c r="DIZ156" s="250"/>
      <c r="DJA156" s="250"/>
      <c r="DJB156" s="250"/>
      <c r="DJC156" s="250"/>
      <c r="DJD156" s="250"/>
      <c r="DJE156" s="250"/>
      <c r="DJF156" s="250"/>
      <c r="DJG156" s="250"/>
      <c r="DJH156" s="250"/>
      <c r="DJI156" s="250"/>
      <c r="DJJ156" s="250"/>
      <c r="DJK156" s="250"/>
      <c r="DJL156" s="250"/>
      <c r="DJM156" s="250"/>
      <c r="DJN156" s="250"/>
      <c r="DJO156" s="250"/>
      <c r="DJP156" s="250"/>
      <c r="DJQ156" s="250"/>
      <c r="DJR156" s="250"/>
      <c r="DJS156" s="250"/>
      <c r="DJT156" s="250"/>
      <c r="DJU156" s="250"/>
      <c r="DJV156" s="250"/>
      <c r="DJW156" s="250"/>
      <c r="DJX156" s="250"/>
      <c r="DJY156" s="250"/>
      <c r="DJZ156" s="250"/>
      <c r="DKA156" s="250"/>
      <c r="DKB156" s="250"/>
      <c r="DKC156" s="250"/>
      <c r="DKD156" s="250"/>
      <c r="DKE156" s="250"/>
      <c r="DKF156" s="250"/>
      <c r="DKG156" s="250"/>
      <c r="DKH156" s="250"/>
      <c r="DKI156" s="250"/>
      <c r="DKJ156" s="250"/>
      <c r="DKK156" s="250"/>
      <c r="DKL156" s="250"/>
      <c r="DKM156" s="250"/>
      <c r="DKN156" s="250"/>
      <c r="DKO156" s="250"/>
      <c r="DKP156" s="250"/>
      <c r="DKQ156" s="250"/>
      <c r="DKR156" s="250"/>
      <c r="DKS156" s="250"/>
      <c r="DKT156" s="250"/>
      <c r="DKU156" s="250"/>
      <c r="DKV156" s="250"/>
      <c r="DKW156" s="250"/>
      <c r="DKX156" s="250"/>
      <c r="DKY156" s="250"/>
      <c r="DKZ156" s="250"/>
      <c r="DLA156" s="250"/>
      <c r="DLB156" s="250"/>
      <c r="DLC156" s="250"/>
      <c r="DLD156" s="250"/>
      <c r="DLE156" s="250"/>
      <c r="DLF156" s="250"/>
      <c r="DLG156" s="250"/>
      <c r="DLH156" s="250"/>
      <c r="DLI156" s="250"/>
      <c r="DLJ156" s="250"/>
      <c r="DLK156" s="250"/>
      <c r="DLL156" s="250"/>
      <c r="DLM156" s="250"/>
      <c r="DLN156" s="250"/>
      <c r="DLO156" s="250"/>
      <c r="DLP156" s="250"/>
      <c r="DLQ156" s="250"/>
      <c r="DLR156" s="250"/>
      <c r="DLS156" s="250"/>
      <c r="DLT156" s="250"/>
      <c r="DLU156" s="250"/>
      <c r="DLV156" s="250"/>
      <c r="DLW156" s="250"/>
      <c r="DLX156" s="250"/>
      <c r="DLY156" s="250"/>
      <c r="DLZ156" s="250"/>
      <c r="DMA156" s="250"/>
      <c r="DMB156" s="250"/>
      <c r="DMC156" s="250"/>
      <c r="DMD156" s="250"/>
      <c r="DME156" s="250"/>
      <c r="DMF156" s="250"/>
      <c r="DMG156" s="250"/>
      <c r="DMH156" s="250"/>
      <c r="DMI156" s="250"/>
      <c r="DMJ156" s="250"/>
      <c r="DMK156" s="250"/>
      <c r="DML156" s="250"/>
      <c r="DMM156" s="250"/>
      <c r="DMN156" s="250"/>
      <c r="DMO156" s="250"/>
      <c r="DMP156" s="250"/>
      <c r="DMQ156" s="250"/>
      <c r="DMR156" s="250"/>
      <c r="DMS156" s="250"/>
      <c r="DMT156" s="250"/>
      <c r="DMU156" s="250"/>
      <c r="DMV156" s="250"/>
      <c r="DMW156" s="250"/>
      <c r="DMX156" s="250"/>
      <c r="DMY156" s="250"/>
      <c r="DMZ156" s="250"/>
      <c r="DNA156" s="250"/>
      <c r="DNB156" s="250"/>
      <c r="DNC156" s="250"/>
      <c r="DND156" s="250"/>
      <c r="DNE156" s="250"/>
      <c r="DNF156" s="250"/>
      <c r="DNG156" s="250"/>
      <c r="DNH156" s="250"/>
      <c r="DNI156" s="250"/>
      <c r="DNJ156" s="250"/>
      <c r="DNK156" s="250"/>
      <c r="DNL156" s="250"/>
      <c r="DNM156" s="250"/>
      <c r="DNN156" s="250"/>
      <c r="DNO156" s="250"/>
      <c r="DNP156" s="250"/>
      <c r="DNQ156" s="250"/>
      <c r="DNR156" s="250"/>
      <c r="DNS156" s="250"/>
      <c r="DNT156" s="250"/>
      <c r="DNU156" s="250"/>
      <c r="DNV156" s="250"/>
      <c r="DNW156" s="250"/>
      <c r="DNX156" s="250"/>
      <c r="DNY156" s="250"/>
      <c r="DNZ156" s="250"/>
      <c r="DOA156" s="250"/>
      <c r="DOB156" s="250"/>
      <c r="DOC156" s="250"/>
      <c r="DOD156" s="250"/>
      <c r="DOE156" s="250"/>
      <c r="DOF156" s="250"/>
      <c r="DOG156" s="250"/>
      <c r="DOH156" s="250"/>
      <c r="DOI156" s="250"/>
      <c r="DOJ156" s="250"/>
      <c r="DOK156" s="250"/>
      <c r="DOL156" s="250"/>
      <c r="DOM156" s="250"/>
      <c r="DON156" s="250"/>
      <c r="DOO156" s="250"/>
      <c r="DOP156" s="250"/>
      <c r="DOQ156" s="250"/>
      <c r="DOR156" s="250"/>
      <c r="DOS156" s="250"/>
      <c r="DOT156" s="250"/>
      <c r="DOU156" s="250"/>
      <c r="DOV156" s="250"/>
      <c r="DOW156" s="250"/>
      <c r="DOX156" s="250"/>
      <c r="DOY156" s="250"/>
      <c r="DOZ156" s="250"/>
      <c r="DPA156" s="250"/>
      <c r="DPB156" s="250"/>
      <c r="DPC156" s="250"/>
      <c r="DPD156" s="250"/>
      <c r="DPE156" s="250"/>
      <c r="DPF156" s="250"/>
      <c r="DPG156" s="250"/>
      <c r="DPH156" s="250"/>
      <c r="DPI156" s="250"/>
      <c r="DPJ156" s="250"/>
      <c r="DPK156" s="250"/>
      <c r="DPL156" s="250"/>
      <c r="DPM156" s="250"/>
      <c r="DPN156" s="250"/>
      <c r="DPO156" s="250"/>
      <c r="DPP156" s="250"/>
      <c r="DPQ156" s="250"/>
      <c r="DPR156" s="250"/>
      <c r="DPS156" s="250"/>
      <c r="DPT156" s="250"/>
      <c r="DPU156" s="250"/>
      <c r="DPV156" s="250"/>
      <c r="DPW156" s="250"/>
      <c r="DPX156" s="250"/>
      <c r="DPY156" s="250"/>
      <c r="DPZ156" s="250"/>
      <c r="DQA156" s="250"/>
      <c r="DQB156" s="250"/>
      <c r="DQC156" s="250"/>
      <c r="DQD156" s="250"/>
      <c r="DQE156" s="250"/>
      <c r="DQF156" s="250"/>
      <c r="DQG156" s="250"/>
      <c r="DQH156" s="250"/>
      <c r="DQI156" s="250"/>
      <c r="DQJ156" s="250"/>
      <c r="DQK156" s="250"/>
      <c r="DQL156" s="250"/>
      <c r="DQM156" s="250"/>
      <c r="DQN156" s="250"/>
      <c r="DQO156" s="250"/>
      <c r="DQP156" s="250"/>
      <c r="DQQ156" s="250"/>
      <c r="DQR156" s="250"/>
      <c r="DQS156" s="250"/>
      <c r="DQT156" s="250"/>
      <c r="DQU156" s="250"/>
      <c r="DQV156" s="250"/>
      <c r="DQW156" s="250"/>
      <c r="DQX156" s="250"/>
      <c r="DQY156" s="250"/>
      <c r="DQZ156" s="250"/>
      <c r="DRA156" s="250"/>
      <c r="DRB156" s="250"/>
      <c r="DRC156" s="250"/>
      <c r="DRD156" s="250"/>
      <c r="DRE156" s="250"/>
      <c r="DRF156" s="250"/>
      <c r="DRG156" s="250"/>
      <c r="DRH156" s="250"/>
      <c r="DRI156" s="250"/>
      <c r="DRJ156" s="250"/>
      <c r="DRK156" s="250"/>
      <c r="DRL156" s="250"/>
      <c r="DRM156" s="250"/>
      <c r="DRN156" s="250"/>
      <c r="DRO156" s="250"/>
      <c r="DRP156" s="250"/>
      <c r="DRQ156" s="250"/>
      <c r="DRR156" s="250"/>
      <c r="DRS156" s="250"/>
      <c r="DRT156" s="250"/>
      <c r="DRU156" s="250"/>
      <c r="DRV156" s="250"/>
      <c r="DRW156" s="250"/>
      <c r="DRX156" s="250"/>
      <c r="DRY156" s="250"/>
      <c r="DRZ156" s="250"/>
      <c r="DSA156" s="250"/>
      <c r="DSB156" s="250"/>
      <c r="DSC156" s="250"/>
      <c r="DSD156" s="250"/>
      <c r="DSE156" s="250"/>
      <c r="DSF156" s="250"/>
      <c r="DSG156" s="250"/>
      <c r="DSH156" s="250"/>
      <c r="DSI156" s="250"/>
      <c r="DSJ156" s="250"/>
      <c r="DSK156" s="250"/>
      <c r="DSL156" s="250"/>
      <c r="DSM156" s="250"/>
      <c r="DSN156" s="250"/>
      <c r="DSO156" s="250"/>
      <c r="DSP156" s="250"/>
      <c r="DSQ156" s="250"/>
      <c r="DSR156" s="250"/>
      <c r="DSS156" s="250"/>
      <c r="DST156" s="250"/>
      <c r="DSU156" s="250"/>
      <c r="DSV156" s="250"/>
      <c r="DSW156" s="250"/>
      <c r="DSX156" s="250"/>
      <c r="DSY156" s="250"/>
      <c r="DSZ156" s="250"/>
      <c r="DTA156" s="250"/>
      <c r="DTB156" s="250"/>
      <c r="DTC156" s="250"/>
      <c r="DTD156" s="250"/>
      <c r="DTE156" s="250"/>
      <c r="DTF156" s="250"/>
      <c r="DTG156" s="250"/>
      <c r="DTH156" s="250"/>
      <c r="DTI156" s="250"/>
      <c r="DTJ156" s="250"/>
      <c r="DTK156" s="250"/>
      <c r="DTL156" s="250"/>
      <c r="DTM156" s="250"/>
      <c r="DTN156" s="250"/>
      <c r="DTO156" s="250"/>
      <c r="DTP156" s="250"/>
      <c r="DTQ156" s="250"/>
      <c r="DTR156" s="250"/>
      <c r="DTS156" s="250"/>
      <c r="DTT156" s="250"/>
      <c r="DTU156" s="250"/>
      <c r="DTV156" s="250"/>
      <c r="DTW156" s="250"/>
      <c r="DTX156" s="250"/>
      <c r="DTY156" s="250"/>
      <c r="DTZ156" s="250"/>
      <c r="DUA156" s="250"/>
      <c r="DUB156" s="250"/>
      <c r="DUC156" s="250"/>
      <c r="DUD156" s="250"/>
      <c r="DUE156" s="250"/>
      <c r="DUF156" s="250"/>
      <c r="DUG156" s="250"/>
      <c r="DUH156" s="250"/>
      <c r="DUI156" s="250"/>
      <c r="DUJ156" s="250"/>
      <c r="DUK156" s="250"/>
      <c r="DUL156" s="250"/>
      <c r="DUM156" s="250"/>
      <c r="DUN156" s="250"/>
      <c r="DUO156" s="250"/>
      <c r="DUP156" s="250"/>
      <c r="DUQ156" s="250"/>
      <c r="DUR156" s="250"/>
      <c r="DUS156" s="250"/>
      <c r="DUT156" s="250"/>
      <c r="DUU156" s="250"/>
      <c r="DUV156" s="250"/>
      <c r="DUW156" s="250"/>
      <c r="DUX156" s="250"/>
      <c r="DUY156" s="250"/>
      <c r="DUZ156" s="250"/>
      <c r="DVA156" s="250"/>
      <c r="DVB156" s="250"/>
      <c r="DVC156" s="250"/>
      <c r="DVD156" s="250"/>
      <c r="DVE156" s="250"/>
      <c r="DVF156" s="250"/>
      <c r="DVG156" s="250"/>
      <c r="DVH156" s="250"/>
      <c r="DVI156" s="250"/>
      <c r="DVJ156" s="250"/>
      <c r="DVK156" s="250"/>
      <c r="DVL156" s="250"/>
      <c r="DVM156" s="250"/>
      <c r="DVN156" s="250"/>
      <c r="DVO156" s="250"/>
      <c r="DVP156" s="250"/>
      <c r="DVQ156" s="250"/>
      <c r="DVR156" s="250"/>
      <c r="DVS156" s="250"/>
      <c r="DVT156" s="250"/>
      <c r="DVU156" s="250"/>
      <c r="DVV156" s="250"/>
      <c r="DVW156" s="250"/>
      <c r="DVX156" s="250"/>
      <c r="DVY156" s="250"/>
      <c r="DVZ156" s="250"/>
      <c r="DWA156" s="250"/>
      <c r="DWB156" s="250"/>
      <c r="DWC156" s="250"/>
      <c r="DWD156" s="250"/>
      <c r="DWE156" s="250"/>
      <c r="DWF156" s="250"/>
      <c r="DWG156" s="250"/>
      <c r="DWH156" s="250"/>
      <c r="DWI156" s="250"/>
      <c r="DWJ156" s="250"/>
      <c r="DWK156" s="250"/>
      <c r="DWL156" s="250"/>
      <c r="DWM156" s="250"/>
      <c r="DWN156" s="250"/>
      <c r="DWO156" s="250"/>
      <c r="DWP156" s="250"/>
      <c r="DWQ156" s="250"/>
      <c r="DWR156" s="250"/>
      <c r="DWS156" s="250"/>
      <c r="DWT156" s="250"/>
      <c r="DWU156" s="250"/>
      <c r="DWV156" s="250"/>
      <c r="DWW156" s="250"/>
      <c r="DWX156" s="250"/>
      <c r="DWY156" s="250"/>
      <c r="DWZ156" s="250"/>
      <c r="DXA156" s="250"/>
      <c r="DXB156" s="250"/>
      <c r="DXC156" s="250"/>
      <c r="DXD156" s="250"/>
      <c r="DXE156" s="250"/>
      <c r="DXF156" s="250"/>
      <c r="DXG156" s="250"/>
      <c r="DXH156" s="250"/>
      <c r="DXI156" s="250"/>
      <c r="DXJ156" s="250"/>
      <c r="DXK156" s="250"/>
      <c r="DXL156" s="250"/>
      <c r="DXM156" s="250"/>
      <c r="DXN156" s="250"/>
      <c r="DXO156" s="250"/>
      <c r="DXP156" s="250"/>
      <c r="DXQ156" s="250"/>
      <c r="DXR156" s="250"/>
      <c r="DXS156" s="250"/>
      <c r="DXT156" s="250"/>
      <c r="DXU156" s="250"/>
      <c r="DXV156" s="250"/>
      <c r="DXW156" s="250"/>
      <c r="DXX156" s="250"/>
      <c r="DXY156" s="250"/>
      <c r="DXZ156" s="250"/>
      <c r="DYA156" s="250"/>
      <c r="DYB156" s="250"/>
      <c r="DYC156" s="250"/>
      <c r="DYD156" s="250"/>
      <c r="DYE156" s="250"/>
      <c r="DYF156" s="250"/>
      <c r="DYG156" s="250"/>
      <c r="DYH156" s="250"/>
      <c r="DYI156" s="250"/>
      <c r="DYJ156" s="250"/>
      <c r="DYK156" s="250"/>
      <c r="DYL156" s="250"/>
      <c r="DYM156" s="250"/>
      <c r="DYN156" s="250"/>
      <c r="DYO156" s="250"/>
      <c r="DYP156" s="250"/>
      <c r="DYQ156" s="250"/>
      <c r="DYR156" s="250"/>
      <c r="DYS156" s="250"/>
      <c r="DYT156" s="250"/>
      <c r="DYU156" s="250"/>
      <c r="DYV156" s="250"/>
      <c r="DYW156" s="250"/>
      <c r="DYX156" s="250"/>
      <c r="DYY156" s="250"/>
      <c r="DYZ156" s="250"/>
      <c r="DZA156" s="250"/>
      <c r="DZB156" s="250"/>
      <c r="DZC156" s="250"/>
      <c r="DZD156" s="250"/>
      <c r="DZE156" s="250"/>
      <c r="DZF156" s="250"/>
      <c r="DZG156" s="250"/>
      <c r="DZH156" s="250"/>
      <c r="DZI156" s="250"/>
      <c r="DZJ156" s="250"/>
      <c r="DZK156" s="250"/>
      <c r="DZL156" s="250"/>
      <c r="DZM156" s="250"/>
      <c r="DZN156" s="250"/>
      <c r="DZO156" s="250"/>
      <c r="DZP156" s="250"/>
      <c r="DZQ156" s="250"/>
      <c r="DZR156" s="250"/>
      <c r="DZS156" s="250"/>
      <c r="DZT156" s="250"/>
      <c r="DZU156" s="250"/>
      <c r="DZV156" s="250"/>
      <c r="DZW156" s="250"/>
      <c r="DZX156" s="250"/>
      <c r="DZY156" s="250"/>
      <c r="DZZ156" s="250"/>
      <c r="EAA156" s="250"/>
      <c r="EAB156" s="250"/>
      <c r="EAC156" s="250"/>
      <c r="EAD156" s="250"/>
      <c r="EAE156" s="250"/>
      <c r="EAF156" s="250"/>
      <c r="EAG156" s="250"/>
      <c r="EAH156" s="250"/>
      <c r="EAI156" s="250"/>
      <c r="EAJ156" s="250"/>
      <c r="EAK156" s="250"/>
      <c r="EAL156" s="250"/>
      <c r="EAM156" s="250"/>
      <c r="EAN156" s="250"/>
      <c r="EAO156" s="250"/>
      <c r="EAP156" s="250"/>
      <c r="EAQ156" s="250"/>
      <c r="EAR156" s="250"/>
      <c r="EAS156" s="250"/>
      <c r="EAT156" s="250"/>
      <c r="EAU156" s="250"/>
      <c r="EAV156" s="250"/>
      <c r="EAW156" s="250"/>
      <c r="EAX156" s="250"/>
      <c r="EAY156" s="250"/>
      <c r="EAZ156" s="250"/>
      <c r="EBA156" s="250"/>
      <c r="EBB156" s="250"/>
      <c r="EBC156" s="250"/>
      <c r="EBD156" s="250"/>
      <c r="EBE156" s="250"/>
      <c r="EBF156" s="250"/>
      <c r="EBG156" s="250"/>
      <c r="EBH156" s="250"/>
      <c r="EBI156" s="250"/>
      <c r="EBJ156" s="250"/>
      <c r="EBK156" s="250"/>
      <c r="EBL156" s="250"/>
      <c r="EBM156" s="250"/>
      <c r="EBN156" s="250"/>
      <c r="EBO156" s="250"/>
      <c r="EBP156" s="250"/>
      <c r="EBQ156" s="250"/>
      <c r="EBR156" s="250"/>
      <c r="EBS156" s="250"/>
      <c r="EBT156" s="250"/>
      <c r="EBU156" s="250"/>
      <c r="EBV156" s="250"/>
      <c r="EBW156" s="250"/>
      <c r="EBX156" s="250"/>
      <c r="EBY156" s="250"/>
      <c r="EBZ156" s="250"/>
      <c r="ECA156" s="250"/>
      <c r="ECB156" s="250"/>
      <c r="ECC156" s="250"/>
      <c r="ECD156" s="250"/>
      <c r="ECE156" s="250"/>
      <c r="ECF156" s="250"/>
      <c r="ECG156" s="250"/>
      <c r="ECH156" s="250"/>
      <c r="ECI156" s="250"/>
      <c r="ECJ156" s="250"/>
      <c r="ECK156" s="250"/>
      <c r="ECL156" s="250"/>
      <c r="ECM156" s="250"/>
      <c r="ECN156" s="250"/>
      <c r="ECO156" s="250"/>
      <c r="ECP156" s="250"/>
      <c r="ECQ156" s="250"/>
      <c r="ECR156" s="250"/>
      <c r="ECS156" s="250"/>
      <c r="ECT156" s="250"/>
      <c r="ECU156" s="250"/>
      <c r="ECV156" s="250"/>
      <c r="ECW156" s="250"/>
      <c r="ECX156" s="250"/>
      <c r="ECY156" s="250"/>
      <c r="ECZ156" s="250"/>
      <c r="EDA156" s="250"/>
      <c r="EDB156" s="250"/>
      <c r="EDC156" s="250"/>
      <c r="EDD156" s="250"/>
      <c r="EDE156" s="250"/>
      <c r="EDF156" s="250"/>
      <c r="EDG156" s="250"/>
      <c r="EDH156" s="250"/>
      <c r="EDI156" s="250"/>
      <c r="EDJ156" s="250"/>
      <c r="EDK156" s="250"/>
      <c r="EDL156" s="250"/>
      <c r="EDM156" s="250"/>
      <c r="EDN156" s="250"/>
      <c r="EDO156" s="250"/>
      <c r="EDP156" s="250"/>
      <c r="EDQ156" s="250"/>
      <c r="EDR156" s="250"/>
      <c r="EDS156" s="250"/>
      <c r="EDT156" s="250"/>
      <c r="EDU156" s="250"/>
      <c r="EDV156" s="250"/>
      <c r="EDW156" s="250"/>
      <c r="EDX156" s="250"/>
      <c r="EDY156" s="250"/>
      <c r="EDZ156" s="250"/>
      <c r="EEA156" s="250"/>
      <c r="EEB156" s="250"/>
      <c r="EEC156" s="250"/>
      <c r="EED156" s="250"/>
      <c r="EEE156" s="250"/>
      <c r="EEF156" s="250"/>
      <c r="EEG156" s="250"/>
      <c r="EEH156" s="250"/>
      <c r="EEI156" s="250"/>
      <c r="EEJ156" s="250"/>
      <c r="EEK156" s="250"/>
      <c r="EEL156" s="250"/>
      <c r="EEM156" s="250"/>
      <c r="EEN156" s="250"/>
      <c r="EEO156" s="250"/>
      <c r="EEP156" s="250"/>
      <c r="EEQ156" s="250"/>
      <c r="EER156" s="250"/>
      <c r="EES156" s="250"/>
      <c r="EET156" s="250"/>
      <c r="EEU156" s="250"/>
      <c r="EEV156" s="250"/>
      <c r="EEW156" s="250"/>
      <c r="EEX156" s="250"/>
      <c r="EEY156" s="250"/>
      <c r="EEZ156" s="250"/>
      <c r="EFA156" s="250"/>
      <c r="EFB156" s="250"/>
      <c r="EFC156" s="250"/>
      <c r="EFD156" s="250"/>
      <c r="EFE156" s="250"/>
      <c r="EFF156" s="250"/>
      <c r="EFG156" s="250"/>
      <c r="EFH156" s="250"/>
      <c r="EFI156" s="250"/>
      <c r="EFJ156" s="250"/>
      <c r="EFK156" s="250"/>
      <c r="EFL156" s="250"/>
      <c r="EFM156" s="250"/>
      <c r="EFN156" s="250"/>
      <c r="EFO156" s="250"/>
      <c r="EFP156" s="250"/>
      <c r="EFQ156" s="250"/>
      <c r="EFR156" s="250"/>
      <c r="EFS156" s="250"/>
      <c r="EFT156" s="250"/>
      <c r="EFU156" s="250"/>
      <c r="EFV156" s="250"/>
      <c r="EFW156" s="250"/>
      <c r="EFX156" s="250"/>
      <c r="EFY156" s="250"/>
      <c r="EFZ156" s="250"/>
      <c r="EGA156" s="250"/>
      <c r="EGB156" s="250"/>
      <c r="EGC156" s="250"/>
      <c r="EGD156" s="250"/>
      <c r="EGE156" s="250"/>
      <c r="EGF156" s="250"/>
      <c r="EGG156" s="250"/>
      <c r="EGH156" s="250"/>
      <c r="EGI156" s="250"/>
      <c r="EGJ156" s="250"/>
      <c r="EGK156" s="250"/>
      <c r="EGL156" s="250"/>
      <c r="EGM156" s="250"/>
      <c r="EGN156" s="250"/>
      <c r="EGO156" s="250"/>
      <c r="EGP156" s="250"/>
      <c r="EGQ156" s="250"/>
      <c r="EGR156" s="250"/>
      <c r="EGS156" s="250"/>
      <c r="EGT156" s="250"/>
      <c r="EGU156" s="250"/>
      <c r="EGV156" s="250"/>
      <c r="EGW156" s="250"/>
      <c r="EGX156" s="250"/>
      <c r="EGY156" s="250"/>
      <c r="EGZ156" s="250"/>
      <c r="EHA156" s="250"/>
      <c r="EHB156" s="250"/>
      <c r="EHC156" s="250"/>
      <c r="EHD156" s="250"/>
      <c r="EHE156" s="250"/>
      <c r="EHF156" s="250"/>
      <c r="EHG156" s="250"/>
      <c r="EHH156" s="250"/>
      <c r="EHI156" s="250"/>
      <c r="EHJ156" s="250"/>
      <c r="EHK156" s="250"/>
      <c r="EHL156" s="250"/>
      <c r="EHM156" s="250"/>
      <c r="EHN156" s="250"/>
      <c r="EHO156" s="250"/>
      <c r="EHP156" s="250"/>
      <c r="EHQ156" s="250"/>
      <c r="EHR156" s="250"/>
      <c r="EHS156" s="250"/>
      <c r="EHT156" s="250"/>
      <c r="EHU156" s="250"/>
      <c r="EHV156" s="250"/>
      <c r="EHW156" s="250"/>
      <c r="EHX156" s="250"/>
      <c r="EHY156" s="250"/>
      <c r="EHZ156" s="250"/>
      <c r="EIA156" s="250"/>
      <c r="EIB156" s="250"/>
      <c r="EIC156" s="250"/>
      <c r="EID156" s="250"/>
      <c r="EIE156" s="250"/>
      <c r="EIF156" s="250"/>
      <c r="EIG156" s="250"/>
      <c r="EIH156" s="250"/>
      <c r="EII156" s="250"/>
      <c r="EIJ156" s="250"/>
      <c r="EIK156" s="250"/>
      <c r="EIL156" s="250"/>
      <c r="EIM156" s="250"/>
      <c r="EIN156" s="250"/>
      <c r="EIO156" s="250"/>
      <c r="EIP156" s="250"/>
      <c r="EIQ156" s="250"/>
      <c r="EIR156" s="250"/>
      <c r="EIS156" s="250"/>
      <c r="EIT156" s="250"/>
      <c r="EIU156" s="250"/>
      <c r="EIV156" s="250"/>
      <c r="EIW156" s="250"/>
      <c r="EIX156" s="250"/>
      <c r="EIY156" s="250"/>
      <c r="EIZ156" s="250"/>
      <c r="EJA156" s="250"/>
      <c r="EJB156" s="250"/>
      <c r="EJC156" s="250"/>
      <c r="EJD156" s="250"/>
      <c r="EJE156" s="250"/>
      <c r="EJF156" s="250"/>
      <c r="EJG156" s="250"/>
      <c r="EJH156" s="250"/>
      <c r="EJI156" s="250"/>
      <c r="EJJ156" s="250"/>
      <c r="EJK156" s="250"/>
      <c r="EJL156" s="250"/>
      <c r="EJM156" s="250"/>
      <c r="EJN156" s="250"/>
      <c r="EJO156" s="250"/>
      <c r="EJP156" s="250"/>
      <c r="EJQ156" s="250"/>
      <c r="EJR156" s="250"/>
      <c r="EJS156" s="250"/>
      <c r="EJT156" s="250"/>
      <c r="EJU156" s="250"/>
      <c r="EJV156" s="250"/>
      <c r="EJW156" s="250"/>
      <c r="EJX156" s="250"/>
      <c r="EJY156" s="250"/>
      <c r="EJZ156" s="250"/>
      <c r="EKA156" s="250"/>
      <c r="EKB156" s="250"/>
      <c r="EKC156" s="250"/>
      <c r="EKD156" s="250"/>
      <c r="EKE156" s="250"/>
      <c r="EKF156" s="250"/>
      <c r="EKG156" s="250"/>
      <c r="EKH156" s="250"/>
      <c r="EKI156" s="250"/>
      <c r="EKJ156" s="250"/>
      <c r="EKK156" s="250"/>
      <c r="EKL156" s="250"/>
      <c r="EKM156" s="250"/>
      <c r="EKN156" s="250"/>
      <c r="EKO156" s="250"/>
      <c r="EKP156" s="250"/>
      <c r="EKQ156" s="250"/>
      <c r="EKR156" s="250"/>
      <c r="EKS156" s="250"/>
      <c r="EKT156" s="250"/>
      <c r="EKU156" s="250"/>
      <c r="EKV156" s="250"/>
      <c r="EKW156" s="250"/>
      <c r="EKX156" s="250"/>
      <c r="EKY156" s="250"/>
      <c r="EKZ156" s="250"/>
      <c r="ELA156" s="250"/>
      <c r="ELB156" s="250"/>
      <c r="ELC156" s="250"/>
      <c r="ELD156" s="250"/>
      <c r="ELE156" s="250"/>
      <c r="ELF156" s="250"/>
      <c r="ELG156" s="250"/>
      <c r="ELH156" s="250"/>
      <c r="ELI156" s="250"/>
      <c r="ELJ156" s="250"/>
      <c r="ELK156" s="250"/>
      <c r="ELL156" s="250"/>
      <c r="ELM156" s="250"/>
      <c r="ELN156" s="250"/>
      <c r="ELO156" s="250"/>
      <c r="ELP156" s="250"/>
      <c r="ELQ156" s="250"/>
      <c r="ELR156" s="250"/>
      <c r="ELS156" s="250"/>
      <c r="ELT156" s="250"/>
      <c r="ELU156" s="250"/>
      <c r="ELV156" s="250"/>
      <c r="ELW156" s="250"/>
      <c r="ELX156" s="250"/>
      <c r="ELY156" s="250"/>
      <c r="ELZ156" s="250"/>
      <c r="EMA156" s="250"/>
      <c r="EMB156" s="250"/>
      <c r="EMC156" s="250"/>
      <c r="EMD156" s="250"/>
      <c r="EME156" s="250"/>
      <c r="EMF156" s="250"/>
      <c r="EMG156" s="250"/>
      <c r="EMH156" s="250"/>
      <c r="EMI156" s="250"/>
      <c r="EMJ156" s="250"/>
      <c r="EMK156" s="250"/>
      <c r="EML156" s="250"/>
      <c r="EMM156" s="250"/>
      <c r="EMN156" s="250"/>
      <c r="EMO156" s="250"/>
      <c r="EMP156" s="250"/>
      <c r="EMQ156" s="250"/>
      <c r="EMR156" s="250"/>
      <c r="EMS156" s="250"/>
      <c r="EMT156" s="250"/>
      <c r="EMU156" s="250"/>
      <c r="EMV156" s="250"/>
      <c r="EMW156" s="250"/>
      <c r="EMX156" s="250"/>
      <c r="EMY156" s="250"/>
      <c r="EMZ156" s="250"/>
      <c r="ENA156" s="250"/>
      <c r="ENB156" s="250"/>
      <c r="ENC156" s="250"/>
      <c r="END156" s="250"/>
      <c r="ENE156" s="250"/>
      <c r="ENF156" s="250"/>
      <c r="ENG156" s="250"/>
      <c r="ENH156" s="250"/>
      <c r="ENI156" s="250"/>
      <c r="ENJ156" s="250"/>
      <c r="ENK156" s="250"/>
      <c r="ENL156" s="250"/>
      <c r="ENM156" s="250"/>
      <c r="ENN156" s="250"/>
      <c r="ENO156" s="250"/>
      <c r="ENP156" s="250"/>
      <c r="ENQ156" s="250"/>
      <c r="ENR156" s="250"/>
      <c r="ENS156" s="250"/>
      <c r="ENT156" s="250"/>
      <c r="ENU156" s="250"/>
      <c r="ENV156" s="250"/>
      <c r="ENW156" s="250"/>
      <c r="ENX156" s="250"/>
      <c r="ENY156" s="250"/>
      <c r="ENZ156" s="250"/>
      <c r="EOA156" s="250"/>
      <c r="EOB156" s="250"/>
      <c r="EOC156" s="250"/>
      <c r="EOD156" s="250"/>
      <c r="EOE156" s="250"/>
      <c r="EOF156" s="250"/>
      <c r="EOG156" s="250"/>
      <c r="EOH156" s="250"/>
      <c r="EOI156" s="250"/>
      <c r="EOJ156" s="250"/>
      <c r="EOK156" s="250"/>
      <c r="EOL156" s="250"/>
      <c r="EOM156" s="250"/>
      <c r="EON156" s="250"/>
      <c r="EOO156" s="250"/>
      <c r="EOP156" s="250"/>
      <c r="EOQ156" s="250"/>
      <c r="EOR156" s="250"/>
      <c r="EOS156" s="250"/>
      <c r="EOT156" s="250"/>
      <c r="EOU156" s="250"/>
      <c r="EOV156" s="250"/>
      <c r="EOW156" s="250"/>
      <c r="EOX156" s="250"/>
      <c r="EOY156" s="250"/>
      <c r="EOZ156" s="250"/>
      <c r="EPA156" s="250"/>
      <c r="EPB156" s="250"/>
      <c r="EPC156" s="250"/>
      <c r="EPD156" s="250"/>
      <c r="EPE156" s="250"/>
      <c r="EPF156" s="250"/>
      <c r="EPG156" s="250"/>
      <c r="EPH156" s="250"/>
      <c r="EPI156" s="250"/>
      <c r="EPJ156" s="250"/>
      <c r="EPK156" s="250"/>
      <c r="EPL156" s="250"/>
      <c r="EPM156" s="250"/>
      <c r="EPN156" s="250"/>
      <c r="EPO156" s="250"/>
      <c r="EPP156" s="250"/>
      <c r="EPQ156" s="250"/>
      <c r="EPR156" s="250"/>
      <c r="EPS156" s="250"/>
      <c r="EPT156" s="250"/>
      <c r="EPU156" s="250"/>
      <c r="EPV156" s="250"/>
      <c r="EPW156" s="250"/>
      <c r="EPX156" s="250"/>
      <c r="EPY156" s="250"/>
      <c r="EPZ156" s="250"/>
      <c r="EQA156" s="250"/>
      <c r="EQB156" s="250"/>
      <c r="EQC156" s="250"/>
      <c r="EQD156" s="250"/>
      <c r="EQE156" s="250"/>
      <c r="EQF156" s="250"/>
      <c r="EQG156" s="250"/>
      <c r="EQH156" s="250"/>
      <c r="EQI156" s="250"/>
      <c r="EQJ156" s="250"/>
      <c r="EQK156" s="250"/>
      <c r="EQL156" s="250"/>
      <c r="EQM156" s="250"/>
      <c r="EQN156" s="250"/>
      <c r="EQO156" s="250"/>
      <c r="EQP156" s="250"/>
      <c r="EQQ156" s="250"/>
      <c r="EQR156" s="250"/>
      <c r="EQS156" s="250"/>
      <c r="EQT156" s="250"/>
      <c r="EQU156" s="250"/>
      <c r="EQV156" s="250"/>
      <c r="EQW156" s="250"/>
      <c r="EQX156" s="250"/>
      <c r="EQY156" s="250"/>
      <c r="EQZ156" s="250"/>
      <c r="ERA156" s="250"/>
      <c r="ERB156" s="250"/>
      <c r="ERC156" s="250"/>
      <c r="ERD156" s="250"/>
      <c r="ERE156" s="250"/>
      <c r="ERF156" s="250"/>
      <c r="ERG156" s="250"/>
      <c r="ERH156" s="250"/>
      <c r="ERI156" s="250"/>
      <c r="ERJ156" s="250"/>
      <c r="ERK156" s="250"/>
      <c r="ERL156" s="250"/>
      <c r="ERM156" s="250"/>
      <c r="ERN156" s="250"/>
      <c r="ERO156" s="250"/>
      <c r="ERP156" s="250"/>
      <c r="ERQ156" s="250"/>
      <c r="ERR156" s="250"/>
      <c r="ERS156" s="250"/>
      <c r="ERT156" s="250"/>
      <c r="ERU156" s="250"/>
      <c r="ERV156" s="250"/>
      <c r="ERW156" s="250"/>
      <c r="ERX156" s="250"/>
      <c r="ERY156" s="250"/>
      <c r="ERZ156" s="250"/>
      <c r="ESA156" s="250"/>
      <c r="ESB156" s="250"/>
      <c r="ESC156" s="250"/>
      <c r="ESD156" s="250"/>
      <c r="ESE156" s="250"/>
      <c r="ESF156" s="250"/>
      <c r="ESG156" s="250"/>
      <c r="ESH156" s="250"/>
      <c r="ESI156" s="250"/>
      <c r="ESJ156" s="250"/>
      <c r="ESK156" s="250"/>
      <c r="ESL156" s="250"/>
      <c r="ESM156" s="250"/>
      <c r="ESN156" s="250"/>
      <c r="ESO156" s="250"/>
      <c r="ESP156" s="250"/>
      <c r="ESQ156" s="250"/>
      <c r="ESR156" s="250"/>
      <c r="ESS156" s="250"/>
      <c r="EST156" s="250"/>
      <c r="ESU156" s="250"/>
      <c r="ESV156" s="250"/>
      <c r="ESW156" s="250"/>
      <c r="ESX156" s="250"/>
      <c r="ESY156" s="250"/>
      <c r="ESZ156" s="250"/>
      <c r="ETA156" s="250"/>
      <c r="ETB156" s="250"/>
      <c r="ETC156" s="250"/>
      <c r="ETD156" s="250"/>
      <c r="ETE156" s="250"/>
      <c r="ETF156" s="250"/>
      <c r="ETG156" s="250"/>
      <c r="ETH156" s="250"/>
      <c r="ETI156" s="250"/>
      <c r="ETJ156" s="250"/>
      <c r="ETK156" s="250"/>
      <c r="ETL156" s="250"/>
      <c r="ETM156" s="250"/>
      <c r="ETN156" s="250"/>
      <c r="ETO156" s="250"/>
      <c r="ETP156" s="250"/>
      <c r="ETQ156" s="250"/>
      <c r="ETR156" s="250"/>
      <c r="ETS156" s="250"/>
      <c r="ETT156" s="250"/>
      <c r="ETU156" s="250"/>
      <c r="ETV156" s="250"/>
      <c r="ETW156" s="250"/>
      <c r="ETX156" s="250"/>
      <c r="ETY156" s="250"/>
      <c r="ETZ156" s="250"/>
      <c r="EUA156" s="250"/>
      <c r="EUB156" s="250"/>
      <c r="EUC156" s="250"/>
      <c r="EUD156" s="250"/>
      <c r="EUE156" s="250"/>
      <c r="EUF156" s="250"/>
      <c r="EUG156" s="250"/>
      <c r="EUH156" s="250"/>
      <c r="EUI156" s="250"/>
      <c r="EUJ156" s="250"/>
      <c r="EUK156" s="250"/>
      <c r="EUL156" s="250"/>
      <c r="EUM156" s="250"/>
      <c r="EUN156" s="250"/>
      <c r="EUO156" s="250"/>
      <c r="EUP156" s="250"/>
      <c r="EUQ156" s="250"/>
      <c r="EUR156" s="250"/>
      <c r="EUS156" s="250"/>
      <c r="EUT156" s="250"/>
      <c r="EUU156" s="250"/>
      <c r="EUV156" s="250"/>
      <c r="EUW156" s="250"/>
      <c r="EUX156" s="250"/>
      <c r="EUY156" s="250"/>
      <c r="EUZ156" s="250"/>
      <c r="EVA156" s="250"/>
      <c r="EVB156" s="250"/>
      <c r="EVC156" s="250"/>
      <c r="EVD156" s="250"/>
      <c r="EVE156" s="250"/>
      <c r="EVF156" s="250"/>
      <c r="EVG156" s="250"/>
      <c r="EVH156" s="250"/>
      <c r="EVI156" s="250"/>
      <c r="EVJ156" s="250"/>
      <c r="EVK156" s="250"/>
      <c r="EVL156" s="250"/>
      <c r="EVM156" s="250"/>
      <c r="EVN156" s="250"/>
      <c r="EVO156" s="250"/>
      <c r="EVP156" s="250"/>
      <c r="EVQ156" s="250"/>
      <c r="EVR156" s="250"/>
      <c r="EVS156" s="250"/>
      <c r="EVT156" s="250"/>
      <c r="EVU156" s="250"/>
      <c r="EVV156" s="250"/>
      <c r="EVW156" s="250"/>
      <c r="EVX156" s="250"/>
      <c r="EVY156" s="250"/>
      <c r="EVZ156" s="250"/>
      <c r="EWA156" s="250"/>
      <c r="EWB156" s="250"/>
      <c r="EWC156" s="250"/>
      <c r="EWD156" s="250"/>
      <c r="EWE156" s="250"/>
      <c r="EWF156" s="250"/>
      <c r="EWG156" s="250"/>
      <c r="EWH156" s="250"/>
      <c r="EWI156" s="250"/>
      <c r="EWJ156" s="250"/>
      <c r="EWK156" s="250"/>
      <c r="EWL156" s="250"/>
      <c r="EWM156" s="250"/>
      <c r="EWN156" s="250"/>
      <c r="EWO156" s="250"/>
      <c r="EWP156" s="250"/>
      <c r="EWQ156" s="250"/>
      <c r="EWR156" s="250"/>
      <c r="EWS156" s="250"/>
      <c r="EWT156" s="250"/>
      <c r="EWU156" s="250"/>
      <c r="EWV156" s="250"/>
      <c r="EWW156" s="250"/>
      <c r="EWX156" s="250"/>
      <c r="EWY156" s="250"/>
      <c r="EWZ156" s="250"/>
      <c r="EXA156" s="250"/>
      <c r="EXB156" s="250"/>
      <c r="EXC156" s="250"/>
      <c r="EXD156" s="250"/>
      <c r="EXE156" s="250"/>
      <c r="EXF156" s="250"/>
      <c r="EXG156" s="250"/>
      <c r="EXH156" s="250"/>
      <c r="EXI156" s="250"/>
      <c r="EXJ156" s="250"/>
      <c r="EXK156" s="250"/>
      <c r="EXL156" s="250"/>
      <c r="EXM156" s="250"/>
      <c r="EXN156" s="250"/>
      <c r="EXO156" s="250"/>
      <c r="EXP156" s="250"/>
      <c r="EXQ156" s="250"/>
      <c r="EXR156" s="250"/>
      <c r="EXS156" s="250"/>
      <c r="EXT156" s="250"/>
      <c r="EXU156" s="250"/>
      <c r="EXV156" s="250"/>
      <c r="EXW156" s="250"/>
      <c r="EXX156" s="250"/>
      <c r="EXY156" s="250"/>
      <c r="EXZ156" s="250"/>
      <c r="EYA156" s="250"/>
      <c r="EYB156" s="250"/>
      <c r="EYC156" s="250"/>
      <c r="EYD156" s="250"/>
      <c r="EYE156" s="250"/>
      <c r="EYF156" s="250"/>
      <c r="EYG156" s="250"/>
      <c r="EYH156" s="250"/>
      <c r="EYI156" s="250"/>
      <c r="EYJ156" s="250"/>
      <c r="EYK156" s="250"/>
      <c r="EYL156" s="250"/>
      <c r="EYM156" s="250"/>
      <c r="EYN156" s="250"/>
      <c r="EYO156" s="250"/>
      <c r="EYP156" s="250"/>
      <c r="EYQ156" s="250"/>
      <c r="EYR156" s="250"/>
      <c r="EYS156" s="250"/>
      <c r="EYT156" s="250"/>
      <c r="EYU156" s="250"/>
      <c r="EYV156" s="250"/>
      <c r="EYW156" s="250"/>
      <c r="EYX156" s="250"/>
      <c r="EYY156" s="250"/>
      <c r="EYZ156" s="250"/>
      <c r="EZA156" s="250"/>
      <c r="EZB156" s="250"/>
      <c r="EZC156" s="250"/>
      <c r="EZD156" s="250"/>
      <c r="EZE156" s="250"/>
      <c r="EZF156" s="250"/>
      <c r="EZG156" s="250"/>
      <c r="EZH156" s="250"/>
      <c r="EZI156" s="250"/>
      <c r="EZJ156" s="250"/>
      <c r="EZK156" s="250"/>
      <c r="EZL156" s="250"/>
      <c r="EZM156" s="250"/>
      <c r="EZN156" s="250"/>
      <c r="EZO156" s="250"/>
      <c r="EZP156" s="250"/>
      <c r="EZQ156" s="250"/>
      <c r="EZR156" s="250"/>
      <c r="EZS156" s="250"/>
      <c r="EZT156" s="250"/>
      <c r="EZU156" s="250"/>
      <c r="EZV156" s="250"/>
      <c r="EZW156" s="250"/>
      <c r="EZX156" s="250"/>
      <c r="EZY156" s="250"/>
      <c r="EZZ156" s="250"/>
      <c r="FAA156" s="250"/>
      <c r="FAB156" s="250"/>
      <c r="FAC156" s="250"/>
      <c r="FAD156" s="250"/>
      <c r="FAE156" s="250"/>
      <c r="FAF156" s="250"/>
      <c r="FAG156" s="250"/>
      <c r="FAH156" s="250"/>
      <c r="FAI156" s="250"/>
      <c r="FAJ156" s="250"/>
      <c r="FAK156" s="250"/>
      <c r="FAL156" s="250"/>
      <c r="FAM156" s="250"/>
      <c r="FAN156" s="250"/>
      <c r="FAO156" s="250"/>
      <c r="FAP156" s="250"/>
      <c r="FAQ156" s="250"/>
      <c r="FAR156" s="250"/>
      <c r="FAS156" s="250"/>
      <c r="FAT156" s="250"/>
      <c r="FAU156" s="250"/>
      <c r="FAV156" s="250"/>
      <c r="FAW156" s="250"/>
      <c r="FAX156" s="250"/>
      <c r="FAY156" s="250"/>
      <c r="FAZ156" s="250"/>
      <c r="FBA156" s="250"/>
      <c r="FBB156" s="250"/>
      <c r="FBC156" s="250"/>
      <c r="FBD156" s="250"/>
      <c r="FBE156" s="250"/>
      <c r="FBF156" s="250"/>
      <c r="FBG156" s="250"/>
      <c r="FBH156" s="250"/>
      <c r="FBI156" s="250"/>
      <c r="FBJ156" s="250"/>
      <c r="FBK156" s="250"/>
      <c r="FBL156" s="250"/>
      <c r="FBM156" s="250"/>
      <c r="FBN156" s="250"/>
      <c r="FBO156" s="250"/>
      <c r="FBP156" s="250"/>
      <c r="FBQ156" s="250"/>
      <c r="FBR156" s="250"/>
      <c r="FBS156" s="250"/>
      <c r="FBT156" s="250"/>
      <c r="FBU156" s="250"/>
      <c r="FBV156" s="250"/>
      <c r="FBW156" s="250"/>
      <c r="FBX156" s="250"/>
      <c r="FBY156" s="250"/>
      <c r="FBZ156" s="250"/>
      <c r="FCA156" s="250"/>
      <c r="FCB156" s="250"/>
      <c r="FCC156" s="250"/>
      <c r="FCD156" s="250"/>
      <c r="FCE156" s="250"/>
      <c r="FCF156" s="250"/>
      <c r="FCG156" s="250"/>
      <c r="FCH156" s="250"/>
      <c r="FCI156" s="250"/>
      <c r="FCJ156" s="250"/>
      <c r="FCK156" s="250"/>
      <c r="FCL156" s="250"/>
      <c r="FCM156" s="250"/>
      <c r="FCN156" s="250"/>
      <c r="FCO156" s="250"/>
      <c r="FCP156" s="250"/>
      <c r="FCQ156" s="250"/>
      <c r="FCR156" s="250"/>
      <c r="FCS156" s="250"/>
      <c r="FCT156" s="250"/>
      <c r="FCU156" s="250"/>
      <c r="FCV156" s="250"/>
      <c r="FCW156" s="250"/>
      <c r="FCX156" s="250"/>
      <c r="FCY156" s="250"/>
      <c r="FCZ156" s="250"/>
      <c r="FDA156" s="250"/>
      <c r="FDB156" s="250"/>
      <c r="FDC156" s="250"/>
      <c r="FDD156" s="250"/>
      <c r="FDE156" s="250"/>
      <c r="FDF156" s="250"/>
      <c r="FDG156" s="250"/>
      <c r="FDH156" s="250"/>
      <c r="FDI156" s="250"/>
      <c r="FDJ156" s="250"/>
      <c r="FDK156" s="250"/>
      <c r="FDL156" s="250"/>
      <c r="FDM156" s="250"/>
      <c r="FDN156" s="250"/>
      <c r="FDO156" s="250"/>
      <c r="FDP156" s="250"/>
      <c r="FDQ156" s="250"/>
      <c r="FDR156" s="250"/>
      <c r="FDS156" s="250"/>
      <c r="FDT156" s="250"/>
      <c r="FDU156" s="250"/>
      <c r="FDV156" s="250"/>
      <c r="FDW156" s="250"/>
      <c r="FDX156" s="250"/>
      <c r="FDY156" s="250"/>
      <c r="FDZ156" s="250"/>
      <c r="FEA156" s="250"/>
      <c r="FEB156" s="250"/>
      <c r="FEC156" s="250"/>
      <c r="FED156" s="250"/>
      <c r="FEE156" s="250"/>
      <c r="FEF156" s="250"/>
      <c r="FEG156" s="250"/>
      <c r="FEH156" s="250"/>
      <c r="FEI156" s="250"/>
      <c r="FEJ156" s="250"/>
      <c r="FEK156" s="250"/>
      <c r="FEL156" s="250"/>
      <c r="FEM156" s="250"/>
      <c r="FEN156" s="250"/>
      <c r="FEO156" s="250"/>
      <c r="FEP156" s="250"/>
      <c r="FEQ156" s="250"/>
      <c r="FER156" s="250"/>
      <c r="FES156" s="250"/>
      <c r="FET156" s="250"/>
      <c r="FEU156" s="250"/>
      <c r="FEV156" s="250"/>
      <c r="FEW156" s="250"/>
      <c r="FEX156" s="250"/>
      <c r="FEY156" s="250"/>
      <c r="FEZ156" s="250"/>
      <c r="FFA156" s="250"/>
      <c r="FFB156" s="250"/>
      <c r="FFC156" s="250"/>
      <c r="FFD156" s="250"/>
      <c r="FFE156" s="250"/>
      <c r="FFF156" s="250"/>
      <c r="FFG156" s="250"/>
      <c r="FFH156" s="250"/>
      <c r="FFI156" s="250"/>
      <c r="FFJ156" s="250"/>
      <c r="FFK156" s="250"/>
      <c r="FFL156" s="250"/>
      <c r="FFM156" s="250"/>
      <c r="FFN156" s="250"/>
      <c r="FFO156" s="250"/>
      <c r="FFP156" s="250"/>
      <c r="FFQ156" s="250"/>
      <c r="FFR156" s="250"/>
      <c r="FFS156" s="250"/>
      <c r="FFT156" s="250"/>
      <c r="FFU156" s="250"/>
      <c r="FFV156" s="250"/>
      <c r="FFW156" s="250"/>
      <c r="FFX156" s="250"/>
      <c r="FFY156" s="250"/>
      <c r="FFZ156" s="250"/>
      <c r="FGA156" s="250"/>
      <c r="FGB156" s="250"/>
      <c r="FGC156" s="250"/>
      <c r="FGD156" s="250"/>
      <c r="FGE156" s="250"/>
      <c r="FGF156" s="250"/>
      <c r="FGG156" s="250"/>
      <c r="FGH156" s="250"/>
      <c r="FGI156" s="250"/>
      <c r="FGJ156" s="250"/>
      <c r="FGK156" s="250"/>
      <c r="FGL156" s="250"/>
      <c r="FGM156" s="250"/>
      <c r="FGN156" s="250"/>
      <c r="FGO156" s="250"/>
      <c r="FGP156" s="250"/>
      <c r="FGQ156" s="250"/>
      <c r="FGR156" s="250"/>
      <c r="FGS156" s="250"/>
      <c r="FGT156" s="250"/>
      <c r="FGU156" s="250"/>
      <c r="FGV156" s="250"/>
      <c r="FGW156" s="250"/>
      <c r="FGX156" s="250"/>
      <c r="FGY156" s="250"/>
      <c r="FGZ156" s="250"/>
      <c r="FHA156" s="250"/>
      <c r="FHB156" s="250"/>
      <c r="FHC156" s="250"/>
      <c r="FHD156" s="250"/>
      <c r="FHE156" s="250"/>
      <c r="FHF156" s="250"/>
      <c r="FHG156" s="250"/>
      <c r="FHH156" s="250"/>
      <c r="FHI156" s="250"/>
      <c r="FHJ156" s="250"/>
      <c r="FHK156" s="250"/>
      <c r="FHL156" s="250"/>
      <c r="FHM156" s="250"/>
      <c r="FHN156" s="250"/>
      <c r="FHO156" s="250"/>
      <c r="FHP156" s="250"/>
      <c r="FHQ156" s="250"/>
      <c r="FHR156" s="250"/>
      <c r="FHS156" s="250"/>
      <c r="FHT156" s="250"/>
      <c r="FHU156" s="250"/>
      <c r="FHV156" s="250"/>
      <c r="FHW156" s="250"/>
      <c r="FHX156" s="250"/>
      <c r="FHY156" s="250"/>
      <c r="FHZ156" s="250"/>
      <c r="FIA156" s="250"/>
      <c r="FIB156" s="250"/>
      <c r="FIC156" s="250"/>
      <c r="FID156" s="250"/>
      <c r="FIE156" s="250"/>
      <c r="FIF156" s="250"/>
      <c r="FIG156" s="250"/>
      <c r="FIH156" s="250"/>
      <c r="FII156" s="250"/>
      <c r="FIJ156" s="250"/>
      <c r="FIK156" s="250"/>
      <c r="FIL156" s="250"/>
      <c r="FIM156" s="250"/>
      <c r="FIN156" s="250"/>
      <c r="FIO156" s="250"/>
      <c r="FIP156" s="250"/>
      <c r="FIQ156" s="250"/>
      <c r="FIR156" s="250"/>
      <c r="FIS156" s="250"/>
      <c r="FIT156" s="250"/>
      <c r="FIU156" s="250"/>
      <c r="FIV156" s="250"/>
      <c r="FIW156" s="250"/>
      <c r="FIX156" s="250"/>
      <c r="FIY156" s="250"/>
      <c r="FIZ156" s="250"/>
      <c r="FJA156" s="250"/>
      <c r="FJB156" s="250"/>
      <c r="FJC156" s="250"/>
      <c r="FJD156" s="250"/>
      <c r="FJE156" s="250"/>
      <c r="FJF156" s="250"/>
      <c r="FJG156" s="250"/>
      <c r="FJH156" s="250"/>
      <c r="FJI156" s="250"/>
      <c r="FJJ156" s="250"/>
      <c r="FJK156" s="250"/>
      <c r="FJL156" s="250"/>
      <c r="FJM156" s="250"/>
      <c r="FJN156" s="250"/>
      <c r="FJO156" s="250"/>
      <c r="FJP156" s="250"/>
      <c r="FJQ156" s="250"/>
      <c r="FJR156" s="250"/>
      <c r="FJS156" s="250"/>
      <c r="FJT156" s="250"/>
      <c r="FJU156" s="250"/>
      <c r="FJV156" s="250"/>
      <c r="FJW156" s="250"/>
      <c r="FJX156" s="250"/>
      <c r="FJY156" s="250"/>
      <c r="FJZ156" s="250"/>
      <c r="FKA156" s="250"/>
      <c r="FKB156" s="250"/>
      <c r="FKC156" s="250"/>
      <c r="FKD156" s="250"/>
      <c r="FKE156" s="250"/>
      <c r="FKF156" s="250"/>
      <c r="FKG156" s="250"/>
      <c r="FKH156" s="250"/>
      <c r="FKI156" s="250"/>
      <c r="FKJ156" s="250"/>
      <c r="FKK156" s="250"/>
      <c r="FKL156" s="250"/>
      <c r="FKM156" s="250"/>
      <c r="FKN156" s="250"/>
      <c r="FKO156" s="250"/>
      <c r="FKP156" s="250"/>
      <c r="FKQ156" s="250"/>
      <c r="FKR156" s="250"/>
      <c r="FKS156" s="250"/>
      <c r="FKT156" s="250"/>
      <c r="FKU156" s="250"/>
      <c r="FKV156" s="250"/>
      <c r="FKW156" s="250"/>
      <c r="FKX156" s="250"/>
      <c r="FKY156" s="250"/>
      <c r="FKZ156" s="250"/>
      <c r="FLA156" s="250"/>
      <c r="FLB156" s="250"/>
      <c r="FLC156" s="250"/>
      <c r="FLD156" s="250"/>
      <c r="FLE156" s="250"/>
      <c r="FLF156" s="250"/>
      <c r="FLG156" s="250"/>
      <c r="FLH156" s="250"/>
      <c r="FLI156" s="250"/>
      <c r="FLJ156" s="250"/>
      <c r="FLK156" s="250"/>
      <c r="FLL156" s="250"/>
      <c r="FLM156" s="250"/>
      <c r="FLN156" s="250"/>
      <c r="FLO156" s="250"/>
      <c r="FLP156" s="250"/>
      <c r="FLQ156" s="250"/>
      <c r="FLR156" s="250"/>
      <c r="FLS156" s="250"/>
      <c r="FLT156" s="250"/>
      <c r="FLU156" s="250"/>
      <c r="FLV156" s="250"/>
      <c r="FLW156" s="250"/>
      <c r="FLX156" s="250"/>
      <c r="FLY156" s="250"/>
      <c r="FLZ156" s="250"/>
      <c r="FMA156" s="250"/>
      <c r="FMB156" s="250"/>
      <c r="FMC156" s="250"/>
      <c r="FMD156" s="250"/>
      <c r="FME156" s="250"/>
      <c r="FMF156" s="250"/>
      <c r="FMG156" s="250"/>
      <c r="FMH156" s="250"/>
      <c r="FMI156" s="250"/>
      <c r="FMJ156" s="250"/>
      <c r="FMK156" s="250"/>
      <c r="FML156" s="250"/>
      <c r="FMM156" s="250"/>
      <c r="FMN156" s="250"/>
      <c r="FMO156" s="250"/>
      <c r="FMP156" s="250"/>
      <c r="FMQ156" s="250"/>
      <c r="FMR156" s="250"/>
      <c r="FMS156" s="250"/>
      <c r="FMT156" s="250"/>
      <c r="FMU156" s="250"/>
      <c r="FMV156" s="250"/>
      <c r="FMW156" s="250"/>
      <c r="FMX156" s="250"/>
      <c r="FMY156" s="250"/>
      <c r="FMZ156" s="250"/>
      <c r="FNA156" s="250"/>
      <c r="FNB156" s="250"/>
      <c r="FNC156" s="250"/>
      <c r="FND156" s="250"/>
      <c r="FNE156" s="250"/>
      <c r="FNF156" s="250"/>
      <c r="FNG156" s="250"/>
      <c r="FNH156" s="250"/>
      <c r="FNI156" s="250"/>
      <c r="FNJ156" s="250"/>
      <c r="FNK156" s="250"/>
      <c r="FNL156" s="250"/>
      <c r="FNM156" s="250"/>
      <c r="FNN156" s="250"/>
      <c r="FNO156" s="250"/>
      <c r="FNP156" s="250"/>
      <c r="FNQ156" s="250"/>
      <c r="FNR156" s="250"/>
      <c r="FNS156" s="250"/>
      <c r="FNT156" s="250"/>
      <c r="FNU156" s="250"/>
      <c r="FNV156" s="250"/>
      <c r="FNW156" s="250"/>
      <c r="FNX156" s="250"/>
      <c r="FNY156" s="250"/>
      <c r="FNZ156" s="250"/>
      <c r="FOA156" s="250"/>
      <c r="FOB156" s="250"/>
      <c r="FOC156" s="250"/>
      <c r="FOD156" s="250"/>
      <c r="FOE156" s="250"/>
      <c r="FOF156" s="250"/>
      <c r="FOG156" s="250"/>
      <c r="FOH156" s="250"/>
      <c r="FOI156" s="250"/>
      <c r="FOJ156" s="250"/>
      <c r="FOK156" s="250"/>
      <c r="FOL156" s="250"/>
      <c r="FOM156" s="250"/>
      <c r="FON156" s="250"/>
      <c r="FOO156" s="250"/>
      <c r="FOP156" s="250"/>
      <c r="FOQ156" s="250"/>
      <c r="FOR156" s="250"/>
      <c r="FOS156" s="250"/>
      <c r="FOT156" s="250"/>
      <c r="FOU156" s="250"/>
      <c r="FOV156" s="250"/>
      <c r="FOW156" s="250"/>
      <c r="FOX156" s="250"/>
      <c r="FOY156" s="250"/>
      <c r="FOZ156" s="250"/>
      <c r="FPA156" s="250"/>
      <c r="FPB156" s="250"/>
      <c r="FPC156" s="250"/>
      <c r="FPD156" s="250"/>
      <c r="FPE156" s="250"/>
      <c r="FPF156" s="250"/>
      <c r="FPG156" s="250"/>
      <c r="FPH156" s="250"/>
      <c r="FPI156" s="250"/>
      <c r="FPJ156" s="250"/>
      <c r="FPK156" s="250"/>
      <c r="FPL156" s="250"/>
      <c r="FPM156" s="250"/>
      <c r="FPN156" s="250"/>
      <c r="FPO156" s="250"/>
      <c r="FPP156" s="250"/>
      <c r="FPQ156" s="250"/>
      <c r="FPR156" s="250"/>
      <c r="FPS156" s="250"/>
      <c r="FPT156" s="250"/>
      <c r="FPU156" s="250"/>
      <c r="FPV156" s="250"/>
      <c r="FPW156" s="250"/>
      <c r="FPX156" s="250"/>
      <c r="FPY156" s="250"/>
      <c r="FPZ156" s="250"/>
      <c r="FQA156" s="250"/>
      <c r="FQB156" s="250"/>
      <c r="FQC156" s="250"/>
      <c r="FQD156" s="250"/>
      <c r="FQE156" s="250"/>
      <c r="FQF156" s="250"/>
      <c r="FQG156" s="250"/>
      <c r="FQH156" s="250"/>
      <c r="FQI156" s="250"/>
      <c r="FQJ156" s="250"/>
      <c r="FQK156" s="250"/>
      <c r="FQL156" s="250"/>
      <c r="FQM156" s="250"/>
      <c r="FQN156" s="250"/>
      <c r="FQO156" s="250"/>
      <c r="FQP156" s="250"/>
      <c r="FQQ156" s="250"/>
      <c r="FQR156" s="250"/>
      <c r="FQS156" s="250"/>
      <c r="FQT156" s="250"/>
      <c r="FQU156" s="250"/>
      <c r="FQV156" s="250"/>
      <c r="FQW156" s="250"/>
      <c r="FQX156" s="250"/>
      <c r="FQY156" s="250"/>
      <c r="FQZ156" s="250"/>
      <c r="FRA156" s="250"/>
      <c r="FRB156" s="250"/>
      <c r="FRC156" s="250"/>
      <c r="FRD156" s="250"/>
      <c r="FRE156" s="250"/>
      <c r="FRF156" s="250"/>
      <c r="FRG156" s="250"/>
      <c r="FRH156" s="250"/>
      <c r="FRI156" s="250"/>
      <c r="FRJ156" s="250"/>
      <c r="FRK156" s="250"/>
      <c r="FRL156" s="250"/>
      <c r="FRM156" s="250"/>
      <c r="FRN156" s="250"/>
      <c r="FRO156" s="250"/>
      <c r="FRP156" s="250"/>
      <c r="FRQ156" s="250"/>
      <c r="FRR156" s="250"/>
      <c r="FRS156" s="250"/>
      <c r="FRT156" s="250"/>
      <c r="FRU156" s="250"/>
      <c r="FRV156" s="250"/>
      <c r="FRW156" s="250"/>
      <c r="FRX156" s="250"/>
      <c r="FRY156" s="250"/>
      <c r="FRZ156" s="250"/>
      <c r="FSA156" s="250"/>
      <c r="FSB156" s="250"/>
      <c r="FSC156" s="250"/>
      <c r="FSD156" s="250"/>
      <c r="FSE156" s="250"/>
      <c r="FSF156" s="250"/>
      <c r="FSG156" s="250"/>
      <c r="FSH156" s="250"/>
      <c r="FSI156" s="250"/>
      <c r="FSJ156" s="250"/>
      <c r="FSK156" s="250"/>
      <c r="FSL156" s="250"/>
      <c r="FSM156" s="250"/>
      <c r="FSN156" s="250"/>
      <c r="FSO156" s="250"/>
      <c r="FSP156" s="250"/>
      <c r="FSQ156" s="250"/>
      <c r="FSR156" s="250"/>
      <c r="FSS156" s="250"/>
      <c r="FST156" s="250"/>
      <c r="FSU156" s="250"/>
      <c r="FSV156" s="250"/>
      <c r="FSW156" s="250"/>
      <c r="FSX156" s="250"/>
      <c r="FSY156" s="250"/>
      <c r="FSZ156" s="250"/>
      <c r="FTA156" s="250"/>
      <c r="FTB156" s="250"/>
      <c r="FTC156" s="250"/>
      <c r="FTD156" s="250"/>
      <c r="FTE156" s="250"/>
      <c r="FTF156" s="250"/>
      <c r="FTG156" s="250"/>
      <c r="FTH156" s="250"/>
      <c r="FTI156" s="250"/>
      <c r="FTJ156" s="250"/>
      <c r="FTK156" s="250"/>
      <c r="FTL156" s="250"/>
      <c r="FTM156" s="250"/>
      <c r="FTN156" s="250"/>
      <c r="FTO156" s="250"/>
      <c r="FTP156" s="250"/>
      <c r="FTQ156" s="250"/>
      <c r="FTR156" s="250"/>
      <c r="FTS156" s="250"/>
      <c r="FTT156" s="250"/>
      <c r="FTU156" s="250"/>
      <c r="FTV156" s="250"/>
      <c r="FTW156" s="250"/>
      <c r="FTX156" s="250"/>
      <c r="FTY156" s="250"/>
      <c r="FTZ156" s="250"/>
      <c r="FUA156" s="250"/>
      <c r="FUB156" s="250"/>
      <c r="FUC156" s="250"/>
      <c r="FUD156" s="250"/>
      <c r="FUE156" s="250"/>
      <c r="FUF156" s="250"/>
      <c r="FUG156" s="250"/>
      <c r="FUH156" s="250"/>
      <c r="FUI156" s="250"/>
      <c r="FUJ156" s="250"/>
      <c r="FUK156" s="250"/>
      <c r="FUL156" s="250"/>
      <c r="FUM156" s="250"/>
      <c r="FUN156" s="250"/>
      <c r="FUO156" s="250"/>
      <c r="FUP156" s="250"/>
      <c r="FUQ156" s="250"/>
      <c r="FUR156" s="250"/>
      <c r="FUS156" s="250"/>
      <c r="FUT156" s="250"/>
      <c r="FUU156" s="250"/>
      <c r="FUV156" s="250"/>
      <c r="FUW156" s="250"/>
      <c r="FUX156" s="250"/>
      <c r="FUY156" s="250"/>
      <c r="FUZ156" s="250"/>
      <c r="FVA156" s="250"/>
      <c r="FVB156" s="250"/>
      <c r="FVC156" s="250"/>
      <c r="FVD156" s="250"/>
      <c r="FVE156" s="250"/>
      <c r="FVF156" s="250"/>
      <c r="FVG156" s="250"/>
      <c r="FVH156" s="250"/>
      <c r="FVI156" s="250"/>
      <c r="FVJ156" s="250"/>
      <c r="FVK156" s="250"/>
      <c r="FVL156" s="250"/>
      <c r="FVM156" s="250"/>
      <c r="FVN156" s="250"/>
      <c r="FVO156" s="250"/>
      <c r="FVP156" s="250"/>
      <c r="FVQ156" s="250"/>
      <c r="FVR156" s="250"/>
      <c r="FVS156" s="250"/>
      <c r="FVT156" s="250"/>
      <c r="FVU156" s="250"/>
      <c r="FVV156" s="250"/>
      <c r="FVW156" s="250"/>
      <c r="FVX156" s="250"/>
      <c r="FVY156" s="250"/>
      <c r="FVZ156" s="250"/>
      <c r="FWA156" s="250"/>
      <c r="FWB156" s="250"/>
      <c r="FWC156" s="250"/>
      <c r="FWD156" s="250"/>
      <c r="FWE156" s="250"/>
      <c r="FWF156" s="250"/>
      <c r="FWG156" s="250"/>
      <c r="FWH156" s="250"/>
      <c r="FWI156" s="250"/>
      <c r="FWJ156" s="250"/>
      <c r="FWK156" s="250"/>
      <c r="FWL156" s="250"/>
      <c r="FWM156" s="250"/>
      <c r="FWN156" s="250"/>
      <c r="FWO156" s="250"/>
      <c r="FWP156" s="250"/>
      <c r="FWQ156" s="250"/>
      <c r="FWR156" s="250"/>
      <c r="FWS156" s="250"/>
      <c r="FWT156" s="250"/>
      <c r="FWU156" s="250"/>
      <c r="FWV156" s="250"/>
      <c r="FWW156" s="250"/>
      <c r="FWX156" s="250"/>
      <c r="FWY156" s="250"/>
      <c r="FWZ156" s="250"/>
      <c r="FXA156" s="250"/>
      <c r="FXB156" s="250"/>
      <c r="FXC156" s="250"/>
      <c r="FXD156" s="250"/>
      <c r="FXE156" s="250"/>
      <c r="FXF156" s="250"/>
      <c r="FXG156" s="250"/>
      <c r="FXH156" s="250"/>
      <c r="FXI156" s="250"/>
      <c r="FXJ156" s="250"/>
      <c r="FXK156" s="250"/>
      <c r="FXL156" s="250"/>
      <c r="FXM156" s="250"/>
      <c r="FXN156" s="250"/>
      <c r="FXO156" s="250"/>
      <c r="FXP156" s="250"/>
      <c r="FXQ156" s="250"/>
      <c r="FXR156" s="250"/>
      <c r="FXS156" s="250"/>
      <c r="FXT156" s="250"/>
      <c r="FXU156" s="250"/>
      <c r="FXV156" s="250"/>
      <c r="FXW156" s="250"/>
      <c r="FXX156" s="250"/>
      <c r="FXY156" s="250"/>
      <c r="FXZ156" s="250"/>
      <c r="FYA156" s="250"/>
      <c r="FYB156" s="250"/>
      <c r="FYC156" s="250"/>
      <c r="FYD156" s="250"/>
      <c r="FYE156" s="250"/>
      <c r="FYF156" s="250"/>
      <c r="FYG156" s="250"/>
      <c r="FYH156" s="250"/>
      <c r="FYI156" s="250"/>
      <c r="FYJ156" s="250"/>
      <c r="FYK156" s="250"/>
      <c r="FYL156" s="250"/>
      <c r="FYM156" s="250"/>
      <c r="FYN156" s="250"/>
      <c r="FYO156" s="250"/>
      <c r="FYP156" s="250"/>
      <c r="FYQ156" s="250"/>
      <c r="FYR156" s="250"/>
      <c r="FYS156" s="250"/>
      <c r="FYT156" s="250"/>
      <c r="FYU156" s="250"/>
      <c r="FYV156" s="250"/>
      <c r="FYW156" s="250"/>
      <c r="FYX156" s="250"/>
      <c r="FYY156" s="250"/>
      <c r="FYZ156" s="250"/>
      <c r="FZA156" s="250"/>
      <c r="FZB156" s="250"/>
      <c r="FZC156" s="250"/>
      <c r="FZD156" s="250"/>
      <c r="FZE156" s="250"/>
      <c r="FZF156" s="250"/>
      <c r="FZG156" s="250"/>
      <c r="FZH156" s="250"/>
      <c r="FZI156" s="250"/>
      <c r="FZJ156" s="250"/>
      <c r="FZK156" s="250"/>
      <c r="FZL156" s="250"/>
      <c r="FZM156" s="250"/>
      <c r="FZN156" s="250"/>
      <c r="FZO156" s="250"/>
      <c r="FZP156" s="250"/>
      <c r="FZQ156" s="250"/>
      <c r="FZR156" s="250"/>
      <c r="FZS156" s="250"/>
      <c r="FZT156" s="250"/>
      <c r="FZU156" s="250"/>
      <c r="FZV156" s="250"/>
      <c r="FZW156" s="250"/>
      <c r="FZX156" s="250"/>
      <c r="FZY156" s="250"/>
      <c r="FZZ156" s="250"/>
      <c r="GAA156" s="250"/>
      <c r="GAB156" s="250"/>
      <c r="GAC156" s="250"/>
      <c r="GAD156" s="250"/>
      <c r="GAE156" s="250"/>
      <c r="GAF156" s="250"/>
      <c r="GAG156" s="250"/>
      <c r="GAH156" s="250"/>
      <c r="GAI156" s="250"/>
      <c r="GAJ156" s="250"/>
      <c r="GAK156" s="250"/>
      <c r="GAL156" s="250"/>
      <c r="GAM156" s="250"/>
      <c r="GAN156" s="250"/>
      <c r="GAO156" s="250"/>
      <c r="GAP156" s="250"/>
      <c r="GAQ156" s="250"/>
      <c r="GAR156" s="250"/>
      <c r="GAS156" s="250"/>
      <c r="GAT156" s="250"/>
      <c r="GAU156" s="250"/>
      <c r="GAV156" s="250"/>
      <c r="GAW156" s="250"/>
      <c r="GAX156" s="250"/>
      <c r="GAY156" s="250"/>
      <c r="GAZ156" s="250"/>
      <c r="GBA156" s="250"/>
      <c r="GBB156" s="250"/>
      <c r="GBC156" s="250"/>
      <c r="GBD156" s="250"/>
      <c r="GBE156" s="250"/>
      <c r="GBF156" s="250"/>
      <c r="GBG156" s="250"/>
      <c r="GBH156" s="250"/>
      <c r="GBI156" s="250"/>
      <c r="GBJ156" s="250"/>
      <c r="GBK156" s="250"/>
      <c r="GBL156" s="250"/>
      <c r="GBM156" s="250"/>
      <c r="GBN156" s="250"/>
      <c r="GBO156" s="250"/>
      <c r="GBP156" s="250"/>
      <c r="GBQ156" s="250"/>
      <c r="GBR156" s="250"/>
      <c r="GBS156" s="250"/>
      <c r="GBT156" s="250"/>
      <c r="GBU156" s="250"/>
      <c r="GBV156" s="250"/>
      <c r="GBW156" s="250"/>
      <c r="GBX156" s="250"/>
      <c r="GBY156" s="250"/>
      <c r="GBZ156" s="250"/>
      <c r="GCA156" s="250"/>
      <c r="GCB156" s="250"/>
      <c r="GCC156" s="250"/>
      <c r="GCD156" s="250"/>
      <c r="GCE156" s="250"/>
      <c r="GCF156" s="250"/>
      <c r="GCG156" s="250"/>
      <c r="GCH156" s="250"/>
      <c r="GCI156" s="250"/>
      <c r="GCJ156" s="250"/>
      <c r="GCK156" s="250"/>
      <c r="GCL156" s="250"/>
      <c r="GCM156" s="250"/>
      <c r="GCN156" s="250"/>
      <c r="GCO156" s="250"/>
      <c r="GCP156" s="250"/>
      <c r="GCQ156" s="250"/>
      <c r="GCR156" s="250"/>
      <c r="GCS156" s="250"/>
      <c r="GCT156" s="250"/>
      <c r="GCU156" s="250"/>
      <c r="GCV156" s="250"/>
      <c r="GCW156" s="250"/>
      <c r="GCX156" s="250"/>
      <c r="GCY156" s="250"/>
      <c r="GCZ156" s="250"/>
      <c r="GDA156" s="250"/>
      <c r="GDB156" s="250"/>
      <c r="GDC156" s="250"/>
      <c r="GDD156" s="250"/>
      <c r="GDE156" s="250"/>
      <c r="GDF156" s="250"/>
      <c r="GDG156" s="250"/>
      <c r="GDH156" s="250"/>
      <c r="GDI156" s="250"/>
      <c r="GDJ156" s="250"/>
      <c r="GDK156" s="250"/>
      <c r="GDL156" s="250"/>
      <c r="GDM156" s="250"/>
      <c r="GDN156" s="250"/>
      <c r="GDO156" s="250"/>
      <c r="GDP156" s="250"/>
      <c r="GDQ156" s="250"/>
      <c r="GDR156" s="250"/>
      <c r="GDS156" s="250"/>
      <c r="GDT156" s="250"/>
      <c r="GDU156" s="250"/>
      <c r="GDV156" s="250"/>
      <c r="GDW156" s="250"/>
      <c r="GDX156" s="250"/>
      <c r="GDY156" s="250"/>
      <c r="GDZ156" s="250"/>
      <c r="GEA156" s="250"/>
      <c r="GEB156" s="250"/>
      <c r="GEC156" s="250"/>
      <c r="GED156" s="250"/>
      <c r="GEE156" s="250"/>
      <c r="GEF156" s="250"/>
      <c r="GEG156" s="250"/>
      <c r="GEH156" s="250"/>
      <c r="GEI156" s="250"/>
      <c r="GEJ156" s="250"/>
      <c r="GEK156" s="250"/>
      <c r="GEL156" s="250"/>
      <c r="GEM156" s="250"/>
      <c r="GEN156" s="250"/>
      <c r="GEO156" s="250"/>
      <c r="GEP156" s="250"/>
      <c r="GEQ156" s="250"/>
      <c r="GER156" s="250"/>
      <c r="GES156" s="250"/>
      <c r="GET156" s="250"/>
      <c r="GEU156" s="250"/>
      <c r="GEV156" s="250"/>
      <c r="GEW156" s="250"/>
      <c r="GEX156" s="250"/>
      <c r="GEY156" s="250"/>
      <c r="GEZ156" s="250"/>
      <c r="GFA156" s="250"/>
      <c r="GFB156" s="250"/>
      <c r="GFC156" s="250"/>
      <c r="GFD156" s="250"/>
      <c r="GFE156" s="250"/>
      <c r="GFF156" s="250"/>
      <c r="GFG156" s="250"/>
      <c r="GFH156" s="250"/>
      <c r="GFI156" s="250"/>
      <c r="GFJ156" s="250"/>
      <c r="GFK156" s="250"/>
      <c r="GFL156" s="250"/>
      <c r="GFM156" s="250"/>
      <c r="GFN156" s="250"/>
      <c r="GFO156" s="250"/>
      <c r="GFP156" s="250"/>
      <c r="GFQ156" s="250"/>
      <c r="GFR156" s="250"/>
      <c r="GFS156" s="250"/>
      <c r="GFT156" s="250"/>
      <c r="GFU156" s="250"/>
      <c r="GFV156" s="250"/>
      <c r="GFW156" s="250"/>
      <c r="GFX156" s="250"/>
      <c r="GFY156" s="250"/>
      <c r="GFZ156" s="250"/>
      <c r="GGA156" s="250"/>
      <c r="GGB156" s="250"/>
      <c r="GGC156" s="250"/>
      <c r="GGD156" s="250"/>
      <c r="GGE156" s="250"/>
      <c r="GGF156" s="250"/>
      <c r="GGG156" s="250"/>
      <c r="GGH156" s="250"/>
      <c r="GGI156" s="250"/>
      <c r="GGJ156" s="250"/>
      <c r="GGK156" s="250"/>
      <c r="GGL156" s="250"/>
      <c r="GGM156" s="250"/>
      <c r="GGN156" s="250"/>
      <c r="GGO156" s="250"/>
      <c r="GGP156" s="250"/>
      <c r="GGQ156" s="250"/>
      <c r="GGR156" s="250"/>
      <c r="GGS156" s="250"/>
      <c r="GGT156" s="250"/>
      <c r="GGU156" s="250"/>
      <c r="GGV156" s="250"/>
      <c r="GGW156" s="250"/>
      <c r="GGX156" s="250"/>
      <c r="GGY156" s="250"/>
      <c r="GGZ156" s="250"/>
      <c r="GHA156" s="250"/>
      <c r="GHB156" s="250"/>
      <c r="GHC156" s="250"/>
      <c r="GHD156" s="250"/>
      <c r="GHE156" s="250"/>
      <c r="GHF156" s="250"/>
      <c r="GHG156" s="250"/>
      <c r="GHH156" s="250"/>
      <c r="GHI156" s="250"/>
      <c r="GHJ156" s="250"/>
      <c r="GHK156" s="250"/>
      <c r="GHL156" s="250"/>
      <c r="GHM156" s="250"/>
      <c r="GHN156" s="250"/>
      <c r="GHO156" s="250"/>
      <c r="GHP156" s="250"/>
      <c r="GHQ156" s="250"/>
      <c r="GHR156" s="250"/>
      <c r="GHS156" s="250"/>
      <c r="GHT156" s="250"/>
      <c r="GHU156" s="250"/>
      <c r="GHV156" s="250"/>
      <c r="GHW156" s="250"/>
      <c r="GHX156" s="250"/>
      <c r="GHY156" s="250"/>
      <c r="GHZ156" s="250"/>
      <c r="GIA156" s="250"/>
      <c r="GIB156" s="250"/>
      <c r="GIC156" s="250"/>
      <c r="GID156" s="250"/>
      <c r="GIE156" s="250"/>
      <c r="GIF156" s="250"/>
      <c r="GIG156" s="250"/>
      <c r="GIH156" s="250"/>
      <c r="GII156" s="250"/>
      <c r="GIJ156" s="250"/>
      <c r="GIK156" s="250"/>
      <c r="GIL156" s="250"/>
      <c r="GIM156" s="250"/>
      <c r="GIN156" s="250"/>
      <c r="GIO156" s="250"/>
      <c r="GIP156" s="250"/>
      <c r="GIQ156" s="250"/>
      <c r="GIR156" s="250"/>
      <c r="GIS156" s="250"/>
      <c r="GIT156" s="250"/>
      <c r="GIU156" s="250"/>
      <c r="GIV156" s="250"/>
      <c r="GIW156" s="250"/>
      <c r="GIX156" s="250"/>
      <c r="GIY156" s="250"/>
      <c r="GIZ156" s="250"/>
      <c r="GJA156" s="250"/>
      <c r="GJB156" s="250"/>
      <c r="GJC156" s="250"/>
      <c r="GJD156" s="250"/>
      <c r="GJE156" s="250"/>
      <c r="GJF156" s="250"/>
      <c r="GJG156" s="250"/>
      <c r="GJH156" s="250"/>
      <c r="GJI156" s="250"/>
      <c r="GJJ156" s="250"/>
      <c r="GJK156" s="250"/>
      <c r="GJL156" s="250"/>
      <c r="GJM156" s="250"/>
      <c r="GJN156" s="250"/>
      <c r="GJO156" s="250"/>
      <c r="GJP156" s="250"/>
      <c r="GJQ156" s="250"/>
      <c r="GJR156" s="250"/>
      <c r="GJS156" s="250"/>
      <c r="GJT156" s="250"/>
      <c r="GJU156" s="250"/>
      <c r="GJV156" s="250"/>
      <c r="GJW156" s="250"/>
      <c r="GJX156" s="250"/>
      <c r="GJY156" s="250"/>
      <c r="GJZ156" s="250"/>
      <c r="GKA156" s="250"/>
      <c r="GKB156" s="250"/>
      <c r="GKC156" s="250"/>
      <c r="GKD156" s="250"/>
      <c r="GKE156" s="250"/>
      <c r="GKF156" s="250"/>
      <c r="GKG156" s="250"/>
      <c r="GKH156" s="250"/>
      <c r="GKI156" s="250"/>
      <c r="GKJ156" s="250"/>
      <c r="GKK156" s="250"/>
      <c r="GKL156" s="250"/>
      <c r="GKM156" s="250"/>
      <c r="GKN156" s="250"/>
      <c r="GKO156" s="250"/>
      <c r="GKP156" s="250"/>
      <c r="GKQ156" s="250"/>
      <c r="GKR156" s="250"/>
      <c r="GKS156" s="250"/>
      <c r="GKT156" s="250"/>
      <c r="GKU156" s="250"/>
      <c r="GKV156" s="250"/>
      <c r="GKW156" s="250"/>
      <c r="GKX156" s="250"/>
      <c r="GKY156" s="250"/>
      <c r="GKZ156" s="250"/>
      <c r="GLA156" s="250"/>
      <c r="GLB156" s="250"/>
      <c r="GLC156" s="250"/>
      <c r="GLD156" s="250"/>
      <c r="GLE156" s="250"/>
      <c r="GLF156" s="250"/>
      <c r="GLG156" s="250"/>
      <c r="GLH156" s="250"/>
      <c r="GLI156" s="250"/>
      <c r="GLJ156" s="250"/>
      <c r="GLK156" s="250"/>
      <c r="GLL156" s="250"/>
      <c r="GLM156" s="250"/>
      <c r="GLN156" s="250"/>
      <c r="GLO156" s="250"/>
      <c r="GLP156" s="250"/>
      <c r="GLQ156" s="250"/>
      <c r="GLR156" s="250"/>
      <c r="GLS156" s="250"/>
      <c r="GLT156" s="250"/>
      <c r="GLU156" s="250"/>
      <c r="GLV156" s="250"/>
      <c r="GLW156" s="250"/>
      <c r="GLX156" s="250"/>
      <c r="GLY156" s="250"/>
      <c r="GLZ156" s="250"/>
      <c r="GMA156" s="250"/>
      <c r="GMB156" s="250"/>
      <c r="GMC156" s="250"/>
      <c r="GMD156" s="250"/>
      <c r="GME156" s="250"/>
      <c r="GMF156" s="250"/>
      <c r="GMG156" s="250"/>
      <c r="GMH156" s="250"/>
      <c r="GMI156" s="250"/>
      <c r="GMJ156" s="250"/>
      <c r="GMK156" s="250"/>
      <c r="GML156" s="250"/>
      <c r="GMM156" s="250"/>
      <c r="GMN156" s="250"/>
      <c r="GMO156" s="250"/>
      <c r="GMP156" s="250"/>
      <c r="GMQ156" s="250"/>
      <c r="GMR156" s="250"/>
      <c r="GMS156" s="250"/>
      <c r="GMT156" s="250"/>
      <c r="GMU156" s="250"/>
      <c r="GMV156" s="250"/>
      <c r="GMW156" s="250"/>
      <c r="GMX156" s="250"/>
      <c r="GMY156" s="250"/>
      <c r="GMZ156" s="250"/>
      <c r="GNA156" s="250"/>
      <c r="GNB156" s="250"/>
      <c r="GNC156" s="250"/>
      <c r="GND156" s="250"/>
      <c r="GNE156" s="250"/>
      <c r="GNF156" s="250"/>
      <c r="GNG156" s="250"/>
      <c r="GNH156" s="250"/>
      <c r="GNI156" s="250"/>
      <c r="GNJ156" s="250"/>
      <c r="GNK156" s="250"/>
      <c r="GNL156" s="250"/>
      <c r="GNM156" s="250"/>
      <c r="GNN156" s="250"/>
      <c r="GNO156" s="250"/>
      <c r="GNP156" s="250"/>
      <c r="GNQ156" s="250"/>
      <c r="GNR156" s="250"/>
      <c r="GNS156" s="250"/>
      <c r="GNT156" s="250"/>
      <c r="GNU156" s="250"/>
      <c r="GNV156" s="250"/>
      <c r="GNW156" s="250"/>
      <c r="GNX156" s="250"/>
      <c r="GNY156" s="250"/>
      <c r="GNZ156" s="250"/>
      <c r="GOA156" s="250"/>
      <c r="GOB156" s="250"/>
      <c r="GOC156" s="250"/>
      <c r="GOD156" s="250"/>
      <c r="GOE156" s="250"/>
      <c r="GOF156" s="250"/>
      <c r="GOG156" s="250"/>
      <c r="GOH156" s="250"/>
      <c r="GOI156" s="250"/>
      <c r="GOJ156" s="250"/>
      <c r="GOK156" s="250"/>
      <c r="GOL156" s="250"/>
      <c r="GOM156" s="250"/>
      <c r="GON156" s="250"/>
      <c r="GOO156" s="250"/>
      <c r="GOP156" s="250"/>
      <c r="GOQ156" s="250"/>
      <c r="GOR156" s="250"/>
      <c r="GOS156" s="250"/>
      <c r="GOT156" s="250"/>
      <c r="GOU156" s="250"/>
      <c r="GOV156" s="250"/>
      <c r="GOW156" s="250"/>
      <c r="GOX156" s="250"/>
      <c r="GOY156" s="250"/>
      <c r="GOZ156" s="250"/>
      <c r="GPA156" s="250"/>
      <c r="GPB156" s="250"/>
      <c r="GPC156" s="250"/>
      <c r="GPD156" s="250"/>
      <c r="GPE156" s="250"/>
      <c r="GPF156" s="250"/>
      <c r="GPG156" s="250"/>
      <c r="GPH156" s="250"/>
      <c r="GPI156" s="250"/>
      <c r="GPJ156" s="250"/>
      <c r="GPK156" s="250"/>
      <c r="GPL156" s="250"/>
      <c r="GPM156" s="250"/>
      <c r="GPN156" s="250"/>
      <c r="GPO156" s="250"/>
      <c r="GPP156" s="250"/>
      <c r="GPQ156" s="250"/>
      <c r="GPR156" s="250"/>
      <c r="GPS156" s="250"/>
      <c r="GPT156" s="250"/>
      <c r="GPU156" s="250"/>
      <c r="GPV156" s="250"/>
      <c r="GPW156" s="250"/>
      <c r="GPX156" s="250"/>
      <c r="GPY156" s="250"/>
      <c r="GPZ156" s="250"/>
      <c r="GQA156" s="250"/>
      <c r="GQB156" s="250"/>
      <c r="GQC156" s="250"/>
      <c r="GQD156" s="250"/>
      <c r="GQE156" s="250"/>
      <c r="GQF156" s="250"/>
      <c r="GQG156" s="250"/>
      <c r="GQH156" s="250"/>
      <c r="GQI156" s="250"/>
      <c r="GQJ156" s="250"/>
      <c r="GQK156" s="250"/>
      <c r="GQL156" s="250"/>
      <c r="GQM156" s="250"/>
      <c r="GQN156" s="250"/>
      <c r="GQO156" s="250"/>
      <c r="GQP156" s="250"/>
      <c r="GQQ156" s="250"/>
      <c r="GQR156" s="250"/>
      <c r="GQS156" s="250"/>
      <c r="GQT156" s="250"/>
      <c r="GQU156" s="250"/>
      <c r="GQV156" s="250"/>
      <c r="GQW156" s="250"/>
      <c r="GQX156" s="250"/>
      <c r="GQY156" s="250"/>
      <c r="GQZ156" s="250"/>
      <c r="GRA156" s="250"/>
      <c r="GRB156" s="250"/>
      <c r="GRC156" s="250"/>
      <c r="GRD156" s="250"/>
      <c r="GRE156" s="250"/>
      <c r="GRF156" s="250"/>
      <c r="GRG156" s="250"/>
      <c r="GRH156" s="250"/>
      <c r="GRI156" s="250"/>
      <c r="GRJ156" s="250"/>
      <c r="GRK156" s="250"/>
      <c r="GRL156" s="250"/>
      <c r="GRM156" s="250"/>
      <c r="GRN156" s="250"/>
      <c r="GRO156" s="250"/>
      <c r="GRP156" s="250"/>
      <c r="GRQ156" s="250"/>
      <c r="GRR156" s="250"/>
      <c r="GRS156" s="250"/>
      <c r="GRT156" s="250"/>
      <c r="GRU156" s="250"/>
      <c r="GRV156" s="250"/>
      <c r="GRW156" s="250"/>
      <c r="GRX156" s="250"/>
      <c r="GRY156" s="250"/>
      <c r="GRZ156" s="250"/>
      <c r="GSA156" s="250"/>
      <c r="GSB156" s="250"/>
      <c r="GSC156" s="250"/>
      <c r="GSD156" s="250"/>
      <c r="GSE156" s="250"/>
      <c r="GSF156" s="250"/>
      <c r="GSG156" s="250"/>
      <c r="GSH156" s="250"/>
      <c r="GSI156" s="250"/>
      <c r="GSJ156" s="250"/>
      <c r="GSK156" s="250"/>
      <c r="GSL156" s="250"/>
      <c r="GSM156" s="250"/>
      <c r="GSN156" s="250"/>
      <c r="GSO156" s="250"/>
      <c r="GSP156" s="250"/>
      <c r="GSQ156" s="250"/>
      <c r="GSR156" s="250"/>
      <c r="GSS156" s="250"/>
      <c r="GST156" s="250"/>
      <c r="GSU156" s="250"/>
      <c r="GSV156" s="250"/>
      <c r="GSW156" s="250"/>
      <c r="GSX156" s="250"/>
      <c r="GSY156" s="250"/>
      <c r="GSZ156" s="250"/>
      <c r="GTA156" s="250"/>
      <c r="GTB156" s="250"/>
      <c r="GTC156" s="250"/>
      <c r="GTD156" s="250"/>
      <c r="GTE156" s="250"/>
      <c r="GTF156" s="250"/>
      <c r="GTG156" s="250"/>
      <c r="GTH156" s="250"/>
      <c r="GTI156" s="250"/>
      <c r="GTJ156" s="250"/>
      <c r="GTK156" s="250"/>
      <c r="GTL156" s="250"/>
      <c r="GTM156" s="250"/>
      <c r="GTN156" s="250"/>
      <c r="GTO156" s="250"/>
      <c r="GTP156" s="250"/>
      <c r="GTQ156" s="250"/>
      <c r="GTR156" s="250"/>
      <c r="GTS156" s="250"/>
      <c r="GTT156" s="250"/>
      <c r="GTU156" s="250"/>
      <c r="GTV156" s="250"/>
      <c r="GTW156" s="250"/>
      <c r="GTX156" s="250"/>
      <c r="GTY156" s="250"/>
      <c r="GTZ156" s="250"/>
      <c r="GUA156" s="250"/>
      <c r="GUB156" s="250"/>
      <c r="GUC156" s="250"/>
      <c r="GUD156" s="250"/>
      <c r="GUE156" s="250"/>
      <c r="GUF156" s="250"/>
      <c r="GUG156" s="250"/>
      <c r="GUH156" s="250"/>
      <c r="GUI156" s="250"/>
      <c r="GUJ156" s="250"/>
      <c r="GUK156" s="250"/>
      <c r="GUL156" s="250"/>
      <c r="GUM156" s="250"/>
      <c r="GUN156" s="250"/>
      <c r="GUO156" s="250"/>
      <c r="GUP156" s="250"/>
      <c r="GUQ156" s="250"/>
      <c r="GUR156" s="250"/>
      <c r="GUS156" s="250"/>
      <c r="GUT156" s="250"/>
      <c r="GUU156" s="250"/>
      <c r="GUV156" s="250"/>
      <c r="GUW156" s="250"/>
      <c r="GUX156" s="250"/>
      <c r="GUY156" s="250"/>
      <c r="GUZ156" s="250"/>
      <c r="GVA156" s="250"/>
      <c r="GVB156" s="250"/>
      <c r="GVC156" s="250"/>
      <c r="GVD156" s="250"/>
      <c r="GVE156" s="250"/>
      <c r="GVF156" s="250"/>
      <c r="GVG156" s="250"/>
      <c r="GVH156" s="250"/>
      <c r="GVI156" s="250"/>
      <c r="GVJ156" s="250"/>
      <c r="GVK156" s="250"/>
      <c r="GVL156" s="250"/>
      <c r="GVM156" s="250"/>
      <c r="GVN156" s="250"/>
      <c r="GVO156" s="250"/>
      <c r="GVP156" s="250"/>
      <c r="GVQ156" s="250"/>
      <c r="GVR156" s="250"/>
      <c r="GVS156" s="250"/>
      <c r="GVT156" s="250"/>
      <c r="GVU156" s="250"/>
      <c r="GVV156" s="250"/>
      <c r="GVW156" s="250"/>
      <c r="GVX156" s="250"/>
      <c r="GVY156" s="250"/>
      <c r="GVZ156" s="250"/>
      <c r="GWA156" s="250"/>
      <c r="GWB156" s="250"/>
      <c r="GWC156" s="250"/>
      <c r="GWD156" s="250"/>
      <c r="GWE156" s="250"/>
      <c r="GWF156" s="250"/>
      <c r="GWG156" s="250"/>
      <c r="GWH156" s="250"/>
      <c r="GWI156" s="250"/>
      <c r="GWJ156" s="250"/>
      <c r="GWK156" s="250"/>
      <c r="GWL156" s="250"/>
      <c r="GWM156" s="250"/>
      <c r="GWN156" s="250"/>
      <c r="GWO156" s="250"/>
      <c r="GWP156" s="250"/>
      <c r="GWQ156" s="250"/>
      <c r="GWR156" s="250"/>
      <c r="GWS156" s="250"/>
      <c r="GWT156" s="250"/>
      <c r="GWU156" s="250"/>
      <c r="GWV156" s="250"/>
      <c r="GWW156" s="250"/>
      <c r="GWX156" s="250"/>
      <c r="GWY156" s="250"/>
      <c r="GWZ156" s="250"/>
      <c r="GXA156" s="250"/>
      <c r="GXB156" s="250"/>
      <c r="GXC156" s="250"/>
      <c r="GXD156" s="250"/>
      <c r="GXE156" s="250"/>
      <c r="GXF156" s="250"/>
      <c r="GXG156" s="250"/>
      <c r="GXH156" s="250"/>
      <c r="GXI156" s="250"/>
      <c r="GXJ156" s="250"/>
      <c r="GXK156" s="250"/>
      <c r="GXL156" s="250"/>
      <c r="GXM156" s="250"/>
      <c r="GXN156" s="250"/>
      <c r="GXO156" s="250"/>
      <c r="GXP156" s="250"/>
      <c r="GXQ156" s="250"/>
      <c r="GXR156" s="250"/>
      <c r="GXS156" s="250"/>
      <c r="GXT156" s="250"/>
      <c r="GXU156" s="250"/>
      <c r="GXV156" s="250"/>
      <c r="GXW156" s="250"/>
      <c r="GXX156" s="250"/>
      <c r="GXY156" s="250"/>
      <c r="GXZ156" s="250"/>
      <c r="GYA156" s="250"/>
      <c r="GYB156" s="250"/>
      <c r="GYC156" s="250"/>
      <c r="GYD156" s="250"/>
      <c r="GYE156" s="250"/>
      <c r="GYF156" s="250"/>
      <c r="GYG156" s="250"/>
      <c r="GYH156" s="250"/>
      <c r="GYI156" s="250"/>
      <c r="GYJ156" s="250"/>
      <c r="GYK156" s="250"/>
      <c r="GYL156" s="250"/>
      <c r="GYM156" s="250"/>
      <c r="GYN156" s="250"/>
      <c r="GYO156" s="250"/>
      <c r="GYP156" s="250"/>
      <c r="GYQ156" s="250"/>
      <c r="GYR156" s="250"/>
      <c r="GYS156" s="250"/>
      <c r="GYT156" s="250"/>
      <c r="GYU156" s="250"/>
      <c r="GYV156" s="250"/>
      <c r="GYW156" s="250"/>
      <c r="GYX156" s="250"/>
      <c r="GYY156" s="250"/>
      <c r="GYZ156" s="250"/>
      <c r="GZA156" s="250"/>
      <c r="GZB156" s="250"/>
      <c r="GZC156" s="250"/>
      <c r="GZD156" s="250"/>
      <c r="GZE156" s="250"/>
      <c r="GZF156" s="250"/>
      <c r="GZG156" s="250"/>
      <c r="GZH156" s="250"/>
      <c r="GZI156" s="250"/>
      <c r="GZJ156" s="250"/>
      <c r="GZK156" s="250"/>
      <c r="GZL156" s="250"/>
      <c r="GZM156" s="250"/>
      <c r="GZN156" s="250"/>
      <c r="GZO156" s="250"/>
      <c r="GZP156" s="250"/>
      <c r="GZQ156" s="250"/>
      <c r="GZR156" s="250"/>
      <c r="GZS156" s="250"/>
      <c r="GZT156" s="250"/>
      <c r="GZU156" s="250"/>
      <c r="GZV156" s="250"/>
      <c r="GZW156" s="250"/>
      <c r="GZX156" s="250"/>
      <c r="GZY156" s="250"/>
      <c r="GZZ156" s="250"/>
      <c r="HAA156" s="250"/>
      <c r="HAB156" s="250"/>
      <c r="HAC156" s="250"/>
      <c r="HAD156" s="250"/>
      <c r="HAE156" s="250"/>
      <c r="HAF156" s="250"/>
      <c r="HAG156" s="250"/>
      <c r="HAH156" s="250"/>
      <c r="HAI156" s="250"/>
      <c r="HAJ156" s="250"/>
      <c r="HAK156" s="250"/>
      <c r="HAL156" s="250"/>
      <c r="HAM156" s="250"/>
      <c r="HAN156" s="250"/>
      <c r="HAO156" s="250"/>
      <c r="HAP156" s="250"/>
      <c r="HAQ156" s="250"/>
      <c r="HAR156" s="250"/>
      <c r="HAS156" s="250"/>
      <c r="HAT156" s="250"/>
      <c r="HAU156" s="250"/>
      <c r="HAV156" s="250"/>
      <c r="HAW156" s="250"/>
      <c r="HAX156" s="250"/>
      <c r="HAY156" s="250"/>
      <c r="HAZ156" s="250"/>
      <c r="HBA156" s="250"/>
      <c r="HBB156" s="250"/>
      <c r="HBC156" s="250"/>
      <c r="HBD156" s="250"/>
      <c r="HBE156" s="250"/>
      <c r="HBF156" s="250"/>
      <c r="HBG156" s="250"/>
      <c r="HBH156" s="250"/>
      <c r="HBI156" s="250"/>
      <c r="HBJ156" s="250"/>
      <c r="HBK156" s="250"/>
      <c r="HBL156" s="250"/>
      <c r="HBM156" s="250"/>
      <c r="HBN156" s="250"/>
      <c r="HBO156" s="250"/>
      <c r="HBP156" s="250"/>
      <c r="HBQ156" s="250"/>
      <c r="HBR156" s="250"/>
      <c r="HBS156" s="250"/>
      <c r="HBT156" s="250"/>
      <c r="HBU156" s="250"/>
      <c r="HBV156" s="250"/>
      <c r="HBW156" s="250"/>
      <c r="HBX156" s="250"/>
      <c r="HBY156" s="250"/>
      <c r="HBZ156" s="250"/>
      <c r="HCA156" s="250"/>
      <c r="HCB156" s="250"/>
      <c r="HCC156" s="250"/>
      <c r="HCD156" s="250"/>
      <c r="HCE156" s="250"/>
      <c r="HCF156" s="250"/>
      <c r="HCG156" s="250"/>
      <c r="HCH156" s="250"/>
      <c r="HCI156" s="250"/>
      <c r="HCJ156" s="250"/>
      <c r="HCK156" s="250"/>
      <c r="HCL156" s="250"/>
      <c r="HCM156" s="250"/>
      <c r="HCN156" s="250"/>
      <c r="HCO156" s="250"/>
      <c r="HCP156" s="250"/>
      <c r="HCQ156" s="250"/>
      <c r="HCR156" s="250"/>
      <c r="HCS156" s="250"/>
      <c r="HCT156" s="250"/>
      <c r="HCU156" s="250"/>
      <c r="HCV156" s="250"/>
      <c r="HCW156" s="250"/>
      <c r="HCX156" s="250"/>
      <c r="HCY156" s="250"/>
      <c r="HCZ156" s="250"/>
      <c r="HDA156" s="250"/>
      <c r="HDB156" s="250"/>
      <c r="HDC156" s="250"/>
      <c r="HDD156" s="250"/>
      <c r="HDE156" s="250"/>
      <c r="HDF156" s="250"/>
      <c r="HDG156" s="250"/>
      <c r="HDH156" s="250"/>
      <c r="HDI156" s="250"/>
      <c r="HDJ156" s="250"/>
      <c r="HDK156" s="250"/>
      <c r="HDL156" s="250"/>
      <c r="HDM156" s="250"/>
      <c r="HDN156" s="250"/>
      <c r="HDO156" s="250"/>
      <c r="HDP156" s="250"/>
      <c r="HDQ156" s="250"/>
      <c r="HDR156" s="250"/>
      <c r="HDS156" s="250"/>
      <c r="HDT156" s="250"/>
      <c r="HDU156" s="250"/>
      <c r="HDV156" s="250"/>
      <c r="HDW156" s="250"/>
      <c r="HDX156" s="250"/>
      <c r="HDY156" s="250"/>
      <c r="HDZ156" s="250"/>
      <c r="HEA156" s="250"/>
      <c r="HEB156" s="250"/>
      <c r="HEC156" s="250"/>
      <c r="HED156" s="250"/>
      <c r="HEE156" s="250"/>
      <c r="HEF156" s="250"/>
      <c r="HEG156" s="250"/>
      <c r="HEH156" s="250"/>
      <c r="HEI156" s="250"/>
      <c r="HEJ156" s="250"/>
      <c r="HEK156" s="250"/>
      <c r="HEL156" s="250"/>
      <c r="HEM156" s="250"/>
      <c r="HEN156" s="250"/>
      <c r="HEO156" s="250"/>
      <c r="HEP156" s="250"/>
      <c r="HEQ156" s="250"/>
      <c r="HER156" s="250"/>
      <c r="HES156" s="250"/>
      <c r="HET156" s="250"/>
      <c r="HEU156" s="250"/>
      <c r="HEV156" s="250"/>
      <c r="HEW156" s="250"/>
      <c r="HEX156" s="250"/>
      <c r="HEY156" s="250"/>
      <c r="HEZ156" s="250"/>
      <c r="HFA156" s="250"/>
      <c r="HFB156" s="250"/>
      <c r="HFC156" s="250"/>
      <c r="HFD156" s="250"/>
      <c r="HFE156" s="250"/>
      <c r="HFF156" s="250"/>
      <c r="HFG156" s="250"/>
      <c r="HFH156" s="250"/>
      <c r="HFI156" s="250"/>
      <c r="HFJ156" s="250"/>
      <c r="HFK156" s="250"/>
      <c r="HFL156" s="250"/>
      <c r="HFM156" s="250"/>
      <c r="HFN156" s="250"/>
      <c r="HFO156" s="250"/>
      <c r="HFP156" s="250"/>
      <c r="HFQ156" s="250"/>
      <c r="HFR156" s="250"/>
      <c r="HFS156" s="250"/>
      <c r="HFT156" s="250"/>
      <c r="HFU156" s="250"/>
      <c r="HFV156" s="250"/>
      <c r="HFW156" s="250"/>
      <c r="HFX156" s="250"/>
      <c r="HFY156" s="250"/>
      <c r="HFZ156" s="250"/>
      <c r="HGA156" s="250"/>
      <c r="HGB156" s="250"/>
      <c r="HGC156" s="250"/>
      <c r="HGD156" s="250"/>
      <c r="HGE156" s="250"/>
      <c r="HGF156" s="250"/>
      <c r="HGG156" s="250"/>
      <c r="HGH156" s="250"/>
      <c r="HGI156" s="250"/>
      <c r="HGJ156" s="250"/>
      <c r="HGK156" s="250"/>
      <c r="HGL156" s="250"/>
      <c r="HGM156" s="250"/>
      <c r="HGN156" s="250"/>
      <c r="HGO156" s="250"/>
      <c r="HGP156" s="250"/>
      <c r="HGQ156" s="250"/>
      <c r="HGR156" s="250"/>
      <c r="HGS156" s="250"/>
      <c r="HGT156" s="250"/>
      <c r="HGU156" s="250"/>
      <c r="HGV156" s="250"/>
      <c r="HGW156" s="250"/>
      <c r="HGX156" s="250"/>
      <c r="HGY156" s="250"/>
      <c r="HGZ156" s="250"/>
      <c r="HHA156" s="250"/>
      <c r="HHB156" s="250"/>
      <c r="HHC156" s="250"/>
      <c r="HHD156" s="250"/>
      <c r="HHE156" s="250"/>
      <c r="HHF156" s="250"/>
      <c r="HHG156" s="250"/>
      <c r="HHH156" s="250"/>
      <c r="HHI156" s="250"/>
      <c r="HHJ156" s="250"/>
      <c r="HHK156" s="250"/>
      <c r="HHL156" s="250"/>
      <c r="HHM156" s="250"/>
      <c r="HHN156" s="250"/>
      <c r="HHO156" s="250"/>
      <c r="HHP156" s="250"/>
      <c r="HHQ156" s="250"/>
      <c r="HHR156" s="250"/>
      <c r="HHS156" s="250"/>
      <c r="HHT156" s="250"/>
      <c r="HHU156" s="250"/>
      <c r="HHV156" s="250"/>
      <c r="HHW156" s="250"/>
      <c r="HHX156" s="250"/>
      <c r="HHY156" s="250"/>
      <c r="HHZ156" s="250"/>
      <c r="HIA156" s="250"/>
      <c r="HIB156" s="250"/>
      <c r="HIC156" s="250"/>
      <c r="HID156" s="250"/>
      <c r="HIE156" s="250"/>
      <c r="HIF156" s="250"/>
      <c r="HIG156" s="250"/>
      <c r="HIH156" s="250"/>
      <c r="HII156" s="250"/>
      <c r="HIJ156" s="250"/>
      <c r="HIK156" s="250"/>
      <c r="HIL156" s="250"/>
      <c r="HIM156" s="250"/>
      <c r="HIN156" s="250"/>
      <c r="HIO156" s="250"/>
      <c r="HIP156" s="250"/>
      <c r="HIQ156" s="250"/>
      <c r="HIR156" s="250"/>
      <c r="HIS156" s="250"/>
      <c r="HIT156" s="250"/>
      <c r="HIU156" s="250"/>
      <c r="HIV156" s="250"/>
      <c r="HIW156" s="250"/>
      <c r="HIX156" s="250"/>
      <c r="HIY156" s="250"/>
      <c r="HIZ156" s="250"/>
      <c r="HJA156" s="250"/>
      <c r="HJB156" s="250"/>
      <c r="HJC156" s="250"/>
      <c r="HJD156" s="250"/>
      <c r="HJE156" s="250"/>
      <c r="HJF156" s="250"/>
      <c r="HJG156" s="250"/>
      <c r="HJH156" s="250"/>
      <c r="HJI156" s="250"/>
      <c r="HJJ156" s="250"/>
      <c r="HJK156" s="250"/>
      <c r="HJL156" s="250"/>
      <c r="HJM156" s="250"/>
      <c r="HJN156" s="250"/>
      <c r="HJO156" s="250"/>
      <c r="HJP156" s="250"/>
      <c r="HJQ156" s="250"/>
      <c r="HJR156" s="250"/>
      <c r="HJS156" s="250"/>
      <c r="HJT156" s="250"/>
      <c r="HJU156" s="250"/>
      <c r="HJV156" s="250"/>
      <c r="HJW156" s="250"/>
      <c r="HJX156" s="250"/>
      <c r="HJY156" s="250"/>
      <c r="HJZ156" s="250"/>
      <c r="HKA156" s="250"/>
      <c r="HKB156" s="250"/>
      <c r="HKC156" s="250"/>
      <c r="HKD156" s="250"/>
      <c r="HKE156" s="250"/>
      <c r="HKF156" s="250"/>
      <c r="HKG156" s="250"/>
      <c r="HKH156" s="250"/>
      <c r="HKI156" s="250"/>
      <c r="HKJ156" s="250"/>
      <c r="HKK156" s="250"/>
      <c r="HKL156" s="250"/>
      <c r="HKM156" s="250"/>
      <c r="HKN156" s="250"/>
      <c r="HKO156" s="250"/>
      <c r="HKP156" s="250"/>
      <c r="HKQ156" s="250"/>
      <c r="HKR156" s="250"/>
      <c r="HKS156" s="250"/>
      <c r="HKT156" s="250"/>
      <c r="HKU156" s="250"/>
      <c r="HKV156" s="250"/>
      <c r="HKW156" s="250"/>
      <c r="HKX156" s="250"/>
      <c r="HKY156" s="250"/>
      <c r="HKZ156" s="250"/>
      <c r="HLA156" s="250"/>
      <c r="HLB156" s="250"/>
      <c r="HLC156" s="250"/>
      <c r="HLD156" s="250"/>
      <c r="HLE156" s="250"/>
      <c r="HLF156" s="250"/>
      <c r="HLG156" s="250"/>
      <c r="HLH156" s="250"/>
      <c r="HLI156" s="250"/>
      <c r="HLJ156" s="250"/>
      <c r="HLK156" s="250"/>
      <c r="HLL156" s="250"/>
      <c r="HLM156" s="250"/>
      <c r="HLN156" s="250"/>
      <c r="HLO156" s="250"/>
      <c r="HLP156" s="250"/>
      <c r="HLQ156" s="250"/>
      <c r="HLR156" s="250"/>
      <c r="HLS156" s="250"/>
      <c r="HLT156" s="250"/>
      <c r="HLU156" s="250"/>
      <c r="HLV156" s="250"/>
      <c r="HLW156" s="250"/>
      <c r="HLX156" s="250"/>
      <c r="HLY156" s="250"/>
      <c r="HLZ156" s="250"/>
      <c r="HMA156" s="250"/>
      <c r="HMB156" s="250"/>
      <c r="HMC156" s="250"/>
      <c r="HMD156" s="250"/>
      <c r="HME156" s="250"/>
      <c r="HMF156" s="250"/>
      <c r="HMG156" s="250"/>
      <c r="HMH156" s="250"/>
      <c r="HMI156" s="250"/>
      <c r="HMJ156" s="250"/>
      <c r="HMK156" s="250"/>
      <c r="HML156" s="250"/>
      <c r="HMM156" s="250"/>
      <c r="HMN156" s="250"/>
      <c r="HMO156" s="250"/>
      <c r="HMP156" s="250"/>
      <c r="HMQ156" s="250"/>
      <c r="HMR156" s="250"/>
      <c r="HMS156" s="250"/>
      <c r="HMT156" s="250"/>
      <c r="HMU156" s="250"/>
      <c r="HMV156" s="250"/>
      <c r="HMW156" s="250"/>
      <c r="HMX156" s="250"/>
      <c r="HMY156" s="250"/>
      <c r="HMZ156" s="250"/>
      <c r="HNA156" s="250"/>
      <c r="HNB156" s="250"/>
      <c r="HNC156" s="250"/>
      <c r="HND156" s="250"/>
      <c r="HNE156" s="250"/>
      <c r="HNF156" s="250"/>
      <c r="HNG156" s="250"/>
      <c r="HNH156" s="250"/>
      <c r="HNI156" s="250"/>
      <c r="HNJ156" s="250"/>
      <c r="HNK156" s="250"/>
      <c r="HNL156" s="250"/>
      <c r="HNM156" s="250"/>
      <c r="HNN156" s="250"/>
      <c r="HNO156" s="250"/>
      <c r="HNP156" s="250"/>
      <c r="HNQ156" s="250"/>
      <c r="HNR156" s="250"/>
      <c r="HNS156" s="250"/>
      <c r="HNT156" s="250"/>
      <c r="HNU156" s="250"/>
      <c r="HNV156" s="250"/>
      <c r="HNW156" s="250"/>
      <c r="HNX156" s="250"/>
      <c r="HNY156" s="250"/>
      <c r="HNZ156" s="250"/>
      <c r="HOA156" s="250"/>
      <c r="HOB156" s="250"/>
      <c r="HOC156" s="250"/>
      <c r="HOD156" s="250"/>
      <c r="HOE156" s="250"/>
      <c r="HOF156" s="250"/>
      <c r="HOG156" s="250"/>
      <c r="HOH156" s="250"/>
      <c r="HOI156" s="250"/>
      <c r="HOJ156" s="250"/>
      <c r="HOK156" s="250"/>
      <c r="HOL156" s="250"/>
      <c r="HOM156" s="250"/>
      <c r="HON156" s="250"/>
      <c r="HOO156" s="250"/>
      <c r="HOP156" s="250"/>
      <c r="HOQ156" s="250"/>
      <c r="HOR156" s="250"/>
      <c r="HOS156" s="250"/>
      <c r="HOT156" s="250"/>
      <c r="HOU156" s="250"/>
      <c r="HOV156" s="250"/>
      <c r="HOW156" s="250"/>
      <c r="HOX156" s="250"/>
      <c r="HOY156" s="250"/>
      <c r="HOZ156" s="250"/>
      <c r="HPA156" s="250"/>
      <c r="HPB156" s="250"/>
      <c r="HPC156" s="250"/>
      <c r="HPD156" s="250"/>
      <c r="HPE156" s="250"/>
      <c r="HPF156" s="250"/>
      <c r="HPG156" s="250"/>
      <c r="HPH156" s="250"/>
      <c r="HPI156" s="250"/>
      <c r="HPJ156" s="250"/>
      <c r="HPK156" s="250"/>
      <c r="HPL156" s="250"/>
      <c r="HPM156" s="250"/>
      <c r="HPN156" s="250"/>
      <c r="HPO156" s="250"/>
      <c r="HPP156" s="250"/>
      <c r="HPQ156" s="250"/>
      <c r="HPR156" s="250"/>
      <c r="HPS156" s="250"/>
      <c r="HPT156" s="250"/>
      <c r="HPU156" s="250"/>
      <c r="HPV156" s="250"/>
      <c r="HPW156" s="250"/>
      <c r="HPX156" s="250"/>
      <c r="HPY156" s="250"/>
      <c r="HPZ156" s="250"/>
      <c r="HQA156" s="250"/>
      <c r="HQB156" s="250"/>
      <c r="HQC156" s="250"/>
      <c r="HQD156" s="250"/>
      <c r="HQE156" s="250"/>
      <c r="HQF156" s="250"/>
      <c r="HQG156" s="250"/>
      <c r="HQH156" s="250"/>
      <c r="HQI156" s="250"/>
      <c r="HQJ156" s="250"/>
      <c r="HQK156" s="250"/>
      <c r="HQL156" s="250"/>
      <c r="HQM156" s="250"/>
      <c r="HQN156" s="250"/>
      <c r="HQO156" s="250"/>
      <c r="HQP156" s="250"/>
      <c r="HQQ156" s="250"/>
      <c r="HQR156" s="250"/>
      <c r="HQS156" s="250"/>
      <c r="HQT156" s="250"/>
      <c r="HQU156" s="250"/>
      <c r="HQV156" s="250"/>
      <c r="HQW156" s="250"/>
      <c r="HQX156" s="250"/>
      <c r="HQY156" s="250"/>
      <c r="HQZ156" s="250"/>
      <c r="HRA156" s="250"/>
      <c r="HRB156" s="250"/>
      <c r="HRC156" s="250"/>
      <c r="HRD156" s="250"/>
      <c r="HRE156" s="250"/>
      <c r="HRF156" s="250"/>
      <c r="HRG156" s="250"/>
      <c r="HRH156" s="250"/>
      <c r="HRI156" s="250"/>
      <c r="HRJ156" s="250"/>
      <c r="HRK156" s="250"/>
      <c r="HRL156" s="250"/>
      <c r="HRM156" s="250"/>
      <c r="HRN156" s="250"/>
      <c r="HRO156" s="250"/>
      <c r="HRP156" s="250"/>
      <c r="HRQ156" s="250"/>
      <c r="HRR156" s="250"/>
      <c r="HRS156" s="250"/>
      <c r="HRT156" s="250"/>
      <c r="HRU156" s="250"/>
      <c r="HRV156" s="250"/>
      <c r="HRW156" s="250"/>
      <c r="HRX156" s="250"/>
      <c r="HRY156" s="250"/>
      <c r="HRZ156" s="250"/>
      <c r="HSA156" s="250"/>
      <c r="HSB156" s="250"/>
      <c r="HSC156" s="250"/>
      <c r="HSD156" s="250"/>
      <c r="HSE156" s="250"/>
      <c r="HSF156" s="250"/>
      <c r="HSG156" s="250"/>
      <c r="HSH156" s="250"/>
      <c r="HSI156" s="250"/>
      <c r="HSJ156" s="250"/>
      <c r="HSK156" s="250"/>
      <c r="HSL156" s="250"/>
      <c r="HSM156" s="250"/>
      <c r="HSN156" s="250"/>
      <c r="HSO156" s="250"/>
      <c r="HSP156" s="250"/>
      <c r="HSQ156" s="250"/>
      <c r="HSR156" s="250"/>
      <c r="HSS156" s="250"/>
      <c r="HST156" s="250"/>
      <c r="HSU156" s="250"/>
      <c r="HSV156" s="250"/>
      <c r="HSW156" s="250"/>
      <c r="HSX156" s="250"/>
      <c r="HSY156" s="250"/>
      <c r="HSZ156" s="250"/>
      <c r="HTA156" s="250"/>
      <c r="HTB156" s="250"/>
      <c r="HTC156" s="250"/>
      <c r="HTD156" s="250"/>
      <c r="HTE156" s="250"/>
      <c r="HTF156" s="250"/>
      <c r="HTG156" s="250"/>
      <c r="HTH156" s="250"/>
      <c r="HTI156" s="250"/>
      <c r="HTJ156" s="250"/>
      <c r="HTK156" s="250"/>
      <c r="HTL156" s="250"/>
      <c r="HTM156" s="250"/>
      <c r="HTN156" s="250"/>
      <c r="HTO156" s="250"/>
      <c r="HTP156" s="250"/>
      <c r="HTQ156" s="250"/>
      <c r="HTR156" s="250"/>
      <c r="HTS156" s="250"/>
      <c r="HTT156" s="250"/>
      <c r="HTU156" s="250"/>
      <c r="HTV156" s="250"/>
      <c r="HTW156" s="250"/>
      <c r="HTX156" s="250"/>
      <c r="HTY156" s="250"/>
      <c r="HTZ156" s="250"/>
      <c r="HUA156" s="250"/>
      <c r="HUB156" s="250"/>
      <c r="HUC156" s="250"/>
      <c r="HUD156" s="250"/>
      <c r="HUE156" s="250"/>
      <c r="HUF156" s="250"/>
      <c r="HUG156" s="250"/>
      <c r="HUH156" s="250"/>
      <c r="HUI156" s="250"/>
      <c r="HUJ156" s="250"/>
      <c r="HUK156" s="250"/>
      <c r="HUL156" s="250"/>
      <c r="HUM156" s="250"/>
      <c r="HUN156" s="250"/>
      <c r="HUO156" s="250"/>
      <c r="HUP156" s="250"/>
      <c r="HUQ156" s="250"/>
      <c r="HUR156" s="250"/>
      <c r="HUS156" s="250"/>
      <c r="HUT156" s="250"/>
      <c r="HUU156" s="250"/>
      <c r="HUV156" s="250"/>
      <c r="HUW156" s="250"/>
      <c r="HUX156" s="250"/>
      <c r="HUY156" s="250"/>
      <c r="HUZ156" s="250"/>
      <c r="HVA156" s="250"/>
      <c r="HVB156" s="250"/>
      <c r="HVC156" s="250"/>
      <c r="HVD156" s="250"/>
      <c r="HVE156" s="250"/>
      <c r="HVF156" s="250"/>
      <c r="HVG156" s="250"/>
      <c r="HVH156" s="250"/>
      <c r="HVI156" s="250"/>
      <c r="HVJ156" s="250"/>
      <c r="HVK156" s="250"/>
      <c r="HVL156" s="250"/>
      <c r="HVM156" s="250"/>
      <c r="HVN156" s="250"/>
      <c r="HVO156" s="250"/>
      <c r="HVP156" s="250"/>
      <c r="HVQ156" s="250"/>
      <c r="HVR156" s="250"/>
      <c r="HVS156" s="250"/>
      <c r="HVT156" s="250"/>
      <c r="HVU156" s="250"/>
      <c r="HVV156" s="250"/>
      <c r="HVW156" s="250"/>
      <c r="HVX156" s="250"/>
      <c r="HVY156" s="250"/>
      <c r="HVZ156" s="250"/>
      <c r="HWA156" s="250"/>
      <c r="HWB156" s="250"/>
      <c r="HWC156" s="250"/>
      <c r="HWD156" s="250"/>
      <c r="HWE156" s="250"/>
      <c r="HWF156" s="250"/>
      <c r="HWG156" s="250"/>
      <c r="HWH156" s="250"/>
      <c r="HWI156" s="250"/>
      <c r="HWJ156" s="250"/>
      <c r="HWK156" s="250"/>
      <c r="HWL156" s="250"/>
      <c r="HWM156" s="250"/>
      <c r="HWN156" s="250"/>
      <c r="HWO156" s="250"/>
      <c r="HWP156" s="250"/>
      <c r="HWQ156" s="250"/>
      <c r="HWR156" s="250"/>
      <c r="HWS156" s="250"/>
      <c r="HWT156" s="250"/>
      <c r="HWU156" s="250"/>
      <c r="HWV156" s="250"/>
      <c r="HWW156" s="250"/>
      <c r="HWX156" s="250"/>
      <c r="HWY156" s="250"/>
      <c r="HWZ156" s="250"/>
      <c r="HXA156" s="250"/>
      <c r="HXB156" s="250"/>
      <c r="HXC156" s="250"/>
      <c r="HXD156" s="250"/>
      <c r="HXE156" s="250"/>
      <c r="HXF156" s="250"/>
      <c r="HXG156" s="250"/>
      <c r="HXH156" s="250"/>
      <c r="HXI156" s="250"/>
      <c r="HXJ156" s="250"/>
      <c r="HXK156" s="250"/>
      <c r="HXL156" s="250"/>
      <c r="HXM156" s="250"/>
      <c r="HXN156" s="250"/>
      <c r="HXO156" s="250"/>
      <c r="HXP156" s="250"/>
      <c r="HXQ156" s="250"/>
      <c r="HXR156" s="250"/>
      <c r="HXS156" s="250"/>
      <c r="HXT156" s="250"/>
      <c r="HXU156" s="250"/>
      <c r="HXV156" s="250"/>
      <c r="HXW156" s="250"/>
      <c r="HXX156" s="250"/>
      <c r="HXY156" s="250"/>
      <c r="HXZ156" s="250"/>
      <c r="HYA156" s="250"/>
      <c r="HYB156" s="250"/>
      <c r="HYC156" s="250"/>
      <c r="HYD156" s="250"/>
      <c r="HYE156" s="250"/>
      <c r="HYF156" s="250"/>
      <c r="HYG156" s="250"/>
      <c r="HYH156" s="250"/>
      <c r="HYI156" s="250"/>
      <c r="HYJ156" s="250"/>
      <c r="HYK156" s="250"/>
      <c r="HYL156" s="250"/>
      <c r="HYM156" s="250"/>
      <c r="HYN156" s="250"/>
      <c r="HYO156" s="250"/>
      <c r="HYP156" s="250"/>
      <c r="HYQ156" s="250"/>
      <c r="HYR156" s="250"/>
      <c r="HYS156" s="250"/>
      <c r="HYT156" s="250"/>
      <c r="HYU156" s="250"/>
      <c r="HYV156" s="250"/>
      <c r="HYW156" s="250"/>
      <c r="HYX156" s="250"/>
      <c r="HYY156" s="250"/>
      <c r="HYZ156" s="250"/>
      <c r="HZA156" s="250"/>
      <c r="HZB156" s="250"/>
      <c r="HZC156" s="250"/>
      <c r="HZD156" s="250"/>
      <c r="HZE156" s="250"/>
      <c r="HZF156" s="250"/>
      <c r="HZG156" s="250"/>
      <c r="HZH156" s="250"/>
      <c r="HZI156" s="250"/>
      <c r="HZJ156" s="250"/>
      <c r="HZK156" s="250"/>
      <c r="HZL156" s="250"/>
      <c r="HZM156" s="250"/>
      <c r="HZN156" s="250"/>
      <c r="HZO156" s="250"/>
      <c r="HZP156" s="250"/>
      <c r="HZQ156" s="250"/>
      <c r="HZR156" s="250"/>
      <c r="HZS156" s="250"/>
      <c r="HZT156" s="250"/>
      <c r="HZU156" s="250"/>
      <c r="HZV156" s="250"/>
      <c r="HZW156" s="250"/>
      <c r="HZX156" s="250"/>
      <c r="HZY156" s="250"/>
      <c r="HZZ156" s="250"/>
      <c r="IAA156" s="250"/>
      <c r="IAB156" s="250"/>
      <c r="IAC156" s="250"/>
      <c r="IAD156" s="250"/>
      <c r="IAE156" s="250"/>
      <c r="IAF156" s="250"/>
      <c r="IAG156" s="250"/>
      <c r="IAH156" s="250"/>
      <c r="IAI156" s="250"/>
      <c r="IAJ156" s="250"/>
      <c r="IAK156" s="250"/>
      <c r="IAL156" s="250"/>
      <c r="IAM156" s="250"/>
      <c r="IAN156" s="250"/>
      <c r="IAO156" s="250"/>
      <c r="IAP156" s="250"/>
      <c r="IAQ156" s="250"/>
      <c r="IAR156" s="250"/>
      <c r="IAS156" s="250"/>
      <c r="IAT156" s="250"/>
      <c r="IAU156" s="250"/>
      <c r="IAV156" s="250"/>
      <c r="IAW156" s="250"/>
      <c r="IAX156" s="250"/>
      <c r="IAY156" s="250"/>
      <c r="IAZ156" s="250"/>
      <c r="IBA156" s="250"/>
      <c r="IBB156" s="250"/>
      <c r="IBC156" s="250"/>
      <c r="IBD156" s="250"/>
      <c r="IBE156" s="250"/>
      <c r="IBF156" s="250"/>
      <c r="IBG156" s="250"/>
      <c r="IBH156" s="250"/>
      <c r="IBI156" s="250"/>
      <c r="IBJ156" s="250"/>
      <c r="IBK156" s="250"/>
      <c r="IBL156" s="250"/>
      <c r="IBM156" s="250"/>
      <c r="IBN156" s="250"/>
      <c r="IBO156" s="250"/>
      <c r="IBP156" s="250"/>
      <c r="IBQ156" s="250"/>
      <c r="IBR156" s="250"/>
      <c r="IBS156" s="250"/>
      <c r="IBT156" s="250"/>
      <c r="IBU156" s="250"/>
      <c r="IBV156" s="250"/>
      <c r="IBW156" s="250"/>
      <c r="IBX156" s="250"/>
      <c r="IBY156" s="250"/>
      <c r="IBZ156" s="250"/>
      <c r="ICA156" s="250"/>
      <c r="ICB156" s="250"/>
      <c r="ICC156" s="250"/>
      <c r="ICD156" s="250"/>
      <c r="ICE156" s="250"/>
      <c r="ICF156" s="250"/>
      <c r="ICG156" s="250"/>
      <c r="ICH156" s="250"/>
      <c r="ICI156" s="250"/>
      <c r="ICJ156" s="250"/>
      <c r="ICK156" s="250"/>
      <c r="ICL156" s="250"/>
      <c r="ICM156" s="250"/>
      <c r="ICN156" s="250"/>
      <c r="ICO156" s="250"/>
      <c r="ICP156" s="250"/>
      <c r="ICQ156" s="250"/>
      <c r="ICR156" s="250"/>
      <c r="ICS156" s="250"/>
      <c r="ICT156" s="250"/>
      <c r="ICU156" s="250"/>
      <c r="ICV156" s="250"/>
      <c r="ICW156" s="250"/>
      <c r="ICX156" s="250"/>
      <c r="ICY156" s="250"/>
      <c r="ICZ156" s="250"/>
      <c r="IDA156" s="250"/>
      <c r="IDB156" s="250"/>
      <c r="IDC156" s="250"/>
      <c r="IDD156" s="250"/>
      <c r="IDE156" s="250"/>
      <c r="IDF156" s="250"/>
      <c r="IDG156" s="250"/>
      <c r="IDH156" s="250"/>
      <c r="IDI156" s="250"/>
      <c r="IDJ156" s="250"/>
      <c r="IDK156" s="250"/>
      <c r="IDL156" s="250"/>
      <c r="IDM156" s="250"/>
      <c r="IDN156" s="250"/>
      <c r="IDO156" s="250"/>
      <c r="IDP156" s="250"/>
      <c r="IDQ156" s="250"/>
      <c r="IDR156" s="250"/>
      <c r="IDS156" s="250"/>
      <c r="IDT156" s="250"/>
      <c r="IDU156" s="250"/>
      <c r="IDV156" s="250"/>
      <c r="IDW156" s="250"/>
      <c r="IDX156" s="250"/>
      <c r="IDY156" s="250"/>
      <c r="IDZ156" s="250"/>
      <c r="IEA156" s="250"/>
      <c r="IEB156" s="250"/>
      <c r="IEC156" s="250"/>
      <c r="IED156" s="250"/>
      <c r="IEE156" s="250"/>
      <c r="IEF156" s="250"/>
      <c r="IEG156" s="250"/>
      <c r="IEH156" s="250"/>
      <c r="IEI156" s="250"/>
      <c r="IEJ156" s="250"/>
      <c r="IEK156" s="250"/>
      <c r="IEL156" s="250"/>
      <c r="IEM156" s="250"/>
      <c r="IEN156" s="250"/>
      <c r="IEO156" s="250"/>
      <c r="IEP156" s="250"/>
      <c r="IEQ156" s="250"/>
      <c r="IER156" s="250"/>
      <c r="IES156" s="250"/>
      <c r="IET156" s="250"/>
      <c r="IEU156" s="250"/>
      <c r="IEV156" s="250"/>
      <c r="IEW156" s="250"/>
      <c r="IEX156" s="250"/>
      <c r="IEY156" s="250"/>
      <c r="IEZ156" s="250"/>
      <c r="IFA156" s="250"/>
      <c r="IFB156" s="250"/>
      <c r="IFC156" s="250"/>
      <c r="IFD156" s="250"/>
      <c r="IFE156" s="250"/>
      <c r="IFF156" s="250"/>
      <c r="IFG156" s="250"/>
      <c r="IFH156" s="250"/>
      <c r="IFI156" s="250"/>
      <c r="IFJ156" s="250"/>
      <c r="IFK156" s="250"/>
      <c r="IFL156" s="250"/>
      <c r="IFM156" s="250"/>
      <c r="IFN156" s="250"/>
      <c r="IFO156" s="250"/>
      <c r="IFP156" s="250"/>
      <c r="IFQ156" s="250"/>
      <c r="IFR156" s="250"/>
      <c r="IFS156" s="250"/>
      <c r="IFT156" s="250"/>
      <c r="IFU156" s="250"/>
      <c r="IFV156" s="250"/>
      <c r="IFW156" s="250"/>
      <c r="IFX156" s="250"/>
      <c r="IFY156" s="250"/>
      <c r="IFZ156" s="250"/>
      <c r="IGA156" s="250"/>
      <c r="IGB156" s="250"/>
      <c r="IGC156" s="250"/>
      <c r="IGD156" s="250"/>
      <c r="IGE156" s="250"/>
      <c r="IGF156" s="250"/>
      <c r="IGG156" s="250"/>
      <c r="IGH156" s="250"/>
      <c r="IGI156" s="250"/>
      <c r="IGJ156" s="250"/>
      <c r="IGK156" s="250"/>
      <c r="IGL156" s="250"/>
      <c r="IGM156" s="250"/>
      <c r="IGN156" s="250"/>
      <c r="IGO156" s="250"/>
      <c r="IGP156" s="250"/>
      <c r="IGQ156" s="250"/>
      <c r="IGR156" s="250"/>
      <c r="IGS156" s="250"/>
      <c r="IGT156" s="250"/>
      <c r="IGU156" s="250"/>
      <c r="IGV156" s="250"/>
      <c r="IGW156" s="250"/>
      <c r="IGX156" s="250"/>
      <c r="IGY156" s="250"/>
      <c r="IGZ156" s="250"/>
      <c r="IHA156" s="250"/>
      <c r="IHB156" s="250"/>
      <c r="IHC156" s="250"/>
      <c r="IHD156" s="250"/>
      <c r="IHE156" s="250"/>
      <c r="IHF156" s="250"/>
      <c r="IHG156" s="250"/>
      <c r="IHH156" s="250"/>
      <c r="IHI156" s="250"/>
      <c r="IHJ156" s="250"/>
      <c r="IHK156" s="250"/>
      <c r="IHL156" s="250"/>
      <c r="IHM156" s="250"/>
      <c r="IHN156" s="250"/>
      <c r="IHO156" s="250"/>
      <c r="IHP156" s="250"/>
      <c r="IHQ156" s="250"/>
      <c r="IHR156" s="250"/>
      <c r="IHS156" s="250"/>
      <c r="IHT156" s="250"/>
      <c r="IHU156" s="250"/>
      <c r="IHV156" s="250"/>
      <c r="IHW156" s="250"/>
      <c r="IHX156" s="250"/>
      <c r="IHY156" s="250"/>
      <c r="IHZ156" s="250"/>
      <c r="IIA156" s="250"/>
      <c r="IIB156" s="250"/>
      <c r="IIC156" s="250"/>
      <c r="IID156" s="250"/>
      <c r="IIE156" s="250"/>
      <c r="IIF156" s="250"/>
      <c r="IIG156" s="250"/>
      <c r="IIH156" s="250"/>
      <c r="III156" s="250"/>
      <c r="IIJ156" s="250"/>
      <c r="IIK156" s="250"/>
      <c r="IIL156" s="250"/>
      <c r="IIM156" s="250"/>
      <c r="IIN156" s="250"/>
      <c r="IIO156" s="250"/>
      <c r="IIP156" s="250"/>
      <c r="IIQ156" s="250"/>
      <c r="IIR156" s="250"/>
      <c r="IIS156" s="250"/>
      <c r="IIT156" s="250"/>
      <c r="IIU156" s="250"/>
      <c r="IIV156" s="250"/>
      <c r="IIW156" s="250"/>
      <c r="IIX156" s="250"/>
      <c r="IIY156" s="250"/>
      <c r="IIZ156" s="250"/>
      <c r="IJA156" s="250"/>
      <c r="IJB156" s="250"/>
      <c r="IJC156" s="250"/>
      <c r="IJD156" s="250"/>
      <c r="IJE156" s="250"/>
      <c r="IJF156" s="250"/>
      <c r="IJG156" s="250"/>
      <c r="IJH156" s="250"/>
      <c r="IJI156" s="250"/>
      <c r="IJJ156" s="250"/>
      <c r="IJK156" s="250"/>
      <c r="IJL156" s="250"/>
      <c r="IJM156" s="250"/>
      <c r="IJN156" s="250"/>
      <c r="IJO156" s="250"/>
      <c r="IJP156" s="250"/>
      <c r="IJQ156" s="250"/>
      <c r="IJR156" s="250"/>
      <c r="IJS156" s="250"/>
      <c r="IJT156" s="250"/>
      <c r="IJU156" s="250"/>
      <c r="IJV156" s="250"/>
      <c r="IJW156" s="250"/>
      <c r="IJX156" s="250"/>
      <c r="IJY156" s="250"/>
      <c r="IJZ156" s="250"/>
      <c r="IKA156" s="250"/>
      <c r="IKB156" s="250"/>
      <c r="IKC156" s="250"/>
      <c r="IKD156" s="250"/>
      <c r="IKE156" s="250"/>
      <c r="IKF156" s="250"/>
      <c r="IKG156" s="250"/>
      <c r="IKH156" s="250"/>
      <c r="IKI156" s="250"/>
      <c r="IKJ156" s="250"/>
      <c r="IKK156" s="250"/>
      <c r="IKL156" s="250"/>
      <c r="IKM156" s="250"/>
      <c r="IKN156" s="250"/>
      <c r="IKO156" s="250"/>
      <c r="IKP156" s="250"/>
      <c r="IKQ156" s="250"/>
      <c r="IKR156" s="250"/>
      <c r="IKS156" s="250"/>
      <c r="IKT156" s="250"/>
      <c r="IKU156" s="250"/>
      <c r="IKV156" s="250"/>
      <c r="IKW156" s="250"/>
      <c r="IKX156" s="250"/>
      <c r="IKY156" s="250"/>
      <c r="IKZ156" s="250"/>
      <c r="ILA156" s="250"/>
      <c r="ILB156" s="250"/>
      <c r="ILC156" s="250"/>
      <c r="ILD156" s="250"/>
      <c r="ILE156" s="250"/>
      <c r="ILF156" s="250"/>
      <c r="ILG156" s="250"/>
      <c r="ILH156" s="250"/>
      <c r="ILI156" s="250"/>
      <c r="ILJ156" s="250"/>
      <c r="ILK156" s="250"/>
      <c r="ILL156" s="250"/>
      <c r="ILM156" s="250"/>
      <c r="ILN156" s="250"/>
      <c r="ILO156" s="250"/>
      <c r="ILP156" s="250"/>
      <c r="ILQ156" s="250"/>
      <c r="ILR156" s="250"/>
      <c r="ILS156" s="250"/>
      <c r="ILT156" s="250"/>
      <c r="ILU156" s="250"/>
      <c r="ILV156" s="250"/>
      <c r="ILW156" s="250"/>
      <c r="ILX156" s="250"/>
      <c r="ILY156" s="250"/>
      <c r="ILZ156" s="250"/>
      <c r="IMA156" s="250"/>
      <c r="IMB156" s="250"/>
      <c r="IMC156" s="250"/>
      <c r="IMD156" s="250"/>
      <c r="IME156" s="250"/>
      <c r="IMF156" s="250"/>
      <c r="IMG156" s="250"/>
      <c r="IMH156" s="250"/>
      <c r="IMI156" s="250"/>
      <c r="IMJ156" s="250"/>
      <c r="IMK156" s="250"/>
      <c r="IML156" s="250"/>
      <c r="IMM156" s="250"/>
      <c r="IMN156" s="250"/>
      <c r="IMO156" s="250"/>
      <c r="IMP156" s="250"/>
      <c r="IMQ156" s="250"/>
      <c r="IMR156" s="250"/>
      <c r="IMS156" s="250"/>
      <c r="IMT156" s="250"/>
      <c r="IMU156" s="250"/>
      <c r="IMV156" s="250"/>
      <c r="IMW156" s="250"/>
      <c r="IMX156" s="250"/>
      <c r="IMY156" s="250"/>
      <c r="IMZ156" s="250"/>
      <c r="INA156" s="250"/>
      <c r="INB156" s="250"/>
      <c r="INC156" s="250"/>
      <c r="IND156" s="250"/>
      <c r="INE156" s="250"/>
      <c r="INF156" s="250"/>
      <c r="ING156" s="250"/>
      <c r="INH156" s="250"/>
      <c r="INI156" s="250"/>
      <c r="INJ156" s="250"/>
      <c r="INK156" s="250"/>
      <c r="INL156" s="250"/>
      <c r="INM156" s="250"/>
      <c r="INN156" s="250"/>
      <c r="INO156" s="250"/>
      <c r="INP156" s="250"/>
      <c r="INQ156" s="250"/>
      <c r="INR156" s="250"/>
      <c r="INS156" s="250"/>
      <c r="INT156" s="250"/>
      <c r="INU156" s="250"/>
      <c r="INV156" s="250"/>
      <c r="INW156" s="250"/>
      <c r="INX156" s="250"/>
      <c r="INY156" s="250"/>
      <c r="INZ156" s="250"/>
      <c r="IOA156" s="250"/>
      <c r="IOB156" s="250"/>
      <c r="IOC156" s="250"/>
      <c r="IOD156" s="250"/>
      <c r="IOE156" s="250"/>
      <c r="IOF156" s="250"/>
      <c r="IOG156" s="250"/>
      <c r="IOH156" s="250"/>
      <c r="IOI156" s="250"/>
      <c r="IOJ156" s="250"/>
      <c r="IOK156" s="250"/>
      <c r="IOL156" s="250"/>
      <c r="IOM156" s="250"/>
      <c r="ION156" s="250"/>
      <c r="IOO156" s="250"/>
      <c r="IOP156" s="250"/>
      <c r="IOQ156" s="250"/>
      <c r="IOR156" s="250"/>
      <c r="IOS156" s="250"/>
      <c r="IOT156" s="250"/>
      <c r="IOU156" s="250"/>
      <c r="IOV156" s="250"/>
      <c r="IOW156" s="250"/>
      <c r="IOX156" s="250"/>
      <c r="IOY156" s="250"/>
      <c r="IOZ156" s="250"/>
      <c r="IPA156" s="250"/>
      <c r="IPB156" s="250"/>
      <c r="IPC156" s="250"/>
      <c r="IPD156" s="250"/>
      <c r="IPE156" s="250"/>
      <c r="IPF156" s="250"/>
      <c r="IPG156" s="250"/>
      <c r="IPH156" s="250"/>
      <c r="IPI156" s="250"/>
      <c r="IPJ156" s="250"/>
      <c r="IPK156" s="250"/>
      <c r="IPL156" s="250"/>
      <c r="IPM156" s="250"/>
      <c r="IPN156" s="250"/>
      <c r="IPO156" s="250"/>
      <c r="IPP156" s="250"/>
      <c r="IPQ156" s="250"/>
      <c r="IPR156" s="250"/>
      <c r="IPS156" s="250"/>
      <c r="IPT156" s="250"/>
      <c r="IPU156" s="250"/>
      <c r="IPV156" s="250"/>
      <c r="IPW156" s="250"/>
      <c r="IPX156" s="250"/>
      <c r="IPY156" s="250"/>
      <c r="IPZ156" s="250"/>
      <c r="IQA156" s="250"/>
      <c r="IQB156" s="250"/>
      <c r="IQC156" s="250"/>
      <c r="IQD156" s="250"/>
      <c r="IQE156" s="250"/>
      <c r="IQF156" s="250"/>
      <c r="IQG156" s="250"/>
      <c r="IQH156" s="250"/>
      <c r="IQI156" s="250"/>
      <c r="IQJ156" s="250"/>
      <c r="IQK156" s="250"/>
      <c r="IQL156" s="250"/>
      <c r="IQM156" s="250"/>
      <c r="IQN156" s="250"/>
      <c r="IQO156" s="250"/>
      <c r="IQP156" s="250"/>
      <c r="IQQ156" s="250"/>
      <c r="IQR156" s="250"/>
      <c r="IQS156" s="250"/>
      <c r="IQT156" s="250"/>
      <c r="IQU156" s="250"/>
      <c r="IQV156" s="250"/>
      <c r="IQW156" s="250"/>
      <c r="IQX156" s="250"/>
      <c r="IQY156" s="250"/>
      <c r="IQZ156" s="250"/>
      <c r="IRA156" s="250"/>
      <c r="IRB156" s="250"/>
      <c r="IRC156" s="250"/>
      <c r="IRD156" s="250"/>
      <c r="IRE156" s="250"/>
      <c r="IRF156" s="250"/>
      <c r="IRG156" s="250"/>
      <c r="IRH156" s="250"/>
      <c r="IRI156" s="250"/>
      <c r="IRJ156" s="250"/>
      <c r="IRK156" s="250"/>
      <c r="IRL156" s="250"/>
      <c r="IRM156" s="250"/>
      <c r="IRN156" s="250"/>
      <c r="IRO156" s="250"/>
      <c r="IRP156" s="250"/>
      <c r="IRQ156" s="250"/>
      <c r="IRR156" s="250"/>
      <c r="IRS156" s="250"/>
      <c r="IRT156" s="250"/>
      <c r="IRU156" s="250"/>
      <c r="IRV156" s="250"/>
      <c r="IRW156" s="250"/>
      <c r="IRX156" s="250"/>
      <c r="IRY156" s="250"/>
      <c r="IRZ156" s="250"/>
      <c r="ISA156" s="250"/>
      <c r="ISB156" s="250"/>
      <c r="ISC156" s="250"/>
      <c r="ISD156" s="250"/>
      <c r="ISE156" s="250"/>
      <c r="ISF156" s="250"/>
      <c r="ISG156" s="250"/>
      <c r="ISH156" s="250"/>
      <c r="ISI156" s="250"/>
      <c r="ISJ156" s="250"/>
      <c r="ISK156" s="250"/>
      <c r="ISL156" s="250"/>
      <c r="ISM156" s="250"/>
      <c r="ISN156" s="250"/>
      <c r="ISO156" s="250"/>
      <c r="ISP156" s="250"/>
      <c r="ISQ156" s="250"/>
      <c r="ISR156" s="250"/>
      <c r="ISS156" s="250"/>
      <c r="IST156" s="250"/>
      <c r="ISU156" s="250"/>
      <c r="ISV156" s="250"/>
      <c r="ISW156" s="250"/>
      <c r="ISX156" s="250"/>
      <c r="ISY156" s="250"/>
      <c r="ISZ156" s="250"/>
      <c r="ITA156" s="250"/>
      <c r="ITB156" s="250"/>
      <c r="ITC156" s="250"/>
      <c r="ITD156" s="250"/>
      <c r="ITE156" s="250"/>
      <c r="ITF156" s="250"/>
      <c r="ITG156" s="250"/>
      <c r="ITH156" s="250"/>
      <c r="ITI156" s="250"/>
      <c r="ITJ156" s="250"/>
      <c r="ITK156" s="250"/>
      <c r="ITL156" s="250"/>
      <c r="ITM156" s="250"/>
      <c r="ITN156" s="250"/>
      <c r="ITO156" s="250"/>
      <c r="ITP156" s="250"/>
      <c r="ITQ156" s="250"/>
      <c r="ITR156" s="250"/>
      <c r="ITS156" s="250"/>
      <c r="ITT156" s="250"/>
      <c r="ITU156" s="250"/>
      <c r="ITV156" s="250"/>
      <c r="ITW156" s="250"/>
      <c r="ITX156" s="250"/>
      <c r="ITY156" s="250"/>
      <c r="ITZ156" s="250"/>
      <c r="IUA156" s="250"/>
      <c r="IUB156" s="250"/>
      <c r="IUC156" s="250"/>
      <c r="IUD156" s="250"/>
      <c r="IUE156" s="250"/>
      <c r="IUF156" s="250"/>
      <c r="IUG156" s="250"/>
      <c r="IUH156" s="250"/>
      <c r="IUI156" s="250"/>
      <c r="IUJ156" s="250"/>
      <c r="IUK156" s="250"/>
      <c r="IUL156" s="250"/>
      <c r="IUM156" s="250"/>
      <c r="IUN156" s="250"/>
      <c r="IUO156" s="250"/>
      <c r="IUP156" s="250"/>
      <c r="IUQ156" s="250"/>
      <c r="IUR156" s="250"/>
      <c r="IUS156" s="250"/>
      <c r="IUT156" s="250"/>
      <c r="IUU156" s="250"/>
      <c r="IUV156" s="250"/>
      <c r="IUW156" s="250"/>
      <c r="IUX156" s="250"/>
      <c r="IUY156" s="250"/>
      <c r="IUZ156" s="250"/>
      <c r="IVA156" s="250"/>
      <c r="IVB156" s="250"/>
      <c r="IVC156" s="250"/>
      <c r="IVD156" s="250"/>
      <c r="IVE156" s="250"/>
      <c r="IVF156" s="250"/>
      <c r="IVG156" s="250"/>
      <c r="IVH156" s="250"/>
      <c r="IVI156" s="250"/>
      <c r="IVJ156" s="250"/>
      <c r="IVK156" s="250"/>
      <c r="IVL156" s="250"/>
      <c r="IVM156" s="250"/>
      <c r="IVN156" s="250"/>
      <c r="IVO156" s="250"/>
      <c r="IVP156" s="250"/>
      <c r="IVQ156" s="250"/>
      <c r="IVR156" s="250"/>
      <c r="IVS156" s="250"/>
      <c r="IVT156" s="250"/>
      <c r="IVU156" s="250"/>
      <c r="IVV156" s="250"/>
      <c r="IVW156" s="250"/>
      <c r="IVX156" s="250"/>
      <c r="IVY156" s="250"/>
      <c r="IVZ156" s="250"/>
      <c r="IWA156" s="250"/>
      <c r="IWB156" s="250"/>
      <c r="IWC156" s="250"/>
      <c r="IWD156" s="250"/>
      <c r="IWE156" s="250"/>
      <c r="IWF156" s="250"/>
      <c r="IWG156" s="250"/>
      <c r="IWH156" s="250"/>
      <c r="IWI156" s="250"/>
      <c r="IWJ156" s="250"/>
      <c r="IWK156" s="250"/>
      <c r="IWL156" s="250"/>
      <c r="IWM156" s="250"/>
      <c r="IWN156" s="250"/>
      <c r="IWO156" s="250"/>
      <c r="IWP156" s="250"/>
      <c r="IWQ156" s="250"/>
      <c r="IWR156" s="250"/>
      <c r="IWS156" s="250"/>
      <c r="IWT156" s="250"/>
      <c r="IWU156" s="250"/>
      <c r="IWV156" s="250"/>
      <c r="IWW156" s="250"/>
      <c r="IWX156" s="250"/>
      <c r="IWY156" s="250"/>
      <c r="IWZ156" s="250"/>
      <c r="IXA156" s="250"/>
      <c r="IXB156" s="250"/>
      <c r="IXC156" s="250"/>
      <c r="IXD156" s="250"/>
      <c r="IXE156" s="250"/>
      <c r="IXF156" s="250"/>
      <c r="IXG156" s="250"/>
      <c r="IXH156" s="250"/>
      <c r="IXI156" s="250"/>
      <c r="IXJ156" s="250"/>
      <c r="IXK156" s="250"/>
      <c r="IXL156" s="250"/>
      <c r="IXM156" s="250"/>
      <c r="IXN156" s="250"/>
      <c r="IXO156" s="250"/>
      <c r="IXP156" s="250"/>
      <c r="IXQ156" s="250"/>
      <c r="IXR156" s="250"/>
      <c r="IXS156" s="250"/>
      <c r="IXT156" s="250"/>
      <c r="IXU156" s="250"/>
      <c r="IXV156" s="250"/>
      <c r="IXW156" s="250"/>
      <c r="IXX156" s="250"/>
      <c r="IXY156" s="250"/>
      <c r="IXZ156" s="250"/>
      <c r="IYA156" s="250"/>
      <c r="IYB156" s="250"/>
      <c r="IYC156" s="250"/>
      <c r="IYD156" s="250"/>
      <c r="IYE156" s="250"/>
      <c r="IYF156" s="250"/>
      <c r="IYG156" s="250"/>
      <c r="IYH156" s="250"/>
      <c r="IYI156" s="250"/>
      <c r="IYJ156" s="250"/>
      <c r="IYK156" s="250"/>
      <c r="IYL156" s="250"/>
      <c r="IYM156" s="250"/>
      <c r="IYN156" s="250"/>
      <c r="IYO156" s="250"/>
      <c r="IYP156" s="250"/>
      <c r="IYQ156" s="250"/>
      <c r="IYR156" s="250"/>
      <c r="IYS156" s="250"/>
      <c r="IYT156" s="250"/>
      <c r="IYU156" s="250"/>
      <c r="IYV156" s="250"/>
      <c r="IYW156" s="250"/>
      <c r="IYX156" s="250"/>
      <c r="IYY156" s="250"/>
      <c r="IYZ156" s="250"/>
      <c r="IZA156" s="250"/>
      <c r="IZB156" s="250"/>
      <c r="IZC156" s="250"/>
      <c r="IZD156" s="250"/>
      <c r="IZE156" s="250"/>
      <c r="IZF156" s="250"/>
      <c r="IZG156" s="250"/>
      <c r="IZH156" s="250"/>
      <c r="IZI156" s="250"/>
      <c r="IZJ156" s="250"/>
      <c r="IZK156" s="250"/>
      <c r="IZL156" s="250"/>
      <c r="IZM156" s="250"/>
      <c r="IZN156" s="250"/>
      <c r="IZO156" s="250"/>
      <c r="IZP156" s="250"/>
      <c r="IZQ156" s="250"/>
      <c r="IZR156" s="250"/>
      <c r="IZS156" s="250"/>
      <c r="IZT156" s="250"/>
      <c r="IZU156" s="250"/>
      <c r="IZV156" s="250"/>
      <c r="IZW156" s="250"/>
      <c r="IZX156" s="250"/>
      <c r="IZY156" s="250"/>
      <c r="IZZ156" s="250"/>
      <c r="JAA156" s="250"/>
      <c r="JAB156" s="250"/>
      <c r="JAC156" s="250"/>
      <c r="JAD156" s="250"/>
      <c r="JAE156" s="250"/>
      <c r="JAF156" s="250"/>
      <c r="JAG156" s="250"/>
      <c r="JAH156" s="250"/>
      <c r="JAI156" s="250"/>
      <c r="JAJ156" s="250"/>
      <c r="JAK156" s="250"/>
      <c r="JAL156" s="250"/>
      <c r="JAM156" s="250"/>
      <c r="JAN156" s="250"/>
      <c r="JAO156" s="250"/>
      <c r="JAP156" s="250"/>
      <c r="JAQ156" s="250"/>
      <c r="JAR156" s="250"/>
      <c r="JAS156" s="250"/>
      <c r="JAT156" s="250"/>
      <c r="JAU156" s="250"/>
      <c r="JAV156" s="250"/>
      <c r="JAW156" s="250"/>
      <c r="JAX156" s="250"/>
      <c r="JAY156" s="250"/>
      <c r="JAZ156" s="250"/>
      <c r="JBA156" s="250"/>
      <c r="JBB156" s="250"/>
      <c r="JBC156" s="250"/>
      <c r="JBD156" s="250"/>
      <c r="JBE156" s="250"/>
      <c r="JBF156" s="250"/>
      <c r="JBG156" s="250"/>
      <c r="JBH156" s="250"/>
      <c r="JBI156" s="250"/>
      <c r="JBJ156" s="250"/>
      <c r="JBK156" s="250"/>
      <c r="JBL156" s="250"/>
      <c r="JBM156" s="250"/>
      <c r="JBN156" s="250"/>
      <c r="JBO156" s="250"/>
      <c r="JBP156" s="250"/>
      <c r="JBQ156" s="250"/>
      <c r="JBR156" s="250"/>
      <c r="JBS156" s="250"/>
      <c r="JBT156" s="250"/>
      <c r="JBU156" s="250"/>
      <c r="JBV156" s="250"/>
      <c r="JBW156" s="250"/>
      <c r="JBX156" s="250"/>
      <c r="JBY156" s="250"/>
      <c r="JBZ156" s="250"/>
      <c r="JCA156" s="250"/>
      <c r="JCB156" s="250"/>
      <c r="JCC156" s="250"/>
      <c r="JCD156" s="250"/>
      <c r="JCE156" s="250"/>
      <c r="JCF156" s="250"/>
      <c r="JCG156" s="250"/>
      <c r="JCH156" s="250"/>
      <c r="JCI156" s="250"/>
      <c r="JCJ156" s="250"/>
      <c r="JCK156" s="250"/>
      <c r="JCL156" s="250"/>
      <c r="JCM156" s="250"/>
      <c r="JCN156" s="250"/>
      <c r="JCO156" s="250"/>
      <c r="JCP156" s="250"/>
      <c r="JCQ156" s="250"/>
      <c r="JCR156" s="250"/>
      <c r="JCS156" s="250"/>
      <c r="JCT156" s="250"/>
      <c r="JCU156" s="250"/>
      <c r="JCV156" s="250"/>
      <c r="JCW156" s="250"/>
      <c r="JCX156" s="250"/>
      <c r="JCY156" s="250"/>
      <c r="JCZ156" s="250"/>
      <c r="JDA156" s="250"/>
      <c r="JDB156" s="250"/>
      <c r="JDC156" s="250"/>
      <c r="JDD156" s="250"/>
      <c r="JDE156" s="250"/>
      <c r="JDF156" s="250"/>
      <c r="JDG156" s="250"/>
      <c r="JDH156" s="250"/>
      <c r="JDI156" s="250"/>
      <c r="JDJ156" s="250"/>
      <c r="JDK156" s="250"/>
      <c r="JDL156" s="250"/>
      <c r="JDM156" s="250"/>
      <c r="JDN156" s="250"/>
      <c r="JDO156" s="250"/>
      <c r="JDP156" s="250"/>
      <c r="JDQ156" s="250"/>
      <c r="JDR156" s="250"/>
      <c r="JDS156" s="250"/>
      <c r="JDT156" s="250"/>
      <c r="JDU156" s="250"/>
      <c r="JDV156" s="250"/>
      <c r="JDW156" s="250"/>
      <c r="JDX156" s="250"/>
      <c r="JDY156" s="250"/>
      <c r="JDZ156" s="250"/>
      <c r="JEA156" s="250"/>
      <c r="JEB156" s="250"/>
      <c r="JEC156" s="250"/>
      <c r="JED156" s="250"/>
      <c r="JEE156" s="250"/>
      <c r="JEF156" s="250"/>
      <c r="JEG156" s="250"/>
      <c r="JEH156" s="250"/>
      <c r="JEI156" s="250"/>
      <c r="JEJ156" s="250"/>
      <c r="JEK156" s="250"/>
      <c r="JEL156" s="250"/>
      <c r="JEM156" s="250"/>
      <c r="JEN156" s="250"/>
      <c r="JEO156" s="250"/>
      <c r="JEP156" s="250"/>
      <c r="JEQ156" s="250"/>
      <c r="JER156" s="250"/>
      <c r="JES156" s="250"/>
      <c r="JET156" s="250"/>
      <c r="JEU156" s="250"/>
      <c r="JEV156" s="250"/>
      <c r="JEW156" s="250"/>
      <c r="JEX156" s="250"/>
      <c r="JEY156" s="250"/>
      <c r="JEZ156" s="250"/>
      <c r="JFA156" s="250"/>
      <c r="JFB156" s="250"/>
      <c r="JFC156" s="250"/>
      <c r="JFD156" s="250"/>
      <c r="JFE156" s="250"/>
      <c r="JFF156" s="250"/>
      <c r="JFG156" s="250"/>
      <c r="JFH156" s="250"/>
      <c r="JFI156" s="250"/>
      <c r="JFJ156" s="250"/>
      <c r="JFK156" s="250"/>
      <c r="JFL156" s="250"/>
      <c r="JFM156" s="250"/>
      <c r="JFN156" s="250"/>
      <c r="JFO156" s="250"/>
      <c r="JFP156" s="250"/>
      <c r="JFQ156" s="250"/>
      <c r="JFR156" s="250"/>
      <c r="JFS156" s="250"/>
      <c r="JFT156" s="250"/>
      <c r="JFU156" s="250"/>
      <c r="JFV156" s="250"/>
      <c r="JFW156" s="250"/>
      <c r="JFX156" s="250"/>
      <c r="JFY156" s="250"/>
      <c r="JFZ156" s="250"/>
      <c r="JGA156" s="250"/>
      <c r="JGB156" s="250"/>
      <c r="JGC156" s="250"/>
      <c r="JGD156" s="250"/>
      <c r="JGE156" s="250"/>
      <c r="JGF156" s="250"/>
      <c r="JGG156" s="250"/>
      <c r="JGH156" s="250"/>
      <c r="JGI156" s="250"/>
      <c r="JGJ156" s="250"/>
      <c r="JGK156" s="250"/>
      <c r="JGL156" s="250"/>
      <c r="JGM156" s="250"/>
      <c r="JGN156" s="250"/>
      <c r="JGO156" s="250"/>
      <c r="JGP156" s="250"/>
      <c r="JGQ156" s="250"/>
      <c r="JGR156" s="250"/>
      <c r="JGS156" s="250"/>
      <c r="JGT156" s="250"/>
      <c r="JGU156" s="250"/>
      <c r="JGV156" s="250"/>
      <c r="JGW156" s="250"/>
      <c r="JGX156" s="250"/>
      <c r="JGY156" s="250"/>
      <c r="JGZ156" s="250"/>
      <c r="JHA156" s="250"/>
      <c r="JHB156" s="250"/>
      <c r="JHC156" s="250"/>
      <c r="JHD156" s="250"/>
      <c r="JHE156" s="250"/>
      <c r="JHF156" s="250"/>
      <c r="JHG156" s="250"/>
      <c r="JHH156" s="250"/>
      <c r="JHI156" s="250"/>
      <c r="JHJ156" s="250"/>
      <c r="JHK156" s="250"/>
      <c r="JHL156" s="250"/>
      <c r="JHM156" s="250"/>
      <c r="JHN156" s="250"/>
      <c r="JHO156" s="250"/>
      <c r="JHP156" s="250"/>
      <c r="JHQ156" s="250"/>
      <c r="JHR156" s="250"/>
      <c r="JHS156" s="250"/>
      <c r="JHT156" s="250"/>
      <c r="JHU156" s="250"/>
      <c r="JHV156" s="250"/>
      <c r="JHW156" s="250"/>
      <c r="JHX156" s="250"/>
      <c r="JHY156" s="250"/>
      <c r="JHZ156" s="250"/>
      <c r="JIA156" s="250"/>
      <c r="JIB156" s="250"/>
      <c r="JIC156" s="250"/>
      <c r="JID156" s="250"/>
      <c r="JIE156" s="250"/>
      <c r="JIF156" s="250"/>
      <c r="JIG156" s="250"/>
      <c r="JIH156" s="250"/>
      <c r="JII156" s="250"/>
      <c r="JIJ156" s="250"/>
      <c r="JIK156" s="250"/>
      <c r="JIL156" s="250"/>
      <c r="JIM156" s="250"/>
      <c r="JIN156" s="250"/>
      <c r="JIO156" s="250"/>
      <c r="JIP156" s="250"/>
      <c r="JIQ156" s="250"/>
      <c r="JIR156" s="250"/>
      <c r="JIS156" s="250"/>
      <c r="JIT156" s="250"/>
      <c r="JIU156" s="250"/>
      <c r="JIV156" s="250"/>
      <c r="JIW156" s="250"/>
      <c r="JIX156" s="250"/>
      <c r="JIY156" s="250"/>
      <c r="JIZ156" s="250"/>
      <c r="JJA156" s="250"/>
      <c r="JJB156" s="250"/>
      <c r="JJC156" s="250"/>
      <c r="JJD156" s="250"/>
      <c r="JJE156" s="250"/>
      <c r="JJF156" s="250"/>
      <c r="JJG156" s="250"/>
      <c r="JJH156" s="250"/>
      <c r="JJI156" s="250"/>
      <c r="JJJ156" s="250"/>
      <c r="JJK156" s="250"/>
      <c r="JJL156" s="250"/>
      <c r="JJM156" s="250"/>
      <c r="JJN156" s="250"/>
      <c r="JJO156" s="250"/>
      <c r="JJP156" s="250"/>
      <c r="JJQ156" s="250"/>
      <c r="JJR156" s="250"/>
      <c r="JJS156" s="250"/>
      <c r="JJT156" s="250"/>
      <c r="JJU156" s="250"/>
      <c r="JJV156" s="250"/>
      <c r="JJW156" s="250"/>
      <c r="JJX156" s="250"/>
      <c r="JJY156" s="250"/>
      <c r="JJZ156" s="250"/>
      <c r="JKA156" s="250"/>
      <c r="JKB156" s="250"/>
      <c r="JKC156" s="250"/>
      <c r="JKD156" s="250"/>
      <c r="JKE156" s="250"/>
      <c r="JKF156" s="250"/>
      <c r="JKG156" s="250"/>
      <c r="JKH156" s="250"/>
      <c r="JKI156" s="250"/>
      <c r="JKJ156" s="250"/>
      <c r="JKK156" s="250"/>
      <c r="JKL156" s="250"/>
      <c r="JKM156" s="250"/>
      <c r="JKN156" s="250"/>
      <c r="JKO156" s="250"/>
      <c r="JKP156" s="250"/>
      <c r="JKQ156" s="250"/>
      <c r="JKR156" s="250"/>
      <c r="JKS156" s="250"/>
      <c r="JKT156" s="250"/>
      <c r="JKU156" s="250"/>
      <c r="JKV156" s="250"/>
      <c r="JKW156" s="250"/>
      <c r="JKX156" s="250"/>
      <c r="JKY156" s="250"/>
      <c r="JKZ156" s="250"/>
      <c r="JLA156" s="250"/>
      <c r="JLB156" s="250"/>
      <c r="JLC156" s="250"/>
      <c r="JLD156" s="250"/>
      <c r="JLE156" s="250"/>
      <c r="JLF156" s="250"/>
      <c r="JLG156" s="250"/>
      <c r="JLH156" s="250"/>
      <c r="JLI156" s="250"/>
      <c r="JLJ156" s="250"/>
      <c r="JLK156" s="250"/>
      <c r="JLL156" s="250"/>
      <c r="JLM156" s="250"/>
      <c r="JLN156" s="250"/>
      <c r="JLO156" s="250"/>
      <c r="JLP156" s="250"/>
      <c r="JLQ156" s="250"/>
      <c r="JLR156" s="250"/>
      <c r="JLS156" s="250"/>
      <c r="JLT156" s="250"/>
      <c r="JLU156" s="250"/>
      <c r="JLV156" s="250"/>
      <c r="JLW156" s="250"/>
      <c r="JLX156" s="250"/>
      <c r="JLY156" s="250"/>
      <c r="JLZ156" s="250"/>
      <c r="JMA156" s="250"/>
      <c r="JMB156" s="250"/>
      <c r="JMC156" s="250"/>
      <c r="JMD156" s="250"/>
      <c r="JME156" s="250"/>
      <c r="JMF156" s="250"/>
      <c r="JMG156" s="250"/>
      <c r="JMH156" s="250"/>
      <c r="JMI156" s="250"/>
      <c r="JMJ156" s="250"/>
      <c r="JMK156" s="250"/>
      <c r="JML156" s="250"/>
      <c r="JMM156" s="250"/>
      <c r="JMN156" s="250"/>
      <c r="JMO156" s="250"/>
      <c r="JMP156" s="250"/>
      <c r="JMQ156" s="250"/>
      <c r="JMR156" s="250"/>
      <c r="JMS156" s="250"/>
      <c r="JMT156" s="250"/>
      <c r="JMU156" s="250"/>
      <c r="JMV156" s="250"/>
      <c r="JMW156" s="250"/>
      <c r="JMX156" s="250"/>
      <c r="JMY156" s="250"/>
      <c r="JMZ156" s="250"/>
      <c r="JNA156" s="250"/>
      <c r="JNB156" s="250"/>
      <c r="JNC156" s="250"/>
      <c r="JND156" s="250"/>
      <c r="JNE156" s="250"/>
      <c r="JNF156" s="250"/>
      <c r="JNG156" s="250"/>
      <c r="JNH156" s="250"/>
      <c r="JNI156" s="250"/>
      <c r="JNJ156" s="250"/>
      <c r="JNK156" s="250"/>
      <c r="JNL156" s="250"/>
      <c r="JNM156" s="250"/>
      <c r="JNN156" s="250"/>
      <c r="JNO156" s="250"/>
      <c r="JNP156" s="250"/>
      <c r="JNQ156" s="250"/>
      <c r="JNR156" s="250"/>
      <c r="JNS156" s="250"/>
      <c r="JNT156" s="250"/>
      <c r="JNU156" s="250"/>
      <c r="JNV156" s="250"/>
      <c r="JNW156" s="250"/>
      <c r="JNX156" s="250"/>
      <c r="JNY156" s="250"/>
      <c r="JNZ156" s="250"/>
      <c r="JOA156" s="250"/>
      <c r="JOB156" s="250"/>
      <c r="JOC156" s="250"/>
      <c r="JOD156" s="250"/>
      <c r="JOE156" s="250"/>
      <c r="JOF156" s="250"/>
      <c r="JOG156" s="250"/>
      <c r="JOH156" s="250"/>
      <c r="JOI156" s="250"/>
      <c r="JOJ156" s="250"/>
      <c r="JOK156" s="250"/>
      <c r="JOL156" s="250"/>
      <c r="JOM156" s="250"/>
      <c r="JON156" s="250"/>
      <c r="JOO156" s="250"/>
      <c r="JOP156" s="250"/>
      <c r="JOQ156" s="250"/>
      <c r="JOR156" s="250"/>
      <c r="JOS156" s="250"/>
      <c r="JOT156" s="250"/>
      <c r="JOU156" s="250"/>
      <c r="JOV156" s="250"/>
      <c r="JOW156" s="250"/>
      <c r="JOX156" s="250"/>
      <c r="JOY156" s="250"/>
      <c r="JOZ156" s="250"/>
      <c r="JPA156" s="250"/>
      <c r="JPB156" s="250"/>
      <c r="JPC156" s="250"/>
      <c r="JPD156" s="250"/>
      <c r="JPE156" s="250"/>
      <c r="JPF156" s="250"/>
      <c r="JPG156" s="250"/>
      <c r="JPH156" s="250"/>
      <c r="JPI156" s="250"/>
      <c r="JPJ156" s="250"/>
      <c r="JPK156" s="250"/>
      <c r="JPL156" s="250"/>
      <c r="JPM156" s="250"/>
      <c r="JPN156" s="250"/>
      <c r="JPO156" s="250"/>
      <c r="JPP156" s="250"/>
      <c r="JPQ156" s="250"/>
      <c r="JPR156" s="250"/>
      <c r="JPS156" s="250"/>
      <c r="JPT156" s="250"/>
      <c r="JPU156" s="250"/>
      <c r="JPV156" s="250"/>
      <c r="JPW156" s="250"/>
      <c r="JPX156" s="250"/>
      <c r="JPY156" s="250"/>
      <c r="JPZ156" s="250"/>
      <c r="JQA156" s="250"/>
      <c r="JQB156" s="250"/>
      <c r="JQC156" s="250"/>
      <c r="JQD156" s="250"/>
      <c r="JQE156" s="250"/>
      <c r="JQF156" s="250"/>
      <c r="JQG156" s="250"/>
      <c r="JQH156" s="250"/>
      <c r="JQI156" s="250"/>
      <c r="JQJ156" s="250"/>
      <c r="JQK156" s="250"/>
      <c r="JQL156" s="250"/>
      <c r="JQM156" s="250"/>
      <c r="JQN156" s="250"/>
      <c r="JQO156" s="250"/>
      <c r="JQP156" s="250"/>
      <c r="JQQ156" s="250"/>
      <c r="JQR156" s="250"/>
      <c r="JQS156" s="250"/>
      <c r="JQT156" s="250"/>
      <c r="JQU156" s="250"/>
      <c r="JQV156" s="250"/>
      <c r="JQW156" s="250"/>
      <c r="JQX156" s="250"/>
      <c r="JQY156" s="250"/>
      <c r="JQZ156" s="250"/>
      <c r="JRA156" s="250"/>
      <c r="JRB156" s="250"/>
      <c r="JRC156" s="250"/>
      <c r="JRD156" s="250"/>
      <c r="JRE156" s="250"/>
      <c r="JRF156" s="250"/>
      <c r="JRG156" s="250"/>
      <c r="JRH156" s="250"/>
      <c r="JRI156" s="250"/>
      <c r="JRJ156" s="250"/>
      <c r="JRK156" s="250"/>
      <c r="JRL156" s="250"/>
      <c r="JRM156" s="250"/>
      <c r="JRN156" s="250"/>
      <c r="JRO156" s="250"/>
      <c r="JRP156" s="250"/>
      <c r="JRQ156" s="250"/>
      <c r="JRR156" s="250"/>
      <c r="JRS156" s="250"/>
      <c r="JRT156" s="250"/>
      <c r="JRU156" s="250"/>
      <c r="JRV156" s="250"/>
      <c r="JRW156" s="250"/>
      <c r="JRX156" s="250"/>
      <c r="JRY156" s="250"/>
      <c r="JRZ156" s="250"/>
      <c r="JSA156" s="250"/>
      <c r="JSB156" s="250"/>
      <c r="JSC156" s="250"/>
      <c r="JSD156" s="250"/>
      <c r="JSE156" s="250"/>
      <c r="JSF156" s="250"/>
      <c r="JSG156" s="250"/>
      <c r="JSH156" s="250"/>
      <c r="JSI156" s="250"/>
      <c r="JSJ156" s="250"/>
      <c r="JSK156" s="250"/>
      <c r="JSL156" s="250"/>
      <c r="JSM156" s="250"/>
      <c r="JSN156" s="250"/>
      <c r="JSO156" s="250"/>
      <c r="JSP156" s="250"/>
      <c r="JSQ156" s="250"/>
      <c r="JSR156" s="250"/>
      <c r="JSS156" s="250"/>
      <c r="JST156" s="250"/>
      <c r="JSU156" s="250"/>
      <c r="JSV156" s="250"/>
      <c r="JSW156" s="250"/>
      <c r="JSX156" s="250"/>
      <c r="JSY156" s="250"/>
      <c r="JSZ156" s="250"/>
      <c r="JTA156" s="250"/>
      <c r="JTB156" s="250"/>
      <c r="JTC156" s="250"/>
      <c r="JTD156" s="250"/>
      <c r="JTE156" s="250"/>
      <c r="JTF156" s="250"/>
      <c r="JTG156" s="250"/>
      <c r="JTH156" s="250"/>
      <c r="JTI156" s="250"/>
      <c r="JTJ156" s="250"/>
      <c r="JTK156" s="250"/>
      <c r="JTL156" s="250"/>
      <c r="JTM156" s="250"/>
      <c r="JTN156" s="250"/>
      <c r="JTO156" s="250"/>
      <c r="JTP156" s="250"/>
      <c r="JTQ156" s="250"/>
      <c r="JTR156" s="250"/>
      <c r="JTS156" s="250"/>
      <c r="JTT156" s="250"/>
      <c r="JTU156" s="250"/>
      <c r="JTV156" s="250"/>
      <c r="JTW156" s="250"/>
      <c r="JTX156" s="250"/>
      <c r="JTY156" s="250"/>
      <c r="JTZ156" s="250"/>
      <c r="JUA156" s="250"/>
      <c r="JUB156" s="250"/>
      <c r="JUC156" s="250"/>
      <c r="JUD156" s="250"/>
      <c r="JUE156" s="250"/>
      <c r="JUF156" s="250"/>
      <c r="JUG156" s="250"/>
      <c r="JUH156" s="250"/>
      <c r="JUI156" s="250"/>
      <c r="JUJ156" s="250"/>
      <c r="JUK156" s="250"/>
      <c r="JUL156" s="250"/>
      <c r="JUM156" s="250"/>
      <c r="JUN156" s="250"/>
      <c r="JUO156" s="250"/>
      <c r="JUP156" s="250"/>
      <c r="JUQ156" s="250"/>
      <c r="JUR156" s="250"/>
      <c r="JUS156" s="250"/>
      <c r="JUT156" s="250"/>
      <c r="JUU156" s="250"/>
      <c r="JUV156" s="250"/>
      <c r="JUW156" s="250"/>
      <c r="JUX156" s="250"/>
      <c r="JUY156" s="250"/>
      <c r="JUZ156" s="250"/>
      <c r="JVA156" s="250"/>
      <c r="JVB156" s="250"/>
      <c r="JVC156" s="250"/>
      <c r="JVD156" s="250"/>
      <c r="JVE156" s="250"/>
      <c r="JVF156" s="250"/>
      <c r="JVG156" s="250"/>
      <c r="JVH156" s="250"/>
      <c r="JVI156" s="250"/>
      <c r="JVJ156" s="250"/>
      <c r="JVK156" s="250"/>
      <c r="JVL156" s="250"/>
      <c r="JVM156" s="250"/>
      <c r="JVN156" s="250"/>
      <c r="JVO156" s="250"/>
      <c r="JVP156" s="250"/>
      <c r="JVQ156" s="250"/>
      <c r="JVR156" s="250"/>
      <c r="JVS156" s="250"/>
      <c r="JVT156" s="250"/>
      <c r="JVU156" s="250"/>
      <c r="JVV156" s="250"/>
      <c r="JVW156" s="250"/>
      <c r="JVX156" s="250"/>
      <c r="JVY156" s="250"/>
      <c r="JVZ156" s="250"/>
      <c r="JWA156" s="250"/>
      <c r="JWB156" s="250"/>
      <c r="JWC156" s="250"/>
      <c r="JWD156" s="250"/>
      <c r="JWE156" s="250"/>
      <c r="JWF156" s="250"/>
      <c r="JWG156" s="250"/>
      <c r="JWH156" s="250"/>
      <c r="JWI156" s="250"/>
      <c r="JWJ156" s="250"/>
      <c r="JWK156" s="250"/>
      <c r="JWL156" s="250"/>
      <c r="JWM156" s="250"/>
      <c r="JWN156" s="250"/>
      <c r="JWO156" s="250"/>
      <c r="JWP156" s="250"/>
      <c r="JWQ156" s="250"/>
      <c r="JWR156" s="250"/>
      <c r="JWS156" s="250"/>
      <c r="JWT156" s="250"/>
      <c r="JWU156" s="250"/>
      <c r="JWV156" s="250"/>
      <c r="JWW156" s="250"/>
      <c r="JWX156" s="250"/>
      <c r="JWY156" s="250"/>
      <c r="JWZ156" s="250"/>
      <c r="JXA156" s="250"/>
      <c r="JXB156" s="250"/>
      <c r="JXC156" s="250"/>
      <c r="JXD156" s="250"/>
      <c r="JXE156" s="250"/>
      <c r="JXF156" s="250"/>
      <c r="JXG156" s="250"/>
      <c r="JXH156" s="250"/>
      <c r="JXI156" s="250"/>
      <c r="JXJ156" s="250"/>
      <c r="JXK156" s="250"/>
      <c r="JXL156" s="250"/>
      <c r="JXM156" s="250"/>
      <c r="JXN156" s="250"/>
      <c r="JXO156" s="250"/>
      <c r="JXP156" s="250"/>
      <c r="JXQ156" s="250"/>
      <c r="JXR156" s="250"/>
      <c r="JXS156" s="250"/>
      <c r="JXT156" s="250"/>
      <c r="JXU156" s="250"/>
      <c r="JXV156" s="250"/>
      <c r="JXW156" s="250"/>
      <c r="JXX156" s="250"/>
      <c r="JXY156" s="250"/>
      <c r="JXZ156" s="250"/>
      <c r="JYA156" s="250"/>
      <c r="JYB156" s="250"/>
      <c r="JYC156" s="250"/>
      <c r="JYD156" s="250"/>
      <c r="JYE156" s="250"/>
      <c r="JYF156" s="250"/>
      <c r="JYG156" s="250"/>
      <c r="JYH156" s="250"/>
      <c r="JYI156" s="250"/>
      <c r="JYJ156" s="250"/>
      <c r="JYK156" s="250"/>
      <c r="JYL156" s="250"/>
      <c r="JYM156" s="250"/>
      <c r="JYN156" s="250"/>
      <c r="JYO156" s="250"/>
      <c r="JYP156" s="250"/>
      <c r="JYQ156" s="250"/>
      <c r="JYR156" s="250"/>
      <c r="JYS156" s="250"/>
      <c r="JYT156" s="250"/>
      <c r="JYU156" s="250"/>
      <c r="JYV156" s="250"/>
      <c r="JYW156" s="250"/>
      <c r="JYX156" s="250"/>
      <c r="JYY156" s="250"/>
      <c r="JYZ156" s="250"/>
      <c r="JZA156" s="250"/>
      <c r="JZB156" s="250"/>
      <c r="JZC156" s="250"/>
      <c r="JZD156" s="250"/>
      <c r="JZE156" s="250"/>
      <c r="JZF156" s="250"/>
      <c r="JZG156" s="250"/>
      <c r="JZH156" s="250"/>
      <c r="JZI156" s="250"/>
      <c r="JZJ156" s="250"/>
      <c r="JZK156" s="250"/>
      <c r="JZL156" s="250"/>
      <c r="JZM156" s="250"/>
      <c r="JZN156" s="250"/>
      <c r="JZO156" s="250"/>
      <c r="JZP156" s="250"/>
      <c r="JZQ156" s="250"/>
      <c r="JZR156" s="250"/>
      <c r="JZS156" s="250"/>
      <c r="JZT156" s="250"/>
      <c r="JZU156" s="250"/>
      <c r="JZV156" s="250"/>
      <c r="JZW156" s="250"/>
      <c r="JZX156" s="250"/>
      <c r="JZY156" s="250"/>
      <c r="JZZ156" s="250"/>
      <c r="KAA156" s="250"/>
      <c r="KAB156" s="250"/>
      <c r="KAC156" s="250"/>
      <c r="KAD156" s="250"/>
      <c r="KAE156" s="250"/>
      <c r="KAF156" s="250"/>
      <c r="KAG156" s="250"/>
      <c r="KAH156" s="250"/>
      <c r="KAI156" s="250"/>
      <c r="KAJ156" s="250"/>
      <c r="KAK156" s="250"/>
      <c r="KAL156" s="250"/>
      <c r="KAM156" s="250"/>
      <c r="KAN156" s="250"/>
      <c r="KAO156" s="250"/>
      <c r="KAP156" s="250"/>
      <c r="KAQ156" s="250"/>
      <c r="KAR156" s="250"/>
      <c r="KAS156" s="250"/>
      <c r="KAT156" s="250"/>
      <c r="KAU156" s="250"/>
      <c r="KAV156" s="250"/>
      <c r="KAW156" s="250"/>
      <c r="KAX156" s="250"/>
      <c r="KAY156" s="250"/>
      <c r="KAZ156" s="250"/>
      <c r="KBA156" s="250"/>
      <c r="KBB156" s="250"/>
      <c r="KBC156" s="250"/>
      <c r="KBD156" s="250"/>
      <c r="KBE156" s="250"/>
      <c r="KBF156" s="250"/>
      <c r="KBG156" s="250"/>
      <c r="KBH156" s="250"/>
      <c r="KBI156" s="250"/>
      <c r="KBJ156" s="250"/>
      <c r="KBK156" s="250"/>
      <c r="KBL156" s="250"/>
      <c r="KBM156" s="250"/>
      <c r="KBN156" s="250"/>
      <c r="KBO156" s="250"/>
      <c r="KBP156" s="250"/>
      <c r="KBQ156" s="250"/>
      <c r="KBR156" s="250"/>
      <c r="KBS156" s="250"/>
      <c r="KBT156" s="250"/>
      <c r="KBU156" s="250"/>
      <c r="KBV156" s="250"/>
      <c r="KBW156" s="250"/>
      <c r="KBX156" s="250"/>
      <c r="KBY156" s="250"/>
      <c r="KBZ156" s="250"/>
      <c r="KCA156" s="250"/>
      <c r="KCB156" s="250"/>
      <c r="KCC156" s="250"/>
      <c r="KCD156" s="250"/>
      <c r="KCE156" s="250"/>
      <c r="KCF156" s="250"/>
      <c r="KCG156" s="250"/>
      <c r="KCH156" s="250"/>
      <c r="KCI156" s="250"/>
      <c r="KCJ156" s="250"/>
      <c r="KCK156" s="250"/>
      <c r="KCL156" s="250"/>
      <c r="KCM156" s="250"/>
      <c r="KCN156" s="250"/>
      <c r="KCO156" s="250"/>
      <c r="KCP156" s="250"/>
      <c r="KCQ156" s="250"/>
      <c r="KCR156" s="250"/>
      <c r="KCS156" s="250"/>
      <c r="KCT156" s="250"/>
      <c r="KCU156" s="250"/>
      <c r="KCV156" s="250"/>
      <c r="KCW156" s="250"/>
      <c r="KCX156" s="250"/>
      <c r="KCY156" s="250"/>
      <c r="KCZ156" s="250"/>
      <c r="KDA156" s="250"/>
      <c r="KDB156" s="250"/>
      <c r="KDC156" s="250"/>
      <c r="KDD156" s="250"/>
      <c r="KDE156" s="250"/>
      <c r="KDF156" s="250"/>
      <c r="KDG156" s="250"/>
      <c r="KDH156" s="250"/>
      <c r="KDI156" s="250"/>
      <c r="KDJ156" s="250"/>
      <c r="KDK156" s="250"/>
      <c r="KDL156" s="250"/>
      <c r="KDM156" s="250"/>
      <c r="KDN156" s="250"/>
      <c r="KDO156" s="250"/>
      <c r="KDP156" s="250"/>
      <c r="KDQ156" s="250"/>
      <c r="KDR156" s="250"/>
      <c r="KDS156" s="250"/>
      <c r="KDT156" s="250"/>
      <c r="KDU156" s="250"/>
      <c r="KDV156" s="250"/>
      <c r="KDW156" s="250"/>
      <c r="KDX156" s="250"/>
      <c r="KDY156" s="250"/>
      <c r="KDZ156" s="250"/>
      <c r="KEA156" s="250"/>
      <c r="KEB156" s="250"/>
      <c r="KEC156" s="250"/>
      <c r="KED156" s="250"/>
      <c r="KEE156" s="250"/>
      <c r="KEF156" s="250"/>
      <c r="KEG156" s="250"/>
      <c r="KEH156" s="250"/>
      <c r="KEI156" s="250"/>
      <c r="KEJ156" s="250"/>
      <c r="KEK156" s="250"/>
      <c r="KEL156" s="250"/>
      <c r="KEM156" s="250"/>
      <c r="KEN156" s="250"/>
      <c r="KEO156" s="250"/>
      <c r="KEP156" s="250"/>
      <c r="KEQ156" s="250"/>
      <c r="KER156" s="250"/>
      <c r="KES156" s="250"/>
      <c r="KET156" s="250"/>
      <c r="KEU156" s="250"/>
      <c r="KEV156" s="250"/>
      <c r="KEW156" s="250"/>
      <c r="KEX156" s="250"/>
      <c r="KEY156" s="250"/>
      <c r="KEZ156" s="250"/>
      <c r="KFA156" s="250"/>
      <c r="KFB156" s="250"/>
      <c r="KFC156" s="250"/>
      <c r="KFD156" s="250"/>
      <c r="KFE156" s="250"/>
      <c r="KFF156" s="250"/>
      <c r="KFG156" s="250"/>
      <c r="KFH156" s="250"/>
      <c r="KFI156" s="250"/>
      <c r="KFJ156" s="250"/>
      <c r="KFK156" s="250"/>
      <c r="KFL156" s="250"/>
      <c r="KFM156" s="250"/>
      <c r="KFN156" s="250"/>
      <c r="KFO156" s="250"/>
      <c r="KFP156" s="250"/>
      <c r="KFQ156" s="250"/>
      <c r="KFR156" s="250"/>
      <c r="KFS156" s="250"/>
      <c r="KFT156" s="250"/>
      <c r="KFU156" s="250"/>
      <c r="KFV156" s="250"/>
      <c r="KFW156" s="250"/>
      <c r="KFX156" s="250"/>
      <c r="KFY156" s="250"/>
      <c r="KFZ156" s="250"/>
      <c r="KGA156" s="250"/>
      <c r="KGB156" s="250"/>
      <c r="KGC156" s="250"/>
      <c r="KGD156" s="250"/>
      <c r="KGE156" s="250"/>
      <c r="KGF156" s="250"/>
      <c r="KGG156" s="250"/>
      <c r="KGH156" s="250"/>
      <c r="KGI156" s="250"/>
      <c r="KGJ156" s="250"/>
      <c r="KGK156" s="250"/>
      <c r="KGL156" s="250"/>
      <c r="KGM156" s="250"/>
      <c r="KGN156" s="250"/>
      <c r="KGO156" s="250"/>
      <c r="KGP156" s="250"/>
      <c r="KGQ156" s="250"/>
      <c r="KGR156" s="250"/>
      <c r="KGS156" s="250"/>
      <c r="KGT156" s="250"/>
      <c r="KGU156" s="250"/>
      <c r="KGV156" s="250"/>
      <c r="KGW156" s="250"/>
      <c r="KGX156" s="250"/>
      <c r="KGY156" s="250"/>
      <c r="KGZ156" s="250"/>
      <c r="KHA156" s="250"/>
      <c r="KHB156" s="250"/>
      <c r="KHC156" s="250"/>
      <c r="KHD156" s="250"/>
      <c r="KHE156" s="250"/>
      <c r="KHF156" s="250"/>
      <c r="KHG156" s="250"/>
      <c r="KHH156" s="250"/>
      <c r="KHI156" s="250"/>
      <c r="KHJ156" s="250"/>
      <c r="KHK156" s="250"/>
      <c r="KHL156" s="250"/>
      <c r="KHM156" s="250"/>
      <c r="KHN156" s="250"/>
      <c r="KHO156" s="250"/>
      <c r="KHP156" s="250"/>
      <c r="KHQ156" s="250"/>
      <c r="KHR156" s="250"/>
      <c r="KHS156" s="250"/>
      <c r="KHT156" s="250"/>
      <c r="KHU156" s="250"/>
      <c r="KHV156" s="250"/>
      <c r="KHW156" s="250"/>
      <c r="KHX156" s="250"/>
      <c r="KHY156" s="250"/>
      <c r="KHZ156" s="250"/>
      <c r="KIA156" s="250"/>
      <c r="KIB156" s="250"/>
      <c r="KIC156" s="250"/>
      <c r="KID156" s="250"/>
      <c r="KIE156" s="250"/>
      <c r="KIF156" s="250"/>
      <c r="KIG156" s="250"/>
      <c r="KIH156" s="250"/>
      <c r="KII156" s="250"/>
      <c r="KIJ156" s="250"/>
      <c r="KIK156" s="250"/>
      <c r="KIL156" s="250"/>
      <c r="KIM156" s="250"/>
      <c r="KIN156" s="250"/>
      <c r="KIO156" s="250"/>
      <c r="KIP156" s="250"/>
      <c r="KIQ156" s="250"/>
      <c r="KIR156" s="250"/>
      <c r="KIS156" s="250"/>
      <c r="KIT156" s="250"/>
      <c r="KIU156" s="250"/>
      <c r="KIV156" s="250"/>
      <c r="KIW156" s="250"/>
      <c r="KIX156" s="250"/>
      <c r="KIY156" s="250"/>
      <c r="KIZ156" s="250"/>
      <c r="KJA156" s="250"/>
      <c r="KJB156" s="250"/>
      <c r="KJC156" s="250"/>
      <c r="KJD156" s="250"/>
      <c r="KJE156" s="250"/>
      <c r="KJF156" s="250"/>
      <c r="KJG156" s="250"/>
      <c r="KJH156" s="250"/>
      <c r="KJI156" s="250"/>
      <c r="KJJ156" s="250"/>
      <c r="KJK156" s="250"/>
      <c r="KJL156" s="250"/>
      <c r="KJM156" s="250"/>
      <c r="KJN156" s="250"/>
      <c r="KJO156" s="250"/>
      <c r="KJP156" s="250"/>
      <c r="KJQ156" s="250"/>
      <c r="KJR156" s="250"/>
      <c r="KJS156" s="250"/>
      <c r="KJT156" s="250"/>
      <c r="KJU156" s="250"/>
      <c r="KJV156" s="250"/>
      <c r="KJW156" s="250"/>
      <c r="KJX156" s="250"/>
      <c r="KJY156" s="250"/>
      <c r="KJZ156" s="250"/>
      <c r="KKA156" s="250"/>
      <c r="KKB156" s="250"/>
      <c r="KKC156" s="250"/>
      <c r="KKD156" s="250"/>
      <c r="KKE156" s="250"/>
      <c r="KKF156" s="250"/>
      <c r="KKG156" s="250"/>
      <c r="KKH156" s="250"/>
      <c r="KKI156" s="250"/>
      <c r="KKJ156" s="250"/>
      <c r="KKK156" s="250"/>
      <c r="KKL156" s="250"/>
      <c r="KKM156" s="250"/>
      <c r="KKN156" s="250"/>
      <c r="KKO156" s="250"/>
      <c r="KKP156" s="250"/>
      <c r="KKQ156" s="250"/>
      <c r="KKR156" s="250"/>
      <c r="KKS156" s="250"/>
      <c r="KKT156" s="250"/>
      <c r="KKU156" s="250"/>
      <c r="KKV156" s="250"/>
      <c r="KKW156" s="250"/>
      <c r="KKX156" s="250"/>
      <c r="KKY156" s="250"/>
      <c r="KKZ156" s="250"/>
      <c r="KLA156" s="250"/>
      <c r="KLB156" s="250"/>
      <c r="KLC156" s="250"/>
      <c r="KLD156" s="250"/>
      <c r="KLE156" s="250"/>
      <c r="KLF156" s="250"/>
      <c r="KLG156" s="250"/>
      <c r="KLH156" s="250"/>
      <c r="KLI156" s="250"/>
      <c r="KLJ156" s="250"/>
      <c r="KLK156" s="250"/>
      <c r="KLL156" s="250"/>
      <c r="KLM156" s="250"/>
      <c r="KLN156" s="250"/>
      <c r="KLO156" s="250"/>
      <c r="KLP156" s="250"/>
      <c r="KLQ156" s="250"/>
      <c r="KLR156" s="250"/>
      <c r="KLS156" s="250"/>
      <c r="KLT156" s="250"/>
      <c r="KLU156" s="250"/>
      <c r="KLV156" s="250"/>
      <c r="KLW156" s="250"/>
      <c r="KLX156" s="250"/>
      <c r="KLY156" s="250"/>
      <c r="KLZ156" s="250"/>
      <c r="KMA156" s="250"/>
      <c r="KMB156" s="250"/>
      <c r="KMC156" s="250"/>
      <c r="KMD156" s="250"/>
      <c r="KME156" s="250"/>
      <c r="KMF156" s="250"/>
      <c r="KMG156" s="250"/>
      <c r="KMH156" s="250"/>
      <c r="KMI156" s="250"/>
      <c r="KMJ156" s="250"/>
      <c r="KMK156" s="250"/>
      <c r="KML156" s="250"/>
      <c r="KMM156" s="250"/>
      <c r="KMN156" s="250"/>
      <c r="KMO156" s="250"/>
      <c r="KMP156" s="250"/>
      <c r="KMQ156" s="250"/>
      <c r="KMR156" s="250"/>
      <c r="KMS156" s="250"/>
      <c r="KMT156" s="250"/>
      <c r="KMU156" s="250"/>
      <c r="KMV156" s="250"/>
      <c r="KMW156" s="250"/>
      <c r="KMX156" s="250"/>
      <c r="KMY156" s="250"/>
      <c r="KMZ156" s="250"/>
      <c r="KNA156" s="250"/>
      <c r="KNB156" s="250"/>
      <c r="KNC156" s="250"/>
      <c r="KND156" s="250"/>
      <c r="KNE156" s="250"/>
      <c r="KNF156" s="250"/>
      <c r="KNG156" s="250"/>
      <c r="KNH156" s="250"/>
      <c r="KNI156" s="250"/>
      <c r="KNJ156" s="250"/>
      <c r="KNK156" s="250"/>
      <c r="KNL156" s="250"/>
      <c r="KNM156" s="250"/>
      <c r="KNN156" s="250"/>
      <c r="KNO156" s="250"/>
      <c r="KNP156" s="250"/>
      <c r="KNQ156" s="250"/>
      <c r="KNR156" s="250"/>
      <c r="KNS156" s="250"/>
      <c r="KNT156" s="250"/>
      <c r="KNU156" s="250"/>
      <c r="KNV156" s="250"/>
      <c r="KNW156" s="250"/>
      <c r="KNX156" s="250"/>
      <c r="KNY156" s="250"/>
      <c r="KNZ156" s="250"/>
      <c r="KOA156" s="250"/>
      <c r="KOB156" s="250"/>
      <c r="KOC156" s="250"/>
      <c r="KOD156" s="250"/>
      <c r="KOE156" s="250"/>
      <c r="KOF156" s="250"/>
      <c r="KOG156" s="250"/>
      <c r="KOH156" s="250"/>
      <c r="KOI156" s="250"/>
      <c r="KOJ156" s="250"/>
      <c r="KOK156" s="250"/>
      <c r="KOL156" s="250"/>
      <c r="KOM156" s="250"/>
      <c r="KON156" s="250"/>
      <c r="KOO156" s="250"/>
      <c r="KOP156" s="250"/>
      <c r="KOQ156" s="250"/>
      <c r="KOR156" s="250"/>
      <c r="KOS156" s="250"/>
      <c r="KOT156" s="250"/>
      <c r="KOU156" s="250"/>
      <c r="KOV156" s="250"/>
      <c r="KOW156" s="250"/>
      <c r="KOX156" s="250"/>
      <c r="KOY156" s="250"/>
      <c r="KOZ156" s="250"/>
      <c r="KPA156" s="250"/>
      <c r="KPB156" s="250"/>
      <c r="KPC156" s="250"/>
      <c r="KPD156" s="250"/>
      <c r="KPE156" s="250"/>
      <c r="KPF156" s="250"/>
      <c r="KPG156" s="250"/>
      <c r="KPH156" s="250"/>
      <c r="KPI156" s="250"/>
      <c r="KPJ156" s="250"/>
      <c r="KPK156" s="250"/>
      <c r="KPL156" s="250"/>
      <c r="KPM156" s="250"/>
      <c r="KPN156" s="250"/>
      <c r="KPO156" s="250"/>
      <c r="KPP156" s="250"/>
      <c r="KPQ156" s="250"/>
      <c r="KPR156" s="250"/>
      <c r="KPS156" s="250"/>
      <c r="KPT156" s="250"/>
      <c r="KPU156" s="250"/>
      <c r="KPV156" s="250"/>
      <c r="KPW156" s="250"/>
      <c r="KPX156" s="250"/>
      <c r="KPY156" s="250"/>
      <c r="KPZ156" s="250"/>
      <c r="KQA156" s="250"/>
      <c r="KQB156" s="250"/>
      <c r="KQC156" s="250"/>
      <c r="KQD156" s="250"/>
      <c r="KQE156" s="250"/>
      <c r="KQF156" s="250"/>
      <c r="KQG156" s="250"/>
      <c r="KQH156" s="250"/>
      <c r="KQI156" s="250"/>
      <c r="KQJ156" s="250"/>
      <c r="KQK156" s="250"/>
      <c r="KQL156" s="250"/>
      <c r="KQM156" s="250"/>
      <c r="KQN156" s="250"/>
      <c r="KQO156" s="250"/>
      <c r="KQP156" s="250"/>
      <c r="KQQ156" s="250"/>
      <c r="KQR156" s="250"/>
      <c r="KQS156" s="250"/>
      <c r="KQT156" s="250"/>
      <c r="KQU156" s="250"/>
      <c r="KQV156" s="250"/>
      <c r="KQW156" s="250"/>
      <c r="KQX156" s="250"/>
      <c r="KQY156" s="250"/>
      <c r="KQZ156" s="250"/>
      <c r="KRA156" s="250"/>
      <c r="KRB156" s="250"/>
      <c r="KRC156" s="250"/>
      <c r="KRD156" s="250"/>
      <c r="KRE156" s="250"/>
      <c r="KRF156" s="250"/>
      <c r="KRG156" s="250"/>
      <c r="KRH156" s="250"/>
      <c r="KRI156" s="250"/>
      <c r="KRJ156" s="250"/>
      <c r="KRK156" s="250"/>
      <c r="KRL156" s="250"/>
      <c r="KRM156" s="250"/>
      <c r="KRN156" s="250"/>
      <c r="KRO156" s="250"/>
      <c r="KRP156" s="250"/>
      <c r="KRQ156" s="250"/>
      <c r="KRR156" s="250"/>
      <c r="KRS156" s="250"/>
      <c r="KRT156" s="250"/>
      <c r="KRU156" s="250"/>
      <c r="KRV156" s="250"/>
      <c r="KRW156" s="250"/>
      <c r="KRX156" s="250"/>
      <c r="KRY156" s="250"/>
      <c r="KRZ156" s="250"/>
      <c r="KSA156" s="250"/>
      <c r="KSB156" s="250"/>
      <c r="KSC156" s="250"/>
      <c r="KSD156" s="250"/>
      <c r="KSE156" s="250"/>
      <c r="KSF156" s="250"/>
      <c r="KSG156" s="250"/>
      <c r="KSH156" s="250"/>
      <c r="KSI156" s="250"/>
      <c r="KSJ156" s="250"/>
      <c r="KSK156" s="250"/>
      <c r="KSL156" s="250"/>
      <c r="KSM156" s="250"/>
      <c r="KSN156" s="250"/>
      <c r="KSO156" s="250"/>
      <c r="KSP156" s="250"/>
      <c r="KSQ156" s="250"/>
      <c r="KSR156" s="250"/>
      <c r="KSS156" s="250"/>
      <c r="KST156" s="250"/>
      <c r="KSU156" s="250"/>
      <c r="KSV156" s="250"/>
      <c r="KSW156" s="250"/>
      <c r="KSX156" s="250"/>
      <c r="KSY156" s="250"/>
      <c r="KSZ156" s="250"/>
      <c r="KTA156" s="250"/>
      <c r="KTB156" s="250"/>
      <c r="KTC156" s="250"/>
      <c r="KTD156" s="250"/>
      <c r="KTE156" s="250"/>
      <c r="KTF156" s="250"/>
      <c r="KTG156" s="250"/>
      <c r="KTH156" s="250"/>
      <c r="KTI156" s="250"/>
      <c r="KTJ156" s="250"/>
      <c r="KTK156" s="250"/>
      <c r="KTL156" s="250"/>
      <c r="KTM156" s="250"/>
      <c r="KTN156" s="250"/>
      <c r="KTO156" s="250"/>
      <c r="KTP156" s="250"/>
      <c r="KTQ156" s="250"/>
      <c r="KTR156" s="250"/>
      <c r="KTS156" s="250"/>
      <c r="KTT156" s="250"/>
      <c r="KTU156" s="250"/>
      <c r="KTV156" s="250"/>
      <c r="KTW156" s="250"/>
      <c r="KTX156" s="250"/>
      <c r="KTY156" s="250"/>
      <c r="KTZ156" s="250"/>
      <c r="KUA156" s="250"/>
      <c r="KUB156" s="250"/>
      <c r="KUC156" s="250"/>
      <c r="KUD156" s="250"/>
      <c r="KUE156" s="250"/>
      <c r="KUF156" s="250"/>
      <c r="KUG156" s="250"/>
      <c r="KUH156" s="250"/>
      <c r="KUI156" s="250"/>
      <c r="KUJ156" s="250"/>
      <c r="KUK156" s="250"/>
      <c r="KUL156" s="250"/>
      <c r="KUM156" s="250"/>
      <c r="KUN156" s="250"/>
      <c r="KUO156" s="250"/>
      <c r="KUP156" s="250"/>
      <c r="KUQ156" s="250"/>
      <c r="KUR156" s="250"/>
      <c r="KUS156" s="250"/>
      <c r="KUT156" s="250"/>
      <c r="KUU156" s="250"/>
      <c r="KUV156" s="250"/>
      <c r="KUW156" s="250"/>
      <c r="KUX156" s="250"/>
      <c r="KUY156" s="250"/>
      <c r="KUZ156" s="250"/>
      <c r="KVA156" s="250"/>
      <c r="KVB156" s="250"/>
      <c r="KVC156" s="250"/>
      <c r="KVD156" s="250"/>
      <c r="KVE156" s="250"/>
      <c r="KVF156" s="250"/>
      <c r="KVG156" s="250"/>
      <c r="KVH156" s="250"/>
      <c r="KVI156" s="250"/>
      <c r="KVJ156" s="250"/>
      <c r="KVK156" s="250"/>
      <c r="KVL156" s="250"/>
      <c r="KVM156" s="250"/>
      <c r="KVN156" s="250"/>
      <c r="KVO156" s="250"/>
      <c r="KVP156" s="250"/>
      <c r="KVQ156" s="250"/>
      <c r="KVR156" s="250"/>
      <c r="KVS156" s="250"/>
      <c r="KVT156" s="250"/>
      <c r="KVU156" s="250"/>
      <c r="KVV156" s="250"/>
      <c r="KVW156" s="250"/>
      <c r="KVX156" s="250"/>
      <c r="KVY156" s="250"/>
      <c r="KVZ156" s="250"/>
      <c r="KWA156" s="250"/>
      <c r="KWB156" s="250"/>
      <c r="KWC156" s="250"/>
      <c r="KWD156" s="250"/>
      <c r="KWE156" s="250"/>
      <c r="KWF156" s="250"/>
      <c r="KWG156" s="250"/>
      <c r="KWH156" s="250"/>
      <c r="KWI156" s="250"/>
      <c r="KWJ156" s="250"/>
      <c r="KWK156" s="250"/>
      <c r="KWL156" s="250"/>
      <c r="KWM156" s="250"/>
      <c r="KWN156" s="250"/>
      <c r="KWO156" s="250"/>
      <c r="KWP156" s="250"/>
      <c r="KWQ156" s="250"/>
      <c r="KWR156" s="250"/>
      <c r="KWS156" s="250"/>
      <c r="KWT156" s="250"/>
      <c r="KWU156" s="250"/>
      <c r="KWV156" s="250"/>
      <c r="KWW156" s="250"/>
      <c r="KWX156" s="250"/>
      <c r="KWY156" s="250"/>
      <c r="KWZ156" s="250"/>
      <c r="KXA156" s="250"/>
      <c r="KXB156" s="250"/>
      <c r="KXC156" s="250"/>
      <c r="KXD156" s="250"/>
      <c r="KXE156" s="250"/>
      <c r="KXF156" s="250"/>
      <c r="KXG156" s="250"/>
      <c r="KXH156" s="250"/>
      <c r="KXI156" s="250"/>
      <c r="KXJ156" s="250"/>
      <c r="KXK156" s="250"/>
      <c r="KXL156" s="250"/>
      <c r="KXM156" s="250"/>
      <c r="KXN156" s="250"/>
      <c r="KXO156" s="250"/>
      <c r="KXP156" s="250"/>
      <c r="KXQ156" s="250"/>
      <c r="KXR156" s="250"/>
      <c r="KXS156" s="250"/>
      <c r="KXT156" s="250"/>
      <c r="KXU156" s="250"/>
      <c r="KXV156" s="250"/>
      <c r="KXW156" s="250"/>
      <c r="KXX156" s="250"/>
      <c r="KXY156" s="250"/>
      <c r="KXZ156" s="250"/>
      <c r="KYA156" s="250"/>
      <c r="KYB156" s="250"/>
      <c r="KYC156" s="250"/>
      <c r="KYD156" s="250"/>
      <c r="KYE156" s="250"/>
      <c r="KYF156" s="250"/>
      <c r="KYG156" s="250"/>
      <c r="KYH156" s="250"/>
      <c r="KYI156" s="250"/>
      <c r="KYJ156" s="250"/>
      <c r="KYK156" s="250"/>
      <c r="KYL156" s="250"/>
      <c r="KYM156" s="250"/>
      <c r="KYN156" s="250"/>
      <c r="KYO156" s="250"/>
      <c r="KYP156" s="250"/>
      <c r="KYQ156" s="250"/>
      <c r="KYR156" s="250"/>
      <c r="KYS156" s="250"/>
      <c r="KYT156" s="250"/>
      <c r="KYU156" s="250"/>
      <c r="KYV156" s="250"/>
      <c r="KYW156" s="250"/>
      <c r="KYX156" s="250"/>
      <c r="KYY156" s="250"/>
      <c r="KYZ156" s="250"/>
      <c r="KZA156" s="250"/>
      <c r="KZB156" s="250"/>
      <c r="KZC156" s="250"/>
      <c r="KZD156" s="250"/>
      <c r="KZE156" s="250"/>
      <c r="KZF156" s="250"/>
      <c r="KZG156" s="250"/>
      <c r="KZH156" s="250"/>
      <c r="KZI156" s="250"/>
      <c r="KZJ156" s="250"/>
      <c r="KZK156" s="250"/>
      <c r="KZL156" s="250"/>
      <c r="KZM156" s="250"/>
      <c r="KZN156" s="250"/>
      <c r="KZO156" s="250"/>
      <c r="KZP156" s="250"/>
      <c r="KZQ156" s="250"/>
      <c r="KZR156" s="250"/>
      <c r="KZS156" s="250"/>
      <c r="KZT156" s="250"/>
      <c r="KZU156" s="250"/>
      <c r="KZV156" s="250"/>
      <c r="KZW156" s="250"/>
      <c r="KZX156" s="250"/>
      <c r="KZY156" s="250"/>
      <c r="KZZ156" s="250"/>
      <c r="LAA156" s="250"/>
      <c r="LAB156" s="250"/>
      <c r="LAC156" s="250"/>
      <c r="LAD156" s="250"/>
      <c r="LAE156" s="250"/>
      <c r="LAF156" s="250"/>
      <c r="LAG156" s="250"/>
      <c r="LAH156" s="250"/>
      <c r="LAI156" s="250"/>
      <c r="LAJ156" s="250"/>
      <c r="LAK156" s="250"/>
      <c r="LAL156" s="250"/>
      <c r="LAM156" s="250"/>
      <c r="LAN156" s="250"/>
      <c r="LAO156" s="250"/>
      <c r="LAP156" s="250"/>
      <c r="LAQ156" s="250"/>
      <c r="LAR156" s="250"/>
      <c r="LAS156" s="250"/>
      <c r="LAT156" s="250"/>
      <c r="LAU156" s="250"/>
      <c r="LAV156" s="250"/>
      <c r="LAW156" s="250"/>
      <c r="LAX156" s="250"/>
      <c r="LAY156" s="250"/>
      <c r="LAZ156" s="250"/>
      <c r="LBA156" s="250"/>
      <c r="LBB156" s="250"/>
      <c r="LBC156" s="250"/>
      <c r="LBD156" s="250"/>
      <c r="LBE156" s="250"/>
      <c r="LBF156" s="250"/>
      <c r="LBG156" s="250"/>
      <c r="LBH156" s="250"/>
      <c r="LBI156" s="250"/>
      <c r="LBJ156" s="250"/>
      <c r="LBK156" s="250"/>
      <c r="LBL156" s="250"/>
      <c r="LBM156" s="250"/>
      <c r="LBN156" s="250"/>
      <c r="LBO156" s="250"/>
      <c r="LBP156" s="250"/>
      <c r="LBQ156" s="250"/>
      <c r="LBR156" s="250"/>
      <c r="LBS156" s="250"/>
      <c r="LBT156" s="250"/>
      <c r="LBU156" s="250"/>
      <c r="LBV156" s="250"/>
      <c r="LBW156" s="250"/>
      <c r="LBX156" s="250"/>
      <c r="LBY156" s="250"/>
      <c r="LBZ156" s="250"/>
      <c r="LCA156" s="250"/>
      <c r="LCB156" s="250"/>
      <c r="LCC156" s="250"/>
      <c r="LCD156" s="250"/>
      <c r="LCE156" s="250"/>
      <c r="LCF156" s="250"/>
      <c r="LCG156" s="250"/>
      <c r="LCH156" s="250"/>
      <c r="LCI156" s="250"/>
      <c r="LCJ156" s="250"/>
      <c r="LCK156" s="250"/>
      <c r="LCL156" s="250"/>
      <c r="LCM156" s="250"/>
      <c r="LCN156" s="250"/>
      <c r="LCO156" s="250"/>
      <c r="LCP156" s="250"/>
      <c r="LCQ156" s="250"/>
      <c r="LCR156" s="250"/>
      <c r="LCS156" s="250"/>
      <c r="LCT156" s="250"/>
      <c r="LCU156" s="250"/>
      <c r="LCV156" s="250"/>
      <c r="LCW156" s="250"/>
      <c r="LCX156" s="250"/>
      <c r="LCY156" s="250"/>
      <c r="LCZ156" s="250"/>
      <c r="LDA156" s="250"/>
      <c r="LDB156" s="250"/>
      <c r="LDC156" s="250"/>
      <c r="LDD156" s="250"/>
      <c r="LDE156" s="250"/>
      <c r="LDF156" s="250"/>
      <c r="LDG156" s="250"/>
      <c r="LDH156" s="250"/>
      <c r="LDI156" s="250"/>
      <c r="LDJ156" s="250"/>
      <c r="LDK156" s="250"/>
      <c r="LDL156" s="250"/>
      <c r="LDM156" s="250"/>
      <c r="LDN156" s="250"/>
      <c r="LDO156" s="250"/>
      <c r="LDP156" s="250"/>
      <c r="LDQ156" s="250"/>
      <c r="LDR156" s="250"/>
      <c r="LDS156" s="250"/>
      <c r="LDT156" s="250"/>
      <c r="LDU156" s="250"/>
      <c r="LDV156" s="250"/>
      <c r="LDW156" s="250"/>
      <c r="LDX156" s="250"/>
      <c r="LDY156" s="250"/>
      <c r="LDZ156" s="250"/>
      <c r="LEA156" s="250"/>
      <c r="LEB156" s="250"/>
      <c r="LEC156" s="250"/>
      <c r="LED156" s="250"/>
      <c r="LEE156" s="250"/>
      <c r="LEF156" s="250"/>
      <c r="LEG156" s="250"/>
      <c r="LEH156" s="250"/>
      <c r="LEI156" s="250"/>
      <c r="LEJ156" s="250"/>
      <c r="LEK156" s="250"/>
      <c r="LEL156" s="250"/>
      <c r="LEM156" s="250"/>
      <c r="LEN156" s="250"/>
      <c r="LEO156" s="250"/>
      <c r="LEP156" s="250"/>
      <c r="LEQ156" s="250"/>
      <c r="LER156" s="250"/>
      <c r="LES156" s="250"/>
      <c r="LET156" s="250"/>
      <c r="LEU156" s="250"/>
      <c r="LEV156" s="250"/>
      <c r="LEW156" s="250"/>
      <c r="LEX156" s="250"/>
      <c r="LEY156" s="250"/>
      <c r="LEZ156" s="250"/>
      <c r="LFA156" s="250"/>
      <c r="LFB156" s="250"/>
      <c r="LFC156" s="250"/>
      <c r="LFD156" s="250"/>
      <c r="LFE156" s="250"/>
      <c r="LFF156" s="250"/>
      <c r="LFG156" s="250"/>
      <c r="LFH156" s="250"/>
      <c r="LFI156" s="250"/>
      <c r="LFJ156" s="250"/>
      <c r="LFK156" s="250"/>
      <c r="LFL156" s="250"/>
      <c r="LFM156" s="250"/>
      <c r="LFN156" s="250"/>
      <c r="LFO156" s="250"/>
      <c r="LFP156" s="250"/>
      <c r="LFQ156" s="250"/>
      <c r="LFR156" s="250"/>
      <c r="LFS156" s="250"/>
      <c r="LFT156" s="250"/>
      <c r="LFU156" s="250"/>
      <c r="LFV156" s="250"/>
      <c r="LFW156" s="250"/>
      <c r="LFX156" s="250"/>
      <c r="LFY156" s="250"/>
      <c r="LFZ156" s="250"/>
      <c r="LGA156" s="250"/>
      <c r="LGB156" s="250"/>
      <c r="LGC156" s="250"/>
      <c r="LGD156" s="250"/>
      <c r="LGE156" s="250"/>
      <c r="LGF156" s="250"/>
      <c r="LGG156" s="250"/>
      <c r="LGH156" s="250"/>
      <c r="LGI156" s="250"/>
      <c r="LGJ156" s="250"/>
      <c r="LGK156" s="250"/>
      <c r="LGL156" s="250"/>
      <c r="LGM156" s="250"/>
      <c r="LGN156" s="250"/>
      <c r="LGO156" s="250"/>
      <c r="LGP156" s="250"/>
      <c r="LGQ156" s="250"/>
      <c r="LGR156" s="250"/>
      <c r="LGS156" s="250"/>
      <c r="LGT156" s="250"/>
      <c r="LGU156" s="250"/>
      <c r="LGV156" s="250"/>
      <c r="LGW156" s="250"/>
      <c r="LGX156" s="250"/>
      <c r="LGY156" s="250"/>
      <c r="LGZ156" s="250"/>
      <c r="LHA156" s="250"/>
      <c r="LHB156" s="250"/>
      <c r="LHC156" s="250"/>
      <c r="LHD156" s="250"/>
      <c r="LHE156" s="250"/>
      <c r="LHF156" s="250"/>
      <c r="LHG156" s="250"/>
      <c r="LHH156" s="250"/>
      <c r="LHI156" s="250"/>
      <c r="LHJ156" s="250"/>
      <c r="LHK156" s="250"/>
      <c r="LHL156" s="250"/>
      <c r="LHM156" s="250"/>
      <c r="LHN156" s="250"/>
      <c r="LHO156" s="250"/>
      <c r="LHP156" s="250"/>
      <c r="LHQ156" s="250"/>
      <c r="LHR156" s="250"/>
      <c r="LHS156" s="250"/>
      <c r="LHT156" s="250"/>
      <c r="LHU156" s="250"/>
      <c r="LHV156" s="250"/>
      <c r="LHW156" s="250"/>
      <c r="LHX156" s="250"/>
      <c r="LHY156" s="250"/>
      <c r="LHZ156" s="250"/>
      <c r="LIA156" s="250"/>
      <c r="LIB156" s="250"/>
      <c r="LIC156" s="250"/>
      <c r="LID156" s="250"/>
      <c r="LIE156" s="250"/>
      <c r="LIF156" s="250"/>
      <c r="LIG156" s="250"/>
      <c r="LIH156" s="250"/>
      <c r="LII156" s="250"/>
      <c r="LIJ156" s="250"/>
      <c r="LIK156" s="250"/>
      <c r="LIL156" s="250"/>
      <c r="LIM156" s="250"/>
      <c r="LIN156" s="250"/>
      <c r="LIO156" s="250"/>
      <c r="LIP156" s="250"/>
      <c r="LIQ156" s="250"/>
      <c r="LIR156" s="250"/>
      <c r="LIS156" s="250"/>
      <c r="LIT156" s="250"/>
      <c r="LIU156" s="250"/>
      <c r="LIV156" s="250"/>
      <c r="LIW156" s="250"/>
      <c r="LIX156" s="250"/>
      <c r="LIY156" s="250"/>
      <c r="LIZ156" s="250"/>
      <c r="LJA156" s="250"/>
      <c r="LJB156" s="250"/>
      <c r="LJC156" s="250"/>
      <c r="LJD156" s="250"/>
      <c r="LJE156" s="250"/>
      <c r="LJF156" s="250"/>
      <c r="LJG156" s="250"/>
      <c r="LJH156" s="250"/>
      <c r="LJI156" s="250"/>
      <c r="LJJ156" s="250"/>
      <c r="LJK156" s="250"/>
      <c r="LJL156" s="250"/>
      <c r="LJM156" s="250"/>
      <c r="LJN156" s="250"/>
      <c r="LJO156" s="250"/>
      <c r="LJP156" s="250"/>
      <c r="LJQ156" s="250"/>
      <c r="LJR156" s="250"/>
      <c r="LJS156" s="250"/>
      <c r="LJT156" s="250"/>
      <c r="LJU156" s="250"/>
      <c r="LJV156" s="250"/>
      <c r="LJW156" s="250"/>
      <c r="LJX156" s="250"/>
      <c r="LJY156" s="250"/>
      <c r="LJZ156" s="250"/>
      <c r="LKA156" s="250"/>
      <c r="LKB156" s="250"/>
      <c r="LKC156" s="250"/>
      <c r="LKD156" s="250"/>
      <c r="LKE156" s="250"/>
      <c r="LKF156" s="250"/>
      <c r="LKG156" s="250"/>
      <c r="LKH156" s="250"/>
      <c r="LKI156" s="250"/>
      <c r="LKJ156" s="250"/>
      <c r="LKK156" s="250"/>
      <c r="LKL156" s="250"/>
      <c r="LKM156" s="250"/>
      <c r="LKN156" s="250"/>
      <c r="LKO156" s="250"/>
      <c r="LKP156" s="250"/>
      <c r="LKQ156" s="250"/>
      <c r="LKR156" s="250"/>
      <c r="LKS156" s="250"/>
      <c r="LKT156" s="250"/>
      <c r="LKU156" s="250"/>
      <c r="LKV156" s="250"/>
      <c r="LKW156" s="250"/>
      <c r="LKX156" s="250"/>
      <c r="LKY156" s="250"/>
      <c r="LKZ156" s="250"/>
      <c r="LLA156" s="250"/>
      <c r="LLB156" s="250"/>
      <c r="LLC156" s="250"/>
      <c r="LLD156" s="250"/>
      <c r="LLE156" s="250"/>
      <c r="LLF156" s="250"/>
      <c r="LLG156" s="250"/>
      <c r="LLH156" s="250"/>
      <c r="LLI156" s="250"/>
      <c r="LLJ156" s="250"/>
      <c r="LLK156" s="250"/>
      <c r="LLL156" s="250"/>
      <c r="LLM156" s="250"/>
      <c r="LLN156" s="250"/>
      <c r="LLO156" s="250"/>
      <c r="LLP156" s="250"/>
      <c r="LLQ156" s="250"/>
      <c r="LLR156" s="250"/>
      <c r="LLS156" s="250"/>
      <c r="LLT156" s="250"/>
      <c r="LLU156" s="250"/>
      <c r="LLV156" s="250"/>
      <c r="LLW156" s="250"/>
      <c r="LLX156" s="250"/>
      <c r="LLY156" s="250"/>
      <c r="LLZ156" s="250"/>
      <c r="LMA156" s="250"/>
      <c r="LMB156" s="250"/>
      <c r="LMC156" s="250"/>
      <c r="LMD156" s="250"/>
      <c r="LME156" s="250"/>
      <c r="LMF156" s="250"/>
      <c r="LMG156" s="250"/>
      <c r="LMH156" s="250"/>
      <c r="LMI156" s="250"/>
      <c r="LMJ156" s="250"/>
      <c r="LMK156" s="250"/>
      <c r="LML156" s="250"/>
      <c r="LMM156" s="250"/>
      <c r="LMN156" s="250"/>
      <c r="LMO156" s="250"/>
      <c r="LMP156" s="250"/>
      <c r="LMQ156" s="250"/>
      <c r="LMR156" s="250"/>
      <c r="LMS156" s="250"/>
      <c r="LMT156" s="250"/>
      <c r="LMU156" s="250"/>
      <c r="LMV156" s="250"/>
      <c r="LMW156" s="250"/>
      <c r="LMX156" s="250"/>
      <c r="LMY156" s="250"/>
      <c r="LMZ156" s="250"/>
      <c r="LNA156" s="250"/>
      <c r="LNB156" s="250"/>
      <c r="LNC156" s="250"/>
      <c r="LND156" s="250"/>
      <c r="LNE156" s="250"/>
      <c r="LNF156" s="250"/>
      <c r="LNG156" s="250"/>
      <c r="LNH156" s="250"/>
      <c r="LNI156" s="250"/>
      <c r="LNJ156" s="250"/>
      <c r="LNK156" s="250"/>
      <c r="LNL156" s="250"/>
      <c r="LNM156" s="250"/>
      <c r="LNN156" s="250"/>
      <c r="LNO156" s="250"/>
      <c r="LNP156" s="250"/>
      <c r="LNQ156" s="250"/>
      <c r="LNR156" s="250"/>
      <c r="LNS156" s="250"/>
      <c r="LNT156" s="250"/>
      <c r="LNU156" s="250"/>
      <c r="LNV156" s="250"/>
      <c r="LNW156" s="250"/>
      <c r="LNX156" s="250"/>
      <c r="LNY156" s="250"/>
      <c r="LNZ156" s="250"/>
      <c r="LOA156" s="250"/>
      <c r="LOB156" s="250"/>
      <c r="LOC156" s="250"/>
      <c r="LOD156" s="250"/>
      <c r="LOE156" s="250"/>
      <c r="LOF156" s="250"/>
      <c r="LOG156" s="250"/>
      <c r="LOH156" s="250"/>
      <c r="LOI156" s="250"/>
      <c r="LOJ156" s="250"/>
      <c r="LOK156" s="250"/>
      <c r="LOL156" s="250"/>
      <c r="LOM156" s="250"/>
      <c r="LON156" s="250"/>
      <c r="LOO156" s="250"/>
      <c r="LOP156" s="250"/>
      <c r="LOQ156" s="250"/>
      <c r="LOR156" s="250"/>
      <c r="LOS156" s="250"/>
      <c r="LOT156" s="250"/>
      <c r="LOU156" s="250"/>
      <c r="LOV156" s="250"/>
      <c r="LOW156" s="250"/>
      <c r="LOX156" s="250"/>
      <c r="LOY156" s="250"/>
      <c r="LOZ156" s="250"/>
      <c r="LPA156" s="250"/>
      <c r="LPB156" s="250"/>
      <c r="LPC156" s="250"/>
      <c r="LPD156" s="250"/>
      <c r="LPE156" s="250"/>
      <c r="LPF156" s="250"/>
      <c r="LPG156" s="250"/>
      <c r="LPH156" s="250"/>
      <c r="LPI156" s="250"/>
      <c r="LPJ156" s="250"/>
      <c r="LPK156" s="250"/>
      <c r="LPL156" s="250"/>
      <c r="LPM156" s="250"/>
      <c r="LPN156" s="250"/>
      <c r="LPO156" s="250"/>
      <c r="LPP156" s="250"/>
      <c r="LPQ156" s="250"/>
      <c r="LPR156" s="250"/>
      <c r="LPS156" s="250"/>
      <c r="LPT156" s="250"/>
      <c r="LPU156" s="250"/>
      <c r="LPV156" s="250"/>
      <c r="LPW156" s="250"/>
      <c r="LPX156" s="250"/>
      <c r="LPY156" s="250"/>
      <c r="LPZ156" s="250"/>
      <c r="LQA156" s="250"/>
      <c r="LQB156" s="250"/>
      <c r="LQC156" s="250"/>
      <c r="LQD156" s="250"/>
      <c r="LQE156" s="250"/>
      <c r="LQF156" s="250"/>
      <c r="LQG156" s="250"/>
      <c r="LQH156" s="250"/>
      <c r="LQI156" s="250"/>
      <c r="LQJ156" s="250"/>
      <c r="LQK156" s="250"/>
      <c r="LQL156" s="250"/>
      <c r="LQM156" s="250"/>
      <c r="LQN156" s="250"/>
      <c r="LQO156" s="250"/>
      <c r="LQP156" s="250"/>
      <c r="LQQ156" s="250"/>
      <c r="LQR156" s="250"/>
      <c r="LQS156" s="250"/>
      <c r="LQT156" s="250"/>
      <c r="LQU156" s="250"/>
      <c r="LQV156" s="250"/>
      <c r="LQW156" s="250"/>
      <c r="LQX156" s="250"/>
      <c r="LQY156" s="250"/>
      <c r="LQZ156" s="250"/>
      <c r="LRA156" s="250"/>
      <c r="LRB156" s="250"/>
      <c r="LRC156" s="250"/>
      <c r="LRD156" s="250"/>
      <c r="LRE156" s="250"/>
      <c r="LRF156" s="250"/>
      <c r="LRG156" s="250"/>
      <c r="LRH156" s="250"/>
      <c r="LRI156" s="250"/>
      <c r="LRJ156" s="250"/>
      <c r="LRK156" s="250"/>
      <c r="LRL156" s="250"/>
      <c r="LRM156" s="250"/>
      <c r="LRN156" s="250"/>
      <c r="LRO156" s="250"/>
      <c r="LRP156" s="250"/>
      <c r="LRQ156" s="250"/>
      <c r="LRR156" s="250"/>
      <c r="LRS156" s="250"/>
      <c r="LRT156" s="250"/>
      <c r="LRU156" s="250"/>
      <c r="LRV156" s="250"/>
      <c r="LRW156" s="250"/>
      <c r="LRX156" s="250"/>
      <c r="LRY156" s="250"/>
      <c r="LRZ156" s="250"/>
      <c r="LSA156" s="250"/>
      <c r="LSB156" s="250"/>
      <c r="LSC156" s="250"/>
      <c r="LSD156" s="250"/>
      <c r="LSE156" s="250"/>
      <c r="LSF156" s="250"/>
      <c r="LSG156" s="250"/>
      <c r="LSH156" s="250"/>
      <c r="LSI156" s="250"/>
      <c r="LSJ156" s="250"/>
      <c r="LSK156" s="250"/>
      <c r="LSL156" s="250"/>
      <c r="LSM156" s="250"/>
      <c r="LSN156" s="250"/>
      <c r="LSO156" s="250"/>
      <c r="LSP156" s="250"/>
      <c r="LSQ156" s="250"/>
      <c r="LSR156" s="250"/>
      <c r="LSS156" s="250"/>
      <c r="LST156" s="250"/>
      <c r="LSU156" s="250"/>
      <c r="LSV156" s="250"/>
      <c r="LSW156" s="250"/>
      <c r="LSX156" s="250"/>
      <c r="LSY156" s="250"/>
      <c r="LSZ156" s="250"/>
      <c r="LTA156" s="250"/>
      <c r="LTB156" s="250"/>
      <c r="LTC156" s="250"/>
      <c r="LTD156" s="250"/>
      <c r="LTE156" s="250"/>
      <c r="LTF156" s="250"/>
      <c r="LTG156" s="250"/>
      <c r="LTH156" s="250"/>
      <c r="LTI156" s="250"/>
      <c r="LTJ156" s="250"/>
      <c r="LTK156" s="250"/>
      <c r="LTL156" s="250"/>
      <c r="LTM156" s="250"/>
      <c r="LTN156" s="250"/>
      <c r="LTO156" s="250"/>
      <c r="LTP156" s="250"/>
      <c r="LTQ156" s="250"/>
      <c r="LTR156" s="250"/>
      <c r="LTS156" s="250"/>
      <c r="LTT156" s="250"/>
      <c r="LTU156" s="250"/>
      <c r="LTV156" s="250"/>
      <c r="LTW156" s="250"/>
      <c r="LTX156" s="250"/>
      <c r="LTY156" s="250"/>
      <c r="LTZ156" s="250"/>
      <c r="LUA156" s="250"/>
      <c r="LUB156" s="250"/>
      <c r="LUC156" s="250"/>
      <c r="LUD156" s="250"/>
      <c r="LUE156" s="250"/>
      <c r="LUF156" s="250"/>
      <c r="LUG156" s="250"/>
      <c r="LUH156" s="250"/>
      <c r="LUI156" s="250"/>
      <c r="LUJ156" s="250"/>
      <c r="LUK156" s="250"/>
      <c r="LUL156" s="250"/>
      <c r="LUM156" s="250"/>
      <c r="LUN156" s="250"/>
      <c r="LUO156" s="250"/>
      <c r="LUP156" s="250"/>
      <c r="LUQ156" s="250"/>
      <c r="LUR156" s="250"/>
      <c r="LUS156" s="250"/>
      <c r="LUT156" s="250"/>
      <c r="LUU156" s="250"/>
      <c r="LUV156" s="250"/>
      <c r="LUW156" s="250"/>
      <c r="LUX156" s="250"/>
      <c r="LUY156" s="250"/>
      <c r="LUZ156" s="250"/>
      <c r="LVA156" s="250"/>
      <c r="LVB156" s="250"/>
      <c r="LVC156" s="250"/>
      <c r="LVD156" s="250"/>
      <c r="LVE156" s="250"/>
      <c r="LVF156" s="250"/>
      <c r="LVG156" s="250"/>
      <c r="LVH156" s="250"/>
      <c r="LVI156" s="250"/>
      <c r="LVJ156" s="250"/>
      <c r="LVK156" s="250"/>
      <c r="LVL156" s="250"/>
      <c r="LVM156" s="250"/>
      <c r="LVN156" s="250"/>
      <c r="LVO156" s="250"/>
      <c r="LVP156" s="250"/>
      <c r="LVQ156" s="250"/>
      <c r="LVR156" s="250"/>
      <c r="LVS156" s="250"/>
      <c r="LVT156" s="250"/>
      <c r="LVU156" s="250"/>
      <c r="LVV156" s="250"/>
      <c r="LVW156" s="250"/>
      <c r="LVX156" s="250"/>
      <c r="LVY156" s="250"/>
      <c r="LVZ156" s="250"/>
      <c r="LWA156" s="250"/>
      <c r="LWB156" s="250"/>
      <c r="LWC156" s="250"/>
      <c r="LWD156" s="250"/>
      <c r="LWE156" s="250"/>
      <c r="LWF156" s="250"/>
      <c r="LWG156" s="250"/>
      <c r="LWH156" s="250"/>
      <c r="LWI156" s="250"/>
      <c r="LWJ156" s="250"/>
      <c r="LWK156" s="250"/>
      <c r="LWL156" s="250"/>
      <c r="LWM156" s="250"/>
      <c r="LWN156" s="250"/>
      <c r="LWO156" s="250"/>
      <c r="LWP156" s="250"/>
      <c r="LWQ156" s="250"/>
      <c r="LWR156" s="250"/>
      <c r="LWS156" s="250"/>
      <c r="LWT156" s="250"/>
      <c r="LWU156" s="250"/>
      <c r="LWV156" s="250"/>
      <c r="LWW156" s="250"/>
      <c r="LWX156" s="250"/>
      <c r="LWY156" s="250"/>
      <c r="LWZ156" s="250"/>
      <c r="LXA156" s="250"/>
      <c r="LXB156" s="250"/>
      <c r="LXC156" s="250"/>
      <c r="LXD156" s="250"/>
      <c r="LXE156" s="250"/>
      <c r="LXF156" s="250"/>
      <c r="LXG156" s="250"/>
      <c r="LXH156" s="250"/>
      <c r="LXI156" s="250"/>
      <c r="LXJ156" s="250"/>
      <c r="LXK156" s="250"/>
      <c r="LXL156" s="250"/>
      <c r="LXM156" s="250"/>
      <c r="LXN156" s="250"/>
      <c r="LXO156" s="250"/>
      <c r="LXP156" s="250"/>
      <c r="LXQ156" s="250"/>
      <c r="LXR156" s="250"/>
      <c r="LXS156" s="250"/>
      <c r="LXT156" s="250"/>
      <c r="LXU156" s="250"/>
      <c r="LXV156" s="250"/>
      <c r="LXW156" s="250"/>
      <c r="LXX156" s="250"/>
      <c r="LXY156" s="250"/>
      <c r="LXZ156" s="250"/>
      <c r="LYA156" s="250"/>
      <c r="LYB156" s="250"/>
      <c r="LYC156" s="250"/>
      <c r="LYD156" s="250"/>
      <c r="LYE156" s="250"/>
      <c r="LYF156" s="250"/>
      <c r="LYG156" s="250"/>
      <c r="LYH156" s="250"/>
      <c r="LYI156" s="250"/>
      <c r="LYJ156" s="250"/>
      <c r="LYK156" s="250"/>
      <c r="LYL156" s="250"/>
      <c r="LYM156" s="250"/>
      <c r="LYN156" s="250"/>
      <c r="LYO156" s="250"/>
      <c r="LYP156" s="250"/>
      <c r="LYQ156" s="250"/>
      <c r="LYR156" s="250"/>
      <c r="LYS156" s="250"/>
      <c r="LYT156" s="250"/>
      <c r="LYU156" s="250"/>
      <c r="LYV156" s="250"/>
      <c r="LYW156" s="250"/>
      <c r="LYX156" s="250"/>
      <c r="LYY156" s="250"/>
      <c r="LYZ156" s="250"/>
      <c r="LZA156" s="250"/>
      <c r="LZB156" s="250"/>
      <c r="LZC156" s="250"/>
      <c r="LZD156" s="250"/>
      <c r="LZE156" s="250"/>
      <c r="LZF156" s="250"/>
      <c r="LZG156" s="250"/>
      <c r="LZH156" s="250"/>
      <c r="LZI156" s="250"/>
      <c r="LZJ156" s="250"/>
      <c r="LZK156" s="250"/>
      <c r="LZL156" s="250"/>
      <c r="LZM156" s="250"/>
      <c r="LZN156" s="250"/>
      <c r="LZO156" s="250"/>
      <c r="LZP156" s="250"/>
      <c r="LZQ156" s="250"/>
      <c r="LZR156" s="250"/>
      <c r="LZS156" s="250"/>
      <c r="LZT156" s="250"/>
      <c r="LZU156" s="250"/>
      <c r="LZV156" s="250"/>
      <c r="LZW156" s="250"/>
      <c r="LZX156" s="250"/>
      <c r="LZY156" s="250"/>
      <c r="LZZ156" s="250"/>
      <c r="MAA156" s="250"/>
      <c r="MAB156" s="250"/>
      <c r="MAC156" s="250"/>
      <c r="MAD156" s="250"/>
      <c r="MAE156" s="250"/>
      <c r="MAF156" s="250"/>
      <c r="MAG156" s="250"/>
      <c r="MAH156" s="250"/>
      <c r="MAI156" s="250"/>
      <c r="MAJ156" s="250"/>
      <c r="MAK156" s="250"/>
      <c r="MAL156" s="250"/>
      <c r="MAM156" s="250"/>
      <c r="MAN156" s="250"/>
      <c r="MAO156" s="250"/>
      <c r="MAP156" s="250"/>
      <c r="MAQ156" s="250"/>
      <c r="MAR156" s="250"/>
      <c r="MAS156" s="250"/>
      <c r="MAT156" s="250"/>
      <c r="MAU156" s="250"/>
      <c r="MAV156" s="250"/>
      <c r="MAW156" s="250"/>
      <c r="MAX156" s="250"/>
      <c r="MAY156" s="250"/>
      <c r="MAZ156" s="250"/>
      <c r="MBA156" s="250"/>
      <c r="MBB156" s="250"/>
      <c r="MBC156" s="250"/>
      <c r="MBD156" s="250"/>
      <c r="MBE156" s="250"/>
      <c r="MBF156" s="250"/>
      <c r="MBG156" s="250"/>
      <c r="MBH156" s="250"/>
      <c r="MBI156" s="250"/>
      <c r="MBJ156" s="250"/>
      <c r="MBK156" s="250"/>
      <c r="MBL156" s="250"/>
      <c r="MBM156" s="250"/>
      <c r="MBN156" s="250"/>
      <c r="MBO156" s="250"/>
      <c r="MBP156" s="250"/>
      <c r="MBQ156" s="250"/>
      <c r="MBR156" s="250"/>
      <c r="MBS156" s="250"/>
      <c r="MBT156" s="250"/>
      <c r="MBU156" s="250"/>
      <c r="MBV156" s="250"/>
      <c r="MBW156" s="250"/>
      <c r="MBX156" s="250"/>
      <c r="MBY156" s="250"/>
      <c r="MBZ156" s="250"/>
      <c r="MCA156" s="250"/>
      <c r="MCB156" s="250"/>
      <c r="MCC156" s="250"/>
      <c r="MCD156" s="250"/>
      <c r="MCE156" s="250"/>
      <c r="MCF156" s="250"/>
      <c r="MCG156" s="250"/>
      <c r="MCH156" s="250"/>
      <c r="MCI156" s="250"/>
      <c r="MCJ156" s="250"/>
      <c r="MCK156" s="250"/>
      <c r="MCL156" s="250"/>
      <c r="MCM156" s="250"/>
      <c r="MCN156" s="250"/>
      <c r="MCO156" s="250"/>
      <c r="MCP156" s="250"/>
      <c r="MCQ156" s="250"/>
      <c r="MCR156" s="250"/>
      <c r="MCS156" s="250"/>
      <c r="MCT156" s="250"/>
      <c r="MCU156" s="250"/>
      <c r="MCV156" s="250"/>
      <c r="MCW156" s="250"/>
      <c r="MCX156" s="250"/>
      <c r="MCY156" s="250"/>
      <c r="MCZ156" s="250"/>
      <c r="MDA156" s="250"/>
      <c r="MDB156" s="250"/>
      <c r="MDC156" s="250"/>
      <c r="MDD156" s="250"/>
      <c r="MDE156" s="250"/>
      <c r="MDF156" s="250"/>
      <c r="MDG156" s="250"/>
      <c r="MDH156" s="250"/>
      <c r="MDI156" s="250"/>
      <c r="MDJ156" s="250"/>
      <c r="MDK156" s="250"/>
      <c r="MDL156" s="250"/>
      <c r="MDM156" s="250"/>
      <c r="MDN156" s="250"/>
      <c r="MDO156" s="250"/>
      <c r="MDP156" s="250"/>
      <c r="MDQ156" s="250"/>
      <c r="MDR156" s="250"/>
      <c r="MDS156" s="250"/>
      <c r="MDT156" s="250"/>
      <c r="MDU156" s="250"/>
      <c r="MDV156" s="250"/>
      <c r="MDW156" s="250"/>
      <c r="MDX156" s="250"/>
      <c r="MDY156" s="250"/>
      <c r="MDZ156" s="250"/>
      <c r="MEA156" s="250"/>
      <c r="MEB156" s="250"/>
      <c r="MEC156" s="250"/>
      <c r="MED156" s="250"/>
      <c r="MEE156" s="250"/>
      <c r="MEF156" s="250"/>
      <c r="MEG156" s="250"/>
      <c r="MEH156" s="250"/>
      <c r="MEI156" s="250"/>
      <c r="MEJ156" s="250"/>
      <c r="MEK156" s="250"/>
      <c r="MEL156" s="250"/>
      <c r="MEM156" s="250"/>
      <c r="MEN156" s="250"/>
      <c r="MEO156" s="250"/>
      <c r="MEP156" s="250"/>
      <c r="MEQ156" s="250"/>
      <c r="MER156" s="250"/>
      <c r="MES156" s="250"/>
      <c r="MET156" s="250"/>
      <c r="MEU156" s="250"/>
      <c r="MEV156" s="250"/>
      <c r="MEW156" s="250"/>
      <c r="MEX156" s="250"/>
      <c r="MEY156" s="250"/>
      <c r="MEZ156" s="250"/>
      <c r="MFA156" s="250"/>
      <c r="MFB156" s="250"/>
      <c r="MFC156" s="250"/>
      <c r="MFD156" s="250"/>
      <c r="MFE156" s="250"/>
      <c r="MFF156" s="250"/>
      <c r="MFG156" s="250"/>
      <c r="MFH156" s="250"/>
      <c r="MFI156" s="250"/>
      <c r="MFJ156" s="250"/>
      <c r="MFK156" s="250"/>
      <c r="MFL156" s="250"/>
      <c r="MFM156" s="250"/>
      <c r="MFN156" s="250"/>
      <c r="MFO156" s="250"/>
      <c r="MFP156" s="250"/>
      <c r="MFQ156" s="250"/>
      <c r="MFR156" s="250"/>
      <c r="MFS156" s="250"/>
      <c r="MFT156" s="250"/>
      <c r="MFU156" s="250"/>
      <c r="MFV156" s="250"/>
      <c r="MFW156" s="250"/>
      <c r="MFX156" s="250"/>
      <c r="MFY156" s="250"/>
      <c r="MFZ156" s="250"/>
      <c r="MGA156" s="250"/>
      <c r="MGB156" s="250"/>
      <c r="MGC156" s="250"/>
      <c r="MGD156" s="250"/>
      <c r="MGE156" s="250"/>
      <c r="MGF156" s="250"/>
      <c r="MGG156" s="250"/>
      <c r="MGH156" s="250"/>
      <c r="MGI156" s="250"/>
      <c r="MGJ156" s="250"/>
      <c r="MGK156" s="250"/>
      <c r="MGL156" s="250"/>
      <c r="MGM156" s="250"/>
      <c r="MGN156" s="250"/>
      <c r="MGO156" s="250"/>
      <c r="MGP156" s="250"/>
      <c r="MGQ156" s="250"/>
      <c r="MGR156" s="250"/>
      <c r="MGS156" s="250"/>
      <c r="MGT156" s="250"/>
      <c r="MGU156" s="250"/>
      <c r="MGV156" s="250"/>
      <c r="MGW156" s="250"/>
      <c r="MGX156" s="250"/>
      <c r="MGY156" s="250"/>
      <c r="MGZ156" s="250"/>
      <c r="MHA156" s="250"/>
      <c r="MHB156" s="250"/>
      <c r="MHC156" s="250"/>
      <c r="MHD156" s="250"/>
      <c r="MHE156" s="250"/>
      <c r="MHF156" s="250"/>
      <c r="MHG156" s="250"/>
      <c r="MHH156" s="250"/>
      <c r="MHI156" s="250"/>
      <c r="MHJ156" s="250"/>
      <c r="MHK156" s="250"/>
      <c r="MHL156" s="250"/>
      <c r="MHM156" s="250"/>
      <c r="MHN156" s="250"/>
      <c r="MHO156" s="250"/>
      <c r="MHP156" s="250"/>
      <c r="MHQ156" s="250"/>
      <c r="MHR156" s="250"/>
      <c r="MHS156" s="250"/>
      <c r="MHT156" s="250"/>
      <c r="MHU156" s="250"/>
      <c r="MHV156" s="250"/>
      <c r="MHW156" s="250"/>
      <c r="MHX156" s="250"/>
      <c r="MHY156" s="250"/>
      <c r="MHZ156" s="250"/>
      <c r="MIA156" s="250"/>
      <c r="MIB156" s="250"/>
      <c r="MIC156" s="250"/>
      <c r="MID156" s="250"/>
      <c r="MIE156" s="250"/>
      <c r="MIF156" s="250"/>
      <c r="MIG156" s="250"/>
      <c r="MIH156" s="250"/>
      <c r="MII156" s="250"/>
      <c r="MIJ156" s="250"/>
      <c r="MIK156" s="250"/>
      <c r="MIL156" s="250"/>
      <c r="MIM156" s="250"/>
      <c r="MIN156" s="250"/>
      <c r="MIO156" s="250"/>
      <c r="MIP156" s="250"/>
      <c r="MIQ156" s="250"/>
      <c r="MIR156" s="250"/>
      <c r="MIS156" s="250"/>
      <c r="MIT156" s="250"/>
      <c r="MIU156" s="250"/>
      <c r="MIV156" s="250"/>
      <c r="MIW156" s="250"/>
      <c r="MIX156" s="250"/>
      <c r="MIY156" s="250"/>
      <c r="MIZ156" s="250"/>
      <c r="MJA156" s="250"/>
      <c r="MJB156" s="250"/>
      <c r="MJC156" s="250"/>
      <c r="MJD156" s="250"/>
      <c r="MJE156" s="250"/>
      <c r="MJF156" s="250"/>
      <c r="MJG156" s="250"/>
      <c r="MJH156" s="250"/>
      <c r="MJI156" s="250"/>
      <c r="MJJ156" s="250"/>
      <c r="MJK156" s="250"/>
      <c r="MJL156" s="250"/>
      <c r="MJM156" s="250"/>
      <c r="MJN156" s="250"/>
      <c r="MJO156" s="250"/>
      <c r="MJP156" s="250"/>
      <c r="MJQ156" s="250"/>
      <c r="MJR156" s="250"/>
      <c r="MJS156" s="250"/>
      <c r="MJT156" s="250"/>
      <c r="MJU156" s="250"/>
      <c r="MJV156" s="250"/>
      <c r="MJW156" s="250"/>
      <c r="MJX156" s="250"/>
      <c r="MJY156" s="250"/>
      <c r="MJZ156" s="250"/>
      <c r="MKA156" s="250"/>
      <c r="MKB156" s="250"/>
      <c r="MKC156" s="250"/>
      <c r="MKD156" s="250"/>
      <c r="MKE156" s="250"/>
      <c r="MKF156" s="250"/>
      <c r="MKG156" s="250"/>
      <c r="MKH156" s="250"/>
      <c r="MKI156" s="250"/>
      <c r="MKJ156" s="250"/>
      <c r="MKK156" s="250"/>
      <c r="MKL156" s="250"/>
      <c r="MKM156" s="250"/>
      <c r="MKN156" s="250"/>
      <c r="MKO156" s="250"/>
      <c r="MKP156" s="250"/>
      <c r="MKQ156" s="250"/>
      <c r="MKR156" s="250"/>
      <c r="MKS156" s="250"/>
      <c r="MKT156" s="250"/>
      <c r="MKU156" s="250"/>
      <c r="MKV156" s="250"/>
      <c r="MKW156" s="250"/>
      <c r="MKX156" s="250"/>
      <c r="MKY156" s="250"/>
      <c r="MKZ156" s="250"/>
      <c r="MLA156" s="250"/>
      <c r="MLB156" s="250"/>
      <c r="MLC156" s="250"/>
      <c r="MLD156" s="250"/>
      <c r="MLE156" s="250"/>
      <c r="MLF156" s="250"/>
      <c r="MLG156" s="250"/>
      <c r="MLH156" s="250"/>
      <c r="MLI156" s="250"/>
      <c r="MLJ156" s="250"/>
      <c r="MLK156" s="250"/>
      <c r="MLL156" s="250"/>
      <c r="MLM156" s="250"/>
      <c r="MLN156" s="250"/>
      <c r="MLO156" s="250"/>
      <c r="MLP156" s="250"/>
      <c r="MLQ156" s="250"/>
      <c r="MLR156" s="250"/>
      <c r="MLS156" s="250"/>
      <c r="MLT156" s="250"/>
      <c r="MLU156" s="250"/>
      <c r="MLV156" s="250"/>
      <c r="MLW156" s="250"/>
      <c r="MLX156" s="250"/>
      <c r="MLY156" s="250"/>
      <c r="MLZ156" s="250"/>
      <c r="MMA156" s="250"/>
      <c r="MMB156" s="250"/>
      <c r="MMC156" s="250"/>
      <c r="MMD156" s="250"/>
      <c r="MME156" s="250"/>
      <c r="MMF156" s="250"/>
      <c r="MMG156" s="250"/>
      <c r="MMH156" s="250"/>
      <c r="MMI156" s="250"/>
      <c r="MMJ156" s="250"/>
      <c r="MMK156" s="250"/>
      <c r="MML156" s="250"/>
      <c r="MMM156" s="250"/>
      <c r="MMN156" s="250"/>
      <c r="MMO156" s="250"/>
      <c r="MMP156" s="250"/>
      <c r="MMQ156" s="250"/>
      <c r="MMR156" s="250"/>
      <c r="MMS156" s="250"/>
      <c r="MMT156" s="250"/>
      <c r="MMU156" s="250"/>
      <c r="MMV156" s="250"/>
      <c r="MMW156" s="250"/>
      <c r="MMX156" s="250"/>
      <c r="MMY156" s="250"/>
      <c r="MMZ156" s="250"/>
      <c r="MNA156" s="250"/>
      <c r="MNB156" s="250"/>
      <c r="MNC156" s="250"/>
      <c r="MND156" s="250"/>
      <c r="MNE156" s="250"/>
      <c r="MNF156" s="250"/>
      <c r="MNG156" s="250"/>
      <c r="MNH156" s="250"/>
      <c r="MNI156" s="250"/>
      <c r="MNJ156" s="250"/>
      <c r="MNK156" s="250"/>
      <c r="MNL156" s="250"/>
      <c r="MNM156" s="250"/>
      <c r="MNN156" s="250"/>
      <c r="MNO156" s="250"/>
      <c r="MNP156" s="250"/>
      <c r="MNQ156" s="250"/>
      <c r="MNR156" s="250"/>
      <c r="MNS156" s="250"/>
      <c r="MNT156" s="250"/>
      <c r="MNU156" s="250"/>
      <c r="MNV156" s="250"/>
      <c r="MNW156" s="250"/>
      <c r="MNX156" s="250"/>
      <c r="MNY156" s="250"/>
      <c r="MNZ156" s="250"/>
      <c r="MOA156" s="250"/>
      <c r="MOB156" s="250"/>
      <c r="MOC156" s="250"/>
      <c r="MOD156" s="250"/>
      <c r="MOE156" s="250"/>
      <c r="MOF156" s="250"/>
      <c r="MOG156" s="250"/>
      <c r="MOH156" s="250"/>
      <c r="MOI156" s="250"/>
      <c r="MOJ156" s="250"/>
      <c r="MOK156" s="250"/>
      <c r="MOL156" s="250"/>
      <c r="MOM156" s="250"/>
      <c r="MON156" s="250"/>
      <c r="MOO156" s="250"/>
      <c r="MOP156" s="250"/>
      <c r="MOQ156" s="250"/>
      <c r="MOR156" s="250"/>
      <c r="MOS156" s="250"/>
      <c r="MOT156" s="250"/>
      <c r="MOU156" s="250"/>
      <c r="MOV156" s="250"/>
      <c r="MOW156" s="250"/>
      <c r="MOX156" s="250"/>
      <c r="MOY156" s="250"/>
      <c r="MOZ156" s="250"/>
      <c r="MPA156" s="250"/>
      <c r="MPB156" s="250"/>
      <c r="MPC156" s="250"/>
      <c r="MPD156" s="250"/>
      <c r="MPE156" s="250"/>
      <c r="MPF156" s="250"/>
      <c r="MPG156" s="250"/>
      <c r="MPH156" s="250"/>
      <c r="MPI156" s="250"/>
      <c r="MPJ156" s="250"/>
      <c r="MPK156" s="250"/>
      <c r="MPL156" s="250"/>
      <c r="MPM156" s="250"/>
      <c r="MPN156" s="250"/>
      <c r="MPO156" s="250"/>
      <c r="MPP156" s="250"/>
      <c r="MPQ156" s="250"/>
      <c r="MPR156" s="250"/>
      <c r="MPS156" s="250"/>
      <c r="MPT156" s="250"/>
      <c r="MPU156" s="250"/>
      <c r="MPV156" s="250"/>
      <c r="MPW156" s="250"/>
      <c r="MPX156" s="250"/>
      <c r="MPY156" s="250"/>
      <c r="MPZ156" s="250"/>
      <c r="MQA156" s="250"/>
      <c r="MQB156" s="250"/>
      <c r="MQC156" s="250"/>
      <c r="MQD156" s="250"/>
      <c r="MQE156" s="250"/>
      <c r="MQF156" s="250"/>
      <c r="MQG156" s="250"/>
      <c r="MQH156" s="250"/>
      <c r="MQI156" s="250"/>
      <c r="MQJ156" s="250"/>
      <c r="MQK156" s="250"/>
      <c r="MQL156" s="250"/>
      <c r="MQM156" s="250"/>
      <c r="MQN156" s="250"/>
      <c r="MQO156" s="250"/>
      <c r="MQP156" s="250"/>
      <c r="MQQ156" s="250"/>
      <c r="MQR156" s="250"/>
      <c r="MQS156" s="250"/>
      <c r="MQT156" s="250"/>
      <c r="MQU156" s="250"/>
      <c r="MQV156" s="250"/>
      <c r="MQW156" s="250"/>
      <c r="MQX156" s="250"/>
      <c r="MQY156" s="250"/>
      <c r="MQZ156" s="250"/>
      <c r="MRA156" s="250"/>
      <c r="MRB156" s="250"/>
      <c r="MRC156" s="250"/>
      <c r="MRD156" s="250"/>
      <c r="MRE156" s="250"/>
      <c r="MRF156" s="250"/>
      <c r="MRG156" s="250"/>
      <c r="MRH156" s="250"/>
      <c r="MRI156" s="250"/>
      <c r="MRJ156" s="250"/>
      <c r="MRK156" s="250"/>
      <c r="MRL156" s="250"/>
      <c r="MRM156" s="250"/>
      <c r="MRN156" s="250"/>
      <c r="MRO156" s="250"/>
      <c r="MRP156" s="250"/>
      <c r="MRQ156" s="250"/>
      <c r="MRR156" s="250"/>
      <c r="MRS156" s="250"/>
      <c r="MRT156" s="250"/>
      <c r="MRU156" s="250"/>
      <c r="MRV156" s="250"/>
      <c r="MRW156" s="250"/>
      <c r="MRX156" s="250"/>
      <c r="MRY156" s="250"/>
      <c r="MRZ156" s="250"/>
      <c r="MSA156" s="250"/>
      <c r="MSB156" s="250"/>
      <c r="MSC156" s="250"/>
      <c r="MSD156" s="250"/>
      <c r="MSE156" s="250"/>
      <c r="MSF156" s="250"/>
      <c r="MSG156" s="250"/>
      <c r="MSH156" s="250"/>
      <c r="MSI156" s="250"/>
      <c r="MSJ156" s="250"/>
      <c r="MSK156" s="250"/>
      <c r="MSL156" s="250"/>
      <c r="MSM156" s="250"/>
      <c r="MSN156" s="250"/>
      <c r="MSO156" s="250"/>
      <c r="MSP156" s="250"/>
      <c r="MSQ156" s="250"/>
      <c r="MSR156" s="250"/>
      <c r="MSS156" s="250"/>
      <c r="MST156" s="250"/>
      <c r="MSU156" s="250"/>
      <c r="MSV156" s="250"/>
      <c r="MSW156" s="250"/>
      <c r="MSX156" s="250"/>
      <c r="MSY156" s="250"/>
      <c r="MSZ156" s="250"/>
      <c r="MTA156" s="250"/>
      <c r="MTB156" s="250"/>
      <c r="MTC156" s="250"/>
      <c r="MTD156" s="250"/>
      <c r="MTE156" s="250"/>
      <c r="MTF156" s="250"/>
      <c r="MTG156" s="250"/>
      <c r="MTH156" s="250"/>
      <c r="MTI156" s="250"/>
      <c r="MTJ156" s="250"/>
      <c r="MTK156" s="250"/>
      <c r="MTL156" s="250"/>
      <c r="MTM156" s="250"/>
      <c r="MTN156" s="250"/>
      <c r="MTO156" s="250"/>
      <c r="MTP156" s="250"/>
      <c r="MTQ156" s="250"/>
      <c r="MTR156" s="250"/>
      <c r="MTS156" s="250"/>
      <c r="MTT156" s="250"/>
      <c r="MTU156" s="250"/>
      <c r="MTV156" s="250"/>
      <c r="MTW156" s="250"/>
      <c r="MTX156" s="250"/>
      <c r="MTY156" s="250"/>
      <c r="MTZ156" s="250"/>
      <c r="MUA156" s="250"/>
      <c r="MUB156" s="250"/>
      <c r="MUC156" s="250"/>
      <c r="MUD156" s="250"/>
      <c r="MUE156" s="250"/>
      <c r="MUF156" s="250"/>
      <c r="MUG156" s="250"/>
      <c r="MUH156" s="250"/>
      <c r="MUI156" s="250"/>
      <c r="MUJ156" s="250"/>
      <c r="MUK156" s="250"/>
      <c r="MUL156" s="250"/>
      <c r="MUM156" s="250"/>
      <c r="MUN156" s="250"/>
      <c r="MUO156" s="250"/>
      <c r="MUP156" s="250"/>
      <c r="MUQ156" s="250"/>
      <c r="MUR156" s="250"/>
      <c r="MUS156" s="250"/>
      <c r="MUT156" s="250"/>
      <c r="MUU156" s="250"/>
      <c r="MUV156" s="250"/>
      <c r="MUW156" s="250"/>
      <c r="MUX156" s="250"/>
      <c r="MUY156" s="250"/>
      <c r="MUZ156" s="250"/>
      <c r="MVA156" s="250"/>
      <c r="MVB156" s="250"/>
      <c r="MVC156" s="250"/>
      <c r="MVD156" s="250"/>
      <c r="MVE156" s="250"/>
      <c r="MVF156" s="250"/>
      <c r="MVG156" s="250"/>
      <c r="MVH156" s="250"/>
      <c r="MVI156" s="250"/>
      <c r="MVJ156" s="250"/>
      <c r="MVK156" s="250"/>
      <c r="MVL156" s="250"/>
      <c r="MVM156" s="250"/>
      <c r="MVN156" s="250"/>
      <c r="MVO156" s="250"/>
      <c r="MVP156" s="250"/>
      <c r="MVQ156" s="250"/>
      <c r="MVR156" s="250"/>
      <c r="MVS156" s="250"/>
      <c r="MVT156" s="250"/>
      <c r="MVU156" s="250"/>
      <c r="MVV156" s="250"/>
      <c r="MVW156" s="250"/>
      <c r="MVX156" s="250"/>
      <c r="MVY156" s="250"/>
      <c r="MVZ156" s="250"/>
      <c r="MWA156" s="250"/>
      <c r="MWB156" s="250"/>
      <c r="MWC156" s="250"/>
      <c r="MWD156" s="250"/>
      <c r="MWE156" s="250"/>
      <c r="MWF156" s="250"/>
      <c r="MWG156" s="250"/>
      <c r="MWH156" s="250"/>
      <c r="MWI156" s="250"/>
      <c r="MWJ156" s="250"/>
      <c r="MWK156" s="250"/>
      <c r="MWL156" s="250"/>
      <c r="MWM156" s="250"/>
      <c r="MWN156" s="250"/>
      <c r="MWO156" s="250"/>
      <c r="MWP156" s="250"/>
      <c r="MWQ156" s="250"/>
      <c r="MWR156" s="250"/>
      <c r="MWS156" s="250"/>
      <c r="MWT156" s="250"/>
      <c r="MWU156" s="250"/>
      <c r="MWV156" s="250"/>
      <c r="MWW156" s="250"/>
      <c r="MWX156" s="250"/>
      <c r="MWY156" s="250"/>
      <c r="MWZ156" s="250"/>
      <c r="MXA156" s="250"/>
      <c r="MXB156" s="250"/>
      <c r="MXC156" s="250"/>
      <c r="MXD156" s="250"/>
      <c r="MXE156" s="250"/>
      <c r="MXF156" s="250"/>
      <c r="MXG156" s="250"/>
      <c r="MXH156" s="250"/>
      <c r="MXI156" s="250"/>
      <c r="MXJ156" s="250"/>
      <c r="MXK156" s="250"/>
      <c r="MXL156" s="250"/>
      <c r="MXM156" s="250"/>
      <c r="MXN156" s="250"/>
      <c r="MXO156" s="250"/>
      <c r="MXP156" s="250"/>
      <c r="MXQ156" s="250"/>
      <c r="MXR156" s="250"/>
      <c r="MXS156" s="250"/>
      <c r="MXT156" s="250"/>
      <c r="MXU156" s="250"/>
      <c r="MXV156" s="250"/>
      <c r="MXW156" s="250"/>
      <c r="MXX156" s="250"/>
      <c r="MXY156" s="250"/>
      <c r="MXZ156" s="250"/>
      <c r="MYA156" s="250"/>
      <c r="MYB156" s="250"/>
      <c r="MYC156" s="250"/>
      <c r="MYD156" s="250"/>
      <c r="MYE156" s="250"/>
      <c r="MYF156" s="250"/>
      <c r="MYG156" s="250"/>
      <c r="MYH156" s="250"/>
      <c r="MYI156" s="250"/>
      <c r="MYJ156" s="250"/>
      <c r="MYK156" s="250"/>
      <c r="MYL156" s="250"/>
      <c r="MYM156" s="250"/>
      <c r="MYN156" s="250"/>
      <c r="MYO156" s="250"/>
      <c r="MYP156" s="250"/>
      <c r="MYQ156" s="250"/>
      <c r="MYR156" s="250"/>
      <c r="MYS156" s="250"/>
      <c r="MYT156" s="250"/>
      <c r="MYU156" s="250"/>
      <c r="MYV156" s="250"/>
      <c r="MYW156" s="250"/>
      <c r="MYX156" s="250"/>
      <c r="MYY156" s="250"/>
      <c r="MYZ156" s="250"/>
      <c r="MZA156" s="250"/>
      <c r="MZB156" s="250"/>
      <c r="MZC156" s="250"/>
      <c r="MZD156" s="250"/>
      <c r="MZE156" s="250"/>
      <c r="MZF156" s="250"/>
      <c r="MZG156" s="250"/>
      <c r="MZH156" s="250"/>
      <c r="MZI156" s="250"/>
      <c r="MZJ156" s="250"/>
      <c r="MZK156" s="250"/>
      <c r="MZL156" s="250"/>
      <c r="MZM156" s="250"/>
      <c r="MZN156" s="250"/>
      <c r="MZO156" s="250"/>
      <c r="MZP156" s="250"/>
      <c r="MZQ156" s="250"/>
      <c r="MZR156" s="250"/>
      <c r="MZS156" s="250"/>
      <c r="MZT156" s="250"/>
      <c r="MZU156" s="250"/>
      <c r="MZV156" s="250"/>
      <c r="MZW156" s="250"/>
      <c r="MZX156" s="250"/>
      <c r="MZY156" s="250"/>
      <c r="MZZ156" s="250"/>
      <c r="NAA156" s="250"/>
      <c r="NAB156" s="250"/>
      <c r="NAC156" s="250"/>
      <c r="NAD156" s="250"/>
      <c r="NAE156" s="250"/>
      <c r="NAF156" s="250"/>
      <c r="NAG156" s="250"/>
      <c r="NAH156" s="250"/>
      <c r="NAI156" s="250"/>
      <c r="NAJ156" s="250"/>
      <c r="NAK156" s="250"/>
      <c r="NAL156" s="250"/>
      <c r="NAM156" s="250"/>
      <c r="NAN156" s="250"/>
      <c r="NAO156" s="250"/>
      <c r="NAP156" s="250"/>
      <c r="NAQ156" s="250"/>
      <c r="NAR156" s="250"/>
      <c r="NAS156" s="250"/>
      <c r="NAT156" s="250"/>
      <c r="NAU156" s="250"/>
      <c r="NAV156" s="250"/>
      <c r="NAW156" s="250"/>
      <c r="NAX156" s="250"/>
      <c r="NAY156" s="250"/>
      <c r="NAZ156" s="250"/>
      <c r="NBA156" s="250"/>
      <c r="NBB156" s="250"/>
      <c r="NBC156" s="250"/>
      <c r="NBD156" s="250"/>
      <c r="NBE156" s="250"/>
      <c r="NBF156" s="250"/>
      <c r="NBG156" s="250"/>
      <c r="NBH156" s="250"/>
      <c r="NBI156" s="250"/>
      <c r="NBJ156" s="250"/>
      <c r="NBK156" s="250"/>
      <c r="NBL156" s="250"/>
      <c r="NBM156" s="250"/>
      <c r="NBN156" s="250"/>
      <c r="NBO156" s="250"/>
      <c r="NBP156" s="250"/>
      <c r="NBQ156" s="250"/>
      <c r="NBR156" s="250"/>
      <c r="NBS156" s="250"/>
      <c r="NBT156" s="250"/>
      <c r="NBU156" s="250"/>
      <c r="NBV156" s="250"/>
      <c r="NBW156" s="250"/>
      <c r="NBX156" s="250"/>
      <c r="NBY156" s="250"/>
      <c r="NBZ156" s="250"/>
      <c r="NCA156" s="250"/>
      <c r="NCB156" s="250"/>
      <c r="NCC156" s="250"/>
      <c r="NCD156" s="250"/>
      <c r="NCE156" s="250"/>
      <c r="NCF156" s="250"/>
      <c r="NCG156" s="250"/>
      <c r="NCH156" s="250"/>
      <c r="NCI156" s="250"/>
      <c r="NCJ156" s="250"/>
      <c r="NCK156" s="250"/>
      <c r="NCL156" s="250"/>
      <c r="NCM156" s="250"/>
      <c r="NCN156" s="250"/>
      <c r="NCO156" s="250"/>
      <c r="NCP156" s="250"/>
      <c r="NCQ156" s="250"/>
      <c r="NCR156" s="250"/>
      <c r="NCS156" s="250"/>
      <c r="NCT156" s="250"/>
      <c r="NCU156" s="250"/>
      <c r="NCV156" s="250"/>
      <c r="NCW156" s="250"/>
      <c r="NCX156" s="250"/>
      <c r="NCY156" s="250"/>
      <c r="NCZ156" s="250"/>
      <c r="NDA156" s="250"/>
      <c r="NDB156" s="250"/>
      <c r="NDC156" s="250"/>
      <c r="NDD156" s="250"/>
      <c r="NDE156" s="250"/>
      <c r="NDF156" s="250"/>
      <c r="NDG156" s="250"/>
      <c r="NDH156" s="250"/>
      <c r="NDI156" s="250"/>
      <c r="NDJ156" s="250"/>
      <c r="NDK156" s="250"/>
      <c r="NDL156" s="250"/>
      <c r="NDM156" s="250"/>
      <c r="NDN156" s="250"/>
      <c r="NDO156" s="250"/>
      <c r="NDP156" s="250"/>
      <c r="NDQ156" s="250"/>
      <c r="NDR156" s="250"/>
      <c r="NDS156" s="250"/>
      <c r="NDT156" s="250"/>
      <c r="NDU156" s="250"/>
      <c r="NDV156" s="250"/>
      <c r="NDW156" s="250"/>
      <c r="NDX156" s="250"/>
      <c r="NDY156" s="250"/>
      <c r="NDZ156" s="250"/>
      <c r="NEA156" s="250"/>
      <c r="NEB156" s="250"/>
      <c r="NEC156" s="250"/>
      <c r="NED156" s="250"/>
      <c r="NEE156" s="250"/>
      <c r="NEF156" s="250"/>
      <c r="NEG156" s="250"/>
      <c r="NEH156" s="250"/>
      <c r="NEI156" s="250"/>
      <c r="NEJ156" s="250"/>
      <c r="NEK156" s="250"/>
      <c r="NEL156" s="250"/>
      <c r="NEM156" s="250"/>
      <c r="NEN156" s="250"/>
      <c r="NEO156" s="250"/>
      <c r="NEP156" s="250"/>
      <c r="NEQ156" s="250"/>
      <c r="NER156" s="250"/>
      <c r="NES156" s="250"/>
      <c r="NET156" s="250"/>
      <c r="NEU156" s="250"/>
      <c r="NEV156" s="250"/>
      <c r="NEW156" s="250"/>
      <c r="NEX156" s="250"/>
      <c r="NEY156" s="250"/>
      <c r="NEZ156" s="250"/>
      <c r="NFA156" s="250"/>
      <c r="NFB156" s="250"/>
      <c r="NFC156" s="250"/>
      <c r="NFD156" s="250"/>
      <c r="NFE156" s="250"/>
      <c r="NFF156" s="250"/>
      <c r="NFG156" s="250"/>
      <c r="NFH156" s="250"/>
      <c r="NFI156" s="250"/>
      <c r="NFJ156" s="250"/>
      <c r="NFK156" s="250"/>
      <c r="NFL156" s="250"/>
      <c r="NFM156" s="250"/>
      <c r="NFN156" s="250"/>
      <c r="NFO156" s="250"/>
      <c r="NFP156" s="250"/>
      <c r="NFQ156" s="250"/>
      <c r="NFR156" s="250"/>
      <c r="NFS156" s="250"/>
      <c r="NFT156" s="250"/>
      <c r="NFU156" s="250"/>
      <c r="NFV156" s="250"/>
      <c r="NFW156" s="250"/>
      <c r="NFX156" s="250"/>
      <c r="NFY156" s="250"/>
      <c r="NFZ156" s="250"/>
      <c r="NGA156" s="250"/>
      <c r="NGB156" s="250"/>
      <c r="NGC156" s="250"/>
      <c r="NGD156" s="250"/>
      <c r="NGE156" s="250"/>
      <c r="NGF156" s="250"/>
      <c r="NGG156" s="250"/>
      <c r="NGH156" s="250"/>
      <c r="NGI156" s="250"/>
      <c r="NGJ156" s="250"/>
      <c r="NGK156" s="250"/>
      <c r="NGL156" s="250"/>
      <c r="NGM156" s="250"/>
      <c r="NGN156" s="250"/>
      <c r="NGO156" s="250"/>
      <c r="NGP156" s="250"/>
      <c r="NGQ156" s="250"/>
      <c r="NGR156" s="250"/>
      <c r="NGS156" s="250"/>
      <c r="NGT156" s="250"/>
      <c r="NGU156" s="250"/>
      <c r="NGV156" s="250"/>
      <c r="NGW156" s="250"/>
      <c r="NGX156" s="250"/>
      <c r="NGY156" s="250"/>
      <c r="NGZ156" s="250"/>
      <c r="NHA156" s="250"/>
      <c r="NHB156" s="250"/>
      <c r="NHC156" s="250"/>
      <c r="NHD156" s="250"/>
      <c r="NHE156" s="250"/>
      <c r="NHF156" s="250"/>
      <c r="NHG156" s="250"/>
      <c r="NHH156" s="250"/>
      <c r="NHI156" s="250"/>
      <c r="NHJ156" s="250"/>
      <c r="NHK156" s="250"/>
      <c r="NHL156" s="250"/>
      <c r="NHM156" s="250"/>
      <c r="NHN156" s="250"/>
      <c r="NHO156" s="250"/>
      <c r="NHP156" s="250"/>
      <c r="NHQ156" s="250"/>
      <c r="NHR156" s="250"/>
      <c r="NHS156" s="250"/>
      <c r="NHT156" s="250"/>
      <c r="NHU156" s="250"/>
      <c r="NHV156" s="250"/>
      <c r="NHW156" s="250"/>
      <c r="NHX156" s="250"/>
      <c r="NHY156" s="250"/>
      <c r="NHZ156" s="250"/>
      <c r="NIA156" s="250"/>
      <c r="NIB156" s="250"/>
      <c r="NIC156" s="250"/>
      <c r="NID156" s="250"/>
      <c r="NIE156" s="250"/>
      <c r="NIF156" s="250"/>
      <c r="NIG156" s="250"/>
      <c r="NIH156" s="250"/>
      <c r="NII156" s="250"/>
      <c r="NIJ156" s="250"/>
      <c r="NIK156" s="250"/>
      <c r="NIL156" s="250"/>
      <c r="NIM156" s="250"/>
      <c r="NIN156" s="250"/>
      <c r="NIO156" s="250"/>
      <c r="NIP156" s="250"/>
      <c r="NIQ156" s="250"/>
      <c r="NIR156" s="250"/>
      <c r="NIS156" s="250"/>
      <c r="NIT156" s="250"/>
      <c r="NIU156" s="250"/>
      <c r="NIV156" s="250"/>
      <c r="NIW156" s="250"/>
      <c r="NIX156" s="250"/>
      <c r="NIY156" s="250"/>
      <c r="NIZ156" s="250"/>
      <c r="NJA156" s="250"/>
      <c r="NJB156" s="250"/>
      <c r="NJC156" s="250"/>
      <c r="NJD156" s="250"/>
      <c r="NJE156" s="250"/>
      <c r="NJF156" s="250"/>
      <c r="NJG156" s="250"/>
      <c r="NJH156" s="250"/>
      <c r="NJI156" s="250"/>
      <c r="NJJ156" s="250"/>
      <c r="NJK156" s="250"/>
      <c r="NJL156" s="250"/>
      <c r="NJM156" s="250"/>
      <c r="NJN156" s="250"/>
      <c r="NJO156" s="250"/>
      <c r="NJP156" s="250"/>
      <c r="NJQ156" s="250"/>
      <c r="NJR156" s="250"/>
      <c r="NJS156" s="250"/>
      <c r="NJT156" s="250"/>
      <c r="NJU156" s="250"/>
      <c r="NJV156" s="250"/>
      <c r="NJW156" s="250"/>
      <c r="NJX156" s="250"/>
      <c r="NJY156" s="250"/>
      <c r="NJZ156" s="250"/>
      <c r="NKA156" s="250"/>
      <c r="NKB156" s="250"/>
      <c r="NKC156" s="250"/>
      <c r="NKD156" s="250"/>
      <c r="NKE156" s="250"/>
      <c r="NKF156" s="250"/>
      <c r="NKG156" s="250"/>
      <c r="NKH156" s="250"/>
      <c r="NKI156" s="250"/>
      <c r="NKJ156" s="250"/>
      <c r="NKK156" s="250"/>
      <c r="NKL156" s="250"/>
      <c r="NKM156" s="250"/>
      <c r="NKN156" s="250"/>
      <c r="NKO156" s="250"/>
      <c r="NKP156" s="250"/>
      <c r="NKQ156" s="250"/>
      <c r="NKR156" s="250"/>
      <c r="NKS156" s="250"/>
      <c r="NKT156" s="250"/>
      <c r="NKU156" s="250"/>
      <c r="NKV156" s="250"/>
      <c r="NKW156" s="250"/>
      <c r="NKX156" s="250"/>
      <c r="NKY156" s="250"/>
      <c r="NKZ156" s="250"/>
      <c r="NLA156" s="250"/>
      <c r="NLB156" s="250"/>
      <c r="NLC156" s="250"/>
      <c r="NLD156" s="250"/>
      <c r="NLE156" s="250"/>
      <c r="NLF156" s="250"/>
      <c r="NLG156" s="250"/>
      <c r="NLH156" s="250"/>
      <c r="NLI156" s="250"/>
      <c r="NLJ156" s="250"/>
      <c r="NLK156" s="250"/>
      <c r="NLL156" s="250"/>
      <c r="NLM156" s="250"/>
      <c r="NLN156" s="250"/>
      <c r="NLO156" s="250"/>
      <c r="NLP156" s="250"/>
      <c r="NLQ156" s="250"/>
      <c r="NLR156" s="250"/>
      <c r="NLS156" s="250"/>
      <c r="NLT156" s="250"/>
      <c r="NLU156" s="250"/>
      <c r="NLV156" s="250"/>
      <c r="NLW156" s="250"/>
      <c r="NLX156" s="250"/>
      <c r="NLY156" s="250"/>
      <c r="NLZ156" s="250"/>
      <c r="NMA156" s="250"/>
      <c r="NMB156" s="250"/>
      <c r="NMC156" s="250"/>
      <c r="NMD156" s="250"/>
      <c r="NME156" s="250"/>
      <c r="NMF156" s="250"/>
      <c r="NMG156" s="250"/>
      <c r="NMH156" s="250"/>
      <c r="NMI156" s="250"/>
      <c r="NMJ156" s="250"/>
      <c r="NMK156" s="250"/>
      <c r="NML156" s="250"/>
      <c r="NMM156" s="250"/>
      <c r="NMN156" s="250"/>
      <c r="NMO156" s="250"/>
      <c r="NMP156" s="250"/>
      <c r="NMQ156" s="250"/>
      <c r="NMR156" s="250"/>
      <c r="NMS156" s="250"/>
      <c r="NMT156" s="250"/>
      <c r="NMU156" s="250"/>
      <c r="NMV156" s="250"/>
      <c r="NMW156" s="250"/>
      <c r="NMX156" s="250"/>
      <c r="NMY156" s="250"/>
      <c r="NMZ156" s="250"/>
      <c r="NNA156" s="250"/>
      <c r="NNB156" s="250"/>
      <c r="NNC156" s="250"/>
      <c r="NND156" s="250"/>
      <c r="NNE156" s="250"/>
      <c r="NNF156" s="250"/>
      <c r="NNG156" s="250"/>
      <c r="NNH156" s="250"/>
      <c r="NNI156" s="250"/>
      <c r="NNJ156" s="250"/>
      <c r="NNK156" s="250"/>
      <c r="NNL156" s="250"/>
      <c r="NNM156" s="250"/>
      <c r="NNN156" s="250"/>
      <c r="NNO156" s="250"/>
      <c r="NNP156" s="250"/>
      <c r="NNQ156" s="250"/>
      <c r="NNR156" s="250"/>
      <c r="NNS156" s="250"/>
      <c r="NNT156" s="250"/>
      <c r="NNU156" s="250"/>
      <c r="NNV156" s="250"/>
      <c r="NNW156" s="250"/>
      <c r="NNX156" s="250"/>
      <c r="NNY156" s="250"/>
      <c r="NNZ156" s="250"/>
      <c r="NOA156" s="250"/>
      <c r="NOB156" s="250"/>
      <c r="NOC156" s="250"/>
      <c r="NOD156" s="250"/>
      <c r="NOE156" s="250"/>
      <c r="NOF156" s="250"/>
      <c r="NOG156" s="250"/>
      <c r="NOH156" s="250"/>
      <c r="NOI156" s="250"/>
      <c r="NOJ156" s="250"/>
      <c r="NOK156" s="250"/>
      <c r="NOL156" s="250"/>
      <c r="NOM156" s="250"/>
      <c r="NON156" s="250"/>
      <c r="NOO156" s="250"/>
      <c r="NOP156" s="250"/>
      <c r="NOQ156" s="250"/>
      <c r="NOR156" s="250"/>
      <c r="NOS156" s="250"/>
      <c r="NOT156" s="250"/>
      <c r="NOU156" s="250"/>
      <c r="NOV156" s="250"/>
      <c r="NOW156" s="250"/>
      <c r="NOX156" s="250"/>
      <c r="NOY156" s="250"/>
      <c r="NOZ156" s="250"/>
      <c r="NPA156" s="250"/>
      <c r="NPB156" s="250"/>
      <c r="NPC156" s="250"/>
      <c r="NPD156" s="250"/>
      <c r="NPE156" s="250"/>
      <c r="NPF156" s="250"/>
      <c r="NPG156" s="250"/>
      <c r="NPH156" s="250"/>
      <c r="NPI156" s="250"/>
      <c r="NPJ156" s="250"/>
      <c r="NPK156" s="250"/>
      <c r="NPL156" s="250"/>
      <c r="NPM156" s="250"/>
      <c r="NPN156" s="250"/>
      <c r="NPO156" s="250"/>
      <c r="NPP156" s="250"/>
      <c r="NPQ156" s="250"/>
      <c r="NPR156" s="250"/>
      <c r="NPS156" s="250"/>
      <c r="NPT156" s="250"/>
      <c r="NPU156" s="250"/>
      <c r="NPV156" s="250"/>
      <c r="NPW156" s="250"/>
      <c r="NPX156" s="250"/>
      <c r="NPY156" s="250"/>
      <c r="NPZ156" s="250"/>
      <c r="NQA156" s="250"/>
      <c r="NQB156" s="250"/>
      <c r="NQC156" s="250"/>
      <c r="NQD156" s="250"/>
      <c r="NQE156" s="250"/>
      <c r="NQF156" s="250"/>
      <c r="NQG156" s="250"/>
      <c r="NQH156" s="250"/>
      <c r="NQI156" s="250"/>
      <c r="NQJ156" s="250"/>
      <c r="NQK156" s="250"/>
      <c r="NQL156" s="250"/>
      <c r="NQM156" s="250"/>
      <c r="NQN156" s="250"/>
      <c r="NQO156" s="250"/>
      <c r="NQP156" s="250"/>
      <c r="NQQ156" s="250"/>
      <c r="NQR156" s="250"/>
      <c r="NQS156" s="250"/>
      <c r="NQT156" s="250"/>
      <c r="NQU156" s="250"/>
      <c r="NQV156" s="250"/>
      <c r="NQW156" s="250"/>
      <c r="NQX156" s="250"/>
      <c r="NQY156" s="250"/>
      <c r="NQZ156" s="250"/>
      <c r="NRA156" s="250"/>
      <c r="NRB156" s="250"/>
      <c r="NRC156" s="250"/>
      <c r="NRD156" s="250"/>
      <c r="NRE156" s="250"/>
      <c r="NRF156" s="250"/>
      <c r="NRG156" s="250"/>
      <c r="NRH156" s="250"/>
      <c r="NRI156" s="250"/>
      <c r="NRJ156" s="250"/>
      <c r="NRK156" s="250"/>
      <c r="NRL156" s="250"/>
      <c r="NRM156" s="250"/>
      <c r="NRN156" s="250"/>
      <c r="NRO156" s="250"/>
      <c r="NRP156" s="250"/>
      <c r="NRQ156" s="250"/>
      <c r="NRR156" s="250"/>
      <c r="NRS156" s="250"/>
      <c r="NRT156" s="250"/>
      <c r="NRU156" s="250"/>
      <c r="NRV156" s="250"/>
      <c r="NRW156" s="250"/>
      <c r="NRX156" s="250"/>
      <c r="NRY156" s="250"/>
      <c r="NRZ156" s="250"/>
      <c r="NSA156" s="250"/>
      <c r="NSB156" s="250"/>
      <c r="NSC156" s="250"/>
      <c r="NSD156" s="250"/>
      <c r="NSE156" s="250"/>
      <c r="NSF156" s="250"/>
      <c r="NSG156" s="250"/>
      <c r="NSH156" s="250"/>
      <c r="NSI156" s="250"/>
      <c r="NSJ156" s="250"/>
      <c r="NSK156" s="250"/>
      <c r="NSL156" s="250"/>
      <c r="NSM156" s="250"/>
      <c r="NSN156" s="250"/>
      <c r="NSO156" s="250"/>
      <c r="NSP156" s="250"/>
      <c r="NSQ156" s="250"/>
      <c r="NSR156" s="250"/>
      <c r="NSS156" s="250"/>
      <c r="NST156" s="250"/>
      <c r="NSU156" s="250"/>
      <c r="NSV156" s="250"/>
      <c r="NSW156" s="250"/>
      <c r="NSX156" s="250"/>
      <c r="NSY156" s="250"/>
      <c r="NSZ156" s="250"/>
      <c r="NTA156" s="250"/>
      <c r="NTB156" s="250"/>
      <c r="NTC156" s="250"/>
      <c r="NTD156" s="250"/>
      <c r="NTE156" s="250"/>
      <c r="NTF156" s="250"/>
      <c r="NTG156" s="250"/>
      <c r="NTH156" s="250"/>
      <c r="NTI156" s="250"/>
      <c r="NTJ156" s="250"/>
      <c r="NTK156" s="250"/>
      <c r="NTL156" s="250"/>
      <c r="NTM156" s="250"/>
      <c r="NTN156" s="250"/>
      <c r="NTO156" s="250"/>
      <c r="NTP156" s="250"/>
      <c r="NTQ156" s="250"/>
      <c r="NTR156" s="250"/>
      <c r="NTS156" s="250"/>
      <c r="NTT156" s="250"/>
      <c r="NTU156" s="250"/>
      <c r="NTV156" s="250"/>
      <c r="NTW156" s="250"/>
      <c r="NTX156" s="250"/>
      <c r="NTY156" s="250"/>
      <c r="NTZ156" s="250"/>
      <c r="NUA156" s="250"/>
      <c r="NUB156" s="250"/>
      <c r="NUC156" s="250"/>
      <c r="NUD156" s="250"/>
      <c r="NUE156" s="250"/>
      <c r="NUF156" s="250"/>
      <c r="NUG156" s="250"/>
      <c r="NUH156" s="250"/>
      <c r="NUI156" s="250"/>
      <c r="NUJ156" s="250"/>
      <c r="NUK156" s="250"/>
      <c r="NUL156" s="250"/>
      <c r="NUM156" s="250"/>
      <c r="NUN156" s="250"/>
      <c r="NUO156" s="250"/>
      <c r="NUP156" s="250"/>
      <c r="NUQ156" s="250"/>
      <c r="NUR156" s="250"/>
      <c r="NUS156" s="250"/>
      <c r="NUT156" s="250"/>
      <c r="NUU156" s="250"/>
      <c r="NUV156" s="250"/>
      <c r="NUW156" s="250"/>
      <c r="NUX156" s="250"/>
      <c r="NUY156" s="250"/>
      <c r="NUZ156" s="250"/>
      <c r="NVA156" s="250"/>
      <c r="NVB156" s="250"/>
      <c r="NVC156" s="250"/>
      <c r="NVD156" s="250"/>
      <c r="NVE156" s="250"/>
      <c r="NVF156" s="250"/>
      <c r="NVG156" s="250"/>
      <c r="NVH156" s="250"/>
      <c r="NVI156" s="250"/>
      <c r="NVJ156" s="250"/>
      <c r="NVK156" s="250"/>
      <c r="NVL156" s="250"/>
      <c r="NVM156" s="250"/>
      <c r="NVN156" s="250"/>
      <c r="NVO156" s="250"/>
      <c r="NVP156" s="250"/>
      <c r="NVQ156" s="250"/>
      <c r="NVR156" s="250"/>
      <c r="NVS156" s="250"/>
      <c r="NVT156" s="250"/>
      <c r="NVU156" s="250"/>
      <c r="NVV156" s="250"/>
      <c r="NVW156" s="250"/>
      <c r="NVX156" s="250"/>
      <c r="NVY156" s="250"/>
      <c r="NVZ156" s="250"/>
      <c r="NWA156" s="250"/>
      <c r="NWB156" s="250"/>
      <c r="NWC156" s="250"/>
      <c r="NWD156" s="250"/>
      <c r="NWE156" s="250"/>
      <c r="NWF156" s="250"/>
      <c r="NWG156" s="250"/>
      <c r="NWH156" s="250"/>
      <c r="NWI156" s="250"/>
      <c r="NWJ156" s="250"/>
      <c r="NWK156" s="250"/>
      <c r="NWL156" s="250"/>
      <c r="NWM156" s="250"/>
      <c r="NWN156" s="250"/>
      <c r="NWO156" s="250"/>
      <c r="NWP156" s="250"/>
      <c r="NWQ156" s="250"/>
      <c r="NWR156" s="250"/>
      <c r="NWS156" s="250"/>
      <c r="NWT156" s="250"/>
      <c r="NWU156" s="250"/>
      <c r="NWV156" s="250"/>
      <c r="NWW156" s="250"/>
      <c r="NWX156" s="250"/>
      <c r="NWY156" s="250"/>
      <c r="NWZ156" s="250"/>
      <c r="NXA156" s="250"/>
      <c r="NXB156" s="250"/>
      <c r="NXC156" s="250"/>
      <c r="NXD156" s="250"/>
      <c r="NXE156" s="250"/>
      <c r="NXF156" s="250"/>
      <c r="NXG156" s="250"/>
      <c r="NXH156" s="250"/>
      <c r="NXI156" s="250"/>
      <c r="NXJ156" s="250"/>
      <c r="NXK156" s="250"/>
      <c r="NXL156" s="250"/>
      <c r="NXM156" s="250"/>
      <c r="NXN156" s="250"/>
      <c r="NXO156" s="250"/>
      <c r="NXP156" s="250"/>
      <c r="NXQ156" s="250"/>
      <c r="NXR156" s="250"/>
      <c r="NXS156" s="250"/>
      <c r="NXT156" s="250"/>
      <c r="NXU156" s="250"/>
      <c r="NXV156" s="250"/>
      <c r="NXW156" s="250"/>
      <c r="NXX156" s="250"/>
      <c r="NXY156" s="250"/>
      <c r="NXZ156" s="250"/>
      <c r="NYA156" s="250"/>
      <c r="NYB156" s="250"/>
      <c r="NYC156" s="250"/>
      <c r="NYD156" s="250"/>
      <c r="NYE156" s="250"/>
      <c r="NYF156" s="250"/>
      <c r="NYG156" s="250"/>
      <c r="NYH156" s="250"/>
      <c r="NYI156" s="250"/>
      <c r="NYJ156" s="250"/>
      <c r="NYK156" s="250"/>
      <c r="NYL156" s="250"/>
      <c r="NYM156" s="250"/>
      <c r="NYN156" s="250"/>
      <c r="NYO156" s="250"/>
      <c r="NYP156" s="250"/>
      <c r="NYQ156" s="250"/>
      <c r="NYR156" s="250"/>
      <c r="NYS156" s="250"/>
      <c r="NYT156" s="250"/>
      <c r="NYU156" s="250"/>
      <c r="NYV156" s="250"/>
      <c r="NYW156" s="250"/>
      <c r="NYX156" s="250"/>
      <c r="NYY156" s="250"/>
      <c r="NYZ156" s="250"/>
      <c r="NZA156" s="250"/>
      <c r="NZB156" s="250"/>
      <c r="NZC156" s="250"/>
      <c r="NZD156" s="250"/>
      <c r="NZE156" s="250"/>
      <c r="NZF156" s="250"/>
      <c r="NZG156" s="250"/>
      <c r="NZH156" s="250"/>
      <c r="NZI156" s="250"/>
      <c r="NZJ156" s="250"/>
      <c r="NZK156" s="250"/>
      <c r="NZL156" s="250"/>
      <c r="NZM156" s="250"/>
      <c r="NZN156" s="250"/>
      <c r="NZO156" s="250"/>
      <c r="NZP156" s="250"/>
      <c r="NZQ156" s="250"/>
      <c r="NZR156" s="250"/>
      <c r="NZS156" s="250"/>
      <c r="NZT156" s="250"/>
      <c r="NZU156" s="250"/>
      <c r="NZV156" s="250"/>
      <c r="NZW156" s="250"/>
      <c r="NZX156" s="250"/>
      <c r="NZY156" s="250"/>
      <c r="NZZ156" s="250"/>
      <c r="OAA156" s="250"/>
      <c r="OAB156" s="250"/>
      <c r="OAC156" s="250"/>
      <c r="OAD156" s="250"/>
      <c r="OAE156" s="250"/>
      <c r="OAF156" s="250"/>
      <c r="OAG156" s="250"/>
      <c r="OAH156" s="250"/>
      <c r="OAI156" s="250"/>
      <c r="OAJ156" s="250"/>
      <c r="OAK156" s="250"/>
      <c r="OAL156" s="250"/>
      <c r="OAM156" s="250"/>
      <c r="OAN156" s="250"/>
      <c r="OAO156" s="250"/>
      <c r="OAP156" s="250"/>
      <c r="OAQ156" s="250"/>
      <c r="OAR156" s="250"/>
      <c r="OAS156" s="250"/>
      <c r="OAT156" s="250"/>
      <c r="OAU156" s="250"/>
      <c r="OAV156" s="250"/>
      <c r="OAW156" s="250"/>
      <c r="OAX156" s="250"/>
      <c r="OAY156" s="250"/>
      <c r="OAZ156" s="250"/>
      <c r="OBA156" s="250"/>
      <c r="OBB156" s="250"/>
      <c r="OBC156" s="250"/>
      <c r="OBD156" s="250"/>
      <c r="OBE156" s="250"/>
      <c r="OBF156" s="250"/>
      <c r="OBG156" s="250"/>
      <c r="OBH156" s="250"/>
      <c r="OBI156" s="250"/>
      <c r="OBJ156" s="250"/>
      <c r="OBK156" s="250"/>
      <c r="OBL156" s="250"/>
      <c r="OBM156" s="250"/>
      <c r="OBN156" s="250"/>
      <c r="OBO156" s="250"/>
      <c r="OBP156" s="250"/>
      <c r="OBQ156" s="250"/>
      <c r="OBR156" s="250"/>
      <c r="OBS156" s="250"/>
      <c r="OBT156" s="250"/>
      <c r="OBU156" s="250"/>
      <c r="OBV156" s="250"/>
      <c r="OBW156" s="250"/>
      <c r="OBX156" s="250"/>
      <c r="OBY156" s="250"/>
      <c r="OBZ156" s="250"/>
      <c r="OCA156" s="250"/>
      <c r="OCB156" s="250"/>
      <c r="OCC156" s="250"/>
      <c r="OCD156" s="250"/>
      <c r="OCE156" s="250"/>
      <c r="OCF156" s="250"/>
      <c r="OCG156" s="250"/>
      <c r="OCH156" s="250"/>
      <c r="OCI156" s="250"/>
      <c r="OCJ156" s="250"/>
      <c r="OCK156" s="250"/>
      <c r="OCL156" s="250"/>
      <c r="OCM156" s="250"/>
      <c r="OCN156" s="250"/>
      <c r="OCO156" s="250"/>
      <c r="OCP156" s="250"/>
      <c r="OCQ156" s="250"/>
      <c r="OCR156" s="250"/>
      <c r="OCS156" s="250"/>
      <c r="OCT156" s="250"/>
      <c r="OCU156" s="250"/>
      <c r="OCV156" s="250"/>
      <c r="OCW156" s="250"/>
      <c r="OCX156" s="250"/>
      <c r="OCY156" s="250"/>
      <c r="OCZ156" s="250"/>
      <c r="ODA156" s="250"/>
      <c r="ODB156" s="250"/>
      <c r="ODC156" s="250"/>
      <c r="ODD156" s="250"/>
      <c r="ODE156" s="250"/>
      <c r="ODF156" s="250"/>
      <c r="ODG156" s="250"/>
      <c r="ODH156" s="250"/>
      <c r="ODI156" s="250"/>
      <c r="ODJ156" s="250"/>
      <c r="ODK156" s="250"/>
      <c r="ODL156" s="250"/>
      <c r="ODM156" s="250"/>
      <c r="ODN156" s="250"/>
      <c r="ODO156" s="250"/>
      <c r="ODP156" s="250"/>
      <c r="ODQ156" s="250"/>
      <c r="ODR156" s="250"/>
      <c r="ODS156" s="250"/>
      <c r="ODT156" s="250"/>
      <c r="ODU156" s="250"/>
      <c r="ODV156" s="250"/>
      <c r="ODW156" s="250"/>
      <c r="ODX156" s="250"/>
      <c r="ODY156" s="250"/>
      <c r="ODZ156" s="250"/>
      <c r="OEA156" s="250"/>
      <c r="OEB156" s="250"/>
      <c r="OEC156" s="250"/>
      <c r="OED156" s="250"/>
      <c r="OEE156" s="250"/>
      <c r="OEF156" s="250"/>
      <c r="OEG156" s="250"/>
      <c r="OEH156" s="250"/>
      <c r="OEI156" s="250"/>
      <c r="OEJ156" s="250"/>
      <c r="OEK156" s="250"/>
      <c r="OEL156" s="250"/>
      <c r="OEM156" s="250"/>
      <c r="OEN156" s="250"/>
      <c r="OEO156" s="250"/>
      <c r="OEP156" s="250"/>
      <c r="OEQ156" s="250"/>
      <c r="OER156" s="250"/>
      <c r="OES156" s="250"/>
      <c r="OET156" s="250"/>
      <c r="OEU156" s="250"/>
      <c r="OEV156" s="250"/>
      <c r="OEW156" s="250"/>
      <c r="OEX156" s="250"/>
      <c r="OEY156" s="250"/>
      <c r="OEZ156" s="250"/>
      <c r="OFA156" s="250"/>
      <c r="OFB156" s="250"/>
      <c r="OFC156" s="250"/>
      <c r="OFD156" s="250"/>
      <c r="OFE156" s="250"/>
      <c r="OFF156" s="250"/>
      <c r="OFG156" s="250"/>
      <c r="OFH156" s="250"/>
      <c r="OFI156" s="250"/>
      <c r="OFJ156" s="250"/>
      <c r="OFK156" s="250"/>
      <c r="OFL156" s="250"/>
      <c r="OFM156" s="250"/>
      <c r="OFN156" s="250"/>
      <c r="OFO156" s="250"/>
      <c r="OFP156" s="250"/>
      <c r="OFQ156" s="250"/>
      <c r="OFR156" s="250"/>
      <c r="OFS156" s="250"/>
      <c r="OFT156" s="250"/>
      <c r="OFU156" s="250"/>
      <c r="OFV156" s="250"/>
      <c r="OFW156" s="250"/>
      <c r="OFX156" s="250"/>
      <c r="OFY156" s="250"/>
      <c r="OFZ156" s="250"/>
      <c r="OGA156" s="250"/>
      <c r="OGB156" s="250"/>
      <c r="OGC156" s="250"/>
      <c r="OGD156" s="250"/>
      <c r="OGE156" s="250"/>
      <c r="OGF156" s="250"/>
      <c r="OGG156" s="250"/>
      <c r="OGH156" s="250"/>
      <c r="OGI156" s="250"/>
      <c r="OGJ156" s="250"/>
      <c r="OGK156" s="250"/>
      <c r="OGL156" s="250"/>
      <c r="OGM156" s="250"/>
      <c r="OGN156" s="250"/>
      <c r="OGO156" s="250"/>
      <c r="OGP156" s="250"/>
      <c r="OGQ156" s="250"/>
      <c r="OGR156" s="250"/>
      <c r="OGS156" s="250"/>
      <c r="OGT156" s="250"/>
      <c r="OGU156" s="250"/>
      <c r="OGV156" s="250"/>
      <c r="OGW156" s="250"/>
      <c r="OGX156" s="250"/>
      <c r="OGY156" s="250"/>
      <c r="OGZ156" s="250"/>
      <c r="OHA156" s="250"/>
      <c r="OHB156" s="250"/>
      <c r="OHC156" s="250"/>
      <c r="OHD156" s="250"/>
      <c r="OHE156" s="250"/>
      <c r="OHF156" s="250"/>
      <c r="OHG156" s="250"/>
      <c r="OHH156" s="250"/>
      <c r="OHI156" s="250"/>
      <c r="OHJ156" s="250"/>
      <c r="OHK156" s="250"/>
      <c r="OHL156" s="250"/>
      <c r="OHM156" s="250"/>
      <c r="OHN156" s="250"/>
      <c r="OHO156" s="250"/>
      <c r="OHP156" s="250"/>
      <c r="OHQ156" s="250"/>
      <c r="OHR156" s="250"/>
      <c r="OHS156" s="250"/>
      <c r="OHT156" s="250"/>
      <c r="OHU156" s="250"/>
      <c r="OHV156" s="250"/>
      <c r="OHW156" s="250"/>
      <c r="OHX156" s="250"/>
      <c r="OHY156" s="250"/>
      <c r="OHZ156" s="250"/>
      <c r="OIA156" s="250"/>
      <c r="OIB156" s="250"/>
      <c r="OIC156" s="250"/>
      <c r="OID156" s="250"/>
      <c r="OIE156" s="250"/>
      <c r="OIF156" s="250"/>
      <c r="OIG156" s="250"/>
      <c r="OIH156" s="250"/>
      <c r="OII156" s="250"/>
      <c r="OIJ156" s="250"/>
      <c r="OIK156" s="250"/>
      <c r="OIL156" s="250"/>
      <c r="OIM156" s="250"/>
      <c r="OIN156" s="250"/>
      <c r="OIO156" s="250"/>
      <c r="OIP156" s="250"/>
      <c r="OIQ156" s="250"/>
      <c r="OIR156" s="250"/>
      <c r="OIS156" s="250"/>
      <c r="OIT156" s="250"/>
      <c r="OIU156" s="250"/>
      <c r="OIV156" s="250"/>
      <c r="OIW156" s="250"/>
      <c r="OIX156" s="250"/>
      <c r="OIY156" s="250"/>
      <c r="OIZ156" s="250"/>
      <c r="OJA156" s="250"/>
      <c r="OJB156" s="250"/>
      <c r="OJC156" s="250"/>
      <c r="OJD156" s="250"/>
      <c r="OJE156" s="250"/>
      <c r="OJF156" s="250"/>
      <c r="OJG156" s="250"/>
      <c r="OJH156" s="250"/>
      <c r="OJI156" s="250"/>
      <c r="OJJ156" s="250"/>
      <c r="OJK156" s="250"/>
      <c r="OJL156" s="250"/>
      <c r="OJM156" s="250"/>
      <c r="OJN156" s="250"/>
      <c r="OJO156" s="250"/>
      <c r="OJP156" s="250"/>
      <c r="OJQ156" s="250"/>
      <c r="OJR156" s="250"/>
      <c r="OJS156" s="250"/>
      <c r="OJT156" s="250"/>
      <c r="OJU156" s="250"/>
      <c r="OJV156" s="250"/>
      <c r="OJW156" s="250"/>
      <c r="OJX156" s="250"/>
      <c r="OJY156" s="250"/>
      <c r="OJZ156" s="250"/>
      <c r="OKA156" s="250"/>
      <c r="OKB156" s="250"/>
      <c r="OKC156" s="250"/>
      <c r="OKD156" s="250"/>
      <c r="OKE156" s="250"/>
      <c r="OKF156" s="250"/>
      <c r="OKG156" s="250"/>
      <c r="OKH156" s="250"/>
      <c r="OKI156" s="250"/>
      <c r="OKJ156" s="250"/>
      <c r="OKK156" s="250"/>
      <c r="OKL156" s="250"/>
      <c r="OKM156" s="250"/>
      <c r="OKN156" s="250"/>
      <c r="OKO156" s="250"/>
      <c r="OKP156" s="250"/>
      <c r="OKQ156" s="250"/>
      <c r="OKR156" s="250"/>
      <c r="OKS156" s="250"/>
      <c r="OKT156" s="250"/>
      <c r="OKU156" s="250"/>
      <c r="OKV156" s="250"/>
      <c r="OKW156" s="250"/>
      <c r="OKX156" s="250"/>
      <c r="OKY156" s="250"/>
      <c r="OKZ156" s="250"/>
      <c r="OLA156" s="250"/>
      <c r="OLB156" s="250"/>
      <c r="OLC156" s="250"/>
      <c r="OLD156" s="250"/>
      <c r="OLE156" s="250"/>
      <c r="OLF156" s="250"/>
      <c r="OLG156" s="250"/>
      <c r="OLH156" s="250"/>
      <c r="OLI156" s="250"/>
      <c r="OLJ156" s="250"/>
      <c r="OLK156" s="250"/>
      <c r="OLL156" s="250"/>
      <c r="OLM156" s="250"/>
      <c r="OLN156" s="250"/>
      <c r="OLO156" s="250"/>
      <c r="OLP156" s="250"/>
      <c r="OLQ156" s="250"/>
      <c r="OLR156" s="250"/>
      <c r="OLS156" s="250"/>
      <c r="OLT156" s="250"/>
      <c r="OLU156" s="250"/>
      <c r="OLV156" s="250"/>
      <c r="OLW156" s="250"/>
      <c r="OLX156" s="250"/>
      <c r="OLY156" s="250"/>
      <c r="OLZ156" s="250"/>
      <c r="OMA156" s="250"/>
      <c r="OMB156" s="250"/>
      <c r="OMC156" s="250"/>
      <c r="OMD156" s="250"/>
      <c r="OME156" s="250"/>
      <c r="OMF156" s="250"/>
      <c r="OMG156" s="250"/>
      <c r="OMH156" s="250"/>
      <c r="OMI156" s="250"/>
      <c r="OMJ156" s="250"/>
      <c r="OMK156" s="250"/>
      <c r="OML156" s="250"/>
      <c r="OMM156" s="250"/>
      <c r="OMN156" s="250"/>
      <c r="OMO156" s="250"/>
      <c r="OMP156" s="250"/>
      <c r="OMQ156" s="250"/>
      <c r="OMR156" s="250"/>
      <c r="OMS156" s="250"/>
      <c r="OMT156" s="250"/>
      <c r="OMU156" s="250"/>
      <c r="OMV156" s="250"/>
      <c r="OMW156" s="250"/>
      <c r="OMX156" s="250"/>
      <c r="OMY156" s="250"/>
      <c r="OMZ156" s="250"/>
      <c r="ONA156" s="250"/>
      <c r="ONB156" s="250"/>
      <c r="ONC156" s="250"/>
      <c r="OND156" s="250"/>
      <c r="ONE156" s="250"/>
      <c r="ONF156" s="250"/>
      <c r="ONG156" s="250"/>
      <c r="ONH156" s="250"/>
      <c r="ONI156" s="250"/>
      <c r="ONJ156" s="250"/>
      <c r="ONK156" s="250"/>
      <c r="ONL156" s="250"/>
      <c r="ONM156" s="250"/>
      <c r="ONN156" s="250"/>
      <c r="ONO156" s="250"/>
      <c r="ONP156" s="250"/>
      <c r="ONQ156" s="250"/>
      <c r="ONR156" s="250"/>
      <c r="ONS156" s="250"/>
      <c r="ONT156" s="250"/>
      <c r="ONU156" s="250"/>
      <c r="ONV156" s="250"/>
      <c r="ONW156" s="250"/>
      <c r="ONX156" s="250"/>
      <c r="ONY156" s="250"/>
      <c r="ONZ156" s="250"/>
      <c r="OOA156" s="250"/>
      <c r="OOB156" s="250"/>
      <c r="OOC156" s="250"/>
      <c r="OOD156" s="250"/>
      <c r="OOE156" s="250"/>
      <c r="OOF156" s="250"/>
      <c r="OOG156" s="250"/>
      <c r="OOH156" s="250"/>
      <c r="OOI156" s="250"/>
      <c r="OOJ156" s="250"/>
      <c r="OOK156" s="250"/>
      <c r="OOL156" s="250"/>
      <c r="OOM156" s="250"/>
      <c r="OON156" s="250"/>
      <c r="OOO156" s="250"/>
      <c r="OOP156" s="250"/>
      <c r="OOQ156" s="250"/>
      <c r="OOR156" s="250"/>
      <c r="OOS156" s="250"/>
      <c r="OOT156" s="250"/>
      <c r="OOU156" s="250"/>
      <c r="OOV156" s="250"/>
      <c r="OOW156" s="250"/>
      <c r="OOX156" s="250"/>
      <c r="OOY156" s="250"/>
      <c r="OOZ156" s="250"/>
      <c r="OPA156" s="250"/>
      <c r="OPB156" s="250"/>
      <c r="OPC156" s="250"/>
      <c r="OPD156" s="250"/>
      <c r="OPE156" s="250"/>
      <c r="OPF156" s="250"/>
      <c r="OPG156" s="250"/>
      <c r="OPH156" s="250"/>
      <c r="OPI156" s="250"/>
      <c r="OPJ156" s="250"/>
      <c r="OPK156" s="250"/>
      <c r="OPL156" s="250"/>
      <c r="OPM156" s="250"/>
      <c r="OPN156" s="250"/>
      <c r="OPO156" s="250"/>
      <c r="OPP156" s="250"/>
      <c r="OPQ156" s="250"/>
      <c r="OPR156" s="250"/>
      <c r="OPS156" s="250"/>
      <c r="OPT156" s="250"/>
      <c r="OPU156" s="250"/>
      <c r="OPV156" s="250"/>
      <c r="OPW156" s="250"/>
      <c r="OPX156" s="250"/>
      <c r="OPY156" s="250"/>
      <c r="OPZ156" s="250"/>
      <c r="OQA156" s="250"/>
      <c r="OQB156" s="250"/>
      <c r="OQC156" s="250"/>
      <c r="OQD156" s="250"/>
      <c r="OQE156" s="250"/>
      <c r="OQF156" s="250"/>
      <c r="OQG156" s="250"/>
      <c r="OQH156" s="250"/>
      <c r="OQI156" s="250"/>
      <c r="OQJ156" s="250"/>
      <c r="OQK156" s="250"/>
      <c r="OQL156" s="250"/>
      <c r="OQM156" s="250"/>
      <c r="OQN156" s="250"/>
      <c r="OQO156" s="250"/>
      <c r="OQP156" s="250"/>
      <c r="OQQ156" s="250"/>
      <c r="OQR156" s="250"/>
      <c r="OQS156" s="250"/>
      <c r="OQT156" s="250"/>
      <c r="OQU156" s="250"/>
      <c r="OQV156" s="250"/>
      <c r="OQW156" s="250"/>
      <c r="OQX156" s="250"/>
      <c r="OQY156" s="250"/>
      <c r="OQZ156" s="250"/>
      <c r="ORA156" s="250"/>
      <c r="ORB156" s="250"/>
      <c r="ORC156" s="250"/>
      <c r="ORD156" s="250"/>
      <c r="ORE156" s="250"/>
      <c r="ORF156" s="250"/>
      <c r="ORG156" s="250"/>
      <c r="ORH156" s="250"/>
      <c r="ORI156" s="250"/>
      <c r="ORJ156" s="250"/>
      <c r="ORK156" s="250"/>
      <c r="ORL156" s="250"/>
      <c r="ORM156" s="250"/>
      <c r="ORN156" s="250"/>
      <c r="ORO156" s="250"/>
      <c r="ORP156" s="250"/>
      <c r="ORQ156" s="250"/>
      <c r="ORR156" s="250"/>
      <c r="ORS156" s="250"/>
      <c r="ORT156" s="250"/>
      <c r="ORU156" s="250"/>
      <c r="ORV156" s="250"/>
      <c r="ORW156" s="250"/>
      <c r="ORX156" s="250"/>
      <c r="ORY156" s="250"/>
      <c r="ORZ156" s="250"/>
      <c r="OSA156" s="250"/>
      <c r="OSB156" s="250"/>
      <c r="OSC156" s="250"/>
      <c r="OSD156" s="250"/>
      <c r="OSE156" s="250"/>
      <c r="OSF156" s="250"/>
      <c r="OSG156" s="250"/>
      <c r="OSH156" s="250"/>
      <c r="OSI156" s="250"/>
      <c r="OSJ156" s="250"/>
      <c r="OSK156" s="250"/>
      <c r="OSL156" s="250"/>
      <c r="OSM156" s="250"/>
      <c r="OSN156" s="250"/>
      <c r="OSO156" s="250"/>
      <c r="OSP156" s="250"/>
      <c r="OSQ156" s="250"/>
      <c r="OSR156" s="250"/>
      <c r="OSS156" s="250"/>
      <c r="OST156" s="250"/>
      <c r="OSU156" s="250"/>
      <c r="OSV156" s="250"/>
      <c r="OSW156" s="250"/>
      <c r="OSX156" s="250"/>
      <c r="OSY156" s="250"/>
      <c r="OSZ156" s="250"/>
      <c r="OTA156" s="250"/>
      <c r="OTB156" s="250"/>
      <c r="OTC156" s="250"/>
      <c r="OTD156" s="250"/>
      <c r="OTE156" s="250"/>
      <c r="OTF156" s="250"/>
      <c r="OTG156" s="250"/>
      <c r="OTH156" s="250"/>
      <c r="OTI156" s="250"/>
      <c r="OTJ156" s="250"/>
      <c r="OTK156" s="250"/>
      <c r="OTL156" s="250"/>
      <c r="OTM156" s="250"/>
      <c r="OTN156" s="250"/>
      <c r="OTO156" s="250"/>
      <c r="OTP156" s="250"/>
      <c r="OTQ156" s="250"/>
      <c r="OTR156" s="250"/>
      <c r="OTS156" s="250"/>
      <c r="OTT156" s="250"/>
      <c r="OTU156" s="250"/>
      <c r="OTV156" s="250"/>
      <c r="OTW156" s="250"/>
      <c r="OTX156" s="250"/>
      <c r="OTY156" s="250"/>
      <c r="OTZ156" s="250"/>
      <c r="OUA156" s="250"/>
      <c r="OUB156" s="250"/>
      <c r="OUC156" s="250"/>
      <c r="OUD156" s="250"/>
      <c r="OUE156" s="250"/>
      <c r="OUF156" s="250"/>
      <c r="OUG156" s="250"/>
      <c r="OUH156" s="250"/>
      <c r="OUI156" s="250"/>
      <c r="OUJ156" s="250"/>
      <c r="OUK156" s="250"/>
      <c r="OUL156" s="250"/>
      <c r="OUM156" s="250"/>
      <c r="OUN156" s="250"/>
      <c r="OUO156" s="250"/>
      <c r="OUP156" s="250"/>
      <c r="OUQ156" s="250"/>
      <c r="OUR156" s="250"/>
      <c r="OUS156" s="250"/>
      <c r="OUT156" s="250"/>
      <c r="OUU156" s="250"/>
      <c r="OUV156" s="250"/>
      <c r="OUW156" s="250"/>
      <c r="OUX156" s="250"/>
      <c r="OUY156" s="250"/>
      <c r="OUZ156" s="250"/>
      <c r="OVA156" s="250"/>
      <c r="OVB156" s="250"/>
      <c r="OVC156" s="250"/>
      <c r="OVD156" s="250"/>
      <c r="OVE156" s="250"/>
      <c r="OVF156" s="250"/>
      <c r="OVG156" s="250"/>
      <c r="OVH156" s="250"/>
      <c r="OVI156" s="250"/>
      <c r="OVJ156" s="250"/>
      <c r="OVK156" s="250"/>
      <c r="OVL156" s="250"/>
      <c r="OVM156" s="250"/>
      <c r="OVN156" s="250"/>
      <c r="OVO156" s="250"/>
      <c r="OVP156" s="250"/>
      <c r="OVQ156" s="250"/>
      <c r="OVR156" s="250"/>
      <c r="OVS156" s="250"/>
      <c r="OVT156" s="250"/>
      <c r="OVU156" s="250"/>
      <c r="OVV156" s="250"/>
      <c r="OVW156" s="250"/>
      <c r="OVX156" s="250"/>
      <c r="OVY156" s="250"/>
      <c r="OVZ156" s="250"/>
      <c r="OWA156" s="250"/>
      <c r="OWB156" s="250"/>
      <c r="OWC156" s="250"/>
      <c r="OWD156" s="250"/>
      <c r="OWE156" s="250"/>
      <c r="OWF156" s="250"/>
      <c r="OWG156" s="250"/>
      <c r="OWH156" s="250"/>
      <c r="OWI156" s="250"/>
      <c r="OWJ156" s="250"/>
      <c r="OWK156" s="250"/>
      <c r="OWL156" s="250"/>
      <c r="OWM156" s="250"/>
      <c r="OWN156" s="250"/>
      <c r="OWO156" s="250"/>
      <c r="OWP156" s="250"/>
      <c r="OWQ156" s="250"/>
      <c r="OWR156" s="250"/>
      <c r="OWS156" s="250"/>
      <c r="OWT156" s="250"/>
      <c r="OWU156" s="250"/>
      <c r="OWV156" s="250"/>
      <c r="OWW156" s="250"/>
      <c r="OWX156" s="250"/>
      <c r="OWY156" s="250"/>
      <c r="OWZ156" s="250"/>
      <c r="OXA156" s="250"/>
      <c r="OXB156" s="250"/>
      <c r="OXC156" s="250"/>
      <c r="OXD156" s="250"/>
      <c r="OXE156" s="250"/>
      <c r="OXF156" s="250"/>
      <c r="OXG156" s="250"/>
      <c r="OXH156" s="250"/>
      <c r="OXI156" s="250"/>
      <c r="OXJ156" s="250"/>
      <c r="OXK156" s="250"/>
      <c r="OXL156" s="250"/>
      <c r="OXM156" s="250"/>
      <c r="OXN156" s="250"/>
      <c r="OXO156" s="250"/>
      <c r="OXP156" s="250"/>
      <c r="OXQ156" s="250"/>
      <c r="OXR156" s="250"/>
      <c r="OXS156" s="250"/>
      <c r="OXT156" s="250"/>
      <c r="OXU156" s="250"/>
      <c r="OXV156" s="250"/>
      <c r="OXW156" s="250"/>
      <c r="OXX156" s="250"/>
      <c r="OXY156" s="250"/>
      <c r="OXZ156" s="250"/>
      <c r="OYA156" s="250"/>
      <c r="OYB156" s="250"/>
      <c r="OYC156" s="250"/>
      <c r="OYD156" s="250"/>
      <c r="OYE156" s="250"/>
      <c r="OYF156" s="250"/>
      <c r="OYG156" s="250"/>
      <c r="OYH156" s="250"/>
      <c r="OYI156" s="250"/>
      <c r="OYJ156" s="250"/>
      <c r="OYK156" s="250"/>
      <c r="OYL156" s="250"/>
      <c r="OYM156" s="250"/>
      <c r="OYN156" s="250"/>
      <c r="OYO156" s="250"/>
      <c r="OYP156" s="250"/>
      <c r="OYQ156" s="250"/>
      <c r="OYR156" s="250"/>
      <c r="OYS156" s="250"/>
      <c r="OYT156" s="250"/>
      <c r="OYU156" s="250"/>
      <c r="OYV156" s="250"/>
      <c r="OYW156" s="250"/>
      <c r="OYX156" s="250"/>
      <c r="OYY156" s="250"/>
      <c r="OYZ156" s="250"/>
      <c r="OZA156" s="250"/>
      <c r="OZB156" s="250"/>
      <c r="OZC156" s="250"/>
      <c r="OZD156" s="250"/>
      <c r="OZE156" s="250"/>
      <c r="OZF156" s="250"/>
      <c r="OZG156" s="250"/>
      <c r="OZH156" s="250"/>
      <c r="OZI156" s="250"/>
      <c r="OZJ156" s="250"/>
      <c r="OZK156" s="250"/>
      <c r="OZL156" s="250"/>
      <c r="OZM156" s="250"/>
      <c r="OZN156" s="250"/>
      <c r="OZO156" s="250"/>
      <c r="OZP156" s="250"/>
      <c r="OZQ156" s="250"/>
      <c r="OZR156" s="250"/>
      <c r="OZS156" s="250"/>
      <c r="OZT156" s="250"/>
      <c r="OZU156" s="250"/>
      <c r="OZV156" s="250"/>
      <c r="OZW156" s="250"/>
      <c r="OZX156" s="250"/>
      <c r="OZY156" s="250"/>
      <c r="OZZ156" s="250"/>
      <c r="PAA156" s="250"/>
      <c r="PAB156" s="250"/>
      <c r="PAC156" s="250"/>
      <c r="PAD156" s="250"/>
      <c r="PAE156" s="250"/>
      <c r="PAF156" s="250"/>
      <c r="PAG156" s="250"/>
      <c r="PAH156" s="250"/>
      <c r="PAI156" s="250"/>
      <c r="PAJ156" s="250"/>
      <c r="PAK156" s="250"/>
      <c r="PAL156" s="250"/>
      <c r="PAM156" s="250"/>
      <c r="PAN156" s="250"/>
      <c r="PAO156" s="250"/>
      <c r="PAP156" s="250"/>
      <c r="PAQ156" s="250"/>
      <c r="PAR156" s="250"/>
      <c r="PAS156" s="250"/>
      <c r="PAT156" s="250"/>
      <c r="PAU156" s="250"/>
      <c r="PAV156" s="250"/>
      <c r="PAW156" s="250"/>
      <c r="PAX156" s="250"/>
      <c r="PAY156" s="250"/>
      <c r="PAZ156" s="250"/>
      <c r="PBA156" s="250"/>
      <c r="PBB156" s="250"/>
      <c r="PBC156" s="250"/>
      <c r="PBD156" s="250"/>
      <c r="PBE156" s="250"/>
      <c r="PBF156" s="250"/>
      <c r="PBG156" s="250"/>
      <c r="PBH156" s="250"/>
      <c r="PBI156" s="250"/>
      <c r="PBJ156" s="250"/>
      <c r="PBK156" s="250"/>
      <c r="PBL156" s="250"/>
      <c r="PBM156" s="250"/>
      <c r="PBN156" s="250"/>
      <c r="PBO156" s="250"/>
      <c r="PBP156" s="250"/>
      <c r="PBQ156" s="250"/>
      <c r="PBR156" s="250"/>
      <c r="PBS156" s="250"/>
      <c r="PBT156" s="250"/>
      <c r="PBU156" s="250"/>
      <c r="PBV156" s="250"/>
      <c r="PBW156" s="250"/>
      <c r="PBX156" s="250"/>
      <c r="PBY156" s="250"/>
      <c r="PBZ156" s="250"/>
      <c r="PCA156" s="250"/>
      <c r="PCB156" s="250"/>
      <c r="PCC156" s="250"/>
      <c r="PCD156" s="250"/>
      <c r="PCE156" s="250"/>
      <c r="PCF156" s="250"/>
      <c r="PCG156" s="250"/>
      <c r="PCH156" s="250"/>
      <c r="PCI156" s="250"/>
      <c r="PCJ156" s="250"/>
      <c r="PCK156" s="250"/>
      <c r="PCL156" s="250"/>
      <c r="PCM156" s="250"/>
      <c r="PCN156" s="250"/>
      <c r="PCO156" s="250"/>
      <c r="PCP156" s="250"/>
      <c r="PCQ156" s="250"/>
      <c r="PCR156" s="250"/>
      <c r="PCS156" s="250"/>
      <c r="PCT156" s="250"/>
      <c r="PCU156" s="250"/>
      <c r="PCV156" s="250"/>
      <c r="PCW156" s="250"/>
      <c r="PCX156" s="250"/>
      <c r="PCY156" s="250"/>
      <c r="PCZ156" s="250"/>
      <c r="PDA156" s="250"/>
      <c r="PDB156" s="250"/>
      <c r="PDC156" s="250"/>
      <c r="PDD156" s="250"/>
      <c r="PDE156" s="250"/>
      <c r="PDF156" s="250"/>
      <c r="PDG156" s="250"/>
      <c r="PDH156" s="250"/>
      <c r="PDI156" s="250"/>
      <c r="PDJ156" s="250"/>
      <c r="PDK156" s="250"/>
      <c r="PDL156" s="250"/>
      <c r="PDM156" s="250"/>
      <c r="PDN156" s="250"/>
      <c r="PDO156" s="250"/>
      <c r="PDP156" s="250"/>
      <c r="PDQ156" s="250"/>
      <c r="PDR156" s="250"/>
      <c r="PDS156" s="250"/>
      <c r="PDT156" s="250"/>
      <c r="PDU156" s="250"/>
      <c r="PDV156" s="250"/>
      <c r="PDW156" s="250"/>
      <c r="PDX156" s="250"/>
      <c r="PDY156" s="250"/>
      <c r="PDZ156" s="250"/>
      <c r="PEA156" s="250"/>
      <c r="PEB156" s="250"/>
      <c r="PEC156" s="250"/>
      <c r="PED156" s="250"/>
      <c r="PEE156" s="250"/>
      <c r="PEF156" s="250"/>
      <c r="PEG156" s="250"/>
      <c r="PEH156" s="250"/>
      <c r="PEI156" s="250"/>
      <c r="PEJ156" s="250"/>
      <c r="PEK156" s="250"/>
      <c r="PEL156" s="250"/>
      <c r="PEM156" s="250"/>
      <c r="PEN156" s="250"/>
      <c r="PEO156" s="250"/>
      <c r="PEP156" s="250"/>
      <c r="PEQ156" s="250"/>
      <c r="PER156" s="250"/>
      <c r="PES156" s="250"/>
      <c r="PET156" s="250"/>
      <c r="PEU156" s="250"/>
      <c r="PEV156" s="250"/>
      <c r="PEW156" s="250"/>
      <c r="PEX156" s="250"/>
      <c r="PEY156" s="250"/>
      <c r="PEZ156" s="250"/>
      <c r="PFA156" s="250"/>
      <c r="PFB156" s="250"/>
      <c r="PFC156" s="250"/>
      <c r="PFD156" s="250"/>
      <c r="PFE156" s="250"/>
      <c r="PFF156" s="250"/>
      <c r="PFG156" s="250"/>
      <c r="PFH156" s="250"/>
      <c r="PFI156" s="250"/>
      <c r="PFJ156" s="250"/>
      <c r="PFK156" s="250"/>
      <c r="PFL156" s="250"/>
      <c r="PFM156" s="250"/>
      <c r="PFN156" s="250"/>
      <c r="PFO156" s="250"/>
      <c r="PFP156" s="250"/>
      <c r="PFQ156" s="250"/>
      <c r="PFR156" s="250"/>
      <c r="PFS156" s="250"/>
      <c r="PFT156" s="250"/>
      <c r="PFU156" s="250"/>
      <c r="PFV156" s="250"/>
      <c r="PFW156" s="250"/>
      <c r="PFX156" s="250"/>
      <c r="PFY156" s="250"/>
      <c r="PFZ156" s="250"/>
      <c r="PGA156" s="250"/>
      <c r="PGB156" s="250"/>
      <c r="PGC156" s="250"/>
      <c r="PGD156" s="250"/>
      <c r="PGE156" s="250"/>
      <c r="PGF156" s="250"/>
      <c r="PGG156" s="250"/>
      <c r="PGH156" s="250"/>
      <c r="PGI156" s="250"/>
      <c r="PGJ156" s="250"/>
      <c r="PGK156" s="250"/>
      <c r="PGL156" s="250"/>
      <c r="PGM156" s="250"/>
      <c r="PGN156" s="250"/>
      <c r="PGO156" s="250"/>
      <c r="PGP156" s="250"/>
      <c r="PGQ156" s="250"/>
      <c r="PGR156" s="250"/>
      <c r="PGS156" s="250"/>
      <c r="PGT156" s="250"/>
      <c r="PGU156" s="250"/>
      <c r="PGV156" s="250"/>
      <c r="PGW156" s="250"/>
      <c r="PGX156" s="250"/>
      <c r="PGY156" s="250"/>
      <c r="PGZ156" s="250"/>
      <c r="PHA156" s="250"/>
      <c r="PHB156" s="250"/>
      <c r="PHC156" s="250"/>
      <c r="PHD156" s="250"/>
      <c r="PHE156" s="250"/>
      <c r="PHF156" s="250"/>
      <c r="PHG156" s="250"/>
      <c r="PHH156" s="250"/>
      <c r="PHI156" s="250"/>
      <c r="PHJ156" s="250"/>
      <c r="PHK156" s="250"/>
      <c r="PHL156" s="250"/>
      <c r="PHM156" s="250"/>
      <c r="PHN156" s="250"/>
      <c r="PHO156" s="250"/>
      <c r="PHP156" s="250"/>
      <c r="PHQ156" s="250"/>
      <c r="PHR156" s="250"/>
      <c r="PHS156" s="250"/>
      <c r="PHT156" s="250"/>
      <c r="PHU156" s="250"/>
      <c r="PHV156" s="250"/>
      <c r="PHW156" s="250"/>
      <c r="PHX156" s="250"/>
      <c r="PHY156" s="250"/>
      <c r="PHZ156" s="250"/>
      <c r="PIA156" s="250"/>
      <c r="PIB156" s="250"/>
      <c r="PIC156" s="250"/>
      <c r="PID156" s="250"/>
      <c r="PIE156" s="250"/>
      <c r="PIF156" s="250"/>
      <c r="PIG156" s="250"/>
      <c r="PIH156" s="250"/>
      <c r="PII156" s="250"/>
      <c r="PIJ156" s="250"/>
      <c r="PIK156" s="250"/>
      <c r="PIL156" s="250"/>
      <c r="PIM156" s="250"/>
      <c r="PIN156" s="250"/>
      <c r="PIO156" s="250"/>
      <c r="PIP156" s="250"/>
      <c r="PIQ156" s="250"/>
      <c r="PIR156" s="250"/>
      <c r="PIS156" s="250"/>
      <c r="PIT156" s="250"/>
      <c r="PIU156" s="250"/>
      <c r="PIV156" s="250"/>
      <c r="PIW156" s="250"/>
      <c r="PIX156" s="250"/>
      <c r="PIY156" s="250"/>
      <c r="PIZ156" s="250"/>
      <c r="PJA156" s="250"/>
      <c r="PJB156" s="250"/>
      <c r="PJC156" s="250"/>
      <c r="PJD156" s="250"/>
      <c r="PJE156" s="250"/>
      <c r="PJF156" s="250"/>
      <c r="PJG156" s="250"/>
      <c r="PJH156" s="250"/>
      <c r="PJI156" s="250"/>
      <c r="PJJ156" s="250"/>
      <c r="PJK156" s="250"/>
      <c r="PJL156" s="250"/>
      <c r="PJM156" s="250"/>
      <c r="PJN156" s="250"/>
      <c r="PJO156" s="250"/>
      <c r="PJP156" s="250"/>
      <c r="PJQ156" s="250"/>
      <c r="PJR156" s="250"/>
      <c r="PJS156" s="250"/>
      <c r="PJT156" s="250"/>
      <c r="PJU156" s="250"/>
      <c r="PJV156" s="250"/>
      <c r="PJW156" s="250"/>
      <c r="PJX156" s="250"/>
      <c r="PJY156" s="250"/>
      <c r="PJZ156" s="250"/>
      <c r="PKA156" s="250"/>
      <c r="PKB156" s="250"/>
      <c r="PKC156" s="250"/>
      <c r="PKD156" s="250"/>
      <c r="PKE156" s="250"/>
      <c r="PKF156" s="250"/>
      <c r="PKG156" s="250"/>
      <c r="PKH156" s="250"/>
      <c r="PKI156" s="250"/>
      <c r="PKJ156" s="250"/>
      <c r="PKK156" s="250"/>
      <c r="PKL156" s="250"/>
      <c r="PKM156" s="250"/>
      <c r="PKN156" s="250"/>
      <c r="PKO156" s="250"/>
      <c r="PKP156" s="250"/>
      <c r="PKQ156" s="250"/>
      <c r="PKR156" s="250"/>
      <c r="PKS156" s="250"/>
      <c r="PKT156" s="250"/>
      <c r="PKU156" s="250"/>
      <c r="PKV156" s="250"/>
      <c r="PKW156" s="250"/>
      <c r="PKX156" s="250"/>
      <c r="PKY156" s="250"/>
      <c r="PKZ156" s="250"/>
      <c r="PLA156" s="250"/>
      <c r="PLB156" s="250"/>
      <c r="PLC156" s="250"/>
      <c r="PLD156" s="250"/>
      <c r="PLE156" s="250"/>
      <c r="PLF156" s="250"/>
      <c r="PLG156" s="250"/>
      <c r="PLH156" s="250"/>
      <c r="PLI156" s="250"/>
      <c r="PLJ156" s="250"/>
      <c r="PLK156" s="250"/>
      <c r="PLL156" s="250"/>
      <c r="PLM156" s="250"/>
      <c r="PLN156" s="250"/>
      <c r="PLO156" s="250"/>
      <c r="PLP156" s="250"/>
      <c r="PLQ156" s="250"/>
      <c r="PLR156" s="250"/>
      <c r="PLS156" s="250"/>
      <c r="PLT156" s="250"/>
      <c r="PLU156" s="250"/>
      <c r="PLV156" s="250"/>
      <c r="PLW156" s="250"/>
      <c r="PLX156" s="250"/>
      <c r="PLY156" s="250"/>
      <c r="PLZ156" s="250"/>
      <c r="PMA156" s="250"/>
      <c r="PMB156" s="250"/>
      <c r="PMC156" s="250"/>
      <c r="PMD156" s="250"/>
      <c r="PME156" s="250"/>
      <c r="PMF156" s="250"/>
      <c r="PMG156" s="250"/>
      <c r="PMH156" s="250"/>
      <c r="PMI156" s="250"/>
      <c r="PMJ156" s="250"/>
      <c r="PMK156" s="250"/>
      <c r="PML156" s="250"/>
      <c r="PMM156" s="250"/>
      <c r="PMN156" s="250"/>
      <c r="PMO156" s="250"/>
      <c r="PMP156" s="250"/>
      <c r="PMQ156" s="250"/>
      <c r="PMR156" s="250"/>
      <c r="PMS156" s="250"/>
      <c r="PMT156" s="250"/>
      <c r="PMU156" s="250"/>
      <c r="PMV156" s="250"/>
      <c r="PMW156" s="250"/>
      <c r="PMX156" s="250"/>
      <c r="PMY156" s="250"/>
      <c r="PMZ156" s="250"/>
      <c r="PNA156" s="250"/>
      <c r="PNB156" s="250"/>
      <c r="PNC156" s="250"/>
      <c r="PND156" s="250"/>
      <c r="PNE156" s="250"/>
      <c r="PNF156" s="250"/>
      <c r="PNG156" s="250"/>
      <c r="PNH156" s="250"/>
      <c r="PNI156" s="250"/>
      <c r="PNJ156" s="250"/>
      <c r="PNK156" s="250"/>
      <c r="PNL156" s="250"/>
      <c r="PNM156" s="250"/>
      <c r="PNN156" s="250"/>
      <c r="PNO156" s="250"/>
      <c r="PNP156" s="250"/>
      <c r="PNQ156" s="250"/>
      <c r="PNR156" s="250"/>
      <c r="PNS156" s="250"/>
      <c r="PNT156" s="250"/>
      <c r="PNU156" s="250"/>
      <c r="PNV156" s="250"/>
      <c r="PNW156" s="250"/>
      <c r="PNX156" s="250"/>
      <c r="PNY156" s="250"/>
      <c r="PNZ156" s="250"/>
      <c r="POA156" s="250"/>
      <c r="POB156" s="250"/>
      <c r="POC156" s="250"/>
      <c r="POD156" s="250"/>
      <c r="POE156" s="250"/>
      <c r="POF156" s="250"/>
      <c r="POG156" s="250"/>
      <c r="POH156" s="250"/>
      <c r="POI156" s="250"/>
      <c r="POJ156" s="250"/>
      <c r="POK156" s="250"/>
      <c r="POL156" s="250"/>
      <c r="POM156" s="250"/>
      <c r="PON156" s="250"/>
      <c r="POO156" s="250"/>
      <c r="POP156" s="250"/>
      <c r="POQ156" s="250"/>
      <c r="POR156" s="250"/>
      <c r="POS156" s="250"/>
      <c r="POT156" s="250"/>
      <c r="POU156" s="250"/>
      <c r="POV156" s="250"/>
      <c r="POW156" s="250"/>
      <c r="POX156" s="250"/>
      <c r="POY156" s="250"/>
      <c r="POZ156" s="250"/>
      <c r="PPA156" s="250"/>
      <c r="PPB156" s="250"/>
      <c r="PPC156" s="250"/>
      <c r="PPD156" s="250"/>
      <c r="PPE156" s="250"/>
      <c r="PPF156" s="250"/>
      <c r="PPG156" s="250"/>
      <c r="PPH156" s="250"/>
      <c r="PPI156" s="250"/>
      <c r="PPJ156" s="250"/>
      <c r="PPK156" s="250"/>
      <c r="PPL156" s="250"/>
      <c r="PPM156" s="250"/>
      <c r="PPN156" s="250"/>
      <c r="PPO156" s="250"/>
      <c r="PPP156" s="250"/>
      <c r="PPQ156" s="250"/>
      <c r="PPR156" s="250"/>
      <c r="PPS156" s="250"/>
      <c r="PPT156" s="250"/>
      <c r="PPU156" s="250"/>
      <c r="PPV156" s="250"/>
      <c r="PPW156" s="250"/>
      <c r="PPX156" s="250"/>
      <c r="PPY156" s="250"/>
      <c r="PPZ156" s="250"/>
      <c r="PQA156" s="250"/>
      <c r="PQB156" s="250"/>
      <c r="PQC156" s="250"/>
      <c r="PQD156" s="250"/>
      <c r="PQE156" s="250"/>
      <c r="PQF156" s="250"/>
      <c r="PQG156" s="250"/>
      <c r="PQH156" s="250"/>
      <c r="PQI156" s="250"/>
      <c r="PQJ156" s="250"/>
      <c r="PQK156" s="250"/>
      <c r="PQL156" s="250"/>
      <c r="PQM156" s="250"/>
      <c r="PQN156" s="250"/>
      <c r="PQO156" s="250"/>
      <c r="PQP156" s="250"/>
      <c r="PQQ156" s="250"/>
      <c r="PQR156" s="250"/>
      <c r="PQS156" s="250"/>
      <c r="PQT156" s="250"/>
      <c r="PQU156" s="250"/>
      <c r="PQV156" s="250"/>
      <c r="PQW156" s="250"/>
      <c r="PQX156" s="250"/>
      <c r="PQY156" s="250"/>
      <c r="PQZ156" s="250"/>
      <c r="PRA156" s="250"/>
      <c r="PRB156" s="250"/>
      <c r="PRC156" s="250"/>
      <c r="PRD156" s="250"/>
      <c r="PRE156" s="250"/>
      <c r="PRF156" s="250"/>
      <c r="PRG156" s="250"/>
      <c r="PRH156" s="250"/>
      <c r="PRI156" s="250"/>
      <c r="PRJ156" s="250"/>
      <c r="PRK156" s="250"/>
      <c r="PRL156" s="250"/>
      <c r="PRM156" s="250"/>
      <c r="PRN156" s="250"/>
      <c r="PRO156" s="250"/>
      <c r="PRP156" s="250"/>
      <c r="PRQ156" s="250"/>
      <c r="PRR156" s="250"/>
      <c r="PRS156" s="250"/>
      <c r="PRT156" s="250"/>
      <c r="PRU156" s="250"/>
      <c r="PRV156" s="250"/>
      <c r="PRW156" s="250"/>
      <c r="PRX156" s="250"/>
      <c r="PRY156" s="250"/>
      <c r="PRZ156" s="250"/>
      <c r="PSA156" s="250"/>
      <c r="PSB156" s="250"/>
      <c r="PSC156" s="250"/>
      <c r="PSD156" s="250"/>
      <c r="PSE156" s="250"/>
      <c r="PSF156" s="250"/>
      <c r="PSG156" s="250"/>
      <c r="PSH156" s="250"/>
      <c r="PSI156" s="250"/>
      <c r="PSJ156" s="250"/>
      <c r="PSK156" s="250"/>
      <c r="PSL156" s="250"/>
      <c r="PSM156" s="250"/>
      <c r="PSN156" s="250"/>
      <c r="PSO156" s="250"/>
      <c r="PSP156" s="250"/>
      <c r="PSQ156" s="250"/>
      <c r="PSR156" s="250"/>
      <c r="PSS156" s="250"/>
      <c r="PST156" s="250"/>
      <c r="PSU156" s="250"/>
      <c r="PSV156" s="250"/>
      <c r="PSW156" s="250"/>
      <c r="PSX156" s="250"/>
      <c r="PSY156" s="250"/>
      <c r="PSZ156" s="250"/>
      <c r="PTA156" s="250"/>
      <c r="PTB156" s="250"/>
      <c r="PTC156" s="250"/>
      <c r="PTD156" s="250"/>
      <c r="PTE156" s="250"/>
      <c r="PTF156" s="250"/>
      <c r="PTG156" s="250"/>
      <c r="PTH156" s="250"/>
      <c r="PTI156" s="250"/>
      <c r="PTJ156" s="250"/>
      <c r="PTK156" s="250"/>
      <c r="PTL156" s="250"/>
      <c r="PTM156" s="250"/>
      <c r="PTN156" s="250"/>
      <c r="PTO156" s="250"/>
      <c r="PTP156" s="250"/>
      <c r="PTQ156" s="250"/>
      <c r="PTR156" s="250"/>
      <c r="PTS156" s="250"/>
      <c r="PTT156" s="250"/>
      <c r="PTU156" s="250"/>
      <c r="PTV156" s="250"/>
      <c r="PTW156" s="250"/>
      <c r="PTX156" s="250"/>
      <c r="PTY156" s="250"/>
      <c r="PTZ156" s="250"/>
      <c r="PUA156" s="250"/>
      <c r="PUB156" s="250"/>
      <c r="PUC156" s="250"/>
      <c r="PUD156" s="250"/>
      <c r="PUE156" s="250"/>
      <c r="PUF156" s="250"/>
      <c r="PUG156" s="250"/>
      <c r="PUH156" s="250"/>
      <c r="PUI156" s="250"/>
      <c r="PUJ156" s="250"/>
      <c r="PUK156" s="250"/>
      <c r="PUL156" s="250"/>
      <c r="PUM156" s="250"/>
      <c r="PUN156" s="250"/>
      <c r="PUO156" s="250"/>
      <c r="PUP156" s="250"/>
      <c r="PUQ156" s="250"/>
      <c r="PUR156" s="250"/>
      <c r="PUS156" s="250"/>
      <c r="PUT156" s="250"/>
      <c r="PUU156" s="250"/>
      <c r="PUV156" s="250"/>
      <c r="PUW156" s="250"/>
      <c r="PUX156" s="250"/>
      <c r="PUY156" s="250"/>
      <c r="PUZ156" s="250"/>
      <c r="PVA156" s="250"/>
      <c r="PVB156" s="250"/>
      <c r="PVC156" s="250"/>
      <c r="PVD156" s="250"/>
      <c r="PVE156" s="250"/>
      <c r="PVF156" s="250"/>
      <c r="PVG156" s="250"/>
      <c r="PVH156" s="250"/>
      <c r="PVI156" s="250"/>
      <c r="PVJ156" s="250"/>
      <c r="PVK156" s="250"/>
      <c r="PVL156" s="250"/>
      <c r="PVM156" s="250"/>
      <c r="PVN156" s="250"/>
      <c r="PVO156" s="250"/>
      <c r="PVP156" s="250"/>
      <c r="PVQ156" s="250"/>
      <c r="PVR156" s="250"/>
      <c r="PVS156" s="250"/>
      <c r="PVT156" s="250"/>
      <c r="PVU156" s="250"/>
      <c r="PVV156" s="250"/>
      <c r="PVW156" s="250"/>
      <c r="PVX156" s="250"/>
      <c r="PVY156" s="250"/>
      <c r="PVZ156" s="250"/>
      <c r="PWA156" s="250"/>
      <c r="PWB156" s="250"/>
      <c r="PWC156" s="250"/>
      <c r="PWD156" s="250"/>
      <c r="PWE156" s="250"/>
      <c r="PWF156" s="250"/>
      <c r="PWG156" s="250"/>
      <c r="PWH156" s="250"/>
      <c r="PWI156" s="250"/>
      <c r="PWJ156" s="250"/>
      <c r="PWK156" s="250"/>
      <c r="PWL156" s="250"/>
      <c r="PWM156" s="250"/>
      <c r="PWN156" s="250"/>
      <c r="PWO156" s="250"/>
      <c r="PWP156" s="250"/>
      <c r="PWQ156" s="250"/>
      <c r="PWR156" s="250"/>
      <c r="PWS156" s="250"/>
      <c r="PWT156" s="250"/>
      <c r="PWU156" s="250"/>
      <c r="PWV156" s="250"/>
      <c r="PWW156" s="250"/>
      <c r="PWX156" s="250"/>
      <c r="PWY156" s="250"/>
      <c r="PWZ156" s="250"/>
      <c r="PXA156" s="250"/>
      <c r="PXB156" s="250"/>
      <c r="PXC156" s="250"/>
      <c r="PXD156" s="250"/>
      <c r="PXE156" s="250"/>
      <c r="PXF156" s="250"/>
      <c r="PXG156" s="250"/>
      <c r="PXH156" s="250"/>
      <c r="PXI156" s="250"/>
      <c r="PXJ156" s="250"/>
      <c r="PXK156" s="250"/>
      <c r="PXL156" s="250"/>
      <c r="PXM156" s="250"/>
      <c r="PXN156" s="250"/>
      <c r="PXO156" s="250"/>
      <c r="PXP156" s="250"/>
      <c r="PXQ156" s="250"/>
      <c r="PXR156" s="250"/>
      <c r="PXS156" s="250"/>
      <c r="PXT156" s="250"/>
      <c r="PXU156" s="250"/>
      <c r="PXV156" s="250"/>
      <c r="PXW156" s="250"/>
      <c r="PXX156" s="250"/>
      <c r="PXY156" s="250"/>
      <c r="PXZ156" s="250"/>
      <c r="PYA156" s="250"/>
      <c r="PYB156" s="250"/>
      <c r="PYC156" s="250"/>
      <c r="PYD156" s="250"/>
      <c r="PYE156" s="250"/>
      <c r="PYF156" s="250"/>
      <c r="PYG156" s="250"/>
      <c r="PYH156" s="250"/>
      <c r="PYI156" s="250"/>
      <c r="PYJ156" s="250"/>
      <c r="PYK156" s="250"/>
      <c r="PYL156" s="250"/>
      <c r="PYM156" s="250"/>
      <c r="PYN156" s="250"/>
      <c r="PYO156" s="250"/>
      <c r="PYP156" s="250"/>
      <c r="PYQ156" s="250"/>
      <c r="PYR156" s="250"/>
      <c r="PYS156" s="250"/>
      <c r="PYT156" s="250"/>
      <c r="PYU156" s="250"/>
      <c r="PYV156" s="250"/>
      <c r="PYW156" s="250"/>
      <c r="PYX156" s="250"/>
      <c r="PYY156" s="250"/>
      <c r="PYZ156" s="250"/>
      <c r="PZA156" s="250"/>
      <c r="PZB156" s="250"/>
      <c r="PZC156" s="250"/>
      <c r="PZD156" s="250"/>
      <c r="PZE156" s="250"/>
      <c r="PZF156" s="250"/>
      <c r="PZG156" s="250"/>
      <c r="PZH156" s="250"/>
      <c r="PZI156" s="250"/>
      <c r="PZJ156" s="250"/>
      <c r="PZK156" s="250"/>
      <c r="PZL156" s="250"/>
      <c r="PZM156" s="250"/>
      <c r="PZN156" s="250"/>
      <c r="PZO156" s="250"/>
      <c r="PZP156" s="250"/>
      <c r="PZQ156" s="250"/>
      <c r="PZR156" s="250"/>
      <c r="PZS156" s="250"/>
      <c r="PZT156" s="250"/>
      <c r="PZU156" s="250"/>
      <c r="PZV156" s="250"/>
      <c r="PZW156" s="250"/>
      <c r="PZX156" s="250"/>
      <c r="PZY156" s="250"/>
      <c r="PZZ156" s="250"/>
      <c r="QAA156" s="250"/>
      <c r="QAB156" s="250"/>
      <c r="QAC156" s="250"/>
      <c r="QAD156" s="250"/>
      <c r="QAE156" s="250"/>
      <c r="QAF156" s="250"/>
      <c r="QAG156" s="250"/>
      <c r="QAH156" s="250"/>
      <c r="QAI156" s="250"/>
      <c r="QAJ156" s="250"/>
      <c r="QAK156" s="250"/>
      <c r="QAL156" s="250"/>
      <c r="QAM156" s="250"/>
      <c r="QAN156" s="250"/>
      <c r="QAO156" s="250"/>
      <c r="QAP156" s="250"/>
      <c r="QAQ156" s="250"/>
      <c r="QAR156" s="250"/>
      <c r="QAS156" s="250"/>
      <c r="QAT156" s="250"/>
      <c r="QAU156" s="250"/>
      <c r="QAV156" s="250"/>
      <c r="QAW156" s="250"/>
      <c r="QAX156" s="250"/>
      <c r="QAY156" s="250"/>
      <c r="QAZ156" s="250"/>
      <c r="QBA156" s="250"/>
      <c r="QBB156" s="250"/>
      <c r="QBC156" s="250"/>
      <c r="QBD156" s="250"/>
      <c r="QBE156" s="250"/>
      <c r="QBF156" s="250"/>
      <c r="QBG156" s="250"/>
      <c r="QBH156" s="250"/>
      <c r="QBI156" s="250"/>
      <c r="QBJ156" s="250"/>
      <c r="QBK156" s="250"/>
      <c r="QBL156" s="250"/>
      <c r="QBM156" s="250"/>
      <c r="QBN156" s="250"/>
      <c r="QBO156" s="250"/>
      <c r="QBP156" s="250"/>
      <c r="QBQ156" s="250"/>
      <c r="QBR156" s="250"/>
      <c r="QBS156" s="250"/>
      <c r="QBT156" s="250"/>
      <c r="QBU156" s="250"/>
      <c r="QBV156" s="250"/>
      <c r="QBW156" s="250"/>
      <c r="QBX156" s="250"/>
      <c r="QBY156" s="250"/>
      <c r="QBZ156" s="250"/>
      <c r="QCA156" s="250"/>
      <c r="QCB156" s="250"/>
      <c r="QCC156" s="250"/>
      <c r="QCD156" s="250"/>
      <c r="QCE156" s="250"/>
      <c r="QCF156" s="250"/>
      <c r="QCG156" s="250"/>
      <c r="QCH156" s="250"/>
      <c r="QCI156" s="250"/>
      <c r="QCJ156" s="250"/>
      <c r="QCK156" s="250"/>
      <c r="QCL156" s="250"/>
      <c r="QCM156" s="250"/>
      <c r="QCN156" s="250"/>
      <c r="QCO156" s="250"/>
      <c r="QCP156" s="250"/>
      <c r="QCQ156" s="250"/>
      <c r="QCR156" s="250"/>
      <c r="QCS156" s="250"/>
      <c r="QCT156" s="250"/>
      <c r="QCU156" s="250"/>
      <c r="QCV156" s="250"/>
      <c r="QCW156" s="250"/>
      <c r="QCX156" s="250"/>
      <c r="QCY156" s="250"/>
      <c r="QCZ156" s="250"/>
      <c r="QDA156" s="250"/>
      <c r="QDB156" s="250"/>
      <c r="QDC156" s="250"/>
      <c r="QDD156" s="250"/>
      <c r="QDE156" s="250"/>
      <c r="QDF156" s="250"/>
      <c r="QDG156" s="250"/>
      <c r="QDH156" s="250"/>
      <c r="QDI156" s="250"/>
      <c r="QDJ156" s="250"/>
      <c r="QDK156" s="250"/>
      <c r="QDL156" s="250"/>
      <c r="QDM156" s="250"/>
      <c r="QDN156" s="250"/>
      <c r="QDO156" s="250"/>
      <c r="QDP156" s="250"/>
      <c r="QDQ156" s="250"/>
      <c r="QDR156" s="250"/>
      <c r="QDS156" s="250"/>
      <c r="QDT156" s="250"/>
      <c r="QDU156" s="250"/>
      <c r="QDV156" s="250"/>
      <c r="QDW156" s="250"/>
      <c r="QDX156" s="250"/>
      <c r="QDY156" s="250"/>
      <c r="QDZ156" s="250"/>
      <c r="QEA156" s="250"/>
      <c r="QEB156" s="250"/>
      <c r="QEC156" s="250"/>
      <c r="QED156" s="250"/>
      <c r="QEE156" s="250"/>
      <c r="QEF156" s="250"/>
      <c r="QEG156" s="250"/>
      <c r="QEH156" s="250"/>
      <c r="QEI156" s="250"/>
      <c r="QEJ156" s="250"/>
      <c r="QEK156" s="250"/>
      <c r="QEL156" s="250"/>
      <c r="QEM156" s="250"/>
      <c r="QEN156" s="250"/>
      <c r="QEO156" s="250"/>
      <c r="QEP156" s="250"/>
      <c r="QEQ156" s="250"/>
      <c r="QER156" s="250"/>
      <c r="QES156" s="250"/>
      <c r="QET156" s="250"/>
      <c r="QEU156" s="250"/>
      <c r="QEV156" s="250"/>
      <c r="QEW156" s="250"/>
      <c r="QEX156" s="250"/>
      <c r="QEY156" s="250"/>
      <c r="QEZ156" s="250"/>
      <c r="QFA156" s="250"/>
      <c r="QFB156" s="250"/>
      <c r="QFC156" s="250"/>
      <c r="QFD156" s="250"/>
      <c r="QFE156" s="250"/>
      <c r="QFF156" s="250"/>
      <c r="QFG156" s="250"/>
      <c r="QFH156" s="250"/>
      <c r="QFI156" s="250"/>
      <c r="QFJ156" s="250"/>
      <c r="QFK156" s="250"/>
      <c r="QFL156" s="250"/>
      <c r="QFM156" s="250"/>
      <c r="QFN156" s="250"/>
      <c r="QFO156" s="250"/>
      <c r="QFP156" s="250"/>
      <c r="QFQ156" s="250"/>
      <c r="QFR156" s="250"/>
      <c r="QFS156" s="250"/>
      <c r="QFT156" s="250"/>
      <c r="QFU156" s="250"/>
      <c r="QFV156" s="250"/>
      <c r="QFW156" s="250"/>
      <c r="QFX156" s="250"/>
      <c r="QFY156" s="250"/>
      <c r="QFZ156" s="250"/>
      <c r="QGA156" s="250"/>
      <c r="QGB156" s="250"/>
      <c r="QGC156" s="250"/>
      <c r="QGD156" s="250"/>
      <c r="QGE156" s="250"/>
      <c r="QGF156" s="250"/>
      <c r="QGG156" s="250"/>
      <c r="QGH156" s="250"/>
      <c r="QGI156" s="250"/>
      <c r="QGJ156" s="250"/>
      <c r="QGK156" s="250"/>
      <c r="QGL156" s="250"/>
      <c r="QGM156" s="250"/>
      <c r="QGN156" s="250"/>
      <c r="QGO156" s="250"/>
      <c r="QGP156" s="250"/>
      <c r="QGQ156" s="250"/>
      <c r="QGR156" s="250"/>
      <c r="QGS156" s="250"/>
      <c r="QGT156" s="250"/>
      <c r="QGU156" s="250"/>
      <c r="QGV156" s="250"/>
      <c r="QGW156" s="250"/>
      <c r="QGX156" s="250"/>
      <c r="QGY156" s="250"/>
      <c r="QGZ156" s="250"/>
      <c r="QHA156" s="250"/>
      <c r="QHB156" s="250"/>
      <c r="QHC156" s="250"/>
      <c r="QHD156" s="250"/>
      <c r="QHE156" s="250"/>
      <c r="QHF156" s="250"/>
      <c r="QHG156" s="250"/>
      <c r="QHH156" s="250"/>
      <c r="QHI156" s="250"/>
      <c r="QHJ156" s="250"/>
      <c r="QHK156" s="250"/>
      <c r="QHL156" s="250"/>
      <c r="QHM156" s="250"/>
      <c r="QHN156" s="250"/>
      <c r="QHO156" s="250"/>
      <c r="QHP156" s="250"/>
      <c r="QHQ156" s="250"/>
      <c r="QHR156" s="250"/>
      <c r="QHS156" s="250"/>
      <c r="QHT156" s="250"/>
      <c r="QHU156" s="250"/>
      <c r="QHV156" s="250"/>
      <c r="QHW156" s="250"/>
      <c r="QHX156" s="250"/>
      <c r="QHY156" s="250"/>
      <c r="QHZ156" s="250"/>
      <c r="QIA156" s="250"/>
      <c r="QIB156" s="250"/>
      <c r="QIC156" s="250"/>
      <c r="QID156" s="250"/>
      <c r="QIE156" s="250"/>
      <c r="QIF156" s="250"/>
      <c r="QIG156" s="250"/>
      <c r="QIH156" s="250"/>
      <c r="QII156" s="250"/>
      <c r="QIJ156" s="250"/>
      <c r="QIK156" s="250"/>
      <c r="QIL156" s="250"/>
      <c r="QIM156" s="250"/>
      <c r="QIN156" s="250"/>
      <c r="QIO156" s="250"/>
      <c r="QIP156" s="250"/>
      <c r="QIQ156" s="250"/>
      <c r="QIR156" s="250"/>
      <c r="QIS156" s="250"/>
      <c r="QIT156" s="250"/>
      <c r="QIU156" s="250"/>
      <c r="QIV156" s="250"/>
      <c r="QIW156" s="250"/>
      <c r="QIX156" s="250"/>
      <c r="QIY156" s="250"/>
      <c r="QIZ156" s="250"/>
      <c r="QJA156" s="250"/>
      <c r="QJB156" s="250"/>
      <c r="QJC156" s="250"/>
      <c r="QJD156" s="250"/>
      <c r="QJE156" s="250"/>
      <c r="QJF156" s="250"/>
      <c r="QJG156" s="250"/>
      <c r="QJH156" s="250"/>
      <c r="QJI156" s="250"/>
      <c r="QJJ156" s="250"/>
      <c r="QJK156" s="250"/>
      <c r="QJL156" s="250"/>
      <c r="QJM156" s="250"/>
      <c r="QJN156" s="250"/>
      <c r="QJO156" s="250"/>
      <c r="QJP156" s="250"/>
      <c r="QJQ156" s="250"/>
      <c r="QJR156" s="250"/>
      <c r="QJS156" s="250"/>
      <c r="QJT156" s="250"/>
      <c r="QJU156" s="250"/>
      <c r="QJV156" s="250"/>
      <c r="QJW156" s="250"/>
      <c r="QJX156" s="250"/>
      <c r="QJY156" s="250"/>
      <c r="QJZ156" s="250"/>
      <c r="QKA156" s="250"/>
      <c r="QKB156" s="250"/>
      <c r="QKC156" s="250"/>
      <c r="QKD156" s="250"/>
      <c r="QKE156" s="250"/>
      <c r="QKF156" s="250"/>
      <c r="QKG156" s="250"/>
      <c r="QKH156" s="250"/>
      <c r="QKI156" s="250"/>
      <c r="QKJ156" s="250"/>
      <c r="QKK156" s="250"/>
      <c r="QKL156" s="250"/>
      <c r="QKM156" s="250"/>
      <c r="QKN156" s="250"/>
      <c r="QKO156" s="250"/>
      <c r="QKP156" s="250"/>
      <c r="QKQ156" s="250"/>
      <c r="QKR156" s="250"/>
      <c r="QKS156" s="250"/>
      <c r="QKT156" s="250"/>
      <c r="QKU156" s="250"/>
      <c r="QKV156" s="250"/>
      <c r="QKW156" s="250"/>
      <c r="QKX156" s="250"/>
      <c r="QKY156" s="250"/>
      <c r="QKZ156" s="250"/>
      <c r="QLA156" s="250"/>
      <c r="QLB156" s="250"/>
      <c r="QLC156" s="250"/>
      <c r="QLD156" s="250"/>
      <c r="QLE156" s="250"/>
      <c r="QLF156" s="250"/>
      <c r="QLG156" s="250"/>
      <c r="QLH156" s="250"/>
      <c r="QLI156" s="250"/>
      <c r="QLJ156" s="250"/>
      <c r="QLK156" s="250"/>
      <c r="QLL156" s="250"/>
      <c r="QLM156" s="250"/>
      <c r="QLN156" s="250"/>
      <c r="QLO156" s="250"/>
      <c r="QLP156" s="250"/>
      <c r="QLQ156" s="250"/>
      <c r="QLR156" s="250"/>
      <c r="QLS156" s="250"/>
      <c r="QLT156" s="250"/>
      <c r="QLU156" s="250"/>
      <c r="QLV156" s="250"/>
      <c r="QLW156" s="250"/>
      <c r="QLX156" s="250"/>
      <c r="QLY156" s="250"/>
      <c r="QLZ156" s="250"/>
      <c r="QMA156" s="250"/>
      <c r="QMB156" s="250"/>
      <c r="QMC156" s="250"/>
      <c r="QMD156" s="250"/>
      <c r="QME156" s="250"/>
      <c r="QMF156" s="250"/>
      <c r="QMG156" s="250"/>
      <c r="QMH156" s="250"/>
      <c r="QMI156" s="250"/>
      <c r="QMJ156" s="250"/>
      <c r="QMK156" s="250"/>
      <c r="QML156" s="250"/>
      <c r="QMM156" s="250"/>
      <c r="QMN156" s="250"/>
      <c r="QMO156" s="250"/>
      <c r="QMP156" s="250"/>
      <c r="QMQ156" s="250"/>
      <c r="QMR156" s="250"/>
      <c r="QMS156" s="250"/>
      <c r="QMT156" s="250"/>
      <c r="QMU156" s="250"/>
      <c r="QMV156" s="250"/>
      <c r="QMW156" s="250"/>
      <c r="QMX156" s="250"/>
      <c r="QMY156" s="250"/>
      <c r="QMZ156" s="250"/>
      <c r="QNA156" s="250"/>
      <c r="QNB156" s="250"/>
      <c r="QNC156" s="250"/>
      <c r="QND156" s="250"/>
      <c r="QNE156" s="250"/>
      <c r="QNF156" s="250"/>
      <c r="QNG156" s="250"/>
      <c r="QNH156" s="250"/>
      <c r="QNI156" s="250"/>
      <c r="QNJ156" s="250"/>
      <c r="QNK156" s="250"/>
      <c r="QNL156" s="250"/>
      <c r="QNM156" s="250"/>
      <c r="QNN156" s="250"/>
      <c r="QNO156" s="250"/>
      <c r="QNP156" s="250"/>
      <c r="QNQ156" s="250"/>
      <c r="QNR156" s="250"/>
      <c r="QNS156" s="250"/>
      <c r="QNT156" s="250"/>
      <c r="QNU156" s="250"/>
      <c r="QNV156" s="250"/>
      <c r="QNW156" s="250"/>
      <c r="QNX156" s="250"/>
      <c r="QNY156" s="250"/>
      <c r="QNZ156" s="250"/>
      <c r="QOA156" s="250"/>
      <c r="QOB156" s="250"/>
      <c r="QOC156" s="250"/>
      <c r="QOD156" s="250"/>
      <c r="QOE156" s="250"/>
      <c r="QOF156" s="250"/>
      <c r="QOG156" s="250"/>
      <c r="QOH156" s="250"/>
      <c r="QOI156" s="250"/>
      <c r="QOJ156" s="250"/>
      <c r="QOK156" s="250"/>
      <c r="QOL156" s="250"/>
      <c r="QOM156" s="250"/>
      <c r="QON156" s="250"/>
      <c r="QOO156" s="250"/>
      <c r="QOP156" s="250"/>
      <c r="QOQ156" s="250"/>
      <c r="QOR156" s="250"/>
      <c r="QOS156" s="250"/>
      <c r="QOT156" s="250"/>
      <c r="QOU156" s="250"/>
      <c r="QOV156" s="250"/>
      <c r="QOW156" s="250"/>
      <c r="QOX156" s="250"/>
      <c r="QOY156" s="250"/>
      <c r="QOZ156" s="250"/>
      <c r="QPA156" s="250"/>
      <c r="QPB156" s="250"/>
      <c r="QPC156" s="250"/>
      <c r="QPD156" s="250"/>
      <c r="QPE156" s="250"/>
      <c r="QPF156" s="250"/>
      <c r="QPG156" s="250"/>
      <c r="QPH156" s="250"/>
      <c r="QPI156" s="250"/>
      <c r="QPJ156" s="250"/>
      <c r="QPK156" s="250"/>
      <c r="QPL156" s="250"/>
      <c r="QPM156" s="250"/>
      <c r="QPN156" s="250"/>
      <c r="QPO156" s="250"/>
      <c r="QPP156" s="250"/>
      <c r="QPQ156" s="250"/>
      <c r="QPR156" s="250"/>
      <c r="QPS156" s="250"/>
      <c r="QPT156" s="250"/>
      <c r="QPU156" s="250"/>
      <c r="QPV156" s="250"/>
      <c r="QPW156" s="250"/>
      <c r="QPX156" s="250"/>
      <c r="QPY156" s="250"/>
      <c r="QPZ156" s="250"/>
      <c r="QQA156" s="250"/>
      <c r="QQB156" s="250"/>
      <c r="QQC156" s="250"/>
      <c r="QQD156" s="250"/>
      <c r="QQE156" s="250"/>
      <c r="QQF156" s="250"/>
      <c r="QQG156" s="250"/>
      <c r="QQH156" s="250"/>
      <c r="QQI156" s="250"/>
      <c r="QQJ156" s="250"/>
      <c r="QQK156" s="250"/>
      <c r="QQL156" s="250"/>
      <c r="QQM156" s="250"/>
      <c r="QQN156" s="250"/>
      <c r="QQO156" s="250"/>
      <c r="QQP156" s="250"/>
      <c r="QQQ156" s="250"/>
      <c r="QQR156" s="250"/>
      <c r="QQS156" s="250"/>
      <c r="QQT156" s="250"/>
      <c r="QQU156" s="250"/>
      <c r="QQV156" s="250"/>
      <c r="QQW156" s="250"/>
      <c r="QQX156" s="250"/>
      <c r="QQY156" s="250"/>
      <c r="QQZ156" s="250"/>
      <c r="QRA156" s="250"/>
      <c r="QRB156" s="250"/>
      <c r="QRC156" s="250"/>
      <c r="QRD156" s="250"/>
      <c r="QRE156" s="250"/>
      <c r="QRF156" s="250"/>
      <c r="QRG156" s="250"/>
      <c r="QRH156" s="250"/>
      <c r="QRI156" s="250"/>
      <c r="QRJ156" s="250"/>
      <c r="QRK156" s="250"/>
      <c r="QRL156" s="250"/>
      <c r="QRM156" s="250"/>
      <c r="QRN156" s="250"/>
      <c r="QRO156" s="250"/>
      <c r="QRP156" s="250"/>
      <c r="QRQ156" s="250"/>
      <c r="QRR156" s="250"/>
      <c r="QRS156" s="250"/>
      <c r="QRT156" s="250"/>
      <c r="QRU156" s="250"/>
      <c r="QRV156" s="250"/>
      <c r="QRW156" s="250"/>
      <c r="QRX156" s="250"/>
      <c r="QRY156" s="250"/>
      <c r="QRZ156" s="250"/>
      <c r="QSA156" s="250"/>
      <c r="QSB156" s="250"/>
      <c r="QSC156" s="250"/>
      <c r="QSD156" s="250"/>
      <c r="QSE156" s="250"/>
      <c r="QSF156" s="250"/>
      <c r="QSG156" s="250"/>
      <c r="QSH156" s="250"/>
      <c r="QSI156" s="250"/>
      <c r="QSJ156" s="250"/>
      <c r="QSK156" s="250"/>
      <c r="QSL156" s="250"/>
      <c r="QSM156" s="250"/>
      <c r="QSN156" s="250"/>
      <c r="QSO156" s="250"/>
      <c r="QSP156" s="250"/>
      <c r="QSQ156" s="250"/>
      <c r="QSR156" s="250"/>
      <c r="QSS156" s="250"/>
      <c r="QST156" s="250"/>
      <c r="QSU156" s="250"/>
      <c r="QSV156" s="250"/>
      <c r="QSW156" s="250"/>
      <c r="QSX156" s="250"/>
      <c r="QSY156" s="250"/>
      <c r="QSZ156" s="250"/>
      <c r="QTA156" s="250"/>
      <c r="QTB156" s="250"/>
      <c r="QTC156" s="250"/>
      <c r="QTD156" s="250"/>
      <c r="QTE156" s="250"/>
      <c r="QTF156" s="250"/>
      <c r="QTG156" s="250"/>
      <c r="QTH156" s="250"/>
      <c r="QTI156" s="250"/>
      <c r="QTJ156" s="250"/>
      <c r="QTK156" s="250"/>
      <c r="QTL156" s="250"/>
      <c r="QTM156" s="250"/>
      <c r="QTN156" s="250"/>
      <c r="QTO156" s="250"/>
      <c r="QTP156" s="250"/>
      <c r="QTQ156" s="250"/>
      <c r="QTR156" s="250"/>
      <c r="QTS156" s="250"/>
      <c r="QTT156" s="250"/>
      <c r="QTU156" s="250"/>
      <c r="QTV156" s="250"/>
      <c r="QTW156" s="250"/>
      <c r="QTX156" s="250"/>
      <c r="QTY156" s="250"/>
      <c r="QTZ156" s="250"/>
      <c r="QUA156" s="250"/>
      <c r="QUB156" s="250"/>
      <c r="QUC156" s="250"/>
      <c r="QUD156" s="250"/>
      <c r="QUE156" s="250"/>
      <c r="QUF156" s="250"/>
      <c r="QUG156" s="250"/>
      <c r="QUH156" s="250"/>
      <c r="QUI156" s="250"/>
      <c r="QUJ156" s="250"/>
      <c r="QUK156" s="250"/>
      <c r="QUL156" s="250"/>
      <c r="QUM156" s="250"/>
      <c r="QUN156" s="250"/>
      <c r="QUO156" s="250"/>
      <c r="QUP156" s="250"/>
      <c r="QUQ156" s="250"/>
      <c r="QUR156" s="250"/>
      <c r="QUS156" s="250"/>
      <c r="QUT156" s="250"/>
      <c r="QUU156" s="250"/>
      <c r="QUV156" s="250"/>
      <c r="QUW156" s="250"/>
      <c r="QUX156" s="250"/>
      <c r="QUY156" s="250"/>
      <c r="QUZ156" s="250"/>
      <c r="QVA156" s="250"/>
      <c r="QVB156" s="250"/>
      <c r="QVC156" s="250"/>
      <c r="QVD156" s="250"/>
      <c r="QVE156" s="250"/>
      <c r="QVF156" s="250"/>
      <c r="QVG156" s="250"/>
      <c r="QVH156" s="250"/>
      <c r="QVI156" s="250"/>
      <c r="QVJ156" s="250"/>
      <c r="QVK156" s="250"/>
      <c r="QVL156" s="250"/>
      <c r="QVM156" s="250"/>
      <c r="QVN156" s="250"/>
      <c r="QVO156" s="250"/>
      <c r="QVP156" s="250"/>
      <c r="QVQ156" s="250"/>
      <c r="QVR156" s="250"/>
      <c r="QVS156" s="250"/>
      <c r="QVT156" s="250"/>
      <c r="QVU156" s="250"/>
      <c r="QVV156" s="250"/>
      <c r="QVW156" s="250"/>
      <c r="QVX156" s="250"/>
      <c r="QVY156" s="250"/>
      <c r="QVZ156" s="250"/>
      <c r="QWA156" s="250"/>
      <c r="QWB156" s="250"/>
      <c r="QWC156" s="250"/>
      <c r="QWD156" s="250"/>
      <c r="QWE156" s="250"/>
      <c r="QWF156" s="250"/>
      <c r="QWG156" s="250"/>
      <c r="QWH156" s="250"/>
      <c r="QWI156" s="250"/>
      <c r="QWJ156" s="250"/>
      <c r="QWK156" s="250"/>
      <c r="QWL156" s="250"/>
      <c r="QWM156" s="250"/>
      <c r="QWN156" s="250"/>
      <c r="QWO156" s="250"/>
      <c r="QWP156" s="250"/>
      <c r="QWQ156" s="250"/>
      <c r="QWR156" s="250"/>
      <c r="QWS156" s="250"/>
      <c r="QWT156" s="250"/>
      <c r="QWU156" s="250"/>
      <c r="QWV156" s="250"/>
      <c r="QWW156" s="250"/>
      <c r="QWX156" s="250"/>
      <c r="QWY156" s="250"/>
      <c r="QWZ156" s="250"/>
      <c r="QXA156" s="250"/>
      <c r="QXB156" s="250"/>
      <c r="QXC156" s="250"/>
      <c r="QXD156" s="250"/>
      <c r="QXE156" s="250"/>
      <c r="QXF156" s="250"/>
      <c r="QXG156" s="250"/>
      <c r="QXH156" s="250"/>
      <c r="QXI156" s="250"/>
      <c r="QXJ156" s="250"/>
      <c r="QXK156" s="250"/>
      <c r="QXL156" s="250"/>
      <c r="QXM156" s="250"/>
      <c r="QXN156" s="250"/>
      <c r="QXO156" s="250"/>
      <c r="QXP156" s="250"/>
      <c r="QXQ156" s="250"/>
      <c r="QXR156" s="250"/>
      <c r="QXS156" s="250"/>
      <c r="QXT156" s="250"/>
      <c r="QXU156" s="250"/>
      <c r="QXV156" s="250"/>
      <c r="QXW156" s="250"/>
      <c r="QXX156" s="250"/>
      <c r="QXY156" s="250"/>
      <c r="QXZ156" s="250"/>
      <c r="QYA156" s="250"/>
      <c r="QYB156" s="250"/>
      <c r="QYC156" s="250"/>
      <c r="QYD156" s="250"/>
      <c r="QYE156" s="250"/>
      <c r="QYF156" s="250"/>
      <c r="QYG156" s="250"/>
      <c r="QYH156" s="250"/>
      <c r="QYI156" s="250"/>
      <c r="QYJ156" s="250"/>
      <c r="QYK156" s="250"/>
      <c r="QYL156" s="250"/>
      <c r="QYM156" s="250"/>
      <c r="QYN156" s="250"/>
      <c r="QYO156" s="250"/>
      <c r="QYP156" s="250"/>
      <c r="QYQ156" s="250"/>
      <c r="QYR156" s="250"/>
      <c r="QYS156" s="250"/>
      <c r="QYT156" s="250"/>
      <c r="QYU156" s="250"/>
      <c r="QYV156" s="250"/>
      <c r="QYW156" s="250"/>
      <c r="QYX156" s="250"/>
      <c r="QYY156" s="250"/>
      <c r="QYZ156" s="250"/>
      <c r="QZA156" s="250"/>
      <c r="QZB156" s="250"/>
      <c r="QZC156" s="250"/>
      <c r="QZD156" s="250"/>
      <c r="QZE156" s="250"/>
      <c r="QZF156" s="250"/>
      <c r="QZG156" s="250"/>
      <c r="QZH156" s="250"/>
      <c r="QZI156" s="250"/>
      <c r="QZJ156" s="250"/>
      <c r="QZK156" s="250"/>
      <c r="QZL156" s="250"/>
      <c r="QZM156" s="250"/>
      <c r="QZN156" s="250"/>
      <c r="QZO156" s="250"/>
      <c r="QZP156" s="250"/>
      <c r="QZQ156" s="250"/>
      <c r="QZR156" s="250"/>
      <c r="QZS156" s="250"/>
      <c r="QZT156" s="250"/>
      <c r="QZU156" s="250"/>
      <c r="QZV156" s="250"/>
      <c r="QZW156" s="250"/>
      <c r="QZX156" s="250"/>
      <c r="QZY156" s="250"/>
      <c r="QZZ156" s="250"/>
      <c r="RAA156" s="250"/>
      <c r="RAB156" s="250"/>
      <c r="RAC156" s="250"/>
      <c r="RAD156" s="250"/>
      <c r="RAE156" s="250"/>
      <c r="RAF156" s="250"/>
      <c r="RAG156" s="250"/>
      <c r="RAH156" s="250"/>
      <c r="RAI156" s="250"/>
      <c r="RAJ156" s="250"/>
      <c r="RAK156" s="250"/>
      <c r="RAL156" s="250"/>
      <c r="RAM156" s="250"/>
      <c r="RAN156" s="250"/>
      <c r="RAO156" s="250"/>
      <c r="RAP156" s="250"/>
      <c r="RAQ156" s="250"/>
      <c r="RAR156" s="250"/>
      <c r="RAS156" s="250"/>
      <c r="RAT156" s="250"/>
      <c r="RAU156" s="250"/>
      <c r="RAV156" s="250"/>
      <c r="RAW156" s="250"/>
      <c r="RAX156" s="250"/>
      <c r="RAY156" s="250"/>
      <c r="RAZ156" s="250"/>
      <c r="RBA156" s="250"/>
      <c r="RBB156" s="250"/>
      <c r="RBC156" s="250"/>
      <c r="RBD156" s="250"/>
      <c r="RBE156" s="250"/>
      <c r="RBF156" s="250"/>
      <c r="RBG156" s="250"/>
      <c r="RBH156" s="250"/>
      <c r="RBI156" s="250"/>
      <c r="RBJ156" s="250"/>
      <c r="RBK156" s="250"/>
      <c r="RBL156" s="250"/>
      <c r="RBM156" s="250"/>
      <c r="RBN156" s="250"/>
      <c r="RBO156" s="250"/>
      <c r="RBP156" s="250"/>
      <c r="RBQ156" s="250"/>
      <c r="RBR156" s="250"/>
      <c r="RBS156" s="250"/>
      <c r="RBT156" s="250"/>
      <c r="RBU156" s="250"/>
      <c r="RBV156" s="250"/>
      <c r="RBW156" s="250"/>
      <c r="RBX156" s="250"/>
      <c r="RBY156" s="250"/>
      <c r="RBZ156" s="250"/>
      <c r="RCA156" s="250"/>
      <c r="RCB156" s="250"/>
      <c r="RCC156" s="250"/>
      <c r="RCD156" s="250"/>
      <c r="RCE156" s="250"/>
      <c r="RCF156" s="250"/>
      <c r="RCG156" s="250"/>
      <c r="RCH156" s="250"/>
      <c r="RCI156" s="250"/>
      <c r="RCJ156" s="250"/>
      <c r="RCK156" s="250"/>
      <c r="RCL156" s="250"/>
      <c r="RCM156" s="250"/>
      <c r="RCN156" s="250"/>
      <c r="RCO156" s="250"/>
      <c r="RCP156" s="250"/>
      <c r="RCQ156" s="250"/>
      <c r="RCR156" s="250"/>
      <c r="RCS156" s="250"/>
      <c r="RCT156" s="250"/>
      <c r="RCU156" s="250"/>
      <c r="RCV156" s="250"/>
      <c r="RCW156" s="250"/>
      <c r="RCX156" s="250"/>
      <c r="RCY156" s="250"/>
      <c r="RCZ156" s="250"/>
      <c r="RDA156" s="250"/>
      <c r="RDB156" s="250"/>
      <c r="RDC156" s="250"/>
      <c r="RDD156" s="250"/>
      <c r="RDE156" s="250"/>
      <c r="RDF156" s="250"/>
      <c r="RDG156" s="250"/>
      <c r="RDH156" s="250"/>
      <c r="RDI156" s="250"/>
      <c r="RDJ156" s="250"/>
      <c r="RDK156" s="250"/>
      <c r="RDL156" s="250"/>
      <c r="RDM156" s="250"/>
      <c r="RDN156" s="250"/>
      <c r="RDO156" s="250"/>
      <c r="RDP156" s="250"/>
      <c r="RDQ156" s="250"/>
      <c r="RDR156" s="250"/>
      <c r="RDS156" s="250"/>
      <c r="RDT156" s="250"/>
      <c r="RDU156" s="250"/>
      <c r="RDV156" s="250"/>
      <c r="RDW156" s="250"/>
      <c r="RDX156" s="250"/>
      <c r="RDY156" s="250"/>
      <c r="RDZ156" s="250"/>
      <c r="REA156" s="250"/>
      <c r="REB156" s="250"/>
      <c r="REC156" s="250"/>
      <c r="RED156" s="250"/>
      <c r="REE156" s="250"/>
      <c r="REF156" s="250"/>
      <c r="REG156" s="250"/>
      <c r="REH156" s="250"/>
      <c r="REI156" s="250"/>
      <c r="REJ156" s="250"/>
      <c r="REK156" s="250"/>
      <c r="REL156" s="250"/>
      <c r="REM156" s="250"/>
      <c r="REN156" s="250"/>
      <c r="REO156" s="250"/>
      <c r="REP156" s="250"/>
      <c r="REQ156" s="250"/>
      <c r="RER156" s="250"/>
      <c r="RES156" s="250"/>
      <c r="RET156" s="250"/>
      <c r="REU156" s="250"/>
      <c r="REV156" s="250"/>
      <c r="REW156" s="250"/>
      <c r="REX156" s="250"/>
      <c r="REY156" s="250"/>
      <c r="REZ156" s="250"/>
      <c r="RFA156" s="250"/>
      <c r="RFB156" s="250"/>
      <c r="RFC156" s="250"/>
      <c r="RFD156" s="250"/>
      <c r="RFE156" s="250"/>
      <c r="RFF156" s="250"/>
      <c r="RFG156" s="250"/>
      <c r="RFH156" s="250"/>
      <c r="RFI156" s="250"/>
      <c r="RFJ156" s="250"/>
      <c r="RFK156" s="250"/>
      <c r="RFL156" s="250"/>
      <c r="RFM156" s="250"/>
      <c r="RFN156" s="250"/>
      <c r="RFO156" s="250"/>
      <c r="RFP156" s="250"/>
      <c r="RFQ156" s="250"/>
      <c r="RFR156" s="250"/>
      <c r="RFS156" s="250"/>
      <c r="RFT156" s="250"/>
      <c r="RFU156" s="250"/>
      <c r="RFV156" s="250"/>
      <c r="RFW156" s="250"/>
      <c r="RFX156" s="250"/>
      <c r="RFY156" s="250"/>
      <c r="RFZ156" s="250"/>
      <c r="RGA156" s="250"/>
      <c r="RGB156" s="250"/>
      <c r="RGC156" s="250"/>
      <c r="RGD156" s="250"/>
      <c r="RGE156" s="250"/>
      <c r="RGF156" s="250"/>
      <c r="RGG156" s="250"/>
      <c r="RGH156" s="250"/>
      <c r="RGI156" s="250"/>
      <c r="RGJ156" s="250"/>
      <c r="RGK156" s="250"/>
      <c r="RGL156" s="250"/>
      <c r="RGM156" s="250"/>
      <c r="RGN156" s="250"/>
      <c r="RGO156" s="250"/>
      <c r="RGP156" s="250"/>
      <c r="RGQ156" s="250"/>
      <c r="RGR156" s="250"/>
      <c r="RGS156" s="250"/>
      <c r="RGT156" s="250"/>
      <c r="RGU156" s="250"/>
      <c r="RGV156" s="250"/>
      <c r="RGW156" s="250"/>
      <c r="RGX156" s="250"/>
      <c r="RGY156" s="250"/>
      <c r="RGZ156" s="250"/>
      <c r="RHA156" s="250"/>
      <c r="RHB156" s="250"/>
      <c r="RHC156" s="250"/>
      <c r="RHD156" s="250"/>
      <c r="RHE156" s="250"/>
      <c r="RHF156" s="250"/>
      <c r="RHG156" s="250"/>
      <c r="RHH156" s="250"/>
      <c r="RHI156" s="250"/>
      <c r="RHJ156" s="250"/>
      <c r="RHK156" s="250"/>
      <c r="RHL156" s="250"/>
      <c r="RHM156" s="250"/>
      <c r="RHN156" s="250"/>
      <c r="RHO156" s="250"/>
      <c r="RHP156" s="250"/>
      <c r="RHQ156" s="250"/>
      <c r="RHR156" s="250"/>
      <c r="RHS156" s="250"/>
      <c r="RHT156" s="250"/>
      <c r="RHU156" s="250"/>
      <c r="RHV156" s="250"/>
      <c r="RHW156" s="250"/>
      <c r="RHX156" s="250"/>
      <c r="RHY156" s="250"/>
      <c r="RHZ156" s="250"/>
      <c r="RIA156" s="250"/>
      <c r="RIB156" s="250"/>
      <c r="RIC156" s="250"/>
      <c r="RID156" s="250"/>
      <c r="RIE156" s="250"/>
      <c r="RIF156" s="250"/>
      <c r="RIG156" s="250"/>
      <c r="RIH156" s="250"/>
      <c r="RII156" s="250"/>
      <c r="RIJ156" s="250"/>
      <c r="RIK156" s="250"/>
      <c r="RIL156" s="250"/>
      <c r="RIM156" s="250"/>
      <c r="RIN156" s="250"/>
      <c r="RIO156" s="250"/>
      <c r="RIP156" s="250"/>
      <c r="RIQ156" s="250"/>
      <c r="RIR156" s="250"/>
      <c r="RIS156" s="250"/>
      <c r="RIT156" s="250"/>
      <c r="RIU156" s="250"/>
      <c r="RIV156" s="250"/>
      <c r="RIW156" s="250"/>
      <c r="RIX156" s="250"/>
      <c r="RIY156" s="250"/>
      <c r="RIZ156" s="250"/>
      <c r="RJA156" s="250"/>
      <c r="RJB156" s="250"/>
      <c r="RJC156" s="250"/>
      <c r="RJD156" s="250"/>
      <c r="RJE156" s="250"/>
      <c r="RJF156" s="250"/>
      <c r="RJG156" s="250"/>
      <c r="RJH156" s="250"/>
      <c r="RJI156" s="250"/>
      <c r="RJJ156" s="250"/>
      <c r="RJK156" s="250"/>
      <c r="RJL156" s="250"/>
      <c r="RJM156" s="250"/>
      <c r="RJN156" s="250"/>
      <c r="RJO156" s="250"/>
      <c r="RJP156" s="250"/>
      <c r="RJQ156" s="250"/>
      <c r="RJR156" s="250"/>
      <c r="RJS156" s="250"/>
      <c r="RJT156" s="250"/>
      <c r="RJU156" s="250"/>
      <c r="RJV156" s="250"/>
      <c r="RJW156" s="250"/>
      <c r="RJX156" s="250"/>
      <c r="RJY156" s="250"/>
      <c r="RJZ156" s="250"/>
      <c r="RKA156" s="250"/>
      <c r="RKB156" s="250"/>
      <c r="RKC156" s="250"/>
      <c r="RKD156" s="250"/>
      <c r="RKE156" s="250"/>
      <c r="RKF156" s="250"/>
      <c r="RKG156" s="250"/>
      <c r="RKH156" s="250"/>
      <c r="RKI156" s="250"/>
      <c r="RKJ156" s="250"/>
      <c r="RKK156" s="250"/>
      <c r="RKL156" s="250"/>
      <c r="RKM156" s="250"/>
      <c r="RKN156" s="250"/>
      <c r="RKO156" s="250"/>
      <c r="RKP156" s="250"/>
      <c r="RKQ156" s="250"/>
      <c r="RKR156" s="250"/>
      <c r="RKS156" s="250"/>
      <c r="RKT156" s="250"/>
      <c r="RKU156" s="250"/>
      <c r="RKV156" s="250"/>
      <c r="RKW156" s="250"/>
      <c r="RKX156" s="250"/>
      <c r="RKY156" s="250"/>
      <c r="RKZ156" s="250"/>
      <c r="RLA156" s="250"/>
      <c r="RLB156" s="250"/>
      <c r="RLC156" s="250"/>
      <c r="RLD156" s="250"/>
      <c r="RLE156" s="250"/>
      <c r="RLF156" s="250"/>
      <c r="RLG156" s="250"/>
      <c r="RLH156" s="250"/>
      <c r="RLI156" s="250"/>
      <c r="RLJ156" s="250"/>
      <c r="RLK156" s="250"/>
      <c r="RLL156" s="250"/>
      <c r="RLM156" s="250"/>
      <c r="RLN156" s="250"/>
      <c r="RLO156" s="250"/>
      <c r="RLP156" s="250"/>
      <c r="RLQ156" s="250"/>
      <c r="RLR156" s="250"/>
      <c r="RLS156" s="250"/>
      <c r="RLT156" s="250"/>
      <c r="RLU156" s="250"/>
      <c r="RLV156" s="250"/>
      <c r="RLW156" s="250"/>
      <c r="RLX156" s="250"/>
      <c r="RLY156" s="250"/>
      <c r="RLZ156" s="250"/>
      <c r="RMA156" s="250"/>
      <c r="RMB156" s="250"/>
      <c r="RMC156" s="250"/>
      <c r="RMD156" s="250"/>
      <c r="RME156" s="250"/>
      <c r="RMF156" s="250"/>
      <c r="RMG156" s="250"/>
      <c r="RMH156" s="250"/>
      <c r="RMI156" s="250"/>
      <c r="RMJ156" s="250"/>
      <c r="RMK156" s="250"/>
      <c r="RML156" s="250"/>
      <c r="RMM156" s="250"/>
      <c r="RMN156" s="250"/>
      <c r="RMO156" s="250"/>
      <c r="RMP156" s="250"/>
      <c r="RMQ156" s="250"/>
      <c r="RMR156" s="250"/>
      <c r="RMS156" s="250"/>
      <c r="RMT156" s="250"/>
      <c r="RMU156" s="250"/>
      <c r="RMV156" s="250"/>
      <c r="RMW156" s="250"/>
      <c r="RMX156" s="250"/>
      <c r="RMY156" s="250"/>
      <c r="RMZ156" s="250"/>
      <c r="RNA156" s="250"/>
      <c r="RNB156" s="250"/>
      <c r="RNC156" s="250"/>
      <c r="RND156" s="250"/>
      <c r="RNE156" s="250"/>
      <c r="RNF156" s="250"/>
      <c r="RNG156" s="250"/>
      <c r="RNH156" s="250"/>
      <c r="RNI156" s="250"/>
      <c r="RNJ156" s="250"/>
      <c r="RNK156" s="250"/>
      <c r="RNL156" s="250"/>
      <c r="RNM156" s="250"/>
      <c r="RNN156" s="250"/>
      <c r="RNO156" s="250"/>
      <c r="RNP156" s="250"/>
      <c r="RNQ156" s="250"/>
      <c r="RNR156" s="250"/>
      <c r="RNS156" s="250"/>
      <c r="RNT156" s="250"/>
      <c r="RNU156" s="250"/>
      <c r="RNV156" s="250"/>
      <c r="RNW156" s="250"/>
      <c r="RNX156" s="250"/>
      <c r="RNY156" s="250"/>
      <c r="RNZ156" s="250"/>
      <c r="ROA156" s="250"/>
      <c r="ROB156" s="250"/>
      <c r="ROC156" s="250"/>
      <c r="ROD156" s="250"/>
      <c r="ROE156" s="250"/>
      <c r="ROF156" s="250"/>
      <c r="ROG156" s="250"/>
      <c r="ROH156" s="250"/>
      <c r="ROI156" s="250"/>
      <c r="ROJ156" s="250"/>
      <c r="ROK156" s="250"/>
      <c r="ROL156" s="250"/>
      <c r="ROM156" s="250"/>
      <c r="RON156" s="250"/>
      <c r="ROO156" s="250"/>
      <c r="ROP156" s="250"/>
      <c r="ROQ156" s="250"/>
      <c r="ROR156" s="250"/>
      <c r="ROS156" s="250"/>
      <c r="ROT156" s="250"/>
      <c r="ROU156" s="250"/>
      <c r="ROV156" s="250"/>
      <c r="ROW156" s="250"/>
      <c r="ROX156" s="250"/>
      <c r="ROY156" s="250"/>
      <c r="ROZ156" s="250"/>
      <c r="RPA156" s="250"/>
      <c r="RPB156" s="250"/>
      <c r="RPC156" s="250"/>
      <c r="RPD156" s="250"/>
      <c r="RPE156" s="250"/>
      <c r="RPF156" s="250"/>
      <c r="RPG156" s="250"/>
      <c r="RPH156" s="250"/>
      <c r="RPI156" s="250"/>
      <c r="RPJ156" s="250"/>
      <c r="RPK156" s="250"/>
      <c r="RPL156" s="250"/>
      <c r="RPM156" s="250"/>
      <c r="RPN156" s="250"/>
      <c r="RPO156" s="250"/>
      <c r="RPP156" s="250"/>
      <c r="RPQ156" s="250"/>
      <c r="RPR156" s="250"/>
      <c r="RPS156" s="250"/>
      <c r="RPT156" s="250"/>
      <c r="RPU156" s="250"/>
      <c r="RPV156" s="250"/>
      <c r="RPW156" s="250"/>
      <c r="RPX156" s="250"/>
      <c r="RPY156" s="250"/>
      <c r="RPZ156" s="250"/>
      <c r="RQA156" s="250"/>
      <c r="RQB156" s="250"/>
      <c r="RQC156" s="250"/>
      <c r="RQD156" s="250"/>
      <c r="RQE156" s="250"/>
      <c r="RQF156" s="250"/>
      <c r="RQG156" s="250"/>
      <c r="RQH156" s="250"/>
      <c r="RQI156" s="250"/>
      <c r="RQJ156" s="250"/>
      <c r="RQK156" s="250"/>
      <c r="RQL156" s="250"/>
      <c r="RQM156" s="250"/>
      <c r="RQN156" s="250"/>
      <c r="RQO156" s="250"/>
      <c r="RQP156" s="250"/>
      <c r="RQQ156" s="250"/>
      <c r="RQR156" s="250"/>
      <c r="RQS156" s="250"/>
      <c r="RQT156" s="250"/>
      <c r="RQU156" s="250"/>
      <c r="RQV156" s="250"/>
      <c r="RQW156" s="250"/>
      <c r="RQX156" s="250"/>
      <c r="RQY156" s="250"/>
      <c r="RQZ156" s="250"/>
      <c r="RRA156" s="250"/>
      <c r="RRB156" s="250"/>
      <c r="RRC156" s="250"/>
      <c r="RRD156" s="250"/>
      <c r="RRE156" s="250"/>
      <c r="RRF156" s="250"/>
      <c r="RRG156" s="250"/>
      <c r="RRH156" s="250"/>
      <c r="RRI156" s="250"/>
      <c r="RRJ156" s="250"/>
      <c r="RRK156" s="250"/>
      <c r="RRL156" s="250"/>
      <c r="RRM156" s="250"/>
      <c r="RRN156" s="250"/>
      <c r="RRO156" s="250"/>
      <c r="RRP156" s="250"/>
      <c r="RRQ156" s="250"/>
      <c r="RRR156" s="250"/>
      <c r="RRS156" s="250"/>
      <c r="RRT156" s="250"/>
      <c r="RRU156" s="250"/>
      <c r="RRV156" s="250"/>
      <c r="RRW156" s="250"/>
      <c r="RRX156" s="250"/>
      <c r="RRY156" s="250"/>
      <c r="RRZ156" s="250"/>
      <c r="RSA156" s="250"/>
      <c r="RSB156" s="250"/>
      <c r="RSC156" s="250"/>
      <c r="RSD156" s="250"/>
      <c r="RSE156" s="250"/>
      <c r="RSF156" s="250"/>
      <c r="RSG156" s="250"/>
      <c r="RSH156" s="250"/>
      <c r="RSI156" s="250"/>
      <c r="RSJ156" s="250"/>
      <c r="RSK156" s="250"/>
      <c r="RSL156" s="250"/>
      <c r="RSM156" s="250"/>
      <c r="RSN156" s="250"/>
      <c r="RSO156" s="250"/>
      <c r="RSP156" s="250"/>
      <c r="RSQ156" s="250"/>
      <c r="RSR156" s="250"/>
      <c r="RSS156" s="250"/>
      <c r="RST156" s="250"/>
      <c r="RSU156" s="250"/>
      <c r="RSV156" s="250"/>
      <c r="RSW156" s="250"/>
      <c r="RSX156" s="250"/>
      <c r="RSY156" s="250"/>
      <c r="RSZ156" s="250"/>
      <c r="RTA156" s="250"/>
      <c r="RTB156" s="250"/>
      <c r="RTC156" s="250"/>
      <c r="RTD156" s="250"/>
      <c r="RTE156" s="250"/>
      <c r="RTF156" s="250"/>
      <c r="RTG156" s="250"/>
      <c r="RTH156" s="250"/>
      <c r="RTI156" s="250"/>
      <c r="RTJ156" s="250"/>
      <c r="RTK156" s="250"/>
      <c r="RTL156" s="250"/>
      <c r="RTM156" s="250"/>
      <c r="RTN156" s="250"/>
      <c r="RTO156" s="250"/>
      <c r="RTP156" s="250"/>
      <c r="RTQ156" s="250"/>
      <c r="RTR156" s="250"/>
      <c r="RTS156" s="250"/>
      <c r="RTT156" s="250"/>
      <c r="RTU156" s="250"/>
      <c r="RTV156" s="250"/>
      <c r="RTW156" s="250"/>
      <c r="RTX156" s="250"/>
      <c r="RTY156" s="250"/>
      <c r="RTZ156" s="250"/>
      <c r="RUA156" s="250"/>
      <c r="RUB156" s="250"/>
      <c r="RUC156" s="250"/>
      <c r="RUD156" s="250"/>
      <c r="RUE156" s="250"/>
      <c r="RUF156" s="250"/>
      <c r="RUG156" s="250"/>
      <c r="RUH156" s="250"/>
      <c r="RUI156" s="250"/>
      <c r="RUJ156" s="250"/>
      <c r="RUK156" s="250"/>
      <c r="RUL156" s="250"/>
      <c r="RUM156" s="250"/>
      <c r="RUN156" s="250"/>
      <c r="RUO156" s="250"/>
      <c r="RUP156" s="250"/>
      <c r="RUQ156" s="250"/>
      <c r="RUR156" s="250"/>
      <c r="RUS156" s="250"/>
      <c r="RUT156" s="250"/>
      <c r="RUU156" s="250"/>
      <c r="RUV156" s="250"/>
      <c r="RUW156" s="250"/>
      <c r="RUX156" s="250"/>
      <c r="RUY156" s="250"/>
      <c r="RUZ156" s="250"/>
      <c r="RVA156" s="250"/>
      <c r="RVB156" s="250"/>
      <c r="RVC156" s="250"/>
      <c r="RVD156" s="250"/>
      <c r="RVE156" s="250"/>
      <c r="RVF156" s="250"/>
      <c r="RVG156" s="250"/>
      <c r="RVH156" s="250"/>
      <c r="RVI156" s="250"/>
      <c r="RVJ156" s="250"/>
      <c r="RVK156" s="250"/>
      <c r="RVL156" s="250"/>
      <c r="RVM156" s="250"/>
      <c r="RVN156" s="250"/>
      <c r="RVO156" s="250"/>
      <c r="RVP156" s="250"/>
      <c r="RVQ156" s="250"/>
      <c r="RVR156" s="250"/>
      <c r="RVS156" s="250"/>
      <c r="RVT156" s="250"/>
      <c r="RVU156" s="250"/>
      <c r="RVV156" s="250"/>
      <c r="RVW156" s="250"/>
      <c r="RVX156" s="250"/>
      <c r="RVY156" s="250"/>
      <c r="RVZ156" s="250"/>
      <c r="RWA156" s="250"/>
      <c r="RWB156" s="250"/>
      <c r="RWC156" s="250"/>
      <c r="RWD156" s="250"/>
      <c r="RWE156" s="250"/>
      <c r="RWF156" s="250"/>
      <c r="RWG156" s="250"/>
      <c r="RWH156" s="250"/>
      <c r="RWI156" s="250"/>
      <c r="RWJ156" s="250"/>
      <c r="RWK156" s="250"/>
      <c r="RWL156" s="250"/>
      <c r="RWM156" s="250"/>
      <c r="RWN156" s="250"/>
      <c r="RWO156" s="250"/>
      <c r="RWP156" s="250"/>
      <c r="RWQ156" s="250"/>
      <c r="RWR156" s="250"/>
      <c r="RWS156" s="250"/>
      <c r="RWT156" s="250"/>
      <c r="RWU156" s="250"/>
      <c r="RWV156" s="250"/>
      <c r="RWW156" s="250"/>
      <c r="RWX156" s="250"/>
      <c r="RWY156" s="250"/>
      <c r="RWZ156" s="250"/>
      <c r="RXA156" s="250"/>
      <c r="RXB156" s="250"/>
      <c r="RXC156" s="250"/>
      <c r="RXD156" s="250"/>
      <c r="RXE156" s="250"/>
      <c r="RXF156" s="250"/>
      <c r="RXG156" s="250"/>
      <c r="RXH156" s="250"/>
      <c r="RXI156" s="250"/>
      <c r="RXJ156" s="250"/>
      <c r="RXK156" s="250"/>
      <c r="RXL156" s="250"/>
      <c r="RXM156" s="250"/>
      <c r="RXN156" s="250"/>
      <c r="RXO156" s="250"/>
      <c r="RXP156" s="250"/>
      <c r="RXQ156" s="250"/>
      <c r="RXR156" s="250"/>
      <c r="RXS156" s="250"/>
      <c r="RXT156" s="250"/>
      <c r="RXU156" s="250"/>
      <c r="RXV156" s="250"/>
      <c r="RXW156" s="250"/>
      <c r="RXX156" s="250"/>
      <c r="RXY156" s="250"/>
      <c r="RXZ156" s="250"/>
      <c r="RYA156" s="250"/>
      <c r="RYB156" s="250"/>
      <c r="RYC156" s="250"/>
      <c r="RYD156" s="250"/>
      <c r="RYE156" s="250"/>
      <c r="RYF156" s="250"/>
      <c r="RYG156" s="250"/>
      <c r="RYH156" s="250"/>
      <c r="RYI156" s="250"/>
      <c r="RYJ156" s="250"/>
      <c r="RYK156" s="250"/>
      <c r="RYL156" s="250"/>
      <c r="RYM156" s="250"/>
      <c r="RYN156" s="250"/>
      <c r="RYO156" s="250"/>
      <c r="RYP156" s="250"/>
      <c r="RYQ156" s="250"/>
      <c r="RYR156" s="250"/>
      <c r="RYS156" s="250"/>
      <c r="RYT156" s="250"/>
      <c r="RYU156" s="250"/>
      <c r="RYV156" s="250"/>
      <c r="RYW156" s="250"/>
      <c r="RYX156" s="250"/>
      <c r="RYY156" s="250"/>
      <c r="RYZ156" s="250"/>
      <c r="RZA156" s="250"/>
      <c r="RZB156" s="250"/>
      <c r="RZC156" s="250"/>
      <c r="RZD156" s="250"/>
      <c r="RZE156" s="250"/>
      <c r="RZF156" s="250"/>
      <c r="RZG156" s="250"/>
      <c r="RZH156" s="250"/>
      <c r="RZI156" s="250"/>
      <c r="RZJ156" s="250"/>
      <c r="RZK156" s="250"/>
      <c r="RZL156" s="250"/>
      <c r="RZM156" s="250"/>
      <c r="RZN156" s="250"/>
      <c r="RZO156" s="250"/>
      <c r="RZP156" s="250"/>
      <c r="RZQ156" s="250"/>
      <c r="RZR156" s="250"/>
      <c r="RZS156" s="250"/>
      <c r="RZT156" s="250"/>
      <c r="RZU156" s="250"/>
      <c r="RZV156" s="250"/>
      <c r="RZW156" s="250"/>
      <c r="RZX156" s="250"/>
      <c r="RZY156" s="250"/>
      <c r="RZZ156" s="250"/>
      <c r="SAA156" s="250"/>
      <c r="SAB156" s="250"/>
      <c r="SAC156" s="250"/>
      <c r="SAD156" s="250"/>
      <c r="SAE156" s="250"/>
      <c r="SAF156" s="250"/>
      <c r="SAG156" s="250"/>
      <c r="SAH156" s="250"/>
      <c r="SAI156" s="250"/>
      <c r="SAJ156" s="250"/>
      <c r="SAK156" s="250"/>
      <c r="SAL156" s="250"/>
      <c r="SAM156" s="250"/>
      <c r="SAN156" s="250"/>
      <c r="SAO156" s="250"/>
      <c r="SAP156" s="250"/>
      <c r="SAQ156" s="250"/>
      <c r="SAR156" s="250"/>
      <c r="SAS156" s="250"/>
      <c r="SAT156" s="250"/>
      <c r="SAU156" s="250"/>
      <c r="SAV156" s="250"/>
      <c r="SAW156" s="250"/>
      <c r="SAX156" s="250"/>
      <c r="SAY156" s="250"/>
      <c r="SAZ156" s="250"/>
      <c r="SBA156" s="250"/>
      <c r="SBB156" s="250"/>
      <c r="SBC156" s="250"/>
      <c r="SBD156" s="250"/>
      <c r="SBE156" s="250"/>
      <c r="SBF156" s="250"/>
      <c r="SBG156" s="250"/>
      <c r="SBH156" s="250"/>
      <c r="SBI156" s="250"/>
      <c r="SBJ156" s="250"/>
      <c r="SBK156" s="250"/>
      <c r="SBL156" s="250"/>
      <c r="SBM156" s="250"/>
      <c r="SBN156" s="250"/>
      <c r="SBO156" s="250"/>
      <c r="SBP156" s="250"/>
      <c r="SBQ156" s="250"/>
      <c r="SBR156" s="250"/>
      <c r="SBS156" s="250"/>
      <c r="SBT156" s="250"/>
      <c r="SBU156" s="250"/>
      <c r="SBV156" s="250"/>
      <c r="SBW156" s="250"/>
      <c r="SBX156" s="250"/>
      <c r="SBY156" s="250"/>
      <c r="SBZ156" s="250"/>
      <c r="SCA156" s="250"/>
      <c r="SCB156" s="250"/>
      <c r="SCC156" s="250"/>
      <c r="SCD156" s="250"/>
      <c r="SCE156" s="250"/>
      <c r="SCF156" s="250"/>
      <c r="SCG156" s="250"/>
      <c r="SCH156" s="250"/>
      <c r="SCI156" s="250"/>
      <c r="SCJ156" s="250"/>
      <c r="SCK156" s="250"/>
      <c r="SCL156" s="250"/>
      <c r="SCM156" s="250"/>
      <c r="SCN156" s="250"/>
      <c r="SCO156" s="250"/>
      <c r="SCP156" s="250"/>
      <c r="SCQ156" s="250"/>
      <c r="SCR156" s="250"/>
      <c r="SCS156" s="250"/>
      <c r="SCT156" s="250"/>
      <c r="SCU156" s="250"/>
      <c r="SCV156" s="250"/>
      <c r="SCW156" s="250"/>
      <c r="SCX156" s="250"/>
      <c r="SCY156" s="250"/>
      <c r="SCZ156" s="250"/>
      <c r="SDA156" s="250"/>
      <c r="SDB156" s="250"/>
      <c r="SDC156" s="250"/>
      <c r="SDD156" s="250"/>
      <c r="SDE156" s="250"/>
      <c r="SDF156" s="250"/>
      <c r="SDG156" s="250"/>
      <c r="SDH156" s="250"/>
      <c r="SDI156" s="250"/>
      <c r="SDJ156" s="250"/>
      <c r="SDK156" s="250"/>
      <c r="SDL156" s="250"/>
      <c r="SDM156" s="250"/>
      <c r="SDN156" s="250"/>
      <c r="SDO156" s="250"/>
      <c r="SDP156" s="250"/>
      <c r="SDQ156" s="250"/>
      <c r="SDR156" s="250"/>
      <c r="SDS156" s="250"/>
      <c r="SDT156" s="250"/>
      <c r="SDU156" s="250"/>
      <c r="SDV156" s="250"/>
      <c r="SDW156" s="250"/>
      <c r="SDX156" s="250"/>
      <c r="SDY156" s="250"/>
      <c r="SDZ156" s="250"/>
      <c r="SEA156" s="250"/>
      <c r="SEB156" s="250"/>
      <c r="SEC156" s="250"/>
      <c r="SED156" s="250"/>
      <c r="SEE156" s="250"/>
      <c r="SEF156" s="250"/>
      <c r="SEG156" s="250"/>
      <c r="SEH156" s="250"/>
      <c r="SEI156" s="250"/>
      <c r="SEJ156" s="250"/>
      <c r="SEK156" s="250"/>
      <c r="SEL156" s="250"/>
      <c r="SEM156" s="250"/>
      <c r="SEN156" s="250"/>
      <c r="SEO156" s="250"/>
      <c r="SEP156" s="250"/>
      <c r="SEQ156" s="250"/>
      <c r="SER156" s="250"/>
      <c r="SES156" s="250"/>
      <c r="SET156" s="250"/>
      <c r="SEU156" s="250"/>
      <c r="SEV156" s="250"/>
      <c r="SEW156" s="250"/>
      <c r="SEX156" s="250"/>
      <c r="SEY156" s="250"/>
      <c r="SEZ156" s="250"/>
      <c r="SFA156" s="250"/>
      <c r="SFB156" s="250"/>
      <c r="SFC156" s="250"/>
      <c r="SFD156" s="250"/>
      <c r="SFE156" s="250"/>
      <c r="SFF156" s="250"/>
      <c r="SFG156" s="250"/>
      <c r="SFH156" s="250"/>
      <c r="SFI156" s="250"/>
      <c r="SFJ156" s="250"/>
      <c r="SFK156" s="250"/>
      <c r="SFL156" s="250"/>
      <c r="SFM156" s="250"/>
      <c r="SFN156" s="250"/>
      <c r="SFO156" s="250"/>
      <c r="SFP156" s="250"/>
      <c r="SFQ156" s="250"/>
      <c r="SFR156" s="250"/>
      <c r="SFS156" s="250"/>
      <c r="SFT156" s="250"/>
      <c r="SFU156" s="250"/>
      <c r="SFV156" s="250"/>
      <c r="SFW156" s="250"/>
      <c r="SFX156" s="250"/>
      <c r="SFY156" s="250"/>
      <c r="SFZ156" s="250"/>
      <c r="SGA156" s="250"/>
      <c r="SGB156" s="250"/>
      <c r="SGC156" s="250"/>
      <c r="SGD156" s="250"/>
      <c r="SGE156" s="250"/>
      <c r="SGF156" s="250"/>
      <c r="SGG156" s="250"/>
      <c r="SGH156" s="250"/>
      <c r="SGI156" s="250"/>
      <c r="SGJ156" s="250"/>
      <c r="SGK156" s="250"/>
      <c r="SGL156" s="250"/>
      <c r="SGM156" s="250"/>
      <c r="SGN156" s="250"/>
      <c r="SGO156" s="250"/>
      <c r="SGP156" s="250"/>
      <c r="SGQ156" s="250"/>
      <c r="SGR156" s="250"/>
      <c r="SGS156" s="250"/>
      <c r="SGT156" s="250"/>
      <c r="SGU156" s="250"/>
      <c r="SGV156" s="250"/>
      <c r="SGW156" s="250"/>
      <c r="SGX156" s="250"/>
      <c r="SGY156" s="250"/>
      <c r="SGZ156" s="250"/>
      <c r="SHA156" s="250"/>
      <c r="SHB156" s="250"/>
      <c r="SHC156" s="250"/>
      <c r="SHD156" s="250"/>
      <c r="SHE156" s="250"/>
      <c r="SHF156" s="250"/>
      <c r="SHG156" s="250"/>
      <c r="SHH156" s="250"/>
      <c r="SHI156" s="250"/>
      <c r="SHJ156" s="250"/>
      <c r="SHK156" s="250"/>
      <c r="SHL156" s="250"/>
      <c r="SHM156" s="250"/>
      <c r="SHN156" s="250"/>
      <c r="SHO156" s="250"/>
      <c r="SHP156" s="250"/>
      <c r="SHQ156" s="250"/>
      <c r="SHR156" s="250"/>
      <c r="SHS156" s="250"/>
      <c r="SHT156" s="250"/>
      <c r="SHU156" s="250"/>
      <c r="SHV156" s="250"/>
      <c r="SHW156" s="250"/>
      <c r="SHX156" s="250"/>
      <c r="SHY156" s="250"/>
      <c r="SHZ156" s="250"/>
      <c r="SIA156" s="250"/>
      <c r="SIB156" s="250"/>
      <c r="SIC156" s="250"/>
      <c r="SID156" s="250"/>
      <c r="SIE156" s="250"/>
      <c r="SIF156" s="250"/>
      <c r="SIG156" s="250"/>
      <c r="SIH156" s="250"/>
      <c r="SII156" s="250"/>
      <c r="SIJ156" s="250"/>
      <c r="SIK156" s="250"/>
      <c r="SIL156" s="250"/>
      <c r="SIM156" s="250"/>
      <c r="SIN156" s="250"/>
      <c r="SIO156" s="250"/>
      <c r="SIP156" s="250"/>
      <c r="SIQ156" s="250"/>
      <c r="SIR156" s="250"/>
      <c r="SIS156" s="250"/>
      <c r="SIT156" s="250"/>
      <c r="SIU156" s="250"/>
      <c r="SIV156" s="250"/>
      <c r="SIW156" s="250"/>
      <c r="SIX156" s="250"/>
      <c r="SIY156" s="250"/>
      <c r="SIZ156" s="250"/>
      <c r="SJA156" s="250"/>
      <c r="SJB156" s="250"/>
      <c r="SJC156" s="250"/>
      <c r="SJD156" s="250"/>
      <c r="SJE156" s="250"/>
      <c r="SJF156" s="250"/>
      <c r="SJG156" s="250"/>
      <c r="SJH156" s="250"/>
      <c r="SJI156" s="250"/>
      <c r="SJJ156" s="250"/>
      <c r="SJK156" s="250"/>
      <c r="SJL156" s="250"/>
      <c r="SJM156" s="250"/>
      <c r="SJN156" s="250"/>
      <c r="SJO156" s="250"/>
      <c r="SJP156" s="250"/>
      <c r="SJQ156" s="250"/>
      <c r="SJR156" s="250"/>
      <c r="SJS156" s="250"/>
      <c r="SJT156" s="250"/>
      <c r="SJU156" s="250"/>
      <c r="SJV156" s="250"/>
      <c r="SJW156" s="250"/>
      <c r="SJX156" s="250"/>
      <c r="SJY156" s="250"/>
      <c r="SJZ156" s="250"/>
      <c r="SKA156" s="250"/>
      <c r="SKB156" s="250"/>
      <c r="SKC156" s="250"/>
      <c r="SKD156" s="250"/>
      <c r="SKE156" s="250"/>
      <c r="SKF156" s="250"/>
      <c r="SKG156" s="250"/>
      <c r="SKH156" s="250"/>
      <c r="SKI156" s="250"/>
      <c r="SKJ156" s="250"/>
      <c r="SKK156" s="250"/>
      <c r="SKL156" s="250"/>
      <c r="SKM156" s="250"/>
      <c r="SKN156" s="250"/>
      <c r="SKO156" s="250"/>
      <c r="SKP156" s="250"/>
      <c r="SKQ156" s="250"/>
      <c r="SKR156" s="250"/>
      <c r="SKS156" s="250"/>
      <c r="SKT156" s="250"/>
      <c r="SKU156" s="250"/>
      <c r="SKV156" s="250"/>
      <c r="SKW156" s="250"/>
      <c r="SKX156" s="250"/>
      <c r="SKY156" s="250"/>
      <c r="SKZ156" s="250"/>
      <c r="SLA156" s="250"/>
      <c r="SLB156" s="250"/>
      <c r="SLC156" s="250"/>
      <c r="SLD156" s="250"/>
      <c r="SLE156" s="250"/>
      <c r="SLF156" s="250"/>
      <c r="SLG156" s="250"/>
      <c r="SLH156" s="250"/>
      <c r="SLI156" s="250"/>
      <c r="SLJ156" s="250"/>
      <c r="SLK156" s="250"/>
      <c r="SLL156" s="250"/>
      <c r="SLM156" s="250"/>
      <c r="SLN156" s="250"/>
      <c r="SLO156" s="250"/>
      <c r="SLP156" s="250"/>
      <c r="SLQ156" s="250"/>
      <c r="SLR156" s="250"/>
      <c r="SLS156" s="250"/>
      <c r="SLT156" s="250"/>
      <c r="SLU156" s="250"/>
      <c r="SLV156" s="250"/>
      <c r="SLW156" s="250"/>
      <c r="SLX156" s="250"/>
      <c r="SLY156" s="250"/>
      <c r="SLZ156" s="250"/>
      <c r="SMA156" s="250"/>
      <c r="SMB156" s="250"/>
      <c r="SMC156" s="250"/>
      <c r="SMD156" s="250"/>
      <c r="SME156" s="250"/>
      <c r="SMF156" s="250"/>
      <c r="SMG156" s="250"/>
      <c r="SMH156" s="250"/>
      <c r="SMI156" s="250"/>
      <c r="SMJ156" s="250"/>
      <c r="SMK156" s="250"/>
      <c r="SML156" s="250"/>
      <c r="SMM156" s="250"/>
      <c r="SMN156" s="250"/>
      <c r="SMO156" s="250"/>
      <c r="SMP156" s="250"/>
      <c r="SMQ156" s="250"/>
      <c r="SMR156" s="250"/>
      <c r="SMS156" s="250"/>
      <c r="SMT156" s="250"/>
      <c r="SMU156" s="250"/>
      <c r="SMV156" s="250"/>
      <c r="SMW156" s="250"/>
      <c r="SMX156" s="250"/>
      <c r="SMY156" s="250"/>
      <c r="SMZ156" s="250"/>
      <c r="SNA156" s="250"/>
      <c r="SNB156" s="250"/>
      <c r="SNC156" s="250"/>
      <c r="SND156" s="250"/>
      <c r="SNE156" s="250"/>
      <c r="SNF156" s="250"/>
      <c r="SNG156" s="250"/>
      <c r="SNH156" s="250"/>
      <c r="SNI156" s="250"/>
      <c r="SNJ156" s="250"/>
      <c r="SNK156" s="250"/>
      <c r="SNL156" s="250"/>
      <c r="SNM156" s="250"/>
      <c r="SNN156" s="250"/>
      <c r="SNO156" s="250"/>
      <c r="SNP156" s="250"/>
      <c r="SNQ156" s="250"/>
      <c r="SNR156" s="250"/>
      <c r="SNS156" s="250"/>
      <c r="SNT156" s="250"/>
      <c r="SNU156" s="250"/>
      <c r="SNV156" s="250"/>
      <c r="SNW156" s="250"/>
      <c r="SNX156" s="250"/>
      <c r="SNY156" s="250"/>
      <c r="SNZ156" s="250"/>
      <c r="SOA156" s="250"/>
      <c r="SOB156" s="250"/>
      <c r="SOC156" s="250"/>
      <c r="SOD156" s="250"/>
      <c r="SOE156" s="250"/>
      <c r="SOF156" s="250"/>
      <c r="SOG156" s="250"/>
      <c r="SOH156" s="250"/>
      <c r="SOI156" s="250"/>
      <c r="SOJ156" s="250"/>
      <c r="SOK156" s="250"/>
      <c r="SOL156" s="250"/>
      <c r="SOM156" s="250"/>
      <c r="SON156" s="250"/>
      <c r="SOO156" s="250"/>
      <c r="SOP156" s="250"/>
      <c r="SOQ156" s="250"/>
      <c r="SOR156" s="250"/>
      <c r="SOS156" s="250"/>
      <c r="SOT156" s="250"/>
      <c r="SOU156" s="250"/>
      <c r="SOV156" s="250"/>
      <c r="SOW156" s="250"/>
      <c r="SOX156" s="250"/>
      <c r="SOY156" s="250"/>
      <c r="SOZ156" s="250"/>
      <c r="SPA156" s="250"/>
      <c r="SPB156" s="250"/>
      <c r="SPC156" s="250"/>
      <c r="SPD156" s="250"/>
      <c r="SPE156" s="250"/>
      <c r="SPF156" s="250"/>
      <c r="SPG156" s="250"/>
      <c r="SPH156" s="250"/>
      <c r="SPI156" s="250"/>
      <c r="SPJ156" s="250"/>
      <c r="SPK156" s="250"/>
      <c r="SPL156" s="250"/>
      <c r="SPM156" s="250"/>
      <c r="SPN156" s="250"/>
      <c r="SPO156" s="250"/>
      <c r="SPP156" s="250"/>
      <c r="SPQ156" s="250"/>
      <c r="SPR156" s="250"/>
      <c r="SPS156" s="250"/>
      <c r="SPT156" s="250"/>
      <c r="SPU156" s="250"/>
      <c r="SPV156" s="250"/>
      <c r="SPW156" s="250"/>
      <c r="SPX156" s="250"/>
      <c r="SPY156" s="250"/>
      <c r="SPZ156" s="250"/>
      <c r="SQA156" s="250"/>
      <c r="SQB156" s="250"/>
      <c r="SQC156" s="250"/>
      <c r="SQD156" s="250"/>
      <c r="SQE156" s="250"/>
      <c r="SQF156" s="250"/>
      <c r="SQG156" s="250"/>
      <c r="SQH156" s="250"/>
      <c r="SQI156" s="250"/>
      <c r="SQJ156" s="250"/>
      <c r="SQK156" s="250"/>
      <c r="SQL156" s="250"/>
      <c r="SQM156" s="250"/>
      <c r="SQN156" s="250"/>
      <c r="SQO156" s="250"/>
      <c r="SQP156" s="250"/>
      <c r="SQQ156" s="250"/>
      <c r="SQR156" s="250"/>
      <c r="SQS156" s="250"/>
      <c r="SQT156" s="250"/>
      <c r="SQU156" s="250"/>
      <c r="SQV156" s="250"/>
      <c r="SQW156" s="250"/>
      <c r="SQX156" s="250"/>
      <c r="SQY156" s="250"/>
      <c r="SQZ156" s="250"/>
      <c r="SRA156" s="250"/>
      <c r="SRB156" s="250"/>
      <c r="SRC156" s="250"/>
      <c r="SRD156" s="250"/>
      <c r="SRE156" s="250"/>
      <c r="SRF156" s="250"/>
      <c r="SRG156" s="250"/>
      <c r="SRH156" s="250"/>
      <c r="SRI156" s="250"/>
      <c r="SRJ156" s="250"/>
      <c r="SRK156" s="250"/>
      <c r="SRL156" s="250"/>
      <c r="SRM156" s="250"/>
      <c r="SRN156" s="250"/>
      <c r="SRO156" s="250"/>
      <c r="SRP156" s="250"/>
      <c r="SRQ156" s="250"/>
      <c r="SRR156" s="250"/>
      <c r="SRS156" s="250"/>
      <c r="SRT156" s="250"/>
      <c r="SRU156" s="250"/>
      <c r="SRV156" s="250"/>
      <c r="SRW156" s="250"/>
      <c r="SRX156" s="250"/>
      <c r="SRY156" s="250"/>
      <c r="SRZ156" s="250"/>
      <c r="SSA156" s="250"/>
      <c r="SSB156" s="250"/>
      <c r="SSC156" s="250"/>
      <c r="SSD156" s="250"/>
      <c r="SSE156" s="250"/>
      <c r="SSF156" s="250"/>
      <c r="SSG156" s="250"/>
      <c r="SSH156" s="250"/>
      <c r="SSI156" s="250"/>
      <c r="SSJ156" s="250"/>
      <c r="SSK156" s="250"/>
      <c r="SSL156" s="250"/>
      <c r="SSM156" s="250"/>
      <c r="SSN156" s="250"/>
      <c r="SSO156" s="250"/>
      <c r="SSP156" s="250"/>
      <c r="SSQ156" s="250"/>
      <c r="SSR156" s="250"/>
      <c r="SSS156" s="250"/>
      <c r="SST156" s="250"/>
      <c r="SSU156" s="250"/>
      <c r="SSV156" s="250"/>
      <c r="SSW156" s="250"/>
      <c r="SSX156" s="250"/>
      <c r="SSY156" s="250"/>
      <c r="SSZ156" s="250"/>
      <c r="STA156" s="250"/>
      <c r="STB156" s="250"/>
      <c r="STC156" s="250"/>
      <c r="STD156" s="250"/>
      <c r="STE156" s="250"/>
      <c r="STF156" s="250"/>
      <c r="STG156" s="250"/>
      <c r="STH156" s="250"/>
      <c r="STI156" s="250"/>
      <c r="STJ156" s="250"/>
      <c r="STK156" s="250"/>
      <c r="STL156" s="250"/>
      <c r="STM156" s="250"/>
      <c r="STN156" s="250"/>
      <c r="STO156" s="250"/>
      <c r="STP156" s="250"/>
      <c r="STQ156" s="250"/>
      <c r="STR156" s="250"/>
      <c r="STS156" s="250"/>
      <c r="STT156" s="250"/>
      <c r="STU156" s="250"/>
      <c r="STV156" s="250"/>
      <c r="STW156" s="250"/>
      <c r="STX156" s="250"/>
      <c r="STY156" s="250"/>
      <c r="STZ156" s="250"/>
      <c r="SUA156" s="250"/>
      <c r="SUB156" s="250"/>
      <c r="SUC156" s="250"/>
      <c r="SUD156" s="250"/>
      <c r="SUE156" s="250"/>
      <c r="SUF156" s="250"/>
      <c r="SUG156" s="250"/>
      <c r="SUH156" s="250"/>
      <c r="SUI156" s="250"/>
      <c r="SUJ156" s="250"/>
      <c r="SUK156" s="250"/>
      <c r="SUL156" s="250"/>
      <c r="SUM156" s="250"/>
      <c r="SUN156" s="250"/>
      <c r="SUO156" s="250"/>
      <c r="SUP156" s="250"/>
      <c r="SUQ156" s="250"/>
      <c r="SUR156" s="250"/>
      <c r="SUS156" s="250"/>
      <c r="SUT156" s="250"/>
      <c r="SUU156" s="250"/>
      <c r="SUV156" s="250"/>
      <c r="SUW156" s="250"/>
      <c r="SUX156" s="250"/>
      <c r="SUY156" s="250"/>
      <c r="SUZ156" s="250"/>
      <c r="SVA156" s="250"/>
      <c r="SVB156" s="250"/>
      <c r="SVC156" s="250"/>
      <c r="SVD156" s="250"/>
      <c r="SVE156" s="250"/>
      <c r="SVF156" s="250"/>
      <c r="SVG156" s="250"/>
      <c r="SVH156" s="250"/>
      <c r="SVI156" s="250"/>
      <c r="SVJ156" s="250"/>
      <c r="SVK156" s="250"/>
      <c r="SVL156" s="250"/>
      <c r="SVM156" s="250"/>
      <c r="SVN156" s="250"/>
      <c r="SVO156" s="250"/>
      <c r="SVP156" s="250"/>
      <c r="SVQ156" s="250"/>
      <c r="SVR156" s="250"/>
      <c r="SVS156" s="250"/>
      <c r="SVT156" s="250"/>
      <c r="SVU156" s="250"/>
      <c r="SVV156" s="250"/>
      <c r="SVW156" s="250"/>
      <c r="SVX156" s="250"/>
      <c r="SVY156" s="250"/>
      <c r="SVZ156" s="250"/>
      <c r="SWA156" s="250"/>
      <c r="SWB156" s="250"/>
      <c r="SWC156" s="250"/>
      <c r="SWD156" s="250"/>
      <c r="SWE156" s="250"/>
      <c r="SWF156" s="250"/>
      <c r="SWG156" s="250"/>
      <c r="SWH156" s="250"/>
      <c r="SWI156" s="250"/>
      <c r="SWJ156" s="250"/>
      <c r="SWK156" s="250"/>
      <c r="SWL156" s="250"/>
      <c r="SWM156" s="250"/>
      <c r="SWN156" s="250"/>
      <c r="SWO156" s="250"/>
      <c r="SWP156" s="250"/>
      <c r="SWQ156" s="250"/>
      <c r="SWR156" s="250"/>
      <c r="SWS156" s="250"/>
      <c r="SWT156" s="250"/>
      <c r="SWU156" s="250"/>
      <c r="SWV156" s="250"/>
      <c r="SWW156" s="250"/>
      <c r="SWX156" s="250"/>
      <c r="SWY156" s="250"/>
      <c r="SWZ156" s="250"/>
      <c r="SXA156" s="250"/>
      <c r="SXB156" s="250"/>
      <c r="SXC156" s="250"/>
      <c r="SXD156" s="250"/>
      <c r="SXE156" s="250"/>
      <c r="SXF156" s="250"/>
      <c r="SXG156" s="250"/>
      <c r="SXH156" s="250"/>
      <c r="SXI156" s="250"/>
      <c r="SXJ156" s="250"/>
      <c r="SXK156" s="250"/>
      <c r="SXL156" s="250"/>
      <c r="SXM156" s="250"/>
      <c r="SXN156" s="250"/>
      <c r="SXO156" s="250"/>
      <c r="SXP156" s="250"/>
      <c r="SXQ156" s="250"/>
      <c r="SXR156" s="250"/>
      <c r="SXS156" s="250"/>
      <c r="SXT156" s="250"/>
      <c r="SXU156" s="250"/>
      <c r="SXV156" s="250"/>
      <c r="SXW156" s="250"/>
      <c r="SXX156" s="250"/>
      <c r="SXY156" s="250"/>
      <c r="SXZ156" s="250"/>
      <c r="SYA156" s="250"/>
      <c r="SYB156" s="250"/>
      <c r="SYC156" s="250"/>
      <c r="SYD156" s="250"/>
      <c r="SYE156" s="250"/>
      <c r="SYF156" s="250"/>
      <c r="SYG156" s="250"/>
      <c r="SYH156" s="250"/>
      <c r="SYI156" s="250"/>
      <c r="SYJ156" s="250"/>
      <c r="SYK156" s="250"/>
      <c r="SYL156" s="250"/>
      <c r="SYM156" s="250"/>
      <c r="SYN156" s="250"/>
      <c r="SYO156" s="250"/>
      <c r="SYP156" s="250"/>
      <c r="SYQ156" s="250"/>
      <c r="SYR156" s="250"/>
      <c r="SYS156" s="250"/>
      <c r="SYT156" s="250"/>
      <c r="SYU156" s="250"/>
      <c r="SYV156" s="250"/>
      <c r="SYW156" s="250"/>
      <c r="SYX156" s="250"/>
      <c r="SYY156" s="250"/>
      <c r="SYZ156" s="250"/>
      <c r="SZA156" s="250"/>
      <c r="SZB156" s="250"/>
      <c r="SZC156" s="250"/>
      <c r="SZD156" s="250"/>
      <c r="SZE156" s="250"/>
      <c r="SZF156" s="250"/>
      <c r="SZG156" s="250"/>
      <c r="SZH156" s="250"/>
      <c r="SZI156" s="250"/>
      <c r="SZJ156" s="250"/>
      <c r="SZK156" s="250"/>
      <c r="SZL156" s="250"/>
      <c r="SZM156" s="250"/>
      <c r="SZN156" s="250"/>
      <c r="SZO156" s="250"/>
      <c r="SZP156" s="250"/>
      <c r="SZQ156" s="250"/>
      <c r="SZR156" s="250"/>
      <c r="SZS156" s="250"/>
      <c r="SZT156" s="250"/>
      <c r="SZU156" s="250"/>
      <c r="SZV156" s="250"/>
      <c r="SZW156" s="250"/>
      <c r="SZX156" s="250"/>
      <c r="SZY156" s="250"/>
      <c r="SZZ156" s="250"/>
      <c r="TAA156" s="250"/>
      <c r="TAB156" s="250"/>
      <c r="TAC156" s="250"/>
      <c r="TAD156" s="250"/>
      <c r="TAE156" s="250"/>
      <c r="TAF156" s="250"/>
      <c r="TAG156" s="250"/>
      <c r="TAH156" s="250"/>
      <c r="TAI156" s="250"/>
      <c r="TAJ156" s="250"/>
      <c r="TAK156" s="250"/>
      <c r="TAL156" s="250"/>
      <c r="TAM156" s="250"/>
      <c r="TAN156" s="250"/>
      <c r="TAO156" s="250"/>
      <c r="TAP156" s="250"/>
      <c r="TAQ156" s="250"/>
      <c r="TAR156" s="250"/>
      <c r="TAS156" s="250"/>
      <c r="TAT156" s="250"/>
      <c r="TAU156" s="250"/>
      <c r="TAV156" s="250"/>
      <c r="TAW156" s="250"/>
      <c r="TAX156" s="250"/>
      <c r="TAY156" s="250"/>
      <c r="TAZ156" s="250"/>
      <c r="TBA156" s="250"/>
      <c r="TBB156" s="250"/>
      <c r="TBC156" s="250"/>
      <c r="TBD156" s="250"/>
      <c r="TBE156" s="250"/>
      <c r="TBF156" s="250"/>
      <c r="TBG156" s="250"/>
      <c r="TBH156" s="250"/>
      <c r="TBI156" s="250"/>
      <c r="TBJ156" s="250"/>
      <c r="TBK156" s="250"/>
      <c r="TBL156" s="250"/>
      <c r="TBM156" s="250"/>
      <c r="TBN156" s="250"/>
      <c r="TBO156" s="250"/>
      <c r="TBP156" s="250"/>
      <c r="TBQ156" s="250"/>
      <c r="TBR156" s="250"/>
      <c r="TBS156" s="250"/>
      <c r="TBT156" s="250"/>
      <c r="TBU156" s="250"/>
      <c r="TBV156" s="250"/>
      <c r="TBW156" s="250"/>
      <c r="TBX156" s="250"/>
      <c r="TBY156" s="250"/>
      <c r="TBZ156" s="250"/>
      <c r="TCA156" s="250"/>
      <c r="TCB156" s="250"/>
      <c r="TCC156" s="250"/>
      <c r="TCD156" s="250"/>
      <c r="TCE156" s="250"/>
      <c r="TCF156" s="250"/>
      <c r="TCG156" s="250"/>
      <c r="TCH156" s="250"/>
      <c r="TCI156" s="250"/>
      <c r="TCJ156" s="250"/>
      <c r="TCK156" s="250"/>
      <c r="TCL156" s="250"/>
      <c r="TCM156" s="250"/>
      <c r="TCN156" s="250"/>
      <c r="TCO156" s="250"/>
      <c r="TCP156" s="250"/>
      <c r="TCQ156" s="250"/>
      <c r="TCR156" s="250"/>
      <c r="TCS156" s="250"/>
      <c r="TCT156" s="250"/>
      <c r="TCU156" s="250"/>
      <c r="TCV156" s="250"/>
      <c r="TCW156" s="250"/>
      <c r="TCX156" s="250"/>
      <c r="TCY156" s="250"/>
      <c r="TCZ156" s="250"/>
      <c r="TDA156" s="250"/>
      <c r="TDB156" s="250"/>
      <c r="TDC156" s="250"/>
      <c r="TDD156" s="250"/>
      <c r="TDE156" s="250"/>
      <c r="TDF156" s="250"/>
      <c r="TDG156" s="250"/>
      <c r="TDH156" s="250"/>
      <c r="TDI156" s="250"/>
      <c r="TDJ156" s="250"/>
      <c r="TDK156" s="250"/>
      <c r="TDL156" s="250"/>
      <c r="TDM156" s="250"/>
      <c r="TDN156" s="250"/>
      <c r="TDO156" s="250"/>
      <c r="TDP156" s="250"/>
      <c r="TDQ156" s="250"/>
      <c r="TDR156" s="250"/>
      <c r="TDS156" s="250"/>
      <c r="TDT156" s="250"/>
      <c r="TDU156" s="250"/>
      <c r="TDV156" s="250"/>
      <c r="TDW156" s="250"/>
      <c r="TDX156" s="250"/>
      <c r="TDY156" s="250"/>
      <c r="TDZ156" s="250"/>
      <c r="TEA156" s="250"/>
      <c r="TEB156" s="250"/>
      <c r="TEC156" s="250"/>
      <c r="TED156" s="250"/>
      <c r="TEE156" s="250"/>
      <c r="TEF156" s="250"/>
      <c r="TEG156" s="250"/>
      <c r="TEH156" s="250"/>
      <c r="TEI156" s="250"/>
      <c r="TEJ156" s="250"/>
      <c r="TEK156" s="250"/>
      <c r="TEL156" s="250"/>
      <c r="TEM156" s="250"/>
      <c r="TEN156" s="250"/>
      <c r="TEO156" s="250"/>
      <c r="TEP156" s="250"/>
      <c r="TEQ156" s="250"/>
      <c r="TER156" s="250"/>
      <c r="TES156" s="250"/>
      <c r="TET156" s="250"/>
      <c r="TEU156" s="250"/>
      <c r="TEV156" s="250"/>
      <c r="TEW156" s="250"/>
      <c r="TEX156" s="250"/>
      <c r="TEY156" s="250"/>
      <c r="TEZ156" s="250"/>
      <c r="TFA156" s="250"/>
      <c r="TFB156" s="250"/>
      <c r="TFC156" s="250"/>
      <c r="TFD156" s="250"/>
      <c r="TFE156" s="250"/>
      <c r="TFF156" s="250"/>
      <c r="TFG156" s="250"/>
      <c r="TFH156" s="250"/>
      <c r="TFI156" s="250"/>
      <c r="TFJ156" s="250"/>
      <c r="TFK156" s="250"/>
      <c r="TFL156" s="250"/>
      <c r="TFM156" s="250"/>
      <c r="TFN156" s="250"/>
      <c r="TFO156" s="250"/>
      <c r="TFP156" s="250"/>
      <c r="TFQ156" s="250"/>
      <c r="TFR156" s="250"/>
      <c r="TFS156" s="250"/>
      <c r="TFT156" s="250"/>
      <c r="TFU156" s="250"/>
      <c r="TFV156" s="250"/>
      <c r="TFW156" s="250"/>
      <c r="TFX156" s="250"/>
      <c r="TFY156" s="250"/>
      <c r="TFZ156" s="250"/>
      <c r="TGA156" s="250"/>
      <c r="TGB156" s="250"/>
      <c r="TGC156" s="250"/>
      <c r="TGD156" s="250"/>
      <c r="TGE156" s="250"/>
      <c r="TGF156" s="250"/>
      <c r="TGG156" s="250"/>
      <c r="TGH156" s="250"/>
      <c r="TGI156" s="250"/>
      <c r="TGJ156" s="250"/>
      <c r="TGK156" s="250"/>
      <c r="TGL156" s="250"/>
      <c r="TGM156" s="250"/>
      <c r="TGN156" s="250"/>
      <c r="TGO156" s="250"/>
      <c r="TGP156" s="250"/>
      <c r="TGQ156" s="250"/>
      <c r="TGR156" s="250"/>
      <c r="TGS156" s="250"/>
      <c r="TGT156" s="250"/>
      <c r="TGU156" s="250"/>
      <c r="TGV156" s="250"/>
      <c r="TGW156" s="250"/>
      <c r="TGX156" s="250"/>
      <c r="TGY156" s="250"/>
      <c r="TGZ156" s="250"/>
      <c r="THA156" s="250"/>
      <c r="THB156" s="250"/>
      <c r="THC156" s="250"/>
      <c r="THD156" s="250"/>
      <c r="THE156" s="250"/>
      <c r="THF156" s="250"/>
      <c r="THG156" s="250"/>
      <c r="THH156" s="250"/>
      <c r="THI156" s="250"/>
      <c r="THJ156" s="250"/>
      <c r="THK156" s="250"/>
      <c r="THL156" s="250"/>
      <c r="THM156" s="250"/>
      <c r="THN156" s="250"/>
      <c r="THO156" s="250"/>
      <c r="THP156" s="250"/>
      <c r="THQ156" s="250"/>
      <c r="THR156" s="250"/>
      <c r="THS156" s="250"/>
      <c r="THT156" s="250"/>
      <c r="THU156" s="250"/>
      <c r="THV156" s="250"/>
      <c r="THW156" s="250"/>
      <c r="THX156" s="250"/>
      <c r="THY156" s="250"/>
      <c r="THZ156" s="250"/>
      <c r="TIA156" s="250"/>
      <c r="TIB156" s="250"/>
      <c r="TIC156" s="250"/>
      <c r="TID156" s="250"/>
      <c r="TIE156" s="250"/>
      <c r="TIF156" s="250"/>
      <c r="TIG156" s="250"/>
      <c r="TIH156" s="250"/>
      <c r="TII156" s="250"/>
      <c r="TIJ156" s="250"/>
      <c r="TIK156" s="250"/>
      <c r="TIL156" s="250"/>
      <c r="TIM156" s="250"/>
      <c r="TIN156" s="250"/>
      <c r="TIO156" s="250"/>
      <c r="TIP156" s="250"/>
      <c r="TIQ156" s="250"/>
      <c r="TIR156" s="250"/>
      <c r="TIS156" s="250"/>
      <c r="TIT156" s="250"/>
      <c r="TIU156" s="250"/>
      <c r="TIV156" s="250"/>
      <c r="TIW156" s="250"/>
      <c r="TIX156" s="250"/>
      <c r="TIY156" s="250"/>
      <c r="TIZ156" s="250"/>
      <c r="TJA156" s="250"/>
      <c r="TJB156" s="250"/>
      <c r="TJC156" s="250"/>
      <c r="TJD156" s="250"/>
      <c r="TJE156" s="250"/>
      <c r="TJF156" s="250"/>
      <c r="TJG156" s="250"/>
      <c r="TJH156" s="250"/>
      <c r="TJI156" s="250"/>
      <c r="TJJ156" s="250"/>
      <c r="TJK156" s="250"/>
      <c r="TJL156" s="250"/>
      <c r="TJM156" s="250"/>
      <c r="TJN156" s="250"/>
      <c r="TJO156" s="250"/>
      <c r="TJP156" s="250"/>
      <c r="TJQ156" s="250"/>
      <c r="TJR156" s="250"/>
      <c r="TJS156" s="250"/>
      <c r="TJT156" s="250"/>
      <c r="TJU156" s="250"/>
      <c r="TJV156" s="250"/>
      <c r="TJW156" s="250"/>
      <c r="TJX156" s="250"/>
      <c r="TJY156" s="250"/>
      <c r="TJZ156" s="250"/>
      <c r="TKA156" s="250"/>
      <c r="TKB156" s="250"/>
      <c r="TKC156" s="250"/>
      <c r="TKD156" s="250"/>
      <c r="TKE156" s="250"/>
      <c r="TKF156" s="250"/>
      <c r="TKG156" s="250"/>
      <c r="TKH156" s="250"/>
      <c r="TKI156" s="250"/>
      <c r="TKJ156" s="250"/>
      <c r="TKK156" s="250"/>
      <c r="TKL156" s="250"/>
      <c r="TKM156" s="250"/>
      <c r="TKN156" s="250"/>
      <c r="TKO156" s="250"/>
      <c r="TKP156" s="250"/>
      <c r="TKQ156" s="250"/>
      <c r="TKR156" s="250"/>
      <c r="TKS156" s="250"/>
      <c r="TKT156" s="250"/>
      <c r="TKU156" s="250"/>
      <c r="TKV156" s="250"/>
      <c r="TKW156" s="250"/>
      <c r="TKX156" s="250"/>
      <c r="TKY156" s="250"/>
      <c r="TKZ156" s="250"/>
      <c r="TLA156" s="250"/>
      <c r="TLB156" s="250"/>
      <c r="TLC156" s="250"/>
      <c r="TLD156" s="250"/>
      <c r="TLE156" s="250"/>
      <c r="TLF156" s="250"/>
      <c r="TLG156" s="250"/>
      <c r="TLH156" s="250"/>
      <c r="TLI156" s="250"/>
      <c r="TLJ156" s="250"/>
      <c r="TLK156" s="250"/>
      <c r="TLL156" s="250"/>
      <c r="TLM156" s="250"/>
      <c r="TLN156" s="250"/>
      <c r="TLO156" s="250"/>
      <c r="TLP156" s="250"/>
      <c r="TLQ156" s="250"/>
      <c r="TLR156" s="250"/>
      <c r="TLS156" s="250"/>
      <c r="TLT156" s="250"/>
      <c r="TLU156" s="250"/>
      <c r="TLV156" s="250"/>
      <c r="TLW156" s="250"/>
      <c r="TLX156" s="250"/>
      <c r="TLY156" s="250"/>
      <c r="TLZ156" s="250"/>
      <c r="TMA156" s="250"/>
      <c r="TMB156" s="250"/>
      <c r="TMC156" s="250"/>
      <c r="TMD156" s="250"/>
      <c r="TME156" s="250"/>
      <c r="TMF156" s="250"/>
      <c r="TMG156" s="250"/>
      <c r="TMH156" s="250"/>
      <c r="TMI156" s="250"/>
      <c r="TMJ156" s="250"/>
      <c r="TMK156" s="250"/>
      <c r="TML156" s="250"/>
      <c r="TMM156" s="250"/>
      <c r="TMN156" s="250"/>
      <c r="TMO156" s="250"/>
      <c r="TMP156" s="250"/>
      <c r="TMQ156" s="250"/>
      <c r="TMR156" s="250"/>
      <c r="TMS156" s="250"/>
      <c r="TMT156" s="250"/>
      <c r="TMU156" s="250"/>
      <c r="TMV156" s="250"/>
      <c r="TMW156" s="250"/>
      <c r="TMX156" s="250"/>
      <c r="TMY156" s="250"/>
      <c r="TMZ156" s="250"/>
      <c r="TNA156" s="250"/>
      <c r="TNB156" s="250"/>
      <c r="TNC156" s="250"/>
      <c r="TND156" s="250"/>
      <c r="TNE156" s="250"/>
      <c r="TNF156" s="250"/>
      <c r="TNG156" s="250"/>
      <c r="TNH156" s="250"/>
      <c r="TNI156" s="250"/>
      <c r="TNJ156" s="250"/>
      <c r="TNK156" s="250"/>
      <c r="TNL156" s="250"/>
      <c r="TNM156" s="250"/>
      <c r="TNN156" s="250"/>
      <c r="TNO156" s="250"/>
      <c r="TNP156" s="250"/>
      <c r="TNQ156" s="250"/>
      <c r="TNR156" s="250"/>
      <c r="TNS156" s="250"/>
      <c r="TNT156" s="250"/>
      <c r="TNU156" s="250"/>
      <c r="TNV156" s="250"/>
      <c r="TNW156" s="250"/>
      <c r="TNX156" s="250"/>
      <c r="TNY156" s="250"/>
      <c r="TNZ156" s="250"/>
      <c r="TOA156" s="250"/>
      <c r="TOB156" s="250"/>
      <c r="TOC156" s="250"/>
      <c r="TOD156" s="250"/>
      <c r="TOE156" s="250"/>
      <c r="TOF156" s="250"/>
      <c r="TOG156" s="250"/>
      <c r="TOH156" s="250"/>
      <c r="TOI156" s="250"/>
      <c r="TOJ156" s="250"/>
      <c r="TOK156" s="250"/>
      <c r="TOL156" s="250"/>
      <c r="TOM156" s="250"/>
      <c r="TON156" s="250"/>
      <c r="TOO156" s="250"/>
      <c r="TOP156" s="250"/>
      <c r="TOQ156" s="250"/>
      <c r="TOR156" s="250"/>
      <c r="TOS156" s="250"/>
      <c r="TOT156" s="250"/>
      <c r="TOU156" s="250"/>
      <c r="TOV156" s="250"/>
      <c r="TOW156" s="250"/>
      <c r="TOX156" s="250"/>
      <c r="TOY156" s="250"/>
      <c r="TOZ156" s="250"/>
      <c r="TPA156" s="250"/>
      <c r="TPB156" s="250"/>
      <c r="TPC156" s="250"/>
      <c r="TPD156" s="250"/>
      <c r="TPE156" s="250"/>
      <c r="TPF156" s="250"/>
      <c r="TPG156" s="250"/>
      <c r="TPH156" s="250"/>
      <c r="TPI156" s="250"/>
      <c r="TPJ156" s="250"/>
      <c r="TPK156" s="250"/>
      <c r="TPL156" s="250"/>
      <c r="TPM156" s="250"/>
      <c r="TPN156" s="250"/>
      <c r="TPO156" s="250"/>
      <c r="TPP156" s="250"/>
      <c r="TPQ156" s="250"/>
      <c r="TPR156" s="250"/>
      <c r="TPS156" s="250"/>
      <c r="TPT156" s="250"/>
      <c r="TPU156" s="250"/>
      <c r="TPV156" s="250"/>
      <c r="TPW156" s="250"/>
      <c r="TPX156" s="250"/>
      <c r="TPY156" s="250"/>
      <c r="TPZ156" s="250"/>
      <c r="TQA156" s="250"/>
      <c r="TQB156" s="250"/>
      <c r="TQC156" s="250"/>
      <c r="TQD156" s="250"/>
      <c r="TQE156" s="250"/>
      <c r="TQF156" s="250"/>
      <c r="TQG156" s="250"/>
      <c r="TQH156" s="250"/>
      <c r="TQI156" s="250"/>
      <c r="TQJ156" s="250"/>
      <c r="TQK156" s="250"/>
      <c r="TQL156" s="250"/>
      <c r="TQM156" s="250"/>
      <c r="TQN156" s="250"/>
      <c r="TQO156" s="250"/>
      <c r="TQP156" s="250"/>
      <c r="TQQ156" s="250"/>
      <c r="TQR156" s="250"/>
      <c r="TQS156" s="250"/>
      <c r="TQT156" s="250"/>
      <c r="TQU156" s="250"/>
      <c r="TQV156" s="250"/>
      <c r="TQW156" s="250"/>
      <c r="TQX156" s="250"/>
      <c r="TQY156" s="250"/>
      <c r="TQZ156" s="250"/>
      <c r="TRA156" s="250"/>
      <c r="TRB156" s="250"/>
      <c r="TRC156" s="250"/>
      <c r="TRD156" s="250"/>
      <c r="TRE156" s="250"/>
      <c r="TRF156" s="250"/>
      <c r="TRG156" s="250"/>
      <c r="TRH156" s="250"/>
      <c r="TRI156" s="250"/>
      <c r="TRJ156" s="250"/>
      <c r="TRK156" s="250"/>
      <c r="TRL156" s="250"/>
      <c r="TRM156" s="250"/>
      <c r="TRN156" s="250"/>
      <c r="TRO156" s="250"/>
      <c r="TRP156" s="250"/>
      <c r="TRQ156" s="250"/>
      <c r="TRR156" s="250"/>
      <c r="TRS156" s="250"/>
      <c r="TRT156" s="250"/>
      <c r="TRU156" s="250"/>
      <c r="TRV156" s="250"/>
      <c r="TRW156" s="250"/>
      <c r="TRX156" s="250"/>
      <c r="TRY156" s="250"/>
      <c r="TRZ156" s="250"/>
      <c r="TSA156" s="250"/>
      <c r="TSB156" s="250"/>
      <c r="TSC156" s="250"/>
      <c r="TSD156" s="250"/>
      <c r="TSE156" s="250"/>
      <c r="TSF156" s="250"/>
      <c r="TSG156" s="250"/>
      <c r="TSH156" s="250"/>
      <c r="TSI156" s="250"/>
      <c r="TSJ156" s="250"/>
      <c r="TSK156" s="250"/>
      <c r="TSL156" s="250"/>
      <c r="TSM156" s="250"/>
      <c r="TSN156" s="250"/>
      <c r="TSO156" s="250"/>
      <c r="TSP156" s="250"/>
      <c r="TSQ156" s="250"/>
      <c r="TSR156" s="250"/>
      <c r="TSS156" s="250"/>
      <c r="TST156" s="250"/>
      <c r="TSU156" s="250"/>
      <c r="TSV156" s="250"/>
      <c r="TSW156" s="250"/>
      <c r="TSX156" s="250"/>
      <c r="TSY156" s="250"/>
      <c r="TSZ156" s="250"/>
      <c r="TTA156" s="250"/>
      <c r="TTB156" s="250"/>
      <c r="TTC156" s="250"/>
      <c r="TTD156" s="250"/>
      <c r="TTE156" s="250"/>
      <c r="TTF156" s="250"/>
      <c r="TTG156" s="250"/>
      <c r="TTH156" s="250"/>
      <c r="TTI156" s="250"/>
      <c r="TTJ156" s="250"/>
      <c r="TTK156" s="250"/>
      <c r="TTL156" s="250"/>
      <c r="TTM156" s="250"/>
      <c r="TTN156" s="250"/>
      <c r="TTO156" s="250"/>
      <c r="TTP156" s="250"/>
      <c r="TTQ156" s="250"/>
      <c r="TTR156" s="250"/>
      <c r="TTS156" s="250"/>
      <c r="TTT156" s="250"/>
      <c r="TTU156" s="250"/>
      <c r="TTV156" s="250"/>
      <c r="TTW156" s="250"/>
      <c r="TTX156" s="250"/>
      <c r="TTY156" s="250"/>
      <c r="TTZ156" s="250"/>
      <c r="TUA156" s="250"/>
      <c r="TUB156" s="250"/>
      <c r="TUC156" s="250"/>
      <c r="TUD156" s="250"/>
      <c r="TUE156" s="250"/>
      <c r="TUF156" s="250"/>
      <c r="TUG156" s="250"/>
      <c r="TUH156" s="250"/>
      <c r="TUI156" s="250"/>
      <c r="TUJ156" s="250"/>
      <c r="TUK156" s="250"/>
      <c r="TUL156" s="250"/>
      <c r="TUM156" s="250"/>
      <c r="TUN156" s="250"/>
      <c r="TUO156" s="250"/>
      <c r="TUP156" s="250"/>
      <c r="TUQ156" s="250"/>
      <c r="TUR156" s="250"/>
      <c r="TUS156" s="250"/>
      <c r="TUT156" s="250"/>
      <c r="TUU156" s="250"/>
      <c r="TUV156" s="250"/>
      <c r="TUW156" s="250"/>
      <c r="TUX156" s="250"/>
      <c r="TUY156" s="250"/>
      <c r="TUZ156" s="250"/>
      <c r="TVA156" s="250"/>
      <c r="TVB156" s="250"/>
      <c r="TVC156" s="250"/>
      <c r="TVD156" s="250"/>
      <c r="TVE156" s="250"/>
      <c r="TVF156" s="250"/>
      <c r="TVG156" s="250"/>
      <c r="TVH156" s="250"/>
      <c r="TVI156" s="250"/>
      <c r="TVJ156" s="250"/>
      <c r="TVK156" s="250"/>
      <c r="TVL156" s="250"/>
      <c r="TVM156" s="250"/>
      <c r="TVN156" s="250"/>
      <c r="TVO156" s="250"/>
      <c r="TVP156" s="250"/>
      <c r="TVQ156" s="250"/>
      <c r="TVR156" s="250"/>
      <c r="TVS156" s="250"/>
      <c r="TVT156" s="250"/>
      <c r="TVU156" s="250"/>
      <c r="TVV156" s="250"/>
      <c r="TVW156" s="250"/>
      <c r="TVX156" s="250"/>
      <c r="TVY156" s="250"/>
      <c r="TVZ156" s="250"/>
      <c r="TWA156" s="250"/>
      <c r="TWB156" s="250"/>
      <c r="TWC156" s="250"/>
      <c r="TWD156" s="250"/>
      <c r="TWE156" s="250"/>
      <c r="TWF156" s="250"/>
      <c r="TWG156" s="250"/>
      <c r="TWH156" s="250"/>
      <c r="TWI156" s="250"/>
      <c r="TWJ156" s="250"/>
      <c r="TWK156" s="250"/>
      <c r="TWL156" s="250"/>
      <c r="TWM156" s="250"/>
      <c r="TWN156" s="250"/>
      <c r="TWO156" s="250"/>
      <c r="TWP156" s="250"/>
      <c r="TWQ156" s="250"/>
      <c r="TWR156" s="250"/>
      <c r="TWS156" s="250"/>
      <c r="TWT156" s="250"/>
      <c r="TWU156" s="250"/>
      <c r="TWV156" s="250"/>
      <c r="TWW156" s="250"/>
      <c r="TWX156" s="250"/>
      <c r="TWY156" s="250"/>
      <c r="TWZ156" s="250"/>
      <c r="TXA156" s="250"/>
      <c r="TXB156" s="250"/>
      <c r="TXC156" s="250"/>
      <c r="TXD156" s="250"/>
      <c r="TXE156" s="250"/>
      <c r="TXF156" s="250"/>
      <c r="TXG156" s="250"/>
      <c r="TXH156" s="250"/>
      <c r="TXI156" s="250"/>
      <c r="TXJ156" s="250"/>
      <c r="TXK156" s="250"/>
      <c r="TXL156" s="250"/>
      <c r="TXM156" s="250"/>
      <c r="TXN156" s="250"/>
      <c r="TXO156" s="250"/>
      <c r="TXP156" s="250"/>
      <c r="TXQ156" s="250"/>
      <c r="TXR156" s="250"/>
      <c r="TXS156" s="250"/>
      <c r="TXT156" s="250"/>
      <c r="TXU156" s="250"/>
      <c r="TXV156" s="250"/>
      <c r="TXW156" s="250"/>
      <c r="TXX156" s="250"/>
      <c r="TXY156" s="250"/>
      <c r="TXZ156" s="250"/>
      <c r="TYA156" s="250"/>
      <c r="TYB156" s="250"/>
      <c r="TYC156" s="250"/>
      <c r="TYD156" s="250"/>
      <c r="TYE156" s="250"/>
      <c r="TYF156" s="250"/>
      <c r="TYG156" s="250"/>
      <c r="TYH156" s="250"/>
      <c r="TYI156" s="250"/>
      <c r="TYJ156" s="250"/>
      <c r="TYK156" s="250"/>
      <c r="TYL156" s="250"/>
      <c r="TYM156" s="250"/>
      <c r="TYN156" s="250"/>
      <c r="TYO156" s="250"/>
      <c r="TYP156" s="250"/>
      <c r="TYQ156" s="250"/>
      <c r="TYR156" s="250"/>
      <c r="TYS156" s="250"/>
      <c r="TYT156" s="250"/>
      <c r="TYU156" s="250"/>
      <c r="TYV156" s="250"/>
      <c r="TYW156" s="250"/>
      <c r="TYX156" s="250"/>
      <c r="TYY156" s="250"/>
      <c r="TYZ156" s="250"/>
      <c r="TZA156" s="250"/>
      <c r="TZB156" s="250"/>
      <c r="TZC156" s="250"/>
      <c r="TZD156" s="250"/>
      <c r="TZE156" s="250"/>
      <c r="TZF156" s="250"/>
      <c r="TZG156" s="250"/>
      <c r="TZH156" s="250"/>
      <c r="TZI156" s="250"/>
      <c r="TZJ156" s="250"/>
      <c r="TZK156" s="250"/>
      <c r="TZL156" s="250"/>
      <c r="TZM156" s="250"/>
      <c r="TZN156" s="250"/>
      <c r="TZO156" s="250"/>
      <c r="TZP156" s="250"/>
      <c r="TZQ156" s="250"/>
      <c r="TZR156" s="250"/>
      <c r="TZS156" s="250"/>
      <c r="TZT156" s="250"/>
      <c r="TZU156" s="250"/>
      <c r="TZV156" s="250"/>
      <c r="TZW156" s="250"/>
      <c r="TZX156" s="250"/>
      <c r="TZY156" s="250"/>
      <c r="TZZ156" s="250"/>
      <c r="UAA156" s="250"/>
      <c r="UAB156" s="250"/>
      <c r="UAC156" s="250"/>
      <c r="UAD156" s="250"/>
      <c r="UAE156" s="250"/>
      <c r="UAF156" s="250"/>
      <c r="UAG156" s="250"/>
      <c r="UAH156" s="250"/>
      <c r="UAI156" s="250"/>
      <c r="UAJ156" s="250"/>
      <c r="UAK156" s="250"/>
      <c r="UAL156" s="250"/>
      <c r="UAM156" s="250"/>
      <c r="UAN156" s="250"/>
      <c r="UAO156" s="250"/>
      <c r="UAP156" s="250"/>
      <c r="UAQ156" s="250"/>
      <c r="UAR156" s="250"/>
      <c r="UAS156" s="250"/>
      <c r="UAT156" s="250"/>
      <c r="UAU156" s="250"/>
      <c r="UAV156" s="250"/>
      <c r="UAW156" s="250"/>
      <c r="UAX156" s="250"/>
      <c r="UAY156" s="250"/>
      <c r="UAZ156" s="250"/>
      <c r="UBA156" s="250"/>
      <c r="UBB156" s="250"/>
      <c r="UBC156" s="250"/>
      <c r="UBD156" s="250"/>
      <c r="UBE156" s="250"/>
      <c r="UBF156" s="250"/>
      <c r="UBG156" s="250"/>
      <c r="UBH156" s="250"/>
      <c r="UBI156" s="250"/>
      <c r="UBJ156" s="250"/>
      <c r="UBK156" s="250"/>
      <c r="UBL156" s="250"/>
      <c r="UBM156" s="250"/>
      <c r="UBN156" s="250"/>
      <c r="UBO156" s="250"/>
      <c r="UBP156" s="250"/>
      <c r="UBQ156" s="250"/>
      <c r="UBR156" s="250"/>
      <c r="UBS156" s="250"/>
      <c r="UBT156" s="250"/>
      <c r="UBU156" s="250"/>
      <c r="UBV156" s="250"/>
      <c r="UBW156" s="250"/>
      <c r="UBX156" s="250"/>
      <c r="UBY156" s="250"/>
      <c r="UBZ156" s="250"/>
      <c r="UCA156" s="250"/>
      <c r="UCB156" s="250"/>
      <c r="UCC156" s="250"/>
      <c r="UCD156" s="250"/>
      <c r="UCE156" s="250"/>
      <c r="UCF156" s="250"/>
      <c r="UCG156" s="250"/>
      <c r="UCH156" s="250"/>
      <c r="UCI156" s="250"/>
      <c r="UCJ156" s="250"/>
      <c r="UCK156" s="250"/>
      <c r="UCL156" s="250"/>
      <c r="UCM156" s="250"/>
      <c r="UCN156" s="250"/>
      <c r="UCO156" s="250"/>
      <c r="UCP156" s="250"/>
      <c r="UCQ156" s="250"/>
      <c r="UCR156" s="250"/>
      <c r="UCS156" s="250"/>
      <c r="UCT156" s="250"/>
      <c r="UCU156" s="250"/>
      <c r="UCV156" s="250"/>
      <c r="UCW156" s="250"/>
      <c r="UCX156" s="250"/>
      <c r="UCY156" s="250"/>
      <c r="UCZ156" s="250"/>
      <c r="UDA156" s="250"/>
      <c r="UDB156" s="250"/>
      <c r="UDC156" s="250"/>
      <c r="UDD156" s="250"/>
      <c r="UDE156" s="250"/>
      <c r="UDF156" s="250"/>
      <c r="UDG156" s="250"/>
      <c r="UDH156" s="250"/>
      <c r="UDI156" s="250"/>
      <c r="UDJ156" s="250"/>
      <c r="UDK156" s="250"/>
      <c r="UDL156" s="250"/>
      <c r="UDM156" s="250"/>
      <c r="UDN156" s="250"/>
      <c r="UDO156" s="250"/>
      <c r="UDP156" s="250"/>
      <c r="UDQ156" s="250"/>
      <c r="UDR156" s="250"/>
      <c r="UDS156" s="250"/>
      <c r="UDT156" s="250"/>
      <c r="UDU156" s="250"/>
      <c r="UDV156" s="250"/>
      <c r="UDW156" s="250"/>
      <c r="UDX156" s="250"/>
      <c r="UDY156" s="250"/>
      <c r="UDZ156" s="250"/>
      <c r="UEA156" s="250"/>
      <c r="UEB156" s="250"/>
      <c r="UEC156" s="250"/>
      <c r="UED156" s="250"/>
      <c r="UEE156" s="250"/>
      <c r="UEF156" s="250"/>
      <c r="UEG156" s="250"/>
      <c r="UEH156" s="250"/>
      <c r="UEI156" s="250"/>
      <c r="UEJ156" s="250"/>
      <c r="UEK156" s="250"/>
      <c r="UEL156" s="250"/>
      <c r="UEM156" s="250"/>
      <c r="UEN156" s="250"/>
      <c r="UEO156" s="250"/>
      <c r="UEP156" s="250"/>
      <c r="UEQ156" s="250"/>
      <c r="UER156" s="250"/>
      <c r="UES156" s="250"/>
      <c r="UET156" s="250"/>
      <c r="UEU156" s="250"/>
      <c r="UEV156" s="250"/>
      <c r="UEW156" s="250"/>
      <c r="UEX156" s="250"/>
      <c r="UEY156" s="250"/>
      <c r="UEZ156" s="250"/>
      <c r="UFA156" s="250"/>
      <c r="UFB156" s="250"/>
      <c r="UFC156" s="250"/>
      <c r="UFD156" s="250"/>
      <c r="UFE156" s="250"/>
      <c r="UFF156" s="250"/>
      <c r="UFG156" s="250"/>
      <c r="UFH156" s="250"/>
      <c r="UFI156" s="250"/>
      <c r="UFJ156" s="250"/>
      <c r="UFK156" s="250"/>
      <c r="UFL156" s="250"/>
      <c r="UFM156" s="250"/>
      <c r="UFN156" s="250"/>
      <c r="UFO156" s="250"/>
      <c r="UFP156" s="250"/>
      <c r="UFQ156" s="250"/>
      <c r="UFR156" s="250"/>
      <c r="UFS156" s="250"/>
      <c r="UFT156" s="250"/>
      <c r="UFU156" s="250"/>
      <c r="UFV156" s="250"/>
      <c r="UFW156" s="250"/>
      <c r="UFX156" s="250"/>
      <c r="UFY156" s="250"/>
      <c r="UFZ156" s="250"/>
      <c r="UGA156" s="250"/>
      <c r="UGB156" s="250"/>
      <c r="UGC156" s="250"/>
      <c r="UGD156" s="250"/>
      <c r="UGE156" s="250"/>
      <c r="UGF156" s="250"/>
      <c r="UGG156" s="250"/>
      <c r="UGH156" s="250"/>
      <c r="UGI156" s="250"/>
      <c r="UGJ156" s="250"/>
      <c r="UGK156" s="250"/>
      <c r="UGL156" s="250"/>
      <c r="UGM156" s="250"/>
      <c r="UGN156" s="250"/>
      <c r="UGO156" s="250"/>
      <c r="UGP156" s="250"/>
      <c r="UGQ156" s="250"/>
      <c r="UGR156" s="250"/>
      <c r="UGS156" s="250"/>
      <c r="UGT156" s="250"/>
      <c r="UGU156" s="250"/>
      <c r="UGV156" s="250"/>
      <c r="UGW156" s="250"/>
      <c r="UGX156" s="250"/>
      <c r="UGY156" s="250"/>
      <c r="UGZ156" s="250"/>
      <c r="UHA156" s="250"/>
      <c r="UHB156" s="250"/>
      <c r="UHC156" s="250"/>
      <c r="UHD156" s="250"/>
      <c r="UHE156" s="250"/>
      <c r="UHF156" s="250"/>
      <c r="UHG156" s="250"/>
      <c r="UHH156" s="250"/>
      <c r="UHI156" s="250"/>
      <c r="UHJ156" s="250"/>
      <c r="UHK156" s="250"/>
      <c r="UHL156" s="250"/>
      <c r="UHM156" s="250"/>
      <c r="UHN156" s="250"/>
      <c r="UHO156" s="250"/>
      <c r="UHP156" s="250"/>
      <c r="UHQ156" s="250"/>
      <c r="UHR156" s="250"/>
      <c r="UHS156" s="250"/>
      <c r="UHT156" s="250"/>
      <c r="UHU156" s="250"/>
      <c r="UHV156" s="250"/>
      <c r="UHW156" s="250"/>
      <c r="UHX156" s="250"/>
      <c r="UHY156" s="250"/>
      <c r="UHZ156" s="250"/>
      <c r="UIA156" s="250"/>
      <c r="UIB156" s="250"/>
      <c r="UIC156" s="250"/>
      <c r="UID156" s="250"/>
      <c r="UIE156" s="250"/>
      <c r="UIF156" s="250"/>
      <c r="UIG156" s="250"/>
      <c r="UIH156" s="250"/>
      <c r="UII156" s="250"/>
      <c r="UIJ156" s="250"/>
      <c r="UIK156" s="250"/>
      <c r="UIL156" s="250"/>
      <c r="UIM156" s="250"/>
      <c r="UIN156" s="250"/>
      <c r="UIO156" s="250"/>
      <c r="UIP156" s="250"/>
      <c r="UIQ156" s="250"/>
      <c r="UIR156" s="250"/>
      <c r="UIS156" s="250"/>
      <c r="UIT156" s="250"/>
      <c r="UIU156" s="250"/>
      <c r="UIV156" s="250"/>
      <c r="UIW156" s="250"/>
      <c r="UIX156" s="250"/>
      <c r="UIY156" s="250"/>
      <c r="UIZ156" s="250"/>
      <c r="UJA156" s="250"/>
      <c r="UJB156" s="250"/>
      <c r="UJC156" s="250"/>
      <c r="UJD156" s="250"/>
      <c r="UJE156" s="250"/>
      <c r="UJF156" s="250"/>
      <c r="UJG156" s="250"/>
      <c r="UJH156" s="250"/>
      <c r="UJI156" s="250"/>
      <c r="UJJ156" s="250"/>
      <c r="UJK156" s="250"/>
      <c r="UJL156" s="250"/>
      <c r="UJM156" s="250"/>
      <c r="UJN156" s="250"/>
      <c r="UJO156" s="250"/>
      <c r="UJP156" s="250"/>
      <c r="UJQ156" s="250"/>
      <c r="UJR156" s="250"/>
      <c r="UJS156" s="250"/>
      <c r="UJT156" s="250"/>
      <c r="UJU156" s="250"/>
      <c r="UJV156" s="250"/>
      <c r="UJW156" s="250"/>
      <c r="UJX156" s="250"/>
      <c r="UJY156" s="250"/>
      <c r="UJZ156" s="250"/>
      <c r="UKA156" s="250"/>
      <c r="UKB156" s="250"/>
      <c r="UKC156" s="250"/>
      <c r="UKD156" s="250"/>
      <c r="UKE156" s="250"/>
      <c r="UKF156" s="250"/>
      <c r="UKG156" s="250"/>
      <c r="UKH156" s="250"/>
      <c r="UKI156" s="250"/>
      <c r="UKJ156" s="250"/>
      <c r="UKK156" s="250"/>
      <c r="UKL156" s="250"/>
      <c r="UKM156" s="250"/>
      <c r="UKN156" s="250"/>
      <c r="UKO156" s="250"/>
      <c r="UKP156" s="250"/>
      <c r="UKQ156" s="250"/>
      <c r="UKR156" s="250"/>
      <c r="UKS156" s="250"/>
      <c r="UKT156" s="250"/>
      <c r="UKU156" s="250"/>
      <c r="UKV156" s="250"/>
      <c r="UKW156" s="250"/>
      <c r="UKX156" s="250"/>
      <c r="UKY156" s="250"/>
      <c r="UKZ156" s="250"/>
      <c r="ULA156" s="250"/>
      <c r="ULB156" s="250"/>
      <c r="ULC156" s="250"/>
      <c r="ULD156" s="250"/>
      <c r="ULE156" s="250"/>
      <c r="ULF156" s="250"/>
      <c r="ULG156" s="250"/>
      <c r="ULH156" s="250"/>
      <c r="ULI156" s="250"/>
      <c r="ULJ156" s="250"/>
      <c r="ULK156" s="250"/>
      <c r="ULL156" s="250"/>
      <c r="ULM156" s="250"/>
      <c r="ULN156" s="250"/>
      <c r="ULO156" s="250"/>
      <c r="ULP156" s="250"/>
      <c r="ULQ156" s="250"/>
      <c r="ULR156" s="250"/>
      <c r="ULS156" s="250"/>
      <c r="ULT156" s="250"/>
      <c r="ULU156" s="250"/>
      <c r="ULV156" s="250"/>
      <c r="ULW156" s="250"/>
      <c r="ULX156" s="250"/>
      <c r="ULY156" s="250"/>
      <c r="ULZ156" s="250"/>
      <c r="UMA156" s="250"/>
      <c r="UMB156" s="250"/>
      <c r="UMC156" s="250"/>
      <c r="UMD156" s="250"/>
      <c r="UME156" s="250"/>
      <c r="UMF156" s="250"/>
      <c r="UMG156" s="250"/>
      <c r="UMH156" s="250"/>
      <c r="UMI156" s="250"/>
      <c r="UMJ156" s="250"/>
      <c r="UMK156" s="250"/>
      <c r="UML156" s="250"/>
      <c r="UMM156" s="250"/>
      <c r="UMN156" s="250"/>
      <c r="UMO156" s="250"/>
      <c r="UMP156" s="250"/>
      <c r="UMQ156" s="250"/>
      <c r="UMR156" s="250"/>
      <c r="UMS156" s="250"/>
      <c r="UMT156" s="250"/>
      <c r="UMU156" s="250"/>
      <c r="UMV156" s="250"/>
      <c r="UMW156" s="250"/>
      <c r="UMX156" s="250"/>
      <c r="UMY156" s="250"/>
      <c r="UMZ156" s="250"/>
      <c r="UNA156" s="250"/>
      <c r="UNB156" s="250"/>
      <c r="UNC156" s="250"/>
      <c r="UND156" s="250"/>
      <c r="UNE156" s="250"/>
      <c r="UNF156" s="250"/>
      <c r="UNG156" s="250"/>
      <c r="UNH156" s="250"/>
      <c r="UNI156" s="250"/>
      <c r="UNJ156" s="250"/>
      <c r="UNK156" s="250"/>
      <c r="UNL156" s="250"/>
      <c r="UNM156" s="250"/>
      <c r="UNN156" s="250"/>
      <c r="UNO156" s="250"/>
      <c r="UNP156" s="250"/>
      <c r="UNQ156" s="250"/>
      <c r="UNR156" s="250"/>
      <c r="UNS156" s="250"/>
      <c r="UNT156" s="250"/>
      <c r="UNU156" s="250"/>
      <c r="UNV156" s="250"/>
      <c r="UNW156" s="250"/>
      <c r="UNX156" s="250"/>
      <c r="UNY156" s="250"/>
      <c r="UNZ156" s="250"/>
      <c r="UOA156" s="250"/>
      <c r="UOB156" s="250"/>
      <c r="UOC156" s="250"/>
      <c r="UOD156" s="250"/>
      <c r="UOE156" s="250"/>
      <c r="UOF156" s="250"/>
      <c r="UOG156" s="250"/>
      <c r="UOH156" s="250"/>
      <c r="UOI156" s="250"/>
      <c r="UOJ156" s="250"/>
      <c r="UOK156" s="250"/>
      <c r="UOL156" s="250"/>
      <c r="UOM156" s="250"/>
      <c r="UON156" s="250"/>
      <c r="UOO156" s="250"/>
      <c r="UOP156" s="250"/>
      <c r="UOQ156" s="250"/>
      <c r="UOR156" s="250"/>
      <c r="UOS156" s="250"/>
      <c r="UOT156" s="250"/>
      <c r="UOU156" s="250"/>
      <c r="UOV156" s="250"/>
      <c r="UOW156" s="250"/>
      <c r="UOX156" s="250"/>
      <c r="UOY156" s="250"/>
      <c r="UOZ156" s="250"/>
      <c r="UPA156" s="250"/>
      <c r="UPB156" s="250"/>
      <c r="UPC156" s="250"/>
      <c r="UPD156" s="250"/>
      <c r="UPE156" s="250"/>
      <c r="UPF156" s="250"/>
      <c r="UPG156" s="250"/>
      <c r="UPH156" s="250"/>
      <c r="UPI156" s="250"/>
      <c r="UPJ156" s="250"/>
      <c r="UPK156" s="250"/>
      <c r="UPL156" s="250"/>
      <c r="UPM156" s="250"/>
      <c r="UPN156" s="250"/>
      <c r="UPO156" s="250"/>
      <c r="UPP156" s="250"/>
      <c r="UPQ156" s="250"/>
      <c r="UPR156" s="250"/>
      <c r="UPS156" s="250"/>
      <c r="UPT156" s="250"/>
      <c r="UPU156" s="250"/>
      <c r="UPV156" s="250"/>
      <c r="UPW156" s="250"/>
      <c r="UPX156" s="250"/>
      <c r="UPY156" s="250"/>
      <c r="UPZ156" s="250"/>
      <c r="UQA156" s="250"/>
      <c r="UQB156" s="250"/>
      <c r="UQC156" s="250"/>
      <c r="UQD156" s="250"/>
      <c r="UQE156" s="250"/>
      <c r="UQF156" s="250"/>
      <c r="UQG156" s="250"/>
      <c r="UQH156" s="250"/>
      <c r="UQI156" s="250"/>
      <c r="UQJ156" s="250"/>
      <c r="UQK156" s="250"/>
      <c r="UQL156" s="250"/>
      <c r="UQM156" s="250"/>
      <c r="UQN156" s="250"/>
      <c r="UQO156" s="250"/>
      <c r="UQP156" s="250"/>
      <c r="UQQ156" s="250"/>
      <c r="UQR156" s="250"/>
      <c r="UQS156" s="250"/>
      <c r="UQT156" s="250"/>
      <c r="UQU156" s="250"/>
      <c r="UQV156" s="250"/>
      <c r="UQW156" s="250"/>
      <c r="UQX156" s="250"/>
      <c r="UQY156" s="250"/>
      <c r="UQZ156" s="250"/>
      <c r="URA156" s="250"/>
      <c r="URB156" s="250"/>
      <c r="URC156" s="250"/>
      <c r="URD156" s="250"/>
      <c r="URE156" s="250"/>
      <c r="URF156" s="250"/>
      <c r="URG156" s="250"/>
      <c r="URH156" s="250"/>
      <c r="URI156" s="250"/>
      <c r="URJ156" s="250"/>
      <c r="URK156" s="250"/>
      <c r="URL156" s="250"/>
      <c r="URM156" s="250"/>
      <c r="URN156" s="250"/>
      <c r="URO156" s="250"/>
      <c r="URP156" s="250"/>
      <c r="URQ156" s="250"/>
      <c r="URR156" s="250"/>
      <c r="URS156" s="250"/>
      <c r="URT156" s="250"/>
      <c r="URU156" s="250"/>
      <c r="URV156" s="250"/>
      <c r="URW156" s="250"/>
      <c r="URX156" s="250"/>
      <c r="URY156" s="250"/>
      <c r="URZ156" s="250"/>
      <c r="USA156" s="250"/>
      <c r="USB156" s="250"/>
      <c r="USC156" s="250"/>
      <c r="USD156" s="250"/>
      <c r="USE156" s="250"/>
      <c r="USF156" s="250"/>
      <c r="USG156" s="250"/>
      <c r="USH156" s="250"/>
      <c r="USI156" s="250"/>
      <c r="USJ156" s="250"/>
      <c r="USK156" s="250"/>
      <c r="USL156" s="250"/>
      <c r="USM156" s="250"/>
      <c r="USN156" s="250"/>
      <c r="USO156" s="250"/>
      <c r="USP156" s="250"/>
      <c r="USQ156" s="250"/>
      <c r="USR156" s="250"/>
      <c r="USS156" s="250"/>
      <c r="UST156" s="250"/>
      <c r="USU156" s="250"/>
      <c r="USV156" s="250"/>
      <c r="USW156" s="250"/>
      <c r="USX156" s="250"/>
      <c r="USY156" s="250"/>
      <c r="USZ156" s="250"/>
      <c r="UTA156" s="250"/>
      <c r="UTB156" s="250"/>
      <c r="UTC156" s="250"/>
      <c r="UTD156" s="250"/>
      <c r="UTE156" s="250"/>
      <c r="UTF156" s="250"/>
      <c r="UTG156" s="250"/>
      <c r="UTH156" s="250"/>
      <c r="UTI156" s="250"/>
      <c r="UTJ156" s="250"/>
      <c r="UTK156" s="250"/>
      <c r="UTL156" s="250"/>
      <c r="UTM156" s="250"/>
      <c r="UTN156" s="250"/>
      <c r="UTO156" s="250"/>
      <c r="UTP156" s="250"/>
      <c r="UTQ156" s="250"/>
      <c r="UTR156" s="250"/>
      <c r="UTS156" s="250"/>
      <c r="UTT156" s="250"/>
      <c r="UTU156" s="250"/>
      <c r="UTV156" s="250"/>
      <c r="UTW156" s="250"/>
      <c r="UTX156" s="250"/>
      <c r="UTY156" s="250"/>
      <c r="UTZ156" s="250"/>
      <c r="UUA156" s="250"/>
      <c r="UUB156" s="250"/>
      <c r="UUC156" s="250"/>
      <c r="UUD156" s="250"/>
      <c r="UUE156" s="250"/>
      <c r="UUF156" s="250"/>
      <c r="UUG156" s="250"/>
      <c r="UUH156" s="250"/>
      <c r="UUI156" s="250"/>
      <c r="UUJ156" s="250"/>
      <c r="UUK156" s="250"/>
      <c r="UUL156" s="250"/>
      <c r="UUM156" s="250"/>
      <c r="UUN156" s="250"/>
      <c r="UUO156" s="250"/>
      <c r="UUP156" s="250"/>
      <c r="UUQ156" s="250"/>
      <c r="UUR156" s="250"/>
      <c r="UUS156" s="250"/>
      <c r="UUT156" s="250"/>
      <c r="UUU156" s="250"/>
      <c r="UUV156" s="250"/>
      <c r="UUW156" s="250"/>
      <c r="UUX156" s="250"/>
      <c r="UUY156" s="250"/>
      <c r="UUZ156" s="250"/>
      <c r="UVA156" s="250"/>
      <c r="UVB156" s="250"/>
      <c r="UVC156" s="250"/>
      <c r="UVD156" s="250"/>
      <c r="UVE156" s="250"/>
      <c r="UVF156" s="250"/>
      <c r="UVG156" s="250"/>
      <c r="UVH156" s="250"/>
      <c r="UVI156" s="250"/>
      <c r="UVJ156" s="250"/>
      <c r="UVK156" s="250"/>
      <c r="UVL156" s="250"/>
      <c r="UVM156" s="250"/>
      <c r="UVN156" s="250"/>
      <c r="UVO156" s="250"/>
      <c r="UVP156" s="250"/>
      <c r="UVQ156" s="250"/>
      <c r="UVR156" s="250"/>
      <c r="UVS156" s="250"/>
      <c r="UVT156" s="250"/>
      <c r="UVU156" s="250"/>
      <c r="UVV156" s="250"/>
      <c r="UVW156" s="250"/>
      <c r="UVX156" s="250"/>
      <c r="UVY156" s="250"/>
      <c r="UVZ156" s="250"/>
      <c r="UWA156" s="250"/>
      <c r="UWB156" s="250"/>
      <c r="UWC156" s="250"/>
      <c r="UWD156" s="250"/>
      <c r="UWE156" s="250"/>
      <c r="UWF156" s="250"/>
      <c r="UWG156" s="250"/>
      <c r="UWH156" s="250"/>
      <c r="UWI156" s="250"/>
      <c r="UWJ156" s="250"/>
      <c r="UWK156" s="250"/>
      <c r="UWL156" s="250"/>
      <c r="UWM156" s="250"/>
      <c r="UWN156" s="250"/>
      <c r="UWO156" s="250"/>
      <c r="UWP156" s="250"/>
      <c r="UWQ156" s="250"/>
      <c r="UWR156" s="250"/>
      <c r="UWS156" s="250"/>
      <c r="UWT156" s="250"/>
      <c r="UWU156" s="250"/>
      <c r="UWV156" s="250"/>
      <c r="UWW156" s="250"/>
      <c r="UWX156" s="250"/>
      <c r="UWY156" s="250"/>
      <c r="UWZ156" s="250"/>
      <c r="UXA156" s="250"/>
      <c r="UXB156" s="250"/>
      <c r="UXC156" s="250"/>
      <c r="UXD156" s="250"/>
      <c r="UXE156" s="250"/>
      <c r="UXF156" s="250"/>
      <c r="UXG156" s="250"/>
      <c r="UXH156" s="250"/>
      <c r="UXI156" s="250"/>
      <c r="UXJ156" s="250"/>
      <c r="UXK156" s="250"/>
      <c r="UXL156" s="250"/>
      <c r="UXM156" s="250"/>
      <c r="UXN156" s="250"/>
      <c r="UXO156" s="250"/>
      <c r="UXP156" s="250"/>
      <c r="UXQ156" s="250"/>
      <c r="UXR156" s="250"/>
      <c r="UXS156" s="250"/>
      <c r="UXT156" s="250"/>
      <c r="UXU156" s="250"/>
      <c r="UXV156" s="250"/>
      <c r="UXW156" s="250"/>
      <c r="UXX156" s="250"/>
      <c r="UXY156" s="250"/>
      <c r="UXZ156" s="250"/>
      <c r="UYA156" s="250"/>
      <c r="UYB156" s="250"/>
      <c r="UYC156" s="250"/>
      <c r="UYD156" s="250"/>
      <c r="UYE156" s="250"/>
      <c r="UYF156" s="250"/>
      <c r="UYG156" s="250"/>
      <c r="UYH156" s="250"/>
      <c r="UYI156" s="250"/>
      <c r="UYJ156" s="250"/>
      <c r="UYK156" s="250"/>
      <c r="UYL156" s="250"/>
      <c r="UYM156" s="250"/>
      <c r="UYN156" s="250"/>
      <c r="UYO156" s="250"/>
      <c r="UYP156" s="250"/>
      <c r="UYQ156" s="250"/>
      <c r="UYR156" s="250"/>
      <c r="UYS156" s="250"/>
      <c r="UYT156" s="250"/>
      <c r="UYU156" s="250"/>
      <c r="UYV156" s="250"/>
      <c r="UYW156" s="250"/>
      <c r="UYX156" s="250"/>
      <c r="UYY156" s="250"/>
      <c r="UYZ156" s="250"/>
      <c r="UZA156" s="250"/>
      <c r="UZB156" s="250"/>
      <c r="UZC156" s="250"/>
      <c r="UZD156" s="250"/>
      <c r="UZE156" s="250"/>
      <c r="UZF156" s="250"/>
      <c r="UZG156" s="250"/>
      <c r="UZH156" s="250"/>
      <c r="UZI156" s="250"/>
      <c r="UZJ156" s="250"/>
      <c r="UZK156" s="250"/>
      <c r="UZL156" s="250"/>
      <c r="UZM156" s="250"/>
      <c r="UZN156" s="250"/>
      <c r="UZO156" s="250"/>
      <c r="UZP156" s="250"/>
      <c r="UZQ156" s="250"/>
      <c r="UZR156" s="250"/>
      <c r="UZS156" s="250"/>
      <c r="UZT156" s="250"/>
      <c r="UZU156" s="250"/>
      <c r="UZV156" s="250"/>
      <c r="UZW156" s="250"/>
      <c r="UZX156" s="250"/>
      <c r="UZY156" s="250"/>
      <c r="UZZ156" s="250"/>
      <c r="VAA156" s="250"/>
      <c r="VAB156" s="250"/>
      <c r="VAC156" s="250"/>
      <c r="VAD156" s="250"/>
      <c r="VAE156" s="250"/>
      <c r="VAF156" s="250"/>
      <c r="VAG156" s="250"/>
      <c r="VAH156" s="250"/>
      <c r="VAI156" s="250"/>
      <c r="VAJ156" s="250"/>
      <c r="VAK156" s="250"/>
      <c r="VAL156" s="250"/>
      <c r="VAM156" s="250"/>
      <c r="VAN156" s="250"/>
      <c r="VAO156" s="250"/>
      <c r="VAP156" s="250"/>
      <c r="VAQ156" s="250"/>
      <c r="VAR156" s="250"/>
      <c r="VAS156" s="250"/>
      <c r="VAT156" s="250"/>
      <c r="VAU156" s="250"/>
      <c r="VAV156" s="250"/>
      <c r="VAW156" s="250"/>
      <c r="VAX156" s="250"/>
      <c r="VAY156" s="250"/>
      <c r="VAZ156" s="250"/>
      <c r="VBA156" s="250"/>
      <c r="VBB156" s="250"/>
      <c r="VBC156" s="250"/>
      <c r="VBD156" s="250"/>
      <c r="VBE156" s="250"/>
      <c r="VBF156" s="250"/>
      <c r="VBG156" s="250"/>
      <c r="VBH156" s="250"/>
      <c r="VBI156" s="250"/>
      <c r="VBJ156" s="250"/>
      <c r="VBK156" s="250"/>
      <c r="VBL156" s="250"/>
      <c r="VBM156" s="250"/>
      <c r="VBN156" s="250"/>
      <c r="VBO156" s="250"/>
      <c r="VBP156" s="250"/>
      <c r="VBQ156" s="250"/>
      <c r="VBR156" s="250"/>
      <c r="VBS156" s="250"/>
      <c r="VBT156" s="250"/>
      <c r="VBU156" s="250"/>
      <c r="VBV156" s="250"/>
      <c r="VBW156" s="250"/>
      <c r="VBX156" s="250"/>
      <c r="VBY156" s="250"/>
      <c r="VBZ156" s="250"/>
      <c r="VCA156" s="250"/>
      <c r="VCB156" s="250"/>
      <c r="VCC156" s="250"/>
      <c r="VCD156" s="250"/>
      <c r="VCE156" s="250"/>
      <c r="VCF156" s="250"/>
      <c r="VCG156" s="250"/>
      <c r="VCH156" s="250"/>
      <c r="VCI156" s="250"/>
      <c r="VCJ156" s="250"/>
      <c r="VCK156" s="250"/>
      <c r="VCL156" s="250"/>
      <c r="VCM156" s="250"/>
      <c r="VCN156" s="250"/>
      <c r="VCO156" s="250"/>
      <c r="VCP156" s="250"/>
      <c r="VCQ156" s="250"/>
      <c r="VCR156" s="250"/>
      <c r="VCS156" s="250"/>
      <c r="VCT156" s="250"/>
      <c r="VCU156" s="250"/>
      <c r="VCV156" s="250"/>
      <c r="VCW156" s="250"/>
      <c r="VCX156" s="250"/>
      <c r="VCY156" s="250"/>
      <c r="VCZ156" s="250"/>
      <c r="VDA156" s="250"/>
      <c r="VDB156" s="250"/>
      <c r="VDC156" s="250"/>
      <c r="VDD156" s="250"/>
      <c r="VDE156" s="250"/>
      <c r="VDF156" s="250"/>
      <c r="VDG156" s="250"/>
      <c r="VDH156" s="250"/>
      <c r="VDI156" s="250"/>
      <c r="VDJ156" s="250"/>
      <c r="VDK156" s="250"/>
      <c r="VDL156" s="250"/>
      <c r="VDM156" s="250"/>
      <c r="VDN156" s="250"/>
      <c r="VDO156" s="250"/>
      <c r="VDP156" s="250"/>
      <c r="VDQ156" s="250"/>
      <c r="VDR156" s="250"/>
      <c r="VDS156" s="250"/>
      <c r="VDT156" s="250"/>
      <c r="VDU156" s="250"/>
      <c r="VDV156" s="250"/>
      <c r="VDW156" s="250"/>
      <c r="VDX156" s="250"/>
      <c r="VDY156" s="250"/>
      <c r="VDZ156" s="250"/>
      <c r="VEA156" s="250"/>
      <c r="VEB156" s="250"/>
      <c r="VEC156" s="250"/>
      <c r="VED156" s="250"/>
      <c r="VEE156" s="250"/>
      <c r="VEF156" s="250"/>
      <c r="VEG156" s="250"/>
      <c r="VEH156" s="250"/>
      <c r="VEI156" s="250"/>
      <c r="VEJ156" s="250"/>
      <c r="VEK156" s="250"/>
      <c r="VEL156" s="250"/>
      <c r="VEM156" s="250"/>
      <c r="VEN156" s="250"/>
      <c r="VEO156" s="250"/>
      <c r="VEP156" s="250"/>
      <c r="VEQ156" s="250"/>
      <c r="VER156" s="250"/>
      <c r="VES156" s="250"/>
      <c r="VET156" s="250"/>
      <c r="VEU156" s="250"/>
      <c r="VEV156" s="250"/>
      <c r="VEW156" s="250"/>
      <c r="VEX156" s="250"/>
      <c r="VEY156" s="250"/>
      <c r="VEZ156" s="250"/>
      <c r="VFA156" s="250"/>
      <c r="VFB156" s="250"/>
      <c r="VFC156" s="250"/>
      <c r="VFD156" s="250"/>
      <c r="VFE156" s="250"/>
      <c r="VFF156" s="250"/>
      <c r="VFG156" s="250"/>
      <c r="VFH156" s="250"/>
      <c r="VFI156" s="250"/>
      <c r="VFJ156" s="250"/>
      <c r="VFK156" s="250"/>
      <c r="VFL156" s="250"/>
      <c r="VFM156" s="250"/>
      <c r="VFN156" s="250"/>
      <c r="VFO156" s="250"/>
      <c r="VFP156" s="250"/>
      <c r="VFQ156" s="250"/>
      <c r="VFR156" s="250"/>
      <c r="VFS156" s="250"/>
      <c r="VFT156" s="250"/>
      <c r="VFU156" s="250"/>
      <c r="VFV156" s="250"/>
      <c r="VFW156" s="250"/>
      <c r="VFX156" s="250"/>
      <c r="VFY156" s="250"/>
      <c r="VFZ156" s="250"/>
      <c r="VGA156" s="250"/>
      <c r="VGB156" s="250"/>
      <c r="VGC156" s="250"/>
      <c r="VGD156" s="250"/>
      <c r="VGE156" s="250"/>
      <c r="VGF156" s="250"/>
      <c r="VGG156" s="250"/>
      <c r="VGH156" s="250"/>
      <c r="VGI156" s="250"/>
      <c r="VGJ156" s="250"/>
      <c r="VGK156" s="250"/>
      <c r="VGL156" s="250"/>
      <c r="VGM156" s="250"/>
      <c r="VGN156" s="250"/>
      <c r="VGO156" s="250"/>
      <c r="VGP156" s="250"/>
      <c r="VGQ156" s="250"/>
      <c r="VGR156" s="250"/>
      <c r="VGS156" s="250"/>
      <c r="VGT156" s="250"/>
      <c r="VGU156" s="250"/>
      <c r="VGV156" s="250"/>
      <c r="VGW156" s="250"/>
      <c r="VGX156" s="250"/>
      <c r="VGY156" s="250"/>
      <c r="VGZ156" s="250"/>
      <c r="VHA156" s="250"/>
      <c r="VHB156" s="250"/>
      <c r="VHC156" s="250"/>
      <c r="VHD156" s="250"/>
      <c r="VHE156" s="250"/>
      <c r="VHF156" s="250"/>
      <c r="VHG156" s="250"/>
      <c r="VHH156" s="250"/>
      <c r="VHI156" s="250"/>
      <c r="VHJ156" s="250"/>
      <c r="VHK156" s="250"/>
      <c r="VHL156" s="250"/>
      <c r="VHM156" s="250"/>
      <c r="VHN156" s="250"/>
      <c r="VHO156" s="250"/>
      <c r="VHP156" s="250"/>
      <c r="VHQ156" s="250"/>
      <c r="VHR156" s="250"/>
      <c r="VHS156" s="250"/>
      <c r="VHT156" s="250"/>
      <c r="VHU156" s="250"/>
      <c r="VHV156" s="250"/>
      <c r="VHW156" s="250"/>
      <c r="VHX156" s="250"/>
      <c r="VHY156" s="250"/>
      <c r="VHZ156" s="250"/>
      <c r="VIA156" s="250"/>
      <c r="VIB156" s="250"/>
      <c r="VIC156" s="250"/>
      <c r="VID156" s="250"/>
      <c r="VIE156" s="250"/>
      <c r="VIF156" s="250"/>
      <c r="VIG156" s="250"/>
      <c r="VIH156" s="250"/>
      <c r="VII156" s="250"/>
      <c r="VIJ156" s="250"/>
      <c r="VIK156" s="250"/>
      <c r="VIL156" s="250"/>
      <c r="VIM156" s="250"/>
      <c r="VIN156" s="250"/>
      <c r="VIO156" s="250"/>
      <c r="VIP156" s="250"/>
      <c r="VIQ156" s="250"/>
      <c r="VIR156" s="250"/>
      <c r="VIS156" s="250"/>
      <c r="VIT156" s="250"/>
      <c r="VIU156" s="250"/>
      <c r="VIV156" s="250"/>
      <c r="VIW156" s="250"/>
      <c r="VIX156" s="250"/>
      <c r="VIY156" s="250"/>
      <c r="VIZ156" s="250"/>
      <c r="VJA156" s="250"/>
      <c r="VJB156" s="250"/>
      <c r="VJC156" s="250"/>
      <c r="VJD156" s="250"/>
      <c r="VJE156" s="250"/>
      <c r="VJF156" s="250"/>
      <c r="VJG156" s="250"/>
      <c r="VJH156" s="250"/>
      <c r="VJI156" s="250"/>
      <c r="VJJ156" s="250"/>
      <c r="VJK156" s="250"/>
      <c r="VJL156" s="250"/>
      <c r="VJM156" s="250"/>
      <c r="VJN156" s="250"/>
      <c r="VJO156" s="250"/>
      <c r="VJP156" s="250"/>
      <c r="VJQ156" s="250"/>
      <c r="VJR156" s="250"/>
      <c r="VJS156" s="250"/>
      <c r="VJT156" s="250"/>
      <c r="VJU156" s="250"/>
      <c r="VJV156" s="250"/>
      <c r="VJW156" s="250"/>
      <c r="VJX156" s="250"/>
      <c r="VJY156" s="250"/>
      <c r="VJZ156" s="250"/>
      <c r="VKA156" s="250"/>
      <c r="VKB156" s="250"/>
      <c r="VKC156" s="250"/>
      <c r="VKD156" s="250"/>
      <c r="VKE156" s="250"/>
      <c r="VKF156" s="250"/>
      <c r="VKG156" s="250"/>
      <c r="VKH156" s="250"/>
      <c r="VKI156" s="250"/>
      <c r="VKJ156" s="250"/>
      <c r="VKK156" s="250"/>
      <c r="VKL156" s="250"/>
      <c r="VKM156" s="250"/>
      <c r="VKN156" s="250"/>
      <c r="VKO156" s="250"/>
      <c r="VKP156" s="250"/>
      <c r="VKQ156" s="250"/>
      <c r="VKR156" s="250"/>
      <c r="VKS156" s="250"/>
      <c r="VKT156" s="250"/>
      <c r="VKU156" s="250"/>
      <c r="VKV156" s="250"/>
      <c r="VKW156" s="250"/>
      <c r="VKX156" s="250"/>
      <c r="VKY156" s="250"/>
      <c r="VKZ156" s="250"/>
      <c r="VLA156" s="250"/>
      <c r="VLB156" s="250"/>
      <c r="VLC156" s="250"/>
      <c r="VLD156" s="250"/>
      <c r="VLE156" s="250"/>
      <c r="VLF156" s="250"/>
      <c r="VLG156" s="250"/>
      <c r="VLH156" s="250"/>
      <c r="VLI156" s="250"/>
      <c r="VLJ156" s="250"/>
      <c r="VLK156" s="250"/>
      <c r="VLL156" s="250"/>
      <c r="VLM156" s="250"/>
      <c r="VLN156" s="250"/>
      <c r="VLO156" s="250"/>
      <c r="VLP156" s="250"/>
      <c r="VLQ156" s="250"/>
      <c r="VLR156" s="250"/>
      <c r="VLS156" s="250"/>
      <c r="VLT156" s="250"/>
      <c r="VLU156" s="250"/>
      <c r="VLV156" s="250"/>
      <c r="VLW156" s="250"/>
      <c r="VLX156" s="250"/>
      <c r="VLY156" s="250"/>
      <c r="VLZ156" s="250"/>
      <c r="VMA156" s="250"/>
      <c r="VMB156" s="250"/>
      <c r="VMC156" s="250"/>
      <c r="VMD156" s="250"/>
      <c r="VME156" s="250"/>
      <c r="VMF156" s="250"/>
      <c r="VMG156" s="250"/>
      <c r="VMH156" s="250"/>
      <c r="VMI156" s="250"/>
      <c r="VMJ156" s="250"/>
      <c r="VMK156" s="250"/>
      <c r="VML156" s="250"/>
      <c r="VMM156" s="250"/>
      <c r="VMN156" s="250"/>
      <c r="VMO156" s="250"/>
      <c r="VMP156" s="250"/>
      <c r="VMQ156" s="250"/>
      <c r="VMR156" s="250"/>
      <c r="VMS156" s="250"/>
      <c r="VMT156" s="250"/>
      <c r="VMU156" s="250"/>
      <c r="VMV156" s="250"/>
      <c r="VMW156" s="250"/>
      <c r="VMX156" s="250"/>
      <c r="VMY156" s="250"/>
      <c r="VMZ156" s="250"/>
      <c r="VNA156" s="250"/>
      <c r="VNB156" s="250"/>
      <c r="VNC156" s="250"/>
      <c r="VND156" s="250"/>
      <c r="VNE156" s="250"/>
      <c r="VNF156" s="250"/>
      <c r="VNG156" s="250"/>
      <c r="VNH156" s="250"/>
      <c r="VNI156" s="250"/>
      <c r="VNJ156" s="250"/>
      <c r="VNK156" s="250"/>
      <c r="VNL156" s="250"/>
      <c r="VNM156" s="250"/>
      <c r="VNN156" s="250"/>
      <c r="VNO156" s="250"/>
      <c r="VNP156" s="250"/>
      <c r="VNQ156" s="250"/>
      <c r="VNR156" s="250"/>
      <c r="VNS156" s="250"/>
      <c r="VNT156" s="250"/>
      <c r="VNU156" s="250"/>
      <c r="VNV156" s="250"/>
      <c r="VNW156" s="250"/>
      <c r="VNX156" s="250"/>
      <c r="VNY156" s="250"/>
      <c r="VNZ156" s="250"/>
      <c r="VOA156" s="250"/>
      <c r="VOB156" s="250"/>
      <c r="VOC156" s="250"/>
      <c r="VOD156" s="250"/>
      <c r="VOE156" s="250"/>
      <c r="VOF156" s="250"/>
      <c r="VOG156" s="250"/>
      <c r="VOH156" s="250"/>
      <c r="VOI156" s="250"/>
      <c r="VOJ156" s="250"/>
      <c r="VOK156" s="250"/>
      <c r="VOL156" s="250"/>
      <c r="VOM156" s="250"/>
      <c r="VON156" s="250"/>
      <c r="VOO156" s="250"/>
      <c r="VOP156" s="250"/>
      <c r="VOQ156" s="250"/>
      <c r="VOR156" s="250"/>
      <c r="VOS156" s="250"/>
      <c r="VOT156" s="250"/>
      <c r="VOU156" s="250"/>
      <c r="VOV156" s="250"/>
      <c r="VOW156" s="250"/>
      <c r="VOX156" s="250"/>
      <c r="VOY156" s="250"/>
      <c r="VOZ156" s="250"/>
      <c r="VPA156" s="250"/>
      <c r="VPB156" s="250"/>
      <c r="VPC156" s="250"/>
      <c r="VPD156" s="250"/>
      <c r="VPE156" s="250"/>
      <c r="VPF156" s="250"/>
      <c r="VPG156" s="250"/>
      <c r="VPH156" s="250"/>
      <c r="VPI156" s="250"/>
      <c r="VPJ156" s="250"/>
      <c r="VPK156" s="250"/>
      <c r="VPL156" s="250"/>
      <c r="VPM156" s="250"/>
      <c r="VPN156" s="250"/>
      <c r="VPO156" s="250"/>
      <c r="VPP156" s="250"/>
      <c r="VPQ156" s="250"/>
      <c r="VPR156" s="250"/>
      <c r="VPS156" s="250"/>
      <c r="VPT156" s="250"/>
      <c r="VPU156" s="250"/>
      <c r="VPV156" s="250"/>
      <c r="VPW156" s="250"/>
      <c r="VPX156" s="250"/>
      <c r="VPY156" s="250"/>
      <c r="VPZ156" s="250"/>
      <c r="VQA156" s="250"/>
      <c r="VQB156" s="250"/>
      <c r="VQC156" s="250"/>
      <c r="VQD156" s="250"/>
      <c r="VQE156" s="250"/>
      <c r="VQF156" s="250"/>
      <c r="VQG156" s="250"/>
      <c r="VQH156" s="250"/>
      <c r="VQI156" s="250"/>
      <c r="VQJ156" s="250"/>
      <c r="VQK156" s="250"/>
      <c r="VQL156" s="250"/>
      <c r="VQM156" s="250"/>
      <c r="VQN156" s="250"/>
      <c r="VQO156" s="250"/>
      <c r="VQP156" s="250"/>
      <c r="VQQ156" s="250"/>
      <c r="VQR156" s="250"/>
      <c r="VQS156" s="250"/>
      <c r="VQT156" s="250"/>
      <c r="VQU156" s="250"/>
      <c r="VQV156" s="250"/>
      <c r="VQW156" s="250"/>
      <c r="VQX156" s="250"/>
      <c r="VQY156" s="250"/>
      <c r="VQZ156" s="250"/>
      <c r="VRA156" s="250"/>
      <c r="VRB156" s="250"/>
      <c r="VRC156" s="250"/>
      <c r="VRD156" s="250"/>
      <c r="VRE156" s="250"/>
      <c r="VRF156" s="250"/>
      <c r="VRG156" s="250"/>
      <c r="VRH156" s="250"/>
      <c r="VRI156" s="250"/>
      <c r="VRJ156" s="250"/>
      <c r="VRK156" s="250"/>
      <c r="VRL156" s="250"/>
      <c r="VRM156" s="250"/>
      <c r="VRN156" s="250"/>
      <c r="VRO156" s="250"/>
      <c r="VRP156" s="250"/>
      <c r="VRQ156" s="250"/>
      <c r="VRR156" s="250"/>
      <c r="VRS156" s="250"/>
      <c r="VRT156" s="250"/>
      <c r="VRU156" s="250"/>
      <c r="VRV156" s="250"/>
      <c r="VRW156" s="250"/>
      <c r="VRX156" s="250"/>
      <c r="VRY156" s="250"/>
      <c r="VRZ156" s="250"/>
      <c r="VSA156" s="250"/>
      <c r="VSB156" s="250"/>
      <c r="VSC156" s="250"/>
      <c r="VSD156" s="250"/>
      <c r="VSE156" s="250"/>
      <c r="VSF156" s="250"/>
      <c r="VSG156" s="250"/>
      <c r="VSH156" s="250"/>
      <c r="VSI156" s="250"/>
      <c r="VSJ156" s="250"/>
      <c r="VSK156" s="250"/>
      <c r="VSL156" s="250"/>
      <c r="VSM156" s="250"/>
      <c r="VSN156" s="250"/>
      <c r="VSO156" s="250"/>
      <c r="VSP156" s="250"/>
      <c r="VSQ156" s="250"/>
      <c r="VSR156" s="250"/>
      <c r="VSS156" s="250"/>
      <c r="VST156" s="250"/>
      <c r="VSU156" s="250"/>
      <c r="VSV156" s="250"/>
      <c r="VSW156" s="250"/>
      <c r="VSX156" s="250"/>
      <c r="VSY156" s="250"/>
      <c r="VSZ156" s="250"/>
      <c r="VTA156" s="250"/>
      <c r="VTB156" s="250"/>
      <c r="VTC156" s="250"/>
      <c r="VTD156" s="250"/>
      <c r="VTE156" s="250"/>
      <c r="VTF156" s="250"/>
      <c r="VTG156" s="250"/>
      <c r="VTH156" s="250"/>
      <c r="VTI156" s="250"/>
      <c r="VTJ156" s="250"/>
      <c r="VTK156" s="250"/>
      <c r="VTL156" s="250"/>
      <c r="VTM156" s="250"/>
      <c r="VTN156" s="250"/>
      <c r="VTO156" s="250"/>
      <c r="VTP156" s="250"/>
      <c r="VTQ156" s="250"/>
      <c r="VTR156" s="250"/>
      <c r="VTS156" s="250"/>
      <c r="VTT156" s="250"/>
      <c r="VTU156" s="250"/>
      <c r="VTV156" s="250"/>
      <c r="VTW156" s="250"/>
      <c r="VTX156" s="250"/>
      <c r="VTY156" s="250"/>
      <c r="VTZ156" s="250"/>
      <c r="VUA156" s="250"/>
      <c r="VUB156" s="250"/>
      <c r="VUC156" s="250"/>
      <c r="VUD156" s="250"/>
      <c r="VUE156" s="250"/>
      <c r="VUF156" s="250"/>
      <c r="VUG156" s="250"/>
      <c r="VUH156" s="250"/>
      <c r="VUI156" s="250"/>
      <c r="VUJ156" s="250"/>
      <c r="VUK156" s="250"/>
      <c r="VUL156" s="250"/>
      <c r="VUM156" s="250"/>
      <c r="VUN156" s="250"/>
      <c r="VUO156" s="250"/>
      <c r="VUP156" s="250"/>
      <c r="VUQ156" s="250"/>
      <c r="VUR156" s="250"/>
      <c r="VUS156" s="250"/>
      <c r="VUT156" s="250"/>
      <c r="VUU156" s="250"/>
      <c r="VUV156" s="250"/>
      <c r="VUW156" s="250"/>
      <c r="VUX156" s="250"/>
      <c r="VUY156" s="250"/>
      <c r="VUZ156" s="250"/>
      <c r="VVA156" s="250"/>
      <c r="VVB156" s="250"/>
      <c r="VVC156" s="250"/>
      <c r="VVD156" s="250"/>
      <c r="VVE156" s="250"/>
      <c r="VVF156" s="250"/>
      <c r="VVG156" s="250"/>
      <c r="VVH156" s="250"/>
      <c r="VVI156" s="250"/>
      <c r="VVJ156" s="250"/>
      <c r="VVK156" s="250"/>
      <c r="VVL156" s="250"/>
      <c r="VVM156" s="250"/>
      <c r="VVN156" s="250"/>
      <c r="VVO156" s="250"/>
      <c r="VVP156" s="250"/>
      <c r="VVQ156" s="250"/>
      <c r="VVR156" s="250"/>
      <c r="VVS156" s="250"/>
      <c r="VVT156" s="250"/>
      <c r="VVU156" s="250"/>
      <c r="VVV156" s="250"/>
      <c r="VVW156" s="250"/>
      <c r="VVX156" s="250"/>
      <c r="VVY156" s="250"/>
      <c r="VVZ156" s="250"/>
      <c r="VWA156" s="250"/>
      <c r="VWB156" s="250"/>
      <c r="VWC156" s="250"/>
      <c r="VWD156" s="250"/>
      <c r="VWE156" s="250"/>
      <c r="VWF156" s="250"/>
      <c r="VWG156" s="250"/>
      <c r="VWH156" s="250"/>
      <c r="VWI156" s="250"/>
      <c r="VWJ156" s="250"/>
      <c r="VWK156" s="250"/>
      <c r="VWL156" s="250"/>
      <c r="VWM156" s="250"/>
      <c r="VWN156" s="250"/>
      <c r="VWO156" s="250"/>
      <c r="VWP156" s="250"/>
      <c r="VWQ156" s="250"/>
      <c r="VWR156" s="250"/>
      <c r="VWS156" s="250"/>
      <c r="VWT156" s="250"/>
      <c r="VWU156" s="250"/>
      <c r="VWV156" s="250"/>
      <c r="VWW156" s="250"/>
      <c r="VWX156" s="250"/>
      <c r="VWY156" s="250"/>
      <c r="VWZ156" s="250"/>
      <c r="VXA156" s="250"/>
      <c r="VXB156" s="250"/>
      <c r="VXC156" s="250"/>
      <c r="VXD156" s="250"/>
      <c r="VXE156" s="250"/>
      <c r="VXF156" s="250"/>
      <c r="VXG156" s="250"/>
      <c r="VXH156" s="250"/>
      <c r="VXI156" s="250"/>
      <c r="VXJ156" s="250"/>
      <c r="VXK156" s="250"/>
      <c r="VXL156" s="250"/>
      <c r="VXM156" s="250"/>
      <c r="VXN156" s="250"/>
      <c r="VXO156" s="250"/>
      <c r="VXP156" s="250"/>
      <c r="VXQ156" s="250"/>
      <c r="VXR156" s="250"/>
      <c r="VXS156" s="250"/>
      <c r="VXT156" s="250"/>
      <c r="VXU156" s="250"/>
      <c r="VXV156" s="250"/>
      <c r="VXW156" s="250"/>
      <c r="VXX156" s="250"/>
      <c r="VXY156" s="250"/>
      <c r="VXZ156" s="250"/>
      <c r="VYA156" s="250"/>
      <c r="VYB156" s="250"/>
      <c r="VYC156" s="250"/>
      <c r="VYD156" s="250"/>
      <c r="VYE156" s="250"/>
      <c r="VYF156" s="250"/>
      <c r="VYG156" s="250"/>
      <c r="VYH156" s="250"/>
      <c r="VYI156" s="250"/>
      <c r="VYJ156" s="250"/>
      <c r="VYK156" s="250"/>
      <c r="VYL156" s="250"/>
      <c r="VYM156" s="250"/>
      <c r="VYN156" s="250"/>
      <c r="VYO156" s="250"/>
      <c r="VYP156" s="250"/>
      <c r="VYQ156" s="250"/>
      <c r="VYR156" s="250"/>
      <c r="VYS156" s="250"/>
      <c r="VYT156" s="250"/>
      <c r="VYU156" s="250"/>
      <c r="VYV156" s="250"/>
      <c r="VYW156" s="250"/>
      <c r="VYX156" s="250"/>
      <c r="VYY156" s="250"/>
      <c r="VYZ156" s="250"/>
      <c r="VZA156" s="250"/>
      <c r="VZB156" s="250"/>
      <c r="VZC156" s="250"/>
      <c r="VZD156" s="250"/>
      <c r="VZE156" s="250"/>
      <c r="VZF156" s="250"/>
      <c r="VZG156" s="250"/>
      <c r="VZH156" s="250"/>
      <c r="VZI156" s="250"/>
      <c r="VZJ156" s="250"/>
      <c r="VZK156" s="250"/>
      <c r="VZL156" s="250"/>
      <c r="VZM156" s="250"/>
      <c r="VZN156" s="250"/>
      <c r="VZO156" s="250"/>
      <c r="VZP156" s="250"/>
      <c r="VZQ156" s="250"/>
      <c r="VZR156" s="250"/>
      <c r="VZS156" s="250"/>
      <c r="VZT156" s="250"/>
      <c r="VZU156" s="250"/>
      <c r="VZV156" s="250"/>
      <c r="VZW156" s="250"/>
      <c r="VZX156" s="250"/>
      <c r="VZY156" s="250"/>
      <c r="VZZ156" s="250"/>
      <c r="WAA156" s="250"/>
      <c r="WAB156" s="250"/>
      <c r="WAC156" s="250"/>
      <c r="WAD156" s="250"/>
      <c r="WAE156" s="250"/>
      <c r="WAF156" s="250"/>
      <c r="WAG156" s="250"/>
      <c r="WAH156" s="250"/>
      <c r="WAI156" s="250"/>
      <c r="WAJ156" s="250"/>
      <c r="WAK156" s="250"/>
      <c r="WAL156" s="250"/>
      <c r="WAM156" s="250"/>
      <c r="WAN156" s="250"/>
      <c r="WAO156" s="250"/>
      <c r="WAP156" s="250"/>
      <c r="WAQ156" s="250"/>
      <c r="WAR156" s="250"/>
      <c r="WAS156" s="250"/>
      <c r="WAT156" s="250"/>
      <c r="WAU156" s="250"/>
      <c r="WAV156" s="250"/>
      <c r="WAW156" s="250"/>
      <c r="WAX156" s="250"/>
      <c r="WAY156" s="250"/>
      <c r="WAZ156" s="250"/>
      <c r="WBA156" s="250"/>
      <c r="WBB156" s="250"/>
      <c r="WBC156" s="250"/>
      <c r="WBD156" s="250"/>
      <c r="WBE156" s="250"/>
      <c r="WBF156" s="250"/>
      <c r="WBG156" s="250"/>
      <c r="WBH156" s="250"/>
      <c r="WBI156" s="250"/>
      <c r="WBJ156" s="250"/>
      <c r="WBK156" s="250"/>
      <c r="WBL156" s="250"/>
      <c r="WBM156" s="250"/>
      <c r="WBN156" s="250"/>
      <c r="WBO156" s="250"/>
      <c r="WBP156" s="250"/>
      <c r="WBQ156" s="250"/>
      <c r="WBR156" s="250"/>
      <c r="WBS156" s="250"/>
      <c r="WBT156" s="250"/>
      <c r="WBU156" s="250"/>
      <c r="WBV156" s="250"/>
      <c r="WBW156" s="250"/>
      <c r="WBX156" s="250"/>
      <c r="WBY156" s="250"/>
      <c r="WBZ156" s="250"/>
      <c r="WCA156" s="250"/>
      <c r="WCB156" s="250"/>
      <c r="WCC156" s="250"/>
      <c r="WCD156" s="250"/>
      <c r="WCE156" s="250"/>
      <c r="WCF156" s="250"/>
      <c r="WCG156" s="250"/>
      <c r="WCH156" s="250"/>
      <c r="WCI156" s="250"/>
      <c r="WCJ156" s="250"/>
      <c r="WCK156" s="250"/>
      <c r="WCL156" s="250"/>
      <c r="WCM156" s="250"/>
      <c r="WCN156" s="250"/>
      <c r="WCO156" s="250"/>
      <c r="WCP156" s="250"/>
      <c r="WCQ156" s="250"/>
      <c r="WCR156" s="250"/>
      <c r="WCS156" s="250"/>
      <c r="WCT156" s="250"/>
      <c r="WCU156" s="250"/>
      <c r="WCV156" s="250"/>
      <c r="WCW156" s="250"/>
      <c r="WCX156" s="250"/>
      <c r="WCY156" s="250"/>
      <c r="WCZ156" s="250"/>
      <c r="WDA156" s="250"/>
      <c r="WDB156" s="250"/>
      <c r="WDC156" s="250"/>
      <c r="WDD156" s="250"/>
      <c r="WDE156" s="250"/>
      <c r="WDF156" s="250"/>
      <c r="WDG156" s="250"/>
      <c r="WDH156" s="250"/>
      <c r="WDI156" s="250"/>
      <c r="WDJ156" s="250"/>
      <c r="WDK156" s="250"/>
      <c r="WDL156" s="250"/>
      <c r="WDM156" s="250"/>
      <c r="WDN156" s="250"/>
      <c r="WDO156" s="250"/>
      <c r="WDP156" s="250"/>
      <c r="WDQ156" s="250"/>
      <c r="WDR156" s="250"/>
      <c r="WDS156" s="250"/>
      <c r="WDT156" s="250"/>
      <c r="WDU156" s="250"/>
      <c r="WDV156" s="250"/>
      <c r="WDW156" s="250"/>
      <c r="WDX156" s="250"/>
      <c r="WDY156" s="250"/>
      <c r="WDZ156" s="250"/>
      <c r="WEA156" s="250"/>
      <c r="WEB156" s="250"/>
      <c r="WEC156" s="250"/>
      <c r="WED156" s="250"/>
      <c r="WEE156" s="250"/>
      <c r="WEF156" s="250"/>
      <c r="WEG156" s="250"/>
      <c r="WEH156" s="250"/>
      <c r="WEI156" s="250"/>
      <c r="WEJ156" s="250"/>
      <c r="WEK156" s="250"/>
      <c r="WEL156" s="250"/>
      <c r="WEM156" s="250"/>
      <c r="WEN156" s="250"/>
      <c r="WEO156" s="250"/>
      <c r="WEP156" s="250"/>
      <c r="WEQ156" s="250"/>
      <c r="WER156" s="250"/>
      <c r="WES156" s="250"/>
      <c r="WET156" s="250"/>
      <c r="WEU156" s="250"/>
      <c r="WEV156" s="250"/>
      <c r="WEW156" s="250"/>
      <c r="WEX156" s="250"/>
      <c r="WEY156" s="250"/>
      <c r="WEZ156" s="250"/>
      <c r="WFA156" s="250"/>
      <c r="WFB156" s="250"/>
      <c r="WFC156" s="250"/>
      <c r="WFD156" s="250"/>
      <c r="WFE156" s="250"/>
      <c r="WFF156" s="250"/>
      <c r="WFG156" s="250"/>
      <c r="WFH156" s="250"/>
      <c r="WFI156" s="250"/>
      <c r="WFJ156" s="250"/>
      <c r="WFK156" s="250"/>
      <c r="WFL156" s="250"/>
      <c r="WFM156" s="250"/>
      <c r="WFN156" s="250"/>
      <c r="WFO156" s="250"/>
      <c r="WFP156" s="250"/>
      <c r="WFQ156" s="250"/>
      <c r="WFR156" s="250"/>
      <c r="WFS156" s="250"/>
      <c r="WFT156" s="250"/>
      <c r="WFU156" s="250"/>
      <c r="WFV156" s="250"/>
      <c r="WFW156" s="250"/>
      <c r="WFX156" s="250"/>
      <c r="WFY156" s="250"/>
      <c r="WFZ156" s="250"/>
      <c r="WGA156" s="250"/>
      <c r="WGB156" s="250"/>
      <c r="WGC156" s="250"/>
      <c r="WGD156" s="250"/>
      <c r="WGE156" s="250"/>
      <c r="WGF156" s="250"/>
      <c r="WGG156" s="250"/>
      <c r="WGH156" s="250"/>
      <c r="WGI156" s="250"/>
      <c r="WGJ156" s="250"/>
      <c r="WGK156" s="250"/>
      <c r="WGL156" s="250"/>
      <c r="WGM156" s="250"/>
      <c r="WGN156" s="250"/>
      <c r="WGO156" s="250"/>
      <c r="WGP156" s="250"/>
      <c r="WGQ156" s="250"/>
      <c r="WGR156" s="250"/>
      <c r="WGS156" s="250"/>
      <c r="WGT156" s="250"/>
      <c r="WGU156" s="250"/>
      <c r="WGV156" s="250"/>
      <c r="WGW156" s="250"/>
      <c r="WGX156" s="250"/>
      <c r="WGY156" s="250"/>
      <c r="WGZ156" s="250"/>
      <c r="WHA156" s="250"/>
      <c r="WHB156" s="250"/>
      <c r="WHC156" s="250"/>
      <c r="WHD156" s="250"/>
      <c r="WHE156" s="250"/>
      <c r="WHF156" s="250"/>
      <c r="WHG156" s="250"/>
      <c r="WHH156" s="250"/>
      <c r="WHI156" s="250"/>
      <c r="WHJ156" s="250"/>
      <c r="WHK156" s="250"/>
      <c r="WHL156" s="250"/>
      <c r="WHM156" s="250"/>
      <c r="WHN156" s="250"/>
      <c r="WHO156" s="250"/>
      <c r="WHP156" s="250"/>
      <c r="WHQ156" s="250"/>
      <c r="WHR156" s="250"/>
      <c r="WHS156" s="250"/>
      <c r="WHT156" s="250"/>
      <c r="WHU156" s="250"/>
      <c r="WHV156" s="250"/>
      <c r="WHW156" s="250"/>
      <c r="WHX156" s="250"/>
      <c r="WHY156" s="250"/>
      <c r="WHZ156" s="250"/>
      <c r="WIA156" s="250"/>
      <c r="WIB156" s="250"/>
      <c r="WIC156" s="250"/>
      <c r="WID156" s="250"/>
      <c r="WIE156" s="250"/>
      <c r="WIF156" s="250"/>
      <c r="WIG156" s="250"/>
      <c r="WIH156" s="250"/>
      <c r="WII156" s="250"/>
      <c r="WIJ156" s="250"/>
      <c r="WIK156" s="250"/>
      <c r="WIL156" s="250"/>
      <c r="WIM156" s="250"/>
      <c r="WIN156" s="250"/>
      <c r="WIO156" s="250"/>
      <c r="WIP156" s="250"/>
      <c r="WIQ156" s="250"/>
      <c r="WIR156" s="250"/>
      <c r="WIS156" s="250"/>
      <c r="WIT156" s="250"/>
      <c r="WIU156" s="250"/>
      <c r="WIV156" s="250"/>
      <c r="WIW156" s="250"/>
      <c r="WIX156" s="250"/>
      <c r="WIY156" s="250"/>
      <c r="WIZ156" s="250"/>
      <c r="WJA156" s="250"/>
      <c r="WJB156" s="250"/>
      <c r="WJC156" s="250"/>
      <c r="WJD156" s="250"/>
      <c r="WJE156" s="250"/>
      <c r="WJF156" s="250"/>
      <c r="WJG156" s="250"/>
      <c r="WJH156" s="250"/>
      <c r="WJI156" s="250"/>
      <c r="WJJ156" s="250"/>
      <c r="WJK156" s="250"/>
      <c r="WJL156" s="250"/>
      <c r="WJM156" s="250"/>
      <c r="WJN156" s="250"/>
      <c r="WJO156" s="250"/>
      <c r="WJP156" s="250"/>
      <c r="WJQ156" s="250"/>
      <c r="WJR156" s="250"/>
      <c r="WJS156" s="250"/>
      <c r="WJT156" s="250"/>
      <c r="WJU156" s="250"/>
      <c r="WJV156" s="250"/>
      <c r="WJW156" s="250"/>
      <c r="WJX156" s="250"/>
      <c r="WJY156" s="250"/>
      <c r="WJZ156" s="250"/>
      <c r="WKA156" s="250"/>
      <c r="WKB156" s="250"/>
      <c r="WKC156" s="250"/>
      <c r="WKD156" s="250"/>
      <c r="WKE156" s="250"/>
      <c r="WKF156" s="250"/>
      <c r="WKG156" s="250"/>
      <c r="WKH156" s="250"/>
      <c r="WKI156" s="250"/>
      <c r="WKJ156" s="250"/>
      <c r="WKK156" s="250"/>
      <c r="WKL156" s="250"/>
      <c r="WKM156" s="250"/>
      <c r="WKN156" s="250"/>
      <c r="WKO156" s="250"/>
      <c r="WKP156" s="250"/>
      <c r="WKQ156" s="250"/>
      <c r="WKR156" s="250"/>
      <c r="WKS156" s="250"/>
      <c r="WKT156" s="250"/>
      <c r="WKU156" s="250"/>
      <c r="WKV156" s="250"/>
      <c r="WKW156" s="250"/>
      <c r="WKX156" s="250"/>
      <c r="WKY156" s="250"/>
      <c r="WKZ156" s="250"/>
      <c r="WLA156" s="250"/>
      <c r="WLB156" s="250"/>
      <c r="WLC156" s="250"/>
      <c r="WLD156" s="250"/>
      <c r="WLE156" s="250"/>
      <c r="WLF156" s="250"/>
      <c r="WLG156" s="250"/>
      <c r="WLH156" s="250"/>
      <c r="WLI156" s="250"/>
      <c r="WLJ156" s="250"/>
      <c r="WLK156" s="250"/>
      <c r="WLL156" s="250"/>
      <c r="WLM156" s="250"/>
      <c r="WLN156" s="250"/>
      <c r="WLO156" s="250"/>
      <c r="WLP156" s="250"/>
      <c r="WLQ156" s="250"/>
      <c r="WLR156" s="250"/>
      <c r="WLS156" s="250"/>
      <c r="WLT156" s="250"/>
      <c r="WLU156" s="250"/>
      <c r="WLV156" s="250"/>
      <c r="WLW156" s="250"/>
      <c r="WLX156" s="250"/>
      <c r="WLY156" s="250"/>
      <c r="WLZ156" s="250"/>
      <c r="WMA156" s="250"/>
      <c r="WMB156" s="250"/>
      <c r="WMC156" s="250"/>
      <c r="WMD156" s="250"/>
      <c r="WME156" s="250"/>
      <c r="WMF156" s="250"/>
      <c r="WMG156" s="250"/>
      <c r="WMH156" s="250"/>
      <c r="WMI156" s="250"/>
      <c r="WMJ156" s="250"/>
      <c r="WMK156" s="250"/>
      <c r="WML156" s="250"/>
      <c r="WMM156" s="250"/>
      <c r="WMN156" s="250"/>
      <c r="WMO156" s="250"/>
      <c r="WMP156" s="250"/>
      <c r="WMQ156" s="250"/>
      <c r="WMR156" s="250"/>
      <c r="WMS156" s="250"/>
      <c r="WMT156" s="250"/>
      <c r="WMU156" s="250"/>
      <c r="WMV156" s="250"/>
      <c r="WMW156" s="250"/>
      <c r="WMX156" s="250"/>
      <c r="WMY156" s="250"/>
      <c r="WMZ156" s="250"/>
      <c r="WNA156" s="250"/>
      <c r="WNB156" s="250"/>
      <c r="WNC156" s="250"/>
      <c r="WND156" s="250"/>
      <c r="WNE156" s="250"/>
      <c r="WNF156" s="250"/>
      <c r="WNG156" s="250"/>
      <c r="WNH156" s="250"/>
      <c r="WNI156" s="250"/>
      <c r="WNJ156" s="250"/>
      <c r="WNK156" s="250"/>
      <c r="WNL156" s="250"/>
      <c r="WNM156" s="250"/>
      <c r="WNN156" s="250"/>
      <c r="WNO156" s="250"/>
      <c r="WNP156" s="250"/>
      <c r="WNQ156" s="250"/>
      <c r="WNR156" s="250"/>
      <c r="WNS156" s="250"/>
      <c r="WNT156" s="250"/>
      <c r="WNU156" s="250"/>
      <c r="WNV156" s="250"/>
      <c r="WNW156" s="250"/>
      <c r="WNX156" s="250"/>
      <c r="WNY156" s="250"/>
      <c r="WNZ156" s="250"/>
      <c r="WOA156" s="250"/>
      <c r="WOB156" s="250"/>
      <c r="WOC156" s="250"/>
      <c r="WOD156" s="250"/>
      <c r="WOE156" s="250"/>
      <c r="WOF156" s="250"/>
      <c r="WOG156" s="250"/>
      <c r="WOH156" s="250"/>
      <c r="WOI156" s="250"/>
      <c r="WOJ156" s="250"/>
      <c r="WOK156" s="250"/>
      <c r="WOL156" s="250"/>
      <c r="WOM156" s="250"/>
      <c r="WON156" s="250"/>
      <c r="WOO156" s="250"/>
      <c r="WOP156" s="250"/>
      <c r="WOQ156" s="250"/>
      <c r="WOR156" s="250"/>
      <c r="WOS156" s="250"/>
      <c r="WOT156" s="250"/>
      <c r="WOU156" s="250"/>
      <c r="WOV156" s="250"/>
      <c r="WOW156" s="250"/>
      <c r="WOX156" s="250"/>
      <c r="WOY156" s="250"/>
      <c r="WOZ156" s="250"/>
      <c r="WPA156" s="250"/>
      <c r="WPB156" s="250"/>
      <c r="WPC156" s="250"/>
      <c r="WPD156" s="250"/>
      <c r="WPE156" s="250"/>
      <c r="WPF156" s="250"/>
      <c r="WPG156" s="250"/>
      <c r="WPH156" s="250"/>
      <c r="WPI156" s="250"/>
      <c r="WPJ156" s="250"/>
      <c r="WPK156" s="250"/>
      <c r="WPL156" s="250"/>
      <c r="WPM156" s="250"/>
      <c r="WPN156" s="250"/>
      <c r="WPO156" s="250"/>
      <c r="WPP156" s="250"/>
      <c r="WPQ156" s="250"/>
      <c r="WPR156" s="250"/>
      <c r="WPS156" s="250"/>
      <c r="WPT156" s="250"/>
      <c r="WPU156" s="250"/>
      <c r="WPV156" s="250"/>
      <c r="WPW156" s="250"/>
      <c r="WPX156" s="250"/>
      <c r="WPY156" s="250"/>
      <c r="WPZ156" s="250"/>
      <c r="WQA156" s="250"/>
      <c r="WQB156" s="250"/>
      <c r="WQC156" s="250"/>
      <c r="WQD156" s="250"/>
      <c r="WQE156" s="250"/>
      <c r="WQF156" s="250"/>
      <c r="WQG156" s="250"/>
      <c r="WQH156" s="250"/>
      <c r="WQI156" s="250"/>
      <c r="WQJ156" s="250"/>
      <c r="WQK156" s="250"/>
      <c r="WQL156" s="250"/>
      <c r="WQM156" s="250"/>
      <c r="WQN156" s="250"/>
      <c r="WQO156" s="250"/>
      <c r="WQP156" s="250"/>
      <c r="WQQ156" s="250"/>
      <c r="WQR156" s="250"/>
      <c r="WQS156" s="250"/>
      <c r="WQT156" s="250"/>
      <c r="WQU156" s="250"/>
      <c r="WQV156" s="250"/>
      <c r="WQW156" s="250"/>
      <c r="WQX156" s="250"/>
      <c r="WQY156" s="250"/>
      <c r="WQZ156" s="250"/>
      <c r="WRA156" s="250"/>
      <c r="WRB156" s="250"/>
      <c r="WRC156" s="250"/>
      <c r="WRD156" s="250"/>
      <c r="WRE156" s="250"/>
      <c r="WRF156" s="250"/>
      <c r="WRG156" s="250"/>
      <c r="WRH156" s="250"/>
      <c r="WRI156" s="250"/>
      <c r="WRJ156" s="250"/>
      <c r="WRK156" s="250"/>
      <c r="WRL156" s="250"/>
      <c r="WRM156" s="250"/>
      <c r="WRN156" s="250"/>
      <c r="WRO156" s="250"/>
      <c r="WRP156" s="250"/>
      <c r="WRQ156" s="250"/>
      <c r="WRR156" s="250"/>
      <c r="WRS156" s="250"/>
      <c r="WRT156" s="250"/>
      <c r="WRU156" s="250"/>
      <c r="WRV156" s="250"/>
      <c r="WRW156" s="250"/>
      <c r="WRX156" s="250"/>
      <c r="WRY156" s="250"/>
      <c r="WRZ156" s="250"/>
      <c r="WSA156" s="250"/>
      <c r="WSB156" s="250"/>
      <c r="WSC156" s="250"/>
      <c r="WSD156" s="250"/>
      <c r="WSE156" s="250"/>
      <c r="WSF156" s="250"/>
      <c r="WSG156" s="250"/>
      <c r="WSH156" s="250"/>
      <c r="WSI156" s="250"/>
      <c r="WSJ156" s="250"/>
      <c r="WSK156" s="250"/>
      <c r="WSL156" s="250"/>
      <c r="WSM156" s="250"/>
      <c r="WSN156" s="250"/>
      <c r="WSO156" s="250"/>
      <c r="WSP156" s="250"/>
      <c r="WSQ156" s="250"/>
      <c r="WSR156" s="250"/>
      <c r="WSS156" s="250"/>
      <c r="WST156" s="250"/>
      <c r="WSU156" s="250"/>
      <c r="WSV156" s="250"/>
      <c r="WSW156" s="250"/>
      <c r="WSX156" s="250"/>
      <c r="WSY156" s="250"/>
      <c r="WSZ156" s="250"/>
      <c r="WTA156" s="250"/>
      <c r="WTB156" s="250"/>
      <c r="WTC156" s="250"/>
      <c r="WTD156" s="250"/>
      <c r="WTE156" s="250"/>
      <c r="WTF156" s="250"/>
      <c r="WTG156" s="250"/>
      <c r="WTH156" s="250"/>
      <c r="WTI156" s="250"/>
      <c r="WTJ156" s="250"/>
      <c r="WTK156" s="250"/>
      <c r="WTL156" s="250"/>
      <c r="WTM156" s="250"/>
      <c r="WTN156" s="250"/>
      <c r="WTO156" s="250"/>
      <c r="WTP156" s="250"/>
      <c r="WTQ156" s="250"/>
      <c r="WTR156" s="250"/>
      <c r="WTS156" s="250"/>
      <c r="WTT156" s="250"/>
      <c r="WTU156" s="250"/>
      <c r="WTV156" s="250"/>
      <c r="WTW156" s="250"/>
      <c r="WTX156" s="250"/>
      <c r="WTY156" s="250"/>
      <c r="WTZ156" s="250"/>
      <c r="WUA156" s="250"/>
      <c r="WUB156" s="250"/>
      <c r="WUC156" s="250"/>
      <c r="WUD156" s="250"/>
      <c r="WUE156" s="250"/>
      <c r="WUF156" s="250"/>
      <c r="WUG156" s="250"/>
      <c r="WUH156" s="250"/>
      <c r="WUI156" s="250"/>
      <c r="WUJ156" s="250"/>
      <c r="WUK156" s="250"/>
      <c r="WUL156" s="250"/>
      <c r="WUM156" s="250"/>
      <c r="WUN156" s="250"/>
      <c r="WUO156" s="250"/>
      <c r="WUP156" s="250"/>
      <c r="WUQ156" s="250"/>
      <c r="WUR156" s="250"/>
      <c r="WUS156" s="250"/>
      <c r="WUT156" s="250"/>
      <c r="WUU156" s="250"/>
      <c r="WUV156" s="250"/>
      <c r="WUW156" s="250"/>
      <c r="WUX156" s="250"/>
      <c r="WUY156" s="250"/>
      <c r="WUZ156" s="250"/>
      <c r="WVA156" s="250"/>
      <c r="WVB156" s="250"/>
      <c r="WVC156" s="250"/>
      <c r="WVD156" s="250"/>
      <c r="WVE156" s="250"/>
      <c r="WVF156" s="250"/>
      <c r="WVG156" s="250"/>
      <c r="WVH156" s="250"/>
      <c r="WVI156" s="250"/>
      <c r="WVJ156" s="250"/>
      <c r="WVK156" s="250"/>
      <c r="WVL156" s="250"/>
      <c r="WVM156" s="250"/>
      <c r="WVN156" s="250"/>
      <c r="WVO156" s="250"/>
      <c r="WVP156" s="250"/>
      <c r="WVQ156" s="250"/>
      <c r="WVR156" s="250"/>
      <c r="WVS156" s="250"/>
      <c r="WVT156" s="250"/>
      <c r="WVU156" s="250"/>
      <c r="WVV156" s="250"/>
      <c r="WVW156" s="250"/>
      <c r="WVX156" s="250"/>
      <c r="WVY156" s="250"/>
      <c r="WVZ156" s="250"/>
      <c r="WWA156" s="250"/>
      <c r="WWB156" s="250"/>
      <c r="WWC156" s="250"/>
      <c r="WWD156" s="250"/>
      <c r="WWE156" s="250"/>
      <c r="WWF156" s="250"/>
      <c r="WWG156" s="250"/>
      <c r="WWH156" s="250"/>
      <c r="WWI156" s="250"/>
      <c r="WWJ156" s="250"/>
      <c r="WWK156" s="250"/>
      <c r="WWL156" s="250"/>
      <c r="WWM156" s="250"/>
      <c r="WWN156" s="250"/>
      <c r="WWO156" s="250"/>
      <c r="WWP156" s="250"/>
      <c r="WWQ156" s="250"/>
      <c r="WWR156" s="250"/>
      <c r="WWS156" s="250"/>
      <c r="WWT156" s="250"/>
      <c r="WWU156" s="250"/>
      <c r="WWV156" s="250"/>
      <c r="WWW156" s="250"/>
      <c r="WWX156" s="250"/>
      <c r="WWY156" s="250"/>
      <c r="WWZ156" s="250"/>
      <c r="WXA156" s="250"/>
      <c r="WXB156" s="250"/>
      <c r="WXC156" s="250"/>
      <c r="WXD156" s="250"/>
      <c r="WXE156" s="250"/>
      <c r="WXF156" s="250"/>
      <c r="WXG156" s="250"/>
      <c r="WXH156" s="250"/>
      <c r="WXI156" s="250"/>
      <c r="WXJ156" s="250"/>
      <c r="WXK156" s="250"/>
      <c r="WXL156" s="250"/>
      <c r="WXM156" s="250"/>
      <c r="WXN156" s="250"/>
      <c r="WXO156" s="250"/>
      <c r="WXP156" s="250"/>
      <c r="WXQ156" s="250"/>
      <c r="WXR156" s="250"/>
      <c r="WXS156" s="250"/>
      <c r="WXT156" s="250"/>
      <c r="WXU156" s="250"/>
      <c r="WXV156" s="250"/>
      <c r="WXW156" s="250"/>
      <c r="WXX156" s="250"/>
      <c r="WXY156" s="250"/>
      <c r="WXZ156" s="250"/>
      <c r="WYA156" s="250"/>
      <c r="WYB156" s="250"/>
      <c r="WYC156" s="250"/>
      <c r="WYD156" s="250"/>
      <c r="WYE156" s="250"/>
      <c r="WYF156" s="250"/>
      <c r="WYG156" s="250"/>
      <c r="WYH156" s="250"/>
      <c r="WYI156" s="250"/>
      <c r="WYJ156" s="250"/>
      <c r="WYK156" s="250"/>
      <c r="WYL156" s="250"/>
      <c r="WYM156" s="250"/>
      <c r="WYN156" s="250"/>
      <c r="WYO156" s="250"/>
      <c r="WYP156" s="250"/>
      <c r="WYQ156" s="250"/>
      <c r="WYR156" s="250"/>
      <c r="WYS156" s="250"/>
      <c r="WYT156" s="250"/>
      <c r="WYU156" s="250"/>
      <c r="WYV156" s="250"/>
      <c r="WYW156" s="250"/>
      <c r="WYX156" s="250"/>
      <c r="WYY156" s="250"/>
      <c r="WYZ156" s="250"/>
      <c r="WZA156" s="250"/>
      <c r="WZB156" s="250"/>
      <c r="WZC156" s="250"/>
      <c r="WZD156" s="250"/>
      <c r="WZE156" s="250"/>
      <c r="WZF156" s="250"/>
      <c r="WZG156" s="250"/>
      <c r="WZH156" s="250"/>
      <c r="WZI156" s="250"/>
      <c r="WZJ156" s="250"/>
      <c r="WZK156" s="250"/>
      <c r="WZL156" s="250"/>
      <c r="WZM156" s="250"/>
      <c r="WZN156" s="250"/>
      <c r="WZO156" s="250"/>
      <c r="WZP156" s="250"/>
      <c r="WZQ156" s="250"/>
      <c r="WZR156" s="250"/>
      <c r="WZS156" s="250"/>
      <c r="WZT156" s="250"/>
      <c r="WZU156" s="250"/>
      <c r="WZV156" s="250"/>
      <c r="WZW156" s="250"/>
      <c r="WZX156" s="250"/>
      <c r="WZY156" s="250"/>
      <c r="WZZ156" s="250"/>
      <c r="XAA156" s="250"/>
      <c r="XAB156" s="250"/>
      <c r="XAC156" s="250"/>
      <c r="XAD156" s="250"/>
      <c r="XAE156" s="250"/>
      <c r="XAF156" s="250"/>
      <c r="XAG156" s="250"/>
      <c r="XAH156" s="250"/>
      <c r="XAI156" s="250"/>
      <c r="XAJ156" s="250"/>
      <c r="XAK156" s="250"/>
      <c r="XAL156" s="250"/>
      <c r="XAM156" s="250"/>
      <c r="XAN156" s="250"/>
      <c r="XAO156" s="250"/>
      <c r="XAP156" s="250"/>
      <c r="XAQ156" s="250"/>
      <c r="XAR156" s="250"/>
      <c r="XAS156" s="250"/>
      <c r="XAT156" s="250"/>
      <c r="XAU156" s="250"/>
      <c r="XAV156" s="250"/>
      <c r="XAW156" s="250"/>
      <c r="XAX156" s="250"/>
      <c r="XAY156" s="250"/>
      <c r="XAZ156" s="250"/>
      <c r="XBA156" s="250"/>
      <c r="XBB156" s="250"/>
      <c r="XBC156" s="250"/>
      <c r="XBD156" s="250"/>
      <c r="XBE156" s="250"/>
      <c r="XBF156" s="250"/>
      <c r="XBG156" s="250"/>
      <c r="XBH156" s="250"/>
      <c r="XBI156" s="250"/>
      <c r="XBJ156" s="250"/>
      <c r="XBK156" s="250"/>
      <c r="XBL156" s="250"/>
      <c r="XBM156" s="250"/>
      <c r="XBN156" s="250"/>
      <c r="XBO156" s="250"/>
      <c r="XBP156" s="250"/>
      <c r="XBQ156" s="250"/>
      <c r="XBR156" s="250"/>
      <c r="XBS156" s="250"/>
      <c r="XBT156" s="250"/>
      <c r="XBU156" s="250"/>
      <c r="XBV156" s="250"/>
      <c r="XBW156" s="250"/>
      <c r="XBX156" s="250"/>
      <c r="XBY156" s="250"/>
      <c r="XBZ156" s="250"/>
      <c r="XCA156" s="250"/>
      <c r="XCB156" s="250"/>
      <c r="XCC156" s="250"/>
      <c r="XCD156" s="250"/>
      <c r="XCE156" s="250"/>
      <c r="XCF156" s="250"/>
      <c r="XCG156" s="250"/>
      <c r="XCH156" s="250"/>
      <c r="XCI156" s="250"/>
      <c r="XCJ156" s="250"/>
      <c r="XCK156" s="250"/>
      <c r="XCL156" s="250"/>
      <c r="XCM156" s="250"/>
      <c r="XCN156" s="250"/>
      <c r="XCO156" s="250"/>
      <c r="XCP156" s="250"/>
      <c r="XCQ156" s="250"/>
      <c r="XCR156" s="250"/>
      <c r="XCS156" s="250"/>
      <c r="XCT156" s="250"/>
      <c r="XCU156" s="250"/>
      <c r="XCV156" s="250"/>
      <c r="XCW156" s="250"/>
      <c r="XCX156" s="250"/>
      <c r="XCY156" s="250"/>
      <c r="XCZ156" s="250"/>
      <c r="XDA156" s="250"/>
      <c r="XDB156" s="250"/>
      <c r="XDC156" s="250"/>
      <c r="XDD156" s="250"/>
      <c r="XDE156" s="250"/>
      <c r="XDF156" s="250"/>
      <c r="XDG156" s="250"/>
      <c r="XDH156" s="250"/>
      <c r="XDI156" s="250"/>
      <c r="XDJ156" s="250"/>
      <c r="XDK156" s="250"/>
      <c r="XDL156" s="250"/>
      <c r="XDM156" s="250"/>
      <c r="XDN156" s="250"/>
      <c r="XDO156" s="250"/>
      <c r="XDP156" s="250"/>
      <c r="XDQ156" s="250"/>
      <c r="XDR156" s="250"/>
      <c r="XDS156" s="250"/>
      <c r="XDT156" s="250"/>
      <c r="XDU156" s="250"/>
      <c r="XDV156" s="250"/>
      <c r="XDW156" s="250"/>
      <c r="XDX156" s="250"/>
      <c r="XDY156" s="250"/>
      <c r="XDZ156" s="250"/>
      <c r="XEA156" s="250"/>
      <c r="XEB156" s="250"/>
      <c r="XEC156" s="250"/>
      <c r="XED156" s="250"/>
      <c r="XEE156" s="250"/>
      <c r="XEF156" s="250"/>
      <c r="XEG156" s="250"/>
      <c r="XEH156" s="250"/>
      <c r="XEI156" s="250"/>
      <c r="XEJ156" s="250"/>
      <c r="XEK156" s="250"/>
      <c r="XEL156" s="250"/>
      <c r="XEM156" s="250"/>
      <c r="XEN156" s="250"/>
      <c r="XEO156" s="250"/>
      <c r="XEP156" s="250"/>
      <c r="XEQ156" s="250"/>
      <c r="XER156" s="250"/>
      <c r="XES156" s="250"/>
      <c r="XET156" s="250"/>
      <c r="XEU156" s="250"/>
      <c r="XEV156" s="250"/>
      <c r="XEW156" s="250"/>
      <c r="XEX156" s="250"/>
      <c r="XEY156" s="250"/>
      <c r="XEZ156" s="250"/>
      <c r="XFA156" s="250"/>
      <c r="XFB156" s="250"/>
      <c r="XFC156" s="250"/>
    </row>
    <row r="157" spans="1:16383" ht="12" customHeight="1" x14ac:dyDescent="0.2">
      <c r="A157" s="229"/>
      <c r="B157" s="250" t="s">
        <v>409</v>
      </c>
      <c r="C157" s="303" t="s">
        <v>191</v>
      </c>
      <c r="D157" s="113">
        <f>Escalators!D129</f>
        <v>6</v>
      </c>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EB157" s="250"/>
      <c r="EC157" s="250"/>
      <c r="ED157" s="250"/>
      <c r="EE157" s="250"/>
      <c r="EF157" s="250"/>
      <c r="EG157" s="250"/>
      <c r="EH157" s="250"/>
      <c r="EI157" s="250"/>
      <c r="EJ157" s="250"/>
      <c r="EK157" s="250"/>
      <c r="EL157" s="250"/>
      <c r="EM157" s="250"/>
      <c r="EN157" s="250"/>
      <c r="EO157" s="250"/>
      <c r="EP157" s="250"/>
      <c r="EQ157" s="250"/>
      <c r="ER157" s="250"/>
      <c r="ES157" s="250"/>
      <c r="ET157" s="250"/>
      <c r="EU157" s="250"/>
      <c r="EV157" s="250"/>
      <c r="EW157" s="250"/>
      <c r="EX157" s="250"/>
      <c r="EY157" s="250"/>
      <c r="EZ157" s="250"/>
      <c r="FA157" s="250"/>
      <c r="FB157" s="250"/>
      <c r="FC157" s="250"/>
      <c r="FD157" s="250"/>
      <c r="FE157" s="250"/>
      <c r="FF157" s="250"/>
      <c r="FG157" s="250"/>
      <c r="FH157" s="250"/>
      <c r="FI157" s="250"/>
      <c r="FJ157" s="250"/>
      <c r="FK157" s="250"/>
      <c r="FL157" s="250"/>
      <c r="FM157" s="250"/>
      <c r="FN157" s="250"/>
      <c r="FO157" s="250"/>
      <c r="FP157" s="250"/>
      <c r="FQ157" s="250"/>
      <c r="FR157" s="250"/>
      <c r="FS157" s="250"/>
      <c r="FT157" s="250"/>
      <c r="FU157" s="250"/>
      <c r="FV157" s="250"/>
      <c r="FW157" s="250"/>
      <c r="FX157" s="250"/>
      <c r="FY157" s="250"/>
      <c r="FZ157" s="250"/>
      <c r="GA157" s="250"/>
      <c r="GB157" s="250"/>
      <c r="GC157" s="250"/>
      <c r="GD157" s="250"/>
      <c r="GE157" s="250"/>
      <c r="GF157" s="250"/>
      <c r="GG157" s="250"/>
      <c r="GH157" s="250"/>
      <c r="GI157" s="250"/>
      <c r="GJ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HN157" s="250"/>
      <c r="HO157" s="250"/>
      <c r="HP157" s="250"/>
      <c r="HQ157" s="250"/>
      <c r="HR157" s="250"/>
      <c r="HS157" s="250"/>
      <c r="HT157" s="250"/>
      <c r="HU157" s="250"/>
      <c r="HV157" s="250"/>
      <c r="HW157" s="250"/>
      <c r="HX157" s="250"/>
      <c r="HY157" s="250"/>
      <c r="HZ157" s="250"/>
      <c r="IA157" s="250"/>
      <c r="IB157" s="250"/>
      <c r="IC157" s="250"/>
      <c r="ID157" s="250"/>
      <c r="IE157" s="250"/>
      <c r="IF157" s="250"/>
      <c r="IG157" s="250"/>
      <c r="IH157" s="250"/>
      <c r="II157" s="250"/>
      <c r="IJ157" s="250"/>
      <c r="IK157" s="250"/>
      <c r="IL157" s="250"/>
      <c r="IM157" s="250"/>
      <c r="IN157" s="250"/>
      <c r="IO157" s="250"/>
      <c r="IP157" s="250"/>
      <c r="IQ157" s="250"/>
      <c r="IR157" s="250"/>
      <c r="IS157" s="250"/>
      <c r="IT157" s="250"/>
      <c r="IU157" s="250"/>
      <c r="IV157" s="250"/>
      <c r="IW157" s="250"/>
      <c r="IX157" s="250"/>
      <c r="IY157" s="250"/>
      <c r="IZ157" s="250"/>
      <c r="JA157" s="250"/>
      <c r="JB157" s="250"/>
      <c r="JC157" s="250"/>
      <c r="JD157" s="250"/>
      <c r="JE157" s="250"/>
      <c r="JF157" s="250"/>
      <c r="JG157" s="250"/>
      <c r="JH157" s="250"/>
      <c r="JI157" s="250"/>
      <c r="JJ157" s="250"/>
      <c r="JK157" s="250"/>
      <c r="JL157" s="250"/>
      <c r="JM157" s="250"/>
      <c r="JN157" s="250"/>
      <c r="JO157" s="250"/>
      <c r="JP157" s="250"/>
      <c r="JQ157" s="250"/>
      <c r="JR157" s="250"/>
      <c r="JS157" s="250"/>
      <c r="JT157" s="250"/>
      <c r="JU157" s="250"/>
      <c r="JV157" s="250"/>
      <c r="JW157" s="250"/>
      <c r="JX157" s="250"/>
      <c r="JY157" s="250"/>
      <c r="JZ157" s="250"/>
      <c r="KA157" s="250"/>
      <c r="KB157" s="250"/>
      <c r="KC157" s="250"/>
      <c r="KD157" s="250"/>
      <c r="KE157" s="250"/>
      <c r="KF157" s="250"/>
      <c r="KG157" s="250"/>
      <c r="KH157" s="250"/>
      <c r="KI157" s="250"/>
      <c r="KJ157" s="250"/>
      <c r="KK157" s="250"/>
      <c r="KL157" s="250"/>
      <c r="KM157" s="250"/>
      <c r="KN157" s="250"/>
      <c r="KO157" s="250"/>
      <c r="KP157" s="250"/>
      <c r="KQ157" s="250"/>
      <c r="KR157" s="250"/>
      <c r="KS157" s="250"/>
      <c r="KT157" s="250"/>
      <c r="KU157" s="250"/>
      <c r="KV157" s="250"/>
      <c r="KW157" s="250"/>
      <c r="KX157" s="250"/>
      <c r="KY157" s="250"/>
      <c r="KZ157" s="250"/>
      <c r="LA157" s="250"/>
      <c r="LB157" s="250"/>
      <c r="LC157" s="250"/>
      <c r="LD157" s="250"/>
      <c r="LE157" s="250"/>
      <c r="LF157" s="250"/>
      <c r="LG157" s="250"/>
      <c r="LH157" s="250"/>
      <c r="LI157" s="250"/>
      <c r="LJ157" s="250"/>
      <c r="LK157" s="250"/>
      <c r="LL157" s="250"/>
      <c r="LM157" s="250"/>
      <c r="LN157" s="250"/>
      <c r="LO157" s="250"/>
      <c r="LP157" s="250"/>
      <c r="LQ157" s="250"/>
      <c r="LR157" s="250"/>
      <c r="LS157" s="250"/>
      <c r="LT157" s="250"/>
      <c r="LU157" s="250"/>
      <c r="LV157" s="250"/>
      <c r="LW157" s="250"/>
      <c r="LX157" s="250"/>
      <c r="LY157" s="250"/>
      <c r="LZ157" s="250"/>
      <c r="MA157" s="250"/>
      <c r="MB157" s="250"/>
      <c r="MC157" s="250"/>
      <c r="MD157" s="250"/>
      <c r="ME157" s="250"/>
      <c r="MF157" s="250"/>
      <c r="MG157" s="250"/>
      <c r="MH157" s="250"/>
      <c r="MI157" s="250"/>
      <c r="MJ157" s="250"/>
      <c r="MK157" s="250"/>
      <c r="ML157" s="250"/>
      <c r="MM157" s="250"/>
      <c r="MN157" s="250"/>
      <c r="MO157" s="250"/>
      <c r="MP157" s="250"/>
      <c r="MQ157" s="250"/>
      <c r="MR157" s="250"/>
      <c r="MS157" s="250"/>
      <c r="MT157" s="250"/>
      <c r="MU157" s="250"/>
      <c r="MV157" s="250"/>
      <c r="MW157" s="250"/>
      <c r="MX157" s="250"/>
      <c r="MY157" s="250"/>
      <c r="MZ157" s="250"/>
      <c r="NA157" s="250"/>
      <c r="NB157" s="250"/>
      <c r="NC157" s="250"/>
      <c r="ND157" s="250"/>
      <c r="NE157" s="250"/>
      <c r="NF157" s="250"/>
      <c r="NG157" s="250"/>
      <c r="NH157" s="250"/>
      <c r="NI157" s="250"/>
      <c r="NJ157" s="250"/>
      <c r="NK157" s="250"/>
      <c r="NL157" s="250"/>
      <c r="NM157" s="250"/>
      <c r="NN157" s="250"/>
      <c r="NO157" s="250"/>
      <c r="NP157" s="250"/>
      <c r="NQ157" s="250"/>
      <c r="NR157" s="250"/>
      <c r="NS157" s="250"/>
      <c r="NT157" s="250"/>
      <c r="NU157" s="250"/>
      <c r="NV157" s="250"/>
      <c r="NW157" s="250"/>
      <c r="NX157" s="250"/>
      <c r="NY157" s="250"/>
      <c r="NZ157" s="250"/>
      <c r="OA157" s="250"/>
      <c r="OB157" s="250"/>
      <c r="OC157" s="250"/>
      <c r="OD157" s="250"/>
      <c r="OE157" s="250"/>
      <c r="OF157" s="250"/>
      <c r="OG157" s="250"/>
      <c r="OH157" s="250"/>
      <c r="OI157" s="250"/>
      <c r="OJ157" s="250"/>
      <c r="OK157" s="250"/>
      <c r="OL157" s="250"/>
      <c r="OM157" s="250"/>
      <c r="ON157" s="250"/>
      <c r="OO157" s="250"/>
      <c r="OP157" s="250"/>
      <c r="OQ157" s="250"/>
      <c r="OR157" s="250"/>
      <c r="OS157" s="250"/>
      <c r="OT157" s="250"/>
      <c r="OU157" s="250"/>
      <c r="OV157" s="250"/>
      <c r="OW157" s="250"/>
      <c r="OX157" s="250"/>
      <c r="OY157" s="250"/>
      <c r="OZ157" s="250"/>
      <c r="PA157" s="250"/>
      <c r="PB157" s="250"/>
      <c r="PC157" s="250"/>
      <c r="PD157" s="250"/>
      <c r="PE157" s="250"/>
      <c r="PF157" s="250"/>
      <c r="PG157" s="250"/>
      <c r="PH157" s="250"/>
      <c r="PI157" s="250"/>
      <c r="PJ157" s="250"/>
      <c r="PK157" s="250"/>
      <c r="PL157" s="250"/>
      <c r="PM157" s="250"/>
      <c r="PN157" s="250"/>
      <c r="PO157" s="250"/>
      <c r="PP157" s="250"/>
      <c r="PQ157" s="250"/>
      <c r="PR157" s="250"/>
      <c r="PS157" s="250"/>
      <c r="PT157" s="250"/>
      <c r="PU157" s="250"/>
      <c r="PV157" s="250"/>
      <c r="PW157" s="250"/>
      <c r="PX157" s="250"/>
      <c r="PY157" s="250"/>
      <c r="PZ157" s="250"/>
      <c r="QA157" s="250"/>
      <c r="QB157" s="250"/>
      <c r="QC157" s="250"/>
      <c r="QD157" s="250"/>
      <c r="QE157" s="250"/>
      <c r="QF157" s="250"/>
      <c r="QG157" s="250"/>
      <c r="QH157" s="250"/>
      <c r="QI157" s="250"/>
      <c r="QJ157" s="250"/>
      <c r="QK157" s="250"/>
      <c r="QL157" s="250"/>
      <c r="QM157" s="250"/>
      <c r="QN157" s="250"/>
      <c r="QO157" s="250"/>
      <c r="QP157" s="250"/>
      <c r="QQ157" s="250"/>
      <c r="QR157" s="250"/>
      <c r="QS157" s="250"/>
      <c r="QT157" s="250"/>
      <c r="QU157" s="250"/>
      <c r="QV157" s="250"/>
      <c r="QW157" s="250"/>
      <c r="QX157" s="250"/>
      <c r="QY157" s="250"/>
      <c r="QZ157" s="250"/>
      <c r="RA157" s="250"/>
      <c r="RB157" s="250"/>
      <c r="RC157" s="250"/>
      <c r="RD157" s="250"/>
      <c r="RE157" s="250"/>
      <c r="RF157" s="250"/>
      <c r="RG157" s="250"/>
      <c r="RH157" s="250"/>
      <c r="RI157" s="250"/>
      <c r="RJ157" s="250"/>
      <c r="RK157" s="250"/>
      <c r="RL157" s="250"/>
      <c r="RM157" s="250"/>
      <c r="RN157" s="250"/>
      <c r="RO157" s="250"/>
      <c r="RP157" s="250"/>
      <c r="RQ157" s="250"/>
      <c r="RR157" s="250"/>
      <c r="RS157" s="250"/>
      <c r="RT157" s="250"/>
      <c r="RU157" s="250"/>
      <c r="RV157" s="250"/>
      <c r="RW157" s="250"/>
      <c r="RX157" s="250"/>
      <c r="RY157" s="250"/>
      <c r="RZ157" s="250"/>
      <c r="SA157" s="250"/>
      <c r="SB157" s="250"/>
      <c r="SC157" s="250"/>
      <c r="SD157" s="250"/>
      <c r="SE157" s="250"/>
      <c r="SF157" s="250"/>
      <c r="SG157" s="250"/>
      <c r="SH157" s="250"/>
      <c r="SI157" s="250"/>
      <c r="SJ157" s="250"/>
      <c r="SK157" s="250"/>
      <c r="SL157" s="250"/>
      <c r="SM157" s="250"/>
      <c r="SN157" s="250"/>
      <c r="SO157" s="250"/>
      <c r="SP157" s="250"/>
      <c r="SQ157" s="250"/>
      <c r="SR157" s="250"/>
      <c r="SS157" s="250"/>
      <c r="ST157" s="250"/>
      <c r="SU157" s="250"/>
      <c r="SV157" s="250"/>
      <c r="SW157" s="250"/>
      <c r="SX157" s="250"/>
      <c r="SY157" s="250"/>
      <c r="SZ157" s="250"/>
      <c r="TA157" s="250"/>
      <c r="TB157" s="250"/>
      <c r="TC157" s="250"/>
      <c r="TD157" s="250"/>
      <c r="TE157" s="250"/>
      <c r="TF157" s="250"/>
      <c r="TG157" s="250"/>
      <c r="TH157" s="250"/>
      <c r="TI157" s="250"/>
      <c r="TJ157" s="250"/>
      <c r="TK157" s="250"/>
      <c r="TL157" s="250"/>
      <c r="TM157" s="250"/>
      <c r="TN157" s="250"/>
      <c r="TO157" s="250"/>
      <c r="TP157" s="250"/>
      <c r="TQ157" s="250"/>
      <c r="TR157" s="250"/>
      <c r="TS157" s="250"/>
      <c r="TT157" s="250"/>
      <c r="TU157" s="250"/>
      <c r="TV157" s="250"/>
      <c r="TW157" s="250"/>
      <c r="TX157" s="250"/>
      <c r="TY157" s="250"/>
      <c r="TZ157" s="250"/>
      <c r="UA157" s="250"/>
      <c r="UB157" s="250"/>
      <c r="UC157" s="250"/>
      <c r="UD157" s="250"/>
      <c r="UE157" s="250"/>
      <c r="UF157" s="250"/>
      <c r="UG157" s="250"/>
      <c r="UH157" s="250"/>
      <c r="UI157" s="250"/>
      <c r="UJ157" s="250"/>
      <c r="UK157" s="250"/>
      <c r="UL157" s="250"/>
      <c r="UM157" s="250"/>
      <c r="UN157" s="250"/>
      <c r="UO157" s="250"/>
      <c r="UP157" s="250"/>
      <c r="UQ157" s="250"/>
      <c r="UR157" s="250"/>
      <c r="US157" s="250"/>
      <c r="UT157" s="250"/>
      <c r="UU157" s="250"/>
      <c r="UV157" s="250"/>
      <c r="UW157" s="250"/>
      <c r="UX157" s="250"/>
      <c r="UY157" s="250"/>
      <c r="UZ157" s="250"/>
      <c r="VA157" s="250"/>
      <c r="VB157" s="250"/>
      <c r="VC157" s="250"/>
      <c r="VD157" s="250"/>
      <c r="VE157" s="250"/>
      <c r="VF157" s="250"/>
      <c r="VG157" s="250"/>
      <c r="VH157" s="250"/>
      <c r="VI157" s="250"/>
      <c r="VJ157" s="250"/>
      <c r="VK157" s="250"/>
      <c r="VL157" s="250"/>
      <c r="VM157" s="250"/>
      <c r="VN157" s="250"/>
      <c r="VO157" s="250"/>
      <c r="VP157" s="250"/>
      <c r="VQ157" s="250"/>
      <c r="VR157" s="250"/>
      <c r="VS157" s="250"/>
      <c r="VT157" s="250"/>
      <c r="VU157" s="250"/>
      <c r="VV157" s="250"/>
      <c r="VW157" s="250"/>
      <c r="VX157" s="250"/>
      <c r="VY157" s="250"/>
      <c r="VZ157" s="250"/>
      <c r="WA157" s="250"/>
      <c r="WB157" s="250"/>
      <c r="WC157" s="250"/>
      <c r="WD157" s="250"/>
      <c r="WE157" s="250"/>
      <c r="WF157" s="250"/>
      <c r="WG157" s="250"/>
      <c r="WH157" s="250"/>
      <c r="WI157" s="250"/>
      <c r="WJ157" s="250"/>
      <c r="WK157" s="250"/>
      <c r="WL157" s="250"/>
      <c r="WM157" s="250"/>
      <c r="WN157" s="250"/>
      <c r="WO157" s="250"/>
      <c r="WP157" s="250"/>
      <c r="WQ157" s="250"/>
      <c r="WR157" s="250"/>
      <c r="WS157" s="250"/>
      <c r="WT157" s="250"/>
      <c r="WU157" s="250"/>
      <c r="WV157" s="250"/>
      <c r="WW157" s="250"/>
      <c r="WX157" s="250"/>
      <c r="WY157" s="250"/>
      <c r="WZ157" s="250"/>
      <c r="XA157" s="250"/>
      <c r="XB157" s="250"/>
      <c r="XC157" s="250"/>
      <c r="XD157" s="250"/>
      <c r="XE157" s="250"/>
      <c r="XF157" s="250"/>
      <c r="XG157" s="250"/>
      <c r="XH157" s="250"/>
      <c r="XI157" s="250"/>
      <c r="XJ157" s="250"/>
      <c r="XK157" s="250"/>
      <c r="XL157" s="250"/>
      <c r="XM157" s="250"/>
      <c r="XN157" s="250"/>
      <c r="XO157" s="250"/>
      <c r="XP157" s="250"/>
      <c r="XQ157" s="250"/>
      <c r="XR157" s="250"/>
      <c r="XS157" s="250"/>
      <c r="XT157" s="250"/>
      <c r="XU157" s="250"/>
      <c r="XV157" s="250"/>
      <c r="XW157" s="250"/>
      <c r="XX157" s="250"/>
      <c r="XY157" s="250"/>
      <c r="XZ157" s="250"/>
      <c r="YA157" s="250"/>
      <c r="YB157" s="250"/>
      <c r="YC157" s="250"/>
      <c r="YD157" s="250"/>
      <c r="YE157" s="250"/>
      <c r="YF157" s="250"/>
      <c r="YG157" s="250"/>
      <c r="YH157" s="250"/>
      <c r="YI157" s="250"/>
      <c r="YJ157" s="250"/>
      <c r="YK157" s="250"/>
      <c r="YL157" s="250"/>
      <c r="YM157" s="250"/>
      <c r="YN157" s="250"/>
      <c r="YO157" s="250"/>
      <c r="YP157" s="250"/>
      <c r="YQ157" s="250"/>
      <c r="YR157" s="250"/>
      <c r="YS157" s="250"/>
      <c r="YT157" s="250"/>
      <c r="YU157" s="250"/>
      <c r="YV157" s="250"/>
      <c r="YW157" s="250"/>
      <c r="YX157" s="250"/>
      <c r="YY157" s="250"/>
      <c r="YZ157" s="250"/>
      <c r="ZA157" s="250"/>
      <c r="ZB157" s="250"/>
      <c r="ZC157" s="250"/>
      <c r="ZD157" s="250"/>
      <c r="ZE157" s="250"/>
      <c r="ZF157" s="250"/>
      <c r="ZG157" s="250"/>
      <c r="ZH157" s="250"/>
      <c r="ZI157" s="250"/>
      <c r="ZJ157" s="250"/>
      <c r="ZK157" s="250"/>
      <c r="ZL157" s="250"/>
      <c r="ZM157" s="250"/>
      <c r="ZN157" s="250"/>
      <c r="ZO157" s="250"/>
      <c r="ZP157" s="250"/>
      <c r="ZQ157" s="250"/>
      <c r="ZR157" s="250"/>
      <c r="ZS157" s="250"/>
      <c r="ZT157" s="250"/>
      <c r="ZU157" s="250"/>
      <c r="ZV157" s="250"/>
      <c r="ZW157" s="250"/>
      <c r="ZX157" s="250"/>
      <c r="ZY157" s="250"/>
      <c r="ZZ157" s="250"/>
      <c r="AAA157" s="250"/>
      <c r="AAB157" s="250"/>
      <c r="AAC157" s="250"/>
      <c r="AAD157" s="250"/>
      <c r="AAE157" s="250"/>
      <c r="AAF157" s="250"/>
      <c r="AAG157" s="250"/>
      <c r="AAH157" s="250"/>
      <c r="AAI157" s="250"/>
      <c r="AAJ157" s="250"/>
      <c r="AAK157" s="250"/>
      <c r="AAL157" s="250"/>
      <c r="AAM157" s="250"/>
      <c r="AAN157" s="250"/>
      <c r="AAO157" s="250"/>
      <c r="AAP157" s="250"/>
      <c r="AAQ157" s="250"/>
      <c r="AAR157" s="250"/>
      <c r="AAS157" s="250"/>
      <c r="AAT157" s="250"/>
      <c r="AAU157" s="250"/>
      <c r="AAV157" s="250"/>
      <c r="AAW157" s="250"/>
      <c r="AAX157" s="250"/>
      <c r="AAY157" s="250"/>
      <c r="AAZ157" s="250"/>
      <c r="ABA157" s="250"/>
      <c r="ABB157" s="250"/>
      <c r="ABC157" s="250"/>
      <c r="ABD157" s="250"/>
      <c r="ABE157" s="250"/>
      <c r="ABF157" s="250"/>
      <c r="ABG157" s="250"/>
      <c r="ABH157" s="250"/>
      <c r="ABI157" s="250"/>
      <c r="ABJ157" s="250"/>
      <c r="ABK157" s="250"/>
      <c r="ABL157" s="250"/>
      <c r="ABM157" s="250"/>
      <c r="ABN157" s="250"/>
      <c r="ABO157" s="250"/>
      <c r="ABP157" s="250"/>
      <c r="ABQ157" s="250"/>
      <c r="ABR157" s="250"/>
      <c r="ABS157" s="250"/>
      <c r="ABT157" s="250"/>
      <c r="ABU157" s="250"/>
      <c r="ABV157" s="250"/>
      <c r="ABW157" s="250"/>
      <c r="ABX157" s="250"/>
      <c r="ABY157" s="250"/>
      <c r="ABZ157" s="250"/>
      <c r="ACA157" s="250"/>
      <c r="ACB157" s="250"/>
      <c r="ACC157" s="250"/>
      <c r="ACD157" s="250"/>
      <c r="ACE157" s="250"/>
      <c r="ACF157" s="250"/>
      <c r="ACG157" s="250"/>
      <c r="ACH157" s="250"/>
      <c r="ACI157" s="250"/>
      <c r="ACJ157" s="250"/>
      <c r="ACK157" s="250"/>
      <c r="ACL157" s="250"/>
      <c r="ACM157" s="250"/>
      <c r="ACN157" s="250"/>
      <c r="ACO157" s="250"/>
      <c r="ACP157" s="250"/>
      <c r="ACQ157" s="250"/>
      <c r="ACR157" s="250"/>
      <c r="ACS157" s="250"/>
      <c r="ACT157" s="250"/>
      <c r="ACU157" s="250"/>
      <c r="ACV157" s="250"/>
      <c r="ACW157" s="250"/>
      <c r="ACX157" s="250"/>
      <c r="ACY157" s="250"/>
      <c r="ACZ157" s="250"/>
      <c r="ADA157" s="250"/>
      <c r="ADB157" s="250"/>
      <c r="ADC157" s="250"/>
      <c r="ADD157" s="250"/>
      <c r="ADE157" s="250"/>
      <c r="ADF157" s="250"/>
      <c r="ADG157" s="250"/>
      <c r="ADH157" s="250"/>
      <c r="ADI157" s="250"/>
      <c r="ADJ157" s="250"/>
      <c r="ADK157" s="250"/>
      <c r="ADL157" s="250"/>
      <c r="ADM157" s="250"/>
      <c r="ADN157" s="250"/>
      <c r="ADO157" s="250"/>
      <c r="ADP157" s="250"/>
      <c r="ADQ157" s="250"/>
      <c r="ADR157" s="250"/>
      <c r="ADS157" s="250"/>
      <c r="ADT157" s="250"/>
      <c r="ADU157" s="250"/>
      <c r="ADV157" s="250"/>
      <c r="ADW157" s="250"/>
      <c r="ADX157" s="250"/>
      <c r="ADY157" s="250"/>
      <c r="ADZ157" s="250"/>
      <c r="AEA157" s="250"/>
      <c r="AEB157" s="250"/>
      <c r="AEC157" s="250"/>
      <c r="AED157" s="250"/>
      <c r="AEE157" s="250"/>
      <c r="AEF157" s="250"/>
      <c r="AEG157" s="250"/>
      <c r="AEH157" s="250"/>
      <c r="AEI157" s="250"/>
      <c r="AEJ157" s="250"/>
      <c r="AEK157" s="250"/>
      <c r="AEL157" s="250"/>
      <c r="AEM157" s="250"/>
      <c r="AEN157" s="250"/>
      <c r="AEO157" s="250"/>
      <c r="AEP157" s="250"/>
      <c r="AEQ157" s="250"/>
      <c r="AER157" s="250"/>
      <c r="AES157" s="250"/>
      <c r="AET157" s="250"/>
      <c r="AEU157" s="250"/>
      <c r="AEV157" s="250"/>
      <c r="AEW157" s="250"/>
      <c r="AEX157" s="250"/>
      <c r="AEY157" s="250"/>
      <c r="AEZ157" s="250"/>
      <c r="AFA157" s="250"/>
      <c r="AFB157" s="250"/>
      <c r="AFC157" s="250"/>
      <c r="AFD157" s="250"/>
      <c r="AFE157" s="250"/>
      <c r="AFF157" s="250"/>
      <c r="AFG157" s="250"/>
      <c r="AFH157" s="250"/>
      <c r="AFI157" s="250"/>
      <c r="AFJ157" s="250"/>
      <c r="AFK157" s="250"/>
      <c r="AFL157" s="250"/>
      <c r="AFM157" s="250"/>
      <c r="AFN157" s="250"/>
      <c r="AFO157" s="250"/>
      <c r="AFP157" s="250"/>
      <c r="AFQ157" s="250"/>
      <c r="AFR157" s="250"/>
      <c r="AFS157" s="250"/>
      <c r="AFT157" s="250"/>
      <c r="AFU157" s="250"/>
      <c r="AFV157" s="250"/>
      <c r="AFW157" s="250"/>
      <c r="AFX157" s="250"/>
      <c r="AFY157" s="250"/>
      <c r="AFZ157" s="250"/>
      <c r="AGA157" s="250"/>
      <c r="AGB157" s="250"/>
      <c r="AGC157" s="250"/>
      <c r="AGD157" s="250"/>
      <c r="AGE157" s="250"/>
      <c r="AGF157" s="250"/>
      <c r="AGG157" s="250"/>
      <c r="AGH157" s="250"/>
      <c r="AGI157" s="250"/>
      <c r="AGJ157" s="250"/>
      <c r="AGK157" s="250"/>
      <c r="AGL157" s="250"/>
      <c r="AGM157" s="250"/>
      <c r="AGN157" s="250"/>
      <c r="AGO157" s="250"/>
      <c r="AGP157" s="250"/>
      <c r="AGQ157" s="250"/>
      <c r="AGR157" s="250"/>
      <c r="AGS157" s="250"/>
      <c r="AGT157" s="250"/>
      <c r="AGU157" s="250"/>
      <c r="AGV157" s="250"/>
      <c r="AGW157" s="250"/>
      <c r="AGX157" s="250"/>
      <c r="AGY157" s="250"/>
      <c r="AGZ157" s="250"/>
      <c r="AHA157" s="250"/>
      <c r="AHB157" s="250"/>
      <c r="AHC157" s="250"/>
      <c r="AHD157" s="250"/>
      <c r="AHE157" s="250"/>
      <c r="AHF157" s="250"/>
      <c r="AHG157" s="250"/>
      <c r="AHH157" s="250"/>
      <c r="AHI157" s="250"/>
      <c r="AHJ157" s="250"/>
      <c r="AHK157" s="250"/>
      <c r="AHL157" s="250"/>
      <c r="AHM157" s="250"/>
      <c r="AHN157" s="250"/>
      <c r="AHO157" s="250"/>
      <c r="AHP157" s="250"/>
      <c r="AHQ157" s="250"/>
      <c r="AHR157" s="250"/>
      <c r="AHS157" s="250"/>
      <c r="AHT157" s="250"/>
      <c r="AHU157" s="250"/>
      <c r="AHV157" s="250"/>
      <c r="AHW157" s="250"/>
      <c r="AHX157" s="250"/>
      <c r="AHY157" s="250"/>
      <c r="AHZ157" s="250"/>
      <c r="AIA157" s="250"/>
      <c r="AIB157" s="250"/>
      <c r="AIC157" s="250"/>
      <c r="AID157" s="250"/>
      <c r="AIE157" s="250"/>
      <c r="AIF157" s="250"/>
      <c r="AIG157" s="250"/>
      <c r="AIH157" s="250"/>
      <c r="AII157" s="250"/>
      <c r="AIJ157" s="250"/>
      <c r="AIK157" s="250"/>
      <c r="AIL157" s="250"/>
      <c r="AIM157" s="250"/>
      <c r="AIN157" s="250"/>
      <c r="AIO157" s="250"/>
      <c r="AIP157" s="250"/>
      <c r="AIQ157" s="250"/>
      <c r="AIR157" s="250"/>
      <c r="AIS157" s="250"/>
      <c r="AIT157" s="250"/>
      <c r="AIU157" s="250"/>
      <c r="AIV157" s="250"/>
      <c r="AIW157" s="250"/>
      <c r="AIX157" s="250"/>
      <c r="AIY157" s="250"/>
      <c r="AIZ157" s="250"/>
      <c r="AJA157" s="250"/>
      <c r="AJB157" s="250"/>
      <c r="AJC157" s="250"/>
      <c r="AJD157" s="250"/>
      <c r="AJE157" s="250"/>
      <c r="AJF157" s="250"/>
      <c r="AJG157" s="250"/>
      <c r="AJH157" s="250"/>
      <c r="AJI157" s="250"/>
      <c r="AJJ157" s="250"/>
      <c r="AJK157" s="250"/>
      <c r="AJL157" s="250"/>
      <c r="AJM157" s="250"/>
      <c r="AJN157" s="250"/>
      <c r="AJO157" s="250"/>
      <c r="AJP157" s="250"/>
      <c r="AJQ157" s="250"/>
      <c r="AJR157" s="250"/>
      <c r="AJS157" s="250"/>
      <c r="AJT157" s="250"/>
      <c r="AJU157" s="250"/>
      <c r="AJV157" s="250"/>
      <c r="AJW157" s="250"/>
      <c r="AJX157" s="250"/>
      <c r="AJY157" s="250"/>
      <c r="AJZ157" s="250"/>
      <c r="AKA157" s="250"/>
      <c r="AKB157" s="250"/>
      <c r="AKC157" s="250"/>
      <c r="AKD157" s="250"/>
      <c r="AKE157" s="250"/>
      <c r="AKF157" s="250"/>
      <c r="AKG157" s="250"/>
      <c r="AKH157" s="250"/>
      <c r="AKI157" s="250"/>
      <c r="AKJ157" s="250"/>
      <c r="AKK157" s="250"/>
      <c r="AKL157" s="250"/>
      <c r="AKM157" s="250"/>
      <c r="AKN157" s="250"/>
      <c r="AKO157" s="250"/>
      <c r="AKP157" s="250"/>
      <c r="AKQ157" s="250"/>
      <c r="AKR157" s="250"/>
      <c r="AKS157" s="250"/>
      <c r="AKT157" s="250"/>
      <c r="AKU157" s="250"/>
      <c r="AKV157" s="250"/>
      <c r="AKW157" s="250"/>
      <c r="AKX157" s="250"/>
      <c r="AKY157" s="250"/>
      <c r="AKZ157" s="250"/>
      <c r="ALA157" s="250"/>
      <c r="ALB157" s="250"/>
      <c r="ALC157" s="250"/>
      <c r="ALD157" s="250"/>
      <c r="ALE157" s="250"/>
      <c r="ALF157" s="250"/>
      <c r="ALG157" s="250"/>
      <c r="ALH157" s="250"/>
      <c r="ALI157" s="250"/>
      <c r="ALJ157" s="250"/>
      <c r="ALK157" s="250"/>
      <c r="ALL157" s="250"/>
      <c r="ALM157" s="250"/>
      <c r="ALN157" s="250"/>
      <c r="ALO157" s="250"/>
      <c r="ALP157" s="250"/>
      <c r="ALQ157" s="250"/>
      <c r="ALR157" s="250"/>
      <c r="ALS157" s="250"/>
      <c r="ALT157" s="250"/>
      <c r="ALU157" s="250"/>
      <c r="ALV157" s="250"/>
      <c r="ALW157" s="250"/>
      <c r="ALX157" s="250"/>
      <c r="ALY157" s="250"/>
      <c r="ALZ157" s="250"/>
      <c r="AMA157" s="250"/>
      <c r="AMB157" s="250"/>
      <c r="AMC157" s="250"/>
      <c r="AMD157" s="250"/>
      <c r="AME157" s="250"/>
      <c r="AMF157" s="250"/>
      <c r="AMG157" s="250"/>
      <c r="AMH157" s="250"/>
      <c r="AMI157" s="250"/>
      <c r="AMJ157" s="250"/>
      <c r="AMK157" s="250"/>
      <c r="AML157" s="250"/>
      <c r="AMM157" s="250"/>
      <c r="AMN157" s="250"/>
      <c r="AMO157" s="250"/>
      <c r="AMP157" s="250"/>
      <c r="AMQ157" s="250"/>
      <c r="AMR157" s="250"/>
      <c r="AMS157" s="250"/>
      <c r="AMT157" s="250"/>
      <c r="AMU157" s="250"/>
      <c r="AMV157" s="250"/>
      <c r="AMW157" s="250"/>
      <c r="AMX157" s="250"/>
      <c r="AMY157" s="250"/>
      <c r="AMZ157" s="250"/>
      <c r="ANA157" s="250"/>
      <c r="ANB157" s="250"/>
      <c r="ANC157" s="250"/>
      <c r="AND157" s="250"/>
      <c r="ANE157" s="250"/>
      <c r="ANF157" s="250"/>
      <c r="ANG157" s="250"/>
      <c r="ANH157" s="250"/>
      <c r="ANI157" s="250"/>
      <c r="ANJ157" s="250"/>
      <c r="ANK157" s="250"/>
      <c r="ANL157" s="250"/>
      <c r="ANM157" s="250"/>
      <c r="ANN157" s="250"/>
      <c r="ANO157" s="250"/>
      <c r="ANP157" s="250"/>
      <c r="ANQ157" s="250"/>
      <c r="ANR157" s="250"/>
      <c r="ANS157" s="250"/>
      <c r="ANT157" s="250"/>
      <c r="ANU157" s="250"/>
      <c r="ANV157" s="250"/>
      <c r="ANW157" s="250"/>
      <c r="ANX157" s="250"/>
      <c r="ANY157" s="250"/>
      <c r="ANZ157" s="250"/>
      <c r="AOA157" s="250"/>
      <c r="AOB157" s="250"/>
      <c r="AOC157" s="250"/>
      <c r="AOD157" s="250"/>
      <c r="AOE157" s="250"/>
      <c r="AOF157" s="250"/>
      <c r="AOG157" s="250"/>
      <c r="AOH157" s="250"/>
      <c r="AOI157" s="250"/>
      <c r="AOJ157" s="250"/>
      <c r="AOK157" s="250"/>
      <c r="AOL157" s="250"/>
      <c r="AOM157" s="250"/>
      <c r="AON157" s="250"/>
      <c r="AOO157" s="250"/>
      <c r="AOP157" s="250"/>
      <c r="AOQ157" s="250"/>
      <c r="AOR157" s="250"/>
      <c r="AOS157" s="250"/>
      <c r="AOT157" s="250"/>
      <c r="AOU157" s="250"/>
      <c r="AOV157" s="250"/>
      <c r="AOW157" s="250"/>
      <c r="AOX157" s="250"/>
      <c r="AOY157" s="250"/>
      <c r="AOZ157" s="250"/>
      <c r="APA157" s="250"/>
      <c r="APB157" s="250"/>
      <c r="APC157" s="250"/>
      <c r="APD157" s="250"/>
      <c r="APE157" s="250"/>
      <c r="APF157" s="250"/>
      <c r="APG157" s="250"/>
      <c r="APH157" s="250"/>
      <c r="API157" s="250"/>
      <c r="APJ157" s="250"/>
      <c r="APK157" s="250"/>
      <c r="APL157" s="250"/>
      <c r="APM157" s="250"/>
      <c r="APN157" s="250"/>
      <c r="APO157" s="250"/>
      <c r="APP157" s="250"/>
      <c r="APQ157" s="250"/>
      <c r="APR157" s="250"/>
      <c r="APS157" s="250"/>
      <c r="APT157" s="250"/>
      <c r="APU157" s="250"/>
      <c r="APV157" s="250"/>
      <c r="APW157" s="250"/>
      <c r="APX157" s="250"/>
      <c r="APY157" s="250"/>
      <c r="APZ157" s="250"/>
      <c r="AQA157" s="250"/>
      <c r="AQB157" s="250"/>
      <c r="AQC157" s="250"/>
      <c r="AQD157" s="250"/>
      <c r="AQE157" s="250"/>
      <c r="AQF157" s="250"/>
      <c r="AQG157" s="250"/>
      <c r="AQH157" s="250"/>
      <c r="AQI157" s="250"/>
      <c r="AQJ157" s="250"/>
      <c r="AQK157" s="250"/>
      <c r="AQL157" s="250"/>
      <c r="AQM157" s="250"/>
      <c r="AQN157" s="250"/>
      <c r="AQO157" s="250"/>
      <c r="AQP157" s="250"/>
      <c r="AQQ157" s="250"/>
      <c r="AQR157" s="250"/>
      <c r="AQS157" s="250"/>
      <c r="AQT157" s="250"/>
      <c r="AQU157" s="250"/>
      <c r="AQV157" s="250"/>
      <c r="AQW157" s="250"/>
      <c r="AQX157" s="250"/>
      <c r="AQY157" s="250"/>
      <c r="AQZ157" s="250"/>
      <c r="ARA157" s="250"/>
      <c r="ARB157" s="250"/>
      <c r="ARC157" s="250"/>
      <c r="ARD157" s="250"/>
      <c r="ARE157" s="250"/>
      <c r="ARF157" s="250"/>
      <c r="ARG157" s="250"/>
      <c r="ARH157" s="250"/>
      <c r="ARI157" s="250"/>
      <c r="ARJ157" s="250"/>
      <c r="ARK157" s="250"/>
      <c r="ARL157" s="250"/>
      <c r="ARM157" s="250"/>
      <c r="ARN157" s="250"/>
      <c r="ARO157" s="250"/>
      <c r="ARP157" s="250"/>
      <c r="ARQ157" s="250"/>
      <c r="ARR157" s="250"/>
      <c r="ARS157" s="250"/>
      <c r="ART157" s="250"/>
      <c r="ARU157" s="250"/>
      <c r="ARV157" s="250"/>
      <c r="ARW157" s="250"/>
      <c r="ARX157" s="250"/>
      <c r="ARY157" s="250"/>
      <c r="ARZ157" s="250"/>
      <c r="ASA157" s="250"/>
      <c r="ASB157" s="250"/>
      <c r="ASC157" s="250"/>
      <c r="ASD157" s="250"/>
      <c r="ASE157" s="250"/>
      <c r="ASF157" s="250"/>
      <c r="ASG157" s="250"/>
      <c r="ASH157" s="250"/>
      <c r="ASI157" s="250"/>
      <c r="ASJ157" s="250"/>
      <c r="ASK157" s="250"/>
      <c r="ASL157" s="250"/>
      <c r="ASM157" s="250"/>
      <c r="ASN157" s="250"/>
      <c r="ASO157" s="250"/>
      <c r="ASP157" s="250"/>
      <c r="ASQ157" s="250"/>
      <c r="ASR157" s="250"/>
      <c r="ASS157" s="250"/>
      <c r="AST157" s="250"/>
      <c r="ASU157" s="250"/>
      <c r="ASV157" s="250"/>
      <c r="ASW157" s="250"/>
      <c r="ASX157" s="250"/>
      <c r="ASY157" s="250"/>
      <c r="ASZ157" s="250"/>
      <c r="ATA157" s="250"/>
      <c r="ATB157" s="250"/>
      <c r="ATC157" s="250"/>
      <c r="ATD157" s="250"/>
      <c r="ATE157" s="250"/>
      <c r="ATF157" s="250"/>
      <c r="ATG157" s="250"/>
      <c r="ATH157" s="250"/>
      <c r="ATI157" s="250"/>
      <c r="ATJ157" s="250"/>
      <c r="ATK157" s="250"/>
      <c r="ATL157" s="250"/>
      <c r="ATM157" s="250"/>
      <c r="ATN157" s="250"/>
      <c r="ATO157" s="250"/>
      <c r="ATP157" s="250"/>
      <c r="ATQ157" s="250"/>
      <c r="ATR157" s="250"/>
      <c r="ATS157" s="250"/>
      <c r="ATT157" s="250"/>
      <c r="ATU157" s="250"/>
      <c r="ATV157" s="250"/>
      <c r="ATW157" s="250"/>
      <c r="ATX157" s="250"/>
      <c r="ATY157" s="250"/>
      <c r="ATZ157" s="250"/>
      <c r="AUA157" s="250"/>
      <c r="AUB157" s="250"/>
      <c r="AUC157" s="250"/>
      <c r="AUD157" s="250"/>
      <c r="AUE157" s="250"/>
      <c r="AUF157" s="250"/>
      <c r="AUG157" s="250"/>
      <c r="AUH157" s="250"/>
      <c r="AUI157" s="250"/>
      <c r="AUJ157" s="250"/>
      <c r="AUK157" s="250"/>
      <c r="AUL157" s="250"/>
      <c r="AUM157" s="250"/>
      <c r="AUN157" s="250"/>
      <c r="AUO157" s="250"/>
      <c r="AUP157" s="250"/>
      <c r="AUQ157" s="250"/>
      <c r="AUR157" s="250"/>
      <c r="AUS157" s="250"/>
      <c r="AUT157" s="250"/>
      <c r="AUU157" s="250"/>
      <c r="AUV157" s="250"/>
      <c r="AUW157" s="250"/>
      <c r="AUX157" s="250"/>
      <c r="AUY157" s="250"/>
      <c r="AUZ157" s="250"/>
      <c r="AVA157" s="250"/>
      <c r="AVB157" s="250"/>
      <c r="AVC157" s="250"/>
      <c r="AVD157" s="250"/>
      <c r="AVE157" s="250"/>
      <c r="AVF157" s="250"/>
      <c r="AVG157" s="250"/>
      <c r="AVH157" s="250"/>
      <c r="AVI157" s="250"/>
      <c r="AVJ157" s="250"/>
      <c r="AVK157" s="250"/>
      <c r="AVL157" s="250"/>
      <c r="AVM157" s="250"/>
      <c r="AVN157" s="250"/>
      <c r="AVO157" s="250"/>
      <c r="AVP157" s="250"/>
      <c r="AVQ157" s="250"/>
      <c r="AVR157" s="250"/>
      <c r="AVS157" s="250"/>
      <c r="AVT157" s="250"/>
      <c r="AVU157" s="250"/>
      <c r="AVV157" s="250"/>
      <c r="AVW157" s="250"/>
      <c r="AVX157" s="250"/>
      <c r="AVY157" s="250"/>
      <c r="AVZ157" s="250"/>
      <c r="AWA157" s="250"/>
      <c r="AWB157" s="250"/>
      <c r="AWC157" s="250"/>
      <c r="AWD157" s="250"/>
      <c r="AWE157" s="250"/>
      <c r="AWF157" s="250"/>
      <c r="AWG157" s="250"/>
      <c r="AWH157" s="250"/>
      <c r="AWI157" s="250"/>
      <c r="AWJ157" s="250"/>
      <c r="AWK157" s="250"/>
      <c r="AWL157" s="250"/>
      <c r="AWM157" s="250"/>
      <c r="AWN157" s="250"/>
      <c r="AWO157" s="250"/>
      <c r="AWP157" s="250"/>
      <c r="AWQ157" s="250"/>
      <c r="AWR157" s="250"/>
      <c r="AWS157" s="250"/>
      <c r="AWT157" s="250"/>
      <c r="AWU157" s="250"/>
      <c r="AWV157" s="250"/>
      <c r="AWW157" s="250"/>
      <c r="AWX157" s="250"/>
      <c r="AWY157" s="250"/>
      <c r="AWZ157" s="250"/>
      <c r="AXA157" s="250"/>
      <c r="AXB157" s="250"/>
      <c r="AXC157" s="250"/>
      <c r="AXD157" s="250"/>
      <c r="AXE157" s="250"/>
      <c r="AXF157" s="250"/>
      <c r="AXG157" s="250"/>
      <c r="AXH157" s="250"/>
      <c r="AXI157" s="250"/>
      <c r="AXJ157" s="250"/>
      <c r="AXK157" s="250"/>
      <c r="AXL157" s="250"/>
      <c r="AXM157" s="250"/>
      <c r="AXN157" s="250"/>
      <c r="AXO157" s="250"/>
      <c r="AXP157" s="250"/>
      <c r="AXQ157" s="250"/>
      <c r="AXR157" s="250"/>
      <c r="AXS157" s="250"/>
      <c r="AXT157" s="250"/>
      <c r="AXU157" s="250"/>
      <c r="AXV157" s="250"/>
      <c r="AXW157" s="250"/>
      <c r="AXX157" s="250"/>
      <c r="AXY157" s="250"/>
      <c r="AXZ157" s="250"/>
      <c r="AYA157" s="250"/>
      <c r="AYB157" s="250"/>
      <c r="AYC157" s="250"/>
      <c r="AYD157" s="250"/>
      <c r="AYE157" s="250"/>
      <c r="AYF157" s="250"/>
      <c r="AYG157" s="250"/>
      <c r="AYH157" s="250"/>
      <c r="AYI157" s="250"/>
      <c r="AYJ157" s="250"/>
      <c r="AYK157" s="250"/>
      <c r="AYL157" s="250"/>
      <c r="AYM157" s="250"/>
      <c r="AYN157" s="250"/>
      <c r="AYO157" s="250"/>
      <c r="AYP157" s="250"/>
      <c r="AYQ157" s="250"/>
      <c r="AYR157" s="250"/>
      <c r="AYS157" s="250"/>
      <c r="AYT157" s="250"/>
      <c r="AYU157" s="250"/>
      <c r="AYV157" s="250"/>
      <c r="AYW157" s="250"/>
      <c r="AYX157" s="250"/>
      <c r="AYY157" s="250"/>
      <c r="AYZ157" s="250"/>
      <c r="AZA157" s="250"/>
      <c r="AZB157" s="250"/>
      <c r="AZC157" s="250"/>
      <c r="AZD157" s="250"/>
      <c r="AZE157" s="250"/>
      <c r="AZF157" s="250"/>
      <c r="AZG157" s="250"/>
      <c r="AZH157" s="250"/>
      <c r="AZI157" s="250"/>
      <c r="AZJ157" s="250"/>
      <c r="AZK157" s="250"/>
      <c r="AZL157" s="250"/>
      <c r="AZM157" s="250"/>
      <c r="AZN157" s="250"/>
      <c r="AZO157" s="250"/>
      <c r="AZP157" s="250"/>
      <c r="AZQ157" s="250"/>
      <c r="AZR157" s="250"/>
      <c r="AZS157" s="250"/>
      <c r="AZT157" s="250"/>
      <c r="AZU157" s="250"/>
      <c r="AZV157" s="250"/>
      <c r="AZW157" s="250"/>
      <c r="AZX157" s="250"/>
      <c r="AZY157" s="250"/>
      <c r="AZZ157" s="250"/>
      <c r="BAA157" s="250"/>
      <c r="BAB157" s="250"/>
      <c r="BAC157" s="250"/>
      <c r="BAD157" s="250"/>
      <c r="BAE157" s="250"/>
      <c r="BAF157" s="250"/>
      <c r="BAG157" s="250"/>
      <c r="BAH157" s="250"/>
      <c r="BAI157" s="250"/>
      <c r="BAJ157" s="250"/>
      <c r="BAK157" s="250"/>
      <c r="BAL157" s="250"/>
      <c r="BAM157" s="250"/>
      <c r="BAN157" s="250"/>
      <c r="BAO157" s="250"/>
      <c r="BAP157" s="250"/>
      <c r="BAQ157" s="250"/>
      <c r="BAR157" s="250"/>
      <c r="BAS157" s="250"/>
      <c r="BAT157" s="250"/>
      <c r="BAU157" s="250"/>
      <c r="BAV157" s="250"/>
      <c r="BAW157" s="250"/>
      <c r="BAX157" s="250"/>
      <c r="BAY157" s="250"/>
      <c r="BAZ157" s="250"/>
      <c r="BBA157" s="250"/>
      <c r="BBB157" s="250"/>
      <c r="BBC157" s="250"/>
      <c r="BBD157" s="250"/>
      <c r="BBE157" s="250"/>
      <c r="BBF157" s="250"/>
      <c r="BBG157" s="250"/>
      <c r="BBH157" s="250"/>
      <c r="BBI157" s="250"/>
      <c r="BBJ157" s="250"/>
      <c r="BBK157" s="250"/>
      <c r="BBL157" s="250"/>
      <c r="BBM157" s="250"/>
      <c r="BBN157" s="250"/>
      <c r="BBO157" s="250"/>
      <c r="BBP157" s="250"/>
      <c r="BBQ157" s="250"/>
      <c r="BBR157" s="250"/>
      <c r="BBS157" s="250"/>
      <c r="BBT157" s="250"/>
      <c r="BBU157" s="250"/>
      <c r="BBV157" s="250"/>
      <c r="BBW157" s="250"/>
      <c r="BBX157" s="250"/>
      <c r="BBY157" s="250"/>
      <c r="BBZ157" s="250"/>
      <c r="BCA157" s="250"/>
      <c r="BCB157" s="250"/>
      <c r="BCC157" s="250"/>
      <c r="BCD157" s="250"/>
      <c r="BCE157" s="250"/>
      <c r="BCF157" s="250"/>
      <c r="BCG157" s="250"/>
      <c r="BCH157" s="250"/>
      <c r="BCI157" s="250"/>
      <c r="BCJ157" s="250"/>
      <c r="BCK157" s="250"/>
      <c r="BCL157" s="250"/>
      <c r="BCM157" s="250"/>
      <c r="BCN157" s="250"/>
      <c r="BCO157" s="250"/>
      <c r="BCP157" s="250"/>
      <c r="BCQ157" s="250"/>
      <c r="BCR157" s="250"/>
      <c r="BCS157" s="250"/>
      <c r="BCT157" s="250"/>
      <c r="BCU157" s="250"/>
      <c r="BCV157" s="250"/>
      <c r="BCW157" s="250"/>
      <c r="BCX157" s="250"/>
      <c r="BCY157" s="250"/>
      <c r="BCZ157" s="250"/>
      <c r="BDA157" s="250"/>
      <c r="BDB157" s="250"/>
      <c r="BDC157" s="250"/>
      <c r="BDD157" s="250"/>
      <c r="BDE157" s="250"/>
      <c r="BDF157" s="250"/>
      <c r="BDG157" s="250"/>
      <c r="BDH157" s="250"/>
      <c r="BDI157" s="250"/>
      <c r="BDJ157" s="250"/>
      <c r="BDK157" s="250"/>
      <c r="BDL157" s="250"/>
      <c r="BDM157" s="250"/>
      <c r="BDN157" s="250"/>
      <c r="BDO157" s="250"/>
      <c r="BDP157" s="250"/>
      <c r="BDQ157" s="250"/>
      <c r="BDR157" s="250"/>
      <c r="BDS157" s="250"/>
      <c r="BDT157" s="250"/>
      <c r="BDU157" s="250"/>
      <c r="BDV157" s="250"/>
      <c r="BDW157" s="250"/>
      <c r="BDX157" s="250"/>
      <c r="BDY157" s="250"/>
      <c r="BDZ157" s="250"/>
      <c r="BEA157" s="250"/>
      <c r="BEB157" s="250"/>
      <c r="BEC157" s="250"/>
      <c r="BED157" s="250"/>
      <c r="BEE157" s="250"/>
      <c r="BEF157" s="250"/>
      <c r="BEG157" s="250"/>
      <c r="BEH157" s="250"/>
      <c r="BEI157" s="250"/>
      <c r="BEJ157" s="250"/>
      <c r="BEK157" s="250"/>
      <c r="BEL157" s="250"/>
      <c r="BEM157" s="250"/>
      <c r="BEN157" s="250"/>
      <c r="BEO157" s="250"/>
      <c r="BEP157" s="250"/>
      <c r="BEQ157" s="250"/>
      <c r="BER157" s="250"/>
      <c r="BES157" s="250"/>
      <c r="BET157" s="250"/>
      <c r="BEU157" s="250"/>
      <c r="BEV157" s="250"/>
      <c r="BEW157" s="250"/>
      <c r="BEX157" s="250"/>
      <c r="BEY157" s="250"/>
      <c r="BEZ157" s="250"/>
      <c r="BFA157" s="250"/>
      <c r="BFB157" s="250"/>
      <c r="BFC157" s="250"/>
      <c r="BFD157" s="250"/>
      <c r="BFE157" s="250"/>
      <c r="BFF157" s="250"/>
      <c r="BFG157" s="250"/>
      <c r="BFH157" s="250"/>
      <c r="BFI157" s="250"/>
      <c r="BFJ157" s="250"/>
      <c r="BFK157" s="250"/>
      <c r="BFL157" s="250"/>
      <c r="BFM157" s="250"/>
      <c r="BFN157" s="250"/>
      <c r="BFO157" s="250"/>
      <c r="BFP157" s="250"/>
      <c r="BFQ157" s="250"/>
      <c r="BFR157" s="250"/>
      <c r="BFS157" s="250"/>
      <c r="BFT157" s="250"/>
      <c r="BFU157" s="250"/>
      <c r="BFV157" s="250"/>
      <c r="BFW157" s="250"/>
      <c r="BFX157" s="250"/>
      <c r="BFY157" s="250"/>
      <c r="BFZ157" s="250"/>
      <c r="BGA157" s="250"/>
      <c r="BGB157" s="250"/>
      <c r="BGC157" s="250"/>
      <c r="BGD157" s="250"/>
      <c r="BGE157" s="250"/>
      <c r="BGF157" s="250"/>
      <c r="BGG157" s="250"/>
      <c r="BGH157" s="250"/>
      <c r="BGI157" s="250"/>
      <c r="BGJ157" s="250"/>
      <c r="BGK157" s="250"/>
      <c r="BGL157" s="250"/>
      <c r="BGM157" s="250"/>
      <c r="BGN157" s="250"/>
      <c r="BGO157" s="250"/>
      <c r="BGP157" s="250"/>
      <c r="BGQ157" s="250"/>
      <c r="BGR157" s="250"/>
      <c r="BGS157" s="250"/>
      <c r="BGT157" s="250"/>
      <c r="BGU157" s="250"/>
      <c r="BGV157" s="250"/>
      <c r="BGW157" s="250"/>
      <c r="BGX157" s="250"/>
      <c r="BGY157" s="250"/>
      <c r="BGZ157" s="250"/>
      <c r="BHA157" s="250"/>
      <c r="BHB157" s="250"/>
      <c r="BHC157" s="250"/>
      <c r="BHD157" s="250"/>
      <c r="BHE157" s="250"/>
      <c r="BHF157" s="250"/>
      <c r="BHG157" s="250"/>
      <c r="BHH157" s="250"/>
      <c r="BHI157" s="250"/>
      <c r="BHJ157" s="250"/>
      <c r="BHK157" s="250"/>
      <c r="BHL157" s="250"/>
      <c r="BHM157" s="250"/>
      <c r="BHN157" s="250"/>
      <c r="BHO157" s="250"/>
      <c r="BHP157" s="250"/>
      <c r="BHQ157" s="250"/>
      <c r="BHR157" s="250"/>
      <c r="BHS157" s="250"/>
      <c r="BHT157" s="250"/>
      <c r="BHU157" s="250"/>
      <c r="BHV157" s="250"/>
      <c r="BHW157" s="250"/>
      <c r="BHX157" s="250"/>
      <c r="BHY157" s="250"/>
      <c r="BHZ157" s="250"/>
      <c r="BIA157" s="250"/>
      <c r="BIB157" s="250"/>
      <c r="BIC157" s="250"/>
      <c r="BID157" s="250"/>
      <c r="BIE157" s="250"/>
      <c r="BIF157" s="250"/>
      <c r="BIG157" s="250"/>
      <c r="BIH157" s="250"/>
      <c r="BII157" s="250"/>
      <c r="BIJ157" s="250"/>
      <c r="BIK157" s="250"/>
      <c r="BIL157" s="250"/>
      <c r="BIM157" s="250"/>
      <c r="BIN157" s="250"/>
      <c r="BIO157" s="250"/>
      <c r="BIP157" s="250"/>
      <c r="BIQ157" s="250"/>
      <c r="BIR157" s="250"/>
      <c r="BIS157" s="250"/>
      <c r="BIT157" s="250"/>
      <c r="BIU157" s="250"/>
      <c r="BIV157" s="250"/>
      <c r="BIW157" s="250"/>
      <c r="BIX157" s="250"/>
      <c r="BIY157" s="250"/>
      <c r="BIZ157" s="250"/>
      <c r="BJA157" s="250"/>
      <c r="BJB157" s="250"/>
      <c r="BJC157" s="250"/>
      <c r="BJD157" s="250"/>
      <c r="BJE157" s="250"/>
      <c r="BJF157" s="250"/>
      <c r="BJG157" s="250"/>
      <c r="BJH157" s="250"/>
      <c r="BJI157" s="250"/>
      <c r="BJJ157" s="250"/>
      <c r="BJK157" s="250"/>
      <c r="BJL157" s="250"/>
      <c r="BJM157" s="250"/>
      <c r="BJN157" s="250"/>
      <c r="BJO157" s="250"/>
      <c r="BJP157" s="250"/>
      <c r="BJQ157" s="250"/>
      <c r="BJR157" s="250"/>
      <c r="BJS157" s="250"/>
      <c r="BJT157" s="250"/>
      <c r="BJU157" s="250"/>
      <c r="BJV157" s="250"/>
      <c r="BJW157" s="250"/>
      <c r="BJX157" s="250"/>
      <c r="BJY157" s="250"/>
      <c r="BJZ157" s="250"/>
      <c r="BKA157" s="250"/>
      <c r="BKB157" s="250"/>
      <c r="BKC157" s="250"/>
      <c r="BKD157" s="250"/>
      <c r="BKE157" s="250"/>
      <c r="BKF157" s="250"/>
      <c r="BKG157" s="250"/>
      <c r="BKH157" s="250"/>
      <c r="BKI157" s="250"/>
      <c r="BKJ157" s="250"/>
      <c r="BKK157" s="250"/>
      <c r="BKL157" s="250"/>
      <c r="BKM157" s="250"/>
      <c r="BKN157" s="250"/>
      <c r="BKO157" s="250"/>
      <c r="BKP157" s="250"/>
      <c r="BKQ157" s="250"/>
      <c r="BKR157" s="250"/>
      <c r="BKS157" s="250"/>
      <c r="BKT157" s="250"/>
      <c r="BKU157" s="250"/>
      <c r="BKV157" s="250"/>
      <c r="BKW157" s="250"/>
      <c r="BKX157" s="250"/>
      <c r="BKY157" s="250"/>
      <c r="BKZ157" s="250"/>
      <c r="BLA157" s="250"/>
      <c r="BLB157" s="250"/>
      <c r="BLC157" s="250"/>
      <c r="BLD157" s="250"/>
      <c r="BLE157" s="250"/>
      <c r="BLF157" s="250"/>
      <c r="BLG157" s="250"/>
      <c r="BLH157" s="250"/>
      <c r="BLI157" s="250"/>
      <c r="BLJ157" s="250"/>
      <c r="BLK157" s="250"/>
      <c r="BLL157" s="250"/>
      <c r="BLM157" s="250"/>
      <c r="BLN157" s="250"/>
      <c r="BLO157" s="250"/>
      <c r="BLP157" s="250"/>
      <c r="BLQ157" s="250"/>
      <c r="BLR157" s="250"/>
      <c r="BLS157" s="250"/>
      <c r="BLT157" s="250"/>
      <c r="BLU157" s="250"/>
      <c r="BLV157" s="250"/>
      <c r="BLW157" s="250"/>
      <c r="BLX157" s="250"/>
      <c r="BLY157" s="250"/>
      <c r="BLZ157" s="250"/>
      <c r="BMA157" s="250"/>
      <c r="BMB157" s="250"/>
      <c r="BMC157" s="250"/>
      <c r="BMD157" s="250"/>
      <c r="BME157" s="250"/>
      <c r="BMF157" s="250"/>
      <c r="BMG157" s="250"/>
      <c r="BMH157" s="250"/>
      <c r="BMI157" s="250"/>
      <c r="BMJ157" s="250"/>
      <c r="BMK157" s="250"/>
      <c r="BML157" s="250"/>
      <c r="BMM157" s="250"/>
      <c r="BMN157" s="250"/>
      <c r="BMO157" s="250"/>
      <c r="BMP157" s="250"/>
      <c r="BMQ157" s="250"/>
      <c r="BMR157" s="250"/>
      <c r="BMS157" s="250"/>
      <c r="BMT157" s="250"/>
      <c r="BMU157" s="250"/>
      <c r="BMV157" s="250"/>
      <c r="BMW157" s="250"/>
      <c r="BMX157" s="250"/>
      <c r="BMY157" s="250"/>
      <c r="BMZ157" s="250"/>
      <c r="BNA157" s="250"/>
      <c r="BNB157" s="250"/>
      <c r="BNC157" s="250"/>
      <c r="BND157" s="250"/>
      <c r="BNE157" s="250"/>
      <c r="BNF157" s="250"/>
      <c r="BNG157" s="250"/>
      <c r="BNH157" s="250"/>
      <c r="BNI157" s="250"/>
      <c r="BNJ157" s="250"/>
      <c r="BNK157" s="250"/>
      <c r="BNL157" s="250"/>
      <c r="BNM157" s="250"/>
      <c r="BNN157" s="250"/>
      <c r="BNO157" s="250"/>
      <c r="BNP157" s="250"/>
      <c r="BNQ157" s="250"/>
      <c r="BNR157" s="250"/>
      <c r="BNS157" s="250"/>
      <c r="BNT157" s="250"/>
      <c r="BNU157" s="250"/>
      <c r="BNV157" s="250"/>
      <c r="BNW157" s="250"/>
      <c r="BNX157" s="250"/>
      <c r="BNY157" s="250"/>
      <c r="BNZ157" s="250"/>
      <c r="BOA157" s="250"/>
      <c r="BOB157" s="250"/>
      <c r="BOC157" s="250"/>
      <c r="BOD157" s="250"/>
      <c r="BOE157" s="250"/>
      <c r="BOF157" s="250"/>
      <c r="BOG157" s="250"/>
      <c r="BOH157" s="250"/>
      <c r="BOI157" s="250"/>
      <c r="BOJ157" s="250"/>
      <c r="BOK157" s="250"/>
      <c r="BOL157" s="250"/>
      <c r="BOM157" s="250"/>
      <c r="BON157" s="250"/>
      <c r="BOO157" s="250"/>
      <c r="BOP157" s="250"/>
      <c r="BOQ157" s="250"/>
      <c r="BOR157" s="250"/>
      <c r="BOS157" s="250"/>
      <c r="BOT157" s="250"/>
      <c r="BOU157" s="250"/>
      <c r="BOV157" s="250"/>
      <c r="BOW157" s="250"/>
      <c r="BOX157" s="250"/>
      <c r="BOY157" s="250"/>
      <c r="BOZ157" s="250"/>
      <c r="BPA157" s="250"/>
      <c r="BPB157" s="250"/>
      <c r="BPC157" s="250"/>
      <c r="BPD157" s="250"/>
      <c r="BPE157" s="250"/>
      <c r="BPF157" s="250"/>
      <c r="BPG157" s="250"/>
      <c r="BPH157" s="250"/>
      <c r="BPI157" s="250"/>
      <c r="BPJ157" s="250"/>
      <c r="BPK157" s="250"/>
      <c r="BPL157" s="250"/>
      <c r="BPM157" s="250"/>
      <c r="BPN157" s="250"/>
      <c r="BPO157" s="250"/>
      <c r="BPP157" s="250"/>
      <c r="BPQ157" s="250"/>
      <c r="BPR157" s="250"/>
      <c r="BPS157" s="250"/>
      <c r="BPT157" s="250"/>
      <c r="BPU157" s="250"/>
      <c r="BPV157" s="250"/>
      <c r="BPW157" s="250"/>
      <c r="BPX157" s="250"/>
      <c r="BPY157" s="250"/>
      <c r="BPZ157" s="250"/>
      <c r="BQA157" s="250"/>
      <c r="BQB157" s="250"/>
      <c r="BQC157" s="250"/>
      <c r="BQD157" s="250"/>
      <c r="BQE157" s="250"/>
      <c r="BQF157" s="250"/>
      <c r="BQG157" s="250"/>
      <c r="BQH157" s="250"/>
      <c r="BQI157" s="250"/>
      <c r="BQJ157" s="250"/>
      <c r="BQK157" s="250"/>
      <c r="BQL157" s="250"/>
      <c r="BQM157" s="250"/>
      <c r="BQN157" s="250"/>
      <c r="BQO157" s="250"/>
      <c r="BQP157" s="250"/>
      <c r="BQQ157" s="250"/>
      <c r="BQR157" s="250"/>
      <c r="BQS157" s="250"/>
      <c r="BQT157" s="250"/>
      <c r="BQU157" s="250"/>
      <c r="BQV157" s="250"/>
      <c r="BQW157" s="250"/>
      <c r="BQX157" s="250"/>
      <c r="BQY157" s="250"/>
      <c r="BQZ157" s="250"/>
      <c r="BRA157" s="250"/>
      <c r="BRB157" s="250"/>
      <c r="BRC157" s="250"/>
      <c r="BRD157" s="250"/>
      <c r="BRE157" s="250"/>
      <c r="BRF157" s="250"/>
      <c r="BRG157" s="250"/>
      <c r="BRH157" s="250"/>
      <c r="BRI157" s="250"/>
      <c r="BRJ157" s="250"/>
      <c r="BRK157" s="250"/>
      <c r="BRL157" s="250"/>
      <c r="BRM157" s="250"/>
      <c r="BRN157" s="250"/>
      <c r="BRO157" s="250"/>
      <c r="BRP157" s="250"/>
      <c r="BRQ157" s="250"/>
      <c r="BRR157" s="250"/>
      <c r="BRS157" s="250"/>
      <c r="BRT157" s="250"/>
      <c r="BRU157" s="250"/>
      <c r="BRV157" s="250"/>
      <c r="BRW157" s="250"/>
      <c r="BRX157" s="250"/>
      <c r="BRY157" s="250"/>
      <c r="BRZ157" s="250"/>
      <c r="BSA157" s="250"/>
      <c r="BSB157" s="250"/>
      <c r="BSC157" s="250"/>
      <c r="BSD157" s="250"/>
      <c r="BSE157" s="250"/>
      <c r="BSF157" s="250"/>
      <c r="BSG157" s="250"/>
      <c r="BSH157" s="250"/>
      <c r="BSI157" s="250"/>
      <c r="BSJ157" s="250"/>
      <c r="BSK157" s="250"/>
      <c r="BSL157" s="250"/>
      <c r="BSM157" s="250"/>
      <c r="BSN157" s="250"/>
      <c r="BSO157" s="250"/>
      <c r="BSP157" s="250"/>
      <c r="BSQ157" s="250"/>
      <c r="BSR157" s="250"/>
      <c r="BSS157" s="250"/>
      <c r="BST157" s="250"/>
      <c r="BSU157" s="250"/>
      <c r="BSV157" s="250"/>
      <c r="BSW157" s="250"/>
      <c r="BSX157" s="250"/>
      <c r="BSY157" s="250"/>
      <c r="BSZ157" s="250"/>
      <c r="BTA157" s="250"/>
      <c r="BTB157" s="250"/>
      <c r="BTC157" s="250"/>
      <c r="BTD157" s="250"/>
      <c r="BTE157" s="250"/>
      <c r="BTF157" s="250"/>
      <c r="BTG157" s="250"/>
      <c r="BTH157" s="250"/>
      <c r="BTI157" s="250"/>
      <c r="BTJ157" s="250"/>
      <c r="BTK157" s="250"/>
      <c r="BTL157" s="250"/>
      <c r="BTM157" s="250"/>
      <c r="BTN157" s="250"/>
      <c r="BTO157" s="250"/>
      <c r="BTP157" s="250"/>
      <c r="BTQ157" s="250"/>
      <c r="BTR157" s="250"/>
      <c r="BTS157" s="250"/>
      <c r="BTT157" s="250"/>
      <c r="BTU157" s="250"/>
      <c r="BTV157" s="250"/>
      <c r="BTW157" s="250"/>
      <c r="BTX157" s="250"/>
      <c r="BTY157" s="250"/>
      <c r="BTZ157" s="250"/>
      <c r="BUA157" s="250"/>
      <c r="BUB157" s="250"/>
      <c r="BUC157" s="250"/>
      <c r="BUD157" s="250"/>
      <c r="BUE157" s="250"/>
      <c r="BUF157" s="250"/>
      <c r="BUG157" s="250"/>
      <c r="BUH157" s="250"/>
      <c r="BUI157" s="250"/>
      <c r="BUJ157" s="250"/>
      <c r="BUK157" s="250"/>
      <c r="BUL157" s="250"/>
      <c r="BUM157" s="250"/>
      <c r="BUN157" s="250"/>
      <c r="BUO157" s="250"/>
      <c r="BUP157" s="250"/>
      <c r="BUQ157" s="250"/>
      <c r="BUR157" s="250"/>
      <c r="BUS157" s="250"/>
      <c r="BUT157" s="250"/>
      <c r="BUU157" s="250"/>
      <c r="BUV157" s="250"/>
      <c r="BUW157" s="250"/>
      <c r="BUX157" s="250"/>
      <c r="BUY157" s="250"/>
      <c r="BUZ157" s="250"/>
      <c r="BVA157" s="250"/>
      <c r="BVB157" s="250"/>
      <c r="BVC157" s="250"/>
      <c r="BVD157" s="250"/>
      <c r="BVE157" s="250"/>
      <c r="BVF157" s="250"/>
      <c r="BVG157" s="250"/>
      <c r="BVH157" s="250"/>
      <c r="BVI157" s="250"/>
      <c r="BVJ157" s="250"/>
      <c r="BVK157" s="250"/>
      <c r="BVL157" s="250"/>
      <c r="BVM157" s="250"/>
      <c r="BVN157" s="250"/>
      <c r="BVO157" s="250"/>
      <c r="BVP157" s="250"/>
      <c r="BVQ157" s="250"/>
      <c r="BVR157" s="250"/>
      <c r="BVS157" s="250"/>
      <c r="BVT157" s="250"/>
      <c r="BVU157" s="250"/>
      <c r="BVV157" s="250"/>
      <c r="BVW157" s="250"/>
      <c r="BVX157" s="250"/>
      <c r="BVY157" s="250"/>
      <c r="BVZ157" s="250"/>
      <c r="BWA157" s="250"/>
      <c r="BWB157" s="250"/>
      <c r="BWC157" s="250"/>
      <c r="BWD157" s="250"/>
      <c r="BWE157" s="250"/>
      <c r="BWF157" s="250"/>
      <c r="BWG157" s="250"/>
      <c r="BWH157" s="250"/>
      <c r="BWI157" s="250"/>
      <c r="BWJ157" s="250"/>
      <c r="BWK157" s="250"/>
      <c r="BWL157" s="250"/>
      <c r="BWM157" s="250"/>
      <c r="BWN157" s="250"/>
      <c r="BWO157" s="250"/>
      <c r="BWP157" s="250"/>
      <c r="BWQ157" s="250"/>
      <c r="BWR157" s="250"/>
      <c r="BWS157" s="250"/>
      <c r="BWT157" s="250"/>
      <c r="BWU157" s="250"/>
      <c r="BWV157" s="250"/>
      <c r="BWW157" s="250"/>
      <c r="BWX157" s="250"/>
      <c r="BWY157" s="250"/>
      <c r="BWZ157" s="250"/>
      <c r="BXA157" s="250"/>
      <c r="BXB157" s="250"/>
      <c r="BXC157" s="250"/>
      <c r="BXD157" s="250"/>
      <c r="BXE157" s="250"/>
      <c r="BXF157" s="250"/>
      <c r="BXG157" s="250"/>
      <c r="BXH157" s="250"/>
      <c r="BXI157" s="250"/>
      <c r="BXJ157" s="250"/>
      <c r="BXK157" s="250"/>
      <c r="BXL157" s="250"/>
      <c r="BXM157" s="250"/>
      <c r="BXN157" s="250"/>
      <c r="BXO157" s="250"/>
      <c r="BXP157" s="250"/>
      <c r="BXQ157" s="250"/>
      <c r="BXR157" s="250"/>
      <c r="BXS157" s="250"/>
      <c r="BXT157" s="250"/>
      <c r="BXU157" s="250"/>
      <c r="BXV157" s="250"/>
      <c r="BXW157" s="250"/>
      <c r="BXX157" s="250"/>
      <c r="BXY157" s="250"/>
      <c r="BXZ157" s="250"/>
      <c r="BYA157" s="250"/>
      <c r="BYB157" s="250"/>
      <c r="BYC157" s="250"/>
      <c r="BYD157" s="250"/>
      <c r="BYE157" s="250"/>
      <c r="BYF157" s="250"/>
      <c r="BYG157" s="250"/>
      <c r="BYH157" s="250"/>
      <c r="BYI157" s="250"/>
      <c r="BYJ157" s="250"/>
      <c r="BYK157" s="250"/>
      <c r="BYL157" s="250"/>
      <c r="BYM157" s="250"/>
      <c r="BYN157" s="250"/>
      <c r="BYO157" s="250"/>
      <c r="BYP157" s="250"/>
      <c r="BYQ157" s="250"/>
      <c r="BYR157" s="250"/>
      <c r="BYS157" s="250"/>
      <c r="BYT157" s="250"/>
      <c r="BYU157" s="250"/>
      <c r="BYV157" s="250"/>
      <c r="BYW157" s="250"/>
      <c r="BYX157" s="250"/>
      <c r="BYY157" s="250"/>
      <c r="BYZ157" s="250"/>
      <c r="BZA157" s="250"/>
      <c r="BZB157" s="250"/>
      <c r="BZC157" s="250"/>
      <c r="BZD157" s="250"/>
      <c r="BZE157" s="250"/>
      <c r="BZF157" s="250"/>
      <c r="BZG157" s="250"/>
      <c r="BZH157" s="250"/>
      <c r="BZI157" s="250"/>
      <c r="BZJ157" s="250"/>
      <c r="BZK157" s="250"/>
      <c r="BZL157" s="250"/>
      <c r="BZM157" s="250"/>
      <c r="BZN157" s="250"/>
      <c r="BZO157" s="250"/>
      <c r="BZP157" s="250"/>
      <c r="BZQ157" s="250"/>
      <c r="BZR157" s="250"/>
      <c r="BZS157" s="250"/>
      <c r="BZT157" s="250"/>
      <c r="BZU157" s="250"/>
      <c r="BZV157" s="250"/>
      <c r="BZW157" s="250"/>
      <c r="BZX157" s="250"/>
      <c r="BZY157" s="250"/>
      <c r="BZZ157" s="250"/>
      <c r="CAA157" s="250"/>
      <c r="CAB157" s="250"/>
      <c r="CAC157" s="250"/>
      <c r="CAD157" s="250"/>
      <c r="CAE157" s="250"/>
      <c r="CAF157" s="250"/>
      <c r="CAG157" s="250"/>
      <c r="CAH157" s="250"/>
      <c r="CAI157" s="250"/>
      <c r="CAJ157" s="250"/>
      <c r="CAK157" s="250"/>
      <c r="CAL157" s="250"/>
      <c r="CAM157" s="250"/>
      <c r="CAN157" s="250"/>
      <c r="CAO157" s="250"/>
      <c r="CAP157" s="250"/>
      <c r="CAQ157" s="250"/>
      <c r="CAR157" s="250"/>
      <c r="CAS157" s="250"/>
      <c r="CAT157" s="250"/>
      <c r="CAU157" s="250"/>
      <c r="CAV157" s="250"/>
      <c r="CAW157" s="250"/>
      <c r="CAX157" s="250"/>
      <c r="CAY157" s="250"/>
      <c r="CAZ157" s="250"/>
      <c r="CBA157" s="250"/>
      <c r="CBB157" s="250"/>
      <c r="CBC157" s="250"/>
      <c r="CBD157" s="250"/>
      <c r="CBE157" s="250"/>
      <c r="CBF157" s="250"/>
      <c r="CBG157" s="250"/>
      <c r="CBH157" s="250"/>
      <c r="CBI157" s="250"/>
      <c r="CBJ157" s="250"/>
      <c r="CBK157" s="250"/>
      <c r="CBL157" s="250"/>
      <c r="CBM157" s="250"/>
      <c r="CBN157" s="250"/>
      <c r="CBO157" s="250"/>
      <c r="CBP157" s="250"/>
      <c r="CBQ157" s="250"/>
      <c r="CBR157" s="250"/>
      <c r="CBS157" s="250"/>
      <c r="CBT157" s="250"/>
      <c r="CBU157" s="250"/>
      <c r="CBV157" s="250"/>
      <c r="CBW157" s="250"/>
      <c r="CBX157" s="250"/>
      <c r="CBY157" s="250"/>
      <c r="CBZ157" s="250"/>
      <c r="CCA157" s="250"/>
      <c r="CCB157" s="250"/>
      <c r="CCC157" s="250"/>
      <c r="CCD157" s="250"/>
      <c r="CCE157" s="250"/>
      <c r="CCF157" s="250"/>
      <c r="CCG157" s="250"/>
      <c r="CCH157" s="250"/>
      <c r="CCI157" s="250"/>
      <c r="CCJ157" s="250"/>
      <c r="CCK157" s="250"/>
      <c r="CCL157" s="250"/>
      <c r="CCM157" s="250"/>
      <c r="CCN157" s="250"/>
      <c r="CCO157" s="250"/>
      <c r="CCP157" s="250"/>
      <c r="CCQ157" s="250"/>
      <c r="CCR157" s="250"/>
      <c r="CCS157" s="250"/>
      <c r="CCT157" s="250"/>
      <c r="CCU157" s="250"/>
      <c r="CCV157" s="250"/>
      <c r="CCW157" s="250"/>
      <c r="CCX157" s="250"/>
      <c r="CCY157" s="250"/>
      <c r="CCZ157" s="250"/>
      <c r="CDA157" s="250"/>
      <c r="CDB157" s="250"/>
      <c r="CDC157" s="250"/>
      <c r="CDD157" s="250"/>
      <c r="CDE157" s="250"/>
      <c r="CDF157" s="250"/>
      <c r="CDG157" s="250"/>
      <c r="CDH157" s="250"/>
      <c r="CDI157" s="250"/>
      <c r="CDJ157" s="250"/>
      <c r="CDK157" s="250"/>
      <c r="CDL157" s="250"/>
      <c r="CDM157" s="250"/>
      <c r="CDN157" s="250"/>
      <c r="CDO157" s="250"/>
      <c r="CDP157" s="250"/>
      <c r="CDQ157" s="250"/>
      <c r="CDR157" s="250"/>
      <c r="CDS157" s="250"/>
      <c r="CDT157" s="250"/>
      <c r="CDU157" s="250"/>
      <c r="CDV157" s="250"/>
      <c r="CDW157" s="250"/>
      <c r="CDX157" s="250"/>
      <c r="CDY157" s="250"/>
      <c r="CDZ157" s="250"/>
      <c r="CEA157" s="250"/>
      <c r="CEB157" s="250"/>
      <c r="CEC157" s="250"/>
      <c r="CED157" s="250"/>
      <c r="CEE157" s="250"/>
      <c r="CEF157" s="250"/>
      <c r="CEG157" s="250"/>
      <c r="CEH157" s="250"/>
      <c r="CEI157" s="250"/>
      <c r="CEJ157" s="250"/>
      <c r="CEK157" s="250"/>
      <c r="CEL157" s="250"/>
      <c r="CEM157" s="250"/>
      <c r="CEN157" s="250"/>
      <c r="CEO157" s="250"/>
      <c r="CEP157" s="250"/>
      <c r="CEQ157" s="250"/>
      <c r="CER157" s="250"/>
      <c r="CES157" s="250"/>
      <c r="CET157" s="250"/>
      <c r="CEU157" s="250"/>
      <c r="CEV157" s="250"/>
      <c r="CEW157" s="250"/>
      <c r="CEX157" s="250"/>
      <c r="CEY157" s="250"/>
      <c r="CEZ157" s="250"/>
      <c r="CFA157" s="250"/>
      <c r="CFB157" s="250"/>
      <c r="CFC157" s="250"/>
      <c r="CFD157" s="250"/>
      <c r="CFE157" s="250"/>
      <c r="CFF157" s="250"/>
      <c r="CFG157" s="250"/>
      <c r="CFH157" s="250"/>
      <c r="CFI157" s="250"/>
      <c r="CFJ157" s="250"/>
      <c r="CFK157" s="250"/>
      <c r="CFL157" s="250"/>
      <c r="CFM157" s="250"/>
      <c r="CFN157" s="250"/>
      <c r="CFO157" s="250"/>
      <c r="CFP157" s="250"/>
      <c r="CFQ157" s="250"/>
      <c r="CFR157" s="250"/>
      <c r="CFS157" s="250"/>
      <c r="CFT157" s="250"/>
      <c r="CFU157" s="250"/>
      <c r="CFV157" s="250"/>
      <c r="CFW157" s="250"/>
      <c r="CFX157" s="250"/>
      <c r="CFY157" s="250"/>
      <c r="CFZ157" s="250"/>
      <c r="CGA157" s="250"/>
      <c r="CGB157" s="250"/>
      <c r="CGC157" s="250"/>
      <c r="CGD157" s="250"/>
      <c r="CGE157" s="250"/>
      <c r="CGF157" s="250"/>
      <c r="CGG157" s="250"/>
      <c r="CGH157" s="250"/>
      <c r="CGI157" s="250"/>
      <c r="CGJ157" s="250"/>
      <c r="CGK157" s="250"/>
      <c r="CGL157" s="250"/>
      <c r="CGM157" s="250"/>
      <c r="CGN157" s="250"/>
      <c r="CGO157" s="250"/>
      <c r="CGP157" s="250"/>
      <c r="CGQ157" s="250"/>
      <c r="CGR157" s="250"/>
      <c r="CGS157" s="250"/>
      <c r="CGT157" s="250"/>
      <c r="CGU157" s="250"/>
      <c r="CGV157" s="250"/>
      <c r="CGW157" s="250"/>
      <c r="CGX157" s="250"/>
      <c r="CGY157" s="250"/>
      <c r="CGZ157" s="250"/>
      <c r="CHA157" s="250"/>
      <c r="CHB157" s="250"/>
      <c r="CHC157" s="250"/>
      <c r="CHD157" s="250"/>
      <c r="CHE157" s="250"/>
      <c r="CHF157" s="250"/>
      <c r="CHG157" s="250"/>
      <c r="CHH157" s="250"/>
      <c r="CHI157" s="250"/>
      <c r="CHJ157" s="250"/>
      <c r="CHK157" s="250"/>
      <c r="CHL157" s="250"/>
      <c r="CHM157" s="250"/>
      <c r="CHN157" s="250"/>
      <c r="CHO157" s="250"/>
      <c r="CHP157" s="250"/>
      <c r="CHQ157" s="250"/>
      <c r="CHR157" s="250"/>
      <c r="CHS157" s="250"/>
      <c r="CHT157" s="250"/>
      <c r="CHU157" s="250"/>
      <c r="CHV157" s="250"/>
      <c r="CHW157" s="250"/>
      <c r="CHX157" s="250"/>
      <c r="CHY157" s="250"/>
      <c r="CHZ157" s="250"/>
      <c r="CIA157" s="250"/>
      <c r="CIB157" s="250"/>
      <c r="CIC157" s="250"/>
      <c r="CID157" s="250"/>
      <c r="CIE157" s="250"/>
      <c r="CIF157" s="250"/>
      <c r="CIG157" s="250"/>
      <c r="CIH157" s="250"/>
      <c r="CII157" s="250"/>
      <c r="CIJ157" s="250"/>
      <c r="CIK157" s="250"/>
      <c r="CIL157" s="250"/>
      <c r="CIM157" s="250"/>
      <c r="CIN157" s="250"/>
      <c r="CIO157" s="250"/>
      <c r="CIP157" s="250"/>
      <c r="CIQ157" s="250"/>
      <c r="CIR157" s="250"/>
      <c r="CIS157" s="250"/>
      <c r="CIT157" s="250"/>
      <c r="CIU157" s="250"/>
      <c r="CIV157" s="250"/>
      <c r="CIW157" s="250"/>
      <c r="CIX157" s="250"/>
      <c r="CIY157" s="250"/>
      <c r="CIZ157" s="250"/>
      <c r="CJA157" s="250"/>
      <c r="CJB157" s="250"/>
      <c r="CJC157" s="250"/>
      <c r="CJD157" s="250"/>
      <c r="CJE157" s="250"/>
      <c r="CJF157" s="250"/>
      <c r="CJG157" s="250"/>
      <c r="CJH157" s="250"/>
      <c r="CJI157" s="250"/>
      <c r="CJJ157" s="250"/>
      <c r="CJK157" s="250"/>
      <c r="CJL157" s="250"/>
      <c r="CJM157" s="250"/>
      <c r="CJN157" s="250"/>
      <c r="CJO157" s="250"/>
      <c r="CJP157" s="250"/>
      <c r="CJQ157" s="250"/>
      <c r="CJR157" s="250"/>
      <c r="CJS157" s="250"/>
      <c r="CJT157" s="250"/>
      <c r="CJU157" s="250"/>
      <c r="CJV157" s="250"/>
      <c r="CJW157" s="250"/>
      <c r="CJX157" s="250"/>
      <c r="CJY157" s="250"/>
      <c r="CJZ157" s="250"/>
      <c r="CKA157" s="250"/>
      <c r="CKB157" s="250"/>
      <c r="CKC157" s="250"/>
      <c r="CKD157" s="250"/>
      <c r="CKE157" s="250"/>
      <c r="CKF157" s="250"/>
      <c r="CKG157" s="250"/>
      <c r="CKH157" s="250"/>
      <c r="CKI157" s="250"/>
      <c r="CKJ157" s="250"/>
      <c r="CKK157" s="250"/>
      <c r="CKL157" s="250"/>
      <c r="CKM157" s="250"/>
      <c r="CKN157" s="250"/>
      <c r="CKO157" s="250"/>
      <c r="CKP157" s="250"/>
      <c r="CKQ157" s="250"/>
      <c r="CKR157" s="250"/>
      <c r="CKS157" s="250"/>
      <c r="CKT157" s="250"/>
      <c r="CKU157" s="250"/>
      <c r="CKV157" s="250"/>
      <c r="CKW157" s="250"/>
      <c r="CKX157" s="250"/>
      <c r="CKY157" s="250"/>
      <c r="CKZ157" s="250"/>
      <c r="CLA157" s="250"/>
      <c r="CLB157" s="250"/>
      <c r="CLC157" s="250"/>
      <c r="CLD157" s="250"/>
      <c r="CLE157" s="250"/>
      <c r="CLF157" s="250"/>
      <c r="CLG157" s="250"/>
      <c r="CLH157" s="250"/>
      <c r="CLI157" s="250"/>
      <c r="CLJ157" s="250"/>
      <c r="CLK157" s="250"/>
      <c r="CLL157" s="250"/>
      <c r="CLM157" s="250"/>
      <c r="CLN157" s="250"/>
      <c r="CLO157" s="250"/>
      <c r="CLP157" s="250"/>
      <c r="CLQ157" s="250"/>
      <c r="CLR157" s="250"/>
      <c r="CLS157" s="250"/>
      <c r="CLT157" s="250"/>
      <c r="CLU157" s="250"/>
      <c r="CLV157" s="250"/>
      <c r="CLW157" s="250"/>
      <c r="CLX157" s="250"/>
      <c r="CLY157" s="250"/>
      <c r="CLZ157" s="250"/>
      <c r="CMA157" s="250"/>
      <c r="CMB157" s="250"/>
      <c r="CMC157" s="250"/>
      <c r="CMD157" s="250"/>
      <c r="CME157" s="250"/>
      <c r="CMF157" s="250"/>
      <c r="CMG157" s="250"/>
      <c r="CMH157" s="250"/>
      <c r="CMI157" s="250"/>
      <c r="CMJ157" s="250"/>
      <c r="CMK157" s="250"/>
      <c r="CML157" s="250"/>
      <c r="CMM157" s="250"/>
      <c r="CMN157" s="250"/>
      <c r="CMO157" s="250"/>
      <c r="CMP157" s="250"/>
      <c r="CMQ157" s="250"/>
      <c r="CMR157" s="250"/>
      <c r="CMS157" s="250"/>
      <c r="CMT157" s="250"/>
      <c r="CMU157" s="250"/>
      <c r="CMV157" s="250"/>
      <c r="CMW157" s="250"/>
      <c r="CMX157" s="250"/>
      <c r="CMY157" s="250"/>
      <c r="CMZ157" s="250"/>
      <c r="CNA157" s="250"/>
      <c r="CNB157" s="250"/>
      <c r="CNC157" s="250"/>
      <c r="CND157" s="250"/>
      <c r="CNE157" s="250"/>
      <c r="CNF157" s="250"/>
      <c r="CNG157" s="250"/>
      <c r="CNH157" s="250"/>
      <c r="CNI157" s="250"/>
      <c r="CNJ157" s="250"/>
      <c r="CNK157" s="250"/>
      <c r="CNL157" s="250"/>
      <c r="CNM157" s="250"/>
      <c r="CNN157" s="250"/>
      <c r="CNO157" s="250"/>
      <c r="CNP157" s="250"/>
      <c r="CNQ157" s="250"/>
      <c r="CNR157" s="250"/>
      <c r="CNS157" s="250"/>
      <c r="CNT157" s="250"/>
      <c r="CNU157" s="250"/>
      <c r="CNV157" s="250"/>
      <c r="CNW157" s="250"/>
      <c r="CNX157" s="250"/>
      <c r="CNY157" s="250"/>
      <c r="CNZ157" s="250"/>
      <c r="COA157" s="250"/>
      <c r="COB157" s="250"/>
      <c r="COC157" s="250"/>
      <c r="COD157" s="250"/>
      <c r="COE157" s="250"/>
      <c r="COF157" s="250"/>
      <c r="COG157" s="250"/>
      <c r="COH157" s="250"/>
      <c r="COI157" s="250"/>
      <c r="COJ157" s="250"/>
      <c r="COK157" s="250"/>
      <c r="COL157" s="250"/>
      <c r="COM157" s="250"/>
      <c r="CON157" s="250"/>
      <c r="COO157" s="250"/>
      <c r="COP157" s="250"/>
      <c r="COQ157" s="250"/>
      <c r="COR157" s="250"/>
      <c r="COS157" s="250"/>
      <c r="COT157" s="250"/>
      <c r="COU157" s="250"/>
      <c r="COV157" s="250"/>
      <c r="COW157" s="250"/>
      <c r="COX157" s="250"/>
      <c r="COY157" s="250"/>
      <c r="COZ157" s="250"/>
      <c r="CPA157" s="250"/>
      <c r="CPB157" s="250"/>
      <c r="CPC157" s="250"/>
      <c r="CPD157" s="250"/>
      <c r="CPE157" s="250"/>
      <c r="CPF157" s="250"/>
      <c r="CPG157" s="250"/>
      <c r="CPH157" s="250"/>
      <c r="CPI157" s="250"/>
      <c r="CPJ157" s="250"/>
      <c r="CPK157" s="250"/>
      <c r="CPL157" s="250"/>
      <c r="CPM157" s="250"/>
      <c r="CPN157" s="250"/>
      <c r="CPO157" s="250"/>
      <c r="CPP157" s="250"/>
      <c r="CPQ157" s="250"/>
      <c r="CPR157" s="250"/>
      <c r="CPS157" s="250"/>
      <c r="CPT157" s="250"/>
      <c r="CPU157" s="250"/>
      <c r="CPV157" s="250"/>
      <c r="CPW157" s="250"/>
      <c r="CPX157" s="250"/>
      <c r="CPY157" s="250"/>
      <c r="CPZ157" s="250"/>
      <c r="CQA157" s="250"/>
      <c r="CQB157" s="250"/>
      <c r="CQC157" s="250"/>
      <c r="CQD157" s="250"/>
      <c r="CQE157" s="250"/>
      <c r="CQF157" s="250"/>
      <c r="CQG157" s="250"/>
      <c r="CQH157" s="250"/>
      <c r="CQI157" s="250"/>
      <c r="CQJ157" s="250"/>
      <c r="CQK157" s="250"/>
      <c r="CQL157" s="250"/>
      <c r="CQM157" s="250"/>
      <c r="CQN157" s="250"/>
      <c r="CQO157" s="250"/>
      <c r="CQP157" s="250"/>
      <c r="CQQ157" s="250"/>
      <c r="CQR157" s="250"/>
      <c r="CQS157" s="250"/>
      <c r="CQT157" s="250"/>
      <c r="CQU157" s="250"/>
      <c r="CQV157" s="250"/>
      <c r="CQW157" s="250"/>
      <c r="CQX157" s="250"/>
      <c r="CQY157" s="250"/>
      <c r="CQZ157" s="250"/>
      <c r="CRA157" s="250"/>
      <c r="CRB157" s="250"/>
      <c r="CRC157" s="250"/>
      <c r="CRD157" s="250"/>
      <c r="CRE157" s="250"/>
      <c r="CRF157" s="250"/>
      <c r="CRG157" s="250"/>
      <c r="CRH157" s="250"/>
      <c r="CRI157" s="250"/>
      <c r="CRJ157" s="250"/>
      <c r="CRK157" s="250"/>
      <c r="CRL157" s="250"/>
      <c r="CRM157" s="250"/>
      <c r="CRN157" s="250"/>
      <c r="CRO157" s="250"/>
      <c r="CRP157" s="250"/>
      <c r="CRQ157" s="250"/>
      <c r="CRR157" s="250"/>
      <c r="CRS157" s="250"/>
      <c r="CRT157" s="250"/>
      <c r="CRU157" s="250"/>
      <c r="CRV157" s="250"/>
      <c r="CRW157" s="250"/>
      <c r="CRX157" s="250"/>
      <c r="CRY157" s="250"/>
      <c r="CRZ157" s="250"/>
      <c r="CSA157" s="250"/>
      <c r="CSB157" s="250"/>
      <c r="CSC157" s="250"/>
      <c r="CSD157" s="250"/>
      <c r="CSE157" s="250"/>
      <c r="CSF157" s="250"/>
      <c r="CSG157" s="250"/>
      <c r="CSH157" s="250"/>
      <c r="CSI157" s="250"/>
      <c r="CSJ157" s="250"/>
      <c r="CSK157" s="250"/>
      <c r="CSL157" s="250"/>
      <c r="CSM157" s="250"/>
      <c r="CSN157" s="250"/>
      <c r="CSO157" s="250"/>
      <c r="CSP157" s="250"/>
      <c r="CSQ157" s="250"/>
      <c r="CSR157" s="250"/>
      <c r="CSS157" s="250"/>
      <c r="CST157" s="250"/>
      <c r="CSU157" s="250"/>
      <c r="CSV157" s="250"/>
      <c r="CSW157" s="250"/>
      <c r="CSX157" s="250"/>
      <c r="CSY157" s="250"/>
      <c r="CSZ157" s="250"/>
      <c r="CTA157" s="250"/>
      <c r="CTB157" s="250"/>
      <c r="CTC157" s="250"/>
      <c r="CTD157" s="250"/>
      <c r="CTE157" s="250"/>
      <c r="CTF157" s="250"/>
      <c r="CTG157" s="250"/>
      <c r="CTH157" s="250"/>
      <c r="CTI157" s="250"/>
      <c r="CTJ157" s="250"/>
      <c r="CTK157" s="250"/>
      <c r="CTL157" s="250"/>
      <c r="CTM157" s="250"/>
      <c r="CTN157" s="250"/>
      <c r="CTO157" s="250"/>
      <c r="CTP157" s="250"/>
      <c r="CTQ157" s="250"/>
      <c r="CTR157" s="250"/>
      <c r="CTS157" s="250"/>
      <c r="CTT157" s="250"/>
      <c r="CTU157" s="250"/>
      <c r="CTV157" s="250"/>
      <c r="CTW157" s="250"/>
      <c r="CTX157" s="250"/>
      <c r="CTY157" s="250"/>
      <c r="CTZ157" s="250"/>
      <c r="CUA157" s="250"/>
      <c r="CUB157" s="250"/>
      <c r="CUC157" s="250"/>
      <c r="CUD157" s="250"/>
      <c r="CUE157" s="250"/>
      <c r="CUF157" s="250"/>
      <c r="CUG157" s="250"/>
      <c r="CUH157" s="250"/>
      <c r="CUI157" s="250"/>
      <c r="CUJ157" s="250"/>
      <c r="CUK157" s="250"/>
      <c r="CUL157" s="250"/>
      <c r="CUM157" s="250"/>
      <c r="CUN157" s="250"/>
      <c r="CUO157" s="250"/>
      <c r="CUP157" s="250"/>
      <c r="CUQ157" s="250"/>
      <c r="CUR157" s="250"/>
      <c r="CUS157" s="250"/>
      <c r="CUT157" s="250"/>
      <c r="CUU157" s="250"/>
      <c r="CUV157" s="250"/>
      <c r="CUW157" s="250"/>
      <c r="CUX157" s="250"/>
      <c r="CUY157" s="250"/>
      <c r="CUZ157" s="250"/>
      <c r="CVA157" s="250"/>
      <c r="CVB157" s="250"/>
      <c r="CVC157" s="250"/>
      <c r="CVD157" s="250"/>
      <c r="CVE157" s="250"/>
      <c r="CVF157" s="250"/>
      <c r="CVG157" s="250"/>
      <c r="CVH157" s="250"/>
      <c r="CVI157" s="250"/>
      <c r="CVJ157" s="250"/>
      <c r="CVK157" s="250"/>
      <c r="CVL157" s="250"/>
      <c r="CVM157" s="250"/>
      <c r="CVN157" s="250"/>
      <c r="CVO157" s="250"/>
      <c r="CVP157" s="250"/>
      <c r="CVQ157" s="250"/>
      <c r="CVR157" s="250"/>
      <c r="CVS157" s="250"/>
      <c r="CVT157" s="250"/>
      <c r="CVU157" s="250"/>
      <c r="CVV157" s="250"/>
      <c r="CVW157" s="250"/>
      <c r="CVX157" s="250"/>
      <c r="CVY157" s="250"/>
      <c r="CVZ157" s="250"/>
      <c r="CWA157" s="250"/>
      <c r="CWB157" s="250"/>
      <c r="CWC157" s="250"/>
      <c r="CWD157" s="250"/>
      <c r="CWE157" s="250"/>
      <c r="CWF157" s="250"/>
      <c r="CWG157" s="250"/>
      <c r="CWH157" s="250"/>
      <c r="CWI157" s="250"/>
      <c r="CWJ157" s="250"/>
      <c r="CWK157" s="250"/>
      <c r="CWL157" s="250"/>
      <c r="CWM157" s="250"/>
      <c r="CWN157" s="250"/>
      <c r="CWO157" s="250"/>
      <c r="CWP157" s="250"/>
      <c r="CWQ157" s="250"/>
      <c r="CWR157" s="250"/>
      <c r="CWS157" s="250"/>
      <c r="CWT157" s="250"/>
      <c r="CWU157" s="250"/>
      <c r="CWV157" s="250"/>
      <c r="CWW157" s="250"/>
      <c r="CWX157" s="250"/>
      <c r="CWY157" s="250"/>
      <c r="CWZ157" s="250"/>
      <c r="CXA157" s="250"/>
      <c r="CXB157" s="250"/>
      <c r="CXC157" s="250"/>
      <c r="CXD157" s="250"/>
      <c r="CXE157" s="250"/>
      <c r="CXF157" s="250"/>
      <c r="CXG157" s="250"/>
      <c r="CXH157" s="250"/>
      <c r="CXI157" s="250"/>
      <c r="CXJ157" s="250"/>
      <c r="CXK157" s="250"/>
      <c r="CXL157" s="250"/>
      <c r="CXM157" s="250"/>
      <c r="CXN157" s="250"/>
      <c r="CXO157" s="250"/>
      <c r="CXP157" s="250"/>
      <c r="CXQ157" s="250"/>
      <c r="CXR157" s="250"/>
      <c r="CXS157" s="250"/>
      <c r="CXT157" s="250"/>
      <c r="CXU157" s="250"/>
      <c r="CXV157" s="250"/>
      <c r="CXW157" s="250"/>
      <c r="CXX157" s="250"/>
      <c r="CXY157" s="250"/>
      <c r="CXZ157" s="250"/>
      <c r="CYA157" s="250"/>
      <c r="CYB157" s="250"/>
      <c r="CYC157" s="250"/>
      <c r="CYD157" s="250"/>
      <c r="CYE157" s="250"/>
      <c r="CYF157" s="250"/>
      <c r="CYG157" s="250"/>
      <c r="CYH157" s="250"/>
      <c r="CYI157" s="250"/>
      <c r="CYJ157" s="250"/>
      <c r="CYK157" s="250"/>
      <c r="CYL157" s="250"/>
      <c r="CYM157" s="250"/>
      <c r="CYN157" s="250"/>
      <c r="CYO157" s="250"/>
      <c r="CYP157" s="250"/>
      <c r="CYQ157" s="250"/>
      <c r="CYR157" s="250"/>
      <c r="CYS157" s="250"/>
      <c r="CYT157" s="250"/>
      <c r="CYU157" s="250"/>
      <c r="CYV157" s="250"/>
      <c r="CYW157" s="250"/>
      <c r="CYX157" s="250"/>
      <c r="CYY157" s="250"/>
      <c r="CYZ157" s="250"/>
      <c r="CZA157" s="250"/>
      <c r="CZB157" s="250"/>
      <c r="CZC157" s="250"/>
      <c r="CZD157" s="250"/>
      <c r="CZE157" s="250"/>
      <c r="CZF157" s="250"/>
      <c r="CZG157" s="250"/>
      <c r="CZH157" s="250"/>
      <c r="CZI157" s="250"/>
      <c r="CZJ157" s="250"/>
      <c r="CZK157" s="250"/>
      <c r="CZL157" s="250"/>
      <c r="CZM157" s="250"/>
      <c r="CZN157" s="250"/>
      <c r="CZO157" s="250"/>
      <c r="CZP157" s="250"/>
      <c r="CZQ157" s="250"/>
      <c r="CZR157" s="250"/>
      <c r="CZS157" s="250"/>
      <c r="CZT157" s="250"/>
      <c r="CZU157" s="250"/>
      <c r="CZV157" s="250"/>
      <c r="CZW157" s="250"/>
      <c r="CZX157" s="250"/>
      <c r="CZY157" s="250"/>
      <c r="CZZ157" s="250"/>
      <c r="DAA157" s="250"/>
      <c r="DAB157" s="250"/>
      <c r="DAC157" s="250"/>
      <c r="DAD157" s="250"/>
      <c r="DAE157" s="250"/>
      <c r="DAF157" s="250"/>
      <c r="DAG157" s="250"/>
      <c r="DAH157" s="250"/>
      <c r="DAI157" s="250"/>
      <c r="DAJ157" s="250"/>
      <c r="DAK157" s="250"/>
      <c r="DAL157" s="250"/>
      <c r="DAM157" s="250"/>
      <c r="DAN157" s="250"/>
      <c r="DAO157" s="250"/>
      <c r="DAP157" s="250"/>
      <c r="DAQ157" s="250"/>
      <c r="DAR157" s="250"/>
      <c r="DAS157" s="250"/>
      <c r="DAT157" s="250"/>
      <c r="DAU157" s="250"/>
      <c r="DAV157" s="250"/>
      <c r="DAW157" s="250"/>
      <c r="DAX157" s="250"/>
      <c r="DAY157" s="250"/>
      <c r="DAZ157" s="250"/>
      <c r="DBA157" s="250"/>
      <c r="DBB157" s="250"/>
      <c r="DBC157" s="250"/>
      <c r="DBD157" s="250"/>
      <c r="DBE157" s="250"/>
      <c r="DBF157" s="250"/>
      <c r="DBG157" s="250"/>
      <c r="DBH157" s="250"/>
      <c r="DBI157" s="250"/>
      <c r="DBJ157" s="250"/>
      <c r="DBK157" s="250"/>
      <c r="DBL157" s="250"/>
      <c r="DBM157" s="250"/>
      <c r="DBN157" s="250"/>
      <c r="DBO157" s="250"/>
      <c r="DBP157" s="250"/>
      <c r="DBQ157" s="250"/>
      <c r="DBR157" s="250"/>
      <c r="DBS157" s="250"/>
      <c r="DBT157" s="250"/>
      <c r="DBU157" s="250"/>
      <c r="DBV157" s="250"/>
      <c r="DBW157" s="250"/>
      <c r="DBX157" s="250"/>
      <c r="DBY157" s="250"/>
      <c r="DBZ157" s="250"/>
      <c r="DCA157" s="250"/>
      <c r="DCB157" s="250"/>
      <c r="DCC157" s="250"/>
      <c r="DCD157" s="250"/>
      <c r="DCE157" s="250"/>
      <c r="DCF157" s="250"/>
      <c r="DCG157" s="250"/>
      <c r="DCH157" s="250"/>
      <c r="DCI157" s="250"/>
      <c r="DCJ157" s="250"/>
      <c r="DCK157" s="250"/>
      <c r="DCL157" s="250"/>
      <c r="DCM157" s="250"/>
      <c r="DCN157" s="250"/>
      <c r="DCO157" s="250"/>
      <c r="DCP157" s="250"/>
      <c r="DCQ157" s="250"/>
      <c r="DCR157" s="250"/>
      <c r="DCS157" s="250"/>
      <c r="DCT157" s="250"/>
      <c r="DCU157" s="250"/>
      <c r="DCV157" s="250"/>
      <c r="DCW157" s="250"/>
      <c r="DCX157" s="250"/>
      <c r="DCY157" s="250"/>
      <c r="DCZ157" s="250"/>
      <c r="DDA157" s="250"/>
      <c r="DDB157" s="250"/>
      <c r="DDC157" s="250"/>
      <c r="DDD157" s="250"/>
      <c r="DDE157" s="250"/>
      <c r="DDF157" s="250"/>
      <c r="DDG157" s="250"/>
      <c r="DDH157" s="250"/>
      <c r="DDI157" s="250"/>
      <c r="DDJ157" s="250"/>
      <c r="DDK157" s="250"/>
      <c r="DDL157" s="250"/>
      <c r="DDM157" s="250"/>
      <c r="DDN157" s="250"/>
      <c r="DDO157" s="250"/>
      <c r="DDP157" s="250"/>
      <c r="DDQ157" s="250"/>
      <c r="DDR157" s="250"/>
      <c r="DDS157" s="250"/>
      <c r="DDT157" s="250"/>
      <c r="DDU157" s="250"/>
      <c r="DDV157" s="250"/>
      <c r="DDW157" s="250"/>
      <c r="DDX157" s="250"/>
      <c r="DDY157" s="250"/>
      <c r="DDZ157" s="250"/>
      <c r="DEA157" s="250"/>
      <c r="DEB157" s="250"/>
      <c r="DEC157" s="250"/>
      <c r="DED157" s="250"/>
      <c r="DEE157" s="250"/>
      <c r="DEF157" s="250"/>
      <c r="DEG157" s="250"/>
      <c r="DEH157" s="250"/>
      <c r="DEI157" s="250"/>
      <c r="DEJ157" s="250"/>
      <c r="DEK157" s="250"/>
      <c r="DEL157" s="250"/>
      <c r="DEM157" s="250"/>
      <c r="DEN157" s="250"/>
      <c r="DEO157" s="250"/>
      <c r="DEP157" s="250"/>
      <c r="DEQ157" s="250"/>
      <c r="DER157" s="250"/>
      <c r="DES157" s="250"/>
      <c r="DET157" s="250"/>
      <c r="DEU157" s="250"/>
      <c r="DEV157" s="250"/>
      <c r="DEW157" s="250"/>
      <c r="DEX157" s="250"/>
      <c r="DEY157" s="250"/>
      <c r="DEZ157" s="250"/>
      <c r="DFA157" s="250"/>
      <c r="DFB157" s="250"/>
      <c r="DFC157" s="250"/>
      <c r="DFD157" s="250"/>
      <c r="DFE157" s="250"/>
      <c r="DFF157" s="250"/>
      <c r="DFG157" s="250"/>
      <c r="DFH157" s="250"/>
      <c r="DFI157" s="250"/>
      <c r="DFJ157" s="250"/>
      <c r="DFK157" s="250"/>
      <c r="DFL157" s="250"/>
      <c r="DFM157" s="250"/>
      <c r="DFN157" s="250"/>
      <c r="DFO157" s="250"/>
      <c r="DFP157" s="250"/>
      <c r="DFQ157" s="250"/>
      <c r="DFR157" s="250"/>
      <c r="DFS157" s="250"/>
      <c r="DFT157" s="250"/>
      <c r="DFU157" s="250"/>
      <c r="DFV157" s="250"/>
      <c r="DFW157" s="250"/>
      <c r="DFX157" s="250"/>
      <c r="DFY157" s="250"/>
      <c r="DFZ157" s="250"/>
      <c r="DGA157" s="250"/>
      <c r="DGB157" s="250"/>
      <c r="DGC157" s="250"/>
      <c r="DGD157" s="250"/>
      <c r="DGE157" s="250"/>
      <c r="DGF157" s="250"/>
      <c r="DGG157" s="250"/>
      <c r="DGH157" s="250"/>
      <c r="DGI157" s="250"/>
      <c r="DGJ157" s="250"/>
      <c r="DGK157" s="250"/>
      <c r="DGL157" s="250"/>
      <c r="DGM157" s="250"/>
      <c r="DGN157" s="250"/>
      <c r="DGO157" s="250"/>
      <c r="DGP157" s="250"/>
      <c r="DGQ157" s="250"/>
      <c r="DGR157" s="250"/>
      <c r="DGS157" s="250"/>
      <c r="DGT157" s="250"/>
      <c r="DGU157" s="250"/>
      <c r="DGV157" s="250"/>
      <c r="DGW157" s="250"/>
      <c r="DGX157" s="250"/>
      <c r="DGY157" s="250"/>
      <c r="DGZ157" s="250"/>
      <c r="DHA157" s="250"/>
      <c r="DHB157" s="250"/>
      <c r="DHC157" s="250"/>
      <c r="DHD157" s="250"/>
      <c r="DHE157" s="250"/>
      <c r="DHF157" s="250"/>
      <c r="DHG157" s="250"/>
      <c r="DHH157" s="250"/>
      <c r="DHI157" s="250"/>
      <c r="DHJ157" s="250"/>
      <c r="DHK157" s="250"/>
      <c r="DHL157" s="250"/>
      <c r="DHM157" s="250"/>
      <c r="DHN157" s="250"/>
      <c r="DHO157" s="250"/>
      <c r="DHP157" s="250"/>
      <c r="DHQ157" s="250"/>
      <c r="DHR157" s="250"/>
      <c r="DHS157" s="250"/>
      <c r="DHT157" s="250"/>
      <c r="DHU157" s="250"/>
      <c r="DHV157" s="250"/>
      <c r="DHW157" s="250"/>
      <c r="DHX157" s="250"/>
      <c r="DHY157" s="250"/>
      <c r="DHZ157" s="250"/>
      <c r="DIA157" s="250"/>
      <c r="DIB157" s="250"/>
      <c r="DIC157" s="250"/>
      <c r="DID157" s="250"/>
      <c r="DIE157" s="250"/>
      <c r="DIF157" s="250"/>
      <c r="DIG157" s="250"/>
      <c r="DIH157" s="250"/>
      <c r="DII157" s="250"/>
      <c r="DIJ157" s="250"/>
      <c r="DIK157" s="250"/>
      <c r="DIL157" s="250"/>
      <c r="DIM157" s="250"/>
      <c r="DIN157" s="250"/>
      <c r="DIO157" s="250"/>
      <c r="DIP157" s="250"/>
      <c r="DIQ157" s="250"/>
      <c r="DIR157" s="250"/>
      <c r="DIS157" s="250"/>
      <c r="DIT157" s="250"/>
      <c r="DIU157" s="250"/>
      <c r="DIV157" s="250"/>
      <c r="DIW157" s="250"/>
      <c r="DIX157" s="250"/>
      <c r="DIY157" s="250"/>
      <c r="DIZ157" s="250"/>
      <c r="DJA157" s="250"/>
      <c r="DJB157" s="250"/>
      <c r="DJC157" s="250"/>
      <c r="DJD157" s="250"/>
      <c r="DJE157" s="250"/>
      <c r="DJF157" s="250"/>
      <c r="DJG157" s="250"/>
      <c r="DJH157" s="250"/>
      <c r="DJI157" s="250"/>
      <c r="DJJ157" s="250"/>
      <c r="DJK157" s="250"/>
      <c r="DJL157" s="250"/>
      <c r="DJM157" s="250"/>
      <c r="DJN157" s="250"/>
      <c r="DJO157" s="250"/>
      <c r="DJP157" s="250"/>
      <c r="DJQ157" s="250"/>
      <c r="DJR157" s="250"/>
      <c r="DJS157" s="250"/>
      <c r="DJT157" s="250"/>
      <c r="DJU157" s="250"/>
      <c r="DJV157" s="250"/>
      <c r="DJW157" s="250"/>
      <c r="DJX157" s="250"/>
      <c r="DJY157" s="250"/>
      <c r="DJZ157" s="250"/>
      <c r="DKA157" s="250"/>
      <c r="DKB157" s="250"/>
      <c r="DKC157" s="250"/>
      <c r="DKD157" s="250"/>
      <c r="DKE157" s="250"/>
      <c r="DKF157" s="250"/>
      <c r="DKG157" s="250"/>
      <c r="DKH157" s="250"/>
      <c r="DKI157" s="250"/>
      <c r="DKJ157" s="250"/>
      <c r="DKK157" s="250"/>
      <c r="DKL157" s="250"/>
      <c r="DKM157" s="250"/>
      <c r="DKN157" s="250"/>
      <c r="DKO157" s="250"/>
      <c r="DKP157" s="250"/>
      <c r="DKQ157" s="250"/>
      <c r="DKR157" s="250"/>
      <c r="DKS157" s="250"/>
      <c r="DKT157" s="250"/>
      <c r="DKU157" s="250"/>
      <c r="DKV157" s="250"/>
      <c r="DKW157" s="250"/>
      <c r="DKX157" s="250"/>
      <c r="DKY157" s="250"/>
      <c r="DKZ157" s="250"/>
      <c r="DLA157" s="250"/>
      <c r="DLB157" s="250"/>
      <c r="DLC157" s="250"/>
      <c r="DLD157" s="250"/>
      <c r="DLE157" s="250"/>
      <c r="DLF157" s="250"/>
      <c r="DLG157" s="250"/>
      <c r="DLH157" s="250"/>
      <c r="DLI157" s="250"/>
      <c r="DLJ157" s="250"/>
      <c r="DLK157" s="250"/>
      <c r="DLL157" s="250"/>
      <c r="DLM157" s="250"/>
      <c r="DLN157" s="250"/>
      <c r="DLO157" s="250"/>
      <c r="DLP157" s="250"/>
      <c r="DLQ157" s="250"/>
      <c r="DLR157" s="250"/>
      <c r="DLS157" s="250"/>
      <c r="DLT157" s="250"/>
      <c r="DLU157" s="250"/>
      <c r="DLV157" s="250"/>
      <c r="DLW157" s="250"/>
      <c r="DLX157" s="250"/>
      <c r="DLY157" s="250"/>
      <c r="DLZ157" s="250"/>
      <c r="DMA157" s="250"/>
      <c r="DMB157" s="250"/>
      <c r="DMC157" s="250"/>
      <c r="DMD157" s="250"/>
      <c r="DME157" s="250"/>
      <c r="DMF157" s="250"/>
      <c r="DMG157" s="250"/>
      <c r="DMH157" s="250"/>
      <c r="DMI157" s="250"/>
      <c r="DMJ157" s="250"/>
      <c r="DMK157" s="250"/>
      <c r="DML157" s="250"/>
      <c r="DMM157" s="250"/>
      <c r="DMN157" s="250"/>
      <c r="DMO157" s="250"/>
      <c r="DMP157" s="250"/>
      <c r="DMQ157" s="250"/>
      <c r="DMR157" s="250"/>
      <c r="DMS157" s="250"/>
      <c r="DMT157" s="250"/>
      <c r="DMU157" s="250"/>
      <c r="DMV157" s="250"/>
      <c r="DMW157" s="250"/>
      <c r="DMX157" s="250"/>
      <c r="DMY157" s="250"/>
      <c r="DMZ157" s="250"/>
      <c r="DNA157" s="250"/>
      <c r="DNB157" s="250"/>
      <c r="DNC157" s="250"/>
      <c r="DND157" s="250"/>
      <c r="DNE157" s="250"/>
      <c r="DNF157" s="250"/>
      <c r="DNG157" s="250"/>
      <c r="DNH157" s="250"/>
      <c r="DNI157" s="250"/>
      <c r="DNJ157" s="250"/>
      <c r="DNK157" s="250"/>
      <c r="DNL157" s="250"/>
      <c r="DNM157" s="250"/>
      <c r="DNN157" s="250"/>
      <c r="DNO157" s="250"/>
      <c r="DNP157" s="250"/>
      <c r="DNQ157" s="250"/>
      <c r="DNR157" s="250"/>
      <c r="DNS157" s="250"/>
      <c r="DNT157" s="250"/>
      <c r="DNU157" s="250"/>
      <c r="DNV157" s="250"/>
      <c r="DNW157" s="250"/>
      <c r="DNX157" s="250"/>
      <c r="DNY157" s="250"/>
      <c r="DNZ157" s="250"/>
      <c r="DOA157" s="250"/>
      <c r="DOB157" s="250"/>
      <c r="DOC157" s="250"/>
      <c r="DOD157" s="250"/>
      <c r="DOE157" s="250"/>
      <c r="DOF157" s="250"/>
      <c r="DOG157" s="250"/>
      <c r="DOH157" s="250"/>
      <c r="DOI157" s="250"/>
      <c r="DOJ157" s="250"/>
      <c r="DOK157" s="250"/>
      <c r="DOL157" s="250"/>
      <c r="DOM157" s="250"/>
      <c r="DON157" s="250"/>
      <c r="DOO157" s="250"/>
      <c r="DOP157" s="250"/>
      <c r="DOQ157" s="250"/>
      <c r="DOR157" s="250"/>
      <c r="DOS157" s="250"/>
      <c r="DOT157" s="250"/>
      <c r="DOU157" s="250"/>
      <c r="DOV157" s="250"/>
      <c r="DOW157" s="250"/>
      <c r="DOX157" s="250"/>
      <c r="DOY157" s="250"/>
      <c r="DOZ157" s="250"/>
      <c r="DPA157" s="250"/>
      <c r="DPB157" s="250"/>
      <c r="DPC157" s="250"/>
      <c r="DPD157" s="250"/>
      <c r="DPE157" s="250"/>
      <c r="DPF157" s="250"/>
      <c r="DPG157" s="250"/>
      <c r="DPH157" s="250"/>
      <c r="DPI157" s="250"/>
      <c r="DPJ157" s="250"/>
      <c r="DPK157" s="250"/>
      <c r="DPL157" s="250"/>
      <c r="DPM157" s="250"/>
      <c r="DPN157" s="250"/>
      <c r="DPO157" s="250"/>
      <c r="DPP157" s="250"/>
      <c r="DPQ157" s="250"/>
      <c r="DPR157" s="250"/>
      <c r="DPS157" s="250"/>
      <c r="DPT157" s="250"/>
      <c r="DPU157" s="250"/>
      <c r="DPV157" s="250"/>
      <c r="DPW157" s="250"/>
      <c r="DPX157" s="250"/>
      <c r="DPY157" s="250"/>
      <c r="DPZ157" s="250"/>
      <c r="DQA157" s="250"/>
      <c r="DQB157" s="250"/>
      <c r="DQC157" s="250"/>
      <c r="DQD157" s="250"/>
      <c r="DQE157" s="250"/>
      <c r="DQF157" s="250"/>
      <c r="DQG157" s="250"/>
      <c r="DQH157" s="250"/>
      <c r="DQI157" s="250"/>
      <c r="DQJ157" s="250"/>
      <c r="DQK157" s="250"/>
      <c r="DQL157" s="250"/>
      <c r="DQM157" s="250"/>
      <c r="DQN157" s="250"/>
      <c r="DQO157" s="250"/>
      <c r="DQP157" s="250"/>
      <c r="DQQ157" s="250"/>
      <c r="DQR157" s="250"/>
      <c r="DQS157" s="250"/>
      <c r="DQT157" s="250"/>
      <c r="DQU157" s="250"/>
      <c r="DQV157" s="250"/>
      <c r="DQW157" s="250"/>
      <c r="DQX157" s="250"/>
      <c r="DQY157" s="250"/>
      <c r="DQZ157" s="250"/>
      <c r="DRA157" s="250"/>
      <c r="DRB157" s="250"/>
      <c r="DRC157" s="250"/>
      <c r="DRD157" s="250"/>
      <c r="DRE157" s="250"/>
      <c r="DRF157" s="250"/>
      <c r="DRG157" s="250"/>
      <c r="DRH157" s="250"/>
      <c r="DRI157" s="250"/>
      <c r="DRJ157" s="250"/>
      <c r="DRK157" s="250"/>
      <c r="DRL157" s="250"/>
      <c r="DRM157" s="250"/>
      <c r="DRN157" s="250"/>
      <c r="DRO157" s="250"/>
      <c r="DRP157" s="250"/>
      <c r="DRQ157" s="250"/>
      <c r="DRR157" s="250"/>
      <c r="DRS157" s="250"/>
      <c r="DRT157" s="250"/>
      <c r="DRU157" s="250"/>
      <c r="DRV157" s="250"/>
      <c r="DRW157" s="250"/>
      <c r="DRX157" s="250"/>
      <c r="DRY157" s="250"/>
      <c r="DRZ157" s="250"/>
      <c r="DSA157" s="250"/>
      <c r="DSB157" s="250"/>
      <c r="DSC157" s="250"/>
      <c r="DSD157" s="250"/>
      <c r="DSE157" s="250"/>
      <c r="DSF157" s="250"/>
      <c r="DSG157" s="250"/>
      <c r="DSH157" s="250"/>
      <c r="DSI157" s="250"/>
      <c r="DSJ157" s="250"/>
      <c r="DSK157" s="250"/>
      <c r="DSL157" s="250"/>
      <c r="DSM157" s="250"/>
      <c r="DSN157" s="250"/>
      <c r="DSO157" s="250"/>
      <c r="DSP157" s="250"/>
      <c r="DSQ157" s="250"/>
      <c r="DSR157" s="250"/>
      <c r="DSS157" s="250"/>
      <c r="DST157" s="250"/>
      <c r="DSU157" s="250"/>
      <c r="DSV157" s="250"/>
      <c r="DSW157" s="250"/>
      <c r="DSX157" s="250"/>
      <c r="DSY157" s="250"/>
      <c r="DSZ157" s="250"/>
      <c r="DTA157" s="250"/>
      <c r="DTB157" s="250"/>
      <c r="DTC157" s="250"/>
      <c r="DTD157" s="250"/>
      <c r="DTE157" s="250"/>
      <c r="DTF157" s="250"/>
      <c r="DTG157" s="250"/>
      <c r="DTH157" s="250"/>
      <c r="DTI157" s="250"/>
      <c r="DTJ157" s="250"/>
      <c r="DTK157" s="250"/>
      <c r="DTL157" s="250"/>
      <c r="DTM157" s="250"/>
      <c r="DTN157" s="250"/>
      <c r="DTO157" s="250"/>
      <c r="DTP157" s="250"/>
      <c r="DTQ157" s="250"/>
      <c r="DTR157" s="250"/>
      <c r="DTS157" s="250"/>
      <c r="DTT157" s="250"/>
      <c r="DTU157" s="250"/>
      <c r="DTV157" s="250"/>
      <c r="DTW157" s="250"/>
      <c r="DTX157" s="250"/>
      <c r="DTY157" s="250"/>
      <c r="DTZ157" s="250"/>
      <c r="DUA157" s="250"/>
      <c r="DUB157" s="250"/>
      <c r="DUC157" s="250"/>
      <c r="DUD157" s="250"/>
      <c r="DUE157" s="250"/>
      <c r="DUF157" s="250"/>
      <c r="DUG157" s="250"/>
      <c r="DUH157" s="250"/>
      <c r="DUI157" s="250"/>
      <c r="DUJ157" s="250"/>
      <c r="DUK157" s="250"/>
      <c r="DUL157" s="250"/>
      <c r="DUM157" s="250"/>
      <c r="DUN157" s="250"/>
      <c r="DUO157" s="250"/>
      <c r="DUP157" s="250"/>
      <c r="DUQ157" s="250"/>
      <c r="DUR157" s="250"/>
      <c r="DUS157" s="250"/>
      <c r="DUT157" s="250"/>
      <c r="DUU157" s="250"/>
      <c r="DUV157" s="250"/>
      <c r="DUW157" s="250"/>
      <c r="DUX157" s="250"/>
      <c r="DUY157" s="250"/>
      <c r="DUZ157" s="250"/>
      <c r="DVA157" s="250"/>
      <c r="DVB157" s="250"/>
      <c r="DVC157" s="250"/>
      <c r="DVD157" s="250"/>
      <c r="DVE157" s="250"/>
      <c r="DVF157" s="250"/>
      <c r="DVG157" s="250"/>
      <c r="DVH157" s="250"/>
      <c r="DVI157" s="250"/>
      <c r="DVJ157" s="250"/>
      <c r="DVK157" s="250"/>
      <c r="DVL157" s="250"/>
      <c r="DVM157" s="250"/>
      <c r="DVN157" s="250"/>
      <c r="DVO157" s="250"/>
      <c r="DVP157" s="250"/>
      <c r="DVQ157" s="250"/>
      <c r="DVR157" s="250"/>
      <c r="DVS157" s="250"/>
      <c r="DVT157" s="250"/>
      <c r="DVU157" s="250"/>
      <c r="DVV157" s="250"/>
      <c r="DVW157" s="250"/>
      <c r="DVX157" s="250"/>
      <c r="DVY157" s="250"/>
      <c r="DVZ157" s="250"/>
      <c r="DWA157" s="250"/>
      <c r="DWB157" s="250"/>
      <c r="DWC157" s="250"/>
      <c r="DWD157" s="250"/>
      <c r="DWE157" s="250"/>
      <c r="DWF157" s="250"/>
      <c r="DWG157" s="250"/>
      <c r="DWH157" s="250"/>
      <c r="DWI157" s="250"/>
      <c r="DWJ157" s="250"/>
      <c r="DWK157" s="250"/>
      <c r="DWL157" s="250"/>
      <c r="DWM157" s="250"/>
      <c r="DWN157" s="250"/>
      <c r="DWO157" s="250"/>
      <c r="DWP157" s="250"/>
      <c r="DWQ157" s="250"/>
      <c r="DWR157" s="250"/>
      <c r="DWS157" s="250"/>
      <c r="DWT157" s="250"/>
      <c r="DWU157" s="250"/>
      <c r="DWV157" s="250"/>
      <c r="DWW157" s="250"/>
      <c r="DWX157" s="250"/>
      <c r="DWY157" s="250"/>
      <c r="DWZ157" s="250"/>
      <c r="DXA157" s="250"/>
      <c r="DXB157" s="250"/>
      <c r="DXC157" s="250"/>
      <c r="DXD157" s="250"/>
      <c r="DXE157" s="250"/>
      <c r="DXF157" s="250"/>
      <c r="DXG157" s="250"/>
      <c r="DXH157" s="250"/>
      <c r="DXI157" s="250"/>
      <c r="DXJ157" s="250"/>
      <c r="DXK157" s="250"/>
      <c r="DXL157" s="250"/>
      <c r="DXM157" s="250"/>
      <c r="DXN157" s="250"/>
      <c r="DXO157" s="250"/>
      <c r="DXP157" s="250"/>
      <c r="DXQ157" s="250"/>
      <c r="DXR157" s="250"/>
      <c r="DXS157" s="250"/>
      <c r="DXT157" s="250"/>
      <c r="DXU157" s="250"/>
      <c r="DXV157" s="250"/>
      <c r="DXW157" s="250"/>
      <c r="DXX157" s="250"/>
      <c r="DXY157" s="250"/>
      <c r="DXZ157" s="250"/>
      <c r="DYA157" s="250"/>
      <c r="DYB157" s="250"/>
      <c r="DYC157" s="250"/>
      <c r="DYD157" s="250"/>
      <c r="DYE157" s="250"/>
      <c r="DYF157" s="250"/>
      <c r="DYG157" s="250"/>
      <c r="DYH157" s="250"/>
      <c r="DYI157" s="250"/>
      <c r="DYJ157" s="250"/>
      <c r="DYK157" s="250"/>
      <c r="DYL157" s="250"/>
      <c r="DYM157" s="250"/>
      <c r="DYN157" s="250"/>
      <c r="DYO157" s="250"/>
      <c r="DYP157" s="250"/>
      <c r="DYQ157" s="250"/>
      <c r="DYR157" s="250"/>
      <c r="DYS157" s="250"/>
      <c r="DYT157" s="250"/>
      <c r="DYU157" s="250"/>
      <c r="DYV157" s="250"/>
      <c r="DYW157" s="250"/>
      <c r="DYX157" s="250"/>
      <c r="DYY157" s="250"/>
      <c r="DYZ157" s="250"/>
      <c r="DZA157" s="250"/>
      <c r="DZB157" s="250"/>
      <c r="DZC157" s="250"/>
      <c r="DZD157" s="250"/>
      <c r="DZE157" s="250"/>
      <c r="DZF157" s="250"/>
      <c r="DZG157" s="250"/>
      <c r="DZH157" s="250"/>
      <c r="DZI157" s="250"/>
      <c r="DZJ157" s="250"/>
      <c r="DZK157" s="250"/>
      <c r="DZL157" s="250"/>
      <c r="DZM157" s="250"/>
      <c r="DZN157" s="250"/>
      <c r="DZO157" s="250"/>
      <c r="DZP157" s="250"/>
      <c r="DZQ157" s="250"/>
      <c r="DZR157" s="250"/>
      <c r="DZS157" s="250"/>
      <c r="DZT157" s="250"/>
      <c r="DZU157" s="250"/>
      <c r="DZV157" s="250"/>
      <c r="DZW157" s="250"/>
      <c r="DZX157" s="250"/>
      <c r="DZY157" s="250"/>
      <c r="DZZ157" s="250"/>
      <c r="EAA157" s="250"/>
      <c r="EAB157" s="250"/>
      <c r="EAC157" s="250"/>
      <c r="EAD157" s="250"/>
      <c r="EAE157" s="250"/>
      <c r="EAF157" s="250"/>
      <c r="EAG157" s="250"/>
      <c r="EAH157" s="250"/>
      <c r="EAI157" s="250"/>
      <c r="EAJ157" s="250"/>
      <c r="EAK157" s="250"/>
      <c r="EAL157" s="250"/>
      <c r="EAM157" s="250"/>
      <c r="EAN157" s="250"/>
      <c r="EAO157" s="250"/>
      <c r="EAP157" s="250"/>
      <c r="EAQ157" s="250"/>
      <c r="EAR157" s="250"/>
      <c r="EAS157" s="250"/>
      <c r="EAT157" s="250"/>
      <c r="EAU157" s="250"/>
      <c r="EAV157" s="250"/>
      <c r="EAW157" s="250"/>
      <c r="EAX157" s="250"/>
      <c r="EAY157" s="250"/>
      <c r="EAZ157" s="250"/>
      <c r="EBA157" s="250"/>
      <c r="EBB157" s="250"/>
      <c r="EBC157" s="250"/>
      <c r="EBD157" s="250"/>
      <c r="EBE157" s="250"/>
      <c r="EBF157" s="250"/>
      <c r="EBG157" s="250"/>
      <c r="EBH157" s="250"/>
      <c r="EBI157" s="250"/>
      <c r="EBJ157" s="250"/>
      <c r="EBK157" s="250"/>
      <c r="EBL157" s="250"/>
      <c r="EBM157" s="250"/>
      <c r="EBN157" s="250"/>
      <c r="EBO157" s="250"/>
      <c r="EBP157" s="250"/>
      <c r="EBQ157" s="250"/>
      <c r="EBR157" s="250"/>
      <c r="EBS157" s="250"/>
      <c r="EBT157" s="250"/>
      <c r="EBU157" s="250"/>
      <c r="EBV157" s="250"/>
      <c r="EBW157" s="250"/>
      <c r="EBX157" s="250"/>
      <c r="EBY157" s="250"/>
      <c r="EBZ157" s="250"/>
      <c r="ECA157" s="250"/>
      <c r="ECB157" s="250"/>
      <c r="ECC157" s="250"/>
      <c r="ECD157" s="250"/>
      <c r="ECE157" s="250"/>
      <c r="ECF157" s="250"/>
      <c r="ECG157" s="250"/>
      <c r="ECH157" s="250"/>
      <c r="ECI157" s="250"/>
      <c r="ECJ157" s="250"/>
      <c r="ECK157" s="250"/>
      <c r="ECL157" s="250"/>
      <c r="ECM157" s="250"/>
      <c r="ECN157" s="250"/>
      <c r="ECO157" s="250"/>
      <c r="ECP157" s="250"/>
      <c r="ECQ157" s="250"/>
      <c r="ECR157" s="250"/>
      <c r="ECS157" s="250"/>
      <c r="ECT157" s="250"/>
      <c r="ECU157" s="250"/>
      <c r="ECV157" s="250"/>
      <c r="ECW157" s="250"/>
      <c r="ECX157" s="250"/>
      <c r="ECY157" s="250"/>
      <c r="ECZ157" s="250"/>
      <c r="EDA157" s="250"/>
      <c r="EDB157" s="250"/>
      <c r="EDC157" s="250"/>
      <c r="EDD157" s="250"/>
      <c r="EDE157" s="250"/>
      <c r="EDF157" s="250"/>
      <c r="EDG157" s="250"/>
      <c r="EDH157" s="250"/>
      <c r="EDI157" s="250"/>
      <c r="EDJ157" s="250"/>
      <c r="EDK157" s="250"/>
      <c r="EDL157" s="250"/>
      <c r="EDM157" s="250"/>
      <c r="EDN157" s="250"/>
      <c r="EDO157" s="250"/>
      <c r="EDP157" s="250"/>
      <c r="EDQ157" s="250"/>
      <c r="EDR157" s="250"/>
      <c r="EDS157" s="250"/>
      <c r="EDT157" s="250"/>
      <c r="EDU157" s="250"/>
      <c r="EDV157" s="250"/>
      <c r="EDW157" s="250"/>
      <c r="EDX157" s="250"/>
      <c r="EDY157" s="250"/>
      <c r="EDZ157" s="250"/>
      <c r="EEA157" s="250"/>
      <c r="EEB157" s="250"/>
      <c r="EEC157" s="250"/>
      <c r="EED157" s="250"/>
      <c r="EEE157" s="250"/>
      <c r="EEF157" s="250"/>
      <c r="EEG157" s="250"/>
      <c r="EEH157" s="250"/>
      <c r="EEI157" s="250"/>
      <c r="EEJ157" s="250"/>
      <c r="EEK157" s="250"/>
      <c r="EEL157" s="250"/>
      <c r="EEM157" s="250"/>
      <c r="EEN157" s="250"/>
      <c r="EEO157" s="250"/>
      <c r="EEP157" s="250"/>
      <c r="EEQ157" s="250"/>
      <c r="EER157" s="250"/>
      <c r="EES157" s="250"/>
      <c r="EET157" s="250"/>
      <c r="EEU157" s="250"/>
      <c r="EEV157" s="250"/>
      <c r="EEW157" s="250"/>
      <c r="EEX157" s="250"/>
      <c r="EEY157" s="250"/>
      <c r="EEZ157" s="250"/>
      <c r="EFA157" s="250"/>
      <c r="EFB157" s="250"/>
      <c r="EFC157" s="250"/>
      <c r="EFD157" s="250"/>
      <c r="EFE157" s="250"/>
      <c r="EFF157" s="250"/>
      <c r="EFG157" s="250"/>
      <c r="EFH157" s="250"/>
      <c r="EFI157" s="250"/>
      <c r="EFJ157" s="250"/>
      <c r="EFK157" s="250"/>
      <c r="EFL157" s="250"/>
      <c r="EFM157" s="250"/>
      <c r="EFN157" s="250"/>
      <c r="EFO157" s="250"/>
      <c r="EFP157" s="250"/>
      <c r="EFQ157" s="250"/>
      <c r="EFR157" s="250"/>
      <c r="EFS157" s="250"/>
      <c r="EFT157" s="250"/>
      <c r="EFU157" s="250"/>
      <c r="EFV157" s="250"/>
      <c r="EFW157" s="250"/>
      <c r="EFX157" s="250"/>
      <c r="EFY157" s="250"/>
      <c r="EFZ157" s="250"/>
      <c r="EGA157" s="250"/>
      <c r="EGB157" s="250"/>
      <c r="EGC157" s="250"/>
      <c r="EGD157" s="250"/>
      <c r="EGE157" s="250"/>
      <c r="EGF157" s="250"/>
      <c r="EGG157" s="250"/>
      <c r="EGH157" s="250"/>
      <c r="EGI157" s="250"/>
      <c r="EGJ157" s="250"/>
      <c r="EGK157" s="250"/>
      <c r="EGL157" s="250"/>
      <c r="EGM157" s="250"/>
      <c r="EGN157" s="250"/>
      <c r="EGO157" s="250"/>
      <c r="EGP157" s="250"/>
      <c r="EGQ157" s="250"/>
      <c r="EGR157" s="250"/>
      <c r="EGS157" s="250"/>
      <c r="EGT157" s="250"/>
      <c r="EGU157" s="250"/>
      <c r="EGV157" s="250"/>
      <c r="EGW157" s="250"/>
      <c r="EGX157" s="250"/>
      <c r="EGY157" s="250"/>
      <c r="EGZ157" s="250"/>
      <c r="EHA157" s="250"/>
      <c r="EHB157" s="250"/>
      <c r="EHC157" s="250"/>
      <c r="EHD157" s="250"/>
      <c r="EHE157" s="250"/>
      <c r="EHF157" s="250"/>
      <c r="EHG157" s="250"/>
      <c r="EHH157" s="250"/>
      <c r="EHI157" s="250"/>
      <c r="EHJ157" s="250"/>
      <c r="EHK157" s="250"/>
      <c r="EHL157" s="250"/>
      <c r="EHM157" s="250"/>
      <c r="EHN157" s="250"/>
      <c r="EHO157" s="250"/>
      <c r="EHP157" s="250"/>
      <c r="EHQ157" s="250"/>
      <c r="EHR157" s="250"/>
      <c r="EHS157" s="250"/>
      <c r="EHT157" s="250"/>
      <c r="EHU157" s="250"/>
      <c r="EHV157" s="250"/>
      <c r="EHW157" s="250"/>
      <c r="EHX157" s="250"/>
      <c r="EHY157" s="250"/>
      <c r="EHZ157" s="250"/>
      <c r="EIA157" s="250"/>
      <c r="EIB157" s="250"/>
      <c r="EIC157" s="250"/>
      <c r="EID157" s="250"/>
      <c r="EIE157" s="250"/>
      <c r="EIF157" s="250"/>
      <c r="EIG157" s="250"/>
      <c r="EIH157" s="250"/>
      <c r="EII157" s="250"/>
      <c r="EIJ157" s="250"/>
      <c r="EIK157" s="250"/>
      <c r="EIL157" s="250"/>
      <c r="EIM157" s="250"/>
      <c r="EIN157" s="250"/>
      <c r="EIO157" s="250"/>
      <c r="EIP157" s="250"/>
      <c r="EIQ157" s="250"/>
      <c r="EIR157" s="250"/>
      <c r="EIS157" s="250"/>
      <c r="EIT157" s="250"/>
      <c r="EIU157" s="250"/>
      <c r="EIV157" s="250"/>
      <c r="EIW157" s="250"/>
      <c r="EIX157" s="250"/>
      <c r="EIY157" s="250"/>
      <c r="EIZ157" s="250"/>
      <c r="EJA157" s="250"/>
      <c r="EJB157" s="250"/>
      <c r="EJC157" s="250"/>
      <c r="EJD157" s="250"/>
      <c r="EJE157" s="250"/>
      <c r="EJF157" s="250"/>
      <c r="EJG157" s="250"/>
      <c r="EJH157" s="250"/>
      <c r="EJI157" s="250"/>
      <c r="EJJ157" s="250"/>
      <c r="EJK157" s="250"/>
      <c r="EJL157" s="250"/>
      <c r="EJM157" s="250"/>
      <c r="EJN157" s="250"/>
      <c r="EJO157" s="250"/>
      <c r="EJP157" s="250"/>
      <c r="EJQ157" s="250"/>
      <c r="EJR157" s="250"/>
      <c r="EJS157" s="250"/>
      <c r="EJT157" s="250"/>
      <c r="EJU157" s="250"/>
      <c r="EJV157" s="250"/>
      <c r="EJW157" s="250"/>
      <c r="EJX157" s="250"/>
      <c r="EJY157" s="250"/>
      <c r="EJZ157" s="250"/>
      <c r="EKA157" s="250"/>
      <c r="EKB157" s="250"/>
      <c r="EKC157" s="250"/>
      <c r="EKD157" s="250"/>
      <c r="EKE157" s="250"/>
      <c r="EKF157" s="250"/>
      <c r="EKG157" s="250"/>
      <c r="EKH157" s="250"/>
      <c r="EKI157" s="250"/>
      <c r="EKJ157" s="250"/>
      <c r="EKK157" s="250"/>
      <c r="EKL157" s="250"/>
      <c r="EKM157" s="250"/>
      <c r="EKN157" s="250"/>
      <c r="EKO157" s="250"/>
      <c r="EKP157" s="250"/>
      <c r="EKQ157" s="250"/>
      <c r="EKR157" s="250"/>
      <c r="EKS157" s="250"/>
      <c r="EKT157" s="250"/>
      <c r="EKU157" s="250"/>
      <c r="EKV157" s="250"/>
      <c r="EKW157" s="250"/>
      <c r="EKX157" s="250"/>
      <c r="EKY157" s="250"/>
      <c r="EKZ157" s="250"/>
      <c r="ELA157" s="250"/>
      <c r="ELB157" s="250"/>
      <c r="ELC157" s="250"/>
      <c r="ELD157" s="250"/>
      <c r="ELE157" s="250"/>
      <c r="ELF157" s="250"/>
      <c r="ELG157" s="250"/>
      <c r="ELH157" s="250"/>
      <c r="ELI157" s="250"/>
      <c r="ELJ157" s="250"/>
      <c r="ELK157" s="250"/>
      <c r="ELL157" s="250"/>
      <c r="ELM157" s="250"/>
      <c r="ELN157" s="250"/>
      <c r="ELO157" s="250"/>
      <c r="ELP157" s="250"/>
      <c r="ELQ157" s="250"/>
      <c r="ELR157" s="250"/>
      <c r="ELS157" s="250"/>
      <c r="ELT157" s="250"/>
      <c r="ELU157" s="250"/>
      <c r="ELV157" s="250"/>
      <c r="ELW157" s="250"/>
      <c r="ELX157" s="250"/>
      <c r="ELY157" s="250"/>
      <c r="ELZ157" s="250"/>
      <c r="EMA157" s="250"/>
      <c r="EMB157" s="250"/>
      <c r="EMC157" s="250"/>
      <c r="EMD157" s="250"/>
      <c r="EME157" s="250"/>
      <c r="EMF157" s="250"/>
      <c r="EMG157" s="250"/>
      <c r="EMH157" s="250"/>
      <c r="EMI157" s="250"/>
      <c r="EMJ157" s="250"/>
      <c r="EMK157" s="250"/>
      <c r="EML157" s="250"/>
      <c r="EMM157" s="250"/>
      <c r="EMN157" s="250"/>
      <c r="EMO157" s="250"/>
      <c r="EMP157" s="250"/>
      <c r="EMQ157" s="250"/>
      <c r="EMR157" s="250"/>
      <c r="EMS157" s="250"/>
      <c r="EMT157" s="250"/>
      <c r="EMU157" s="250"/>
      <c r="EMV157" s="250"/>
      <c r="EMW157" s="250"/>
      <c r="EMX157" s="250"/>
      <c r="EMY157" s="250"/>
      <c r="EMZ157" s="250"/>
      <c r="ENA157" s="250"/>
      <c r="ENB157" s="250"/>
      <c r="ENC157" s="250"/>
      <c r="END157" s="250"/>
      <c r="ENE157" s="250"/>
      <c r="ENF157" s="250"/>
      <c r="ENG157" s="250"/>
      <c r="ENH157" s="250"/>
      <c r="ENI157" s="250"/>
      <c r="ENJ157" s="250"/>
      <c r="ENK157" s="250"/>
      <c r="ENL157" s="250"/>
      <c r="ENM157" s="250"/>
      <c r="ENN157" s="250"/>
      <c r="ENO157" s="250"/>
      <c r="ENP157" s="250"/>
      <c r="ENQ157" s="250"/>
      <c r="ENR157" s="250"/>
      <c r="ENS157" s="250"/>
      <c r="ENT157" s="250"/>
      <c r="ENU157" s="250"/>
      <c r="ENV157" s="250"/>
      <c r="ENW157" s="250"/>
      <c r="ENX157" s="250"/>
      <c r="ENY157" s="250"/>
      <c r="ENZ157" s="250"/>
      <c r="EOA157" s="250"/>
      <c r="EOB157" s="250"/>
      <c r="EOC157" s="250"/>
      <c r="EOD157" s="250"/>
      <c r="EOE157" s="250"/>
      <c r="EOF157" s="250"/>
      <c r="EOG157" s="250"/>
      <c r="EOH157" s="250"/>
      <c r="EOI157" s="250"/>
      <c r="EOJ157" s="250"/>
      <c r="EOK157" s="250"/>
      <c r="EOL157" s="250"/>
      <c r="EOM157" s="250"/>
      <c r="EON157" s="250"/>
      <c r="EOO157" s="250"/>
      <c r="EOP157" s="250"/>
      <c r="EOQ157" s="250"/>
      <c r="EOR157" s="250"/>
      <c r="EOS157" s="250"/>
      <c r="EOT157" s="250"/>
      <c r="EOU157" s="250"/>
      <c r="EOV157" s="250"/>
      <c r="EOW157" s="250"/>
      <c r="EOX157" s="250"/>
      <c r="EOY157" s="250"/>
      <c r="EOZ157" s="250"/>
      <c r="EPA157" s="250"/>
      <c r="EPB157" s="250"/>
      <c r="EPC157" s="250"/>
      <c r="EPD157" s="250"/>
      <c r="EPE157" s="250"/>
      <c r="EPF157" s="250"/>
      <c r="EPG157" s="250"/>
      <c r="EPH157" s="250"/>
      <c r="EPI157" s="250"/>
      <c r="EPJ157" s="250"/>
      <c r="EPK157" s="250"/>
      <c r="EPL157" s="250"/>
      <c r="EPM157" s="250"/>
      <c r="EPN157" s="250"/>
      <c r="EPO157" s="250"/>
      <c r="EPP157" s="250"/>
      <c r="EPQ157" s="250"/>
      <c r="EPR157" s="250"/>
      <c r="EPS157" s="250"/>
      <c r="EPT157" s="250"/>
      <c r="EPU157" s="250"/>
      <c r="EPV157" s="250"/>
      <c r="EPW157" s="250"/>
      <c r="EPX157" s="250"/>
      <c r="EPY157" s="250"/>
      <c r="EPZ157" s="250"/>
      <c r="EQA157" s="250"/>
      <c r="EQB157" s="250"/>
      <c r="EQC157" s="250"/>
      <c r="EQD157" s="250"/>
      <c r="EQE157" s="250"/>
      <c r="EQF157" s="250"/>
      <c r="EQG157" s="250"/>
      <c r="EQH157" s="250"/>
      <c r="EQI157" s="250"/>
      <c r="EQJ157" s="250"/>
      <c r="EQK157" s="250"/>
      <c r="EQL157" s="250"/>
      <c r="EQM157" s="250"/>
      <c r="EQN157" s="250"/>
      <c r="EQO157" s="250"/>
      <c r="EQP157" s="250"/>
      <c r="EQQ157" s="250"/>
      <c r="EQR157" s="250"/>
      <c r="EQS157" s="250"/>
      <c r="EQT157" s="250"/>
      <c r="EQU157" s="250"/>
      <c r="EQV157" s="250"/>
      <c r="EQW157" s="250"/>
      <c r="EQX157" s="250"/>
      <c r="EQY157" s="250"/>
      <c r="EQZ157" s="250"/>
      <c r="ERA157" s="250"/>
      <c r="ERB157" s="250"/>
      <c r="ERC157" s="250"/>
      <c r="ERD157" s="250"/>
      <c r="ERE157" s="250"/>
      <c r="ERF157" s="250"/>
      <c r="ERG157" s="250"/>
      <c r="ERH157" s="250"/>
      <c r="ERI157" s="250"/>
      <c r="ERJ157" s="250"/>
      <c r="ERK157" s="250"/>
      <c r="ERL157" s="250"/>
      <c r="ERM157" s="250"/>
      <c r="ERN157" s="250"/>
      <c r="ERO157" s="250"/>
      <c r="ERP157" s="250"/>
      <c r="ERQ157" s="250"/>
      <c r="ERR157" s="250"/>
      <c r="ERS157" s="250"/>
      <c r="ERT157" s="250"/>
      <c r="ERU157" s="250"/>
      <c r="ERV157" s="250"/>
      <c r="ERW157" s="250"/>
      <c r="ERX157" s="250"/>
      <c r="ERY157" s="250"/>
      <c r="ERZ157" s="250"/>
      <c r="ESA157" s="250"/>
      <c r="ESB157" s="250"/>
      <c r="ESC157" s="250"/>
      <c r="ESD157" s="250"/>
      <c r="ESE157" s="250"/>
      <c r="ESF157" s="250"/>
      <c r="ESG157" s="250"/>
      <c r="ESH157" s="250"/>
      <c r="ESI157" s="250"/>
      <c r="ESJ157" s="250"/>
      <c r="ESK157" s="250"/>
      <c r="ESL157" s="250"/>
      <c r="ESM157" s="250"/>
      <c r="ESN157" s="250"/>
      <c r="ESO157" s="250"/>
      <c r="ESP157" s="250"/>
      <c r="ESQ157" s="250"/>
      <c r="ESR157" s="250"/>
      <c r="ESS157" s="250"/>
      <c r="EST157" s="250"/>
      <c r="ESU157" s="250"/>
      <c r="ESV157" s="250"/>
      <c r="ESW157" s="250"/>
      <c r="ESX157" s="250"/>
      <c r="ESY157" s="250"/>
      <c r="ESZ157" s="250"/>
      <c r="ETA157" s="250"/>
      <c r="ETB157" s="250"/>
      <c r="ETC157" s="250"/>
      <c r="ETD157" s="250"/>
      <c r="ETE157" s="250"/>
      <c r="ETF157" s="250"/>
      <c r="ETG157" s="250"/>
      <c r="ETH157" s="250"/>
      <c r="ETI157" s="250"/>
      <c r="ETJ157" s="250"/>
      <c r="ETK157" s="250"/>
      <c r="ETL157" s="250"/>
      <c r="ETM157" s="250"/>
      <c r="ETN157" s="250"/>
      <c r="ETO157" s="250"/>
      <c r="ETP157" s="250"/>
      <c r="ETQ157" s="250"/>
      <c r="ETR157" s="250"/>
      <c r="ETS157" s="250"/>
      <c r="ETT157" s="250"/>
      <c r="ETU157" s="250"/>
      <c r="ETV157" s="250"/>
      <c r="ETW157" s="250"/>
      <c r="ETX157" s="250"/>
      <c r="ETY157" s="250"/>
      <c r="ETZ157" s="250"/>
      <c r="EUA157" s="250"/>
      <c r="EUB157" s="250"/>
      <c r="EUC157" s="250"/>
      <c r="EUD157" s="250"/>
      <c r="EUE157" s="250"/>
      <c r="EUF157" s="250"/>
      <c r="EUG157" s="250"/>
      <c r="EUH157" s="250"/>
      <c r="EUI157" s="250"/>
      <c r="EUJ157" s="250"/>
      <c r="EUK157" s="250"/>
      <c r="EUL157" s="250"/>
      <c r="EUM157" s="250"/>
      <c r="EUN157" s="250"/>
      <c r="EUO157" s="250"/>
      <c r="EUP157" s="250"/>
      <c r="EUQ157" s="250"/>
      <c r="EUR157" s="250"/>
      <c r="EUS157" s="250"/>
      <c r="EUT157" s="250"/>
      <c r="EUU157" s="250"/>
      <c r="EUV157" s="250"/>
      <c r="EUW157" s="250"/>
      <c r="EUX157" s="250"/>
      <c r="EUY157" s="250"/>
      <c r="EUZ157" s="250"/>
      <c r="EVA157" s="250"/>
      <c r="EVB157" s="250"/>
      <c r="EVC157" s="250"/>
      <c r="EVD157" s="250"/>
      <c r="EVE157" s="250"/>
      <c r="EVF157" s="250"/>
      <c r="EVG157" s="250"/>
      <c r="EVH157" s="250"/>
      <c r="EVI157" s="250"/>
      <c r="EVJ157" s="250"/>
      <c r="EVK157" s="250"/>
      <c r="EVL157" s="250"/>
      <c r="EVM157" s="250"/>
      <c r="EVN157" s="250"/>
      <c r="EVO157" s="250"/>
      <c r="EVP157" s="250"/>
      <c r="EVQ157" s="250"/>
      <c r="EVR157" s="250"/>
      <c r="EVS157" s="250"/>
      <c r="EVT157" s="250"/>
      <c r="EVU157" s="250"/>
      <c r="EVV157" s="250"/>
      <c r="EVW157" s="250"/>
      <c r="EVX157" s="250"/>
      <c r="EVY157" s="250"/>
      <c r="EVZ157" s="250"/>
      <c r="EWA157" s="250"/>
      <c r="EWB157" s="250"/>
      <c r="EWC157" s="250"/>
      <c r="EWD157" s="250"/>
      <c r="EWE157" s="250"/>
      <c r="EWF157" s="250"/>
      <c r="EWG157" s="250"/>
      <c r="EWH157" s="250"/>
      <c r="EWI157" s="250"/>
      <c r="EWJ157" s="250"/>
      <c r="EWK157" s="250"/>
      <c r="EWL157" s="250"/>
      <c r="EWM157" s="250"/>
      <c r="EWN157" s="250"/>
      <c r="EWO157" s="250"/>
      <c r="EWP157" s="250"/>
      <c r="EWQ157" s="250"/>
      <c r="EWR157" s="250"/>
      <c r="EWS157" s="250"/>
      <c r="EWT157" s="250"/>
      <c r="EWU157" s="250"/>
      <c r="EWV157" s="250"/>
      <c r="EWW157" s="250"/>
      <c r="EWX157" s="250"/>
      <c r="EWY157" s="250"/>
      <c r="EWZ157" s="250"/>
      <c r="EXA157" s="250"/>
      <c r="EXB157" s="250"/>
      <c r="EXC157" s="250"/>
      <c r="EXD157" s="250"/>
      <c r="EXE157" s="250"/>
      <c r="EXF157" s="250"/>
      <c r="EXG157" s="250"/>
      <c r="EXH157" s="250"/>
      <c r="EXI157" s="250"/>
      <c r="EXJ157" s="250"/>
      <c r="EXK157" s="250"/>
      <c r="EXL157" s="250"/>
      <c r="EXM157" s="250"/>
      <c r="EXN157" s="250"/>
      <c r="EXO157" s="250"/>
      <c r="EXP157" s="250"/>
      <c r="EXQ157" s="250"/>
      <c r="EXR157" s="250"/>
      <c r="EXS157" s="250"/>
      <c r="EXT157" s="250"/>
      <c r="EXU157" s="250"/>
      <c r="EXV157" s="250"/>
      <c r="EXW157" s="250"/>
      <c r="EXX157" s="250"/>
      <c r="EXY157" s="250"/>
      <c r="EXZ157" s="250"/>
      <c r="EYA157" s="250"/>
      <c r="EYB157" s="250"/>
      <c r="EYC157" s="250"/>
      <c r="EYD157" s="250"/>
      <c r="EYE157" s="250"/>
      <c r="EYF157" s="250"/>
      <c r="EYG157" s="250"/>
      <c r="EYH157" s="250"/>
      <c r="EYI157" s="250"/>
      <c r="EYJ157" s="250"/>
      <c r="EYK157" s="250"/>
      <c r="EYL157" s="250"/>
      <c r="EYM157" s="250"/>
      <c r="EYN157" s="250"/>
      <c r="EYO157" s="250"/>
      <c r="EYP157" s="250"/>
      <c r="EYQ157" s="250"/>
      <c r="EYR157" s="250"/>
      <c r="EYS157" s="250"/>
      <c r="EYT157" s="250"/>
      <c r="EYU157" s="250"/>
      <c r="EYV157" s="250"/>
      <c r="EYW157" s="250"/>
      <c r="EYX157" s="250"/>
      <c r="EYY157" s="250"/>
      <c r="EYZ157" s="250"/>
      <c r="EZA157" s="250"/>
      <c r="EZB157" s="250"/>
      <c r="EZC157" s="250"/>
      <c r="EZD157" s="250"/>
      <c r="EZE157" s="250"/>
      <c r="EZF157" s="250"/>
      <c r="EZG157" s="250"/>
      <c r="EZH157" s="250"/>
      <c r="EZI157" s="250"/>
      <c r="EZJ157" s="250"/>
      <c r="EZK157" s="250"/>
      <c r="EZL157" s="250"/>
      <c r="EZM157" s="250"/>
      <c r="EZN157" s="250"/>
      <c r="EZO157" s="250"/>
      <c r="EZP157" s="250"/>
      <c r="EZQ157" s="250"/>
      <c r="EZR157" s="250"/>
      <c r="EZS157" s="250"/>
      <c r="EZT157" s="250"/>
      <c r="EZU157" s="250"/>
      <c r="EZV157" s="250"/>
      <c r="EZW157" s="250"/>
      <c r="EZX157" s="250"/>
      <c r="EZY157" s="250"/>
      <c r="EZZ157" s="250"/>
      <c r="FAA157" s="250"/>
      <c r="FAB157" s="250"/>
      <c r="FAC157" s="250"/>
      <c r="FAD157" s="250"/>
      <c r="FAE157" s="250"/>
      <c r="FAF157" s="250"/>
      <c r="FAG157" s="250"/>
      <c r="FAH157" s="250"/>
      <c r="FAI157" s="250"/>
      <c r="FAJ157" s="250"/>
      <c r="FAK157" s="250"/>
      <c r="FAL157" s="250"/>
      <c r="FAM157" s="250"/>
      <c r="FAN157" s="250"/>
      <c r="FAO157" s="250"/>
      <c r="FAP157" s="250"/>
      <c r="FAQ157" s="250"/>
      <c r="FAR157" s="250"/>
      <c r="FAS157" s="250"/>
      <c r="FAT157" s="250"/>
      <c r="FAU157" s="250"/>
      <c r="FAV157" s="250"/>
      <c r="FAW157" s="250"/>
      <c r="FAX157" s="250"/>
      <c r="FAY157" s="250"/>
      <c r="FAZ157" s="250"/>
      <c r="FBA157" s="250"/>
      <c r="FBB157" s="250"/>
      <c r="FBC157" s="250"/>
      <c r="FBD157" s="250"/>
      <c r="FBE157" s="250"/>
      <c r="FBF157" s="250"/>
      <c r="FBG157" s="250"/>
      <c r="FBH157" s="250"/>
      <c r="FBI157" s="250"/>
      <c r="FBJ157" s="250"/>
      <c r="FBK157" s="250"/>
      <c r="FBL157" s="250"/>
      <c r="FBM157" s="250"/>
      <c r="FBN157" s="250"/>
      <c r="FBO157" s="250"/>
      <c r="FBP157" s="250"/>
      <c r="FBQ157" s="250"/>
      <c r="FBR157" s="250"/>
      <c r="FBS157" s="250"/>
      <c r="FBT157" s="250"/>
      <c r="FBU157" s="250"/>
      <c r="FBV157" s="250"/>
      <c r="FBW157" s="250"/>
      <c r="FBX157" s="250"/>
      <c r="FBY157" s="250"/>
      <c r="FBZ157" s="250"/>
      <c r="FCA157" s="250"/>
      <c r="FCB157" s="250"/>
      <c r="FCC157" s="250"/>
      <c r="FCD157" s="250"/>
      <c r="FCE157" s="250"/>
      <c r="FCF157" s="250"/>
      <c r="FCG157" s="250"/>
      <c r="FCH157" s="250"/>
      <c r="FCI157" s="250"/>
      <c r="FCJ157" s="250"/>
      <c r="FCK157" s="250"/>
      <c r="FCL157" s="250"/>
      <c r="FCM157" s="250"/>
      <c r="FCN157" s="250"/>
      <c r="FCO157" s="250"/>
      <c r="FCP157" s="250"/>
      <c r="FCQ157" s="250"/>
      <c r="FCR157" s="250"/>
      <c r="FCS157" s="250"/>
      <c r="FCT157" s="250"/>
      <c r="FCU157" s="250"/>
      <c r="FCV157" s="250"/>
      <c r="FCW157" s="250"/>
      <c r="FCX157" s="250"/>
      <c r="FCY157" s="250"/>
      <c r="FCZ157" s="250"/>
      <c r="FDA157" s="250"/>
      <c r="FDB157" s="250"/>
      <c r="FDC157" s="250"/>
      <c r="FDD157" s="250"/>
      <c r="FDE157" s="250"/>
      <c r="FDF157" s="250"/>
      <c r="FDG157" s="250"/>
      <c r="FDH157" s="250"/>
      <c r="FDI157" s="250"/>
      <c r="FDJ157" s="250"/>
      <c r="FDK157" s="250"/>
      <c r="FDL157" s="250"/>
      <c r="FDM157" s="250"/>
      <c r="FDN157" s="250"/>
      <c r="FDO157" s="250"/>
      <c r="FDP157" s="250"/>
      <c r="FDQ157" s="250"/>
      <c r="FDR157" s="250"/>
      <c r="FDS157" s="250"/>
      <c r="FDT157" s="250"/>
      <c r="FDU157" s="250"/>
      <c r="FDV157" s="250"/>
      <c r="FDW157" s="250"/>
      <c r="FDX157" s="250"/>
      <c r="FDY157" s="250"/>
      <c r="FDZ157" s="250"/>
      <c r="FEA157" s="250"/>
      <c r="FEB157" s="250"/>
      <c r="FEC157" s="250"/>
      <c r="FED157" s="250"/>
      <c r="FEE157" s="250"/>
      <c r="FEF157" s="250"/>
      <c r="FEG157" s="250"/>
      <c r="FEH157" s="250"/>
      <c r="FEI157" s="250"/>
      <c r="FEJ157" s="250"/>
      <c r="FEK157" s="250"/>
      <c r="FEL157" s="250"/>
      <c r="FEM157" s="250"/>
      <c r="FEN157" s="250"/>
      <c r="FEO157" s="250"/>
      <c r="FEP157" s="250"/>
      <c r="FEQ157" s="250"/>
      <c r="FER157" s="250"/>
      <c r="FES157" s="250"/>
      <c r="FET157" s="250"/>
      <c r="FEU157" s="250"/>
      <c r="FEV157" s="250"/>
      <c r="FEW157" s="250"/>
      <c r="FEX157" s="250"/>
      <c r="FEY157" s="250"/>
      <c r="FEZ157" s="250"/>
      <c r="FFA157" s="250"/>
      <c r="FFB157" s="250"/>
      <c r="FFC157" s="250"/>
      <c r="FFD157" s="250"/>
      <c r="FFE157" s="250"/>
      <c r="FFF157" s="250"/>
      <c r="FFG157" s="250"/>
      <c r="FFH157" s="250"/>
      <c r="FFI157" s="250"/>
      <c r="FFJ157" s="250"/>
      <c r="FFK157" s="250"/>
      <c r="FFL157" s="250"/>
      <c r="FFM157" s="250"/>
      <c r="FFN157" s="250"/>
      <c r="FFO157" s="250"/>
      <c r="FFP157" s="250"/>
      <c r="FFQ157" s="250"/>
      <c r="FFR157" s="250"/>
      <c r="FFS157" s="250"/>
      <c r="FFT157" s="250"/>
      <c r="FFU157" s="250"/>
      <c r="FFV157" s="250"/>
      <c r="FFW157" s="250"/>
      <c r="FFX157" s="250"/>
      <c r="FFY157" s="250"/>
      <c r="FFZ157" s="250"/>
      <c r="FGA157" s="250"/>
      <c r="FGB157" s="250"/>
      <c r="FGC157" s="250"/>
      <c r="FGD157" s="250"/>
      <c r="FGE157" s="250"/>
      <c r="FGF157" s="250"/>
      <c r="FGG157" s="250"/>
      <c r="FGH157" s="250"/>
      <c r="FGI157" s="250"/>
      <c r="FGJ157" s="250"/>
      <c r="FGK157" s="250"/>
      <c r="FGL157" s="250"/>
      <c r="FGM157" s="250"/>
      <c r="FGN157" s="250"/>
      <c r="FGO157" s="250"/>
      <c r="FGP157" s="250"/>
      <c r="FGQ157" s="250"/>
      <c r="FGR157" s="250"/>
      <c r="FGS157" s="250"/>
      <c r="FGT157" s="250"/>
      <c r="FGU157" s="250"/>
      <c r="FGV157" s="250"/>
      <c r="FGW157" s="250"/>
      <c r="FGX157" s="250"/>
      <c r="FGY157" s="250"/>
      <c r="FGZ157" s="250"/>
      <c r="FHA157" s="250"/>
      <c r="FHB157" s="250"/>
      <c r="FHC157" s="250"/>
      <c r="FHD157" s="250"/>
      <c r="FHE157" s="250"/>
      <c r="FHF157" s="250"/>
      <c r="FHG157" s="250"/>
      <c r="FHH157" s="250"/>
      <c r="FHI157" s="250"/>
      <c r="FHJ157" s="250"/>
      <c r="FHK157" s="250"/>
      <c r="FHL157" s="250"/>
      <c r="FHM157" s="250"/>
      <c r="FHN157" s="250"/>
      <c r="FHO157" s="250"/>
      <c r="FHP157" s="250"/>
      <c r="FHQ157" s="250"/>
      <c r="FHR157" s="250"/>
      <c r="FHS157" s="250"/>
      <c r="FHT157" s="250"/>
      <c r="FHU157" s="250"/>
      <c r="FHV157" s="250"/>
      <c r="FHW157" s="250"/>
      <c r="FHX157" s="250"/>
      <c r="FHY157" s="250"/>
      <c r="FHZ157" s="250"/>
      <c r="FIA157" s="250"/>
      <c r="FIB157" s="250"/>
      <c r="FIC157" s="250"/>
      <c r="FID157" s="250"/>
      <c r="FIE157" s="250"/>
      <c r="FIF157" s="250"/>
      <c r="FIG157" s="250"/>
      <c r="FIH157" s="250"/>
      <c r="FII157" s="250"/>
      <c r="FIJ157" s="250"/>
      <c r="FIK157" s="250"/>
      <c r="FIL157" s="250"/>
      <c r="FIM157" s="250"/>
      <c r="FIN157" s="250"/>
      <c r="FIO157" s="250"/>
      <c r="FIP157" s="250"/>
      <c r="FIQ157" s="250"/>
      <c r="FIR157" s="250"/>
      <c r="FIS157" s="250"/>
      <c r="FIT157" s="250"/>
      <c r="FIU157" s="250"/>
      <c r="FIV157" s="250"/>
      <c r="FIW157" s="250"/>
      <c r="FIX157" s="250"/>
      <c r="FIY157" s="250"/>
      <c r="FIZ157" s="250"/>
      <c r="FJA157" s="250"/>
      <c r="FJB157" s="250"/>
      <c r="FJC157" s="250"/>
      <c r="FJD157" s="250"/>
      <c r="FJE157" s="250"/>
      <c r="FJF157" s="250"/>
      <c r="FJG157" s="250"/>
      <c r="FJH157" s="250"/>
      <c r="FJI157" s="250"/>
      <c r="FJJ157" s="250"/>
      <c r="FJK157" s="250"/>
      <c r="FJL157" s="250"/>
      <c r="FJM157" s="250"/>
      <c r="FJN157" s="250"/>
      <c r="FJO157" s="250"/>
      <c r="FJP157" s="250"/>
      <c r="FJQ157" s="250"/>
      <c r="FJR157" s="250"/>
      <c r="FJS157" s="250"/>
      <c r="FJT157" s="250"/>
      <c r="FJU157" s="250"/>
      <c r="FJV157" s="250"/>
      <c r="FJW157" s="250"/>
      <c r="FJX157" s="250"/>
      <c r="FJY157" s="250"/>
      <c r="FJZ157" s="250"/>
      <c r="FKA157" s="250"/>
      <c r="FKB157" s="250"/>
      <c r="FKC157" s="250"/>
      <c r="FKD157" s="250"/>
      <c r="FKE157" s="250"/>
      <c r="FKF157" s="250"/>
      <c r="FKG157" s="250"/>
      <c r="FKH157" s="250"/>
      <c r="FKI157" s="250"/>
      <c r="FKJ157" s="250"/>
      <c r="FKK157" s="250"/>
      <c r="FKL157" s="250"/>
      <c r="FKM157" s="250"/>
      <c r="FKN157" s="250"/>
      <c r="FKO157" s="250"/>
      <c r="FKP157" s="250"/>
      <c r="FKQ157" s="250"/>
      <c r="FKR157" s="250"/>
      <c r="FKS157" s="250"/>
      <c r="FKT157" s="250"/>
      <c r="FKU157" s="250"/>
      <c r="FKV157" s="250"/>
      <c r="FKW157" s="250"/>
      <c r="FKX157" s="250"/>
      <c r="FKY157" s="250"/>
      <c r="FKZ157" s="250"/>
      <c r="FLA157" s="250"/>
      <c r="FLB157" s="250"/>
      <c r="FLC157" s="250"/>
      <c r="FLD157" s="250"/>
      <c r="FLE157" s="250"/>
      <c r="FLF157" s="250"/>
      <c r="FLG157" s="250"/>
      <c r="FLH157" s="250"/>
      <c r="FLI157" s="250"/>
      <c r="FLJ157" s="250"/>
      <c r="FLK157" s="250"/>
      <c r="FLL157" s="250"/>
      <c r="FLM157" s="250"/>
      <c r="FLN157" s="250"/>
      <c r="FLO157" s="250"/>
      <c r="FLP157" s="250"/>
      <c r="FLQ157" s="250"/>
      <c r="FLR157" s="250"/>
      <c r="FLS157" s="250"/>
      <c r="FLT157" s="250"/>
      <c r="FLU157" s="250"/>
      <c r="FLV157" s="250"/>
      <c r="FLW157" s="250"/>
      <c r="FLX157" s="250"/>
      <c r="FLY157" s="250"/>
      <c r="FLZ157" s="250"/>
      <c r="FMA157" s="250"/>
      <c r="FMB157" s="250"/>
      <c r="FMC157" s="250"/>
      <c r="FMD157" s="250"/>
      <c r="FME157" s="250"/>
      <c r="FMF157" s="250"/>
      <c r="FMG157" s="250"/>
      <c r="FMH157" s="250"/>
      <c r="FMI157" s="250"/>
      <c r="FMJ157" s="250"/>
      <c r="FMK157" s="250"/>
      <c r="FML157" s="250"/>
      <c r="FMM157" s="250"/>
      <c r="FMN157" s="250"/>
      <c r="FMO157" s="250"/>
      <c r="FMP157" s="250"/>
      <c r="FMQ157" s="250"/>
      <c r="FMR157" s="250"/>
      <c r="FMS157" s="250"/>
      <c r="FMT157" s="250"/>
      <c r="FMU157" s="250"/>
      <c r="FMV157" s="250"/>
      <c r="FMW157" s="250"/>
      <c r="FMX157" s="250"/>
      <c r="FMY157" s="250"/>
      <c r="FMZ157" s="250"/>
      <c r="FNA157" s="250"/>
      <c r="FNB157" s="250"/>
      <c r="FNC157" s="250"/>
      <c r="FND157" s="250"/>
      <c r="FNE157" s="250"/>
      <c r="FNF157" s="250"/>
      <c r="FNG157" s="250"/>
      <c r="FNH157" s="250"/>
      <c r="FNI157" s="250"/>
      <c r="FNJ157" s="250"/>
      <c r="FNK157" s="250"/>
      <c r="FNL157" s="250"/>
      <c r="FNM157" s="250"/>
      <c r="FNN157" s="250"/>
      <c r="FNO157" s="250"/>
      <c r="FNP157" s="250"/>
      <c r="FNQ157" s="250"/>
      <c r="FNR157" s="250"/>
      <c r="FNS157" s="250"/>
      <c r="FNT157" s="250"/>
      <c r="FNU157" s="250"/>
      <c r="FNV157" s="250"/>
      <c r="FNW157" s="250"/>
      <c r="FNX157" s="250"/>
      <c r="FNY157" s="250"/>
      <c r="FNZ157" s="250"/>
      <c r="FOA157" s="250"/>
      <c r="FOB157" s="250"/>
      <c r="FOC157" s="250"/>
      <c r="FOD157" s="250"/>
      <c r="FOE157" s="250"/>
      <c r="FOF157" s="250"/>
      <c r="FOG157" s="250"/>
      <c r="FOH157" s="250"/>
      <c r="FOI157" s="250"/>
      <c r="FOJ157" s="250"/>
      <c r="FOK157" s="250"/>
      <c r="FOL157" s="250"/>
      <c r="FOM157" s="250"/>
      <c r="FON157" s="250"/>
      <c r="FOO157" s="250"/>
      <c r="FOP157" s="250"/>
      <c r="FOQ157" s="250"/>
      <c r="FOR157" s="250"/>
      <c r="FOS157" s="250"/>
      <c r="FOT157" s="250"/>
      <c r="FOU157" s="250"/>
      <c r="FOV157" s="250"/>
      <c r="FOW157" s="250"/>
      <c r="FOX157" s="250"/>
      <c r="FOY157" s="250"/>
      <c r="FOZ157" s="250"/>
      <c r="FPA157" s="250"/>
      <c r="FPB157" s="250"/>
      <c r="FPC157" s="250"/>
      <c r="FPD157" s="250"/>
      <c r="FPE157" s="250"/>
      <c r="FPF157" s="250"/>
      <c r="FPG157" s="250"/>
      <c r="FPH157" s="250"/>
      <c r="FPI157" s="250"/>
      <c r="FPJ157" s="250"/>
      <c r="FPK157" s="250"/>
      <c r="FPL157" s="250"/>
      <c r="FPM157" s="250"/>
      <c r="FPN157" s="250"/>
      <c r="FPO157" s="250"/>
      <c r="FPP157" s="250"/>
      <c r="FPQ157" s="250"/>
      <c r="FPR157" s="250"/>
      <c r="FPS157" s="250"/>
      <c r="FPT157" s="250"/>
      <c r="FPU157" s="250"/>
      <c r="FPV157" s="250"/>
      <c r="FPW157" s="250"/>
      <c r="FPX157" s="250"/>
      <c r="FPY157" s="250"/>
      <c r="FPZ157" s="250"/>
      <c r="FQA157" s="250"/>
      <c r="FQB157" s="250"/>
      <c r="FQC157" s="250"/>
      <c r="FQD157" s="250"/>
      <c r="FQE157" s="250"/>
      <c r="FQF157" s="250"/>
      <c r="FQG157" s="250"/>
      <c r="FQH157" s="250"/>
      <c r="FQI157" s="250"/>
      <c r="FQJ157" s="250"/>
      <c r="FQK157" s="250"/>
      <c r="FQL157" s="250"/>
      <c r="FQM157" s="250"/>
      <c r="FQN157" s="250"/>
      <c r="FQO157" s="250"/>
      <c r="FQP157" s="250"/>
      <c r="FQQ157" s="250"/>
      <c r="FQR157" s="250"/>
      <c r="FQS157" s="250"/>
      <c r="FQT157" s="250"/>
      <c r="FQU157" s="250"/>
      <c r="FQV157" s="250"/>
      <c r="FQW157" s="250"/>
      <c r="FQX157" s="250"/>
      <c r="FQY157" s="250"/>
      <c r="FQZ157" s="250"/>
      <c r="FRA157" s="250"/>
      <c r="FRB157" s="250"/>
      <c r="FRC157" s="250"/>
      <c r="FRD157" s="250"/>
      <c r="FRE157" s="250"/>
      <c r="FRF157" s="250"/>
      <c r="FRG157" s="250"/>
      <c r="FRH157" s="250"/>
      <c r="FRI157" s="250"/>
      <c r="FRJ157" s="250"/>
      <c r="FRK157" s="250"/>
      <c r="FRL157" s="250"/>
      <c r="FRM157" s="250"/>
      <c r="FRN157" s="250"/>
      <c r="FRO157" s="250"/>
      <c r="FRP157" s="250"/>
      <c r="FRQ157" s="250"/>
      <c r="FRR157" s="250"/>
      <c r="FRS157" s="250"/>
      <c r="FRT157" s="250"/>
      <c r="FRU157" s="250"/>
      <c r="FRV157" s="250"/>
      <c r="FRW157" s="250"/>
      <c r="FRX157" s="250"/>
      <c r="FRY157" s="250"/>
      <c r="FRZ157" s="250"/>
      <c r="FSA157" s="250"/>
      <c r="FSB157" s="250"/>
      <c r="FSC157" s="250"/>
      <c r="FSD157" s="250"/>
      <c r="FSE157" s="250"/>
      <c r="FSF157" s="250"/>
      <c r="FSG157" s="250"/>
      <c r="FSH157" s="250"/>
      <c r="FSI157" s="250"/>
      <c r="FSJ157" s="250"/>
      <c r="FSK157" s="250"/>
      <c r="FSL157" s="250"/>
      <c r="FSM157" s="250"/>
      <c r="FSN157" s="250"/>
      <c r="FSO157" s="250"/>
      <c r="FSP157" s="250"/>
      <c r="FSQ157" s="250"/>
      <c r="FSR157" s="250"/>
      <c r="FSS157" s="250"/>
      <c r="FST157" s="250"/>
      <c r="FSU157" s="250"/>
      <c r="FSV157" s="250"/>
      <c r="FSW157" s="250"/>
      <c r="FSX157" s="250"/>
      <c r="FSY157" s="250"/>
      <c r="FSZ157" s="250"/>
      <c r="FTA157" s="250"/>
      <c r="FTB157" s="250"/>
      <c r="FTC157" s="250"/>
      <c r="FTD157" s="250"/>
      <c r="FTE157" s="250"/>
      <c r="FTF157" s="250"/>
      <c r="FTG157" s="250"/>
      <c r="FTH157" s="250"/>
      <c r="FTI157" s="250"/>
      <c r="FTJ157" s="250"/>
      <c r="FTK157" s="250"/>
      <c r="FTL157" s="250"/>
      <c r="FTM157" s="250"/>
      <c r="FTN157" s="250"/>
      <c r="FTO157" s="250"/>
      <c r="FTP157" s="250"/>
      <c r="FTQ157" s="250"/>
      <c r="FTR157" s="250"/>
      <c r="FTS157" s="250"/>
      <c r="FTT157" s="250"/>
      <c r="FTU157" s="250"/>
      <c r="FTV157" s="250"/>
      <c r="FTW157" s="250"/>
      <c r="FTX157" s="250"/>
      <c r="FTY157" s="250"/>
      <c r="FTZ157" s="250"/>
      <c r="FUA157" s="250"/>
      <c r="FUB157" s="250"/>
      <c r="FUC157" s="250"/>
      <c r="FUD157" s="250"/>
      <c r="FUE157" s="250"/>
      <c r="FUF157" s="250"/>
      <c r="FUG157" s="250"/>
      <c r="FUH157" s="250"/>
      <c r="FUI157" s="250"/>
      <c r="FUJ157" s="250"/>
      <c r="FUK157" s="250"/>
      <c r="FUL157" s="250"/>
      <c r="FUM157" s="250"/>
      <c r="FUN157" s="250"/>
      <c r="FUO157" s="250"/>
      <c r="FUP157" s="250"/>
      <c r="FUQ157" s="250"/>
      <c r="FUR157" s="250"/>
      <c r="FUS157" s="250"/>
      <c r="FUT157" s="250"/>
      <c r="FUU157" s="250"/>
      <c r="FUV157" s="250"/>
      <c r="FUW157" s="250"/>
      <c r="FUX157" s="250"/>
      <c r="FUY157" s="250"/>
      <c r="FUZ157" s="250"/>
      <c r="FVA157" s="250"/>
      <c r="FVB157" s="250"/>
      <c r="FVC157" s="250"/>
      <c r="FVD157" s="250"/>
      <c r="FVE157" s="250"/>
      <c r="FVF157" s="250"/>
      <c r="FVG157" s="250"/>
      <c r="FVH157" s="250"/>
      <c r="FVI157" s="250"/>
      <c r="FVJ157" s="250"/>
      <c r="FVK157" s="250"/>
      <c r="FVL157" s="250"/>
      <c r="FVM157" s="250"/>
      <c r="FVN157" s="250"/>
      <c r="FVO157" s="250"/>
      <c r="FVP157" s="250"/>
      <c r="FVQ157" s="250"/>
      <c r="FVR157" s="250"/>
      <c r="FVS157" s="250"/>
      <c r="FVT157" s="250"/>
      <c r="FVU157" s="250"/>
      <c r="FVV157" s="250"/>
      <c r="FVW157" s="250"/>
      <c r="FVX157" s="250"/>
      <c r="FVY157" s="250"/>
      <c r="FVZ157" s="250"/>
      <c r="FWA157" s="250"/>
      <c r="FWB157" s="250"/>
      <c r="FWC157" s="250"/>
      <c r="FWD157" s="250"/>
      <c r="FWE157" s="250"/>
      <c r="FWF157" s="250"/>
      <c r="FWG157" s="250"/>
      <c r="FWH157" s="250"/>
      <c r="FWI157" s="250"/>
      <c r="FWJ157" s="250"/>
      <c r="FWK157" s="250"/>
      <c r="FWL157" s="250"/>
      <c r="FWM157" s="250"/>
      <c r="FWN157" s="250"/>
      <c r="FWO157" s="250"/>
      <c r="FWP157" s="250"/>
      <c r="FWQ157" s="250"/>
      <c r="FWR157" s="250"/>
      <c r="FWS157" s="250"/>
      <c r="FWT157" s="250"/>
      <c r="FWU157" s="250"/>
      <c r="FWV157" s="250"/>
      <c r="FWW157" s="250"/>
      <c r="FWX157" s="250"/>
      <c r="FWY157" s="250"/>
      <c r="FWZ157" s="250"/>
      <c r="FXA157" s="250"/>
      <c r="FXB157" s="250"/>
      <c r="FXC157" s="250"/>
      <c r="FXD157" s="250"/>
      <c r="FXE157" s="250"/>
      <c r="FXF157" s="250"/>
      <c r="FXG157" s="250"/>
      <c r="FXH157" s="250"/>
      <c r="FXI157" s="250"/>
      <c r="FXJ157" s="250"/>
      <c r="FXK157" s="250"/>
      <c r="FXL157" s="250"/>
      <c r="FXM157" s="250"/>
      <c r="FXN157" s="250"/>
      <c r="FXO157" s="250"/>
      <c r="FXP157" s="250"/>
      <c r="FXQ157" s="250"/>
      <c r="FXR157" s="250"/>
      <c r="FXS157" s="250"/>
      <c r="FXT157" s="250"/>
      <c r="FXU157" s="250"/>
      <c r="FXV157" s="250"/>
      <c r="FXW157" s="250"/>
      <c r="FXX157" s="250"/>
      <c r="FXY157" s="250"/>
      <c r="FXZ157" s="250"/>
      <c r="FYA157" s="250"/>
      <c r="FYB157" s="250"/>
      <c r="FYC157" s="250"/>
      <c r="FYD157" s="250"/>
      <c r="FYE157" s="250"/>
      <c r="FYF157" s="250"/>
      <c r="FYG157" s="250"/>
      <c r="FYH157" s="250"/>
      <c r="FYI157" s="250"/>
      <c r="FYJ157" s="250"/>
      <c r="FYK157" s="250"/>
      <c r="FYL157" s="250"/>
      <c r="FYM157" s="250"/>
      <c r="FYN157" s="250"/>
      <c r="FYO157" s="250"/>
      <c r="FYP157" s="250"/>
      <c r="FYQ157" s="250"/>
      <c r="FYR157" s="250"/>
      <c r="FYS157" s="250"/>
      <c r="FYT157" s="250"/>
      <c r="FYU157" s="250"/>
      <c r="FYV157" s="250"/>
      <c r="FYW157" s="250"/>
      <c r="FYX157" s="250"/>
      <c r="FYY157" s="250"/>
      <c r="FYZ157" s="250"/>
      <c r="FZA157" s="250"/>
      <c r="FZB157" s="250"/>
      <c r="FZC157" s="250"/>
      <c r="FZD157" s="250"/>
      <c r="FZE157" s="250"/>
      <c r="FZF157" s="250"/>
      <c r="FZG157" s="250"/>
      <c r="FZH157" s="250"/>
      <c r="FZI157" s="250"/>
      <c r="FZJ157" s="250"/>
      <c r="FZK157" s="250"/>
      <c r="FZL157" s="250"/>
      <c r="FZM157" s="250"/>
      <c r="FZN157" s="250"/>
      <c r="FZO157" s="250"/>
      <c r="FZP157" s="250"/>
      <c r="FZQ157" s="250"/>
      <c r="FZR157" s="250"/>
      <c r="FZS157" s="250"/>
      <c r="FZT157" s="250"/>
      <c r="FZU157" s="250"/>
      <c r="FZV157" s="250"/>
      <c r="FZW157" s="250"/>
      <c r="FZX157" s="250"/>
      <c r="FZY157" s="250"/>
      <c r="FZZ157" s="250"/>
      <c r="GAA157" s="250"/>
      <c r="GAB157" s="250"/>
      <c r="GAC157" s="250"/>
      <c r="GAD157" s="250"/>
      <c r="GAE157" s="250"/>
      <c r="GAF157" s="250"/>
      <c r="GAG157" s="250"/>
      <c r="GAH157" s="250"/>
      <c r="GAI157" s="250"/>
      <c r="GAJ157" s="250"/>
      <c r="GAK157" s="250"/>
      <c r="GAL157" s="250"/>
      <c r="GAM157" s="250"/>
      <c r="GAN157" s="250"/>
      <c r="GAO157" s="250"/>
      <c r="GAP157" s="250"/>
      <c r="GAQ157" s="250"/>
      <c r="GAR157" s="250"/>
      <c r="GAS157" s="250"/>
      <c r="GAT157" s="250"/>
      <c r="GAU157" s="250"/>
      <c r="GAV157" s="250"/>
      <c r="GAW157" s="250"/>
      <c r="GAX157" s="250"/>
      <c r="GAY157" s="250"/>
      <c r="GAZ157" s="250"/>
      <c r="GBA157" s="250"/>
      <c r="GBB157" s="250"/>
      <c r="GBC157" s="250"/>
      <c r="GBD157" s="250"/>
      <c r="GBE157" s="250"/>
      <c r="GBF157" s="250"/>
      <c r="GBG157" s="250"/>
      <c r="GBH157" s="250"/>
      <c r="GBI157" s="250"/>
      <c r="GBJ157" s="250"/>
      <c r="GBK157" s="250"/>
      <c r="GBL157" s="250"/>
      <c r="GBM157" s="250"/>
      <c r="GBN157" s="250"/>
      <c r="GBO157" s="250"/>
      <c r="GBP157" s="250"/>
      <c r="GBQ157" s="250"/>
      <c r="GBR157" s="250"/>
      <c r="GBS157" s="250"/>
      <c r="GBT157" s="250"/>
      <c r="GBU157" s="250"/>
      <c r="GBV157" s="250"/>
      <c r="GBW157" s="250"/>
      <c r="GBX157" s="250"/>
      <c r="GBY157" s="250"/>
      <c r="GBZ157" s="250"/>
      <c r="GCA157" s="250"/>
      <c r="GCB157" s="250"/>
      <c r="GCC157" s="250"/>
      <c r="GCD157" s="250"/>
      <c r="GCE157" s="250"/>
      <c r="GCF157" s="250"/>
      <c r="GCG157" s="250"/>
      <c r="GCH157" s="250"/>
      <c r="GCI157" s="250"/>
      <c r="GCJ157" s="250"/>
      <c r="GCK157" s="250"/>
      <c r="GCL157" s="250"/>
      <c r="GCM157" s="250"/>
      <c r="GCN157" s="250"/>
      <c r="GCO157" s="250"/>
      <c r="GCP157" s="250"/>
      <c r="GCQ157" s="250"/>
      <c r="GCR157" s="250"/>
      <c r="GCS157" s="250"/>
      <c r="GCT157" s="250"/>
      <c r="GCU157" s="250"/>
      <c r="GCV157" s="250"/>
      <c r="GCW157" s="250"/>
      <c r="GCX157" s="250"/>
      <c r="GCY157" s="250"/>
      <c r="GCZ157" s="250"/>
      <c r="GDA157" s="250"/>
      <c r="GDB157" s="250"/>
      <c r="GDC157" s="250"/>
      <c r="GDD157" s="250"/>
      <c r="GDE157" s="250"/>
      <c r="GDF157" s="250"/>
      <c r="GDG157" s="250"/>
      <c r="GDH157" s="250"/>
      <c r="GDI157" s="250"/>
      <c r="GDJ157" s="250"/>
      <c r="GDK157" s="250"/>
      <c r="GDL157" s="250"/>
      <c r="GDM157" s="250"/>
      <c r="GDN157" s="250"/>
      <c r="GDO157" s="250"/>
      <c r="GDP157" s="250"/>
      <c r="GDQ157" s="250"/>
      <c r="GDR157" s="250"/>
      <c r="GDS157" s="250"/>
      <c r="GDT157" s="250"/>
      <c r="GDU157" s="250"/>
      <c r="GDV157" s="250"/>
      <c r="GDW157" s="250"/>
      <c r="GDX157" s="250"/>
      <c r="GDY157" s="250"/>
      <c r="GDZ157" s="250"/>
      <c r="GEA157" s="250"/>
      <c r="GEB157" s="250"/>
      <c r="GEC157" s="250"/>
      <c r="GED157" s="250"/>
      <c r="GEE157" s="250"/>
      <c r="GEF157" s="250"/>
      <c r="GEG157" s="250"/>
      <c r="GEH157" s="250"/>
      <c r="GEI157" s="250"/>
      <c r="GEJ157" s="250"/>
      <c r="GEK157" s="250"/>
      <c r="GEL157" s="250"/>
      <c r="GEM157" s="250"/>
      <c r="GEN157" s="250"/>
      <c r="GEO157" s="250"/>
      <c r="GEP157" s="250"/>
      <c r="GEQ157" s="250"/>
      <c r="GER157" s="250"/>
      <c r="GES157" s="250"/>
      <c r="GET157" s="250"/>
      <c r="GEU157" s="250"/>
      <c r="GEV157" s="250"/>
      <c r="GEW157" s="250"/>
      <c r="GEX157" s="250"/>
      <c r="GEY157" s="250"/>
      <c r="GEZ157" s="250"/>
      <c r="GFA157" s="250"/>
      <c r="GFB157" s="250"/>
      <c r="GFC157" s="250"/>
      <c r="GFD157" s="250"/>
      <c r="GFE157" s="250"/>
      <c r="GFF157" s="250"/>
      <c r="GFG157" s="250"/>
      <c r="GFH157" s="250"/>
      <c r="GFI157" s="250"/>
      <c r="GFJ157" s="250"/>
      <c r="GFK157" s="250"/>
      <c r="GFL157" s="250"/>
      <c r="GFM157" s="250"/>
      <c r="GFN157" s="250"/>
      <c r="GFO157" s="250"/>
      <c r="GFP157" s="250"/>
      <c r="GFQ157" s="250"/>
      <c r="GFR157" s="250"/>
      <c r="GFS157" s="250"/>
      <c r="GFT157" s="250"/>
      <c r="GFU157" s="250"/>
      <c r="GFV157" s="250"/>
      <c r="GFW157" s="250"/>
      <c r="GFX157" s="250"/>
      <c r="GFY157" s="250"/>
      <c r="GFZ157" s="250"/>
      <c r="GGA157" s="250"/>
      <c r="GGB157" s="250"/>
      <c r="GGC157" s="250"/>
      <c r="GGD157" s="250"/>
      <c r="GGE157" s="250"/>
      <c r="GGF157" s="250"/>
      <c r="GGG157" s="250"/>
      <c r="GGH157" s="250"/>
      <c r="GGI157" s="250"/>
      <c r="GGJ157" s="250"/>
      <c r="GGK157" s="250"/>
      <c r="GGL157" s="250"/>
      <c r="GGM157" s="250"/>
      <c r="GGN157" s="250"/>
      <c r="GGO157" s="250"/>
      <c r="GGP157" s="250"/>
      <c r="GGQ157" s="250"/>
      <c r="GGR157" s="250"/>
      <c r="GGS157" s="250"/>
      <c r="GGT157" s="250"/>
      <c r="GGU157" s="250"/>
      <c r="GGV157" s="250"/>
      <c r="GGW157" s="250"/>
      <c r="GGX157" s="250"/>
      <c r="GGY157" s="250"/>
      <c r="GGZ157" s="250"/>
      <c r="GHA157" s="250"/>
      <c r="GHB157" s="250"/>
      <c r="GHC157" s="250"/>
      <c r="GHD157" s="250"/>
      <c r="GHE157" s="250"/>
      <c r="GHF157" s="250"/>
      <c r="GHG157" s="250"/>
      <c r="GHH157" s="250"/>
      <c r="GHI157" s="250"/>
      <c r="GHJ157" s="250"/>
      <c r="GHK157" s="250"/>
      <c r="GHL157" s="250"/>
      <c r="GHM157" s="250"/>
      <c r="GHN157" s="250"/>
      <c r="GHO157" s="250"/>
      <c r="GHP157" s="250"/>
      <c r="GHQ157" s="250"/>
      <c r="GHR157" s="250"/>
      <c r="GHS157" s="250"/>
      <c r="GHT157" s="250"/>
      <c r="GHU157" s="250"/>
      <c r="GHV157" s="250"/>
      <c r="GHW157" s="250"/>
      <c r="GHX157" s="250"/>
      <c r="GHY157" s="250"/>
      <c r="GHZ157" s="250"/>
      <c r="GIA157" s="250"/>
      <c r="GIB157" s="250"/>
      <c r="GIC157" s="250"/>
      <c r="GID157" s="250"/>
      <c r="GIE157" s="250"/>
      <c r="GIF157" s="250"/>
      <c r="GIG157" s="250"/>
      <c r="GIH157" s="250"/>
      <c r="GII157" s="250"/>
      <c r="GIJ157" s="250"/>
      <c r="GIK157" s="250"/>
      <c r="GIL157" s="250"/>
      <c r="GIM157" s="250"/>
      <c r="GIN157" s="250"/>
      <c r="GIO157" s="250"/>
      <c r="GIP157" s="250"/>
      <c r="GIQ157" s="250"/>
      <c r="GIR157" s="250"/>
      <c r="GIS157" s="250"/>
      <c r="GIT157" s="250"/>
      <c r="GIU157" s="250"/>
      <c r="GIV157" s="250"/>
      <c r="GIW157" s="250"/>
      <c r="GIX157" s="250"/>
      <c r="GIY157" s="250"/>
      <c r="GIZ157" s="250"/>
      <c r="GJA157" s="250"/>
      <c r="GJB157" s="250"/>
      <c r="GJC157" s="250"/>
      <c r="GJD157" s="250"/>
      <c r="GJE157" s="250"/>
      <c r="GJF157" s="250"/>
      <c r="GJG157" s="250"/>
      <c r="GJH157" s="250"/>
      <c r="GJI157" s="250"/>
      <c r="GJJ157" s="250"/>
      <c r="GJK157" s="250"/>
      <c r="GJL157" s="250"/>
      <c r="GJM157" s="250"/>
      <c r="GJN157" s="250"/>
      <c r="GJO157" s="250"/>
      <c r="GJP157" s="250"/>
      <c r="GJQ157" s="250"/>
      <c r="GJR157" s="250"/>
      <c r="GJS157" s="250"/>
      <c r="GJT157" s="250"/>
      <c r="GJU157" s="250"/>
      <c r="GJV157" s="250"/>
      <c r="GJW157" s="250"/>
      <c r="GJX157" s="250"/>
      <c r="GJY157" s="250"/>
      <c r="GJZ157" s="250"/>
      <c r="GKA157" s="250"/>
      <c r="GKB157" s="250"/>
      <c r="GKC157" s="250"/>
      <c r="GKD157" s="250"/>
      <c r="GKE157" s="250"/>
      <c r="GKF157" s="250"/>
      <c r="GKG157" s="250"/>
      <c r="GKH157" s="250"/>
      <c r="GKI157" s="250"/>
      <c r="GKJ157" s="250"/>
      <c r="GKK157" s="250"/>
      <c r="GKL157" s="250"/>
      <c r="GKM157" s="250"/>
      <c r="GKN157" s="250"/>
      <c r="GKO157" s="250"/>
      <c r="GKP157" s="250"/>
      <c r="GKQ157" s="250"/>
      <c r="GKR157" s="250"/>
      <c r="GKS157" s="250"/>
      <c r="GKT157" s="250"/>
      <c r="GKU157" s="250"/>
      <c r="GKV157" s="250"/>
      <c r="GKW157" s="250"/>
      <c r="GKX157" s="250"/>
      <c r="GKY157" s="250"/>
      <c r="GKZ157" s="250"/>
      <c r="GLA157" s="250"/>
      <c r="GLB157" s="250"/>
      <c r="GLC157" s="250"/>
      <c r="GLD157" s="250"/>
      <c r="GLE157" s="250"/>
      <c r="GLF157" s="250"/>
      <c r="GLG157" s="250"/>
      <c r="GLH157" s="250"/>
      <c r="GLI157" s="250"/>
      <c r="GLJ157" s="250"/>
      <c r="GLK157" s="250"/>
      <c r="GLL157" s="250"/>
      <c r="GLM157" s="250"/>
      <c r="GLN157" s="250"/>
      <c r="GLO157" s="250"/>
      <c r="GLP157" s="250"/>
      <c r="GLQ157" s="250"/>
      <c r="GLR157" s="250"/>
      <c r="GLS157" s="250"/>
      <c r="GLT157" s="250"/>
      <c r="GLU157" s="250"/>
      <c r="GLV157" s="250"/>
      <c r="GLW157" s="250"/>
      <c r="GLX157" s="250"/>
      <c r="GLY157" s="250"/>
      <c r="GLZ157" s="250"/>
      <c r="GMA157" s="250"/>
      <c r="GMB157" s="250"/>
      <c r="GMC157" s="250"/>
      <c r="GMD157" s="250"/>
      <c r="GME157" s="250"/>
      <c r="GMF157" s="250"/>
      <c r="GMG157" s="250"/>
      <c r="GMH157" s="250"/>
      <c r="GMI157" s="250"/>
      <c r="GMJ157" s="250"/>
      <c r="GMK157" s="250"/>
      <c r="GML157" s="250"/>
      <c r="GMM157" s="250"/>
      <c r="GMN157" s="250"/>
      <c r="GMO157" s="250"/>
      <c r="GMP157" s="250"/>
      <c r="GMQ157" s="250"/>
      <c r="GMR157" s="250"/>
      <c r="GMS157" s="250"/>
      <c r="GMT157" s="250"/>
      <c r="GMU157" s="250"/>
      <c r="GMV157" s="250"/>
      <c r="GMW157" s="250"/>
      <c r="GMX157" s="250"/>
      <c r="GMY157" s="250"/>
      <c r="GMZ157" s="250"/>
      <c r="GNA157" s="250"/>
      <c r="GNB157" s="250"/>
      <c r="GNC157" s="250"/>
      <c r="GND157" s="250"/>
      <c r="GNE157" s="250"/>
      <c r="GNF157" s="250"/>
      <c r="GNG157" s="250"/>
      <c r="GNH157" s="250"/>
      <c r="GNI157" s="250"/>
      <c r="GNJ157" s="250"/>
      <c r="GNK157" s="250"/>
      <c r="GNL157" s="250"/>
      <c r="GNM157" s="250"/>
      <c r="GNN157" s="250"/>
      <c r="GNO157" s="250"/>
      <c r="GNP157" s="250"/>
      <c r="GNQ157" s="250"/>
      <c r="GNR157" s="250"/>
      <c r="GNS157" s="250"/>
      <c r="GNT157" s="250"/>
      <c r="GNU157" s="250"/>
      <c r="GNV157" s="250"/>
      <c r="GNW157" s="250"/>
      <c r="GNX157" s="250"/>
      <c r="GNY157" s="250"/>
      <c r="GNZ157" s="250"/>
      <c r="GOA157" s="250"/>
      <c r="GOB157" s="250"/>
      <c r="GOC157" s="250"/>
      <c r="GOD157" s="250"/>
      <c r="GOE157" s="250"/>
      <c r="GOF157" s="250"/>
      <c r="GOG157" s="250"/>
      <c r="GOH157" s="250"/>
      <c r="GOI157" s="250"/>
      <c r="GOJ157" s="250"/>
      <c r="GOK157" s="250"/>
      <c r="GOL157" s="250"/>
      <c r="GOM157" s="250"/>
      <c r="GON157" s="250"/>
      <c r="GOO157" s="250"/>
      <c r="GOP157" s="250"/>
      <c r="GOQ157" s="250"/>
      <c r="GOR157" s="250"/>
      <c r="GOS157" s="250"/>
      <c r="GOT157" s="250"/>
      <c r="GOU157" s="250"/>
      <c r="GOV157" s="250"/>
      <c r="GOW157" s="250"/>
      <c r="GOX157" s="250"/>
      <c r="GOY157" s="250"/>
      <c r="GOZ157" s="250"/>
      <c r="GPA157" s="250"/>
      <c r="GPB157" s="250"/>
      <c r="GPC157" s="250"/>
      <c r="GPD157" s="250"/>
      <c r="GPE157" s="250"/>
      <c r="GPF157" s="250"/>
      <c r="GPG157" s="250"/>
      <c r="GPH157" s="250"/>
      <c r="GPI157" s="250"/>
      <c r="GPJ157" s="250"/>
      <c r="GPK157" s="250"/>
      <c r="GPL157" s="250"/>
      <c r="GPM157" s="250"/>
      <c r="GPN157" s="250"/>
      <c r="GPO157" s="250"/>
      <c r="GPP157" s="250"/>
      <c r="GPQ157" s="250"/>
      <c r="GPR157" s="250"/>
      <c r="GPS157" s="250"/>
      <c r="GPT157" s="250"/>
      <c r="GPU157" s="250"/>
      <c r="GPV157" s="250"/>
      <c r="GPW157" s="250"/>
      <c r="GPX157" s="250"/>
      <c r="GPY157" s="250"/>
      <c r="GPZ157" s="250"/>
      <c r="GQA157" s="250"/>
      <c r="GQB157" s="250"/>
      <c r="GQC157" s="250"/>
      <c r="GQD157" s="250"/>
      <c r="GQE157" s="250"/>
      <c r="GQF157" s="250"/>
      <c r="GQG157" s="250"/>
      <c r="GQH157" s="250"/>
      <c r="GQI157" s="250"/>
      <c r="GQJ157" s="250"/>
      <c r="GQK157" s="250"/>
      <c r="GQL157" s="250"/>
      <c r="GQM157" s="250"/>
      <c r="GQN157" s="250"/>
      <c r="GQO157" s="250"/>
      <c r="GQP157" s="250"/>
      <c r="GQQ157" s="250"/>
      <c r="GQR157" s="250"/>
      <c r="GQS157" s="250"/>
      <c r="GQT157" s="250"/>
      <c r="GQU157" s="250"/>
      <c r="GQV157" s="250"/>
      <c r="GQW157" s="250"/>
      <c r="GQX157" s="250"/>
      <c r="GQY157" s="250"/>
      <c r="GQZ157" s="250"/>
      <c r="GRA157" s="250"/>
      <c r="GRB157" s="250"/>
      <c r="GRC157" s="250"/>
      <c r="GRD157" s="250"/>
      <c r="GRE157" s="250"/>
      <c r="GRF157" s="250"/>
      <c r="GRG157" s="250"/>
      <c r="GRH157" s="250"/>
      <c r="GRI157" s="250"/>
      <c r="GRJ157" s="250"/>
      <c r="GRK157" s="250"/>
      <c r="GRL157" s="250"/>
      <c r="GRM157" s="250"/>
      <c r="GRN157" s="250"/>
      <c r="GRO157" s="250"/>
      <c r="GRP157" s="250"/>
      <c r="GRQ157" s="250"/>
      <c r="GRR157" s="250"/>
      <c r="GRS157" s="250"/>
      <c r="GRT157" s="250"/>
      <c r="GRU157" s="250"/>
      <c r="GRV157" s="250"/>
      <c r="GRW157" s="250"/>
      <c r="GRX157" s="250"/>
      <c r="GRY157" s="250"/>
      <c r="GRZ157" s="250"/>
      <c r="GSA157" s="250"/>
      <c r="GSB157" s="250"/>
      <c r="GSC157" s="250"/>
      <c r="GSD157" s="250"/>
      <c r="GSE157" s="250"/>
      <c r="GSF157" s="250"/>
      <c r="GSG157" s="250"/>
      <c r="GSH157" s="250"/>
      <c r="GSI157" s="250"/>
      <c r="GSJ157" s="250"/>
      <c r="GSK157" s="250"/>
      <c r="GSL157" s="250"/>
      <c r="GSM157" s="250"/>
      <c r="GSN157" s="250"/>
      <c r="GSO157" s="250"/>
      <c r="GSP157" s="250"/>
      <c r="GSQ157" s="250"/>
      <c r="GSR157" s="250"/>
      <c r="GSS157" s="250"/>
      <c r="GST157" s="250"/>
      <c r="GSU157" s="250"/>
      <c r="GSV157" s="250"/>
      <c r="GSW157" s="250"/>
      <c r="GSX157" s="250"/>
      <c r="GSY157" s="250"/>
      <c r="GSZ157" s="250"/>
      <c r="GTA157" s="250"/>
      <c r="GTB157" s="250"/>
      <c r="GTC157" s="250"/>
      <c r="GTD157" s="250"/>
      <c r="GTE157" s="250"/>
      <c r="GTF157" s="250"/>
      <c r="GTG157" s="250"/>
      <c r="GTH157" s="250"/>
      <c r="GTI157" s="250"/>
      <c r="GTJ157" s="250"/>
      <c r="GTK157" s="250"/>
      <c r="GTL157" s="250"/>
      <c r="GTM157" s="250"/>
      <c r="GTN157" s="250"/>
      <c r="GTO157" s="250"/>
      <c r="GTP157" s="250"/>
      <c r="GTQ157" s="250"/>
      <c r="GTR157" s="250"/>
      <c r="GTS157" s="250"/>
      <c r="GTT157" s="250"/>
      <c r="GTU157" s="250"/>
      <c r="GTV157" s="250"/>
      <c r="GTW157" s="250"/>
      <c r="GTX157" s="250"/>
      <c r="GTY157" s="250"/>
      <c r="GTZ157" s="250"/>
      <c r="GUA157" s="250"/>
      <c r="GUB157" s="250"/>
      <c r="GUC157" s="250"/>
      <c r="GUD157" s="250"/>
      <c r="GUE157" s="250"/>
      <c r="GUF157" s="250"/>
      <c r="GUG157" s="250"/>
      <c r="GUH157" s="250"/>
      <c r="GUI157" s="250"/>
      <c r="GUJ157" s="250"/>
      <c r="GUK157" s="250"/>
      <c r="GUL157" s="250"/>
      <c r="GUM157" s="250"/>
      <c r="GUN157" s="250"/>
      <c r="GUO157" s="250"/>
      <c r="GUP157" s="250"/>
      <c r="GUQ157" s="250"/>
      <c r="GUR157" s="250"/>
      <c r="GUS157" s="250"/>
      <c r="GUT157" s="250"/>
      <c r="GUU157" s="250"/>
      <c r="GUV157" s="250"/>
      <c r="GUW157" s="250"/>
      <c r="GUX157" s="250"/>
      <c r="GUY157" s="250"/>
      <c r="GUZ157" s="250"/>
      <c r="GVA157" s="250"/>
      <c r="GVB157" s="250"/>
      <c r="GVC157" s="250"/>
      <c r="GVD157" s="250"/>
      <c r="GVE157" s="250"/>
      <c r="GVF157" s="250"/>
      <c r="GVG157" s="250"/>
      <c r="GVH157" s="250"/>
      <c r="GVI157" s="250"/>
      <c r="GVJ157" s="250"/>
      <c r="GVK157" s="250"/>
      <c r="GVL157" s="250"/>
      <c r="GVM157" s="250"/>
      <c r="GVN157" s="250"/>
      <c r="GVO157" s="250"/>
      <c r="GVP157" s="250"/>
      <c r="GVQ157" s="250"/>
      <c r="GVR157" s="250"/>
      <c r="GVS157" s="250"/>
      <c r="GVT157" s="250"/>
      <c r="GVU157" s="250"/>
      <c r="GVV157" s="250"/>
      <c r="GVW157" s="250"/>
      <c r="GVX157" s="250"/>
      <c r="GVY157" s="250"/>
      <c r="GVZ157" s="250"/>
      <c r="GWA157" s="250"/>
      <c r="GWB157" s="250"/>
      <c r="GWC157" s="250"/>
      <c r="GWD157" s="250"/>
      <c r="GWE157" s="250"/>
      <c r="GWF157" s="250"/>
      <c r="GWG157" s="250"/>
      <c r="GWH157" s="250"/>
      <c r="GWI157" s="250"/>
      <c r="GWJ157" s="250"/>
      <c r="GWK157" s="250"/>
      <c r="GWL157" s="250"/>
      <c r="GWM157" s="250"/>
      <c r="GWN157" s="250"/>
      <c r="GWO157" s="250"/>
      <c r="GWP157" s="250"/>
      <c r="GWQ157" s="250"/>
      <c r="GWR157" s="250"/>
      <c r="GWS157" s="250"/>
      <c r="GWT157" s="250"/>
      <c r="GWU157" s="250"/>
      <c r="GWV157" s="250"/>
      <c r="GWW157" s="250"/>
      <c r="GWX157" s="250"/>
      <c r="GWY157" s="250"/>
      <c r="GWZ157" s="250"/>
      <c r="GXA157" s="250"/>
      <c r="GXB157" s="250"/>
      <c r="GXC157" s="250"/>
      <c r="GXD157" s="250"/>
      <c r="GXE157" s="250"/>
      <c r="GXF157" s="250"/>
      <c r="GXG157" s="250"/>
      <c r="GXH157" s="250"/>
      <c r="GXI157" s="250"/>
      <c r="GXJ157" s="250"/>
      <c r="GXK157" s="250"/>
      <c r="GXL157" s="250"/>
      <c r="GXM157" s="250"/>
      <c r="GXN157" s="250"/>
      <c r="GXO157" s="250"/>
      <c r="GXP157" s="250"/>
      <c r="GXQ157" s="250"/>
      <c r="GXR157" s="250"/>
      <c r="GXS157" s="250"/>
      <c r="GXT157" s="250"/>
      <c r="GXU157" s="250"/>
      <c r="GXV157" s="250"/>
      <c r="GXW157" s="250"/>
      <c r="GXX157" s="250"/>
      <c r="GXY157" s="250"/>
      <c r="GXZ157" s="250"/>
      <c r="GYA157" s="250"/>
      <c r="GYB157" s="250"/>
      <c r="GYC157" s="250"/>
      <c r="GYD157" s="250"/>
      <c r="GYE157" s="250"/>
      <c r="GYF157" s="250"/>
      <c r="GYG157" s="250"/>
      <c r="GYH157" s="250"/>
      <c r="GYI157" s="250"/>
      <c r="GYJ157" s="250"/>
      <c r="GYK157" s="250"/>
      <c r="GYL157" s="250"/>
      <c r="GYM157" s="250"/>
      <c r="GYN157" s="250"/>
      <c r="GYO157" s="250"/>
      <c r="GYP157" s="250"/>
      <c r="GYQ157" s="250"/>
      <c r="GYR157" s="250"/>
      <c r="GYS157" s="250"/>
      <c r="GYT157" s="250"/>
      <c r="GYU157" s="250"/>
      <c r="GYV157" s="250"/>
      <c r="GYW157" s="250"/>
      <c r="GYX157" s="250"/>
      <c r="GYY157" s="250"/>
      <c r="GYZ157" s="250"/>
      <c r="GZA157" s="250"/>
      <c r="GZB157" s="250"/>
      <c r="GZC157" s="250"/>
      <c r="GZD157" s="250"/>
      <c r="GZE157" s="250"/>
      <c r="GZF157" s="250"/>
      <c r="GZG157" s="250"/>
      <c r="GZH157" s="250"/>
      <c r="GZI157" s="250"/>
      <c r="GZJ157" s="250"/>
      <c r="GZK157" s="250"/>
      <c r="GZL157" s="250"/>
      <c r="GZM157" s="250"/>
      <c r="GZN157" s="250"/>
      <c r="GZO157" s="250"/>
      <c r="GZP157" s="250"/>
      <c r="GZQ157" s="250"/>
      <c r="GZR157" s="250"/>
      <c r="GZS157" s="250"/>
      <c r="GZT157" s="250"/>
      <c r="GZU157" s="250"/>
      <c r="GZV157" s="250"/>
      <c r="GZW157" s="250"/>
      <c r="GZX157" s="250"/>
      <c r="GZY157" s="250"/>
      <c r="GZZ157" s="250"/>
      <c r="HAA157" s="250"/>
      <c r="HAB157" s="250"/>
      <c r="HAC157" s="250"/>
      <c r="HAD157" s="250"/>
      <c r="HAE157" s="250"/>
      <c r="HAF157" s="250"/>
      <c r="HAG157" s="250"/>
      <c r="HAH157" s="250"/>
      <c r="HAI157" s="250"/>
      <c r="HAJ157" s="250"/>
      <c r="HAK157" s="250"/>
      <c r="HAL157" s="250"/>
      <c r="HAM157" s="250"/>
      <c r="HAN157" s="250"/>
      <c r="HAO157" s="250"/>
      <c r="HAP157" s="250"/>
      <c r="HAQ157" s="250"/>
      <c r="HAR157" s="250"/>
      <c r="HAS157" s="250"/>
      <c r="HAT157" s="250"/>
      <c r="HAU157" s="250"/>
      <c r="HAV157" s="250"/>
      <c r="HAW157" s="250"/>
      <c r="HAX157" s="250"/>
      <c r="HAY157" s="250"/>
      <c r="HAZ157" s="250"/>
      <c r="HBA157" s="250"/>
      <c r="HBB157" s="250"/>
      <c r="HBC157" s="250"/>
      <c r="HBD157" s="250"/>
      <c r="HBE157" s="250"/>
      <c r="HBF157" s="250"/>
      <c r="HBG157" s="250"/>
      <c r="HBH157" s="250"/>
      <c r="HBI157" s="250"/>
      <c r="HBJ157" s="250"/>
      <c r="HBK157" s="250"/>
      <c r="HBL157" s="250"/>
      <c r="HBM157" s="250"/>
      <c r="HBN157" s="250"/>
      <c r="HBO157" s="250"/>
      <c r="HBP157" s="250"/>
      <c r="HBQ157" s="250"/>
      <c r="HBR157" s="250"/>
      <c r="HBS157" s="250"/>
      <c r="HBT157" s="250"/>
      <c r="HBU157" s="250"/>
      <c r="HBV157" s="250"/>
      <c r="HBW157" s="250"/>
      <c r="HBX157" s="250"/>
      <c r="HBY157" s="250"/>
      <c r="HBZ157" s="250"/>
      <c r="HCA157" s="250"/>
      <c r="HCB157" s="250"/>
      <c r="HCC157" s="250"/>
      <c r="HCD157" s="250"/>
      <c r="HCE157" s="250"/>
      <c r="HCF157" s="250"/>
      <c r="HCG157" s="250"/>
      <c r="HCH157" s="250"/>
      <c r="HCI157" s="250"/>
      <c r="HCJ157" s="250"/>
      <c r="HCK157" s="250"/>
      <c r="HCL157" s="250"/>
      <c r="HCM157" s="250"/>
      <c r="HCN157" s="250"/>
      <c r="HCO157" s="250"/>
      <c r="HCP157" s="250"/>
      <c r="HCQ157" s="250"/>
      <c r="HCR157" s="250"/>
      <c r="HCS157" s="250"/>
      <c r="HCT157" s="250"/>
      <c r="HCU157" s="250"/>
      <c r="HCV157" s="250"/>
      <c r="HCW157" s="250"/>
      <c r="HCX157" s="250"/>
      <c r="HCY157" s="250"/>
      <c r="HCZ157" s="250"/>
      <c r="HDA157" s="250"/>
      <c r="HDB157" s="250"/>
      <c r="HDC157" s="250"/>
      <c r="HDD157" s="250"/>
      <c r="HDE157" s="250"/>
      <c r="HDF157" s="250"/>
      <c r="HDG157" s="250"/>
      <c r="HDH157" s="250"/>
      <c r="HDI157" s="250"/>
      <c r="HDJ157" s="250"/>
      <c r="HDK157" s="250"/>
      <c r="HDL157" s="250"/>
      <c r="HDM157" s="250"/>
      <c r="HDN157" s="250"/>
      <c r="HDO157" s="250"/>
      <c r="HDP157" s="250"/>
      <c r="HDQ157" s="250"/>
      <c r="HDR157" s="250"/>
      <c r="HDS157" s="250"/>
      <c r="HDT157" s="250"/>
      <c r="HDU157" s="250"/>
      <c r="HDV157" s="250"/>
      <c r="HDW157" s="250"/>
      <c r="HDX157" s="250"/>
      <c r="HDY157" s="250"/>
      <c r="HDZ157" s="250"/>
      <c r="HEA157" s="250"/>
      <c r="HEB157" s="250"/>
      <c r="HEC157" s="250"/>
      <c r="HED157" s="250"/>
      <c r="HEE157" s="250"/>
      <c r="HEF157" s="250"/>
      <c r="HEG157" s="250"/>
      <c r="HEH157" s="250"/>
      <c r="HEI157" s="250"/>
      <c r="HEJ157" s="250"/>
      <c r="HEK157" s="250"/>
      <c r="HEL157" s="250"/>
      <c r="HEM157" s="250"/>
      <c r="HEN157" s="250"/>
      <c r="HEO157" s="250"/>
      <c r="HEP157" s="250"/>
      <c r="HEQ157" s="250"/>
      <c r="HER157" s="250"/>
      <c r="HES157" s="250"/>
      <c r="HET157" s="250"/>
      <c r="HEU157" s="250"/>
      <c r="HEV157" s="250"/>
      <c r="HEW157" s="250"/>
      <c r="HEX157" s="250"/>
      <c r="HEY157" s="250"/>
      <c r="HEZ157" s="250"/>
      <c r="HFA157" s="250"/>
      <c r="HFB157" s="250"/>
      <c r="HFC157" s="250"/>
      <c r="HFD157" s="250"/>
      <c r="HFE157" s="250"/>
      <c r="HFF157" s="250"/>
      <c r="HFG157" s="250"/>
      <c r="HFH157" s="250"/>
      <c r="HFI157" s="250"/>
      <c r="HFJ157" s="250"/>
      <c r="HFK157" s="250"/>
      <c r="HFL157" s="250"/>
      <c r="HFM157" s="250"/>
      <c r="HFN157" s="250"/>
      <c r="HFO157" s="250"/>
      <c r="HFP157" s="250"/>
      <c r="HFQ157" s="250"/>
      <c r="HFR157" s="250"/>
      <c r="HFS157" s="250"/>
      <c r="HFT157" s="250"/>
      <c r="HFU157" s="250"/>
      <c r="HFV157" s="250"/>
      <c r="HFW157" s="250"/>
      <c r="HFX157" s="250"/>
      <c r="HFY157" s="250"/>
      <c r="HFZ157" s="250"/>
      <c r="HGA157" s="250"/>
      <c r="HGB157" s="250"/>
      <c r="HGC157" s="250"/>
      <c r="HGD157" s="250"/>
      <c r="HGE157" s="250"/>
      <c r="HGF157" s="250"/>
      <c r="HGG157" s="250"/>
      <c r="HGH157" s="250"/>
      <c r="HGI157" s="250"/>
      <c r="HGJ157" s="250"/>
      <c r="HGK157" s="250"/>
      <c r="HGL157" s="250"/>
      <c r="HGM157" s="250"/>
      <c r="HGN157" s="250"/>
      <c r="HGO157" s="250"/>
      <c r="HGP157" s="250"/>
      <c r="HGQ157" s="250"/>
      <c r="HGR157" s="250"/>
      <c r="HGS157" s="250"/>
      <c r="HGT157" s="250"/>
      <c r="HGU157" s="250"/>
      <c r="HGV157" s="250"/>
      <c r="HGW157" s="250"/>
      <c r="HGX157" s="250"/>
      <c r="HGY157" s="250"/>
      <c r="HGZ157" s="250"/>
      <c r="HHA157" s="250"/>
      <c r="HHB157" s="250"/>
      <c r="HHC157" s="250"/>
      <c r="HHD157" s="250"/>
      <c r="HHE157" s="250"/>
      <c r="HHF157" s="250"/>
      <c r="HHG157" s="250"/>
      <c r="HHH157" s="250"/>
      <c r="HHI157" s="250"/>
      <c r="HHJ157" s="250"/>
      <c r="HHK157" s="250"/>
      <c r="HHL157" s="250"/>
      <c r="HHM157" s="250"/>
      <c r="HHN157" s="250"/>
      <c r="HHO157" s="250"/>
      <c r="HHP157" s="250"/>
      <c r="HHQ157" s="250"/>
      <c r="HHR157" s="250"/>
      <c r="HHS157" s="250"/>
      <c r="HHT157" s="250"/>
      <c r="HHU157" s="250"/>
      <c r="HHV157" s="250"/>
      <c r="HHW157" s="250"/>
      <c r="HHX157" s="250"/>
      <c r="HHY157" s="250"/>
      <c r="HHZ157" s="250"/>
      <c r="HIA157" s="250"/>
      <c r="HIB157" s="250"/>
      <c r="HIC157" s="250"/>
      <c r="HID157" s="250"/>
      <c r="HIE157" s="250"/>
      <c r="HIF157" s="250"/>
      <c r="HIG157" s="250"/>
      <c r="HIH157" s="250"/>
      <c r="HII157" s="250"/>
      <c r="HIJ157" s="250"/>
      <c r="HIK157" s="250"/>
      <c r="HIL157" s="250"/>
      <c r="HIM157" s="250"/>
      <c r="HIN157" s="250"/>
      <c r="HIO157" s="250"/>
      <c r="HIP157" s="250"/>
      <c r="HIQ157" s="250"/>
      <c r="HIR157" s="250"/>
      <c r="HIS157" s="250"/>
      <c r="HIT157" s="250"/>
      <c r="HIU157" s="250"/>
      <c r="HIV157" s="250"/>
      <c r="HIW157" s="250"/>
      <c r="HIX157" s="250"/>
      <c r="HIY157" s="250"/>
      <c r="HIZ157" s="250"/>
      <c r="HJA157" s="250"/>
      <c r="HJB157" s="250"/>
      <c r="HJC157" s="250"/>
      <c r="HJD157" s="250"/>
      <c r="HJE157" s="250"/>
      <c r="HJF157" s="250"/>
      <c r="HJG157" s="250"/>
      <c r="HJH157" s="250"/>
      <c r="HJI157" s="250"/>
      <c r="HJJ157" s="250"/>
      <c r="HJK157" s="250"/>
      <c r="HJL157" s="250"/>
      <c r="HJM157" s="250"/>
      <c r="HJN157" s="250"/>
      <c r="HJO157" s="250"/>
      <c r="HJP157" s="250"/>
      <c r="HJQ157" s="250"/>
      <c r="HJR157" s="250"/>
      <c r="HJS157" s="250"/>
      <c r="HJT157" s="250"/>
      <c r="HJU157" s="250"/>
      <c r="HJV157" s="250"/>
      <c r="HJW157" s="250"/>
      <c r="HJX157" s="250"/>
      <c r="HJY157" s="250"/>
      <c r="HJZ157" s="250"/>
      <c r="HKA157" s="250"/>
      <c r="HKB157" s="250"/>
      <c r="HKC157" s="250"/>
      <c r="HKD157" s="250"/>
      <c r="HKE157" s="250"/>
      <c r="HKF157" s="250"/>
      <c r="HKG157" s="250"/>
      <c r="HKH157" s="250"/>
      <c r="HKI157" s="250"/>
      <c r="HKJ157" s="250"/>
      <c r="HKK157" s="250"/>
      <c r="HKL157" s="250"/>
      <c r="HKM157" s="250"/>
      <c r="HKN157" s="250"/>
      <c r="HKO157" s="250"/>
      <c r="HKP157" s="250"/>
      <c r="HKQ157" s="250"/>
      <c r="HKR157" s="250"/>
      <c r="HKS157" s="250"/>
      <c r="HKT157" s="250"/>
      <c r="HKU157" s="250"/>
      <c r="HKV157" s="250"/>
      <c r="HKW157" s="250"/>
      <c r="HKX157" s="250"/>
      <c r="HKY157" s="250"/>
      <c r="HKZ157" s="250"/>
      <c r="HLA157" s="250"/>
      <c r="HLB157" s="250"/>
      <c r="HLC157" s="250"/>
      <c r="HLD157" s="250"/>
      <c r="HLE157" s="250"/>
      <c r="HLF157" s="250"/>
      <c r="HLG157" s="250"/>
      <c r="HLH157" s="250"/>
      <c r="HLI157" s="250"/>
      <c r="HLJ157" s="250"/>
      <c r="HLK157" s="250"/>
      <c r="HLL157" s="250"/>
      <c r="HLM157" s="250"/>
      <c r="HLN157" s="250"/>
      <c r="HLO157" s="250"/>
      <c r="HLP157" s="250"/>
      <c r="HLQ157" s="250"/>
      <c r="HLR157" s="250"/>
      <c r="HLS157" s="250"/>
      <c r="HLT157" s="250"/>
      <c r="HLU157" s="250"/>
      <c r="HLV157" s="250"/>
      <c r="HLW157" s="250"/>
      <c r="HLX157" s="250"/>
      <c r="HLY157" s="250"/>
      <c r="HLZ157" s="250"/>
      <c r="HMA157" s="250"/>
      <c r="HMB157" s="250"/>
      <c r="HMC157" s="250"/>
      <c r="HMD157" s="250"/>
      <c r="HME157" s="250"/>
      <c r="HMF157" s="250"/>
      <c r="HMG157" s="250"/>
      <c r="HMH157" s="250"/>
      <c r="HMI157" s="250"/>
      <c r="HMJ157" s="250"/>
      <c r="HMK157" s="250"/>
      <c r="HML157" s="250"/>
      <c r="HMM157" s="250"/>
      <c r="HMN157" s="250"/>
      <c r="HMO157" s="250"/>
      <c r="HMP157" s="250"/>
      <c r="HMQ157" s="250"/>
      <c r="HMR157" s="250"/>
      <c r="HMS157" s="250"/>
      <c r="HMT157" s="250"/>
      <c r="HMU157" s="250"/>
      <c r="HMV157" s="250"/>
      <c r="HMW157" s="250"/>
      <c r="HMX157" s="250"/>
      <c r="HMY157" s="250"/>
      <c r="HMZ157" s="250"/>
      <c r="HNA157" s="250"/>
      <c r="HNB157" s="250"/>
      <c r="HNC157" s="250"/>
      <c r="HND157" s="250"/>
      <c r="HNE157" s="250"/>
      <c r="HNF157" s="250"/>
      <c r="HNG157" s="250"/>
      <c r="HNH157" s="250"/>
      <c r="HNI157" s="250"/>
      <c r="HNJ157" s="250"/>
      <c r="HNK157" s="250"/>
      <c r="HNL157" s="250"/>
      <c r="HNM157" s="250"/>
      <c r="HNN157" s="250"/>
      <c r="HNO157" s="250"/>
      <c r="HNP157" s="250"/>
      <c r="HNQ157" s="250"/>
      <c r="HNR157" s="250"/>
      <c r="HNS157" s="250"/>
      <c r="HNT157" s="250"/>
      <c r="HNU157" s="250"/>
      <c r="HNV157" s="250"/>
      <c r="HNW157" s="250"/>
      <c r="HNX157" s="250"/>
      <c r="HNY157" s="250"/>
      <c r="HNZ157" s="250"/>
      <c r="HOA157" s="250"/>
      <c r="HOB157" s="250"/>
      <c r="HOC157" s="250"/>
      <c r="HOD157" s="250"/>
      <c r="HOE157" s="250"/>
      <c r="HOF157" s="250"/>
      <c r="HOG157" s="250"/>
      <c r="HOH157" s="250"/>
      <c r="HOI157" s="250"/>
      <c r="HOJ157" s="250"/>
      <c r="HOK157" s="250"/>
      <c r="HOL157" s="250"/>
      <c r="HOM157" s="250"/>
      <c r="HON157" s="250"/>
      <c r="HOO157" s="250"/>
      <c r="HOP157" s="250"/>
      <c r="HOQ157" s="250"/>
      <c r="HOR157" s="250"/>
      <c r="HOS157" s="250"/>
      <c r="HOT157" s="250"/>
      <c r="HOU157" s="250"/>
      <c r="HOV157" s="250"/>
      <c r="HOW157" s="250"/>
      <c r="HOX157" s="250"/>
      <c r="HOY157" s="250"/>
      <c r="HOZ157" s="250"/>
      <c r="HPA157" s="250"/>
      <c r="HPB157" s="250"/>
      <c r="HPC157" s="250"/>
      <c r="HPD157" s="250"/>
      <c r="HPE157" s="250"/>
      <c r="HPF157" s="250"/>
      <c r="HPG157" s="250"/>
      <c r="HPH157" s="250"/>
      <c r="HPI157" s="250"/>
      <c r="HPJ157" s="250"/>
      <c r="HPK157" s="250"/>
      <c r="HPL157" s="250"/>
      <c r="HPM157" s="250"/>
      <c r="HPN157" s="250"/>
      <c r="HPO157" s="250"/>
      <c r="HPP157" s="250"/>
      <c r="HPQ157" s="250"/>
      <c r="HPR157" s="250"/>
      <c r="HPS157" s="250"/>
      <c r="HPT157" s="250"/>
      <c r="HPU157" s="250"/>
      <c r="HPV157" s="250"/>
      <c r="HPW157" s="250"/>
      <c r="HPX157" s="250"/>
      <c r="HPY157" s="250"/>
      <c r="HPZ157" s="250"/>
      <c r="HQA157" s="250"/>
      <c r="HQB157" s="250"/>
      <c r="HQC157" s="250"/>
      <c r="HQD157" s="250"/>
      <c r="HQE157" s="250"/>
      <c r="HQF157" s="250"/>
      <c r="HQG157" s="250"/>
      <c r="HQH157" s="250"/>
      <c r="HQI157" s="250"/>
      <c r="HQJ157" s="250"/>
      <c r="HQK157" s="250"/>
      <c r="HQL157" s="250"/>
      <c r="HQM157" s="250"/>
      <c r="HQN157" s="250"/>
      <c r="HQO157" s="250"/>
      <c r="HQP157" s="250"/>
      <c r="HQQ157" s="250"/>
      <c r="HQR157" s="250"/>
      <c r="HQS157" s="250"/>
      <c r="HQT157" s="250"/>
      <c r="HQU157" s="250"/>
      <c r="HQV157" s="250"/>
      <c r="HQW157" s="250"/>
      <c r="HQX157" s="250"/>
      <c r="HQY157" s="250"/>
      <c r="HQZ157" s="250"/>
      <c r="HRA157" s="250"/>
      <c r="HRB157" s="250"/>
      <c r="HRC157" s="250"/>
      <c r="HRD157" s="250"/>
      <c r="HRE157" s="250"/>
      <c r="HRF157" s="250"/>
      <c r="HRG157" s="250"/>
      <c r="HRH157" s="250"/>
      <c r="HRI157" s="250"/>
      <c r="HRJ157" s="250"/>
      <c r="HRK157" s="250"/>
      <c r="HRL157" s="250"/>
      <c r="HRM157" s="250"/>
      <c r="HRN157" s="250"/>
      <c r="HRO157" s="250"/>
      <c r="HRP157" s="250"/>
      <c r="HRQ157" s="250"/>
      <c r="HRR157" s="250"/>
      <c r="HRS157" s="250"/>
      <c r="HRT157" s="250"/>
      <c r="HRU157" s="250"/>
      <c r="HRV157" s="250"/>
      <c r="HRW157" s="250"/>
      <c r="HRX157" s="250"/>
      <c r="HRY157" s="250"/>
      <c r="HRZ157" s="250"/>
      <c r="HSA157" s="250"/>
      <c r="HSB157" s="250"/>
      <c r="HSC157" s="250"/>
      <c r="HSD157" s="250"/>
      <c r="HSE157" s="250"/>
      <c r="HSF157" s="250"/>
      <c r="HSG157" s="250"/>
      <c r="HSH157" s="250"/>
      <c r="HSI157" s="250"/>
      <c r="HSJ157" s="250"/>
      <c r="HSK157" s="250"/>
      <c r="HSL157" s="250"/>
      <c r="HSM157" s="250"/>
      <c r="HSN157" s="250"/>
      <c r="HSO157" s="250"/>
      <c r="HSP157" s="250"/>
      <c r="HSQ157" s="250"/>
      <c r="HSR157" s="250"/>
      <c r="HSS157" s="250"/>
      <c r="HST157" s="250"/>
      <c r="HSU157" s="250"/>
      <c r="HSV157" s="250"/>
      <c r="HSW157" s="250"/>
      <c r="HSX157" s="250"/>
      <c r="HSY157" s="250"/>
      <c r="HSZ157" s="250"/>
      <c r="HTA157" s="250"/>
      <c r="HTB157" s="250"/>
      <c r="HTC157" s="250"/>
      <c r="HTD157" s="250"/>
      <c r="HTE157" s="250"/>
      <c r="HTF157" s="250"/>
      <c r="HTG157" s="250"/>
      <c r="HTH157" s="250"/>
      <c r="HTI157" s="250"/>
      <c r="HTJ157" s="250"/>
      <c r="HTK157" s="250"/>
      <c r="HTL157" s="250"/>
      <c r="HTM157" s="250"/>
      <c r="HTN157" s="250"/>
      <c r="HTO157" s="250"/>
      <c r="HTP157" s="250"/>
      <c r="HTQ157" s="250"/>
      <c r="HTR157" s="250"/>
      <c r="HTS157" s="250"/>
      <c r="HTT157" s="250"/>
      <c r="HTU157" s="250"/>
      <c r="HTV157" s="250"/>
      <c r="HTW157" s="250"/>
      <c r="HTX157" s="250"/>
      <c r="HTY157" s="250"/>
      <c r="HTZ157" s="250"/>
      <c r="HUA157" s="250"/>
      <c r="HUB157" s="250"/>
      <c r="HUC157" s="250"/>
      <c r="HUD157" s="250"/>
      <c r="HUE157" s="250"/>
      <c r="HUF157" s="250"/>
      <c r="HUG157" s="250"/>
      <c r="HUH157" s="250"/>
      <c r="HUI157" s="250"/>
      <c r="HUJ157" s="250"/>
      <c r="HUK157" s="250"/>
      <c r="HUL157" s="250"/>
      <c r="HUM157" s="250"/>
      <c r="HUN157" s="250"/>
      <c r="HUO157" s="250"/>
      <c r="HUP157" s="250"/>
      <c r="HUQ157" s="250"/>
      <c r="HUR157" s="250"/>
      <c r="HUS157" s="250"/>
      <c r="HUT157" s="250"/>
      <c r="HUU157" s="250"/>
      <c r="HUV157" s="250"/>
      <c r="HUW157" s="250"/>
      <c r="HUX157" s="250"/>
      <c r="HUY157" s="250"/>
      <c r="HUZ157" s="250"/>
      <c r="HVA157" s="250"/>
      <c r="HVB157" s="250"/>
      <c r="HVC157" s="250"/>
      <c r="HVD157" s="250"/>
      <c r="HVE157" s="250"/>
      <c r="HVF157" s="250"/>
      <c r="HVG157" s="250"/>
      <c r="HVH157" s="250"/>
      <c r="HVI157" s="250"/>
      <c r="HVJ157" s="250"/>
      <c r="HVK157" s="250"/>
      <c r="HVL157" s="250"/>
      <c r="HVM157" s="250"/>
      <c r="HVN157" s="250"/>
      <c r="HVO157" s="250"/>
      <c r="HVP157" s="250"/>
      <c r="HVQ157" s="250"/>
      <c r="HVR157" s="250"/>
      <c r="HVS157" s="250"/>
      <c r="HVT157" s="250"/>
      <c r="HVU157" s="250"/>
      <c r="HVV157" s="250"/>
      <c r="HVW157" s="250"/>
      <c r="HVX157" s="250"/>
      <c r="HVY157" s="250"/>
      <c r="HVZ157" s="250"/>
      <c r="HWA157" s="250"/>
      <c r="HWB157" s="250"/>
      <c r="HWC157" s="250"/>
      <c r="HWD157" s="250"/>
      <c r="HWE157" s="250"/>
      <c r="HWF157" s="250"/>
      <c r="HWG157" s="250"/>
      <c r="HWH157" s="250"/>
      <c r="HWI157" s="250"/>
      <c r="HWJ157" s="250"/>
      <c r="HWK157" s="250"/>
      <c r="HWL157" s="250"/>
      <c r="HWM157" s="250"/>
      <c r="HWN157" s="250"/>
      <c r="HWO157" s="250"/>
      <c r="HWP157" s="250"/>
      <c r="HWQ157" s="250"/>
      <c r="HWR157" s="250"/>
      <c r="HWS157" s="250"/>
      <c r="HWT157" s="250"/>
      <c r="HWU157" s="250"/>
      <c r="HWV157" s="250"/>
      <c r="HWW157" s="250"/>
      <c r="HWX157" s="250"/>
      <c r="HWY157" s="250"/>
      <c r="HWZ157" s="250"/>
      <c r="HXA157" s="250"/>
      <c r="HXB157" s="250"/>
      <c r="HXC157" s="250"/>
      <c r="HXD157" s="250"/>
      <c r="HXE157" s="250"/>
      <c r="HXF157" s="250"/>
      <c r="HXG157" s="250"/>
      <c r="HXH157" s="250"/>
      <c r="HXI157" s="250"/>
      <c r="HXJ157" s="250"/>
      <c r="HXK157" s="250"/>
      <c r="HXL157" s="250"/>
      <c r="HXM157" s="250"/>
      <c r="HXN157" s="250"/>
      <c r="HXO157" s="250"/>
      <c r="HXP157" s="250"/>
      <c r="HXQ157" s="250"/>
      <c r="HXR157" s="250"/>
      <c r="HXS157" s="250"/>
      <c r="HXT157" s="250"/>
      <c r="HXU157" s="250"/>
      <c r="HXV157" s="250"/>
      <c r="HXW157" s="250"/>
      <c r="HXX157" s="250"/>
      <c r="HXY157" s="250"/>
      <c r="HXZ157" s="250"/>
      <c r="HYA157" s="250"/>
      <c r="HYB157" s="250"/>
      <c r="HYC157" s="250"/>
      <c r="HYD157" s="250"/>
      <c r="HYE157" s="250"/>
      <c r="HYF157" s="250"/>
      <c r="HYG157" s="250"/>
      <c r="HYH157" s="250"/>
      <c r="HYI157" s="250"/>
      <c r="HYJ157" s="250"/>
      <c r="HYK157" s="250"/>
      <c r="HYL157" s="250"/>
      <c r="HYM157" s="250"/>
      <c r="HYN157" s="250"/>
      <c r="HYO157" s="250"/>
      <c r="HYP157" s="250"/>
      <c r="HYQ157" s="250"/>
      <c r="HYR157" s="250"/>
      <c r="HYS157" s="250"/>
      <c r="HYT157" s="250"/>
      <c r="HYU157" s="250"/>
      <c r="HYV157" s="250"/>
      <c r="HYW157" s="250"/>
      <c r="HYX157" s="250"/>
      <c r="HYY157" s="250"/>
      <c r="HYZ157" s="250"/>
      <c r="HZA157" s="250"/>
      <c r="HZB157" s="250"/>
      <c r="HZC157" s="250"/>
      <c r="HZD157" s="250"/>
      <c r="HZE157" s="250"/>
      <c r="HZF157" s="250"/>
      <c r="HZG157" s="250"/>
      <c r="HZH157" s="250"/>
      <c r="HZI157" s="250"/>
      <c r="HZJ157" s="250"/>
      <c r="HZK157" s="250"/>
      <c r="HZL157" s="250"/>
      <c r="HZM157" s="250"/>
      <c r="HZN157" s="250"/>
      <c r="HZO157" s="250"/>
      <c r="HZP157" s="250"/>
      <c r="HZQ157" s="250"/>
      <c r="HZR157" s="250"/>
      <c r="HZS157" s="250"/>
      <c r="HZT157" s="250"/>
      <c r="HZU157" s="250"/>
      <c r="HZV157" s="250"/>
      <c r="HZW157" s="250"/>
      <c r="HZX157" s="250"/>
      <c r="HZY157" s="250"/>
      <c r="HZZ157" s="250"/>
      <c r="IAA157" s="250"/>
      <c r="IAB157" s="250"/>
      <c r="IAC157" s="250"/>
      <c r="IAD157" s="250"/>
      <c r="IAE157" s="250"/>
      <c r="IAF157" s="250"/>
      <c r="IAG157" s="250"/>
      <c r="IAH157" s="250"/>
      <c r="IAI157" s="250"/>
      <c r="IAJ157" s="250"/>
      <c r="IAK157" s="250"/>
      <c r="IAL157" s="250"/>
      <c r="IAM157" s="250"/>
      <c r="IAN157" s="250"/>
      <c r="IAO157" s="250"/>
      <c r="IAP157" s="250"/>
      <c r="IAQ157" s="250"/>
      <c r="IAR157" s="250"/>
      <c r="IAS157" s="250"/>
      <c r="IAT157" s="250"/>
      <c r="IAU157" s="250"/>
      <c r="IAV157" s="250"/>
      <c r="IAW157" s="250"/>
      <c r="IAX157" s="250"/>
      <c r="IAY157" s="250"/>
      <c r="IAZ157" s="250"/>
      <c r="IBA157" s="250"/>
      <c r="IBB157" s="250"/>
      <c r="IBC157" s="250"/>
      <c r="IBD157" s="250"/>
      <c r="IBE157" s="250"/>
      <c r="IBF157" s="250"/>
      <c r="IBG157" s="250"/>
      <c r="IBH157" s="250"/>
      <c r="IBI157" s="250"/>
      <c r="IBJ157" s="250"/>
      <c r="IBK157" s="250"/>
      <c r="IBL157" s="250"/>
      <c r="IBM157" s="250"/>
      <c r="IBN157" s="250"/>
      <c r="IBO157" s="250"/>
      <c r="IBP157" s="250"/>
      <c r="IBQ157" s="250"/>
      <c r="IBR157" s="250"/>
      <c r="IBS157" s="250"/>
      <c r="IBT157" s="250"/>
      <c r="IBU157" s="250"/>
      <c r="IBV157" s="250"/>
      <c r="IBW157" s="250"/>
      <c r="IBX157" s="250"/>
      <c r="IBY157" s="250"/>
      <c r="IBZ157" s="250"/>
      <c r="ICA157" s="250"/>
      <c r="ICB157" s="250"/>
      <c r="ICC157" s="250"/>
      <c r="ICD157" s="250"/>
      <c r="ICE157" s="250"/>
      <c r="ICF157" s="250"/>
      <c r="ICG157" s="250"/>
      <c r="ICH157" s="250"/>
      <c r="ICI157" s="250"/>
      <c r="ICJ157" s="250"/>
      <c r="ICK157" s="250"/>
      <c r="ICL157" s="250"/>
      <c r="ICM157" s="250"/>
      <c r="ICN157" s="250"/>
      <c r="ICO157" s="250"/>
      <c r="ICP157" s="250"/>
      <c r="ICQ157" s="250"/>
      <c r="ICR157" s="250"/>
      <c r="ICS157" s="250"/>
      <c r="ICT157" s="250"/>
      <c r="ICU157" s="250"/>
      <c r="ICV157" s="250"/>
      <c r="ICW157" s="250"/>
      <c r="ICX157" s="250"/>
      <c r="ICY157" s="250"/>
      <c r="ICZ157" s="250"/>
      <c r="IDA157" s="250"/>
      <c r="IDB157" s="250"/>
      <c r="IDC157" s="250"/>
      <c r="IDD157" s="250"/>
      <c r="IDE157" s="250"/>
      <c r="IDF157" s="250"/>
      <c r="IDG157" s="250"/>
      <c r="IDH157" s="250"/>
      <c r="IDI157" s="250"/>
      <c r="IDJ157" s="250"/>
      <c r="IDK157" s="250"/>
      <c r="IDL157" s="250"/>
      <c r="IDM157" s="250"/>
      <c r="IDN157" s="250"/>
      <c r="IDO157" s="250"/>
      <c r="IDP157" s="250"/>
      <c r="IDQ157" s="250"/>
      <c r="IDR157" s="250"/>
      <c r="IDS157" s="250"/>
      <c r="IDT157" s="250"/>
      <c r="IDU157" s="250"/>
      <c r="IDV157" s="250"/>
      <c r="IDW157" s="250"/>
      <c r="IDX157" s="250"/>
      <c r="IDY157" s="250"/>
      <c r="IDZ157" s="250"/>
      <c r="IEA157" s="250"/>
      <c r="IEB157" s="250"/>
      <c r="IEC157" s="250"/>
      <c r="IED157" s="250"/>
      <c r="IEE157" s="250"/>
      <c r="IEF157" s="250"/>
      <c r="IEG157" s="250"/>
      <c r="IEH157" s="250"/>
      <c r="IEI157" s="250"/>
      <c r="IEJ157" s="250"/>
      <c r="IEK157" s="250"/>
      <c r="IEL157" s="250"/>
      <c r="IEM157" s="250"/>
      <c r="IEN157" s="250"/>
      <c r="IEO157" s="250"/>
      <c r="IEP157" s="250"/>
      <c r="IEQ157" s="250"/>
      <c r="IER157" s="250"/>
      <c r="IES157" s="250"/>
      <c r="IET157" s="250"/>
      <c r="IEU157" s="250"/>
      <c r="IEV157" s="250"/>
      <c r="IEW157" s="250"/>
      <c r="IEX157" s="250"/>
      <c r="IEY157" s="250"/>
      <c r="IEZ157" s="250"/>
      <c r="IFA157" s="250"/>
      <c r="IFB157" s="250"/>
      <c r="IFC157" s="250"/>
      <c r="IFD157" s="250"/>
      <c r="IFE157" s="250"/>
      <c r="IFF157" s="250"/>
      <c r="IFG157" s="250"/>
      <c r="IFH157" s="250"/>
      <c r="IFI157" s="250"/>
      <c r="IFJ157" s="250"/>
      <c r="IFK157" s="250"/>
      <c r="IFL157" s="250"/>
      <c r="IFM157" s="250"/>
      <c r="IFN157" s="250"/>
      <c r="IFO157" s="250"/>
      <c r="IFP157" s="250"/>
      <c r="IFQ157" s="250"/>
      <c r="IFR157" s="250"/>
      <c r="IFS157" s="250"/>
      <c r="IFT157" s="250"/>
      <c r="IFU157" s="250"/>
      <c r="IFV157" s="250"/>
      <c r="IFW157" s="250"/>
      <c r="IFX157" s="250"/>
      <c r="IFY157" s="250"/>
      <c r="IFZ157" s="250"/>
      <c r="IGA157" s="250"/>
      <c r="IGB157" s="250"/>
      <c r="IGC157" s="250"/>
      <c r="IGD157" s="250"/>
      <c r="IGE157" s="250"/>
      <c r="IGF157" s="250"/>
      <c r="IGG157" s="250"/>
      <c r="IGH157" s="250"/>
      <c r="IGI157" s="250"/>
      <c r="IGJ157" s="250"/>
      <c r="IGK157" s="250"/>
      <c r="IGL157" s="250"/>
      <c r="IGM157" s="250"/>
      <c r="IGN157" s="250"/>
      <c r="IGO157" s="250"/>
      <c r="IGP157" s="250"/>
      <c r="IGQ157" s="250"/>
      <c r="IGR157" s="250"/>
      <c r="IGS157" s="250"/>
      <c r="IGT157" s="250"/>
      <c r="IGU157" s="250"/>
      <c r="IGV157" s="250"/>
      <c r="IGW157" s="250"/>
      <c r="IGX157" s="250"/>
      <c r="IGY157" s="250"/>
      <c r="IGZ157" s="250"/>
      <c r="IHA157" s="250"/>
      <c r="IHB157" s="250"/>
      <c r="IHC157" s="250"/>
      <c r="IHD157" s="250"/>
      <c r="IHE157" s="250"/>
      <c r="IHF157" s="250"/>
      <c r="IHG157" s="250"/>
      <c r="IHH157" s="250"/>
      <c r="IHI157" s="250"/>
      <c r="IHJ157" s="250"/>
      <c r="IHK157" s="250"/>
      <c r="IHL157" s="250"/>
      <c r="IHM157" s="250"/>
      <c r="IHN157" s="250"/>
      <c r="IHO157" s="250"/>
      <c r="IHP157" s="250"/>
      <c r="IHQ157" s="250"/>
      <c r="IHR157" s="250"/>
      <c r="IHS157" s="250"/>
      <c r="IHT157" s="250"/>
      <c r="IHU157" s="250"/>
      <c r="IHV157" s="250"/>
      <c r="IHW157" s="250"/>
      <c r="IHX157" s="250"/>
      <c r="IHY157" s="250"/>
      <c r="IHZ157" s="250"/>
      <c r="IIA157" s="250"/>
      <c r="IIB157" s="250"/>
      <c r="IIC157" s="250"/>
      <c r="IID157" s="250"/>
      <c r="IIE157" s="250"/>
      <c r="IIF157" s="250"/>
      <c r="IIG157" s="250"/>
      <c r="IIH157" s="250"/>
      <c r="III157" s="250"/>
      <c r="IIJ157" s="250"/>
      <c r="IIK157" s="250"/>
      <c r="IIL157" s="250"/>
      <c r="IIM157" s="250"/>
      <c r="IIN157" s="250"/>
      <c r="IIO157" s="250"/>
      <c r="IIP157" s="250"/>
      <c r="IIQ157" s="250"/>
      <c r="IIR157" s="250"/>
      <c r="IIS157" s="250"/>
      <c r="IIT157" s="250"/>
      <c r="IIU157" s="250"/>
      <c r="IIV157" s="250"/>
      <c r="IIW157" s="250"/>
      <c r="IIX157" s="250"/>
      <c r="IIY157" s="250"/>
      <c r="IIZ157" s="250"/>
      <c r="IJA157" s="250"/>
      <c r="IJB157" s="250"/>
      <c r="IJC157" s="250"/>
      <c r="IJD157" s="250"/>
      <c r="IJE157" s="250"/>
      <c r="IJF157" s="250"/>
      <c r="IJG157" s="250"/>
      <c r="IJH157" s="250"/>
      <c r="IJI157" s="250"/>
      <c r="IJJ157" s="250"/>
      <c r="IJK157" s="250"/>
      <c r="IJL157" s="250"/>
      <c r="IJM157" s="250"/>
      <c r="IJN157" s="250"/>
      <c r="IJO157" s="250"/>
      <c r="IJP157" s="250"/>
      <c r="IJQ157" s="250"/>
      <c r="IJR157" s="250"/>
      <c r="IJS157" s="250"/>
      <c r="IJT157" s="250"/>
      <c r="IJU157" s="250"/>
      <c r="IJV157" s="250"/>
      <c r="IJW157" s="250"/>
      <c r="IJX157" s="250"/>
      <c r="IJY157" s="250"/>
      <c r="IJZ157" s="250"/>
      <c r="IKA157" s="250"/>
      <c r="IKB157" s="250"/>
      <c r="IKC157" s="250"/>
      <c r="IKD157" s="250"/>
      <c r="IKE157" s="250"/>
      <c r="IKF157" s="250"/>
      <c r="IKG157" s="250"/>
      <c r="IKH157" s="250"/>
      <c r="IKI157" s="250"/>
      <c r="IKJ157" s="250"/>
      <c r="IKK157" s="250"/>
      <c r="IKL157" s="250"/>
      <c r="IKM157" s="250"/>
      <c r="IKN157" s="250"/>
      <c r="IKO157" s="250"/>
      <c r="IKP157" s="250"/>
      <c r="IKQ157" s="250"/>
      <c r="IKR157" s="250"/>
      <c r="IKS157" s="250"/>
      <c r="IKT157" s="250"/>
      <c r="IKU157" s="250"/>
      <c r="IKV157" s="250"/>
      <c r="IKW157" s="250"/>
      <c r="IKX157" s="250"/>
      <c r="IKY157" s="250"/>
      <c r="IKZ157" s="250"/>
      <c r="ILA157" s="250"/>
      <c r="ILB157" s="250"/>
      <c r="ILC157" s="250"/>
      <c r="ILD157" s="250"/>
      <c r="ILE157" s="250"/>
      <c r="ILF157" s="250"/>
      <c r="ILG157" s="250"/>
      <c r="ILH157" s="250"/>
      <c r="ILI157" s="250"/>
      <c r="ILJ157" s="250"/>
      <c r="ILK157" s="250"/>
      <c r="ILL157" s="250"/>
      <c r="ILM157" s="250"/>
      <c r="ILN157" s="250"/>
      <c r="ILO157" s="250"/>
      <c r="ILP157" s="250"/>
      <c r="ILQ157" s="250"/>
      <c r="ILR157" s="250"/>
      <c r="ILS157" s="250"/>
      <c r="ILT157" s="250"/>
      <c r="ILU157" s="250"/>
      <c r="ILV157" s="250"/>
      <c r="ILW157" s="250"/>
      <c r="ILX157" s="250"/>
      <c r="ILY157" s="250"/>
      <c r="ILZ157" s="250"/>
      <c r="IMA157" s="250"/>
      <c r="IMB157" s="250"/>
      <c r="IMC157" s="250"/>
      <c r="IMD157" s="250"/>
      <c r="IME157" s="250"/>
      <c r="IMF157" s="250"/>
      <c r="IMG157" s="250"/>
      <c r="IMH157" s="250"/>
      <c r="IMI157" s="250"/>
      <c r="IMJ157" s="250"/>
      <c r="IMK157" s="250"/>
      <c r="IML157" s="250"/>
      <c r="IMM157" s="250"/>
      <c r="IMN157" s="250"/>
      <c r="IMO157" s="250"/>
      <c r="IMP157" s="250"/>
      <c r="IMQ157" s="250"/>
      <c r="IMR157" s="250"/>
      <c r="IMS157" s="250"/>
      <c r="IMT157" s="250"/>
      <c r="IMU157" s="250"/>
      <c r="IMV157" s="250"/>
      <c r="IMW157" s="250"/>
      <c r="IMX157" s="250"/>
      <c r="IMY157" s="250"/>
      <c r="IMZ157" s="250"/>
      <c r="INA157" s="250"/>
      <c r="INB157" s="250"/>
      <c r="INC157" s="250"/>
      <c r="IND157" s="250"/>
      <c r="INE157" s="250"/>
      <c r="INF157" s="250"/>
      <c r="ING157" s="250"/>
      <c r="INH157" s="250"/>
      <c r="INI157" s="250"/>
      <c r="INJ157" s="250"/>
      <c r="INK157" s="250"/>
      <c r="INL157" s="250"/>
      <c r="INM157" s="250"/>
      <c r="INN157" s="250"/>
      <c r="INO157" s="250"/>
      <c r="INP157" s="250"/>
      <c r="INQ157" s="250"/>
      <c r="INR157" s="250"/>
      <c r="INS157" s="250"/>
      <c r="INT157" s="250"/>
      <c r="INU157" s="250"/>
      <c r="INV157" s="250"/>
      <c r="INW157" s="250"/>
      <c r="INX157" s="250"/>
      <c r="INY157" s="250"/>
      <c r="INZ157" s="250"/>
      <c r="IOA157" s="250"/>
      <c r="IOB157" s="250"/>
      <c r="IOC157" s="250"/>
      <c r="IOD157" s="250"/>
      <c r="IOE157" s="250"/>
      <c r="IOF157" s="250"/>
      <c r="IOG157" s="250"/>
      <c r="IOH157" s="250"/>
      <c r="IOI157" s="250"/>
      <c r="IOJ157" s="250"/>
      <c r="IOK157" s="250"/>
      <c r="IOL157" s="250"/>
      <c r="IOM157" s="250"/>
      <c r="ION157" s="250"/>
      <c r="IOO157" s="250"/>
      <c r="IOP157" s="250"/>
      <c r="IOQ157" s="250"/>
      <c r="IOR157" s="250"/>
      <c r="IOS157" s="250"/>
      <c r="IOT157" s="250"/>
      <c r="IOU157" s="250"/>
      <c r="IOV157" s="250"/>
      <c r="IOW157" s="250"/>
      <c r="IOX157" s="250"/>
      <c r="IOY157" s="250"/>
      <c r="IOZ157" s="250"/>
      <c r="IPA157" s="250"/>
      <c r="IPB157" s="250"/>
      <c r="IPC157" s="250"/>
      <c r="IPD157" s="250"/>
      <c r="IPE157" s="250"/>
      <c r="IPF157" s="250"/>
      <c r="IPG157" s="250"/>
      <c r="IPH157" s="250"/>
      <c r="IPI157" s="250"/>
      <c r="IPJ157" s="250"/>
      <c r="IPK157" s="250"/>
      <c r="IPL157" s="250"/>
      <c r="IPM157" s="250"/>
      <c r="IPN157" s="250"/>
      <c r="IPO157" s="250"/>
      <c r="IPP157" s="250"/>
      <c r="IPQ157" s="250"/>
      <c r="IPR157" s="250"/>
      <c r="IPS157" s="250"/>
      <c r="IPT157" s="250"/>
      <c r="IPU157" s="250"/>
      <c r="IPV157" s="250"/>
      <c r="IPW157" s="250"/>
      <c r="IPX157" s="250"/>
      <c r="IPY157" s="250"/>
      <c r="IPZ157" s="250"/>
      <c r="IQA157" s="250"/>
      <c r="IQB157" s="250"/>
      <c r="IQC157" s="250"/>
      <c r="IQD157" s="250"/>
      <c r="IQE157" s="250"/>
      <c r="IQF157" s="250"/>
      <c r="IQG157" s="250"/>
      <c r="IQH157" s="250"/>
      <c r="IQI157" s="250"/>
      <c r="IQJ157" s="250"/>
      <c r="IQK157" s="250"/>
      <c r="IQL157" s="250"/>
      <c r="IQM157" s="250"/>
      <c r="IQN157" s="250"/>
      <c r="IQO157" s="250"/>
      <c r="IQP157" s="250"/>
      <c r="IQQ157" s="250"/>
      <c r="IQR157" s="250"/>
      <c r="IQS157" s="250"/>
      <c r="IQT157" s="250"/>
      <c r="IQU157" s="250"/>
      <c r="IQV157" s="250"/>
      <c r="IQW157" s="250"/>
      <c r="IQX157" s="250"/>
      <c r="IQY157" s="250"/>
      <c r="IQZ157" s="250"/>
      <c r="IRA157" s="250"/>
      <c r="IRB157" s="250"/>
      <c r="IRC157" s="250"/>
      <c r="IRD157" s="250"/>
      <c r="IRE157" s="250"/>
      <c r="IRF157" s="250"/>
      <c r="IRG157" s="250"/>
      <c r="IRH157" s="250"/>
      <c r="IRI157" s="250"/>
      <c r="IRJ157" s="250"/>
      <c r="IRK157" s="250"/>
      <c r="IRL157" s="250"/>
      <c r="IRM157" s="250"/>
      <c r="IRN157" s="250"/>
      <c r="IRO157" s="250"/>
      <c r="IRP157" s="250"/>
      <c r="IRQ157" s="250"/>
      <c r="IRR157" s="250"/>
      <c r="IRS157" s="250"/>
      <c r="IRT157" s="250"/>
      <c r="IRU157" s="250"/>
      <c r="IRV157" s="250"/>
      <c r="IRW157" s="250"/>
      <c r="IRX157" s="250"/>
      <c r="IRY157" s="250"/>
      <c r="IRZ157" s="250"/>
      <c r="ISA157" s="250"/>
      <c r="ISB157" s="250"/>
      <c r="ISC157" s="250"/>
      <c r="ISD157" s="250"/>
      <c r="ISE157" s="250"/>
      <c r="ISF157" s="250"/>
      <c r="ISG157" s="250"/>
      <c r="ISH157" s="250"/>
      <c r="ISI157" s="250"/>
      <c r="ISJ157" s="250"/>
      <c r="ISK157" s="250"/>
      <c r="ISL157" s="250"/>
      <c r="ISM157" s="250"/>
      <c r="ISN157" s="250"/>
      <c r="ISO157" s="250"/>
      <c r="ISP157" s="250"/>
      <c r="ISQ157" s="250"/>
      <c r="ISR157" s="250"/>
      <c r="ISS157" s="250"/>
      <c r="IST157" s="250"/>
      <c r="ISU157" s="250"/>
      <c r="ISV157" s="250"/>
      <c r="ISW157" s="250"/>
      <c r="ISX157" s="250"/>
      <c r="ISY157" s="250"/>
      <c r="ISZ157" s="250"/>
      <c r="ITA157" s="250"/>
      <c r="ITB157" s="250"/>
      <c r="ITC157" s="250"/>
      <c r="ITD157" s="250"/>
      <c r="ITE157" s="250"/>
      <c r="ITF157" s="250"/>
      <c r="ITG157" s="250"/>
      <c r="ITH157" s="250"/>
      <c r="ITI157" s="250"/>
      <c r="ITJ157" s="250"/>
      <c r="ITK157" s="250"/>
      <c r="ITL157" s="250"/>
      <c r="ITM157" s="250"/>
      <c r="ITN157" s="250"/>
      <c r="ITO157" s="250"/>
      <c r="ITP157" s="250"/>
      <c r="ITQ157" s="250"/>
      <c r="ITR157" s="250"/>
      <c r="ITS157" s="250"/>
      <c r="ITT157" s="250"/>
      <c r="ITU157" s="250"/>
      <c r="ITV157" s="250"/>
      <c r="ITW157" s="250"/>
      <c r="ITX157" s="250"/>
      <c r="ITY157" s="250"/>
      <c r="ITZ157" s="250"/>
      <c r="IUA157" s="250"/>
      <c r="IUB157" s="250"/>
      <c r="IUC157" s="250"/>
      <c r="IUD157" s="250"/>
      <c r="IUE157" s="250"/>
      <c r="IUF157" s="250"/>
      <c r="IUG157" s="250"/>
      <c r="IUH157" s="250"/>
      <c r="IUI157" s="250"/>
      <c r="IUJ157" s="250"/>
      <c r="IUK157" s="250"/>
      <c r="IUL157" s="250"/>
      <c r="IUM157" s="250"/>
      <c r="IUN157" s="250"/>
      <c r="IUO157" s="250"/>
      <c r="IUP157" s="250"/>
      <c r="IUQ157" s="250"/>
      <c r="IUR157" s="250"/>
      <c r="IUS157" s="250"/>
      <c r="IUT157" s="250"/>
      <c r="IUU157" s="250"/>
      <c r="IUV157" s="250"/>
      <c r="IUW157" s="250"/>
      <c r="IUX157" s="250"/>
      <c r="IUY157" s="250"/>
      <c r="IUZ157" s="250"/>
      <c r="IVA157" s="250"/>
      <c r="IVB157" s="250"/>
      <c r="IVC157" s="250"/>
      <c r="IVD157" s="250"/>
      <c r="IVE157" s="250"/>
      <c r="IVF157" s="250"/>
      <c r="IVG157" s="250"/>
      <c r="IVH157" s="250"/>
      <c r="IVI157" s="250"/>
      <c r="IVJ157" s="250"/>
      <c r="IVK157" s="250"/>
      <c r="IVL157" s="250"/>
      <c r="IVM157" s="250"/>
      <c r="IVN157" s="250"/>
      <c r="IVO157" s="250"/>
      <c r="IVP157" s="250"/>
      <c r="IVQ157" s="250"/>
      <c r="IVR157" s="250"/>
      <c r="IVS157" s="250"/>
      <c r="IVT157" s="250"/>
      <c r="IVU157" s="250"/>
      <c r="IVV157" s="250"/>
      <c r="IVW157" s="250"/>
      <c r="IVX157" s="250"/>
      <c r="IVY157" s="250"/>
      <c r="IVZ157" s="250"/>
      <c r="IWA157" s="250"/>
      <c r="IWB157" s="250"/>
      <c r="IWC157" s="250"/>
      <c r="IWD157" s="250"/>
      <c r="IWE157" s="250"/>
      <c r="IWF157" s="250"/>
      <c r="IWG157" s="250"/>
      <c r="IWH157" s="250"/>
      <c r="IWI157" s="250"/>
      <c r="IWJ157" s="250"/>
      <c r="IWK157" s="250"/>
      <c r="IWL157" s="250"/>
      <c r="IWM157" s="250"/>
      <c r="IWN157" s="250"/>
      <c r="IWO157" s="250"/>
      <c r="IWP157" s="250"/>
      <c r="IWQ157" s="250"/>
      <c r="IWR157" s="250"/>
      <c r="IWS157" s="250"/>
      <c r="IWT157" s="250"/>
      <c r="IWU157" s="250"/>
      <c r="IWV157" s="250"/>
      <c r="IWW157" s="250"/>
      <c r="IWX157" s="250"/>
      <c r="IWY157" s="250"/>
      <c r="IWZ157" s="250"/>
      <c r="IXA157" s="250"/>
      <c r="IXB157" s="250"/>
      <c r="IXC157" s="250"/>
      <c r="IXD157" s="250"/>
      <c r="IXE157" s="250"/>
      <c r="IXF157" s="250"/>
      <c r="IXG157" s="250"/>
      <c r="IXH157" s="250"/>
      <c r="IXI157" s="250"/>
      <c r="IXJ157" s="250"/>
      <c r="IXK157" s="250"/>
      <c r="IXL157" s="250"/>
      <c r="IXM157" s="250"/>
      <c r="IXN157" s="250"/>
      <c r="IXO157" s="250"/>
      <c r="IXP157" s="250"/>
      <c r="IXQ157" s="250"/>
      <c r="IXR157" s="250"/>
      <c r="IXS157" s="250"/>
      <c r="IXT157" s="250"/>
      <c r="IXU157" s="250"/>
      <c r="IXV157" s="250"/>
      <c r="IXW157" s="250"/>
      <c r="IXX157" s="250"/>
      <c r="IXY157" s="250"/>
      <c r="IXZ157" s="250"/>
      <c r="IYA157" s="250"/>
      <c r="IYB157" s="250"/>
      <c r="IYC157" s="250"/>
      <c r="IYD157" s="250"/>
      <c r="IYE157" s="250"/>
      <c r="IYF157" s="250"/>
      <c r="IYG157" s="250"/>
      <c r="IYH157" s="250"/>
      <c r="IYI157" s="250"/>
      <c r="IYJ157" s="250"/>
      <c r="IYK157" s="250"/>
      <c r="IYL157" s="250"/>
      <c r="IYM157" s="250"/>
      <c r="IYN157" s="250"/>
      <c r="IYO157" s="250"/>
      <c r="IYP157" s="250"/>
      <c r="IYQ157" s="250"/>
      <c r="IYR157" s="250"/>
      <c r="IYS157" s="250"/>
      <c r="IYT157" s="250"/>
      <c r="IYU157" s="250"/>
      <c r="IYV157" s="250"/>
      <c r="IYW157" s="250"/>
      <c r="IYX157" s="250"/>
      <c r="IYY157" s="250"/>
      <c r="IYZ157" s="250"/>
      <c r="IZA157" s="250"/>
      <c r="IZB157" s="250"/>
      <c r="IZC157" s="250"/>
      <c r="IZD157" s="250"/>
      <c r="IZE157" s="250"/>
      <c r="IZF157" s="250"/>
      <c r="IZG157" s="250"/>
      <c r="IZH157" s="250"/>
      <c r="IZI157" s="250"/>
      <c r="IZJ157" s="250"/>
      <c r="IZK157" s="250"/>
      <c r="IZL157" s="250"/>
      <c r="IZM157" s="250"/>
      <c r="IZN157" s="250"/>
      <c r="IZO157" s="250"/>
      <c r="IZP157" s="250"/>
      <c r="IZQ157" s="250"/>
      <c r="IZR157" s="250"/>
      <c r="IZS157" s="250"/>
      <c r="IZT157" s="250"/>
      <c r="IZU157" s="250"/>
      <c r="IZV157" s="250"/>
      <c r="IZW157" s="250"/>
      <c r="IZX157" s="250"/>
      <c r="IZY157" s="250"/>
      <c r="IZZ157" s="250"/>
      <c r="JAA157" s="250"/>
      <c r="JAB157" s="250"/>
      <c r="JAC157" s="250"/>
      <c r="JAD157" s="250"/>
      <c r="JAE157" s="250"/>
      <c r="JAF157" s="250"/>
      <c r="JAG157" s="250"/>
      <c r="JAH157" s="250"/>
      <c r="JAI157" s="250"/>
      <c r="JAJ157" s="250"/>
      <c r="JAK157" s="250"/>
      <c r="JAL157" s="250"/>
      <c r="JAM157" s="250"/>
      <c r="JAN157" s="250"/>
      <c r="JAO157" s="250"/>
      <c r="JAP157" s="250"/>
      <c r="JAQ157" s="250"/>
      <c r="JAR157" s="250"/>
      <c r="JAS157" s="250"/>
      <c r="JAT157" s="250"/>
      <c r="JAU157" s="250"/>
      <c r="JAV157" s="250"/>
      <c r="JAW157" s="250"/>
      <c r="JAX157" s="250"/>
      <c r="JAY157" s="250"/>
      <c r="JAZ157" s="250"/>
      <c r="JBA157" s="250"/>
      <c r="JBB157" s="250"/>
      <c r="JBC157" s="250"/>
      <c r="JBD157" s="250"/>
      <c r="JBE157" s="250"/>
      <c r="JBF157" s="250"/>
      <c r="JBG157" s="250"/>
      <c r="JBH157" s="250"/>
      <c r="JBI157" s="250"/>
      <c r="JBJ157" s="250"/>
      <c r="JBK157" s="250"/>
      <c r="JBL157" s="250"/>
      <c r="JBM157" s="250"/>
      <c r="JBN157" s="250"/>
      <c r="JBO157" s="250"/>
      <c r="JBP157" s="250"/>
      <c r="JBQ157" s="250"/>
      <c r="JBR157" s="250"/>
      <c r="JBS157" s="250"/>
      <c r="JBT157" s="250"/>
      <c r="JBU157" s="250"/>
      <c r="JBV157" s="250"/>
      <c r="JBW157" s="250"/>
      <c r="JBX157" s="250"/>
      <c r="JBY157" s="250"/>
      <c r="JBZ157" s="250"/>
      <c r="JCA157" s="250"/>
      <c r="JCB157" s="250"/>
      <c r="JCC157" s="250"/>
      <c r="JCD157" s="250"/>
      <c r="JCE157" s="250"/>
      <c r="JCF157" s="250"/>
      <c r="JCG157" s="250"/>
      <c r="JCH157" s="250"/>
      <c r="JCI157" s="250"/>
      <c r="JCJ157" s="250"/>
      <c r="JCK157" s="250"/>
      <c r="JCL157" s="250"/>
      <c r="JCM157" s="250"/>
      <c r="JCN157" s="250"/>
      <c r="JCO157" s="250"/>
      <c r="JCP157" s="250"/>
      <c r="JCQ157" s="250"/>
      <c r="JCR157" s="250"/>
      <c r="JCS157" s="250"/>
      <c r="JCT157" s="250"/>
      <c r="JCU157" s="250"/>
      <c r="JCV157" s="250"/>
      <c r="JCW157" s="250"/>
      <c r="JCX157" s="250"/>
      <c r="JCY157" s="250"/>
      <c r="JCZ157" s="250"/>
      <c r="JDA157" s="250"/>
      <c r="JDB157" s="250"/>
      <c r="JDC157" s="250"/>
      <c r="JDD157" s="250"/>
      <c r="JDE157" s="250"/>
      <c r="JDF157" s="250"/>
      <c r="JDG157" s="250"/>
      <c r="JDH157" s="250"/>
      <c r="JDI157" s="250"/>
      <c r="JDJ157" s="250"/>
      <c r="JDK157" s="250"/>
      <c r="JDL157" s="250"/>
      <c r="JDM157" s="250"/>
      <c r="JDN157" s="250"/>
      <c r="JDO157" s="250"/>
      <c r="JDP157" s="250"/>
      <c r="JDQ157" s="250"/>
      <c r="JDR157" s="250"/>
      <c r="JDS157" s="250"/>
      <c r="JDT157" s="250"/>
      <c r="JDU157" s="250"/>
      <c r="JDV157" s="250"/>
      <c r="JDW157" s="250"/>
      <c r="JDX157" s="250"/>
      <c r="JDY157" s="250"/>
      <c r="JDZ157" s="250"/>
      <c r="JEA157" s="250"/>
      <c r="JEB157" s="250"/>
      <c r="JEC157" s="250"/>
      <c r="JED157" s="250"/>
      <c r="JEE157" s="250"/>
      <c r="JEF157" s="250"/>
      <c r="JEG157" s="250"/>
      <c r="JEH157" s="250"/>
      <c r="JEI157" s="250"/>
      <c r="JEJ157" s="250"/>
      <c r="JEK157" s="250"/>
      <c r="JEL157" s="250"/>
      <c r="JEM157" s="250"/>
      <c r="JEN157" s="250"/>
      <c r="JEO157" s="250"/>
      <c r="JEP157" s="250"/>
      <c r="JEQ157" s="250"/>
      <c r="JER157" s="250"/>
      <c r="JES157" s="250"/>
      <c r="JET157" s="250"/>
      <c r="JEU157" s="250"/>
      <c r="JEV157" s="250"/>
      <c r="JEW157" s="250"/>
      <c r="JEX157" s="250"/>
      <c r="JEY157" s="250"/>
      <c r="JEZ157" s="250"/>
      <c r="JFA157" s="250"/>
      <c r="JFB157" s="250"/>
      <c r="JFC157" s="250"/>
      <c r="JFD157" s="250"/>
      <c r="JFE157" s="250"/>
      <c r="JFF157" s="250"/>
      <c r="JFG157" s="250"/>
      <c r="JFH157" s="250"/>
      <c r="JFI157" s="250"/>
      <c r="JFJ157" s="250"/>
      <c r="JFK157" s="250"/>
      <c r="JFL157" s="250"/>
      <c r="JFM157" s="250"/>
      <c r="JFN157" s="250"/>
      <c r="JFO157" s="250"/>
      <c r="JFP157" s="250"/>
      <c r="JFQ157" s="250"/>
      <c r="JFR157" s="250"/>
      <c r="JFS157" s="250"/>
      <c r="JFT157" s="250"/>
      <c r="JFU157" s="250"/>
      <c r="JFV157" s="250"/>
      <c r="JFW157" s="250"/>
      <c r="JFX157" s="250"/>
      <c r="JFY157" s="250"/>
      <c r="JFZ157" s="250"/>
      <c r="JGA157" s="250"/>
      <c r="JGB157" s="250"/>
      <c r="JGC157" s="250"/>
      <c r="JGD157" s="250"/>
      <c r="JGE157" s="250"/>
      <c r="JGF157" s="250"/>
      <c r="JGG157" s="250"/>
      <c r="JGH157" s="250"/>
      <c r="JGI157" s="250"/>
      <c r="JGJ157" s="250"/>
      <c r="JGK157" s="250"/>
      <c r="JGL157" s="250"/>
      <c r="JGM157" s="250"/>
      <c r="JGN157" s="250"/>
      <c r="JGO157" s="250"/>
      <c r="JGP157" s="250"/>
      <c r="JGQ157" s="250"/>
      <c r="JGR157" s="250"/>
      <c r="JGS157" s="250"/>
      <c r="JGT157" s="250"/>
      <c r="JGU157" s="250"/>
      <c r="JGV157" s="250"/>
      <c r="JGW157" s="250"/>
      <c r="JGX157" s="250"/>
      <c r="JGY157" s="250"/>
      <c r="JGZ157" s="250"/>
      <c r="JHA157" s="250"/>
      <c r="JHB157" s="250"/>
      <c r="JHC157" s="250"/>
      <c r="JHD157" s="250"/>
      <c r="JHE157" s="250"/>
      <c r="JHF157" s="250"/>
      <c r="JHG157" s="250"/>
      <c r="JHH157" s="250"/>
      <c r="JHI157" s="250"/>
      <c r="JHJ157" s="250"/>
      <c r="JHK157" s="250"/>
      <c r="JHL157" s="250"/>
      <c r="JHM157" s="250"/>
      <c r="JHN157" s="250"/>
      <c r="JHO157" s="250"/>
      <c r="JHP157" s="250"/>
      <c r="JHQ157" s="250"/>
      <c r="JHR157" s="250"/>
      <c r="JHS157" s="250"/>
      <c r="JHT157" s="250"/>
      <c r="JHU157" s="250"/>
      <c r="JHV157" s="250"/>
      <c r="JHW157" s="250"/>
      <c r="JHX157" s="250"/>
      <c r="JHY157" s="250"/>
      <c r="JHZ157" s="250"/>
      <c r="JIA157" s="250"/>
      <c r="JIB157" s="250"/>
      <c r="JIC157" s="250"/>
      <c r="JID157" s="250"/>
      <c r="JIE157" s="250"/>
      <c r="JIF157" s="250"/>
      <c r="JIG157" s="250"/>
      <c r="JIH157" s="250"/>
      <c r="JII157" s="250"/>
      <c r="JIJ157" s="250"/>
      <c r="JIK157" s="250"/>
      <c r="JIL157" s="250"/>
      <c r="JIM157" s="250"/>
      <c r="JIN157" s="250"/>
      <c r="JIO157" s="250"/>
      <c r="JIP157" s="250"/>
      <c r="JIQ157" s="250"/>
      <c r="JIR157" s="250"/>
      <c r="JIS157" s="250"/>
      <c r="JIT157" s="250"/>
      <c r="JIU157" s="250"/>
      <c r="JIV157" s="250"/>
      <c r="JIW157" s="250"/>
      <c r="JIX157" s="250"/>
      <c r="JIY157" s="250"/>
      <c r="JIZ157" s="250"/>
      <c r="JJA157" s="250"/>
      <c r="JJB157" s="250"/>
      <c r="JJC157" s="250"/>
      <c r="JJD157" s="250"/>
      <c r="JJE157" s="250"/>
      <c r="JJF157" s="250"/>
      <c r="JJG157" s="250"/>
      <c r="JJH157" s="250"/>
      <c r="JJI157" s="250"/>
      <c r="JJJ157" s="250"/>
      <c r="JJK157" s="250"/>
      <c r="JJL157" s="250"/>
      <c r="JJM157" s="250"/>
      <c r="JJN157" s="250"/>
      <c r="JJO157" s="250"/>
      <c r="JJP157" s="250"/>
      <c r="JJQ157" s="250"/>
      <c r="JJR157" s="250"/>
      <c r="JJS157" s="250"/>
      <c r="JJT157" s="250"/>
      <c r="JJU157" s="250"/>
      <c r="JJV157" s="250"/>
      <c r="JJW157" s="250"/>
      <c r="JJX157" s="250"/>
      <c r="JJY157" s="250"/>
      <c r="JJZ157" s="250"/>
      <c r="JKA157" s="250"/>
      <c r="JKB157" s="250"/>
      <c r="JKC157" s="250"/>
      <c r="JKD157" s="250"/>
      <c r="JKE157" s="250"/>
      <c r="JKF157" s="250"/>
      <c r="JKG157" s="250"/>
      <c r="JKH157" s="250"/>
      <c r="JKI157" s="250"/>
      <c r="JKJ157" s="250"/>
      <c r="JKK157" s="250"/>
      <c r="JKL157" s="250"/>
      <c r="JKM157" s="250"/>
      <c r="JKN157" s="250"/>
      <c r="JKO157" s="250"/>
      <c r="JKP157" s="250"/>
      <c r="JKQ157" s="250"/>
      <c r="JKR157" s="250"/>
      <c r="JKS157" s="250"/>
      <c r="JKT157" s="250"/>
      <c r="JKU157" s="250"/>
      <c r="JKV157" s="250"/>
      <c r="JKW157" s="250"/>
      <c r="JKX157" s="250"/>
      <c r="JKY157" s="250"/>
      <c r="JKZ157" s="250"/>
      <c r="JLA157" s="250"/>
      <c r="JLB157" s="250"/>
      <c r="JLC157" s="250"/>
      <c r="JLD157" s="250"/>
      <c r="JLE157" s="250"/>
      <c r="JLF157" s="250"/>
      <c r="JLG157" s="250"/>
      <c r="JLH157" s="250"/>
      <c r="JLI157" s="250"/>
      <c r="JLJ157" s="250"/>
      <c r="JLK157" s="250"/>
      <c r="JLL157" s="250"/>
      <c r="JLM157" s="250"/>
      <c r="JLN157" s="250"/>
      <c r="JLO157" s="250"/>
      <c r="JLP157" s="250"/>
      <c r="JLQ157" s="250"/>
      <c r="JLR157" s="250"/>
      <c r="JLS157" s="250"/>
      <c r="JLT157" s="250"/>
      <c r="JLU157" s="250"/>
      <c r="JLV157" s="250"/>
      <c r="JLW157" s="250"/>
      <c r="JLX157" s="250"/>
      <c r="JLY157" s="250"/>
      <c r="JLZ157" s="250"/>
      <c r="JMA157" s="250"/>
      <c r="JMB157" s="250"/>
      <c r="JMC157" s="250"/>
      <c r="JMD157" s="250"/>
      <c r="JME157" s="250"/>
      <c r="JMF157" s="250"/>
      <c r="JMG157" s="250"/>
      <c r="JMH157" s="250"/>
      <c r="JMI157" s="250"/>
      <c r="JMJ157" s="250"/>
      <c r="JMK157" s="250"/>
      <c r="JML157" s="250"/>
      <c r="JMM157" s="250"/>
      <c r="JMN157" s="250"/>
      <c r="JMO157" s="250"/>
      <c r="JMP157" s="250"/>
      <c r="JMQ157" s="250"/>
      <c r="JMR157" s="250"/>
      <c r="JMS157" s="250"/>
      <c r="JMT157" s="250"/>
      <c r="JMU157" s="250"/>
      <c r="JMV157" s="250"/>
      <c r="JMW157" s="250"/>
      <c r="JMX157" s="250"/>
      <c r="JMY157" s="250"/>
      <c r="JMZ157" s="250"/>
      <c r="JNA157" s="250"/>
      <c r="JNB157" s="250"/>
      <c r="JNC157" s="250"/>
      <c r="JND157" s="250"/>
      <c r="JNE157" s="250"/>
      <c r="JNF157" s="250"/>
      <c r="JNG157" s="250"/>
      <c r="JNH157" s="250"/>
      <c r="JNI157" s="250"/>
      <c r="JNJ157" s="250"/>
      <c r="JNK157" s="250"/>
      <c r="JNL157" s="250"/>
      <c r="JNM157" s="250"/>
      <c r="JNN157" s="250"/>
      <c r="JNO157" s="250"/>
      <c r="JNP157" s="250"/>
      <c r="JNQ157" s="250"/>
      <c r="JNR157" s="250"/>
      <c r="JNS157" s="250"/>
      <c r="JNT157" s="250"/>
      <c r="JNU157" s="250"/>
      <c r="JNV157" s="250"/>
      <c r="JNW157" s="250"/>
      <c r="JNX157" s="250"/>
      <c r="JNY157" s="250"/>
      <c r="JNZ157" s="250"/>
      <c r="JOA157" s="250"/>
      <c r="JOB157" s="250"/>
      <c r="JOC157" s="250"/>
      <c r="JOD157" s="250"/>
      <c r="JOE157" s="250"/>
      <c r="JOF157" s="250"/>
      <c r="JOG157" s="250"/>
      <c r="JOH157" s="250"/>
      <c r="JOI157" s="250"/>
      <c r="JOJ157" s="250"/>
      <c r="JOK157" s="250"/>
      <c r="JOL157" s="250"/>
      <c r="JOM157" s="250"/>
      <c r="JON157" s="250"/>
      <c r="JOO157" s="250"/>
      <c r="JOP157" s="250"/>
      <c r="JOQ157" s="250"/>
      <c r="JOR157" s="250"/>
      <c r="JOS157" s="250"/>
      <c r="JOT157" s="250"/>
      <c r="JOU157" s="250"/>
      <c r="JOV157" s="250"/>
      <c r="JOW157" s="250"/>
      <c r="JOX157" s="250"/>
      <c r="JOY157" s="250"/>
      <c r="JOZ157" s="250"/>
      <c r="JPA157" s="250"/>
      <c r="JPB157" s="250"/>
      <c r="JPC157" s="250"/>
      <c r="JPD157" s="250"/>
      <c r="JPE157" s="250"/>
      <c r="JPF157" s="250"/>
      <c r="JPG157" s="250"/>
      <c r="JPH157" s="250"/>
      <c r="JPI157" s="250"/>
      <c r="JPJ157" s="250"/>
      <c r="JPK157" s="250"/>
      <c r="JPL157" s="250"/>
      <c r="JPM157" s="250"/>
      <c r="JPN157" s="250"/>
      <c r="JPO157" s="250"/>
      <c r="JPP157" s="250"/>
      <c r="JPQ157" s="250"/>
      <c r="JPR157" s="250"/>
      <c r="JPS157" s="250"/>
      <c r="JPT157" s="250"/>
      <c r="JPU157" s="250"/>
      <c r="JPV157" s="250"/>
      <c r="JPW157" s="250"/>
      <c r="JPX157" s="250"/>
      <c r="JPY157" s="250"/>
      <c r="JPZ157" s="250"/>
      <c r="JQA157" s="250"/>
      <c r="JQB157" s="250"/>
      <c r="JQC157" s="250"/>
      <c r="JQD157" s="250"/>
      <c r="JQE157" s="250"/>
      <c r="JQF157" s="250"/>
      <c r="JQG157" s="250"/>
      <c r="JQH157" s="250"/>
      <c r="JQI157" s="250"/>
      <c r="JQJ157" s="250"/>
      <c r="JQK157" s="250"/>
      <c r="JQL157" s="250"/>
      <c r="JQM157" s="250"/>
      <c r="JQN157" s="250"/>
      <c r="JQO157" s="250"/>
      <c r="JQP157" s="250"/>
      <c r="JQQ157" s="250"/>
      <c r="JQR157" s="250"/>
      <c r="JQS157" s="250"/>
      <c r="JQT157" s="250"/>
      <c r="JQU157" s="250"/>
      <c r="JQV157" s="250"/>
      <c r="JQW157" s="250"/>
      <c r="JQX157" s="250"/>
      <c r="JQY157" s="250"/>
      <c r="JQZ157" s="250"/>
      <c r="JRA157" s="250"/>
      <c r="JRB157" s="250"/>
      <c r="JRC157" s="250"/>
      <c r="JRD157" s="250"/>
      <c r="JRE157" s="250"/>
      <c r="JRF157" s="250"/>
      <c r="JRG157" s="250"/>
      <c r="JRH157" s="250"/>
      <c r="JRI157" s="250"/>
      <c r="JRJ157" s="250"/>
      <c r="JRK157" s="250"/>
      <c r="JRL157" s="250"/>
      <c r="JRM157" s="250"/>
      <c r="JRN157" s="250"/>
      <c r="JRO157" s="250"/>
      <c r="JRP157" s="250"/>
      <c r="JRQ157" s="250"/>
      <c r="JRR157" s="250"/>
      <c r="JRS157" s="250"/>
      <c r="JRT157" s="250"/>
      <c r="JRU157" s="250"/>
      <c r="JRV157" s="250"/>
      <c r="JRW157" s="250"/>
      <c r="JRX157" s="250"/>
      <c r="JRY157" s="250"/>
      <c r="JRZ157" s="250"/>
      <c r="JSA157" s="250"/>
      <c r="JSB157" s="250"/>
      <c r="JSC157" s="250"/>
      <c r="JSD157" s="250"/>
      <c r="JSE157" s="250"/>
      <c r="JSF157" s="250"/>
      <c r="JSG157" s="250"/>
      <c r="JSH157" s="250"/>
      <c r="JSI157" s="250"/>
      <c r="JSJ157" s="250"/>
      <c r="JSK157" s="250"/>
      <c r="JSL157" s="250"/>
      <c r="JSM157" s="250"/>
      <c r="JSN157" s="250"/>
      <c r="JSO157" s="250"/>
      <c r="JSP157" s="250"/>
      <c r="JSQ157" s="250"/>
      <c r="JSR157" s="250"/>
      <c r="JSS157" s="250"/>
      <c r="JST157" s="250"/>
      <c r="JSU157" s="250"/>
      <c r="JSV157" s="250"/>
      <c r="JSW157" s="250"/>
      <c r="JSX157" s="250"/>
      <c r="JSY157" s="250"/>
      <c r="JSZ157" s="250"/>
      <c r="JTA157" s="250"/>
      <c r="JTB157" s="250"/>
      <c r="JTC157" s="250"/>
      <c r="JTD157" s="250"/>
      <c r="JTE157" s="250"/>
      <c r="JTF157" s="250"/>
      <c r="JTG157" s="250"/>
      <c r="JTH157" s="250"/>
      <c r="JTI157" s="250"/>
      <c r="JTJ157" s="250"/>
      <c r="JTK157" s="250"/>
      <c r="JTL157" s="250"/>
      <c r="JTM157" s="250"/>
      <c r="JTN157" s="250"/>
      <c r="JTO157" s="250"/>
      <c r="JTP157" s="250"/>
      <c r="JTQ157" s="250"/>
      <c r="JTR157" s="250"/>
      <c r="JTS157" s="250"/>
      <c r="JTT157" s="250"/>
      <c r="JTU157" s="250"/>
      <c r="JTV157" s="250"/>
      <c r="JTW157" s="250"/>
      <c r="JTX157" s="250"/>
      <c r="JTY157" s="250"/>
      <c r="JTZ157" s="250"/>
      <c r="JUA157" s="250"/>
      <c r="JUB157" s="250"/>
      <c r="JUC157" s="250"/>
      <c r="JUD157" s="250"/>
      <c r="JUE157" s="250"/>
      <c r="JUF157" s="250"/>
      <c r="JUG157" s="250"/>
      <c r="JUH157" s="250"/>
      <c r="JUI157" s="250"/>
      <c r="JUJ157" s="250"/>
      <c r="JUK157" s="250"/>
      <c r="JUL157" s="250"/>
      <c r="JUM157" s="250"/>
      <c r="JUN157" s="250"/>
      <c r="JUO157" s="250"/>
      <c r="JUP157" s="250"/>
      <c r="JUQ157" s="250"/>
      <c r="JUR157" s="250"/>
      <c r="JUS157" s="250"/>
      <c r="JUT157" s="250"/>
      <c r="JUU157" s="250"/>
      <c r="JUV157" s="250"/>
      <c r="JUW157" s="250"/>
      <c r="JUX157" s="250"/>
      <c r="JUY157" s="250"/>
      <c r="JUZ157" s="250"/>
      <c r="JVA157" s="250"/>
      <c r="JVB157" s="250"/>
      <c r="JVC157" s="250"/>
      <c r="JVD157" s="250"/>
      <c r="JVE157" s="250"/>
      <c r="JVF157" s="250"/>
      <c r="JVG157" s="250"/>
      <c r="JVH157" s="250"/>
      <c r="JVI157" s="250"/>
      <c r="JVJ157" s="250"/>
      <c r="JVK157" s="250"/>
      <c r="JVL157" s="250"/>
      <c r="JVM157" s="250"/>
      <c r="JVN157" s="250"/>
      <c r="JVO157" s="250"/>
      <c r="JVP157" s="250"/>
      <c r="JVQ157" s="250"/>
      <c r="JVR157" s="250"/>
      <c r="JVS157" s="250"/>
      <c r="JVT157" s="250"/>
      <c r="JVU157" s="250"/>
      <c r="JVV157" s="250"/>
      <c r="JVW157" s="250"/>
      <c r="JVX157" s="250"/>
      <c r="JVY157" s="250"/>
      <c r="JVZ157" s="250"/>
      <c r="JWA157" s="250"/>
      <c r="JWB157" s="250"/>
      <c r="JWC157" s="250"/>
      <c r="JWD157" s="250"/>
      <c r="JWE157" s="250"/>
      <c r="JWF157" s="250"/>
      <c r="JWG157" s="250"/>
      <c r="JWH157" s="250"/>
      <c r="JWI157" s="250"/>
      <c r="JWJ157" s="250"/>
      <c r="JWK157" s="250"/>
      <c r="JWL157" s="250"/>
      <c r="JWM157" s="250"/>
      <c r="JWN157" s="250"/>
      <c r="JWO157" s="250"/>
      <c r="JWP157" s="250"/>
      <c r="JWQ157" s="250"/>
      <c r="JWR157" s="250"/>
      <c r="JWS157" s="250"/>
      <c r="JWT157" s="250"/>
      <c r="JWU157" s="250"/>
      <c r="JWV157" s="250"/>
      <c r="JWW157" s="250"/>
      <c r="JWX157" s="250"/>
      <c r="JWY157" s="250"/>
      <c r="JWZ157" s="250"/>
      <c r="JXA157" s="250"/>
      <c r="JXB157" s="250"/>
      <c r="JXC157" s="250"/>
      <c r="JXD157" s="250"/>
      <c r="JXE157" s="250"/>
      <c r="JXF157" s="250"/>
      <c r="JXG157" s="250"/>
      <c r="JXH157" s="250"/>
      <c r="JXI157" s="250"/>
      <c r="JXJ157" s="250"/>
      <c r="JXK157" s="250"/>
      <c r="JXL157" s="250"/>
      <c r="JXM157" s="250"/>
      <c r="JXN157" s="250"/>
      <c r="JXO157" s="250"/>
      <c r="JXP157" s="250"/>
      <c r="JXQ157" s="250"/>
      <c r="JXR157" s="250"/>
      <c r="JXS157" s="250"/>
      <c r="JXT157" s="250"/>
      <c r="JXU157" s="250"/>
      <c r="JXV157" s="250"/>
      <c r="JXW157" s="250"/>
      <c r="JXX157" s="250"/>
      <c r="JXY157" s="250"/>
      <c r="JXZ157" s="250"/>
      <c r="JYA157" s="250"/>
      <c r="JYB157" s="250"/>
      <c r="JYC157" s="250"/>
      <c r="JYD157" s="250"/>
      <c r="JYE157" s="250"/>
      <c r="JYF157" s="250"/>
      <c r="JYG157" s="250"/>
      <c r="JYH157" s="250"/>
      <c r="JYI157" s="250"/>
      <c r="JYJ157" s="250"/>
      <c r="JYK157" s="250"/>
      <c r="JYL157" s="250"/>
      <c r="JYM157" s="250"/>
      <c r="JYN157" s="250"/>
      <c r="JYO157" s="250"/>
      <c r="JYP157" s="250"/>
      <c r="JYQ157" s="250"/>
      <c r="JYR157" s="250"/>
      <c r="JYS157" s="250"/>
      <c r="JYT157" s="250"/>
      <c r="JYU157" s="250"/>
      <c r="JYV157" s="250"/>
      <c r="JYW157" s="250"/>
      <c r="JYX157" s="250"/>
      <c r="JYY157" s="250"/>
      <c r="JYZ157" s="250"/>
      <c r="JZA157" s="250"/>
      <c r="JZB157" s="250"/>
      <c r="JZC157" s="250"/>
      <c r="JZD157" s="250"/>
      <c r="JZE157" s="250"/>
      <c r="JZF157" s="250"/>
      <c r="JZG157" s="250"/>
      <c r="JZH157" s="250"/>
      <c r="JZI157" s="250"/>
      <c r="JZJ157" s="250"/>
      <c r="JZK157" s="250"/>
      <c r="JZL157" s="250"/>
      <c r="JZM157" s="250"/>
      <c r="JZN157" s="250"/>
      <c r="JZO157" s="250"/>
      <c r="JZP157" s="250"/>
      <c r="JZQ157" s="250"/>
      <c r="JZR157" s="250"/>
      <c r="JZS157" s="250"/>
      <c r="JZT157" s="250"/>
      <c r="JZU157" s="250"/>
      <c r="JZV157" s="250"/>
      <c r="JZW157" s="250"/>
      <c r="JZX157" s="250"/>
      <c r="JZY157" s="250"/>
      <c r="JZZ157" s="250"/>
      <c r="KAA157" s="250"/>
      <c r="KAB157" s="250"/>
      <c r="KAC157" s="250"/>
      <c r="KAD157" s="250"/>
      <c r="KAE157" s="250"/>
      <c r="KAF157" s="250"/>
      <c r="KAG157" s="250"/>
      <c r="KAH157" s="250"/>
      <c r="KAI157" s="250"/>
      <c r="KAJ157" s="250"/>
      <c r="KAK157" s="250"/>
      <c r="KAL157" s="250"/>
      <c r="KAM157" s="250"/>
      <c r="KAN157" s="250"/>
      <c r="KAO157" s="250"/>
      <c r="KAP157" s="250"/>
      <c r="KAQ157" s="250"/>
      <c r="KAR157" s="250"/>
      <c r="KAS157" s="250"/>
      <c r="KAT157" s="250"/>
      <c r="KAU157" s="250"/>
      <c r="KAV157" s="250"/>
      <c r="KAW157" s="250"/>
      <c r="KAX157" s="250"/>
      <c r="KAY157" s="250"/>
      <c r="KAZ157" s="250"/>
      <c r="KBA157" s="250"/>
      <c r="KBB157" s="250"/>
      <c r="KBC157" s="250"/>
      <c r="KBD157" s="250"/>
      <c r="KBE157" s="250"/>
      <c r="KBF157" s="250"/>
      <c r="KBG157" s="250"/>
      <c r="KBH157" s="250"/>
      <c r="KBI157" s="250"/>
      <c r="KBJ157" s="250"/>
      <c r="KBK157" s="250"/>
      <c r="KBL157" s="250"/>
      <c r="KBM157" s="250"/>
      <c r="KBN157" s="250"/>
      <c r="KBO157" s="250"/>
      <c r="KBP157" s="250"/>
      <c r="KBQ157" s="250"/>
      <c r="KBR157" s="250"/>
      <c r="KBS157" s="250"/>
      <c r="KBT157" s="250"/>
      <c r="KBU157" s="250"/>
      <c r="KBV157" s="250"/>
      <c r="KBW157" s="250"/>
      <c r="KBX157" s="250"/>
      <c r="KBY157" s="250"/>
      <c r="KBZ157" s="250"/>
      <c r="KCA157" s="250"/>
      <c r="KCB157" s="250"/>
      <c r="KCC157" s="250"/>
      <c r="KCD157" s="250"/>
      <c r="KCE157" s="250"/>
      <c r="KCF157" s="250"/>
      <c r="KCG157" s="250"/>
      <c r="KCH157" s="250"/>
      <c r="KCI157" s="250"/>
      <c r="KCJ157" s="250"/>
      <c r="KCK157" s="250"/>
      <c r="KCL157" s="250"/>
      <c r="KCM157" s="250"/>
      <c r="KCN157" s="250"/>
      <c r="KCO157" s="250"/>
      <c r="KCP157" s="250"/>
      <c r="KCQ157" s="250"/>
      <c r="KCR157" s="250"/>
      <c r="KCS157" s="250"/>
      <c r="KCT157" s="250"/>
      <c r="KCU157" s="250"/>
      <c r="KCV157" s="250"/>
      <c r="KCW157" s="250"/>
      <c r="KCX157" s="250"/>
      <c r="KCY157" s="250"/>
      <c r="KCZ157" s="250"/>
      <c r="KDA157" s="250"/>
      <c r="KDB157" s="250"/>
      <c r="KDC157" s="250"/>
      <c r="KDD157" s="250"/>
      <c r="KDE157" s="250"/>
      <c r="KDF157" s="250"/>
      <c r="KDG157" s="250"/>
      <c r="KDH157" s="250"/>
      <c r="KDI157" s="250"/>
      <c r="KDJ157" s="250"/>
      <c r="KDK157" s="250"/>
      <c r="KDL157" s="250"/>
      <c r="KDM157" s="250"/>
      <c r="KDN157" s="250"/>
      <c r="KDO157" s="250"/>
      <c r="KDP157" s="250"/>
      <c r="KDQ157" s="250"/>
      <c r="KDR157" s="250"/>
      <c r="KDS157" s="250"/>
      <c r="KDT157" s="250"/>
      <c r="KDU157" s="250"/>
      <c r="KDV157" s="250"/>
      <c r="KDW157" s="250"/>
      <c r="KDX157" s="250"/>
      <c r="KDY157" s="250"/>
      <c r="KDZ157" s="250"/>
      <c r="KEA157" s="250"/>
      <c r="KEB157" s="250"/>
      <c r="KEC157" s="250"/>
      <c r="KED157" s="250"/>
      <c r="KEE157" s="250"/>
      <c r="KEF157" s="250"/>
      <c r="KEG157" s="250"/>
      <c r="KEH157" s="250"/>
      <c r="KEI157" s="250"/>
      <c r="KEJ157" s="250"/>
      <c r="KEK157" s="250"/>
      <c r="KEL157" s="250"/>
      <c r="KEM157" s="250"/>
      <c r="KEN157" s="250"/>
      <c r="KEO157" s="250"/>
      <c r="KEP157" s="250"/>
      <c r="KEQ157" s="250"/>
      <c r="KER157" s="250"/>
      <c r="KES157" s="250"/>
      <c r="KET157" s="250"/>
      <c r="KEU157" s="250"/>
      <c r="KEV157" s="250"/>
      <c r="KEW157" s="250"/>
      <c r="KEX157" s="250"/>
      <c r="KEY157" s="250"/>
      <c r="KEZ157" s="250"/>
      <c r="KFA157" s="250"/>
      <c r="KFB157" s="250"/>
      <c r="KFC157" s="250"/>
      <c r="KFD157" s="250"/>
      <c r="KFE157" s="250"/>
      <c r="KFF157" s="250"/>
      <c r="KFG157" s="250"/>
      <c r="KFH157" s="250"/>
      <c r="KFI157" s="250"/>
      <c r="KFJ157" s="250"/>
      <c r="KFK157" s="250"/>
      <c r="KFL157" s="250"/>
      <c r="KFM157" s="250"/>
      <c r="KFN157" s="250"/>
      <c r="KFO157" s="250"/>
      <c r="KFP157" s="250"/>
      <c r="KFQ157" s="250"/>
      <c r="KFR157" s="250"/>
      <c r="KFS157" s="250"/>
      <c r="KFT157" s="250"/>
      <c r="KFU157" s="250"/>
      <c r="KFV157" s="250"/>
      <c r="KFW157" s="250"/>
      <c r="KFX157" s="250"/>
      <c r="KFY157" s="250"/>
      <c r="KFZ157" s="250"/>
      <c r="KGA157" s="250"/>
      <c r="KGB157" s="250"/>
      <c r="KGC157" s="250"/>
      <c r="KGD157" s="250"/>
      <c r="KGE157" s="250"/>
      <c r="KGF157" s="250"/>
      <c r="KGG157" s="250"/>
      <c r="KGH157" s="250"/>
      <c r="KGI157" s="250"/>
      <c r="KGJ157" s="250"/>
      <c r="KGK157" s="250"/>
      <c r="KGL157" s="250"/>
      <c r="KGM157" s="250"/>
      <c r="KGN157" s="250"/>
      <c r="KGO157" s="250"/>
      <c r="KGP157" s="250"/>
      <c r="KGQ157" s="250"/>
      <c r="KGR157" s="250"/>
      <c r="KGS157" s="250"/>
      <c r="KGT157" s="250"/>
      <c r="KGU157" s="250"/>
      <c r="KGV157" s="250"/>
      <c r="KGW157" s="250"/>
      <c r="KGX157" s="250"/>
      <c r="KGY157" s="250"/>
      <c r="KGZ157" s="250"/>
      <c r="KHA157" s="250"/>
      <c r="KHB157" s="250"/>
      <c r="KHC157" s="250"/>
      <c r="KHD157" s="250"/>
      <c r="KHE157" s="250"/>
      <c r="KHF157" s="250"/>
      <c r="KHG157" s="250"/>
      <c r="KHH157" s="250"/>
      <c r="KHI157" s="250"/>
      <c r="KHJ157" s="250"/>
      <c r="KHK157" s="250"/>
      <c r="KHL157" s="250"/>
      <c r="KHM157" s="250"/>
      <c r="KHN157" s="250"/>
      <c r="KHO157" s="250"/>
      <c r="KHP157" s="250"/>
      <c r="KHQ157" s="250"/>
      <c r="KHR157" s="250"/>
      <c r="KHS157" s="250"/>
      <c r="KHT157" s="250"/>
      <c r="KHU157" s="250"/>
      <c r="KHV157" s="250"/>
      <c r="KHW157" s="250"/>
      <c r="KHX157" s="250"/>
      <c r="KHY157" s="250"/>
      <c r="KHZ157" s="250"/>
      <c r="KIA157" s="250"/>
      <c r="KIB157" s="250"/>
      <c r="KIC157" s="250"/>
      <c r="KID157" s="250"/>
      <c r="KIE157" s="250"/>
      <c r="KIF157" s="250"/>
      <c r="KIG157" s="250"/>
      <c r="KIH157" s="250"/>
      <c r="KII157" s="250"/>
      <c r="KIJ157" s="250"/>
      <c r="KIK157" s="250"/>
      <c r="KIL157" s="250"/>
      <c r="KIM157" s="250"/>
      <c r="KIN157" s="250"/>
      <c r="KIO157" s="250"/>
      <c r="KIP157" s="250"/>
      <c r="KIQ157" s="250"/>
      <c r="KIR157" s="250"/>
      <c r="KIS157" s="250"/>
      <c r="KIT157" s="250"/>
      <c r="KIU157" s="250"/>
      <c r="KIV157" s="250"/>
      <c r="KIW157" s="250"/>
      <c r="KIX157" s="250"/>
      <c r="KIY157" s="250"/>
      <c r="KIZ157" s="250"/>
      <c r="KJA157" s="250"/>
      <c r="KJB157" s="250"/>
      <c r="KJC157" s="250"/>
      <c r="KJD157" s="250"/>
      <c r="KJE157" s="250"/>
      <c r="KJF157" s="250"/>
      <c r="KJG157" s="250"/>
      <c r="KJH157" s="250"/>
      <c r="KJI157" s="250"/>
      <c r="KJJ157" s="250"/>
      <c r="KJK157" s="250"/>
      <c r="KJL157" s="250"/>
      <c r="KJM157" s="250"/>
      <c r="KJN157" s="250"/>
      <c r="KJO157" s="250"/>
      <c r="KJP157" s="250"/>
      <c r="KJQ157" s="250"/>
      <c r="KJR157" s="250"/>
      <c r="KJS157" s="250"/>
      <c r="KJT157" s="250"/>
      <c r="KJU157" s="250"/>
      <c r="KJV157" s="250"/>
      <c r="KJW157" s="250"/>
      <c r="KJX157" s="250"/>
      <c r="KJY157" s="250"/>
      <c r="KJZ157" s="250"/>
      <c r="KKA157" s="250"/>
      <c r="KKB157" s="250"/>
      <c r="KKC157" s="250"/>
      <c r="KKD157" s="250"/>
      <c r="KKE157" s="250"/>
      <c r="KKF157" s="250"/>
      <c r="KKG157" s="250"/>
      <c r="KKH157" s="250"/>
      <c r="KKI157" s="250"/>
      <c r="KKJ157" s="250"/>
      <c r="KKK157" s="250"/>
      <c r="KKL157" s="250"/>
      <c r="KKM157" s="250"/>
      <c r="KKN157" s="250"/>
      <c r="KKO157" s="250"/>
      <c r="KKP157" s="250"/>
      <c r="KKQ157" s="250"/>
      <c r="KKR157" s="250"/>
      <c r="KKS157" s="250"/>
      <c r="KKT157" s="250"/>
      <c r="KKU157" s="250"/>
      <c r="KKV157" s="250"/>
      <c r="KKW157" s="250"/>
      <c r="KKX157" s="250"/>
      <c r="KKY157" s="250"/>
      <c r="KKZ157" s="250"/>
      <c r="KLA157" s="250"/>
      <c r="KLB157" s="250"/>
      <c r="KLC157" s="250"/>
      <c r="KLD157" s="250"/>
      <c r="KLE157" s="250"/>
      <c r="KLF157" s="250"/>
      <c r="KLG157" s="250"/>
      <c r="KLH157" s="250"/>
      <c r="KLI157" s="250"/>
      <c r="KLJ157" s="250"/>
      <c r="KLK157" s="250"/>
      <c r="KLL157" s="250"/>
      <c r="KLM157" s="250"/>
      <c r="KLN157" s="250"/>
      <c r="KLO157" s="250"/>
      <c r="KLP157" s="250"/>
      <c r="KLQ157" s="250"/>
      <c r="KLR157" s="250"/>
      <c r="KLS157" s="250"/>
      <c r="KLT157" s="250"/>
      <c r="KLU157" s="250"/>
      <c r="KLV157" s="250"/>
      <c r="KLW157" s="250"/>
      <c r="KLX157" s="250"/>
      <c r="KLY157" s="250"/>
      <c r="KLZ157" s="250"/>
      <c r="KMA157" s="250"/>
      <c r="KMB157" s="250"/>
      <c r="KMC157" s="250"/>
      <c r="KMD157" s="250"/>
      <c r="KME157" s="250"/>
      <c r="KMF157" s="250"/>
      <c r="KMG157" s="250"/>
      <c r="KMH157" s="250"/>
      <c r="KMI157" s="250"/>
      <c r="KMJ157" s="250"/>
      <c r="KMK157" s="250"/>
      <c r="KML157" s="250"/>
      <c r="KMM157" s="250"/>
      <c r="KMN157" s="250"/>
      <c r="KMO157" s="250"/>
      <c r="KMP157" s="250"/>
      <c r="KMQ157" s="250"/>
      <c r="KMR157" s="250"/>
      <c r="KMS157" s="250"/>
      <c r="KMT157" s="250"/>
      <c r="KMU157" s="250"/>
      <c r="KMV157" s="250"/>
      <c r="KMW157" s="250"/>
      <c r="KMX157" s="250"/>
      <c r="KMY157" s="250"/>
      <c r="KMZ157" s="250"/>
      <c r="KNA157" s="250"/>
      <c r="KNB157" s="250"/>
      <c r="KNC157" s="250"/>
      <c r="KND157" s="250"/>
      <c r="KNE157" s="250"/>
      <c r="KNF157" s="250"/>
      <c r="KNG157" s="250"/>
      <c r="KNH157" s="250"/>
      <c r="KNI157" s="250"/>
      <c r="KNJ157" s="250"/>
      <c r="KNK157" s="250"/>
      <c r="KNL157" s="250"/>
      <c r="KNM157" s="250"/>
      <c r="KNN157" s="250"/>
      <c r="KNO157" s="250"/>
      <c r="KNP157" s="250"/>
      <c r="KNQ157" s="250"/>
      <c r="KNR157" s="250"/>
      <c r="KNS157" s="250"/>
      <c r="KNT157" s="250"/>
      <c r="KNU157" s="250"/>
      <c r="KNV157" s="250"/>
      <c r="KNW157" s="250"/>
      <c r="KNX157" s="250"/>
      <c r="KNY157" s="250"/>
      <c r="KNZ157" s="250"/>
      <c r="KOA157" s="250"/>
      <c r="KOB157" s="250"/>
      <c r="KOC157" s="250"/>
      <c r="KOD157" s="250"/>
      <c r="KOE157" s="250"/>
      <c r="KOF157" s="250"/>
      <c r="KOG157" s="250"/>
      <c r="KOH157" s="250"/>
      <c r="KOI157" s="250"/>
      <c r="KOJ157" s="250"/>
      <c r="KOK157" s="250"/>
      <c r="KOL157" s="250"/>
      <c r="KOM157" s="250"/>
      <c r="KON157" s="250"/>
      <c r="KOO157" s="250"/>
      <c r="KOP157" s="250"/>
      <c r="KOQ157" s="250"/>
      <c r="KOR157" s="250"/>
      <c r="KOS157" s="250"/>
      <c r="KOT157" s="250"/>
      <c r="KOU157" s="250"/>
      <c r="KOV157" s="250"/>
      <c r="KOW157" s="250"/>
      <c r="KOX157" s="250"/>
      <c r="KOY157" s="250"/>
      <c r="KOZ157" s="250"/>
      <c r="KPA157" s="250"/>
      <c r="KPB157" s="250"/>
      <c r="KPC157" s="250"/>
      <c r="KPD157" s="250"/>
      <c r="KPE157" s="250"/>
      <c r="KPF157" s="250"/>
      <c r="KPG157" s="250"/>
      <c r="KPH157" s="250"/>
      <c r="KPI157" s="250"/>
      <c r="KPJ157" s="250"/>
      <c r="KPK157" s="250"/>
      <c r="KPL157" s="250"/>
      <c r="KPM157" s="250"/>
      <c r="KPN157" s="250"/>
      <c r="KPO157" s="250"/>
      <c r="KPP157" s="250"/>
      <c r="KPQ157" s="250"/>
      <c r="KPR157" s="250"/>
      <c r="KPS157" s="250"/>
      <c r="KPT157" s="250"/>
      <c r="KPU157" s="250"/>
      <c r="KPV157" s="250"/>
      <c r="KPW157" s="250"/>
      <c r="KPX157" s="250"/>
      <c r="KPY157" s="250"/>
      <c r="KPZ157" s="250"/>
      <c r="KQA157" s="250"/>
      <c r="KQB157" s="250"/>
      <c r="KQC157" s="250"/>
      <c r="KQD157" s="250"/>
      <c r="KQE157" s="250"/>
      <c r="KQF157" s="250"/>
      <c r="KQG157" s="250"/>
      <c r="KQH157" s="250"/>
      <c r="KQI157" s="250"/>
      <c r="KQJ157" s="250"/>
      <c r="KQK157" s="250"/>
      <c r="KQL157" s="250"/>
      <c r="KQM157" s="250"/>
      <c r="KQN157" s="250"/>
      <c r="KQO157" s="250"/>
      <c r="KQP157" s="250"/>
      <c r="KQQ157" s="250"/>
      <c r="KQR157" s="250"/>
      <c r="KQS157" s="250"/>
      <c r="KQT157" s="250"/>
      <c r="KQU157" s="250"/>
      <c r="KQV157" s="250"/>
      <c r="KQW157" s="250"/>
      <c r="KQX157" s="250"/>
      <c r="KQY157" s="250"/>
      <c r="KQZ157" s="250"/>
      <c r="KRA157" s="250"/>
      <c r="KRB157" s="250"/>
      <c r="KRC157" s="250"/>
      <c r="KRD157" s="250"/>
      <c r="KRE157" s="250"/>
      <c r="KRF157" s="250"/>
      <c r="KRG157" s="250"/>
      <c r="KRH157" s="250"/>
      <c r="KRI157" s="250"/>
      <c r="KRJ157" s="250"/>
      <c r="KRK157" s="250"/>
      <c r="KRL157" s="250"/>
      <c r="KRM157" s="250"/>
      <c r="KRN157" s="250"/>
      <c r="KRO157" s="250"/>
      <c r="KRP157" s="250"/>
      <c r="KRQ157" s="250"/>
      <c r="KRR157" s="250"/>
      <c r="KRS157" s="250"/>
      <c r="KRT157" s="250"/>
      <c r="KRU157" s="250"/>
      <c r="KRV157" s="250"/>
      <c r="KRW157" s="250"/>
      <c r="KRX157" s="250"/>
      <c r="KRY157" s="250"/>
      <c r="KRZ157" s="250"/>
      <c r="KSA157" s="250"/>
      <c r="KSB157" s="250"/>
      <c r="KSC157" s="250"/>
      <c r="KSD157" s="250"/>
      <c r="KSE157" s="250"/>
      <c r="KSF157" s="250"/>
      <c r="KSG157" s="250"/>
      <c r="KSH157" s="250"/>
      <c r="KSI157" s="250"/>
      <c r="KSJ157" s="250"/>
      <c r="KSK157" s="250"/>
      <c r="KSL157" s="250"/>
      <c r="KSM157" s="250"/>
      <c r="KSN157" s="250"/>
      <c r="KSO157" s="250"/>
      <c r="KSP157" s="250"/>
      <c r="KSQ157" s="250"/>
      <c r="KSR157" s="250"/>
      <c r="KSS157" s="250"/>
      <c r="KST157" s="250"/>
      <c r="KSU157" s="250"/>
      <c r="KSV157" s="250"/>
      <c r="KSW157" s="250"/>
      <c r="KSX157" s="250"/>
      <c r="KSY157" s="250"/>
      <c r="KSZ157" s="250"/>
      <c r="KTA157" s="250"/>
      <c r="KTB157" s="250"/>
      <c r="KTC157" s="250"/>
      <c r="KTD157" s="250"/>
      <c r="KTE157" s="250"/>
      <c r="KTF157" s="250"/>
      <c r="KTG157" s="250"/>
      <c r="KTH157" s="250"/>
      <c r="KTI157" s="250"/>
      <c r="KTJ157" s="250"/>
      <c r="KTK157" s="250"/>
      <c r="KTL157" s="250"/>
      <c r="KTM157" s="250"/>
      <c r="KTN157" s="250"/>
      <c r="KTO157" s="250"/>
      <c r="KTP157" s="250"/>
      <c r="KTQ157" s="250"/>
      <c r="KTR157" s="250"/>
      <c r="KTS157" s="250"/>
      <c r="KTT157" s="250"/>
      <c r="KTU157" s="250"/>
      <c r="KTV157" s="250"/>
      <c r="KTW157" s="250"/>
      <c r="KTX157" s="250"/>
      <c r="KTY157" s="250"/>
      <c r="KTZ157" s="250"/>
      <c r="KUA157" s="250"/>
      <c r="KUB157" s="250"/>
      <c r="KUC157" s="250"/>
      <c r="KUD157" s="250"/>
      <c r="KUE157" s="250"/>
      <c r="KUF157" s="250"/>
      <c r="KUG157" s="250"/>
      <c r="KUH157" s="250"/>
      <c r="KUI157" s="250"/>
      <c r="KUJ157" s="250"/>
      <c r="KUK157" s="250"/>
      <c r="KUL157" s="250"/>
      <c r="KUM157" s="250"/>
      <c r="KUN157" s="250"/>
      <c r="KUO157" s="250"/>
      <c r="KUP157" s="250"/>
      <c r="KUQ157" s="250"/>
      <c r="KUR157" s="250"/>
      <c r="KUS157" s="250"/>
      <c r="KUT157" s="250"/>
      <c r="KUU157" s="250"/>
      <c r="KUV157" s="250"/>
      <c r="KUW157" s="250"/>
      <c r="KUX157" s="250"/>
      <c r="KUY157" s="250"/>
      <c r="KUZ157" s="250"/>
      <c r="KVA157" s="250"/>
      <c r="KVB157" s="250"/>
      <c r="KVC157" s="250"/>
      <c r="KVD157" s="250"/>
      <c r="KVE157" s="250"/>
      <c r="KVF157" s="250"/>
      <c r="KVG157" s="250"/>
      <c r="KVH157" s="250"/>
      <c r="KVI157" s="250"/>
      <c r="KVJ157" s="250"/>
      <c r="KVK157" s="250"/>
      <c r="KVL157" s="250"/>
      <c r="KVM157" s="250"/>
      <c r="KVN157" s="250"/>
      <c r="KVO157" s="250"/>
      <c r="KVP157" s="250"/>
      <c r="KVQ157" s="250"/>
      <c r="KVR157" s="250"/>
      <c r="KVS157" s="250"/>
      <c r="KVT157" s="250"/>
      <c r="KVU157" s="250"/>
      <c r="KVV157" s="250"/>
      <c r="KVW157" s="250"/>
      <c r="KVX157" s="250"/>
      <c r="KVY157" s="250"/>
      <c r="KVZ157" s="250"/>
      <c r="KWA157" s="250"/>
      <c r="KWB157" s="250"/>
      <c r="KWC157" s="250"/>
      <c r="KWD157" s="250"/>
      <c r="KWE157" s="250"/>
      <c r="KWF157" s="250"/>
      <c r="KWG157" s="250"/>
      <c r="KWH157" s="250"/>
      <c r="KWI157" s="250"/>
      <c r="KWJ157" s="250"/>
      <c r="KWK157" s="250"/>
      <c r="KWL157" s="250"/>
      <c r="KWM157" s="250"/>
      <c r="KWN157" s="250"/>
      <c r="KWO157" s="250"/>
      <c r="KWP157" s="250"/>
      <c r="KWQ157" s="250"/>
      <c r="KWR157" s="250"/>
      <c r="KWS157" s="250"/>
      <c r="KWT157" s="250"/>
      <c r="KWU157" s="250"/>
      <c r="KWV157" s="250"/>
      <c r="KWW157" s="250"/>
      <c r="KWX157" s="250"/>
      <c r="KWY157" s="250"/>
      <c r="KWZ157" s="250"/>
      <c r="KXA157" s="250"/>
      <c r="KXB157" s="250"/>
      <c r="KXC157" s="250"/>
      <c r="KXD157" s="250"/>
      <c r="KXE157" s="250"/>
      <c r="KXF157" s="250"/>
      <c r="KXG157" s="250"/>
      <c r="KXH157" s="250"/>
      <c r="KXI157" s="250"/>
      <c r="KXJ157" s="250"/>
      <c r="KXK157" s="250"/>
      <c r="KXL157" s="250"/>
      <c r="KXM157" s="250"/>
      <c r="KXN157" s="250"/>
      <c r="KXO157" s="250"/>
      <c r="KXP157" s="250"/>
      <c r="KXQ157" s="250"/>
      <c r="KXR157" s="250"/>
      <c r="KXS157" s="250"/>
      <c r="KXT157" s="250"/>
      <c r="KXU157" s="250"/>
      <c r="KXV157" s="250"/>
      <c r="KXW157" s="250"/>
      <c r="KXX157" s="250"/>
      <c r="KXY157" s="250"/>
      <c r="KXZ157" s="250"/>
      <c r="KYA157" s="250"/>
      <c r="KYB157" s="250"/>
      <c r="KYC157" s="250"/>
      <c r="KYD157" s="250"/>
      <c r="KYE157" s="250"/>
      <c r="KYF157" s="250"/>
      <c r="KYG157" s="250"/>
      <c r="KYH157" s="250"/>
      <c r="KYI157" s="250"/>
      <c r="KYJ157" s="250"/>
      <c r="KYK157" s="250"/>
      <c r="KYL157" s="250"/>
      <c r="KYM157" s="250"/>
      <c r="KYN157" s="250"/>
      <c r="KYO157" s="250"/>
      <c r="KYP157" s="250"/>
      <c r="KYQ157" s="250"/>
      <c r="KYR157" s="250"/>
      <c r="KYS157" s="250"/>
      <c r="KYT157" s="250"/>
      <c r="KYU157" s="250"/>
      <c r="KYV157" s="250"/>
      <c r="KYW157" s="250"/>
      <c r="KYX157" s="250"/>
      <c r="KYY157" s="250"/>
      <c r="KYZ157" s="250"/>
      <c r="KZA157" s="250"/>
      <c r="KZB157" s="250"/>
      <c r="KZC157" s="250"/>
      <c r="KZD157" s="250"/>
      <c r="KZE157" s="250"/>
      <c r="KZF157" s="250"/>
      <c r="KZG157" s="250"/>
      <c r="KZH157" s="250"/>
      <c r="KZI157" s="250"/>
      <c r="KZJ157" s="250"/>
      <c r="KZK157" s="250"/>
      <c r="KZL157" s="250"/>
      <c r="KZM157" s="250"/>
      <c r="KZN157" s="250"/>
      <c r="KZO157" s="250"/>
      <c r="KZP157" s="250"/>
      <c r="KZQ157" s="250"/>
      <c r="KZR157" s="250"/>
      <c r="KZS157" s="250"/>
      <c r="KZT157" s="250"/>
      <c r="KZU157" s="250"/>
      <c r="KZV157" s="250"/>
      <c r="KZW157" s="250"/>
      <c r="KZX157" s="250"/>
      <c r="KZY157" s="250"/>
      <c r="KZZ157" s="250"/>
      <c r="LAA157" s="250"/>
      <c r="LAB157" s="250"/>
      <c r="LAC157" s="250"/>
      <c r="LAD157" s="250"/>
      <c r="LAE157" s="250"/>
      <c r="LAF157" s="250"/>
      <c r="LAG157" s="250"/>
      <c r="LAH157" s="250"/>
      <c r="LAI157" s="250"/>
      <c r="LAJ157" s="250"/>
      <c r="LAK157" s="250"/>
      <c r="LAL157" s="250"/>
      <c r="LAM157" s="250"/>
      <c r="LAN157" s="250"/>
      <c r="LAO157" s="250"/>
      <c r="LAP157" s="250"/>
      <c r="LAQ157" s="250"/>
      <c r="LAR157" s="250"/>
      <c r="LAS157" s="250"/>
      <c r="LAT157" s="250"/>
      <c r="LAU157" s="250"/>
      <c r="LAV157" s="250"/>
      <c r="LAW157" s="250"/>
      <c r="LAX157" s="250"/>
      <c r="LAY157" s="250"/>
      <c r="LAZ157" s="250"/>
      <c r="LBA157" s="250"/>
      <c r="LBB157" s="250"/>
      <c r="LBC157" s="250"/>
      <c r="LBD157" s="250"/>
      <c r="LBE157" s="250"/>
      <c r="LBF157" s="250"/>
      <c r="LBG157" s="250"/>
      <c r="LBH157" s="250"/>
      <c r="LBI157" s="250"/>
      <c r="LBJ157" s="250"/>
      <c r="LBK157" s="250"/>
      <c r="LBL157" s="250"/>
      <c r="LBM157" s="250"/>
      <c r="LBN157" s="250"/>
      <c r="LBO157" s="250"/>
      <c r="LBP157" s="250"/>
      <c r="LBQ157" s="250"/>
      <c r="LBR157" s="250"/>
      <c r="LBS157" s="250"/>
      <c r="LBT157" s="250"/>
      <c r="LBU157" s="250"/>
      <c r="LBV157" s="250"/>
      <c r="LBW157" s="250"/>
      <c r="LBX157" s="250"/>
      <c r="LBY157" s="250"/>
      <c r="LBZ157" s="250"/>
      <c r="LCA157" s="250"/>
      <c r="LCB157" s="250"/>
      <c r="LCC157" s="250"/>
      <c r="LCD157" s="250"/>
      <c r="LCE157" s="250"/>
      <c r="LCF157" s="250"/>
      <c r="LCG157" s="250"/>
      <c r="LCH157" s="250"/>
      <c r="LCI157" s="250"/>
      <c r="LCJ157" s="250"/>
      <c r="LCK157" s="250"/>
      <c r="LCL157" s="250"/>
      <c r="LCM157" s="250"/>
      <c r="LCN157" s="250"/>
      <c r="LCO157" s="250"/>
      <c r="LCP157" s="250"/>
      <c r="LCQ157" s="250"/>
      <c r="LCR157" s="250"/>
      <c r="LCS157" s="250"/>
      <c r="LCT157" s="250"/>
      <c r="LCU157" s="250"/>
      <c r="LCV157" s="250"/>
      <c r="LCW157" s="250"/>
      <c r="LCX157" s="250"/>
      <c r="LCY157" s="250"/>
      <c r="LCZ157" s="250"/>
      <c r="LDA157" s="250"/>
      <c r="LDB157" s="250"/>
      <c r="LDC157" s="250"/>
      <c r="LDD157" s="250"/>
      <c r="LDE157" s="250"/>
      <c r="LDF157" s="250"/>
      <c r="LDG157" s="250"/>
      <c r="LDH157" s="250"/>
      <c r="LDI157" s="250"/>
      <c r="LDJ157" s="250"/>
      <c r="LDK157" s="250"/>
      <c r="LDL157" s="250"/>
      <c r="LDM157" s="250"/>
      <c r="LDN157" s="250"/>
      <c r="LDO157" s="250"/>
      <c r="LDP157" s="250"/>
      <c r="LDQ157" s="250"/>
      <c r="LDR157" s="250"/>
      <c r="LDS157" s="250"/>
      <c r="LDT157" s="250"/>
      <c r="LDU157" s="250"/>
      <c r="LDV157" s="250"/>
      <c r="LDW157" s="250"/>
      <c r="LDX157" s="250"/>
      <c r="LDY157" s="250"/>
      <c r="LDZ157" s="250"/>
      <c r="LEA157" s="250"/>
      <c r="LEB157" s="250"/>
      <c r="LEC157" s="250"/>
      <c r="LED157" s="250"/>
      <c r="LEE157" s="250"/>
      <c r="LEF157" s="250"/>
      <c r="LEG157" s="250"/>
      <c r="LEH157" s="250"/>
      <c r="LEI157" s="250"/>
      <c r="LEJ157" s="250"/>
      <c r="LEK157" s="250"/>
      <c r="LEL157" s="250"/>
      <c r="LEM157" s="250"/>
      <c r="LEN157" s="250"/>
      <c r="LEO157" s="250"/>
      <c r="LEP157" s="250"/>
      <c r="LEQ157" s="250"/>
      <c r="LER157" s="250"/>
      <c r="LES157" s="250"/>
      <c r="LET157" s="250"/>
      <c r="LEU157" s="250"/>
      <c r="LEV157" s="250"/>
      <c r="LEW157" s="250"/>
      <c r="LEX157" s="250"/>
      <c r="LEY157" s="250"/>
      <c r="LEZ157" s="250"/>
      <c r="LFA157" s="250"/>
      <c r="LFB157" s="250"/>
      <c r="LFC157" s="250"/>
      <c r="LFD157" s="250"/>
      <c r="LFE157" s="250"/>
      <c r="LFF157" s="250"/>
      <c r="LFG157" s="250"/>
      <c r="LFH157" s="250"/>
      <c r="LFI157" s="250"/>
      <c r="LFJ157" s="250"/>
      <c r="LFK157" s="250"/>
      <c r="LFL157" s="250"/>
      <c r="LFM157" s="250"/>
      <c r="LFN157" s="250"/>
      <c r="LFO157" s="250"/>
      <c r="LFP157" s="250"/>
      <c r="LFQ157" s="250"/>
      <c r="LFR157" s="250"/>
      <c r="LFS157" s="250"/>
      <c r="LFT157" s="250"/>
      <c r="LFU157" s="250"/>
      <c r="LFV157" s="250"/>
      <c r="LFW157" s="250"/>
      <c r="LFX157" s="250"/>
      <c r="LFY157" s="250"/>
      <c r="LFZ157" s="250"/>
      <c r="LGA157" s="250"/>
      <c r="LGB157" s="250"/>
      <c r="LGC157" s="250"/>
      <c r="LGD157" s="250"/>
      <c r="LGE157" s="250"/>
      <c r="LGF157" s="250"/>
      <c r="LGG157" s="250"/>
      <c r="LGH157" s="250"/>
      <c r="LGI157" s="250"/>
      <c r="LGJ157" s="250"/>
      <c r="LGK157" s="250"/>
      <c r="LGL157" s="250"/>
      <c r="LGM157" s="250"/>
      <c r="LGN157" s="250"/>
      <c r="LGO157" s="250"/>
      <c r="LGP157" s="250"/>
      <c r="LGQ157" s="250"/>
      <c r="LGR157" s="250"/>
      <c r="LGS157" s="250"/>
      <c r="LGT157" s="250"/>
      <c r="LGU157" s="250"/>
      <c r="LGV157" s="250"/>
      <c r="LGW157" s="250"/>
      <c r="LGX157" s="250"/>
      <c r="LGY157" s="250"/>
      <c r="LGZ157" s="250"/>
      <c r="LHA157" s="250"/>
      <c r="LHB157" s="250"/>
      <c r="LHC157" s="250"/>
      <c r="LHD157" s="250"/>
      <c r="LHE157" s="250"/>
      <c r="LHF157" s="250"/>
      <c r="LHG157" s="250"/>
      <c r="LHH157" s="250"/>
      <c r="LHI157" s="250"/>
      <c r="LHJ157" s="250"/>
      <c r="LHK157" s="250"/>
      <c r="LHL157" s="250"/>
      <c r="LHM157" s="250"/>
      <c r="LHN157" s="250"/>
      <c r="LHO157" s="250"/>
      <c r="LHP157" s="250"/>
      <c r="LHQ157" s="250"/>
      <c r="LHR157" s="250"/>
      <c r="LHS157" s="250"/>
      <c r="LHT157" s="250"/>
      <c r="LHU157" s="250"/>
      <c r="LHV157" s="250"/>
      <c r="LHW157" s="250"/>
      <c r="LHX157" s="250"/>
      <c r="LHY157" s="250"/>
      <c r="LHZ157" s="250"/>
      <c r="LIA157" s="250"/>
      <c r="LIB157" s="250"/>
      <c r="LIC157" s="250"/>
      <c r="LID157" s="250"/>
      <c r="LIE157" s="250"/>
      <c r="LIF157" s="250"/>
      <c r="LIG157" s="250"/>
      <c r="LIH157" s="250"/>
      <c r="LII157" s="250"/>
      <c r="LIJ157" s="250"/>
      <c r="LIK157" s="250"/>
      <c r="LIL157" s="250"/>
      <c r="LIM157" s="250"/>
      <c r="LIN157" s="250"/>
      <c r="LIO157" s="250"/>
      <c r="LIP157" s="250"/>
      <c r="LIQ157" s="250"/>
      <c r="LIR157" s="250"/>
      <c r="LIS157" s="250"/>
      <c r="LIT157" s="250"/>
      <c r="LIU157" s="250"/>
      <c r="LIV157" s="250"/>
      <c r="LIW157" s="250"/>
      <c r="LIX157" s="250"/>
      <c r="LIY157" s="250"/>
      <c r="LIZ157" s="250"/>
      <c r="LJA157" s="250"/>
      <c r="LJB157" s="250"/>
      <c r="LJC157" s="250"/>
      <c r="LJD157" s="250"/>
      <c r="LJE157" s="250"/>
      <c r="LJF157" s="250"/>
      <c r="LJG157" s="250"/>
      <c r="LJH157" s="250"/>
      <c r="LJI157" s="250"/>
      <c r="LJJ157" s="250"/>
      <c r="LJK157" s="250"/>
      <c r="LJL157" s="250"/>
      <c r="LJM157" s="250"/>
      <c r="LJN157" s="250"/>
      <c r="LJO157" s="250"/>
      <c r="LJP157" s="250"/>
      <c r="LJQ157" s="250"/>
      <c r="LJR157" s="250"/>
      <c r="LJS157" s="250"/>
      <c r="LJT157" s="250"/>
      <c r="LJU157" s="250"/>
      <c r="LJV157" s="250"/>
      <c r="LJW157" s="250"/>
      <c r="LJX157" s="250"/>
      <c r="LJY157" s="250"/>
      <c r="LJZ157" s="250"/>
      <c r="LKA157" s="250"/>
      <c r="LKB157" s="250"/>
      <c r="LKC157" s="250"/>
      <c r="LKD157" s="250"/>
      <c r="LKE157" s="250"/>
      <c r="LKF157" s="250"/>
      <c r="LKG157" s="250"/>
      <c r="LKH157" s="250"/>
      <c r="LKI157" s="250"/>
      <c r="LKJ157" s="250"/>
      <c r="LKK157" s="250"/>
      <c r="LKL157" s="250"/>
      <c r="LKM157" s="250"/>
      <c r="LKN157" s="250"/>
      <c r="LKO157" s="250"/>
      <c r="LKP157" s="250"/>
      <c r="LKQ157" s="250"/>
      <c r="LKR157" s="250"/>
      <c r="LKS157" s="250"/>
      <c r="LKT157" s="250"/>
      <c r="LKU157" s="250"/>
      <c r="LKV157" s="250"/>
      <c r="LKW157" s="250"/>
      <c r="LKX157" s="250"/>
      <c r="LKY157" s="250"/>
      <c r="LKZ157" s="250"/>
      <c r="LLA157" s="250"/>
      <c r="LLB157" s="250"/>
      <c r="LLC157" s="250"/>
      <c r="LLD157" s="250"/>
      <c r="LLE157" s="250"/>
      <c r="LLF157" s="250"/>
      <c r="LLG157" s="250"/>
      <c r="LLH157" s="250"/>
      <c r="LLI157" s="250"/>
      <c r="LLJ157" s="250"/>
      <c r="LLK157" s="250"/>
      <c r="LLL157" s="250"/>
      <c r="LLM157" s="250"/>
      <c r="LLN157" s="250"/>
      <c r="LLO157" s="250"/>
      <c r="LLP157" s="250"/>
      <c r="LLQ157" s="250"/>
      <c r="LLR157" s="250"/>
      <c r="LLS157" s="250"/>
      <c r="LLT157" s="250"/>
      <c r="LLU157" s="250"/>
      <c r="LLV157" s="250"/>
      <c r="LLW157" s="250"/>
      <c r="LLX157" s="250"/>
      <c r="LLY157" s="250"/>
      <c r="LLZ157" s="250"/>
      <c r="LMA157" s="250"/>
      <c r="LMB157" s="250"/>
      <c r="LMC157" s="250"/>
      <c r="LMD157" s="250"/>
      <c r="LME157" s="250"/>
      <c r="LMF157" s="250"/>
      <c r="LMG157" s="250"/>
      <c r="LMH157" s="250"/>
      <c r="LMI157" s="250"/>
      <c r="LMJ157" s="250"/>
      <c r="LMK157" s="250"/>
      <c r="LML157" s="250"/>
      <c r="LMM157" s="250"/>
      <c r="LMN157" s="250"/>
      <c r="LMO157" s="250"/>
      <c r="LMP157" s="250"/>
      <c r="LMQ157" s="250"/>
      <c r="LMR157" s="250"/>
      <c r="LMS157" s="250"/>
      <c r="LMT157" s="250"/>
      <c r="LMU157" s="250"/>
      <c r="LMV157" s="250"/>
      <c r="LMW157" s="250"/>
      <c r="LMX157" s="250"/>
      <c r="LMY157" s="250"/>
      <c r="LMZ157" s="250"/>
      <c r="LNA157" s="250"/>
      <c r="LNB157" s="250"/>
      <c r="LNC157" s="250"/>
      <c r="LND157" s="250"/>
      <c r="LNE157" s="250"/>
      <c r="LNF157" s="250"/>
      <c r="LNG157" s="250"/>
      <c r="LNH157" s="250"/>
      <c r="LNI157" s="250"/>
      <c r="LNJ157" s="250"/>
      <c r="LNK157" s="250"/>
      <c r="LNL157" s="250"/>
      <c r="LNM157" s="250"/>
      <c r="LNN157" s="250"/>
      <c r="LNO157" s="250"/>
      <c r="LNP157" s="250"/>
      <c r="LNQ157" s="250"/>
      <c r="LNR157" s="250"/>
      <c r="LNS157" s="250"/>
      <c r="LNT157" s="250"/>
      <c r="LNU157" s="250"/>
      <c r="LNV157" s="250"/>
      <c r="LNW157" s="250"/>
      <c r="LNX157" s="250"/>
      <c r="LNY157" s="250"/>
      <c r="LNZ157" s="250"/>
      <c r="LOA157" s="250"/>
      <c r="LOB157" s="250"/>
      <c r="LOC157" s="250"/>
      <c r="LOD157" s="250"/>
      <c r="LOE157" s="250"/>
      <c r="LOF157" s="250"/>
      <c r="LOG157" s="250"/>
      <c r="LOH157" s="250"/>
      <c r="LOI157" s="250"/>
      <c r="LOJ157" s="250"/>
      <c r="LOK157" s="250"/>
      <c r="LOL157" s="250"/>
      <c r="LOM157" s="250"/>
      <c r="LON157" s="250"/>
      <c r="LOO157" s="250"/>
      <c r="LOP157" s="250"/>
      <c r="LOQ157" s="250"/>
      <c r="LOR157" s="250"/>
      <c r="LOS157" s="250"/>
      <c r="LOT157" s="250"/>
      <c r="LOU157" s="250"/>
      <c r="LOV157" s="250"/>
      <c r="LOW157" s="250"/>
      <c r="LOX157" s="250"/>
      <c r="LOY157" s="250"/>
      <c r="LOZ157" s="250"/>
      <c r="LPA157" s="250"/>
      <c r="LPB157" s="250"/>
      <c r="LPC157" s="250"/>
      <c r="LPD157" s="250"/>
      <c r="LPE157" s="250"/>
      <c r="LPF157" s="250"/>
      <c r="LPG157" s="250"/>
      <c r="LPH157" s="250"/>
      <c r="LPI157" s="250"/>
      <c r="LPJ157" s="250"/>
      <c r="LPK157" s="250"/>
      <c r="LPL157" s="250"/>
      <c r="LPM157" s="250"/>
      <c r="LPN157" s="250"/>
      <c r="LPO157" s="250"/>
      <c r="LPP157" s="250"/>
      <c r="LPQ157" s="250"/>
      <c r="LPR157" s="250"/>
      <c r="LPS157" s="250"/>
      <c r="LPT157" s="250"/>
      <c r="LPU157" s="250"/>
      <c r="LPV157" s="250"/>
      <c r="LPW157" s="250"/>
      <c r="LPX157" s="250"/>
      <c r="LPY157" s="250"/>
      <c r="LPZ157" s="250"/>
      <c r="LQA157" s="250"/>
      <c r="LQB157" s="250"/>
      <c r="LQC157" s="250"/>
      <c r="LQD157" s="250"/>
      <c r="LQE157" s="250"/>
      <c r="LQF157" s="250"/>
      <c r="LQG157" s="250"/>
      <c r="LQH157" s="250"/>
      <c r="LQI157" s="250"/>
      <c r="LQJ157" s="250"/>
      <c r="LQK157" s="250"/>
      <c r="LQL157" s="250"/>
      <c r="LQM157" s="250"/>
      <c r="LQN157" s="250"/>
      <c r="LQO157" s="250"/>
      <c r="LQP157" s="250"/>
      <c r="LQQ157" s="250"/>
      <c r="LQR157" s="250"/>
      <c r="LQS157" s="250"/>
      <c r="LQT157" s="250"/>
      <c r="LQU157" s="250"/>
      <c r="LQV157" s="250"/>
      <c r="LQW157" s="250"/>
      <c r="LQX157" s="250"/>
      <c r="LQY157" s="250"/>
      <c r="LQZ157" s="250"/>
      <c r="LRA157" s="250"/>
      <c r="LRB157" s="250"/>
      <c r="LRC157" s="250"/>
      <c r="LRD157" s="250"/>
      <c r="LRE157" s="250"/>
      <c r="LRF157" s="250"/>
      <c r="LRG157" s="250"/>
      <c r="LRH157" s="250"/>
      <c r="LRI157" s="250"/>
      <c r="LRJ157" s="250"/>
      <c r="LRK157" s="250"/>
      <c r="LRL157" s="250"/>
      <c r="LRM157" s="250"/>
      <c r="LRN157" s="250"/>
      <c r="LRO157" s="250"/>
      <c r="LRP157" s="250"/>
      <c r="LRQ157" s="250"/>
      <c r="LRR157" s="250"/>
      <c r="LRS157" s="250"/>
      <c r="LRT157" s="250"/>
      <c r="LRU157" s="250"/>
      <c r="LRV157" s="250"/>
      <c r="LRW157" s="250"/>
      <c r="LRX157" s="250"/>
      <c r="LRY157" s="250"/>
      <c r="LRZ157" s="250"/>
      <c r="LSA157" s="250"/>
      <c r="LSB157" s="250"/>
      <c r="LSC157" s="250"/>
      <c r="LSD157" s="250"/>
      <c r="LSE157" s="250"/>
      <c r="LSF157" s="250"/>
      <c r="LSG157" s="250"/>
      <c r="LSH157" s="250"/>
      <c r="LSI157" s="250"/>
      <c r="LSJ157" s="250"/>
      <c r="LSK157" s="250"/>
      <c r="LSL157" s="250"/>
      <c r="LSM157" s="250"/>
      <c r="LSN157" s="250"/>
      <c r="LSO157" s="250"/>
      <c r="LSP157" s="250"/>
      <c r="LSQ157" s="250"/>
      <c r="LSR157" s="250"/>
      <c r="LSS157" s="250"/>
      <c r="LST157" s="250"/>
      <c r="LSU157" s="250"/>
      <c r="LSV157" s="250"/>
      <c r="LSW157" s="250"/>
      <c r="LSX157" s="250"/>
      <c r="LSY157" s="250"/>
      <c r="LSZ157" s="250"/>
      <c r="LTA157" s="250"/>
      <c r="LTB157" s="250"/>
      <c r="LTC157" s="250"/>
      <c r="LTD157" s="250"/>
      <c r="LTE157" s="250"/>
      <c r="LTF157" s="250"/>
      <c r="LTG157" s="250"/>
      <c r="LTH157" s="250"/>
      <c r="LTI157" s="250"/>
      <c r="LTJ157" s="250"/>
      <c r="LTK157" s="250"/>
      <c r="LTL157" s="250"/>
      <c r="LTM157" s="250"/>
      <c r="LTN157" s="250"/>
      <c r="LTO157" s="250"/>
      <c r="LTP157" s="250"/>
      <c r="LTQ157" s="250"/>
      <c r="LTR157" s="250"/>
      <c r="LTS157" s="250"/>
      <c r="LTT157" s="250"/>
      <c r="LTU157" s="250"/>
      <c r="LTV157" s="250"/>
      <c r="LTW157" s="250"/>
      <c r="LTX157" s="250"/>
      <c r="LTY157" s="250"/>
      <c r="LTZ157" s="250"/>
      <c r="LUA157" s="250"/>
      <c r="LUB157" s="250"/>
      <c r="LUC157" s="250"/>
      <c r="LUD157" s="250"/>
      <c r="LUE157" s="250"/>
      <c r="LUF157" s="250"/>
      <c r="LUG157" s="250"/>
      <c r="LUH157" s="250"/>
      <c r="LUI157" s="250"/>
      <c r="LUJ157" s="250"/>
      <c r="LUK157" s="250"/>
      <c r="LUL157" s="250"/>
      <c r="LUM157" s="250"/>
      <c r="LUN157" s="250"/>
      <c r="LUO157" s="250"/>
      <c r="LUP157" s="250"/>
      <c r="LUQ157" s="250"/>
      <c r="LUR157" s="250"/>
      <c r="LUS157" s="250"/>
      <c r="LUT157" s="250"/>
      <c r="LUU157" s="250"/>
      <c r="LUV157" s="250"/>
      <c r="LUW157" s="250"/>
      <c r="LUX157" s="250"/>
      <c r="LUY157" s="250"/>
      <c r="LUZ157" s="250"/>
      <c r="LVA157" s="250"/>
      <c r="LVB157" s="250"/>
      <c r="LVC157" s="250"/>
      <c r="LVD157" s="250"/>
      <c r="LVE157" s="250"/>
      <c r="LVF157" s="250"/>
      <c r="LVG157" s="250"/>
      <c r="LVH157" s="250"/>
      <c r="LVI157" s="250"/>
      <c r="LVJ157" s="250"/>
      <c r="LVK157" s="250"/>
      <c r="LVL157" s="250"/>
      <c r="LVM157" s="250"/>
      <c r="LVN157" s="250"/>
      <c r="LVO157" s="250"/>
      <c r="LVP157" s="250"/>
      <c r="LVQ157" s="250"/>
      <c r="LVR157" s="250"/>
      <c r="LVS157" s="250"/>
      <c r="LVT157" s="250"/>
      <c r="LVU157" s="250"/>
      <c r="LVV157" s="250"/>
      <c r="LVW157" s="250"/>
      <c r="LVX157" s="250"/>
      <c r="LVY157" s="250"/>
      <c r="LVZ157" s="250"/>
      <c r="LWA157" s="250"/>
      <c r="LWB157" s="250"/>
      <c r="LWC157" s="250"/>
      <c r="LWD157" s="250"/>
      <c r="LWE157" s="250"/>
      <c r="LWF157" s="250"/>
      <c r="LWG157" s="250"/>
      <c r="LWH157" s="250"/>
      <c r="LWI157" s="250"/>
      <c r="LWJ157" s="250"/>
      <c r="LWK157" s="250"/>
      <c r="LWL157" s="250"/>
      <c r="LWM157" s="250"/>
      <c r="LWN157" s="250"/>
      <c r="LWO157" s="250"/>
      <c r="LWP157" s="250"/>
      <c r="LWQ157" s="250"/>
      <c r="LWR157" s="250"/>
      <c r="LWS157" s="250"/>
      <c r="LWT157" s="250"/>
      <c r="LWU157" s="250"/>
      <c r="LWV157" s="250"/>
      <c r="LWW157" s="250"/>
      <c r="LWX157" s="250"/>
      <c r="LWY157" s="250"/>
      <c r="LWZ157" s="250"/>
      <c r="LXA157" s="250"/>
      <c r="LXB157" s="250"/>
      <c r="LXC157" s="250"/>
      <c r="LXD157" s="250"/>
      <c r="LXE157" s="250"/>
      <c r="LXF157" s="250"/>
      <c r="LXG157" s="250"/>
      <c r="LXH157" s="250"/>
      <c r="LXI157" s="250"/>
      <c r="LXJ157" s="250"/>
      <c r="LXK157" s="250"/>
      <c r="LXL157" s="250"/>
      <c r="LXM157" s="250"/>
      <c r="LXN157" s="250"/>
      <c r="LXO157" s="250"/>
      <c r="LXP157" s="250"/>
      <c r="LXQ157" s="250"/>
      <c r="LXR157" s="250"/>
      <c r="LXS157" s="250"/>
      <c r="LXT157" s="250"/>
      <c r="LXU157" s="250"/>
      <c r="LXV157" s="250"/>
      <c r="LXW157" s="250"/>
      <c r="LXX157" s="250"/>
      <c r="LXY157" s="250"/>
      <c r="LXZ157" s="250"/>
      <c r="LYA157" s="250"/>
      <c r="LYB157" s="250"/>
      <c r="LYC157" s="250"/>
      <c r="LYD157" s="250"/>
      <c r="LYE157" s="250"/>
      <c r="LYF157" s="250"/>
      <c r="LYG157" s="250"/>
      <c r="LYH157" s="250"/>
      <c r="LYI157" s="250"/>
      <c r="LYJ157" s="250"/>
      <c r="LYK157" s="250"/>
      <c r="LYL157" s="250"/>
      <c r="LYM157" s="250"/>
      <c r="LYN157" s="250"/>
      <c r="LYO157" s="250"/>
      <c r="LYP157" s="250"/>
      <c r="LYQ157" s="250"/>
      <c r="LYR157" s="250"/>
      <c r="LYS157" s="250"/>
      <c r="LYT157" s="250"/>
      <c r="LYU157" s="250"/>
      <c r="LYV157" s="250"/>
      <c r="LYW157" s="250"/>
      <c r="LYX157" s="250"/>
      <c r="LYY157" s="250"/>
      <c r="LYZ157" s="250"/>
      <c r="LZA157" s="250"/>
      <c r="LZB157" s="250"/>
      <c r="LZC157" s="250"/>
      <c r="LZD157" s="250"/>
      <c r="LZE157" s="250"/>
      <c r="LZF157" s="250"/>
      <c r="LZG157" s="250"/>
      <c r="LZH157" s="250"/>
      <c r="LZI157" s="250"/>
      <c r="LZJ157" s="250"/>
      <c r="LZK157" s="250"/>
      <c r="LZL157" s="250"/>
      <c r="LZM157" s="250"/>
      <c r="LZN157" s="250"/>
      <c r="LZO157" s="250"/>
      <c r="LZP157" s="250"/>
      <c r="LZQ157" s="250"/>
      <c r="LZR157" s="250"/>
      <c r="LZS157" s="250"/>
      <c r="LZT157" s="250"/>
      <c r="LZU157" s="250"/>
      <c r="LZV157" s="250"/>
      <c r="LZW157" s="250"/>
      <c r="LZX157" s="250"/>
      <c r="LZY157" s="250"/>
      <c r="LZZ157" s="250"/>
      <c r="MAA157" s="250"/>
      <c r="MAB157" s="250"/>
      <c r="MAC157" s="250"/>
      <c r="MAD157" s="250"/>
      <c r="MAE157" s="250"/>
      <c r="MAF157" s="250"/>
      <c r="MAG157" s="250"/>
      <c r="MAH157" s="250"/>
      <c r="MAI157" s="250"/>
      <c r="MAJ157" s="250"/>
      <c r="MAK157" s="250"/>
      <c r="MAL157" s="250"/>
      <c r="MAM157" s="250"/>
      <c r="MAN157" s="250"/>
      <c r="MAO157" s="250"/>
      <c r="MAP157" s="250"/>
      <c r="MAQ157" s="250"/>
      <c r="MAR157" s="250"/>
      <c r="MAS157" s="250"/>
      <c r="MAT157" s="250"/>
      <c r="MAU157" s="250"/>
      <c r="MAV157" s="250"/>
      <c r="MAW157" s="250"/>
      <c r="MAX157" s="250"/>
      <c r="MAY157" s="250"/>
      <c r="MAZ157" s="250"/>
      <c r="MBA157" s="250"/>
      <c r="MBB157" s="250"/>
      <c r="MBC157" s="250"/>
      <c r="MBD157" s="250"/>
      <c r="MBE157" s="250"/>
      <c r="MBF157" s="250"/>
      <c r="MBG157" s="250"/>
      <c r="MBH157" s="250"/>
      <c r="MBI157" s="250"/>
      <c r="MBJ157" s="250"/>
      <c r="MBK157" s="250"/>
      <c r="MBL157" s="250"/>
      <c r="MBM157" s="250"/>
      <c r="MBN157" s="250"/>
      <c r="MBO157" s="250"/>
      <c r="MBP157" s="250"/>
      <c r="MBQ157" s="250"/>
      <c r="MBR157" s="250"/>
      <c r="MBS157" s="250"/>
      <c r="MBT157" s="250"/>
      <c r="MBU157" s="250"/>
      <c r="MBV157" s="250"/>
      <c r="MBW157" s="250"/>
      <c r="MBX157" s="250"/>
      <c r="MBY157" s="250"/>
      <c r="MBZ157" s="250"/>
      <c r="MCA157" s="250"/>
      <c r="MCB157" s="250"/>
      <c r="MCC157" s="250"/>
      <c r="MCD157" s="250"/>
      <c r="MCE157" s="250"/>
      <c r="MCF157" s="250"/>
      <c r="MCG157" s="250"/>
      <c r="MCH157" s="250"/>
      <c r="MCI157" s="250"/>
      <c r="MCJ157" s="250"/>
      <c r="MCK157" s="250"/>
      <c r="MCL157" s="250"/>
      <c r="MCM157" s="250"/>
      <c r="MCN157" s="250"/>
      <c r="MCO157" s="250"/>
      <c r="MCP157" s="250"/>
      <c r="MCQ157" s="250"/>
      <c r="MCR157" s="250"/>
      <c r="MCS157" s="250"/>
      <c r="MCT157" s="250"/>
      <c r="MCU157" s="250"/>
      <c r="MCV157" s="250"/>
      <c r="MCW157" s="250"/>
      <c r="MCX157" s="250"/>
      <c r="MCY157" s="250"/>
      <c r="MCZ157" s="250"/>
      <c r="MDA157" s="250"/>
      <c r="MDB157" s="250"/>
      <c r="MDC157" s="250"/>
      <c r="MDD157" s="250"/>
      <c r="MDE157" s="250"/>
      <c r="MDF157" s="250"/>
      <c r="MDG157" s="250"/>
      <c r="MDH157" s="250"/>
      <c r="MDI157" s="250"/>
      <c r="MDJ157" s="250"/>
      <c r="MDK157" s="250"/>
      <c r="MDL157" s="250"/>
      <c r="MDM157" s="250"/>
      <c r="MDN157" s="250"/>
      <c r="MDO157" s="250"/>
      <c r="MDP157" s="250"/>
      <c r="MDQ157" s="250"/>
      <c r="MDR157" s="250"/>
      <c r="MDS157" s="250"/>
      <c r="MDT157" s="250"/>
      <c r="MDU157" s="250"/>
      <c r="MDV157" s="250"/>
      <c r="MDW157" s="250"/>
      <c r="MDX157" s="250"/>
      <c r="MDY157" s="250"/>
      <c r="MDZ157" s="250"/>
      <c r="MEA157" s="250"/>
      <c r="MEB157" s="250"/>
      <c r="MEC157" s="250"/>
      <c r="MED157" s="250"/>
      <c r="MEE157" s="250"/>
      <c r="MEF157" s="250"/>
      <c r="MEG157" s="250"/>
      <c r="MEH157" s="250"/>
      <c r="MEI157" s="250"/>
      <c r="MEJ157" s="250"/>
      <c r="MEK157" s="250"/>
      <c r="MEL157" s="250"/>
      <c r="MEM157" s="250"/>
      <c r="MEN157" s="250"/>
      <c r="MEO157" s="250"/>
      <c r="MEP157" s="250"/>
      <c r="MEQ157" s="250"/>
      <c r="MER157" s="250"/>
      <c r="MES157" s="250"/>
      <c r="MET157" s="250"/>
      <c r="MEU157" s="250"/>
      <c r="MEV157" s="250"/>
      <c r="MEW157" s="250"/>
      <c r="MEX157" s="250"/>
      <c r="MEY157" s="250"/>
      <c r="MEZ157" s="250"/>
      <c r="MFA157" s="250"/>
      <c r="MFB157" s="250"/>
      <c r="MFC157" s="250"/>
      <c r="MFD157" s="250"/>
      <c r="MFE157" s="250"/>
      <c r="MFF157" s="250"/>
      <c r="MFG157" s="250"/>
      <c r="MFH157" s="250"/>
      <c r="MFI157" s="250"/>
      <c r="MFJ157" s="250"/>
      <c r="MFK157" s="250"/>
      <c r="MFL157" s="250"/>
      <c r="MFM157" s="250"/>
      <c r="MFN157" s="250"/>
      <c r="MFO157" s="250"/>
      <c r="MFP157" s="250"/>
      <c r="MFQ157" s="250"/>
      <c r="MFR157" s="250"/>
      <c r="MFS157" s="250"/>
      <c r="MFT157" s="250"/>
      <c r="MFU157" s="250"/>
      <c r="MFV157" s="250"/>
      <c r="MFW157" s="250"/>
      <c r="MFX157" s="250"/>
      <c r="MFY157" s="250"/>
      <c r="MFZ157" s="250"/>
      <c r="MGA157" s="250"/>
      <c r="MGB157" s="250"/>
      <c r="MGC157" s="250"/>
      <c r="MGD157" s="250"/>
      <c r="MGE157" s="250"/>
      <c r="MGF157" s="250"/>
      <c r="MGG157" s="250"/>
      <c r="MGH157" s="250"/>
      <c r="MGI157" s="250"/>
      <c r="MGJ157" s="250"/>
      <c r="MGK157" s="250"/>
      <c r="MGL157" s="250"/>
      <c r="MGM157" s="250"/>
      <c r="MGN157" s="250"/>
      <c r="MGO157" s="250"/>
      <c r="MGP157" s="250"/>
      <c r="MGQ157" s="250"/>
      <c r="MGR157" s="250"/>
      <c r="MGS157" s="250"/>
      <c r="MGT157" s="250"/>
      <c r="MGU157" s="250"/>
      <c r="MGV157" s="250"/>
      <c r="MGW157" s="250"/>
      <c r="MGX157" s="250"/>
      <c r="MGY157" s="250"/>
      <c r="MGZ157" s="250"/>
      <c r="MHA157" s="250"/>
      <c r="MHB157" s="250"/>
      <c r="MHC157" s="250"/>
      <c r="MHD157" s="250"/>
      <c r="MHE157" s="250"/>
      <c r="MHF157" s="250"/>
      <c r="MHG157" s="250"/>
      <c r="MHH157" s="250"/>
      <c r="MHI157" s="250"/>
      <c r="MHJ157" s="250"/>
      <c r="MHK157" s="250"/>
      <c r="MHL157" s="250"/>
      <c r="MHM157" s="250"/>
      <c r="MHN157" s="250"/>
      <c r="MHO157" s="250"/>
      <c r="MHP157" s="250"/>
      <c r="MHQ157" s="250"/>
      <c r="MHR157" s="250"/>
      <c r="MHS157" s="250"/>
      <c r="MHT157" s="250"/>
      <c r="MHU157" s="250"/>
      <c r="MHV157" s="250"/>
      <c r="MHW157" s="250"/>
      <c r="MHX157" s="250"/>
      <c r="MHY157" s="250"/>
      <c r="MHZ157" s="250"/>
      <c r="MIA157" s="250"/>
      <c r="MIB157" s="250"/>
      <c r="MIC157" s="250"/>
      <c r="MID157" s="250"/>
      <c r="MIE157" s="250"/>
      <c r="MIF157" s="250"/>
      <c r="MIG157" s="250"/>
      <c r="MIH157" s="250"/>
      <c r="MII157" s="250"/>
      <c r="MIJ157" s="250"/>
      <c r="MIK157" s="250"/>
      <c r="MIL157" s="250"/>
      <c r="MIM157" s="250"/>
      <c r="MIN157" s="250"/>
      <c r="MIO157" s="250"/>
      <c r="MIP157" s="250"/>
      <c r="MIQ157" s="250"/>
      <c r="MIR157" s="250"/>
      <c r="MIS157" s="250"/>
      <c r="MIT157" s="250"/>
      <c r="MIU157" s="250"/>
      <c r="MIV157" s="250"/>
      <c r="MIW157" s="250"/>
      <c r="MIX157" s="250"/>
      <c r="MIY157" s="250"/>
      <c r="MIZ157" s="250"/>
      <c r="MJA157" s="250"/>
      <c r="MJB157" s="250"/>
      <c r="MJC157" s="250"/>
      <c r="MJD157" s="250"/>
      <c r="MJE157" s="250"/>
      <c r="MJF157" s="250"/>
      <c r="MJG157" s="250"/>
      <c r="MJH157" s="250"/>
      <c r="MJI157" s="250"/>
      <c r="MJJ157" s="250"/>
      <c r="MJK157" s="250"/>
      <c r="MJL157" s="250"/>
      <c r="MJM157" s="250"/>
      <c r="MJN157" s="250"/>
      <c r="MJO157" s="250"/>
      <c r="MJP157" s="250"/>
      <c r="MJQ157" s="250"/>
      <c r="MJR157" s="250"/>
      <c r="MJS157" s="250"/>
      <c r="MJT157" s="250"/>
      <c r="MJU157" s="250"/>
      <c r="MJV157" s="250"/>
      <c r="MJW157" s="250"/>
      <c r="MJX157" s="250"/>
      <c r="MJY157" s="250"/>
      <c r="MJZ157" s="250"/>
      <c r="MKA157" s="250"/>
      <c r="MKB157" s="250"/>
      <c r="MKC157" s="250"/>
      <c r="MKD157" s="250"/>
      <c r="MKE157" s="250"/>
      <c r="MKF157" s="250"/>
      <c r="MKG157" s="250"/>
      <c r="MKH157" s="250"/>
      <c r="MKI157" s="250"/>
      <c r="MKJ157" s="250"/>
      <c r="MKK157" s="250"/>
      <c r="MKL157" s="250"/>
      <c r="MKM157" s="250"/>
      <c r="MKN157" s="250"/>
      <c r="MKO157" s="250"/>
      <c r="MKP157" s="250"/>
      <c r="MKQ157" s="250"/>
      <c r="MKR157" s="250"/>
      <c r="MKS157" s="250"/>
      <c r="MKT157" s="250"/>
      <c r="MKU157" s="250"/>
      <c r="MKV157" s="250"/>
      <c r="MKW157" s="250"/>
      <c r="MKX157" s="250"/>
      <c r="MKY157" s="250"/>
      <c r="MKZ157" s="250"/>
      <c r="MLA157" s="250"/>
      <c r="MLB157" s="250"/>
      <c r="MLC157" s="250"/>
      <c r="MLD157" s="250"/>
      <c r="MLE157" s="250"/>
      <c r="MLF157" s="250"/>
      <c r="MLG157" s="250"/>
      <c r="MLH157" s="250"/>
      <c r="MLI157" s="250"/>
      <c r="MLJ157" s="250"/>
      <c r="MLK157" s="250"/>
      <c r="MLL157" s="250"/>
      <c r="MLM157" s="250"/>
      <c r="MLN157" s="250"/>
      <c r="MLO157" s="250"/>
      <c r="MLP157" s="250"/>
      <c r="MLQ157" s="250"/>
      <c r="MLR157" s="250"/>
      <c r="MLS157" s="250"/>
      <c r="MLT157" s="250"/>
      <c r="MLU157" s="250"/>
      <c r="MLV157" s="250"/>
      <c r="MLW157" s="250"/>
      <c r="MLX157" s="250"/>
      <c r="MLY157" s="250"/>
      <c r="MLZ157" s="250"/>
      <c r="MMA157" s="250"/>
      <c r="MMB157" s="250"/>
      <c r="MMC157" s="250"/>
      <c r="MMD157" s="250"/>
      <c r="MME157" s="250"/>
      <c r="MMF157" s="250"/>
      <c r="MMG157" s="250"/>
      <c r="MMH157" s="250"/>
      <c r="MMI157" s="250"/>
      <c r="MMJ157" s="250"/>
      <c r="MMK157" s="250"/>
      <c r="MML157" s="250"/>
      <c r="MMM157" s="250"/>
      <c r="MMN157" s="250"/>
      <c r="MMO157" s="250"/>
      <c r="MMP157" s="250"/>
      <c r="MMQ157" s="250"/>
      <c r="MMR157" s="250"/>
      <c r="MMS157" s="250"/>
      <c r="MMT157" s="250"/>
      <c r="MMU157" s="250"/>
      <c r="MMV157" s="250"/>
      <c r="MMW157" s="250"/>
      <c r="MMX157" s="250"/>
      <c r="MMY157" s="250"/>
      <c r="MMZ157" s="250"/>
      <c r="MNA157" s="250"/>
      <c r="MNB157" s="250"/>
      <c r="MNC157" s="250"/>
      <c r="MND157" s="250"/>
      <c r="MNE157" s="250"/>
      <c r="MNF157" s="250"/>
      <c r="MNG157" s="250"/>
      <c r="MNH157" s="250"/>
      <c r="MNI157" s="250"/>
      <c r="MNJ157" s="250"/>
      <c r="MNK157" s="250"/>
      <c r="MNL157" s="250"/>
      <c r="MNM157" s="250"/>
      <c r="MNN157" s="250"/>
      <c r="MNO157" s="250"/>
      <c r="MNP157" s="250"/>
      <c r="MNQ157" s="250"/>
      <c r="MNR157" s="250"/>
      <c r="MNS157" s="250"/>
      <c r="MNT157" s="250"/>
      <c r="MNU157" s="250"/>
      <c r="MNV157" s="250"/>
      <c r="MNW157" s="250"/>
      <c r="MNX157" s="250"/>
      <c r="MNY157" s="250"/>
      <c r="MNZ157" s="250"/>
      <c r="MOA157" s="250"/>
      <c r="MOB157" s="250"/>
      <c r="MOC157" s="250"/>
      <c r="MOD157" s="250"/>
      <c r="MOE157" s="250"/>
      <c r="MOF157" s="250"/>
      <c r="MOG157" s="250"/>
      <c r="MOH157" s="250"/>
      <c r="MOI157" s="250"/>
      <c r="MOJ157" s="250"/>
      <c r="MOK157" s="250"/>
      <c r="MOL157" s="250"/>
      <c r="MOM157" s="250"/>
      <c r="MON157" s="250"/>
      <c r="MOO157" s="250"/>
      <c r="MOP157" s="250"/>
      <c r="MOQ157" s="250"/>
      <c r="MOR157" s="250"/>
      <c r="MOS157" s="250"/>
      <c r="MOT157" s="250"/>
      <c r="MOU157" s="250"/>
      <c r="MOV157" s="250"/>
      <c r="MOW157" s="250"/>
      <c r="MOX157" s="250"/>
      <c r="MOY157" s="250"/>
      <c r="MOZ157" s="250"/>
      <c r="MPA157" s="250"/>
      <c r="MPB157" s="250"/>
      <c r="MPC157" s="250"/>
      <c r="MPD157" s="250"/>
      <c r="MPE157" s="250"/>
      <c r="MPF157" s="250"/>
      <c r="MPG157" s="250"/>
      <c r="MPH157" s="250"/>
      <c r="MPI157" s="250"/>
      <c r="MPJ157" s="250"/>
      <c r="MPK157" s="250"/>
      <c r="MPL157" s="250"/>
      <c r="MPM157" s="250"/>
      <c r="MPN157" s="250"/>
      <c r="MPO157" s="250"/>
      <c r="MPP157" s="250"/>
      <c r="MPQ157" s="250"/>
      <c r="MPR157" s="250"/>
      <c r="MPS157" s="250"/>
      <c r="MPT157" s="250"/>
      <c r="MPU157" s="250"/>
      <c r="MPV157" s="250"/>
      <c r="MPW157" s="250"/>
      <c r="MPX157" s="250"/>
      <c r="MPY157" s="250"/>
      <c r="MPZ157" s="250"/>
      <c r="MQA157" s="250"/>
      <c r="MQB157" s="250"/>
      <c r="MQC157" s="250"/>
      <c r="MQD157" s="250"/>
      <c r="MQE157" s="250"/>
      <c r="MQF157" s="250"/>
      <c r="MQG157" s="250"/>
      <c r="MQH157" s="250"/>
      <c r="MQI157" s="250"/>
      <c r="MQJ157" s="250"/>
      <c r="MQK157" s="250"/>
      <c r="MQL157" s="250"/>
      <c r="MQM157" s="250"/>
      <c r="MQN157" s="250"/>
      <c r="MQO157" s="250"/>
      <c r="MQP157" s="250"/>
      <c r="MQQ157" s="250"/>
      <c r="MQR157" s="250"/>
      <c r="MQS157" s="250"/>
      <c r="MQT157" s="250"/>
      <c r="MQU157" s="250"/>
      <c r="MQV157" s="250"/>
      <c r="MQW157" s="250"/>
      <c r="MQX157" s="250"/>
      <c r="MQY157" s="250"/>
      <c r="MQZ157" s="250"/>
      <c r="MRA157" s="250"/>
      <c r="MRB157" s="250"/>
      <c r="MRC157" s="250"/>
      <c r="MRD157" s="250"/>
      <c r="MRE157" s="250"/>
      <c r="MRF157" s="250"/>
      <c r="MRG157" s="250"/>
      <c r="MRH157" s="250"/>
      <c r="MRI157" s="250"/>
      <c r="MRJ157" s="250"/>
      <c r="MRK157" s="250"/>
      <c r="MRL157" s="250"/>
      <c r="MRM157" s="250"/>
      <c r="MRN157" s="250"/>
      <c r="MRO157" s="250"/>
      <c r="MRP157" s="250"/>
      <c r="MRQ157" s="250"/>
      <c r="MRR157" s="250"/>
      <c r="MRS157" s="250"/>
      <c r="MRT157" s="250"/>
      <c r="MRU157" s="250"/>
      <c r="MRV157" s="250"/>
      <c r="MRW157" s="250"/>
      <c r="MRX157" s="250"/>
      <c r="MRY157" s="250"/>
      <c r="MRZ157" s="250"/>
      <c r="MSA157" s="250"/>
      <c r="MSB157" s="250"/>
      <c r="MSC157" s="250"/>
      <c r="MSD157" s="250"/>
      <c r="MSE157" s="250"/>
      <c r="MSF157" s="250"/>
      <c r="MSG157" s="250"/>
      <c r="MSH157" s="250"/>
      <c r="MSI157" s="250"/>
      <c r="MSJ157" s="250"/>
      <c r="MSK157" s="250"/>
      <c r="MSL157" s="250"/>
      <c r="MSM157" s="250"/>
      <c r="MSN157" s="250"/>
      <c r="MSO157" s="250"/>
      <c r="MSP157" s="250"/>
      <c r="MSQ157" s="250"/>
      <c r="MSR157" s="250"/>
      <c r="MSS157" s="250"/>
      <c r="MST157" s="250"/>
      <c r="MSU157" s="250"/>
      <c r="MSV157" s="250"/>
      <c r="MSW157" s="250"/>
      <c r="MSX157" s="250"/>
      <c r="MSY157" s="250"/>
      <c r="MSZ157" s="250"/>
      <c r="MTA157" s="250"/>
      <c r="MTB157" s="250"/>
      <c r="MTC157" s="250"/>
      <c r="MTD157" s="250"/>
      <c r="MTE157" s="250"/>
      <c r="MTF157" s="250"/>
      <c r="MTG157" s="250"/>
      <c r="MTH157" s="250"/>
      <c r="MTI157" s="250"/>
      <c r="MTJ157" s="250"/>
      <c r="MTK157" s="250"/>
      <c r="MTL157" s="250"/>
      <c r="MTM157" s="250"/>
      <c r="MTN157" s="250"/>
      <c r="MTO157" s="250"/>
      <c r="MTP157" s="250"/>
      <c r="MTQ157" s="250"/>
      <c r="MTR157" s="250"/>
      <c r="MTS157" s="250"/>
      <c r="MTT157" s="250"/>
      <c r="MTU157" s="250"/>
      <c r="MTV157" s="250"/>
      <c r="MTW157" s="250"/>
      <c r="MTX157" s="250"/>
      <c r="MTY157" s="250"/>
      <c r="MTZ157" s="250"/>
      <c r="MUA157" s="250"/>
      <c r="MUB157" s="250"/>
      <c r="MUC157" s="250"/>
      <c r="MUD157" s="250"/>
      <c r="MUE157" s="250"/>
      <c r="MUF157" s="250"/>
      <c r="MUG157" s="250"/>
      <c r="MUH157" s="250"/>
      <c r="MUI157" s="250"/>
      <c r="MUJ157" s="250"/>
      <c r="MUK157" s="250"/>
      <c r="MUL157" s="250"/>
      <c r="MUM157" s="250"/>
      <c r="MUN157" s="250"/>
      <c r="MUO157" s="250"/>
      <c r="MUP157" s="250"/>
      <c r="MUQ157" s="250"/>
      <c r="MUR157" s="250"/>
      <c r="MUS157" s="250"/>
      <c r="MUT157" s="250"/>
      <c r="MUU157" s="250"/>
      <c r="MUV157" s="250"/>
      <c r="MUW157" s="250"/>
      <c r="MUX157" s="250"/>
      <c r="MUY157" s="250"/>
      <c r="MUZ157" s="250"/>
      <c r="MVA157" s="250"/>
      <c r="MVB157" s="250"/>
      <c r="MVC157" s="250"/>
      <c r="MVD157" s="250"/>
      <c r="MVE157" s="250"/>
      <c r="MVF157" s="250"/>
      <c r="MVG157" s="250"/>
      <c r="MVH157" s="250"/>
      <c r="MVI157" s="250"/>
      <c r="MVJ157" s="250"/>
      <c r="MVK157" s="250"/>
      <c r="MVL157" s="250"/>
      <c r="MVM157" s="250"/>
      <c r="MVN157" s="250"/>
      <c r="MVO157" s="250"/>
      <c r="MVP157" s="250"/>
      <c r="MVQ157" s="250"/>
      <c r="MVR157" s="250"/>
      <c r="MVS157" s="250"/>
      <c r="MVT157" s="250"/>
      <c r="MVU157" s="250"/>
      <c r="MVV157" s="250"/>
      <c r="MVW157" s="250"/>
      <c r="MVX157" s="250"/>
      <c r="MVY157" s="250"/>
      <c r="MVZ157" s="250"/>
      <c r="MWA157" s="250"/>
      <c r="MWB157" s="250"/>
      <c r="MWC157" s="250"/>
      <c r="MWD157" s="250"/>
      <c r="MWE157" s="250"/>
      <c r="MWF157" s="250"/>
      <c r="MWG157" s="250"/>
      <c r="MWH157" s="250"/>
      <c r="MWI157" s="250"/>
      <c r="MWJ157" s="250"/>
      <c r="MWK157" s="250"/>
      <c r="MWL157" s="250"/>
      <c r="MWM157" s="250"/>
      <c r="MWN157" s="250"/>
      <c r="MWO157" s="250"/>
      <c r="MWP157" s="250"/>
      <c r="MWQ157" s="250"/>
      <c r="MWR157" s="250"/>
      <c r="MWS157" s="250"/>
      <c r="MWT157" s="250"/>
      <c r="MWU157" s="250"/>
      <c r="MWV157" s="250"/>
      <c r="MWW157" s="250"/>
      <c r="MWX157" s="250"/>
      <c r="MWY157" s="250"/>
      <c r="MWZ157" s="250"/>
      <c r="MXA157" s="250"/>
      <c r="MXB157" s="250"/>
      <c r="MXC157" s="250"/>
      <c r="MXD157" s="250"/>
      <c r="MXE157" s="250"/>
      <c r="MXF157" s="250"/>
      <c r="MXG157" s="250"/>
      <c r="MXH157" s="250"/>
      <c r="MXI157" s="250"/>
      <c r="MXJ157" s="250"/>
      <c r="MXK157" s="250"/>
      <c r="MXL157" s="250"/>
      <c r="MXM157" s="250"/>
      <c r="MXN157" s="250"/>
      <c r="MXO157" s="250"/>
      <c r="MXP157" s="250"/>
      <c r="MXQ157" s="250"/>
      <c r="MXR157" s="250"/>
      <c r="MXS157" s="250"/>
      <c r="MXT157" s="250"/>
      <c r="MXU157" s="250"/>
      <c r="MXV157" s="250"/>
      <c r="MXW157" s="250"/>
      <c r="MXX157" s="250"/>
      <c r="MXY157" s="250"/>
      <c r="MXZ157" s="250"/>
      <c r="MYA157" s="250"/>
      <c r="MYB157" s="250"/>
      <c r="MYC157" s="250"/>
      <c r="MYD157" s="250"/>
      <c r="MYE157" s="250"/>
      <c r="MYF157" s="250"/>
      <c r="MYG157" s="250"/>
      <c r="MYH157" s="250"/>
      <c r="MYI157" s="250"/>
      <c r="MYJ157" s="250"/>
      <c r="MYK157" s="250"/>
      <c r="MYL157" s="250"/>
      <c r="MYM157" s="250"/>
      <c r="MYN157" s="250"/>
      <c r="MYO157" s="250"/>
      <c r="MYP157" s="250"/>
      <c r="MYQ157" s="250"/>
      <c r="MYR157" s="250"/>
      <c r="MYS157" s="250"/>
      <c r="MYT157" s="250"/>
      <c r="MYU157" s="250"/>
      <c r="MYV157" s="250"/>
      <c r="MYW157" s="250"/>
      <c r="MYX157" s="250"/>
      <c r="MYY157" s="250"/>
      <c r="MYZ157" s="250"/>
      <c r="MZA157" s="250"/>
      <c r="MZB157" s="250"/>
      <c r="MZC157" s="250"/>
      <c r="MZD157" s="250"/>
      <c r="MZE157" s="250"/>
      <c r="MZF157" s="250"/>
      <c r="MZG157" s="250"/>
      <c r="MZH157" s="250"/>
      <c r="MZI157" s="250"/>
      <c r="MZJ157" s="250"/>
      <c r="MZK157" s="250"/>
      <c r="MZL157" s="250"/>
      <c r="MZM157" s="250"/>
      <c r="MZN157" s="250"/>
      <c r="MZO157" s="250"/>
      <c r="MZP157" s="250"/>
      <c r="MZQ157" s="250"/>
      <c r="MZR157" s="250"/>
      <c r="MZS157" s="250"/>
      <c r="MZT157" s="250"/>
      <c r="MZU157" s="250"/>
      <c r="MZV157" s="250"/>
      <c r="MZW157" s="250"/>
      <c r="MZX157" s="250"/>
      <c r="MZY157" s="250"/>
      <c r="MZZ157" s="250"/>
      <c r="NAA157" s="250"/>
      <c r="NAB157" s="250"/>
      <c r="NAC157" s="250"/>
      <c r="NAD157" s="250"/>
      <c r="NAE157" s="250"/>
      <c r="NAF157" s="250"/>
      <c r="NAG157" s="250"/>
      <c r="NAH157" s="250"/>
      <c r="NAI157" s="250"/>
      <c r="NAJ157" s="250"/>
      <c r="NAK157" s="250"/>
      <c r="NAL157" s="250"/>
      <c r="NAM157" s="250"/>
      <c r="NAN157" s="250"/>
      <c r="NAO157" s="250"/>
      <c r="NAP157" s="250"/>
      <c r="NAQ157" s="250"/>
      <c r="NAR157" s="250"/>
      <c r="NAS157" s="250"/>
      <c r="NAT157" s="250"/>
      <c r="NAU157" s="250"/>
      <c r="NAV157" s="250"/>
      <c r="NAW157" s="250"/>
      <c r="NAX157" s="250"/>
      <c r="NAY157" s="250"/>
      <c r="NAZ157" s="250"/>
      <c r="NBA157" s="250"/>
      <c r="NBB157" s="250"/>
      <c r="NBC157" s="250"/>
      <c r="NBD157" s="250"/>
      <c r="NBE157" s="250"/>
      <c r="NBF157" s="250"/>
      <c r="NBG157" s="250"/>
      <c r="NBH157" s="250"/>
      <c r="NBI157" s="250"/>
      <c r="NBJ157" s="250"/>
      <c r="NBK157" s="250"/>
      <c r="NBL157" s="250"/>
      <c r="NBM157" s="250"/>
      <c r="NBN157" s="250"/>
      <c r="NBO157" s="250"/>
      <c r="NBP157" s="250"/>
      <c r="NBQ157" s="250"/>
      <c r="NBR157" s="250"/>
      <c r="NBS157" s="250"/>
      <c r="NBT157" s="250"/>
      <c r="NBU157" s="250"/>
      <c r="NBV157" s="250"/>
      <c r="NBW157" s="250"/>
      <c r="NBX157" s="250"/>
      <c r="NBY157" s="250"/>
      <c r="NBZ157" s="250"/>
      <c r="NCA157" s="250"/>
      <c r="NCB157" s="250"/>
      <c r="NCC157" s="250"/>
      <c r="NCD157" s="250"/>
      <c r="NCE157" s="250"/>
      <c r="NCF157" s="250"/>
      <c r="NCG157" s="250"/>
      <c r="NCH157" s="250"/>
      <c r="NCI157" s="250"/>
      <c r="NCJ157" s="250"/>
      <c r="NCK157" s="250"/>
      <c r="NCL157" s="250"/>
      <c r="NCM157" s="250"/>
      <c r="NCN157" s="250"/>
      <c r="NCO157" s="250"/>
      <c r="NCP157" s="250"/>
      <c r="NCQ157" s="250"/>
      <c r="NCR157" s="250"/>
      <c r="NCS157" s="250"/>
      <c r="NCT157" s="250"/>
      <c r="NCU157" s="250"/>
      <c r="NCV157" s="250"/>
      <c r="NCW157" s="250"/>
      <c r="NCX157" s="250"/>
      <c r="NCY157" s="250"/>
      <c r="NCZ157" s="250"/>
      <c r="NDA157" s="250"/>
      <c r="NDB157" s="250"/>
      <c r="NDC157" s="250"/>
      <c r="NDD157" s="250"/>
      <c r="NDE157" s="250"/>
      <c r="NDF157" s="250"/>
      <c r="NDG157" s="250"/>
      <c r="NDH157" s="250"/>
      <c r="NDI157" s="250"/>
      <c r="NDJ157" s="250"/>
      <c r="NDK157" s="250"/>
      <c r="NDL157" s="250"/>
      <c r="NDM157" s="250"/>
      <c r="NDN157" s="250"/>
      <c r="NDO157" s="250"/>
      <c r="NDP157" s="250"/>
      <c r="NDQ157" s="250"/>
      <c r="NDR157" s="250"/>
      <c r="NDS157" s="250"/>
      <c r="NDT157" s="250"/>
      <c r="NDU157" s="250"/>
      <c r="NDV157" s="250"/>
      <c r="NDW157" s="250"/>
      <c r="NDX157" s="250"/>
      <c r="NDY157" s="250"/>
      <c r="NDZ157" s="250"/>
      <c r="NEA157" s="250"/>
      <c r="NEB157" s="250"/>
      <c r="NEC157" s="250"/>
      <c r="NED157" s="250"/>
      <c r="NEE157" s="250"/>
      <c r="NEF157" s="250"/>
      <c r="NEG157" s="250"/>
      <c r="NEH157" s="250"/>
      <c r="NEI157" s="250"/>
      <c r="NEJ157" s="250"/>
      <c r="NEK157" s="250"/>
      <c r="NEL157" s="250"/>
      <c r="NEM157" s="250"/>
      <c r="NEN157" s="250"/>
      <c r="NEO157" s="250"/>
      <c r="NEP157" s="250"/>
      <c r="NEQ157" s="250"/>
      <c r="NER157" s="250"/>
      <c r="NES157" s="250"/>
      <c r="NET157" s="250"/>
      <c r="NEU157" s="250"/>
      <c r="NEV157" s="250"/>
      <c r="NEW157" s="250"/>
      <c r="NEX157" s="250"/>
      <c r="NEY157" s="250"/>
      <c r="NEZ157" s="250"/>
      <c r="NFA157" s="250"/>
      <c r="NFB157" s="250"/>
      <c r="NFC157" s="250"/>
      <c r="NFD157" s="250"/>
      <c r="NFE157" s="250"/>
      <c r="NFF157" s="250"/>
      <c r="NFG157" s="250"/>
      <c r="NFH157" s="250"/>
      <c r="NFI157" s="250"/>
      <c r="NFJ157" s="250"/>
      <c r="NFK157" s="250"/>
      <c r="NFL157" s="250"/>
      <c r="NFM157" s="250"/>
      <c r="NFN157" s="250"/>
      <c r="NFO157" s="250"/>
      <c r="NFP157" s="250"/>
      <c r="NFQ157" s="250"/>
      <c r="NFR157" s="250"/>
      <c r="NFS157" s="250"/>
      <c r="NFT157" s="250"/>
      <c r="NFU157" s="250"/>
      <c r="NFV157" s="250"/>
      <c r="NFW157" s="250"/>
      <c r="NFX157" s="250"/>
      <c r="NFY157" s="250"/>
      <c r="NFZ157" s="250"/>
      <c r="NGA157" s="250"/>
      <c r="NGB157" s="250"/>
      <c r="NGC157" s="250"/>
      <c r="NGD157" s="250"/>
      <c r="NGE157" s="250"/>
      <c r="NGF157" s="250"/>
      <c r="NGG157" s="250"/>
      <c r="NGH157" s="250"/>
      <c r="NGI157" s="250"/>
      <c r="NGJ157" s="250"/>
      <c r="NGK157" s="250"/>
      <c r="NGL157" s="250"/>
      <c r="NGM157" s="250"/>
      <c r="NGN157" s="250"/>
      <c r="NGO157" s="250"/>
      <c r="NGP157" s="250"/>
      <c r="NGQ157" s="250"/>
      <c r="NGR157" s="250"/>
      <c r="NGS157" s="250"/>
      <c r="NGT157" s="250"/>
      <c r="NGU157" s="250"/>
      <c r="NGV157" s="250"/>
      <c r="NGW157" s="250"/>
      <c r="NGX157" s="250"/>
      <c r="NGY157" s="250"/>
      <c r="NGZ157" s="250"/>
      <c r="NHA157" s="250"/>
      <c r="NHB157" s="250"/>
      <c r="NHC157" s="250"/>
      <c r="NHD157" s="250"/>
      <c r="NHE157" s="250"/>
      <c r="NHF157" s="250"/>
      <c r="NHG157" s="250"/>
      <c r="NHH157" s="250"/>
      <c r="NHI157" s="250"/>
      <c r="NHJ157" s="250"/>
      <c r="NHK157" s="250"/>
      <c r="NHL157" s="250"/>
      <c r="NHM157" s="250"/>
      <c r="NHN157" s="250"/>
      <c r="NHO157" s="250"/>
      <c r="NHP157" s="250"/>
      <c r="NHQ157" s="250"/>
      <c r="NHR157" s="250"/>
      <c r="NHS157" s="250"/>
      <c r="NHT157" s="250"/>
      <c r="NHU157" s="250"/>
      <c r="NHV157" s="250"/>
      <c r="NHW157" s="250"/>
      <c r="NHX157" s="250"/>
      <c r="NHY157" s="250"/>
      <c r="NHZ157" s="250"/>
      <c r="NIA157" s="250"/>
      <c r="NIB157" s="250"/>
      <c r="NIC157" s="250"/>
      <c r="NID157" s="250"/>
      <c r="NIE157" s="250"/>
      <c r="NIF157" s="250"/>
      <c r="NIG157" s="250"/>
      <c r="NIH157" s="250"/>
      <c r="NII157" s="250"/>
      <c r="NIJ157" s="250"/>
      <c r="NIK157" s="250"/>
      <c r="NIL157" s="250"/>
      <c r="NIM157" s="250"/>
      <c r="NIN157" s="250"/>
      <c r="NIO157" s="250"/>
      <c r="NIP157" s="250"/>
      <c r="NIQ157" s="250"/>
      <c r="NIR157" s="250"/>
      <c r="NIS157" s="250"/>
      <c r="NIT157" s="250"/>
      <c r="NIU157" s="250"/>
      <c r="NIV157" s="250"/>
      <c r="NIW157" s="250"/>
      <c r="NIX157" s="250"/>
      <c r="NIY157" s="250"/>
      <c r="NIZ157" s="250"/>
      <c r="NJA157" s="250"/>
      <c r="NJB157" s="250"/>
      <c r="NJC157" s="250"/>
      <c r="NJD157" s="250"/>
      <c r="NJE157" s="250"/>
      <c r="NJF157" s="250"/>
      <c r="NJG157" s="250"/>
      <c r="NJH157" s="250"/>
      <c r="NJI157" s="250"/>
      <c r="NJJ157" s="250"/>
      <c r="NJK157" s="250"/>
      <c r="NJL157" s="250"/>
      <c r="NJM157" s="250"/>
      <c r="NJN157" s="250"/>
      <c r="NJO157" s="250"/>
      <c r="NJP157" s="250"/>
      <c r="NJQ157" s="250"/>
      <c r="NJR157" s="250"/>
      <c r="NJS157" s="250"/>
      <c r="NJT157" s="250"/>
      <c r="NJU157" s="250"/>
      <c r="NJV157" s="250"/>
      <c r="NJW157" s="250"/>
      <c r="NJX157" s="250"/>
      <c r="NJY157" s="250"/>
      <c r="NJZ157" s="250"/>
      <c r="NKA157" s="250"/>
      <c r="NKB157" s="250"/>
      <c r="NKC157" s="250"/>
      <c r="NKD157" s="250"/>
      <c r="NKE157" s="250"/>
      <c r="NKF157" s="250"/>
      <c r="NKG157" s="250"/>
      <c r="NKH157" s="250"/>
      <c r="NKI157" s="250"/>
      <c r="NKJ157" s="250"/>
      <c r="NKK157" s="250"/>
      <c r="NKL157" s="250"/>
      <c r="NKM157" s="250"/>
      <c r="NKN157" s="250"/>
      <c r="NKO157" s="250"/>
      <c r="NKP157" s="250"/>
      <c r="NKQ157" s="250"/>
      <c r="NKR157" s="250"/>
      <c r="NKS157" s="250"/>
      <c r="NKT157" s="250"/>
      <c r="NKU157" s="250"/>
      <c r="NKV157" s="250"/>
      <c r="NKW157" s="250"/>
      <c r="NKX157" s="250"/>
      <c r="NKY157" s="250"/>
      <c r="NKZ157" s="250"/>
      <c r="NLA157" s="250"/>
      <c r="NLB157" s="250"/>
      <c r="NLC157" s="250"/>
      <c r="NLD157" s="250"/>
      <c r="NLE157" s="250"/>
      <c r="NLF157" s="250"/>
      <c r="NLG157" s="250"/>
      <c r="NLH157" s="250"/>
      <c r="NLI157" s="250"/>
      <c r="NLJ157" s="250"/>
      <c r="NLK157" s="250"/>
      <c r="NLL157" s="250"/>
      <c r="NLM157" s="250"/>
      <c r="NLN157" s="250"/>
      <c r="NLO157" s="250"/>
      <c r="NLP157" s="250"/>
      <c r="NLQ157" s="250"/>
      <c r="NLR157" s="250"/>
      <c r="NLS157" s="250"/>
      <c r="NLT157" s="250"/>
      <c r="NLU157" s="250"/>
      <c r="NLV157" s="250"/>
      <c r="NLW157" s="250"/>
      <c r="NLX157" s="250"/>
      <c r="NLY157" s="250"/>
      <c r="NLZ157" s="250"/>
      <c r="NMA157" s="250"/>
      <c r="NMB157" s="250"/>
      <c r="NMC157" s="250"/>
      <c r="NMD157" s="250"/>
      <c r="NME157" s="250"/>
      <c r="NMF157" s="250"/>
      <c r="NMG157" s="250"/>
      <c r="NMH157" s="250"/>
      <c r="NMI157" s="250"/>
      <c r="NMJ157" s="250"/>
      <c r="NMK157" s="250"/>
      <c r="NML157" s="250"/>
      <c r="NMM157" s="250"/>
      <c r="NMN157" s="250"/>
      <c r="NMO157" s="250"/>
      <c r="NMP157" s="250"/>
      <c r="NMQ157" s="250"/>
      <c r="NMR157" s="250"/>
      <c r="NMS157" s="250"/>
      <c r="NMT157" s="250"/>
      <c r="NMU157" s="250"/>
      <c r="NMV157" s="250"/>
      <c r="NMW157" s="250"/>
      <c r="NMX157" s="250"/>
      <c r="NMY157" s="250"/>
      <c r="NMZ157" s="250"/>
      <c r="NNA157" s="250"/>
      <c r="NNB157" s="250"/>
      <c r="NNC157" s="250"/>
      <c r="NND157" s="250"/>
      <c r="NNE157" s="250"/>
      <c r="NNF157" s="250"/>
      <c r="NNG157" s="250"/>
      <c r="NNH157" s="250"/>
      <c r="NNI157" s="250"/>
      <c r="NNJ157" s="250"/>
      <c r="NNK157" s="250"/>
      <c r="NNL157" s="250"/>
      <c r="NNM157" s="250"/>
      <c r="NNN157" s="250"/>
      <c r="NNO157" s="250"/>
      <c r="NNP157" s="250"/>
      <c r="NNQ157" s="250"/>
      <c r="NNR157" s="250"/>
      <c r="NNS157" s="250"/>
      <c r="NNT157" s="250"/>
      <c r="NNU157" s="250"/>
      <c r="NNV157" s="250"/>
      <c r="NNW157" s="250"/>
      <c r="NNX157" s="250"/>
      <c r="NNY157" s="250"/>
      <c r="NNZ157" s="250"/>
      <c r="NOA157" s="250"/>
      <c r="NOB157" s="250"/>
      <c r="NOC157" s="250"/>
      <c r="NOD157" s="250"/>
      <c r="NOE157" s="250"/>
      <c r="NOF157" s="250"/>
      <c r="NOG157" s="250"/>
      <c r="NOH157" s="250"/>
      <c r="NOI157" s="250"/>
      <c r="NOJ157" s="250"/>
      <c r="NOK157" s="250"/>
      <c r="NOL157" s="250"/>
      <c r="NOM157" s="250"/>
      <c r="NON157" s="250"/>
      <c r="NOO157" s="250"/>
      <c r="NOP157" s="250"/>
      <c r="NOQ157" s="250"/>
      <c r="NOR157" s="250"/>
      <c r="NOS157" s="250"/>
      <c r="NOT157" s="250"/>
      <c r="NOU157" s="250"/>
      <c r="NOV157" s="250"/>
      <c r="NOW157" s="250"/>
      <c r="NOX157" s="250"/>
      <c r="NOY157" s="250"/>
      <c r="NOZ157" s="250"/>
      <c r="NPA157" s="250"/>
      <c r="NPB157" s="250"/>
      <c r="NPC157" s="250"/>
      <c r="NPD157" s="250"/>
      <c r="NPE157" s="250"/>
      <c r="NPF157" s="250"/>
      <c r="NPG157" s="250"/>
      <c r="NPH157" s="250"/>
      <c r="NPI157" s="250"/>
      <c r="NPJ157" s="250"/>
      <c r="NPK157" s="250"/>
      <c r="NPL157" s="250"/>
      <c r="NPM157" s="250"/>
      <c r="NPN157" s="250"/>
      <c r="NPO157" s="250"/>
      <c r="NPP157" s="250"/>
      <c r="NPQ157" s="250"/>
      <c r="NPR157" s="250"/>
      <c r="NPS157" s="250"/>
      <c r="NPT157" s="250"/>
      <c r="NPU157" s="250"/>
      <c r="NPV157" s="250"/>
      <c r="NPW157" s="250"/>
      <c r="NPX157" s="250"/>
      <c r="NPY157" s="250"/>
      <c r="NPZ157" s="250"/>
      <c r="NQA157" s="250"/>
      <c r="NQB157" s="250"/>
      <c r="NQC157" s="250"/>
      <c r="NQD157" s="250"/>
      <c r="NQE157" s="250"/>
      <c r="NQF157" s="250"/>
      <c r="NQG157" s="250"/>
      <c r="NQH157" s="250"/>
      <c r="NQI157" s="250"/>
      <c r="NQJ157" s="250"/>
      <c r="NQK157" s="250"/>
      <c r="NQL157" s="250"/>
      <c r="NQM157" s="250"/>
      <c r="NQN157" s="250"/>
      <c r="NQO157" s="250"/>
      <c r="NQP157" s="250"/>
      <c r="NQQ157" s="250"/>
      <c r="NQR157" s="250"/>
      <c r="NQS157" s="250"/>
      <c r="NQT157" s="250"/>
      <c r="NQU157" s="250"/>
      <c r="NQV157" s="250"/>
      <c r="NQW157" s="250"/>
      <c r="NQX157" s="250"/>
      <c r="NQY157" s="250"/>
      <c r="NQZ157" s="250"/>
      <c r="NRA157" s="250"/>
      <c r="NRB157" s="250"/>
      <c r="NRC157" s="250"/>
      <c r="NRD157" s="250"/>
      <c r="NRE157" s="250"/>
      <c r="NRF157" s="250"/>
      <c r="NRG157" s="250"/>
      <c r="NRH157" s="250"/>
      <c r="NRI157" s="250"/>
      <c r="NRJ157" s="250"/>
      <c r="NRK157" s="250"/>
      <c r="NRL157" s="250"/>
      <c r="NRM157" s="250"/>
      <c r="NRN157" s="250"/>
      <c r="NRO157" s="250"/>
      <c r="NRP157" s="250"/>
      <c r="NRQ157" s="250"/>
      <c r="NRR157" s="250"/>
      <c r="NRS157" s="250"/>
      <c r="NRT157" s="250"/>
      <c r="NRU157" s="250"/>
      <c r="NRV157" s="250"/>
      <c r="NRW157" s="250"/>
      <c r="NRX157" s="250"/>
      <c r="NRY157" s="250"/>
      <c r="NRZ157" s="250"/>
      <c r="NSA157" s="250"/>
      <c r="NSB157" s="250"/>
      <c r="NSC157" s="250"/>
      <c r="NSD157" s="250"/>
      <c r="NSE157" s="250"/>
      <c r="NSF157" s="250"/>
      <c r="NSG157" s="250"/>
      <c r="NSH157" s="250"/>
      <c r="NSI157" s="250"/>
      <c r="NSJ157" s="250"/>
      <c r="NSK157" s="250"/>
      <c r="NSL157" s="250"/>
      <c r="NSM157" s="250"/>
      <c r="NSN157" s="250"/>
      <c r="NSO157" s="250"/>
      <c r="NSP157" s="250"/>
      <c r="NSQ157" s="250"/>
      <c r="NSR157" s="250"/>
      <c r="NSS157" s="250"/>
      <c r="NST157" s="250"/>
      <c r="NSU157" s="250"/>
      <c r="NSV157" s="250"/>
      <c r="NSW157" s="250"/>
      <c r="NSX157" s="250"/>
      <c r="NSY157" s="250"/>
      <c r="NSZ157" s="250"/>
      <c r="NTA157" s="250"/>
      <c r="NTB157" s="250"/>
      <c r="NTC157" s="250"/>
      <c r="NTD157" s="250"/>
      <c r="NTE157" s="250"/>
      <c r="NTF157" s="250"/>
      <c r="NTG157" s="250"/>
      <c r="NTH157" s="250"/>
      <c r="NTI157" s="250"/>
      <c r="NTJ157" s="250"/>
      <c r="NTK157" s="250"/>
      <c r="NTL157" s="250"/>
      <c r="NTM157" s="250"/>
      <c r="NTN157" s="250"/>
      <c r="NTO157" s="250"/>
      <c r="NTP157" s="250"/>
      <c r="NTQ157" s="250"/>
      <c r="NTR157" s="250"/>
      <c r="NTS157" s="250"/>
      <c r="NTT157" s="250"/>
      <c r="NTU157" s="250"/>
      <c r="NTV157" s="250"/>
      <c r="NTW157" s="250"/>
      <c r="NTX157" s="250"/>
      <c r="NTY157" s="250"/>
      <c r="NTZ157" s="250"/>
      <c r="NUA157" s="250"/>
      <c r="NUB157" s="250"/>
      <c r="NUC157" s="250"/>
      <c r="NUD157" s="250"/>
      <c r="NUE157" s="250"/>
      <c r="NUF157" s="250"/>
      <c r="NUG157" s="250"/>
      <c r="NUH157" s="250"/>
      <c r="NUI157" s="250"/>
      <c r="NUJ157" s="250"/>
      <c r="NUK157" s="250"/>
      <c r="NUL157" s="250"/>
      <c r="NUM157" s="250"/>
      <c r="NUN157" s="250"/>
      <c r="NUO157" s="250"/>
      <c r="NUP157" s="250"/>
      <c r="NUQ157" s="250"/>
      <c r="NUR157" s="250"/>
      <c r="NUS157" s="250"/>
      <c r="NUT157" s="250"/>
      <c r="NUU157" s="250"/>
      <c r="NUV157" s="250"/>
      <c r="NUW157" s="250"/>
      <c r="NUX157" s="250"/>
      <c r="NUY157" s="250"/>
      <c r="NUZ157" s="250"/>
      <c r="NVA157" s="250"/>
      <c r="NVB157" s="250"/>
      <c r="NVC157" s="250"/>
      <c r="NVD157" s="250"/>
      <c r="NVE157" s="250"/>
      <c r="NVF157" s="250"/>
      <c r="NVG157" s="250"/>
      <c r="NVH157" s="250"/>
      <c r="NVI157" s="250"/>
      <c r="NVJ157" s="250"/>
      <c r="NVK157" s="250"/>
      <c r="NVL157" s="250"/>
      <c r="NVM157" s="250"/>
      <c r="NVN157" s="250"/>
      <c r="NVO157" s="250"/>
      <c r="NVP157" s="250"/>
      <c r="NVQ157" s="250"/>
      <c r="NVR157" s="250"/>
      <c r="NVS157" s="250"/>
      <c r="NVT157" s="250"/>
      <c r="NVU157" s="250"/>
      <c r="NVV157" s="250"/>
      <c r="NVW157" s="250"/>
      <c r="NVX157" s="250"/>
      <c r="NVY157" s="250"/>
      <c r="NVZ157" s="250"/>
      <c r="NWA157" s="250"/>
      <c r="NWB157" s="250"/>
      <c r="NWC157" s="250"/>
      <c r="NWD157" s="250"/>
      <c r="NWE157" s="250"/>
      <c r="NWF157" s="250"/>
      <c r="NWG157" s="250"/>
      <c r="NWH157" s="250"/>
      <c r="NWI157" s="250"/>
      <c r="NWJ157" s="250"/>
      <c r="NWK157" s="250"/>
      <c r="NWL157" s="250"/>
      <c r="NWM157" s="250"/>
      <c r="NWN157" s="250"/>
      <c r="NWO157" s="250"/>
      <c r="NWP157" s="250"/>
      <c r="NWQ157" s="250"/>
      <c r="NWR157" s="250"/>
      <c r="NWS157" s="250"/>
      <c r="NWT157" s="250"/>
      <c r="NWU157" s="250"/>
      <c r="NWV157" s="250"/>
      <c r="NWW157" s="250"/>
      <c r="NWX157" s="250"/>
      <c r="NWY157" s="250"/>
      <c r="NWZ157" s="250"/>
      <c r="NXA157" s="250"/>
      <c r="NXB157" s="250"/>
      <c r="NXC157" s="250"/>
      <c r="NXD157" s="250"/>
      <c r="NXE157" s="250"/>
      <c r="NXF157" s="250"/>
      <c r="NXG157" s="250"/>
      <c r="NXH157" s="250"/>
      <c r="NXI157" s="250"/>
      <c r="NXJ157" s="250"/>
      <c r="NXK157" s="250"/>
      <c r="NXL157" s="250"/>
      <c r="NXM157" s="250"/>
      <c r="NXN157" s="250"/>
      <c r="NXO157" s="250"/>
      <c r="NXP157" s="250"/>
      <c r="NXQ157" s="250"/>
      <c r="NXR157" s="250"/>
      <c r="NXS157" s="250"/>
      <c r="NXT157" s="250"/>
      <c r="NXU157" s="250"/>
      <c r="NXV157" s="250"/>
      <c r="NXW157" s="250"/>
      <c r="NXX157" s="250"/>
      <c r="NXY157" s="250"/>
      <c r="NXZ157" s="250"/>
      <c r="NYA157" s="250"/>
      <c r="NYB157" s="250"/>
      <c r="NYC157" s="250"/>
      <c r="NYD157" s="250"/>
      <c r="NYE157" s="250"/>
      <c r="NYF157" s="250"/>
      <c r="NYG157" s="250"/>
      <c r="NYH157" s="250"/>
      <c r="NYI157" s="250"/>
      <c r="NYJ157" s="250"/>
      <c r="NYK157" s="250"/>
      <c r="NYL157" s="250"/>
      <c r="NYM157" s="250"/>
      <c r="NYN157" s="250"/>
      <c r="NYO157" s="250"/>
      <c r="NYP157" s="250"/>
      <c r="NYQ157" s="250"/>
      <c r="NYR157" s="250"/>
      <c r="NYS157" s="250"/>
      <c r="NYT157" s="250"/>
      <c r="NYU157" s="250"/>
      <c r="NYV157" s="250"/>
      <c r="NYW157" s="250"/>
      <c r="NYX157" s="250"/>
      <c r="NYY157" s="250"/>
      <c r="NYZ157" s="250"/>
      <c r="NZA157" s="250"/>
      <c r="NZB157" s="250"/>
      <c r="NZC157" s="250"/>
      <c r="NZD157" s="250"/>
      <c r="NZE157" s="250"/>
      <c r="NZF157" s="250"/>
      <c r="NZG157" s="250"/>
      <c r="NZH157" s="250"/>
      <c r="NZI157" s="250"/>
      <c r="NZJ157" s="250"/>
      <c r="NZK157" s="250"/>
      <c r="NZL157" s="250"/>
      <c r="NZM157" s="250"/>
      <c r="NZN157" s="250"/>
      <c r="NZO157" s="250"/>
      <c r="NZP157" s="250"/>
      <c r="NZQ157" s="250"/>
      <c r="NZR157" s="250"/>
      <c r="NZS157" s="250"/>
      <c r="NZT157" s="250"/>
      <c r="NZU157" s="250"/>
      <c r="NZV157" s="250"/>
      <c r="NZW157" s="250"/>
      <c r="NZX157" s="250"/>
      <c r="NZY157" s="250"/>
      <c r="NZZ157" s="250"/>
      <c r="OAA157" s="250"/>
      <c r="OAB157" s="250"/>
      <c r="OAC157" s="250"/>
      <c r="OAD157" s="250"/>
      <c r="OAE157" s="250"/>
      <c r="OAF157" s="250"/>
      <c r="OAG157" s="250"/>
      <c r="OAH157" s="250"/>
      <c r="OAI157" s="250"/>
      <c r="OAJ157" s="250"/>
      <c r="OAK157" s="250"/>
      <c r="OAL157" s="250"/>
      <c r="OAM157" s="250"/>
      <c r="OAN157" s="250"/>
      <c r="OAO157" s="250"/>
      <c r="OAP157" s="250"/>
      <c r="OAQ157" s="250"/>
      <c r="OAR157" s="250"/>
      <c r="OAS157" s="250"/>
      <c r="OAT157" s="250"/>
      <c r="OAU157" s="250"/>
      <c r="OAV157" s="250"/>
      <c r="OAW157" s="250"/>
      <c r="OAX157" s="250"/>
      <c r="OAY157" s="250"/>
      <c r="OAZ157" s="250"/>
      <c r="OBA157" s="250"/>
      <c r="OBB157" s="250"/>
      <c r="OBC157" s="250"/>
      <c r="OBD157" s="250"/>
      <c r="OBE157" s="250"/>
      <c r="OBF157" s="250"/>
      <c r="OBG157" s="250"/>
      <c r="OBH157" s="250"/>
      <c r="OBI157" s="250"/>
      <c r="OBJ157" s="250"/>
      <c r="OBK157" s="250"/>
      <c r="OBL157" s="250"/>
      <c r="OBM157" s="250"/>
      <c r="OBN157" s="250"/>
      <c r="OBO157" s="250"/>
      <c r="OBP157" s="250"/>
      <c r="OBQ157" s="250"/>
      <c r="OBR157" s="250"/>
      <c r="OBS157" s="250"/>
      <c r="OBT157" s="250"/>
      <c r="OBU157" s="250"/>
      <c r="OBV157" s="250"/>
      <c r="OBW157" s="250"/>
      <c r="OBX157" s="250"/>
      <c r="OBY157" s="250"/>
      <c r="OBZ157" s="250"/>
      <c r="OCA157" s="250"/>
      <c r="OCB157" s="250"/>
      <c r="OCC157" s="250"/>
      <c r="OCD157" s="250"/>
      <c r="OCE157" s="250"/>
      <c r="OCF157" s="250"/>
      <c r="OCG157" s="250"/>
      <c r="OCH157" s="250"/>
      <c r="OCI157" s="250"/>
      <c r="OCJ157" s="250"/>
      <c r="OCK157" s="250"/>
      <c r="OCL157" s="250"/>
      <c r="OCM157" s="250"/>
      <c r="OCN157" s="250"/>
      <c r="OCO157" s="250"/>
      <c r="OCP157" s="250"/>
      <c r="OCQ157" s="250"/>
      <c r="OCR157" s="250"/>
      <c r="OCS157" s="250"/>
      <c r="OCT157" s="250"/>
      <c r="OCU157" s="250"/>
      <c r="OCV157" s="250"/>
      <c r="OCW157" s="250"/>
      <c r="OCX157" s="250"/>
      <c r="OCY157" s="250"/>
      <c r="OCZ157" s="250"/>
      <c r="ODA157" s="250"/>
      <c r="ODB157" s="250"/>
      <c r="ODC157" s="250"/>
      <c r="ODD157" s="250"/>
      <c r="ODE157" s="250"/>
      <c r="ODF157" s="250"/>
      <c r="ODG157" s="250"/>
      <c r="ODH157" s="250"/>
      <c r="ODI157" s="250"/>
      <c r="ODJ157" s="250"/>
      <c r="ODK157" s="250"/>
      <c r="ODL157" s="250"/>
      <c r="ODM157" s="250"/>
      <c r="ODN157" s="250"/>
      <c r="ODO157" s="250"/>
      <c r="ODP157" s="250"/>
      <c r="ODQ157" s="250"/>
      <c r="ODR157" s="250"/>
      <c r="ODS157" s="250"/>
      <c r="ODT157" s="250"/>
      <c r="ODU157" s="250"/>
      <c r="ODV157" s="250"/>
      <c r="ODW157" s="250"/>
      <c r="ODX157" s="250"/>
      <c r="ODY157" s="250"/>
      <c r="ODZ157" s="250"/>
      <c r="OEA157" s="250"/>
      <c r="OEB157" s="250"/>
      <c r="OEC157" s="250"/>
      <c r="OED157" s="250"/>
      <c r="OEE157" s="250"/>
      <c r="OEF157" s="250"/>
      <c r="OEG157" s="250"/>
      <c r="OEH157" s="250"/>
      <c r="OEI157" s="250"/>
      <c r="OEJ157" s="250"/>
      <c r="OEK157" s="250"/>
      <c r="OEL157" s="250"/>
      <c r="OEM157" s="250"/>
      <c r="OEN157" s="250"/>
      <c r="OEO157" s="250"/>
      <c r="OEP157" s="250"/>
      <c r="OEQ157" s="250"/>
      <c r="OER157" s="250"/>
      <c r="OES157" s="250"/>
      <c r="OET157" s="250"/>
      <c r="OEU157" s="250"/>
      <c r="OEV157" s="250"/>
      <c r="OEW157" s="250"/>
      <c r="OEX157" s="250"/>
      <c r="OEY157" s="250"/>
      <c r="OEZ157" s="250"/>
      <c r="OFA157" s="250"/>
      <c r="OFB157" s="250"/>
      <c r="OFC157" s="250"/>
      <c r="OFD157" s="250"/>
      <c r="OFE157" s="250"/>
      <c r="OFF157" s="250"/>
      <c r="OFG157" s="250"/>
      <c r="OFH157" s="250"/>
      <c r="OFI157" s="250"/>
      <c r="OFJ157" s="250"/>
      <c r="OFK157" s="250"/>
      <c r="OFL157" s="250"/>
      <c r="OFM157" s="250"/>
      <c r="OFN157" s="250"/>
      <c r="OFO157" s="250"/>
      <c r="OFP157" s="250"/>
      <c r="OFQ157" s="250"/>
      <c r="OFR157" s="250"/>
      <c r="OFS157" s="250"/>
      <c r="OFT157" s="250"/>
      <c r="OFU157" s="250"/>
      <c r="OFV157" s="250"/>
      <c r="OFW157" s="250"/>
      <c r="OFX157" s="250"/>
      <c r="OFY157" s="250"/>
      <c r="OFZ157" s="250"/>
      <c r="OGA157" s="250"/>
      <c r="OGB157" s="250"/>
      <c r="OGC157" s="250"/>
      <c r="OGD157" s="250"/>
      <c r="OGE157" s="250"/>
      <c r="OGF157" s="250"/>
      <c r="OGG157" s="250"/>
      <c r="OGH157" s="250"/>
      <c r="OGI157" s="250"/>
      <c r="OGJ157" s="250"/>
      <c r="OGK157" s="250"/>
      <c r="OGL157" s="250"/>
      <c r="OGM157" s="250"/>
      <c r="OGN157" s="250"/>
      <c r="OGO157" s="250"/>
      <c r="OGP157" s="250"/>
      <c r="OGQ157" s="250"/>
      <c r="OGR157" s="250"/>
      <c r="OGS157" s="250"/>
      <c r="OGT157" s="250"/>
      <c r="OGU157" s="250"/>
      <c r="OGV157" s="250"/>
      <c r="OGW157" s="250"/>
      <c r="OGX157" s="250"/>
      <c r="OGY157" s="250"/>
      <c r="OGZ157" s="250"/>
      <c r="OHA157" s="250"/>
      <c r="OHB157" s="250"/>
      <c r="OHC157" s="250"/>
      <c r="OHD157" s="250"/>
      <c r="OHE157" s="250"/>
      <c r="OHF157" s="250"/>
      <c r="OHG157" s="250"/>
      <c r="OHH157" s="250"/>
      <c r="OHI157" s="250"/>
      <c r="OHJ157" s="250"/>
      <c r="OHK157" s="250"/>
      <c r="OHL157" s="250"/>
      <c r="OHM157" s="250"/>
      <c r="OHN157" s="250"/>
      <c r="OHO157" s="250"/>
      <c r="OHP157" s="250"/>
      <c r="OHQ157" s="250"/>
      <c r="OHR157" s="250"/>
      <c r="OHS157" s="250"/>
      <c r="OHT157" s="250"/>
      <c r="OHU157" s="250"/>
      <c r="OHV157" s="250"/>
      <c r="OHW157" s="250"/>
      <c r="OHX157" s="250"/>
      <c r="OHY157" s="250"/>
      <c r="OHZ157" s="250"/>
      <c r="OIA157" s="250"/>
      <c r="OIB157" s="250"/>
      <c r="OIC157" s="250"/>
      <c r="OID157" s="250"/>
      <c r="OIE157" s="250"/>
      <c r="OIF157" s="250"/>
      <c r="OIG157" s="250"/>
      <c r="OIH157" s="250"/>
      <c r="OII157" s="250"/>
      <c r="OIJ157" s="250"/>
      <c r="OIK157" s="250"/>
      <c r="OIL157" s="250"/>
      <c r="OIM157" s="250"/>
      <c r="OIN157" s="250"/>
      <c r="OIO157" s="250"/>
      <c r="OIP157" s="250"/>
      <c r="OIQ157" s="250"/>
      <c r="OIR157" s="250"/>
      <c r="OIS157" s="250"/>
      <c r="OIT157" s="250"/>
      <c r="OIU157" s="250"/>
      <c r="OIV157" s="250"/>
      <c r="OIW157" s="250"/>
      <c r="OIX157" s="250"/>
      <c r="OIY157" s="250"/>
      <c r="OIZ157" s="250"/>
      <c r="OJA157" s="250"/>
      <c r="OJB157" s="250"/>
      <c r="OJC157" s="250"/>
      <c r="OJD157" s="250"/>
      <c r="OJE157" s="250"/>
      <c r="OJF157" s="250"/>
      <c r="OJG157" s="250"/>
      <c r="OJH157" s="250"/>
      <c r="OJI157" s="250"/>
      <c r="OJJ157" s="250"/>
      <c r="OJK157" s="250"/>
      <c r="OJL157" s="250"/>
      <c r="OJM157" s="250"/>
      <c r="OJN157" s="250"/>
      <c r="OJO157" s="250"/>
      <c r="OJP157" s="250"/>
      <c r="OJQ157" s="250"/>
      <c r="OJR157" s="250"/>
      <c r="OJS157" s="250"/>
      <c r="OJT157" s="250"/>
      <c r="OJU157" s="250"/>
      <c r="OJV157" s="250"/>
      <c r="OJW157" s="250"/>
      <c r="OJX157" s="250"/>
      <c r="OJY157" s="250"/>
      <c r="OJZ157" s="250"/>
      <c r="OKA157" s="250"/>
      <c r="OKB157" s="250"/>
      <c r="OKC157" s="250"/>
      <c r="OKD157" s="250"/>
      <c r="OKE157" s="250"/>
      <c r="OKF157" s="250"/>
      <c r="OKG157" s="250"/>
      <c r="OKH157" s="250"/>
      <c r="OKI157" s="250"/>
      <c r="OKJ157" s="250"/>
      <c r="OKK157" s="250"/>
      <c r="OKL157" s="250"/>
      <c r="OKM157" s="250"/>
      <c r="OKN157" s="250"/>
      <c r="OKO157" s="250"/>
      <c r="OKP157" s="250"/>
      <c r="OKQ157" s="250"/>
      <c r="OKR157" s="250"/>
      <c r="OKS157" s="250"/>
      <c r="OKT157" s="250"/>
      <c r="OKU157" s="250"/>
      <c r="OKV157" s="250"/>
      <c r="OKW157" s="250"/>
      <c r="OKX157" s="250"/>
      <c r="OKY157" s="250"/>
      <c r="OKZ157" s="250"/>
      <c r="OLA157" s="250"/>
      <c r="OLB157" s="250"/>
      <c r="OLC157" s="250"/>
      <c r="OLD157" s="250"/>
      <c r="OLE157" s="250"/>
      <c r="OLF157" s="250"/>
      <c r="OLG157" s="250"/>
      <c r="OLH157" s="250"/>
      <c r="OLI157" s="250"/>
      <c r="OLJ157" s="250"/>
      <c r="OLK157" s="250"/>
      <c r="OLL157" s="250"/>
      <c r="OLM157" s="250"/>
      <c r="OLN157" s="250"/>
      <c r="OLO157" s="250"/>
      <c r="OLP157" s="250"/>
      <c r="OLQ157" s="250"/>
      <c r="OLR157" s="250"/>
      <c r="OLS157" s="250"/>
      <c r="OLT157" s="250"/>
      <c r="OLU157" s="250"/>
      <c r="OLV157" s="250"/>
      <c r="OLW157" s="250"/>
      <c r="OLX157" s="250"/>
      <c r="OLY157" s="250"/>
      <c r="OLZ157" s="250"/>
      <c r="OMA157" s="250"/>
      <c r="OMB157" s="250"/>
      <c r="OMC157" s="250"/>
      <c r="OMD157" s="250"/>
      <c r="OME157" s="250"/>
      <c r="OMF157" s="250"/>
      <c r="OMG157" s="250"/>
      <c r="OMH157" s="250"/>
      <c r="OMI157" s="250"/>
      <c r="OMJ157" s="250"/>
      <c r="OMK157" s="250"/>
      <c r="OML157" s="250"/>
      <c r="OMM157" s="250"/>
      <c r="OMN157" s="250"/>
      <c r="OMO157" s="250"/>
      <c r="OMP157" s="250"/>
      <c r="OMQ157" s="250"/>
      <c r="OMR157" s="250"/>
      <c r="OMS157" s="250"/>
      <c r="OMT157" s="250"/>
      <c r="OMU157" s="250"/>
      <c r="OMV157" s="250"/>
      <c r="OMW157" s="250"/>
      <c r="OMX157" s="250"/>
      <c r="OMY157" s="250"/>
      <c r="OMZ157" s="250"/>
      <c r="ONA157" s="250"/>
      <c r="ONB157" s="250"/>
      <c r="ONC157" s="250"/>
      <c r="OND157" s="250"/>
      <c r="ONE157" s="250"/>
      <c r="ONF157" s="250"/>
      <c r="ONG157" s="250"/>
      <c r="ONH157" s="250"/>
      <c r="ONI157" s="250"/>
      <c r="ONJ157" s="250"/>
      <c r="ONK157" s="250"/>
      <c r="ONL157" s="250"/>
      <c r="ONM157" s="250"/>
      <c r="ONN157" s="250"/>
      <c r="ONO157" s="250"/>
      <c r="ONP157" s="250"/>
      <c r="ONQ157" s="250"/>
      <c r="ONR157" s="250"/>
      <c r="ONS157" s="250"/>
      <c r="ONT157" s="250"/>
      <c r="ONU157" s="250"/>
      <c r="ONV157" s="250"/>
      <c r="ONW157" s="250"/>
      <c r="ONX157" s="250"/>
      <c r="ONY157" s="250"/>
      <c r="ONZ157" s="250"/>
      <c r="OOA157" s="250"/>
      <c r="OOB157" s="250"/>
      <c r="OOC157" s="250"/>
      <c r="OOD157" s="250"/>
      <c r="OOE157" s="250"/>
      <c r="OOF157" s="250"/>
      <c r="OOG157" s="250"/>
      <c r="OOH157" s="250"/>
      <c r="OOI157" s="250"/>
      <c r="OOJ157" s="250"/>
      <c r="OOK157" s="250"/>
      <c r="OOL157" s="250"/>
      <c r="OOM157" s="250"/>
      <c r="OON157" s="250"/>
      <c r="OOO157" s="250"/>
      <c r="OOP157" s="250"/>
      <c r="OOQ157" s="250"/>
      <c r="OOR157" s="250"/>
      <c r="OOS157" s="250"/>
      <c r="OOT157" s="250"/>
      <c r="OOU157" s="250"/>
      <c r="OOV157" s="250"/>
      <c r="OOW157" s="250"/>
      <c r="OOX157" s="250"/>
      <c r="OOY157" s="250"/>
      <c r="OOZ157" s="250"/>
      <c r="OPA157" s="250"/>
      <c r="OPB157" s="250"/>
      <c r="OPC157" s="250"/>
      <c r="OPD157" s="250"/>
      <c r="OPE157" s="250"/>
      <c r="OPF157" s="250"/>
      <c r="OPG157" s="250"/>
      <c r="OPH157" s="250"/>
      <c r="OPI157" s="250"/>
      <c r="OPJ157" s="250"/>
      <c r="OPK157" s="250"/>
      <c r="OPL157" s="250"/>
      <c r="OPM157" s="250"/>
      <c r="OPN157" s="250"/>
      <c r="OPO157" s="250"/>
      <c r="OPP157" s="250"/>
      <c r="OPQ157" s="250"/>
      <c r="OPR157" s="250"/>
      <c r="OPS157" s="250"/>
      <c r="OPT157" s="250"/>
      <c r="OPU157" s="250"/>
      <c r="OPV157" s="250"/>
      <c r="OPW157" s="250"/>
      <c r="OPX157" s="250"/>
      <c r="OPY157" s="250"/>
      <c r="OPZ157" s="250"/>
      <c r="OQA157" s="250"/>
      <c r="OQB157" s="250"/>
      <c r="OQC157" s="250"/>
      <c r="OQD157" s="250"/>
      <c r="OQE157" s="250"/>
      <c r="OQF157" s="250"/>
      <c r="OQG157" s="250"/>
      <c r="OQH157" s="250"/>
      <c r="OQI157" s="250"/>
      <c r="OQJ157" s="250"/>
      <c r="OQK157" s="250"/>
      <c r="OQL157" s="250"/>
      <c r="OQM157" s="250"/>
      <c r="OQN157" s="250"/>
      <c r="OQO157" s="250"/>
      <c r="OQP157" s="250"/>
      <c r="OQQ157" s="250"/>
      <c r="OQR157" s="250"/>
      <c r="OQS157" s="250"/>
      <c r="OQT157" s="250"/>
      <c r="OQU157" s="250"/>
      <c r="OQV157" s="250"/>
      <c r="OQW157" s="250"/>
      <c r="OQX157" s="250"/>
      <c r="OQY157" s="250"/>
      <c r="OQZ157" s="250"/>
      <c r="ORA157" s="250"/>
      <c r="ORB157" s="250"/>
      <c r="ORC157" s="250"/>
      <c r="ORD157" s="250"/>
      <c r="ORE157" s="250"/>
      <c r="ORF157" s="250"/>
      <c r="ORG157" s="250"/>
      <c r="ORH157" s="250"/>
      <c r="ORI157" s="250"/>
      <c r="ORJ157" s="250"/>
      <c r="ORK157" s="250"/>
      <c r="ORL157" s="250"/>
      <c r="ORM157" s="250"/>
      <c r="ORN157" s="250"/>
      <c r="ORO157" s="250"/>
      <c r="ORP157" s="250"/>
      <c r="ORQ157" s="250"/>
      <c r="ORR157" s="250"/>
      <c r="ORS157" s="250"/>
      <c r="ORT157" s="250"/>
      <c r="ORU157" s="250"/>
      <c r="ORV157" s="250"/>
      <c r="ORW157" s="250"/>
      <c r="ORX157" s="250"/>
      <c r="ORY157" s="250"/>
      <c r="ORZ157" s="250"/>
      <c r="OSA157" s="250"/>
      <c r="OSB157" s="250"/>
      <c r="OSC157" s="250"/>
      <c r="OSD157" s="250"/>
      <c r="OSE157" s="250"/>
      <c r="OSF157" s="250"/>
      <c r="OSG157" s="250"/>
      <c r="OSH157" s="250"/>
      <c r="OSI157" s="250"/>
      <c r="OSJ157" s="250"/>
      <c r="OSK157" s="250"/>
      <c r="OSL157" s="250"/>
      <c r="OSM157" s="250"/>
      <c r="OSN157" s="250"/>
      <c r="OSO157" s="250"/>
      <c r="OSP157" s="250"/>
      <c r="OSQ157" s="250"/>
      <c r="OSR157" s="250"/>
      <c r="OSS157" s="250"/>
      <c r="OST157" s="250"/>
      <c r="OSU157" s="250"/>
      <c r="OSV157" s="250"/>
      <c r="OSW157" s="250"/>
      <c r="OSX157" s="250"/>
      <c r="OSY157" s="250"/>
      <c r="OSZ157" s="250"/>
      <c r="OTA157" s="250"/>
      <c r="OTB157" s="250"/>
      <c r="OTC157" s="250"/>
      <c r="OTD157" s="250"/>
      <c r="OTE157" s="250"/>
      <c r="OTF157" s="250"/>
      <c r="OTG157" s="250"/>
      <c r="OTH157" s="250"/>
      <c r="OTI157" s="250"/>
      <c r="OTJ157" s="250"/>
      <c r="OTK157" s="250"/>
      <c r="OTL157" s="250"/>
      <c r="OTM157" s="250"/>
      <c r="OTN157" s="250"/>
      <c r="OTO157" s="250"/>
      <c r="OTP157" s="250"/>
      <c r="OTQ157" s="250"/>
      <c r="OTR157" s="250"/>
      <c r="OTS157" s="250"/>
      <c r="OTT157" s="250"/>
      <c r="OTU157" s="250"/>
      <c r="OTV157" s="250"/>
      <c r="OTW157" s="250"/>
      <c r="OTX157" s="250"/>
      <c r="OTY157" s="250"/>
      <c r="OTZ157" s="250"/>
      <c r="OUA157" s="250"/>
      <c r="OUB157" s="250"/>
      <c r="OUC157" s="250"/>
      <c r="OUD157" s="250"/>
      <c r="OUE157" s="250"/>
      <c r="OUF157" s="250"/>
      <c r="OUG157" s="250"/>
      <c r="OUH157" s="250"/>
      <c r="OUI157" s="250"/>
      <c r="OUJ157" s="250"/>
      <c r="OUK157" s="250"/>
      <c r="OUL157" s="250"/>
      <c r="OUM157" s="250"/>
      <c r="OUN157" s="250"/>
      <c r="OUO157" s="250"/>
      <c r="OUP157" s="250"/>
      <c r="OUQ157" s="250"/>
      <c r="OUR157" s="250"/>
      <c r="OUS157" s="250"/>
      <c r="OUT157" s="250"/>
      <c r="OUU157" s="250"/>
      <c r="OUV157" s="250"/>
      <c r="OUW157" s="250"/>
      <c r="OUX157" s="250"/>
      <c r="OUY157" s="250"/>
      <c r="OUZ157" s="250"/>
      <c r="OVA157" s="250"/>
      <c r="OVB157" s="250"/>
      <c r="OVC157" s="250"/>
      <c r="OVD157" s="250"/>
      <c r="OVE157" s="250"/>
      <c r="OVF157" s="250"/>
      <c r="OVG157" s="250"/>
      <c r="OVH157" s="250"/>
      <c r="OVI157" s="250"/>
      <c r="OVJ157" s="250"/>
      <c r="OVK157" s="250"/>
      <c r="OVL157" s="250"/>
      <c r="OVM157" s="250"/>
      <c r="OVN157" s="250"/>
      <c r="OVO157" s="250"/>
      <c r="OVP157" s="250"/>
      <c r="OVQ157" s="250"/>
      <c r="OVR157" s="250"/>
      <c r="OVS157" s="250"/>
      <c r="OVT157" s="250"/>
      <c r="OVU157" s="250"/>
      <c r="OVV157" s="250"/>
      <c r="OVW157" s="250"/>
      <c r="OVX157" s="250"/>
      <c r="OVY157" s="250"/>
      <c r="OVZ157" s="250"/>
      <c r="OWA157" s="250"/>
      <c r="OWB157" s="250"/>
      <c r="OWC157" s="250"/>
      <c r="OWD157" s="250"/>
      <c r="OWE157" s="250"/>
      <c r="OWF157" s="250"/>
      <c r="OWG157" s="250"/>
      <c r="OWH157" s="250"/>
      <c r="OWI157" s="250"/>
      <c r="OWJ157" s="250"/>
      <c r="OWK157" s="250"/>
      <c r="OWL157" s="250"/>
      <c r="OWM157" s="250"/>
      <c r="OWN157" s="250"/>
      <c r="OWO157" s="250"/>
      <c r="OWP157" s="250"/>
      <c r="OWQ157" s="250"/>
      <c r="OWR157" s="250"/>
      <c r="OWS157" s="250"/>
      <c r="OWT157" s="250"/>
      <c r="OWU157" s="250"/>
      <c r="OWV157" s="250"/>
      <c r="OWW157" s="250"/>
      <c r="OWX157" s="250"/>
      <c r="OWY157" s="250"/>
      <c r="OWZ157" s="250"/>
      <c r="OXA157" s="250"/>
      <c r="OXB157" s="250"/>
      <c r="OXC157" s="250"/>
      <c r="OXD157" s="250"/>
      <c r="OXE157" s="250"/>
      <c r="OXF157" s="250"/>
      <c r="OXG157" s="250"/>
      <c r="OXH157" s="250"/>
      <c r="OXI157" s="250"/>
      <c r="OXJ157" s="250"/>
      <c r="OXK157" s="250"/>
      <c r="OXL157" s="250"/>
      <c r="OXM157" s="250"/>
      <c r="OXN157" s="250"/>
      <c r="OXO157" s="250"/>
      <c r="OXP157" s="250"/>
      <c r="OXQ157" s="250"/>
      <c r="OXR157" s="250"/>
      <c r="OXS157" s="250"/>
      <c r="OXT157" s="250"/>
      <c r="OXU157" s="250"/>
      <c r="OXV157" s="250"/>
      <c r="OXW157" s="250"/>
      <c r="OXX157" s="250"/>
      <c r="OXY157" s="250"/>
      <c r="OXZ157" s="250"/>
      <c r="OYA157" s="250"/>
      <c r="OYB157" s="250"/>
      <c r="OYC157" s="250"/>
      <c r="OYD157" s="250"/>
      <c r="OYE157" s="250"/>
      <c r="OYF157" s="250"/>
      <c r="OYG157" s="250"/>
      <c r="OYH157" s="250"/>
      <c r="OYI157" s="250"/>
      <c r="OYJ157" s="250"/>
      <c r="OYK157" s="250"/>
      <c r="OYL157" s="250"/>
      <c r="OYM157" s="250"/>
      <c r="OYN157" s="250"/>
      <c r="OYO157" s="250"/>
      <c r="OYP157" s="250"/>
      <c r="OYQ157" s="250"/>
      <c r="OYR157" s="250"/>
      <c r="OYS157" s="250"/>
      <c r="OYT157" s="250"/>
      <c r="OYU157" s="250"/>
      <c r="OYV157" s="250"/>
      <c r="OYW157" s="250"/>
      <c r="OYX157" s="250"/>
      <c r="OYY157" s="250"/>
      <c r="OYZ157" s="250"/>
      <c r="OZA157" s="250"/>
      <c r="OZB157" s="250"/>
      <c r="OZC157" s="250"/>
      <c r="OZD157" s="250"/>
      <c r="OZE157" s="250"/>
      <c r="OZF157" s="250"/>
      <c r="OZG157" s="250"/>
      <c r="OZH157" s="250"/>
      <c r="OZI157" s="250"/>
      <c r="OZJ157" s="250"/>
      <c r="OZK157" s="250"/>
      <c r="OZL157" s="250"/>
      <c r="OZM157" s="250"/>
      <c r="OZN157" s="250"/>
      <c r="OZO157" s="250"/>
      <c r="OZP157" s="250"/>
      <c r="OZQ157" s="250"/>
      <c r="OZR157" s="250"/>
      <c r="OZS157" s="250"/>
      <c r="OZT157" s="250"/>
      <c r="OZU157" s="250"/>
      <c r="OZV157" s="250"/>
      <c r="OZW157" s="250"/>
      <c r="OZX157" s="250"/>
      <c r="OZY157" s="250"/>
      <c r="OZZ157" s="250"/>
      <c r="PAA157" s="250"/>
      <c r="PAB157" s="250"/>
      <c r="PAC157" s="250"/>
      <c r="PAD157" s="250"/>
      <c r="PAE157" s="250"/>
      <c r="PAF157" s="250"/>
      <c r="PAG157" s="250"/>
      <c r="PAH157" s="250"/>
      <c r="PAI157" s="250"/>
      <c r="PAJ157" s="250"/>
      <c r="PAK157" s="250"/>
      <c r="PAL157" s="250"/>
      <c r="PAM157" s="250"/>
      <c r="PAN157" s="250"/>
      <c r="PAO157" s="250"/>
      <c r="PAP157" s="250"/>
      <c r="PAQ157" s="250"/>
      <c r="PAR157" s="250"/>
      <c r="PAS157" s="250"/>
      <c r="PAT157" s="250"/>
      <c r="PAU157" s="250"/>
      <c r="PAV157" s="250"/>
      <c r="PAW157" s="250"/>
      <c r="PAX157" s="250"/>
      <c r="PAY157" s="250"/>
      <c r="PAZ157" s="250"/>
      <c r="PBA157" s="250"/>
      <c r="PBB157" s="250"/>
      <c r="PBC157" s="250"/>
      <c r="PBD157" s="250"/>
      <c r="PBE157" s="250"/>
      <c r="PBF157" s="250"/>
      <c r="PBG157" s="250"/>
      <c r="PBH157" s="250"/>
      <c r="PBI157" s="250"/>
      <c r="PBJ157" s="250"/>
      <c r="PBK157" s="250"/>
      <c r="PBL157" s="250"/>
      <c r="PBM157" s="250"/>
      <c r="PBN157" s="250"/>
      <c r="PBO157" s="250"/>
      <c r="PBP157" s="250"/>
      <c r="PBQ157" s="250"/>
      <c r="PBR157" s="250"/>
      <c r="PBS157" s="250"/>
      <c r="PBT157" s="250"/>
      <c r="PBU157" s="250"/>
      <c r="PBV157" s="250"/>
      <c r="PBW157" s="250"/>
      <c r="PBX157" s="250"/>
      <c r="PBY157" s="250"/>
      <c r="PBZ157" s="250"/>
      <c r="PCA157" s="250"/>
      <c r="PCB157" s="250"/>
      <c r="PCC157" s="250"/>
      <c r="PCD157" s="250"/>
      <c r="PCE157" s="250"/>
      <c r="PCF157" s="250"/>
      <c r="PCG157" s="250"/>
      <c r="PCH157" s="250"/>
      <c r="PCI157" s="250"/>
      <c r="PCJ157" s="250"/>
      <c r="PCK157" s="250"/>
      <c r="PCL157" s="250"/>
      <c r="PCM157" s="250"/>
      <c r="PCN157" s="250"/>
      <c r="PCO157" s="250"/>
      <c r="PCP157" s="250"/>
      <c r="PCQ157" s="250"/>
      <c r="PCR157" s="250"/>
      <c r="PCS157" s="250"/>
      <c r="PCT157" s="250"/>
      <c r="PCU157" s="250"/>
      <c r="PCV157" s="250"/>
      <c r="PCW157" s="250"/>
      <c r="PCX157" s="250"/>
      <c r="PCY157" s="250"/>
      <c r="PCZ157" s="250"/>
      <c r="PDA157" s="250"/>
      <c r="PDB157" s="250"/>
      <c r="PDC157" s="250"/>
      <c r="PDD157" s="250"/>
      <c r="PDE157" s="250"/>
      <c r="PDF157" s="250"/>
      <c r="PDG157" s="250"/>
      <c r="PDH157" s="250"/>
      <c r="PDI157" s="250"/>
      <c r="PDJ157" s="250"/>
      <c r="PDK157" s="250"/>
      <c r="PDL157" s="250"/>
      <c r="PDM157" s="250"/>
      <c r="PDN157" s="250"/>
      <c r="PDO157" s="250"/>
      <c r="PDP157" s="250"/>
      <c r="PDQ157" s="250"/>
      <c r="PDR157" s="250"/>
      <c r="PDS157" s="250"/>
      <c r="PDT157" s="250"/>
      <c r="PDU157" s="250"/>
      <c r="PDV157" s="250"/>
      <c r="PDW157" s="250"/>
      <c r="PDX157" s="250"/>
      <c r="PDY157" s="250"/>
      <c r="PDZ157" s="250"/>
      <c r="PEA157" s="250"/>
      <c r="PEB157" s="250"/>
      <c r="PEC157" s="250"/>
      <c r="PED157" s="250"/>
      <c r="PEE157" s="250"/>
      <c r="PEF157" s="250"/>
      <c r="PEG157" s="250"/>
      <c r="PEH157" s="250"/>
      <c r="PEI157" s="250"/>
      <c r="PEJ157" s="250"/>
      <c r="PEK157" s="250"/>
      <c r="PEL157" s="250"/>
      <c r="PEM157" s="250"/>
      <c r="PEN157" s="250"/>
      <c r="PEO157" s="250"/>
      <c r="PEP157" s="250"/>
      <c r="PEQ157" s="250"/>
      <c r="PER157" s="250"/>
      <c r="PES157" s="250"/>
      <c r="PET157" s="250"/>
      <c r="PEU157" s="250"/>
      <c r="PEV157" s="250"/>
      <c r="PEW157" s="250"/>
      <c r="PEX157" s="250"/>
      <c r="PEY157" s="250"/>
      <c r="PEZ157" s="250"/>
      <c r="PFA157" s="250"/>
      <c r="PFB157" s="250"/>
      <c r="PFC157" s="250"/>
      <c r="PFD157" s="250"/>
      <c r="PFE157" s="250"/>
      <c r="PFF157" s="250"/>
      <c r="PFG157" s="250"/>
      <c r="PFH157" s="250"/>
      <c r="PFI157" s="250"/>
      <c r="PFJ157" s="250"/>
      <c r="PFK157" s="250"/>
      <c r="PFL157" s="250"/>
      <c r="PFM157" s="250"/>
      <c r="PFN157" s="250"/>
      <c r="PFO157" s="250"/>
      <c r="PFP157" s="250"/>
      <c r="PFQ157" s="250"/>
      <c r="PFR157" s="250"/>
      <c r="PFS157" s="250"/>
      <c r="PFT157" s="250"/>
      <c r="PFU157" s="250"/>
      <c r="PFV157" s="250"/>
      <c r="PFW157" s="250"/>
      <c r="PFX157" s="250"/>
      <c r="PFY157" s="250"/>
      <c r="PFZ157" s="250"/>
      <c r="PGA157" s="250"/>
      <c r="PGB157" s="250"/>
      <c r="PGC157" s="250"/>
      <c r="PGD157" s="250"/>
      <c r="PGE157" s="250"/>
      <c r="PGF157" s="250"/>
      <c r="PGG157" s="250"/>
      <c r="PGH157" s="250"/>
      <c r="PGI157" s="250"/>
      <c r="PGJ157" s="250"/>
      <c r="PGK157" s="250"/>
      <c r="PGL157" s="250"/>
      <c r="PGM157" s="250"/>
      <c r="PGN157" s="250"/>
      <c r="PGO157" s="250"/>
      <c r="PGP157" s="250"/>
      <c r="PGQ157" s="250"/>
      <c r="PGR157" s="250"/>
      <c r="PGS157" s="250"/>
      <c r="PGT157" s="250"/>
      <c r="PGU157" s="250"/>
      <c r="PGV157" s="250"/>
      <c r="PGW157" s="250"/>
      <c r="PGX157" s="250"/>
      <c r="PGY157" s="250"/>
      <c r="PGZ157" s="250"/>
      <c r="PHA157" s="250"/>
      <c r="PHB157" s="250"/>
      <c r="PHC157" s="250"/>
      <c r="PHD157" s="250"/>
      <c r="PHE157" s="250"/>
      <c r="PHF157" s="250"/>
      <c r="PHG157" s="250"/>
      <c r="PHH157" s="250"/>
      <c r="PHI157" s="250"/>
      <c r="PHJ157" s="250"/>
      <c r="PHK157" s="250"/>
      <c r="PHL157" s="250"/>
      <c r="PHM157" s="250"/>
      <c r="PHN157" s="250"/>
      <c r="PHO157" s="250"/>
      <c r="PHP157" s="250"/>
      <c r="PHQ157" s="250"/>
      <c r="PHR157" s="250"/>
      <c r="PHS157" s="250"/>
      <c r="PHT157" s="250"/>
      <c r="PHU157" s="250"/>
      <c r="PHV157" s="250"/>
      <c r="PHW157" s="250"/>
      <c r="PHX157" s="250"/>
      <c r="PHY157" s="250"/>
      <c r="PHZ157" s="250"/>
      <c r="PIA157" s="250"/>
      <c r="PIB157" s="250"/>
      <c r="PIC157" s="250"/>
      <c r="PID157" s="250"/>
      <c r="PIE157" s="250"/>
      <c r="PIF157" s="250"/>
      <c r="PIG157" s="250"/>
      <c r="PIH157" s="250"/>
      <c r="PII157" s="250"/>
      <c r="PIJ157" s="250"/>
      <c r="PIK157" s="250"/>
      <c r="PIL157" s="250"/>
      <c r="PIM157" s="250"/>
      <c r="PIN157" s="250"/>
      <c r="PIO157" s="250"/>
      <c r="PIP157" s="250"/>
      <c r="PIQ157" s="250"/>
      <c r="PIR157" s="250"/>
      <c r="PIS157" s="250"/>
      <c r="PIT157" s="250"/>
      <c r="PIU157" s="250"/>
      <c r="PIV157" s="250"/>
      <c r="PIW157" s="250"/>
      <c r="PIX157" s="250"/>
      <c r="PIY157" s="250"/>
      <c r="PIZ157" s="250"/>
      <c r="PJA157" s="250"/>
      <c r="PJB157" s="250"/>
      <c r="PJC157" s="250"/>
      <c r="PJD157" s="250"/>
      <c r="PJE157" s="250"/>
      <c r="PJF157" s="250"/>
      <c r="PJG157" s="250"/>
      <c r="PJH157" s="250"/>
      <c r="PJI157" s="250"/>
      <c r="PJJ157" s="250"/>
      <c r="PJK157" s="250"/>
      <c r="PJL157" s="250"/>
      <c r="PJM157" s="250"/>
      <c r="PJN157" s="250"/>
      <c r="PJO157" s="250"/>
      <c r="PJP157" s="250"/>
      <c r="PJQ157" s="250"/>
      <c r="PJR157" s="250"/>
      <c r="PJS157" s="250"/>
      <c r="PJT157" s="250"/>
      <c r="PJU157" s="250"/>
      <c r="PJV157" s="250"/>
      <c r="PJW157" s="250"/>
      <c r="PJX157" s="250"/>
      <c r="PJY157" s="250"/>
      <c r="PJZ157" s="250"/>
      <c r="PKA157" s="250"/>
      <c r="PKB157" s="250"/>
      <c r="PKC157" s="250"/>
      <c r="PKD157" s="250"/>
      <c r="PKE157" s="250"/>
      <c r="PKF157" s="250"/>
      <c r="PKG157" s="250"/>
      <c r="PKH157" s="250"/>
      <c r="PKI157" s="250"/>
      <c r="PKJ157" s="250"/>
      <c r="PKK157" s="250"/>
      <c r="PKL157" s="250"/>
      <c r="PKM157" s="250"/>
      <c r="PKN157" s="250"/>
      <c r="PKO157" s="250"/>
      <c r="PKP157" s="250"/>
      <c r="PKQ157" s="250"/>
      <c r="PKR157" s="250"/>
      <c r="PKS157" s="250"/>
      <c r="PKT157" s="250"/>
      <c r="PKU157" s="250"/>
      <c r="PKV157" s="250"/>
      <c r="PKW157" s="250"/>
      <c r="PKX157" s="250"/>
      <c r="PKY157" s="250"/>
      <c r="PKZ157" s="250"/>
      <c r="PLA157" s="250"/>
      <c r="PLB157" s="250"/>
      <c r="PLC157" s="250"/>
      <c r="PLD157" s="250"/>
      <c r="PLE157" s="250"/>
      <c r="PLF157" s="250"/>
      <c r="PLG157" s="250"/>
      <c r="PLH157" s="250"/>
      <c r="PLI157" s="250"/>
      <c r="PLJ157" s="250"/>
      <c r="PLK157" s="250"/>
      <c r="PLL157" s="250"/>
      <c r="PLM157" s="250"/>
      <c r="PLN157" s="250"/>
      <c r="PLO157" s="250"/>
      <c r="PLP157" s="250"/>
      <c r="PLQ157" s="250"/>
      <c r="PLR157" s="250"/>
      <c r="PLS157" s="250"/>
      <c r="PLT157" s="250"/>
      <c r="PLU157" s="250"/>
      <c r="PLV157" s="250"/>
      <c r="PLW157" s="250"/>
      <c r="PLX157" s="250"/>
      <c r="PLY157" s="250"/>
      <c r="PLZ157" s="250"/>
      <c r="PMA157" s="250"/>
      <c r="PMB157" s="250"/>
      <c r="PMC157" s="250"/>
      <c r="PMD157" s="250"/>
      <c r="PME157" s="250"/>
      <c r="PMF157" s="250"/>
      <c r="PMG157" s="250"/>
      <c r="PMH157" s="250"/>
      <c r="PMI157" s="250"/>
      <c r="PMJ157" s="250"/>
      <c r="PMK157" s="250"/>
      <c r="PML157" s="250"/>
      <c r="PMM157" s="250"/>
      <c r="PMN157" s="250"/>
      <c r="PMO157" s="250"/>
      <c r="PMP157" s="250"/>
      <c r="PMQ157" s="250"/>
      <c r="PMR157" s="250"/>
      <c r="PMS157" s="250"/>
      <c r="PMT157" s="250"/>
      <c r="PMU157" s="250"/>
      <c r="PMV157" s="250"/>
      <c r="PMW157" s="250"/>
      <c r="PMX157" s="250"/>
      <c r="PMY157" s="250"/>
      <c r="PMZ157" s="250"/>
      <c r="PNA157" s="250"/>
      <c r="PNB157" s="250"/>
      <c r="PNC157" s="250"/>
      <c r="PND157" s="250"/>
      <c r="PNE157" s="250"/>
      <c r="PNF157" s="250"/>
      <c r="PNG157" s="250"/>
      <c r="PNH157" s="250"/>
      <c r="PNI157" s="250"/>
      <c r="PNJ157" s="250"/>
      <c r="PNK157" s="250"/>
      <c r="PNL157" s="250"/>
      <c r="PNM157" s="250"/>
      <c r="PNN157" s="250"/>
      <c r="PNO157" s="250"/>
      <c r="PNP157" s="250"/>
      <c r="PNQ157" s="250"/>
      <c r="PNR157" s="250"/>
      <c r="PNS157" s="250"/>
      <c r="PNT157" s="250"/>
      <c r="PNU157" s="250"/>
      <c r="PNV157" s="250"/>
      <c r="PNW157" s="250"/>
      <c r="PNX157" s="250"/>
      <c r="PNY157" s="250"/>
      <c r="PNZ157" s="250"/>
      <c r="POA157" s="250"/>
      <c r="POB157" s="250"/>
      <c r="POC157" s="250"/>
      <c r="POD157" s="250"/>
      <c r="POE157" s="250"/>
      <c r="POF157" s="250"/>
      <c r="POG157" s="250"/>
      <c r="POH157" s="250"/>
      <c r="POI157" s="250"/>
      <c r="POJ157" s="250"/>
      <c r="POK157" s="250"/>
      <c r="POL157" s="250"/>
      <c r="POM157" s="250"/>
      <c r="PON157" s="250"/>
      <c r="POO157" s="250"/>
      <c r="POP157" s="250"/>
      <c r="POQ157" s="250"/>
      <c r="POR157" s="250"/>
      <c r="POS157" s="250"/>
      <c r="POT157" s="250"/>
      <c r="POU157" s="250"/>
      <c r="POV157" s="250"/>
      <c r="POW157" s="250"/>
      <c r="POX157" s="250"/>
      <c r="POY157" s="250"/>
      <c r="POZ157" s="250"/>
      <c r="PPA157" s="250"/>
      <c r="PPB157" s="250"/>
      <c r="PPC157" s="250"/>
      <c r="PPD157" s="250"/>
      <c r="PPE157" s="250"/>
      <c r="PPF157" s="250"/>
      <c r="PPG157" s="250"/>
      <c r="PPH157" s="250"/>
      <c r="PPI157" s="250"/>
      <c r="PPJ157" s="250"/>
      <c r="PPK157" s="250"/>
      <c r="PPL157" s="250"/>
      <c r="PPM157" s="250"/>
      <c r="PPN157" s="250"/>
      <c r="PPO157" s="250"/>
      <c r="PPP157" s="250"/>
      <c r="PPQ157" s="250"/>
      <c r="PPR157" s="250"/>
      <c r="PPS157" s="250"/>
      <c r="PPT157" s="250"/>
      <c r="PPU157" s="250"/>
      <c r="PPV157" s="250"/>
      <c r="PPW157" s="250"/>
      <c r="PPX157" s="250"/>
      <c r="PPY157" s="250"/>
      <c r="PPZ157" s="250"/>
      <c r="PQA157" s="250"/>
      <c r="PQB157" s="250"/>
      <c r="PQC157" s="250"/>
      <c r="PQD157" s="250"/>
      <c r="PQE157" s="250"/>
      <c r="PQF157" s="250"/>
      <c r="PQG157" s="250"/>
      <c r="PQH157" s="250"/>
      <c r="PQI157" s="250"/>
      <c r="PQJ157" s="250"/>
      <c r="PQK157" s="250"/>
      <c r="PQL157" s="250"/>
      <c r="PQM157" s="250"/>
      <c r="PQN157" s="250"/>
      <c r="PQO157" s="250"/>
      <c r="PQP157" s="250"/>
      <c r="PQQ157" s="250"/>
      <c r="PQR157" s="250"/>
      <c r="PQS157" s="250"/>
      <c r="PQT157" s="250"/>
      <c r="PQU157" s="250"/>
      <c r="PQV157" s="250"/>
      <c r="PQW157" s="250"/>
      <c r="PQX157" s="250"/>
      <c r="PQY157" s="250"/>
      <c r="PQZ157" s="250"/>
      <c r="PRA157" s="250"/>
      <c r="PRB157" s="250"/>
      <c r="PRC157" s="250"/>
      <c r="PRD157" s="250"/>
      <c r="PRE157" s="250"/>
      <c r="PRF157" s="250"/>
      <c r="PRG157" s="250"/>
      <c r="PRH157" s="250"/>
      <c r="PRI157" s="250"/>
      <c r="PRJ157" s="250"/>
      <c r="PRK157" s="250"/>
      <c r="PRL157" s="250"/>
      <c r="PRM157" s="250"/>
      <c r="PRN157" s="250"/>
      <c r="PRO157" s="250"/>
      <c r="PRP157" s="250"/>
      <c r="PRQ157" s="250"/>
      <c r="PRR157" s="250"/>
      <c r="PRS157" s="250"/>
      <c r="PRT157" s="250"/>
      <c r="PRU157" s="250"/>
      <c r="PRV157" s="250"/>
      <c r="PRW157" s="250"/>
      <c r="PRX157" s="250"/>
      <c r="PRY157" s="250"/>
      <c r="PRZ157" s="250"/>
      <c r="PSA157" s="250"/>
      <c r="PSB157" s="250"/>
      <c r="PSC157" s="250"/>
      <c r="PSD157" s="250"/>
      <c r="PSE157" s="250"/>
      <c r="PSF157" s="250"/>
      <c r="PSG157" s="250"/>
      <c r="PSH157" s="250"/>
      <c r="PSI157" s="250"/>
      <c r="PSJ157" s="250"/>
      <c r="PSK157" s="250"/>
      <c r="PSL157" s="250"/>
      <c r="PSM157" s="250"/>
      <c r="PSN157" s="250"/>
      <c r="PSO157" s="250"/>
      <c r="PSP157" s="250"/>
      <c r="PSQ157" s="250"/>
      <c r="PSR157" s="250"/>
      <c r="PSS157" s="250"/>
      <c r="PST157" s="250"/>
      <c r="PSU157" s="250"/>
      <c r="PSV157" s="250"/>
      <c r="PSW157" s="250"/>
      <c r="PSX157" s="250"/>
      <c r="PSY157" s="250"/>
      <c r="PSZ157" s="250"/>
      <c r="PTA157" s="250"/>
      <c r="PTB157" s="250"/>
      <c r="PTC157" s="250"/>
      <c r="PTD157" s="250"/>
      <c r="PTE157" s="250"/>
      <c r="PTF157" s="250"/>
      <c r="PTG157" s="250"/>
      <c r="PTH157" s="250"/>
      <c r="PTI157" s="250"/>
      <c r="PTJ157" s="250"/>
      <c r="PTK157" s="250"/>
      <c r="PTL157" s="250"/>
      <c r="PTM157" s="250"/>
      <c r="PTN157" s="250"/>
      <c r="PTO157" s="250"/>
      <c r="PTP157" s="250"/>
      <c r="PTQ157" s="250"/>
      <c r="PTR157" s="250"/>
      <c r="PTS157" s="250"/>
      <c r="PTT157" s="250"/>
      <c r="PTU157" s="250"/>
      <c r="PTV157" s="250"/>
      <c r="PTW157" s="250"/>
      <c r="PTX157" s="250"/>
      <c r="PTY157" s="250"/>
      <c r="PTZ157" s="250"/>
      <c r="PUA157" s="250"/>
      <c r="PUB157" s="250"/>
      <c r="PUC157" s="250"/>
      <c r="PUD157" s="250"/>
      <c r="PUE157" s="250"/>
      <c r="PUF157" s="250"/>
      <c r="PUG157" s="250"/>
      <c r="PUH157" s="250"/>
      <c r="PUI157" s="250"/>
      <c r="PUJ157" s="250"/>
      <c r="PUK157" s="250"/>
      <c r="PUL157" s="250"/>
      <c r="PUM157" s="250"/>
      <c r="PUN157" s="250"/>
      <c r="PUO157" s="250"/>
      <c r="PUP157" s="250"/>
      <c r="PUQ157" s="250"/>
      <c r="PUR157" s="250"/>
      <c r="PUS157" s="250"/>
      <c r="PUT157" s="250"/>
      <c r="PUU157" s="250"/>
      <c r="PUV157" s="250"/>
      <c r="PUW157" s="250"/>
      <c r="PUX157" s="250"/>
      <c r="PUY157" s="250"/>
      <c r="PUZ157" s="250"/>
      <c r="PVA157" s="250"/>
      <c r="PVB157" s="250"/>
      <c r="PVC157" s="250"/>
      <c r="PVD157" s="250"/>
      <c r="PVE157" s="250"/>
      <c r="PVF157" s="250"/>
      <c r="PVG157" s="250"/>
      <c r="PVH157" s="250"/>
      <c r="PVI157" s="250"/>
      <c r="PVJ157" s="250"/>
      <c r="PVK157" s="250"/>
      <c r="PVL157" s="250"/>
      <c r="PVM157" s="250"/>
      <c r="PVN157" s="250"/>
      <c r="PVO157" s="250"/>
      <c r="PVP157" s="250"/>
      <c r="PVQ157" s="250"/>
      <c r="PVR157" s="250"/>
      <c r="PVS157" s="250"/>
      <c r="PVT157" s="250"/>
      <c r="PVU157" s="250"/>
      <c r="PVV157" s="250"/>
      <c r="PVW157" s="250"/>
      <c r="PVX157" s="250"/>
      <c r="PVY157" s="250"/>
      <c r="PVZ157" s="250"/>
      <c r="PWA157" s="250"/>
      <c r="PWB157" s="250"/>
      <c r="PWC157" s="250"/>
      <c r="PWD157" s="250"/>
      <c r="PWE157" s="250"/>
      <c r="PWF157" s="250"/>
      <c r="PWG157" s="250"/>
      <c r="PWH157" s="250"/>
      <c r="PWI157" s="250"/>
      <c r="PWJ157" s="250"/>
      <c r="PWK157" s="250"/>
      <c r="PWL157" s="250"/>
      <c r="PWM157" s="250"/>
      <c r="PWN157" s="250"/>
      <c r="PWO157" s="250"/>
      <c r="PWP157" s="250"/>
      <c r="PWQ157" s="250"/>
      <c r="PWR157" s="250"/>
      <c r="PWS157" s="250"/>
      <c r="PWT157" s="250"/>
      <c r="PWU157" s="250"/>
      <c r="PWV157" s="250"/>
      <c r="PWW157" s="250"/>
      <c r="PWX157" s="250"/>
      <c r="PWY157" s="250"/>
      <c r="PWZ157" s="250"/>
      <c r="PXA157" s="250"/>
      <c r="PXB157" s="250"/>
      <c r="PXC157" s="250"/>
      <c r="PXD157" s="250"/>
      <c r="PXE157" s="250"/>
      <c r="PXF157" s="250"/>
      <c r="PXG157" s="250"/>
      <c r="PXH157" s="250"/>
      <c r="PXI157" s="250"/>
      <c r="PXJ157" s="250"/>
      <c r="PXK157" s="250"/>
      <c r="PXL157" s="250"/>
      <c r="PXM157" s="250"/>
      <c r="PXN157" s="250"/>
      <c r="PXO157" s="250"/>
      <c r="PXP157" s="250"/>
      <c r="PXQ157" s="250"/>
      <c r="PXR157" s="250"/>
      <c r="PXS157" s="250"/>
      <c r="PXT157" s="250"/>
      <c r="PXU157" s="250"/>
      <c r="PXV157" s="250"/>
      <c r="PXW157" s="250"/>
      <c r="PXX157" s="250"/>
      <c r="PXY157" s="250"/>
      <c r="PXZ157" s="250"/>
      <c r="PYA157" s="250"/>
      <c r="PYB157" s="250"/>
      <c r="PYC157" s="250"/>
      <c r="PYD157" s="250"/>
      <c r="PYE157" s="250"/>
      <c r="PYF157" s="250"/>
      <c r="PYG157" s="250"/>
      <c r="PYH157" s="250"/>
      <c r="PYI157" s="250"/>
      <c r="PYJ157" s="250"/>
      <c r="PYK157" s="250"/>
      <c r="PYL157" s="250"/>
      <c r="PYM157" s="250"/>
      <c r="PYN157" s="250"/>
      <c r="PYO157" s="250"/>
      <c r="PYP157" s="250"/>
      <c r="PYQ157" s="250"/>
      <c r="PYR157" s="250"/>
      <c r="PYS157" s="250"/>
      <c r="PYT157" s="250"/>
      <c r="PYU157" s="250"/>
      <c r="PYV157" s="250"/>
      <c r="PYW157" s="250"/>
      <c r="PYX157" s="250"/>
      <c r="PYY157" s="250"/>
      <c r="PYZ157" s="250"/>
      <c r="PZA157" s="250"/>
      <c r="PZB157" s="250"/>
      <c r="PZC157" s="250"/>
      <c r="PZD157" s="250"/>
      <c r="PZE157" s="250"/>
      <c r="PZF157" s="250"/>
      <c r="PZG157" s="250"/>
      <c r="PZH157" s="250"/>
      <c r="PZI157" s="250"/>
      <c r="PZJ157" s="250"/>
      <c r="PZK157" s="250"/>
      <c r="PZL157" s="250"/>
      <c r="PZM157" s="250"/>
      <c r="PZN157" s="250"/>
      <c r="PZO157" s="250"/>
      <c r="PZP157" s="250"/>
      <c r="PZQ157" s="250"/>
      <c r="PZR157" s="250"/>
      <c r="PZS157" s="250"/>
      <c r="PZT157" s="250"/>
      <c r="PZU157" s="250"/>
      <c r="PZV157" s="250"/>
      <c r="PZW157" s="250"/>
      <c r="PZX157" s="250"/>
      <c r="PZY157" s="250"/>
      <c r="PZZ157" s="250"/>
      <c r="QAA157" s="250"/>
      <c r="QAB157" s="250"/>
      <c r="QAC157" s="250"/>
      <c r="QAD157" s="250"/>
      <c r="QAE157" s="250"/>
      <c r="QAF157" s="250"/>
      <c r="QAG157" s="250"/>
      <c r="QAH157" s="250"/>
      <c r="QAI157" s="250"/>
      <c r="QAJ157" s="250"/>
      <c r="QAK157" s="250"/>
      <c r="QAL157" s="250"/>
      <c r="QAM157" s="250"/>
      <c r="QAN157" s="250"/>
      <c r="QAO157" s="250"/>
      <c r="QAP157" s="250"/>
      <c r="QAQ157" s="250"/>
      <c r="QAR157" s="250"/>
      <c r="QAS157" s="250"/>
      <c r="QAT157" s="250"/>
      <c r="QAU157" s="250"/>
      <c r="QAV157" s="250"/>
      <c r="QAW157" s="250"/>
      <c r="QAX157" s="250"/>
      <c r="QAY157" s="250"/>
      <c r="QAZ157" s="250"/>
      <c r="QBA157" s="250"/>
      <c r="QBB157" s="250"/>
      <c r="QBC157" s="250"/>
      <c r="QBD157" s="250"/>
      <c r="QBE157" s="250"/>
      <c r="QBF157" s="250"/>
      <c r="QBG157" s="250"/>
      <c r="QBH157" s="250"/>
      <c r="QBI157" s="250"/>
      <c r="QBJ157" s="250"/>
      <c r="QBK157" s="250"/>
      <c r="QBL157" s="250"/>
      <c r="QBM157" s="250"/>
      <c r="QBN157" s="250"/>
      <c r="QBO157" s="250"/>
      <c r="QBP157" s="250"/>
      <c r="QBQ157" s="250"/>
      <c r="QBR157" s="250"/>
      <c r="QBS157" s="250"/>
      <c r="QBT157" s="250"/>
      <c r="QBU157" s="250"/>
      <c r="QBV157" s="250"/>
      <c r="QBW157" s="250"/>
      <c r="QBX157" s="250"/>
      <c r="QBY157" s="250"/>
      <c r="QBZ157" s="250"/>
      <c r="QCA157" s="250"/>
      <c r="QCB157" s="250"/>
      <c r="QCC157" s="250"/>
      <c r="QCD157" s="250"/>
      <c r="QCE157" s="250"/>
      <c r="QCF157" s="250"/>
      <c r="QCG157" s="250"/>
      <c r="QCH157" s="250"/>
      <c r="QCI157" s="250"/>
      <c r="QCJ157" s="250"/>
      <c r="QCK157" s="250"/>
      <c r="QCL157" s="250"/>
      <c r="QCM157" s="250"/>
      <c r="QCN157" s="250"/>
      <c r="QCO157" s="250"/>
      <c r="QCP157" s="250"/>
      <c r="QCQ157" s="250"/>
      <c r="QCR157" s="250"/>
      <c r="QCS157" s="250"/>
      <c r="QCT157" s="250"/>
      <c r="QCU157" s="250"/>
      <c r="QCV157" s="250"/>
      <c r="QCW157" s="250"/>
      <c r="QCX157" s="250"/>
      <c r="QCY157" s="250"/>
      <c r="QCZ157" s="250"/>
      <c r="QDA157" s="250"/>
      <c r="QDB157" s="250"/>
      <c r="QDC157" s="250"/>
      <c r="QDD157" s="250"/>
      <c r="QDE157" s="250"/>
      <c r="QDF157" s="250"/>
      <c r="QDG157" s="250"/>
      <c r="QDH157" s="250"/>
      <c r="QDI157" s="250"/>
      <c r="QDJ157" s="250"/>
      <c r="QDK157" s="250"/>
      <c r="QDL157" s="250"/>
      <c r="QDM157" s="250"/>
      <c r="QDN157" s="250"/>
      <c r="QDO157" s="250"/>
      <c r="QDP157" s="250"/>
      <c r="QDQ157" s="250"/>
      <c r="QDR157" s="250"/>
      <c r="QDS157" s="250"/>
      <c r="QDT157" s="250"/>
      <c r="QDU157" s="250"/>
      <c r="QDV157" s="250"/>
      <c r="QDW157" s="250"/>
      <c r="QDX157" s="250"/>
      <c r="QDY157" s="250"/>
      <c r="QDZ157" s="250"/>
      <c r="QEA157" s="250"/>
      <c r="QEB157" s="250"/>
      <c r="QEC157" s="250"/>
      <c r="QED157" s="250"/>
      <c r="QEE157" s="250"/>
      <c r="QEF157" s="250"/>
      <c r="QEG157" s="250"/>
      <c r="QEH157" s="250"/>
      <c r="QEI157" s="250"/>
      <c r="QEJ157" s="250"/>
      <c r="QEK157" s="250"/>
      <c r="QEL157" s="250"/>
      <c r="QEM157" s="250"/>
      <c r="QEN157" s="250"/>
      <c r="QEO157" s="250"/>
      <c r="QEP157" s="250"/>
      <c r="QEQ157" s="250"/>
      <c r="QER157" s="250"/>
      <c r="QES157" s="250"/>
      <c r="QET157" s="250"/>
      <c r="QEU157" s="250"/>
      <c r="QEV157" s="250"/>
      <c r="QEW157" s="250"/>
      <c r="QEX157" s="250"/>
      <c r="QEY157" s="250"/>
      <c r="QEZ157" s="250"/>
      <c r="QFA157" s="250"/>
      <c r="QFB157" s="250"/>
      <c r="QFC157" s="250"/>
      <c r="QFD157" s="250"/>
      <c r="QFE157" s="250"/>
      <c r="QFF157" s="250"/>
      <c r="QFG157" s="250"/>
      <c r="QFH157" s="250"/>
      <c r="QFI157" s="250"/>
      <c r="QFJ157" s="250"/>
      <c r="QFK157" s="250"/>
      <c r="QFL157" s="250"/>
      <c r="QFM157" s="250"/>
      <c r="QFN157" s="250"/>
      <c r="QFO157" s="250"/>
      <c r="QFP157" s="250"/>
      <c r="QFQ157" s="250"/>
      <c r="QFR157" s="250"/>
      <c r="QFS157" s="250"/>
      <c r="QFT157" s="250"/>
      <c r="QFU157" s="250"/>
      <c r="QFV157" s="250"/>
      <c r="QFW157" s="250"/>
      <c r="QFX157" s="250"/>
      <c r="QFY157" s="250"/>
      <c r="QFZ157" s="250"/>
      <c r="QGA157" s="250"/>
      <c r="QGB157" s="250"/>
      <c r="QGC157" s="250"/>
      <c r="QGD157" s="250"/>
      <c r="QGE157" s="250"/>
      <c r="QGF157" s="250"/>
      <c r="QGG157" s="250"/>
      <c r="QGH157" s="250"/>
      <c r="QGI157" s="250"/>
      <c r="QGJ157" s="250"/>
      <c r="QGK157" s="250"/>
      <c r="QGL157" s="250"/>
      <c r="QGM157" s="250"/>
      <c r="QGN157" s="250"/>
      <c r="QGO157" s="250"/>
      <c r="QGP157" s="250"/>
      <c r="QGQ157" s="250"/>
      <c r="QGR157" s="250"/>
      <c r="QGS157" s="250"/>
      <c r="QGT157" s="250"/>
      <c r="QGU157" s="250"/>
      <c r="QGV157" s="250"/>
      <c r="QGW157" s="250"/>
      <c r="QGX157" s="250"/>
      <c r="QGY157" s="250"/>
      <c r="QGZ157" s="250"/>
      <c r="QHA157" s="250"/>
      <c r="QHB157" s="250"/>
      <c r="QHC157" s="250"/>
      <c r="QHD157" s="250"/>
      <c r="QHE157" s="250"/>
      <c r="QHF157" s="250"/>
      <c r="QHG157" s="250"/>
      <c r="QHH157" s="250"/>
      <c r="QHI157" s="250"/>
      <c r="QHJ157" s="250"/>
      <c r="QHK157" s="250"/>
      <c r="QHL157" s="250"/>
      <c r="QHM157" s="250"/>
      <c r="QHN157" s="250"/>
      <c r="QHO157" s="250"/>
      <c r="QHP157" s="250"/>
      <c r="QHQ157" s="250"/>
      <c r="QHR157" s="250"/>
      <c r="QHS157" s="250"/>
      <c r="QHT157" s="250"/>
      <c r="QHU157" s="250"/>
      <c r="QHV157" s="250"/>
      <c r="QHW157" s="250"/>
      <c r="QHX157" s="250"/>
      <c r="QHY157" s="250"/>
      <c r="QHZ157" s="250"/>
      <c r="QIA157" s="250"/>
      <c r="QIB157" s="250"/>
      <c r="QIC157" s="250"/>
      <c r="QID157" s="250"/>
      <c r="QIE157" s="250"/>
      <c r="QIF157" s="250"/>
      <c r="QIG157" s="250"/>
      <c r="QIH157" s="250"/>
      <c r="QII157" s="250"/>
      <c r="QIJ157" s="250"/>
      <c r="QIK157" s="250"/>
      <c r="QIL157" s="250"/>
      <c r="QIM157" s="250"/>
      <c r="QIN157" s="250"/>
      <c r="QIO157" s="250"/>
      <c r="QIP157" s="250"/>
      <c r="QIQ157" s="250"/>
      <c r="QIR157" s="250"/>
      <c r="QIS157" s="250"/>
      <c r="QIT157" s="250"/>
      <c r="QIU157" s="250"/>
      <c r="QIV157" s="250"/>
      <c r="QIW157" s="250"/>
      <c r="QIX157" s="250"/>
      <c r="QIY157" s="250"/>
      <c r="QIZ157" s="250"/>
      <c r="QJA157" s="250"/>
      <c r="QJB157" s="250"/>
      <c r="QJC157" s="250"/>
      <c r="QJD157" s="250"/>
      <c r="QJE157" s="250"/>
      <c r="QJF157" s="250"/>
      <c r="QJG157" s="250"/>
      <c r="QJH157" s="250"/>
      <c r="QJI157" s="250"/>
      <c r="QJJ157" s="250"/>
      <c r="QJK157" s="250"/>
      <c r="QJL157" s="250"/>
      <c r="QJM157" s="250"/>
      <c r="QJN157" s="250"/>
      <c r="QJO157" s="250"/>
      <c r="QJP157" s="250"/>
      <c r="QJQ157" s="250"/>
      <c r="QJR157" s="250"/>
      <c r="QJS157" s="250"/>
      <c r="QJT157" s="250"/>
      <c r="QJU157" s="250"/>
      <c r="QJV157" s="250"/>
      <c r="QJW157" s="250"/>
      <c r="QJX157" s="250"/>
      <c r="QJY157" s="250"/>
      <c r="QJZ157" s="250"/>
      <c r="QKA157" s="250"/>
      <c r="QKB157" s="250"/>
      <c r="QKC157" s="250"/>
      <c r="QKD157" s="250"/>
      <c r="QKE157" s="250"/>
      <c r="QKF157" s="250"/>
      <c r="QKG157" s="250"/>
      <c r="QKH157" s="250"/>
      <c r="QKI157" s="250"/>
      <c r="QKJ157" s="250"/>
      <c r="QKK157" s="250"/>
      <c r="QKL157" s="250"/>
      <c r="QKM157" s="250"/>
      <c r="QKN157" s="250"/>
      <c r="QKO157" s="250"/>
      <c r="QKP157" s="250"/>
      <c r="QKQ157" s="250"/>
      <c r="QKR157" s="250"/>
      <c r="QKS157" s="250"/>
      <c r="QKT157" s="250"/>
      <c r="QKU157" s="250"/>
      <c r="QKV157" s="250"/>
      <c r="QKW157" s="250"/>
      <c r="QKX157" s="250"/>
      <c r="QKY157" s="250"/>
      <c r="QKZ157" s="250"/>
      <c r="QLA157" s="250"/>
      <c r="QLB157" s="250"/>
      <c r="QLC157" s="250"/>
      <c r="QLD157" s="250"/>
      <c r="QLE157" s="250"/>
      <c r="QLF157" s="250"/>
      <c r="QLG157" s="250"/>
      <c r="QLH157" s="250"/>
      <c r="QLI157" s="250"/>
      <c r="QLJ157" s="250"/>
      <c r="QLK157" s="250"/>
      <c r="QLL157" s="250"/>
      <c r="QLM157" s="250"/>
      <c r="QLN157" s="250"/>
      <c r="QLO157" s="250"/>
      <c r="QLP157" s="250"/>
      <c r="QLQ157" s="250"/>
      <c r="QLR157" s="250"/>
      <c r="QLS157" s="250"/>
      <c r="QLT157" s="250"/>
      <c r="QLU157" s="250"/>
      <c r="QLV157" s="250"/>
      <c r="QLW157" s="250"/>
      <c r="QLX157" s="250"/>
      <c r="QLY157" s="250"/>
      <c r="QLZ157" s="250"/>
      <c r="QMA157" s="250"/>
      <c r="QMB157" s="250"/>
      <c r="QMC157" s="250"/>
      <c r="QMD157" s="250"/>
      <c r="QME157" s="250"/>
      <c r="QMF157" s="250"/>
      <c r="QMG157" s="250"/>
      <c r="QMH157" s="250"/>
      <c r="QMI157" s="250"/>
      <c r="QMJ157" s="250"/>
      <c r="QMK157" s="250"/>
      <c r="QML157" s="250"/>
      <c r="QMM157" s="250"/>
      <c r="QMN157" s="250"/>
      <c r="QMO157" s="250"/>
      <c r="QMP157" s="250"/>
      <c r="QMQ157" s="250"/>
      <c r="QMR157" s="250"/>
      <c r="QMS157" s="250"/>
      <c r="QMT157" s="250"/>
      <c r="QMU157" s="250"/>
      <c r="QMV157" s="250"/>
      <c r="QMW157" s="250"/>
      <c r="QMX157" s="250"/>
      <c r="QMY157" s="250"/>
      <c r="QMZ157" s="250"/>
      <c r="QNA157" s="250"/>
      <c r="QNB157" s="250"/>
      <c r="QNC157" s="250"/>
      <c r="QND157" s="250"/>
      <c r="QNE157" s="250"/>
      <c r="QNF157" s="250"/>
      <c r="QNG157" s="250"/>
      <c r="QNH157" s="250"/>
      <c r="QNI157" s="250"/>
      <c r="QNJ157" s="250"/>
      <c r="QNK157" s="250"/>
      <c r="QNL157" s="250"/>
      <c r="QNM157" s="250"/>
      <c r="QNN157" s="250"/>
      <c r="QNO157" s="250"/>
      <c r="QNP157" s="250"/>
      <c r="QNQ157" s="250"/>
      <c r="QNR157" s="250"/>
      <c r="QNS157" s="250"/>
      <c r="QNT157" s="250"/>
      <c r="QNU157" s="250"/>
      <c r="QNV157" s="250"/>
      <c r="QNW157" s="250"/>
      <c r="QNX157" s="250"/>
      <c r="QNY157" s="250"/>
      <c r="QNZ157" s="250"/>
      <c r="QOA157" s="250"/>
      <c r="QOB157" s="250"/>
      <c r="QOC157" s="250"/>
      <c r="QOD157" s="250"/>
      <c r="QOE157" s="250"/>
      <c r="QOF157" s="250"/>
      <c r="QOG157" s="250"/>
      <c r="QOH157" s="250"/>
      <c r="QOI157" s="250"/>
      <c r="QOJ157" s="250"/>
      <c r="QOK157" s="250"/>
      <c r="QOL157" s="250"/>
      <c r="QOM157" s="250"/>
      <c r="QON157" s="250"/>
      <c r="QOO157" s="250"/>
      <c r="QOP157" s="250"/>
      <c r="QOQ157" s="250"/>
      <c r="QOR157" s="250"/>
      <c r="QOS157" s="250"/>
      <c r="QOT157" s="250"/>
      <c r="QOU157" s="250"/>
      <c r="QOV157" s="250"/>
      <c r="QOW157" s="250"/>
      <c r="QOX157" s="250"/>
      <c r="QOY157" s="250"/>
      <c r="QOZ157" s="250"/>
      <c r="QPA157" s="250"/>
      <c r="QPB157" s="250"/>
      <c r="QPC157" s="250"/>
      <c r="QPD157" s="250"/>
      <c r="QPE157" s="250"/>
      <c r="QPF157" s="250"/>
      <c r="QPG157" s="250"/>
      <c r="QPH157" s="250"/>
      <c r="QPI157" s="250"/>
      <c r="QPJ157" s="250"/>
      <c r="QPK157" s="250"/>
      <c r="QPL157" s="250"/>
      <c r="QPM157" s="250"/>
      <c r="QPN157" s="250"/>
      <c r="QPO157" s="250"/>
      <c r="QPP157" s="250"/>
      <c r="QPQ157" s="250"/>
      <c r="QPR157" s="250"/>
      <c r="QPS157" s="250"/>
      <c r="QPT157" s="250"/>
      <c r="QPU157" s="250"/>
      <c r="QPV157" s="250"/>
      <c r="QPW157" s="250"/>
      <c r="QPX157" s="250"/>
      <c r="QPY157" s="250"/>
      <c r="QPZ157" s="250"/>
      <c r="QQA157" s="250"/>
      <c r="QQB157" s="250"/>
      <c r="QQC157" s="250"/>
      <c r="QQD157" s="250"/>
      <c r="QQE157" s="250"/>
      <c r="QQF157" s="250"/>
      <c r="QQG157" s="250"/>
      <c r="QQH157" s="250"/>
      <c r="QQI157" s="250"/>
      <c r="QQJ157" s="250"/>
      <c r="QQK157" s="250"/>
      <c r="QQL157" s="250"/>
      <c r="QQM157" s="250"/>
      <c r="QQN157" s="250"/>
      <c r="QQO157" s="250"/>
      <c r="QQP157" s="250"/>
      <c r="QQQ157" s="250"/>
      <c r="QQR157" s="250"/>
      <c r="QQS157" s="250"/>
      <c r="QQT157" s="250"/>
      <c r="QQU157" s="250"/>
      <c r="QQV157" s="250"/>
      <c r="QQW157" s="250"/>
      <c r="QQX157" s="250"/>
      <c r="QQY157" s="250"/>
      <c r="QQZ157" s="250"/>
      <c r="QRA157" s="250"/>
      <c r="QRB157" s="250"/>
      <c r="QRC157" s="250"/>
      <c r="QRD157" s="250"/>
      <c r="QRE157" s="250"/>
      <c r="QRF157" s="250"/>
      <c r="QRG157" s="250"/>
      <c r="QRH157" s="250"/>
      <c r="QRI157" s="250"/>
      <c r="QRJ157" s="250"/>
      <c r="QRK157" s="250"/>
      <c r="QRL157" s="250"/>
      <c r="QRM157" s="250"/>
      <c r="QRN157" s="250"/>
      <c r="QRO157" s="250"/>
      <c r="QRP157" s="250"/>
      <c r="QRQ157" s="250"/>
      <c r="QRR157" s="250"/>
      <c r="QRS157" s="250"/>
      <c r="QRT157" s="250"/>
      <c r="QRU157" s="250"/>
      <c r="QRV157" s="250"/>
      <c r="QRW157" s="250"/>
      <c r="QRX157" s="250"/>
      <c r="QRY157" s="250"/>
      <c r="QRZ157" s="250"/>
      <c r="QSA157" s="250"/>
      <c r="QSB157" s="250"/>
      <c r="QSC157" s="250"/>
      <c r="QSD157" s="250"/>
      <c r="QSE157" s="250"/>
      <c r="QSF157" s="250"/>
      <c r="QSG157" s="250"/>
      <c r="QSH157" s="250"/>
      <c r="QSI157" s="250"/>
      <c r="QSJ157" s="250"/>
      <c r="QSK157" s="250"/>
      <c r="QSL157" s="250"/>
      <c r="QSM157" s="250"/>
      <c r="QSN157" s="250"/>
      <c r="QSO157" s="250"/>
      <c r="QSP157" s="250"/>
      <c r="QSQ157" s="250"/>
      <c r="QSR157" s="250"/>
      <c r="QSS157" s="250"/>
      <c r="QST157" s="250"/>
      <c r="QSU157" s="250"/>
      <c r="QSV157" s="250"/>
      <c r="QSW157" s="250"/>
      <c r="QSX157" s="250"/>
      <c r="QSY157" s="250"/>
      <c r="QSZ157" s="250"/>
      <c r="QTA157" s="250"/>
      <c r="QTB157" s="250"/>
      <c r="QTC157" s="250"/>
      <c r="QTD157" s="250"/>
      <c r="QTE157" s="250"/>
      <c r="QTF157" s="250"/>
      <c r="QTG157" s="250"/>
      <c r="QTH157" s="250"/>
      <c r="QTI157" s="250"/>
      <c r="QTJ157" s="250"/>
      <c r="QTK157" s="250"/>
      <c r="QTL157" s="250"/>
      <c r="QTM157" s="250"/>
      <c r="QTN157" s="250"/>
      <c r="QTO157" s="250"/>
      <c r="QTP157" s="250"/>
      <c r="QTQ157" s="250"/>
      <c r="QTR157" s="250"/>
      <c r="QTS157" s="250"/>
      <c r="QTT157" s="250"/>
      <c r="QTU157" s="250"/>
      <c r="QTV157" s="250"/>
      <c r="QTW157" s="250"/>
      <c r="QTX157" s="250"/>
      <c r="QTY157" s="250"/>
      <c r="QTZ157" s="250"/>
      <c r="QUA157" s="250"/>
      <c r="QUB157" s="250"/>
      <c r="QUC157" s="250"/>
      <c r="QUD157" s="250"/>
      <c r="QUE157" s="250"/>
      <c r="QUF157" s="250"/>
      <c r="QUG157" s="250"/>
      <c r="QUH157" s="250"/>
      <c r="QUI157" s="250"/>
      <c r="QUJ157" s="250"/>
      <c r="QUK157" s="250"/>
      <c r="QUL157" s="250"/>
      <c r="QUM157" s="250"/>
      <c r="QUN157" s="250"/>
      <c r="QUO157" s="250"/>
      <c r="QUP157" s="250"/>
      <c r="QUQ157" s="250"/>
      <c r="QUR157" s="250"/>
      <c r="QUS157" s="250"/>
      <c r="QUT157" s="250"/>
      <c r="QUU157" s="250"/>
      <c r="QUV157" s="250"/>
      <c r="QUW157" s="250"/>
      <c r="QUX157" s="250"/>
      <c r="QUY157" s="250"/>
      <c r="QUZ157" s="250"/>
      <c r="QVA157" s="250"/>
      <c r="QVB157" s="250"/>
      <c r="QVC157" s="250"/>
      <c r="QVD157" s="250"/>
      <c r="QVE157" s="250"/>
      <c r="QVF157" s="250"/>
      <c r="QVG157" s="250"/>
      <c r="QVH157" s="250"/>
      <c r="QVI157" s="250"/>
      <c r="QVJ157" s="250"/>
      <c r="QVK157" s="250"/>
      <c r="QVL157" s="250"/>
      <c r="QVM157" s="250"/>
      <c r="QVN157" s="250"/>
      <c r="QVO157" s="250"/>
      <c r="QVP157" s="250"/>
      <c r="QVQ157" s="250"/>
      <c r="QVR157" s="250"/>
      <c r="QVS157" s="250"/>
      <c r="QVT157" s="250"/>
      <c r="QVU157" s="250"/>
      <c r="QVV157" s="250"/>
      <c r="QVW157" s="250"/>
      <c r="QVX157" s="250"/>
      <c r="QVY157" s="250"/>
      <c r="QVZ157" s="250"/>
      <c r="QWA157" s="250"/>
      <c r="QWB157" s="250"/>
      <c r="QWC157" s="250"/>
      <c r="QWD157" s="250"/>
      <c r="QWE157" s="250"/>
      <c r="QWF157" s="250"/>
      <c r="QWG157" s="250"/>
      <c r="QWH157" s="250"/>
      <c r="QWI157" s="250"/>
      <c r="QWJ157" s="250"/>
      <c r="QWK157" s="250"/>
      <c r="QWL157" s="250"/>
      <c r="QWM157" s="250"/>
      <c r="QWN157" s="250"/>
      <c r="QWO157" s="250"/>
      <c r="QWP157" s="250"/>
      <c r="QWQ157" s="250"/>
      <c r="QWR157" s="250"/>
      <c r="QWS157" s="250"/>
      <c r="QWT157" s="250"/>
      <c r="QWU157" s="250"/>
      <c r="QWV157" s="250"/>
      <c r="QWW157" s="250"/>
      <c r="QWX157" s="250"/>
      <c r="QWY157" s="250"/>
      <c r="QWZ157" s="250"/>
      <c r="QXA157" s="250"/>
      <c r="QXB157" s="250"/>
      <c r="QXC157" s="250"/>
      <c r="QXD157" s="250"/>
      <c r="QXE157" s="250"/>
      <c r="QXF157" s="250"/>
      <c r="QXG157" s="250"/>
      <c r="QXH157" s="250"/>
      <c r="QXI157" s="250"/>
      <c r="QXJ157" s="250"/>
      <c r="QXK157" s="250"/>
      <c r="QXL157" s="250"/>
      <c r="QXM157" s="250"/>
      <c r="QXN157" s="250"/>
      <c r="QXO157" s="250"/>
      <c r="QXP157" s="250"/>
      <c r="QXQ157" s="250"/>
      <c r="QXR157" s="250"/>
      <c r="QXS157" s="250"/>
      <c r="QXT157" s="250"/>
      <c r="QXU157" s="250"/>
      <c r="QXV157" s="250"/>
      <c r="QXW157" s="250"/>
      <c r="QXX157" s="250"/>
      <c r="QXY157" s="250"/>
      <c r="QXZ157" s="250"/>
      <c r="QYA157" s="250"/>
      <c r="QYB157" s="250"/>
      <c r="QYC157" s="250"/>
      <c r="QYD157" s="250"/>
      <c r="QYE157" s="250"/>
      <c r="QYF157" s="250"/>
      <c r="QYG157" s="250"/>
      <c r="QYH157" s="250"/>
      <c r="QYI157" s="250"/>
      <c r="QYJ157" s="250"/>
      <c r="QYK157" s="250"/>
      <c r="QYL157" s="250"/>
      <c r="QYM157" s="250"/>
      <c r="QYN157" s="250"/>
      <c r="QYO157" s="250"/>
      <c r="QYP157" s="250"/>
      <c r="QYQ157" s="250"/>
      <c r="QYR157" s="250"/>
      <c r="QYS157" s="250"/>
      <c r="QYT157" s="250"/>
      <c r="QYU157" s="250"/>
      <c r="QYV157" s="250"/>
      <c r="QYW157" s="250"/>
      <c r="QYX157" s="250"/>
      <c r="QYY157" s="250"/>
      <c r="QYZ157" s="250"/>
      <c r="QZA157" s="250"/>
      <c r="QZB157" s="250"/>
      <c r="QZC157" s="250"/>
      <c r="QZD157" s="250"/>
      <c r="QZE157" s="250"/>
      <c r="QZF157" s="250"/>
      <c r="QZG157" s="250"/>
      <c r="QZH157" s="250"/>
      <c r="QZI157" s="250"/>
      <c r="QZJ157" s="250"/>
      <c r="QZK157" s="250"/>
      <c r="QZL157" s="250"/>
      <c r="QZM157" s="250"/>
      <c r="QZN157" s="250"/>
      <c r="QZO157" s="250"/>
      <c r="QZP157" s="250"/>
      <c r="QZQ157" s="250"/>
      <c r="QZR157" s="250"/>
      <c r="QZS157" s="250"/>
      <c r="QZT157" s="250"/>
      <c r="QZU157" s="250"/>
      <c r="QZV157" s="250"/>
      <c r="QZW157" s="250"/>
      <c r="QZX157" s="250"/>
      <c r="QZY157" s="250"/>
      <c r="QZZ157" s="250"/>
      <c r="RAA157" s="250"/>
      <c r="RAB157" s="250"/>
      <c r="RAC157" s="250"/>
      <c r="RAD157" s="250"/>
      <c r="RAE157" s="250"/>
      <c r="RAF157" s="250"/>
      <c r="RAG157" s="250"/>
      <c r="RAH157" s="250"/>
      <c r="RAI157" s="250"/>
      <c r="RAJ157" s="250"/>
      <c r="RAK157" s="250"/>
      <c r="RAL157" s="250"/>
      <c r="RAM157" s="250"/>
      <c r="RAN157" s="250"/>
      <c r="RAO157" s="250"/>
      <c r="RAP157" s="250"/>
      <c r="RAQ157" s="250"/>
      <c r="RAR157" s="250"/>
      <c r="RAS157" s="250"/>
      <c r="RAT157" s="250"/>
      <c r="RAU157" s="250"/>
      <c r="RAV157" s="250"/>
      <c r="RAW157" s="250"/>
      <c r="RAX157" s="250"/>
      <c r="RAY157" s="250"/>
      <c r="RAZ157" s="250"/>
      <c r="RBA157" s="250"/>
      <c r="RBB157" s="250"/>
      <c r="RBC157" s="250"/>
      <c r="RBD157" s="250"/>
      <c r="RBE157" s="250"/>
      <c r="RBF157" s="250"/>
      <c r="RBG157" s="250"/>
      <c r="RBH157" s="250"/>
      <c r="RBI157" s="250"/>
      <c r="RBJ157" s="250"/>
      <c r="RBK157" s="250"/>
      <c r="RBL157" s="250"/>
      <c r="RBM157" s="250"/>
      <c r="RBN157" s="250"/>
      <c r="RBO157" s="250"/>
      <c r="RBP157" s="250"/>
      <c r="RBQ157" s="250"/>
      <c r="RBR157" s="250"/>
      <c r="RBS157" s="250"/>
      <c r="RBT157" s="250"/>
      <c r="RBU157" s="250"/>
      <c r="RBV157" s="250"/>
      <c r="RBW157" s="250"/>
      <c r="RBX157" s="250"/>
      <c r="RBY157" s="250"/>
      <c r="RBZ157" s="250"/>
      <c r="RCA157" s="250"/>
      <c r="RCB157" s="250"/>
      <c r="RCC157" s="250"/>
      <c r="RCD157" s="250"/>
      <c r="RCE157" s="250"/>
      <c r="RCF157" s="250"/>
      <c r="RCG157" s="250"/>
      <c r="RCH157" s="250"/>
      <c r="RCI157" s="250"/>
      <c r="RCJ157" s="250"/>
      <c r="RCK157" s="250"/>
      <c r="RCL157" s="250"/>
      <c r="RCM157" s="250"/>
      <c r="RCN157" s="250"/>
      <c r="RCO157" s="250"/>
      <c r="RCP157" s="250"/>
      <c r="RCQ157" s="250"/>
      <c r="RCR157" s="250"/>
      <c r="RCS157" s="250"/>
      <c r="RCT157" s="250"/>
      <c r="RCU157" s="250"/>
      <c r="RCV157" s="250"/>
      <c r="RCW157" s="250"/>
      <c r="RCX157" s="250"/>
      <c r="RCY157" s="250"/>
      <c r="RCZ157" s="250"/>
      <c r="RDA157" s="250"/>
      <c r="RDB157" s="250"/>
      <c r="RDC157" s="250"/>
      <c r="RDD157" s="250"/>
      <c r="RDE157" s="250"/>
      <c r="RDF157" s="250"/>
      <c r="RDG157" s="250"/>
      <c r="RDH157" s="250"/>
      <c r="RDI157" s="250"/>
      <c r="RDJ157" s="250"/>
      <c r="RDK157" s="250"/>
      <c r="RDL157" s="250"/>
      <c r="RDM157" s="250"/>
      <c r="RDN157" s="250"/>
      <c r="RDO157" s="250"/>
      <c r="RDP157" s="250"/>
      <c r="RDQ157" s="250"/>
      <c r="RDR157" s="250"/>
      <c r="RDS157" s="250"/>
      <c r="RDT157" s="250"/>
      <c r="RDU157" s="250"/>
      <c r="RDV157" s="250"/>
      <c r="RDW157" s="250"/>
      <c r="RDX157" s="250"/>
      <c r="RDY157" s="250"/>
      <c r="RDZ157" s="250"/>
      <c r="REA157" s="250"/>
      <c r="REB157" s="250"/>
      <c r="REC157" s="250"/>
      <c r="RED157" s="250"/>
      <c r="REE157" s="250"/>
      <c r="REF157" s="250"/>
      <c r="REG157" s="250"/>
      <c r="REH157" s="250"/>
      <c r="REI157" s="250"/>
      <c r="REJ157" s="250"/>
      <c r="REK157" s="250"/>
      <c r="REL157" s="250"/>
      <c r="REM157" s="250"/>
      <c r="REN157" s="250"/>
      <c r="REO157" s="250"/>
      <c r="REP157" s="250"/>
      <c r="REQ157" s="250"/>
      <c r="RER157" s="250"/>
      <c r="RES157" s="250"/>
      <c r="RET157" s="250"/>
      <c r="REU157" s="250"/>
      <c r="REV157" s="250"/>
      <c r="REW157" s="250"/>
      <c r="REX157" s="250"/>
      <c r="REY157" s="250"/>
      <c r="REZ157" s="250"/>
      <c r="RFA157" s="250"/>
      <c r="RFB157" s="250"/>
      <c r="RFC157" s="250"/>
      <c r="RFD157" s="250"/>
      <c r="RFE157" s="250"/>
      <c r="RFF157" s="250"/>
      <c r="RFG157" s="250"/>
      <c r="RFH157" s="250"/>
      <c r="RFI157" s="250"/>
      <c r="RFJ157" s="250"/>
      <c r="RFK157" s="250"/>
      <c r="RFL157" s="250"/>
      <c r="RFM157" s="250"/>
      <c r="RFN157" s="250"/>
      <c r="RFO157" s="250"/>
      <c r="RFP157" s="250"/>
      <c r="RFQ157" s="250"/>
      <c r="RFR157" s="250"/>
      <c r="RFS157" s="250"/>
      <c r="RFT157" s="250"/>
      <c r="RFU157" s="250"/>
      <c r="RFV157" s="250"/>
      <c r="RFW157" s="250"/>
      <c r="RFX157" s="250"/>
      <c r="RFY157" s="250"/>
      <c r="RFZ157" s="250"/>
      <c r="RGA157" s="250"/>
      <c r="RGB157" s="250"/>
      <c r="RGC157" s="250"/>
      <c r="RGD157" s="250"/>
      <c r="RGE157" s="250"/>
      <c r="RGF157" s="250"/>
      <c r="RGG157" s="250"/>
      <c r="RGH157" s="250"/>
      <c r="RGI157" s="250"/>
      <c r="RGJ157" s="250"/>
      <c r="RGK157" s="250"/>
      <c r="RGL157" s="250"/>
      <c r="RGM157" s="250"/>
      <c r="RGN157" s="250"/>
      <c r="RGO157" s="250"/>
      <c r="RGP157" s="250"/>
      <c r="RGQ157" s="250"/>
      <c r="RGR157" s="250"/>
      <c r="RGS157" s="250"/>
      <c r="RGT157" s="250"/>
      <c r="RGU157" s="250"/>
      <c r="RGV157" s="250"/>
      <c r="RGW157" s="250"/>
      <c r="RGX157" s="250"/>
      <c r="RGY157" s="250"/>
      <c r="RGZ157" s="250"/>
      <c r="RHA157" s="250"/>
      <c r="RHB157" s="250"/>
      <c r="RHC157" s="250"/>
      <c r="RHD157" s="250"/>
      <c r="RHE157" s="250"/>
      <c r="RHF157" s="250"/>
      <c r="RHG157" s="250"/>
      <c r="RHH157" s="250"/>
      <c r="RHI157" s="250"/>
      <c r="RHJ157" s="250"/>
      <c r="RHK157" s="250"/>
      <c r="RHL157" s="250"/>
      <c r="RHM157" s="250"/>
      <c r="RHN157" s="250"/>
      <c r="RHO157" s="250"/>
      <c r="RHP157" s="250"/>
      <c r="RHQ157" s="250"/>
      <c r="RHR157" s="250"/>
      <c r="RHS157" s="250"/>
      <c r="RHT157" s="250"/>
      <c r="RHU157" s="250"/>
      <c r="RHV157" s="250"/>
      <c r="RHW157" s="250"/>
      <c r="RHX157" s="250"/>
      <c r="RHY157" s="250"/>
      <c r="RHZ157" s="250"/>
      <c r="RIA157" s="250"/>
      <c r="RIB157" s="250"/>
      <c r="RIC157" s="250"/>
      <c r="RID157" s="250"/>
      <c r="RIE157" s="250"/>
      <c r="RIF157" s="250"/>
      <c r="RIG157" s="250"/>
      <c r="RIH157" s="250"/>
      <c r="RII157" s="250"/>
      <c r="RIJ157" s="250"/>
      <c r="RIK157" s="250"/>
      <c r="RIL157" s="250"/>
      <c r="RIM157" s="250"/>
      <c r="RIN157" s="250"/>
      <c r="RIO157" s="250"/>
      <c r="RIP157" s="250"/>
      <c r="RIQ157" s="250"/>
      <c r="RIR157" s="250"/>
      <c r="RIS157" s="250"/>
      <c r="RIT157" s="250"/>
      <c r="RIU157" s="250"/>
      <c r="RIV157" s="250"/>
      <c r="RIW157" s="250"/>
      <c r="RIX157" s="250"/>
      <c r="RIY157" s="250"/>
      <c r="RIZ157" s="250"/>
      <c r="RJA157" s="250"/>
      <c r="RJB157" s="250"/>
      <c r="RJC157" s="250"/>
      <c r="RJD157" s="250"/>
      <c r="RJE157" s="250"/>
      <c r="RJF157" s="250"/>
      <c r="RJG157" s="250"/>
      <c r="RJH157" s="250"/>
      <c r="RJI157" s="250"/>
      <c r="RJJ157" s="250"/>
      <c r="RJK157" s="250"/>
      <c r="RJL157" s="250"/>
      <c r="RJM157" s="250"/>
      <c r="RJN157" s="250"/>
      <c r="RJO157" s="250"/>
      <c r="RJP157" s="250"/>
      <c r="RJQ157" s="250"/>
      <c r="RJR157" s="250"/>
      <c r="RJS157" s="250"/>
      <c r="RJT157" s="250"/>
      <c r="RJU157" s="250"/>
      <c r="RJV157" s="250"/>
      <c r="RJW157" s="250"/>
      <c r="RJX157" s="250"/>
      <c r="RJY157" s="250"/>
      <c r="RJZ157" s="250"/>
      <c r="RKA157" s="250"/>
      <c r="RKB157" s="250"/>
      <c r="RKC157" s="250"/>
      <c r="RKD157" s="250"/>
      <c r="RKE157" s="250"/>
      <c r="RKF157" s="250"/>
      <c r="RKG157" s="250"/>
      <c r="RKH157" s="250"/>
      <c r="RKI157" s="250"/>
      <c r="RKJ157" s="250"/>
      <c r="RKK157" s="250"/>
      <c r="RKL157" s="250"/>
      <c r="RKM157" s="250"/>
      <c r="RKN157" s="250"/>
      <c r="RKO157" s="250"/>
      <c r="RKP157" s="250"/>
      <c r="RKQ157" s="250"/>
      <c r="RKR157" s="250"/>
      <c r="RKS157" s="250"/>
      <c r="RKT157" s="250"/>
      <c r="RKU157" s="250"/>
      <c r="RKV157" s="250"/>
      <c r="RKW157" s="250"/>
      <c r="RKX157" s="250"/>
      <c r="RKY157" s="250"/>
      <c r="RKZ157" s="250"/>
      <c r="RLA157" s="250"/>
      <c r="RLB157" s="250"/>
      <c r="RLC157" s="250"/>
      <c r="RLD157" s="250"/>
      <c r="RLE157" s="250"/>
      <c r="RLF157" s="250"/>
      <c r="RLG157" s="250"/>
      <c r="RLH157" s="250"/>
      <c r="RLI157" s="250"/>
      <c r="RLJ157" s="250"/>
      <c r="RLK157" s="250"/>
      <c r="RLL157" s="250"/>
      <c r="RLM157" s="250"/>
      <c r="RLN157" s="250"/>
      <c r="RLO157" s="250"/>
      <c r="RLP157" s="250"/>
      <c r="RLQ157" s="250"/>
      <c r="RLR157" s="250"/>
      <c r="RLS157" s="250"/>
      <c r="RLT157" s="250"/>
      <c r="RLU157" s="250"/>
      <c r="RLV157" s="250"/>
      <c r="RLW157" s="250"/>
      <c r="RLX157" s="250"/>
      <c r="RLY157" s="250"/>
      <c r="RLZ157" s="250"/>
      <c r="RMA157" s="250"/>
      <c r="RMB157" s="250"/>
      <c r="RMC157" s="250"/>
      <c r="RMD157" s="250"/>
      <c r="RME157" s="250"/>
      <c r="RMF157" s="250"/>
      <c r="RMG157" s="250"/>
      <c r="RMH157" s="250"/>
      <c r="RMI157" s="250"/>
      <c r="RMJ157" s="250"/>
      <c r="RMK157" s="250"/>
      <c r="RML157" s="250"/>
      <c r="RMM157" s="250"/>
      <c r="RMN157" s="250"/>
      <c r="RMO157" s="250"/>
      <c r="RMP157" s="250"/>
      <c r="RMQ157" s="250"/>
      <c r="RMR157" s="250"/>
      <c r="RMS157" s="250"/>
      <c r="RMT157" s="250"/>
      <c r="RMU157" s="250"/>
      <c r="RMV157" s="250"/>
      <c r="RMW157" s="250"/>
      <c r="RMX157" s="250"/>
      <c r="RMY157" s="250"/>
      <c r="RMZ157" s="250"/>
      <c r="RNA157" s="250"/>
      <c r="RNB157" s="250"/>
      <c r="RNC157" s="250"/>
      <c r="RND157" s="250"/>
      <c r="RNE157" s="250"/>
      <c r="RNF157" s="250"/>
      <c r="RNG157" s="250"/>
      <c r="RNH157" s="250"/>
      <c r="RNI157" s="250"/>
      <c r="RNJ157" s="250"/>
      <c r="RNK157" s="250"/>
      <c r="RNL157" s="250"/>
      <c r="RNM157" s="250"/>
      <c r="RNN157" s="250"/>
      <c r="RNO157" s="250"/>
      <c r="RNP157" s="250"/>
      <c r="RNQ157" s="250"/>
      <c r="RNR157" s="250"/>
      <c r="RNS157" s="250"/>
      <c r="RNT157" s="250"/>
      <c r="RNU157" s="250"/>
      <c r="RNV157" s="250"/>
      <c r="RNW157" s="250"/>
      <c r="RNX157" s="250"/>
      <c r="RNY157" s="250"/>
      <c r="RNZ157" s="250"/>
      <c r="ROA157" s="250"/>
      <c r="ROB157" s="250"/>
      <c r="ROC157" s="250"/>
      <c r="ROD157" s="250"/>
      <c r="ROE157" s="250"/>
      <c r="ROF157" s="250"/>
      <c r="ROG157" s="250"/>
      <c r="ROH157" s="250"/>
      <c r="ROI157" s="250"/>
      <c r="ROJ157" s="250"/>
      <c r="ROK157" s="250"/>
      <c r="ROL157" s="250"/>
      <c r="ROM157" s="250"/>
      <c r="RON157" s="250"/>
      <c r="ROO157" s="250"/>
      <c r="ROP157" s="250"/>
      <c r="ROQ157" s="250"/>
      <c r="ROR157" s="250"/>
      <c r="ROS157" s="250"/>
      <c r="ROT157" s="250"/>
      <c r="ROU157" s="250"/>
      <c r="ROV157" s="250"/>
      <c r="ROW157" s="250"/>
      <c r="ROX157" s="250"/>
      <c r="ROY157" s="250"/>
      <c r="ROZ157" s="250"/>
      <c r="RPA157" s="250"/>
      <c r="RPB157" s="250"/>
      <c r="RPC157" s="250"/>
      <c r="RPD157" s="250"/>
      <c r="RPE157" s="250"/>
      <c r="RPF157" s="250"/>
      <c r="RPG157" s="250"/>
      <c r="RPH157" s="250"/>
      <c r="RPI157" s="250"/>
      <c r="RPJ157" s="250"/>
      <c r="RPK157" s="250"/>
      <c r="RPL157" s="250"/>
      <c r="RPM157" s="250"/>
      <c r="RPN157" s="250"/>
      <c r="RPO157" s="250"/>
      <c r="RPP157" s="250"/>
      <c r="RPQ157" s="250"/>
      <c r="RPR157" s="250"/>
      <c r="RPS157" s="250"/>
      <c r="RPT157" s="250"/>
      <c r="RPU157" s="250"/>
      <c r="RPV157" s="250"/>
      <c r="RPW157" s="250"/>
      <c r="RPX157" s="250"/>
      <c r="RPY157" s="250"/>
      <c r="RPZ157" s="250"/>
      <c r="RQA157" s="250"/>
      <c r="RQB157" s="250"/>
      <c r="RQC157" s="250"/>
      <c r="RQD157" s="250"/>
      <c r="RQE157" s="250"/>
      <c r="RQF157" s="250"/>
      <c r="RQG157" s="250"/>
      <c r="RQH157" s="250"/>
      <c r="RQI157" s="250"/>
      <c r="RQJ157" s="250"/>
      <c r="RQK157" s="250"/>
      <c r="RQL157" s="250"/>
      <c r="RQM157" s="250"/>
      <c r="RQN157" s="250"/>
      <c r="RQO157" s="250"/>
      <c r="RQP157" s="250"/>
      <c r="RQQ157" s="250"/>
      <c r="RQR157" s="250"/>
      <c r="RQS157" s="250"/>
      <c r="RQT157" s="250"/>
      <c r="RQU157" s="250"/>
      <c r="RQV157" s="250"/>
      <c r="RQW157" s="250"/>
      <c r="RQX157" s="250"/>
      <c r="RQY157" s="250"/>
      <c r="RQZ157" s="250"/>
      <c r="RRA157" s="250"/>
      <c r="RRB157" s="250"/>
      <c r="RRC157" s="250"/>
      <c r="RRD157" s="250"/>
      <c r="RRE157" s="250"/>
      <c r="RRF157" s="250"/>
      <c r="RRG157" s="250"/>
      <c r="RRH157" s="250"/>
      <c r="RRI157" s="250"/>
      <c r="RRJ157" s="250"/>
      <c r="RRK157" s="250"/>
      <c r="RRL157" s="250"/>
      <c r="RRM157" s="250"/>
      <c r="RRN157" s="250"/>
      <c r="RRO157" s="250"/>
      <c r="RRP157" s="250"/>
      <c r="RRQ157" s="250"/>
      <c r="RRR157" s="250"/>
      <c r="RRS157" s="250"/>
      <c r="RRT157" s="250"/>
      <c r="RRU157" s="250"/>
      <c r="RRV157" s="250"/>
      <c r="RRW157" s="250"/>
      <c r="RRX157" s="250"/>
      <c r="RRY157" s="250"/>
      <c r="RRZ157" s="250"/>
      <c r="RSA157" s="250"/>
      <c r="RSB157" s="250"/>
      <c r="RSC157" s="250"/>
      <c r="RSD157" s="250"/>
      <c r="RSE157" s="250"/>
      <c r="RSF157" s="250"/>
      <c r="RSG157" s="250"/>
      <c r="RSH157" s="250"/>
      <c r="RSI157" s="250"/>
      <c r="RSJ157" s="250"/>
      <c r="RSK157" s="250"/>
      <c r="RSL157" s="250"/>
      <c r="RSM157" s="250"/>
      <c r="RSN157" s="250"/>
      <c r="RSO157" s="250"/>
      <c r="RSP157" s="250"/>
      <c r="RSQ157" s="250"/>
      <c r="RSR157" s="250"/>
      <c r="RSS157" s="250"/>
      <c r="RST157" s="250"/>
      <c r="RSU157" s="250"/>
      <c r="RSV157" s="250"/>
      <c r="RSW157" s="250"/>
      <c r="RSX157" s="250"/>
      <c r="RSY157" s="250"/>
      <c r="RSZ157" s="250"/>
      <c r="RTA157" s="250"/>
      <c r="RTB157" s="250"/>
      <c r="RTC157" s="250"/>
      <c r="RTD157" s="250"/>
      <c r="RTE157" s="250"/>
      <c r="RTF157" s="250"/>
      <c r="RTG157" s="250"/>
      <c r="RTH157" s="250"/>
      <c r="RTI157" s="250"/>
      <c r="RTJ157" s="250"/>
      <c r="RTK157" s="250"/>
      <c r="RTL157" s="250"/>
      <c r="RTM157" s="250"/>
      <c r="RTN157" s="250"/>
      <c r="RTO157" s="250"/>
      <c r="RTP157" s="250"/>
      <c r="RTQ157" s="250"/>
      <c r="RTR157" s="250"/>
      <c r="RTS157" s="250"/>
      <c r="RTT157" s="250"/>
      <c r="RTU157" s="250"/>
      <c r="RTV157" s="250"/>
      <c r="RTW157" s="250"/>
      <c r="RTX157" s="250"/>
      <c r="RTY157" s="250"/>
      <c r="RTZ157" s="250"/>
      <c r="RUA157" s="250"/>
      <c r="RUB157" s="250"/>
      <c r="RUC157" s="250"/>
      <c r="RUD157" s="250"/>
      <c r="RUE157" s="250"/>
      <c r="RUF157" s="250"/>
      <c r="RUG157" s="250"/>
      <c r="RUH157" s="250"/>
      <c r="RUI157" s="250"/>
      <c r="RUJ157" s="250"/>
      <c r="RUK157" s="250"/>
      <c r="RUL157" s="250"/>
      <c r="RUM157" s="250"/>
      <c r="RUN157" s="250"/>
      <c r="RUO157" s="250"/>
      <c r="RUP157" s="250"/>
      <c r="RUQ157" s="250"/>
      <c r="RUR157" s="250"/>
      <c r="RUS157" s="250"/>
      <c r="RUT157" s="250"/>
      <c r="RUU157" s="250"/>
      <c r="RUV157" s="250"/>
      <c r="RUW157" s="250"/>
      <c r="RUX157" s="250"/>
      <c r="RUY157" s="250"/>
      <c r="RUZ157" s="250"/>
      <c r="RVA157" s="250"/>
      <c r="RVB157" s="250"/>
      <c r="RVC157" s="250"/>
      <c r="RVD157" s="250"/>
      <c r="RVE157" s="250"/>
      <c r="RVF157" s="250"/>
      <c r="RVG157" s="250"/>
      <c r="RVH157" s="250"/>
      <c r="RVI157" s="250"/>
      <c r="RVJ157" s="250"/>
      <c r="RVK157" s="250"/>
      <c r="RVL157" s="250"/>
      <c r="RVM157" s="250"/>
      <c r="RVN157" s="250"/>
      <c r="RVO157" s="250"/>
      <c r="RVP157" s="250"/>
      <c r="RVQ157" s="250"/>
      <c r="RVR157" s="250"/>
      <c r="RVS157" s="250"/>
      <c r="RVT157" s="250"/>
      <c r="RVU157" s="250"/>
      <c r="RVV157" s="250"/>
      <c r="RVW157" s="250"/>
      <c r="RVX157" s="250"/>
      <c r="RVY157" s="250"/>
      <c r="RVZ157" s="250"/>
      <c r="RWA157" s="250"/>
      <c r="RWB157" s="250"/>
      <c r="RWC157" s="250"/>
      <c r="RWD157" s="250"/>
      <c r="RWE157" s="250"/>
      <c r="RWF157" s="250"/>
      <c r="RWG157" s="250"/>
      <c r="RWH157" s="250"/>
      <c r="RWI157" s="250"/>
      <c r="RWJ157" s="250"/>
      <c r="RWK157" s="250"/>
      <c r="RWL157" s="250"/>
      <c r="RWM157" s="250"/>
      <c r="RWN157" s="250"/>
      <c r="RWO157" s="250"/>
      <c r="RWP157" s="250"/>
      <c r="RWQ157" s="250"/>
      <c r="RWR157" s="250"/>
      <c r="RWS157" s="250"/>
      <c r="RWT157" s="250"/>
      <c r="RWU157" s="250"/>
      <c r="RWV157" s="250"/>
      <c r="RWW157" s="250"/>
      <c r="RWX157" s="250"/>
      <c r="RWY157" s="250"/>
      <c r="RWZ157" s="250"/>
      <c r="RXA157" s="250"/>
      <c r="RXB157" s="250"/>
      <c r="RXC157" s="250"/>
      <c r="RXD157" s="250"/>
      <c r="RXE157" s="250"/>
      <c r="RXF157" s="250"/>
      <c r="RXG157" s="250"/>
      <c r="RXH157" s="250"/>
      <c r="RXI157" s="250"/>
      <c r="RXJ157" s="250"/>
      <c r="RXK157" s="250"/>
      <c r="RXL157" s="250"/>
      <c r="RXM157" s="250"/>
      <c r="RXN157" s="250"/>
      <c r="RXO157" s="250"/>
      <c r="RXP157" s="250"/>
      <c r="RXQ157" s="250"/>
      <c r="RXR157" s="250"/>
      <c r="RXS157" s="250"/>
      <c r="RXT157" s="250"/>
      <c r="RXU157" s="250"/>
      <c r="RXV157" s="250"/>
      <c r="RXW157" s="250"/>
      <c r="RXX157" s="250"/>
      <c r="RXY157" s="250"/>
      <c r="RXZ157" s="250"/>
      <c r="RYA157" s="250"/>
      <c r="RYB157" s="250"/>
      <c r="RYC157" s="250"/>
      <c r="RYD157" s="250"/>
      <c r="RYE157" s="250"/>
      <c r="RYF157" s="250"/>
      <c r="RYG157" s="250"/>
      <c r="RYH157" s="250"/>
      <c r="RYI157" s="250"/>
      <c r="RYJ157" s="250"/>
      <c r="RYK157" s="250"/>
      <c r="RYL157" s="250"/>
      <c r="RYM157" s="250"/>
      <c r="RYN157" s="250"/>
      <c r="RYO157" s="250"/>
      <c r="RYP157" s="250"/>
      <c r="RYQ157" s="250"/>
      <c r="RYR157" s="250"/>
      <c r="RYS157" s="250"/>
      <c r="RYT157" s="250"/>
      <c r="RYU157" s="250"/>
      <c r="RYV157" s="250"/>
      <c r="RYW157" s="250"/>
      <c r="RYX157" s="250"/>
      <c r="RYY157" s="250"/>
      <c r="RYZ157" s="250"/>
      <c r="RZA157" s="250"/>
      <c r="RZB157" s="250"/>
      <c r="RZC157" s="250"/>
      <c r="RZD157" s="250"/>
      <c r="RZE157" s="250"/>
      <c r="RZF157" s="250"/>
      <c r="RZG157" s="250"/>
      <c r="RZH157" s="250"/>
      <c r="RZI157" s="250"/>
      <c r="RZJ157" s="250"/>
      <c r="RZK157" s="250"/>
      <c r="RZL157" s="250"/>
      <c r="RZM157" s="250"/>
      <c r="RZN157" s="250"/>
      <c r="RZO157" s="250"/>
      <c r="RZP157" s="250"/>
      <c r="RZQ157" s="250"/>
      <c r="RZR157" s="250"/>
      <c r="RZS157" s="250"/>
      <c r="RZT157" s="250"/>
      <c r="RZU157" s="250"/>
      <c r="RZV157" s="250"/>
      <c r="RZW157" s="250"/>
      <c r="RZX157" s="250"/>
      <c r="RZY157" s="250"/>
      <c r="RZZ157" s="250"/>
      <c r="SAA157" s="250"/>
      <c r="SAB157" s="250"/>
      <c r="SAC157" s="250"/>
      <c r="SAD157" s="250"/>
      <c r="SAE157" s="250"/>
      <c r="SAF157" s="250"/>
      <c r="SAG157" s="250"/>
      <c r="SAH157" s="250"/>
      <c r="SAI157" s="250"/>
      <c r="SAJ157" s="250"/>
      <c r="SAK157" s="250"/>
      <c r="SAL157" s="250"/>
      <c r="SAM157" s="250"/>
      <c r="SAN157" s="250"/>
      <c r="SAO157" s="250"/>
      <c r="SAP157" s="250"/>
      <c r="SAQ157" s="250"/>
      <c r="SAR157" s="250"/>
      <c r="SAS157" s="250"/>
      <c r="SAT157" s="250"/>
      <c r="SAU157" s="250"/>
      <c r="SAV157" s="250"/>
      <c r="SAW157" s="250"/>
      <c r="SAX157" s="250"/>
      <c r="SAY157" s="250"/>
      <c r="SAZ157" s="250"/>
      <c r="SBA157" s="250"/>
      <c r="SBB157" s="250"/>
      <c r="SBC157" s="250"/>
      <c r="SBD157" s="250"/>
      <c r="SBE157" s="250"/>
      <c r="SBF157" s="250"/>
      <c r="SBG157" s="250"/>
      <c r="SBH157" s="250"/>
      <c r="SBI157" s="250"/>
      <c r="SBJ157" s="250"/>
      <c r="SBK157" s="250"/>
      <c r="SBL157" s="250"/>
      <c r="SBM157" s="250"/>
      <c r="SBN157" s="250"/>
      <c r="SBO157" s="250"/>
      <c r="SBP157" s="250"/>
      <c r="SBQ157" s="250"/>
      <c r="SBR157" s="250"/>
      <c r="SBS157" s="250"/>
      <c r="SBT157" s="250"/>
      <c r="SBU157" s="250"/>
      <c r="SBV157" s="250"/>
      <c r="SBW157" s="250"/>
      <c r="SBX157" s="250"/>
      <c r="SBY157" s="250"/>
      <c r="SBZ157" s="250"/>
      <c r="SCA157" s="250"/>
      <c r="SCB157" s="250"/>
      <c r="SCC157" s="250"/>
      <c r="SCD157" s="250"/>
      <c r="SCE157" s="250"/>
      <c r="SCF157" s="250"/>
      <c r="SCG157" s="250"/>
      <c r="SCH157" s="250"/>
      <c r="SCI157" s="250"/>
      <c r="SCJ157" s="250"/>
      <c r="SCK157" s="250"/>
      <c r="SCL157" s="250"/>
      <c r="SCM157" s="250"/>
      <c r="SCN157" s="250"/>
      <c r="SCO157" s="250"/>
      <c r="SCP157" s="250"/>
      <c r="SCQ157" s="250"/>
      <c r="SCR157" s="250"/>
      <c r="SCS157" s="250"/>
      <c r="SCT157" s="250"/>
      <c r="SCU157" s="250"/>
      <c r="SCV157" s="250"/>
      <c r="SCW157" s="250"/>
      <c r="SCX157" s="250"/>
      <c r="SCY157" s="250"/>
      <c r="SCZ157" s="250"/>
      <c r="SDA157" s="250"/>
      <c r="SDB157" s="250"/>
      <c r="SDC157" s="250"/>
      <c r="SDD157" s="250"/>
      <c r="SDE157" s="250"/>
      <c r="SDF157" s="250"/>
      <c r="SDG157" s="250"/>
      <c r="SDH157" s="250"/>
      <c r="SDI157" s="250"/>
      <c r="SDJ157" s="250"/>
      <c r="SDK157" s="250"/>
      <c r="SDL157" s="250"/>
      <c r="SDM157" s="250"/>
      <c r="SDN157" s="250"/>
      <c r="SDO157" s="250"/>
      <c r="SDP157" s="250"/>
      <c r="SDQ157" s="250"/>
      <c r="SDR157" s="250"/>
      <c r="SDS157" s="250"/>
      <c r="SDT157" s="250"/>
      <c r="SDU157" s="250"/>
      <c r="SDV157" s="250"/>
      <c r="SDW157" s="250"/>
      <c r="SDX157" s="250"/>
      <c r="SDY157" s="250"/>
      <c r="SDZ157" s="250"/>
      <c r="SEA157" s="250"/>
      <c r="SEB157" s="250"/>
      <c r="SEC157" s="250"/>
      <c r="SED157" s="250"/>
      <c r="SEE157" s="250"/>
      <c r="SEF157" s="250"/>
      <c r="SEG157" s="250"/>
      <c r="SEH157" s="250"/>
      <c r="SEI157" s="250"/>
      <c r="SEJ157" s="250"/>
      <c r="SEK157" s="250"/>
      <c r="SEL157" s="250"/>
      <c r="SEM157" s="250"/>
      <c r="SEN157" s="250"/>
      <c r="SEO157" s="250"/>
      <c r="SEP157" s="250"/>
      <c r="SEQ157" s="250"/>
      <c r="SER157" s="250"/>
      <c r="SES157" s="250"/>
      <c r="SET157" s="250"/>
      <c r="SEU157" s="250"/>
      <c r="SEV157" s="250"/>
      <c r="SEW157" s="250"/>
      <c r="SEX157" s="250"/>
      <c r="SEY157" s="250"/>
      <c r="SEZ157" s="250"/>
      <c r="SFA157" s="250"/>
      <c r="SFB157" s="250"/>
      <c r="SFC157" s="250"/>
      <c r="SFD157" s="250"/>
      <c r="SFE157" s="250"/>
      <c r="SFF157" s="250"/>
      <c r="SFG157" s="250"/>
      <c r="SFH157" s="250"/>
      <c r="SFI157" s="250"/>
      <c r="SFJ157" s="250"/>
      <c r="SFK157" s="250"/>
      <c r="SFL157" s="250"/>
      <c r="SFM157" s="250"/>
      <c r="SFN157" s="250"/>
      <c r="SFO157" s="250"/>
      <c r="SFP157" s="250"/>
      <c r="SFQ157" s="250"/>
      <c r="SFR157" s="250"/>
      <c r="SFS157" s="250"/>
      <c r="SFT157" s="250"/>
      <c r="SFU157" s="250"/>
      <c r="SFV157" s="250"/>
      <c r="SFW157" s="250"/>
      <c r="SFX157" s="250"/>
      <c r="SFY157" s="250"/>
      <c r="SFZ157" s="250"/>
      <c r="SGA157" s="250"/>
      <c r="SGB157" s="250"/>
      <c r="SGC157" s="250"/>
      <c r="SGD157" s="250"/>
      <c r="SGE157" s="250"/>
      <c r="SGF157" s="250"/>
      <c r="SGG157" s="250"/>
      <c r="SGH157" s="250"/>
      <c r="SGI157" s="250"/>
      <c r="SGJ157" s="250"/>
      <c r="SGK157" s="250"/>
      <c r="SGL157" s="250"/>
      <c r="SGM157" s="250"/>
      <c r="SGN157" s="250"/>
      <c r="SGO157" s="250"/>
      <c r="SGP157" s="250"/>
      <c r="SGQ157" s="250"/>
      <c r="SGR157" s="250"/>
      <c r="SGS157" s="250"/>
      <c r="SGT157" s="250"/>
      <c r="SGU157" s="250"/>
      <c r="SGV157" s="250"/>
      <c r="SGW157" s="250"/>
      <c r="SGX157" s="250"/>
      <c r="SGY157" s="250"/>
      <c r="SGZ157" s="250"/>
      <c r="SHA157" s="250"/>
      <c r="SHB157" s="250"/>
      <c r="SHC157" s="250"/>
      <c r="SHD157" s="250"/>
      <c r="SHE157" s="250"/>
      <c r="SHF157" s="250"/>
      <c r="SHG157" s="250"/>
      <c r="SHH157" s="250"/>
      <c r="SHI157" s="250"/>
      <c r="SHJ157" s="250"/>
      <c r="SHK157" s="250"/>
      <c r="SHL157" s="250"/>
      <c r="SHM157" s="250"/>
      <c r="SHN157" s="250"/>
      <c r="SHO157" s="250"/>
      <c r="SHP157" s="250"/>
      <c r="SHQ157" s="250"/>
      <c r="SHR157" s="250"/>
      <c r="SHS157" s="250"/>
      <c r="SHT157" s="250"/>
      <c r="SHU157" s="250"/>
      <c r="SHV157" s="250"/>
      <c r="SHW157" s="250"/>
      <c r="SHX157" s="250"/>
      <c r="SHY157" s="250"/>
      <c r="SHZ157" s="250"/>
      <c r="SIA157" s="250"/>
      <c r="SIB157" s="250"/>
      <c r="SIC157" s="250"/>
      <c r="SID157" s="250"/>
      <c r="SIE157" s="250"/>
      <c r="SIF157" s="250"/>
      <c r="SIG157" s="250"/>
      <c r="SIH157" s="250"/>
      <c r="SII157" s="250"/>
      <c r="SIJ157" s="250"/>
      <c r="SIK157" s="250"/>
      <c r="SIL157" s="250"/>
      <c r="SIM157" s="250"/>
      <c r="SIN157" s="250"/>
      <c r="SIO157" s="250"/>
      <c r="SIP157" s="250"/>
      <c r="SIQ157" s="250"/>
      <c r="SIR157" s="250"/>
      <c r="SIS157" s="250"/>
      <c r="SIT157" s="250"/>
      <c r="SIU157" s="250"/>
      <c r="SIV157" s="250"/>
      <c r="SIW157" s="250"/>
      <c r="SIX157" s="250"/>
      <c r="SIY157" s="250"/>
      <c r="SIZ157" s="250"/>
      <c r="SJA157" s="250"/>
      <c r="SJB157" s="250"/>
      <c r="SJC157" s="250"/>
      <c r="SJD157" s="250"/>
      <c r="SJE157" s="250"/>
      <c r="SJF157" s="250"/>
      <c r="SJG157" s="250"/>
      <c r="SJH157" s="250"/>
      <c r="SJI157" s="250"/>
      <c r="SJJ157" s="250"/>
      <c r="SJK157" s="250"/>
      <c r="SJL157" s="250"/>
      <c r="SJM157" s="250"/>
      <c r="SJN157" s="250"/>
      <c r="SJO157" s="250"/>
      <c r="SJP157" s="250"/>
      <c r="SJQ157" s="250"/>
      <c r="SJR157" s="250"/>
      <c r="SJS157" s="250"/>
      <c r="SJT157" s="250"/>
      <c r="SJU157" s="250"/>
      <c r="SJV157" s="250"/>
      <c r="SJW157" s="250"/>
      <c r="SJX157" s="250"/>
      <c r="SJY157" s="250"/>
      <c r="SJZ157" s="250"/>
      <c r="SKA157" s="250"/>
      <c r="SKB157" s="250"/>
      <c r="SKC157" s="250"/>
      <c r="SKD157" s="250"/>
      <c r="SKE157" s="250"/>
      <c r="SKF157" s="250"/>
      <c r="SKG157" s="250"/>
      <c r="SKH157" s="250"/>
      <c r="SKI157" s="250"/>
      <c r="SKJ157" s="250"/>
      <c r="SKK157" s="250"/>
      <c r="SKL157" s="250"/>
      <c r="SKM157" s="250"/>
      <c r="SKN157" s="250"/>
      <c r="SKO157" s="250"/>
      <c r="SKP157" s="250"/>
      <c r="SKQ157" s="250"/>
      <c r="SKR157" s="250"/>
      <c r="SKS157" s="250"/>
      <c r="SKT157" s="250"/>
      <c r="SKU157" s="250"/>
      <c r="SKV157" s="250"/>
      <c r="SKW157" s="250"/>
      <c r="SKX157" s="250"/>
      <c r="SKY157" s="250"/>
      <c r="SKZ157" s="250"/>
      <c r="SLA157" s="250"/>
      <c r="SLB157" s="250"/>
      <c r="SLC157" s="250"/>
      <c r="SLD157" s="250"/>
      <c r="SLE157" s="250"/>
      <c r="SLF157" s="250"/>
      <c r="SLG157" s="250"/>
      <c r="SLH157" s="250"/>
      <c r="SLI157" s="250"/>
      <c r="SLJ157" s="250"/>
      <c r="SLK157" s="250"/>
      <c r="SLL157" s="250"/>
      <c r="SLM157" s="250"/>
      <c r="SLN157" s="250"/>
      <c r="SLO157" s="250"/>
      <c r="SLP157" s="250"/>
      <c r="SLQ157" s="250"/>
      <c r="SLR157" s="250"/>
      <c r="SLS157" s="250"/>
      <c r="SLT157" s="250"/>
      <c r="SLU157" s="250"/>
      <c r="SLV157" s="250"/>
      <c r="SLW157" s="250"/>
      <c r="SLX157" s="250"/>
      <c r="SLY157" s="250"/>
      <c r="SLZ157" s="250"/>
      <c r="SMA157" s="250"/>
      <c r="SMB157" s="250"/>
      <c r="SMC157" s="250"/>
      <c r="SMD157" s="250"/>
      <c r="SME157" s="250"/>
      <c r="SMF157" s="250"/>
      <c r="SMG157" s="250"/>
      <c r="SMH157" s="250"/>
      <c r="SMI157" s="250"/>
      <c r="SMJ157" s="250"/>
      <c r="SMK157" s="250"/>
      <c r="SML157" s="250"/>
      <c r="SMM157" s="250"/>
      <c r="SMN157" s="250"/>
      <c r="SMO157" s="250"/>
      <c r="SMP157" s="250"/>
      <c r="SMQ157" s="250"/>
      <c r="SMR157" s="250"/>
      <c r="SMS157" s="250"/>
      <c r="SMT157" s="250"/>
      <c r="SMU157" s="250"/>
      <c r="SMV157" s="250"/>
      <c r="SMW157" s="250"/>
      <c r="SMX157" s="250"/>
      <c r="SMY157" s="250"/>
      <c r="SMZ157" s="250"/>
      <c r="SNA157" s="250"/>
      <c r="SNB157" s="250"/>
      <c r="SNC157" s="250"/>
      <c r="SND157" s="250"/>
      <c r="SNE157" s="250"/>
      <c r="SNF157" s="250"/>
      <c r="SNG157" s="250"/>
      <c r="SNH157" s="250"/>
      <c r="SNI157" s="250"/>
      <c r="SNJ157" s="250"/>
      <c r="SNK157" s="250"/>
      <c r="SNL157" s="250"/>
      <c r="SNM157" s="250"/>
      <c r="SNN157" s="250"/>
      <c r="SNO157" s="250"/>
      <c r="SNP157" s="250"/>
      <c r="SNQ157" s="250"/>
      <c r="SNR157" s="250"/>
      <c r="SNS157" s="250"/>
      <c r="SNT157" s="250"/>
      <c r="SNU157" s="250"/>
      <c r="SNV157" s="250"/>
      <c r="SNW157" s="250"/>
      <c r="SNX157" s="250"/>
      <c r="SNY157" s="250"/>
      <c r="SNZ157" s="250"/>
      <c r="SOA157" s="250"/>
      <c r="SOB157" s="250"/>
      <c r="SOC157" s="250"/>
      <c r="SOD157" s="250"/>
      <c r="SOE157" s="250"/>
      <c r="SOF157" s="250"/>
      <c r="SOG157" s="250"/>
      <c r="SOH157" s="250"/>
      <c r="SOI157" s="250"/>
      <c r="SOJ157" s="250"/>
      <c r="SOK157" s="250"/>
      <c r="SOL157" s="250"/>
      <c r="SOM157" s="250"/>
      <c r="SON157" s="250"/>
      <c r="SOO157" s="250"/>
      <c r="SOP157" s="250"/>
      <c r="SOQ157" s="250"/>
      <c r="SOR157" s="250"/>
      <c r="SOS157" s="250"/>
      <c r="SOT157" s="250"/>
      <c r="SOU157" s="250"/>
      <c r="SOV157" s="250"/>
      <c r="SOW157" s="250"/>
      <c r="SOX157" s="250"/>
      <c r="SOY157" s="250"/>
      <c r="SOZ157" s="250"/>
      <c r="SPA157" s="250"/>
      <c r="SPB157" s="250"/>
      <c r="SPC157" s="250"/>
      <c r="SPD157" s="250"/>
      <c r="SPE157" s="250"/>
      <c r="SPF157" s="250"/>
      <c r="SPG157" s="250"/>
      <c r="SPH157" s="250"/>
      <c r="SPI157" s="250"/>
      <c r="SPJ157" s="250"/>
      <c r="SPK157" s="250"/>
      <c r="SPL157" s="250"/>
      <c r="SPM157" s="250"/>
      <c r="SPN157" s="250"/>
      <c r="SPO157" s="250"/>
      <c r="SPP157" s="250"/>
      <c r="SPQ157" s="250"/>
      <c r="SPR157" s="250"/>
      <c r="SPS157" s="250"/>
      <c r="SPT157" s="250"/>
      <c r="SPU157" s="250"/>
      <c r="SPV157" s="250"/>
      <c r="SPW157" s="250"/>
      <c r="SPX157" s="250"/>
      <c r="SPY157" s="250"/>
      <c r="SPZ157" s="250"/>
      <c r="SQA157" s="250"/>
      <c r="SQB157" s="250"/>
      <c r="SQC157" s="250"/>
      <c r="SQD157" s="250"/>
      <c r="SQE157" s="250"/>
      <c r="SQF157" s="250"/>
      <c r="SQG157" s="250"/>
      <c r="SQH157" s="250"/>
      <c r="SQI157" s="250"/>
      <c r="SQJ157" s="250"/>
      <c r="SQK157" s="250"/>
      <c r="SQL157" s="250"/>
      <c r="SQM157" s="250"/>
      <c r="SQN157" s="250"/>
      <c r="SQO157" s="250"/>
      <c r="SQP157" s="250"/>
      <c r="SQQ157" s="250"/>
      <c r="SQR157" s="250"/>
      <c r="SQS157" s="250"/>
      <c r="SQT157" s="250"/>
      <c r="SQU157" s="250"/>
      <c r="SQV157" s="250"/>
      <c r="SQW157" s="250"/>
      <c r="SQX157" s="250"/>
      <c r="SQY157" s="250"/>
      <c r="SQZ157" s="250"/>
      <c r="SRA157" s="250"/>
      <c r="SRB157" s="250"/>
      <c r="SRC157" s="250"/>
      <c r="SRD157" s="250"/>
      <c r="SRE157" s="250"/>
      <c r="SRF157" s="250"/>
      <c r="SRG157" s="250"/>
      <c r="SRH157" s="250"/>
      <c r="SRI157" s="250"/>
      <c r="SRJ157" s="250"/>
      <c r="SRK157" s="250"/>
      <c r="SRL157" s="250"/>
      <c r="SRM157" s="250"/>
      <c r="SRN157" s="250"/>
      <c r="SRO157" s="250"/>
      <c r="SRP157" s="250"/>
      <c r="SRQ157" s="250"/>
      <c r="SRR157" s="250"/>
      <c r="SRS157" s="250"/>
      <c r="SRT157" s="250"/>
      <c r="SRU157" s="250"/>
      <c r="SRV157" s="250"/>
      <c r="SRW157" s="250"/>
      <c r="SRX157" s="250"/>
      <c r="SRY157" s="250"/>
      <c r="SRZ157" s="250"/>
      <c r="SSA157" s="250"/>
      <c r="SSB157" s="250"/>
      <c r="SSC157" s="250"/>
      <c r="SSD157" s="250"/>
      <c r="SSE157" s="250"/>
      <c r="SSF157" s="250"/>
      <c r="SSG157" s="250"/>
      <c r="SSH157" s="250"/>
      <c r="SSI157" s="250"/>
      <c r="SSJ157" s="250"/>
      <c r="SSK157" s="250"/>
      <c r="SSL157" s="250"/>
      <c r="SSM157" s="250"/>
      <c r="SSN157" s="250"/>
      <c r="SSO157" s="250"/>
      <c r="SSP157" s="250"/>
      <c r="SSQ157" s="250"/>
      <c r="SSR157" s="250"/>
      <c r="SSS157" s="250"/>
      <c r="SST157" s="250"/>
      <c r="SSU157" s="250"/>
      <c r="SSV157" s="250"/>
      <c r="SSW157" s="250"/>
      <c r="SSX157" s="250"/>
      <c r="SSY157" s="250"/>
      <c r="SSZ157" s="250"/>
      <c r="STA157" s="250"/>
      <c r="STB157" s="250"/>
      <c r="STC157" s="250"/>
      <c r="STD157" s="250"/>
      <c r="STE157" s="250"/>
      <c r="STF157" s="250"/>
      <c r="STG157" s="250"/>
      <c r="STH157" s="250"/>
      <c r="STI157" s="250"/>
      <c r="STJ157" s="250"/>
      <c r="STK157" s="250"/>
      <c r="STL157" s="250"/>
      <c r="STM157" s="250"/>
      <c r="STN157" s="250"/>
      <c r="STO157" s="250"/>
      <c r="STP157" s="250"/>
      <c r="STQ157" s="250"/>
      <c r="STR157" s="250"/>
      <c r="STS157" s="250"/>
      <c r="STT157" s="250"/>
      <c r="STU157" s="250"/>
      <c r="STV157" s="250"/>
      <c r="STW157" s="250"/>
      <c r="STX157" s="250"/>
      <c r="STY157" s="250"/>
      <c r="STZ157" s="250"/>
      <c r="SUA157" s="250"/>
      <c r="SUB157" s="250"/>
      <c r="SUC157" s="250"/>
      <c r="SUD157" s="250"/>
      <c r="SUE157" s="250"/>
      <c r="SUF157" s="250"/>
      <c r="SUG157" s="250"/>
      <c r="SUH157" s="250"/>
      <c r="SUI157" s="250"/>
      <c r="SUJ157" s="250"/>
      <c r="SUK157" s="250"/>
      <c r="SUL157" s="250"/>
      <c r="SUM157" s="250"/>
      <c r="SUN157" s="250"/>
      <c r="SUO157" s="250"/>
      <c r="SUP157" s="250"/>
      <c r="SUQ157" s="250"/>
      <c r="SUR157" s="250"/>
      <c r="SUS157" s="250"/>
      <c r="SUT157" s="250"/>
      <c r="SUU157" s="250"/>
      <c r="SUV157" s="250"/>
      <c r="SUW157" s="250"/>
      <c r="SUX157" s="250"/>
      <c r="SUY157" s="250"/>
      <c r="SUZ157" s="250"/>
      <c r="SVA157" s="250"/>
      <c r="SVB157" s="250"/>
      <c r="SVC157" s="250"/>
      <c r="SVD157" s="250"/>
      <c r="SVE157" s="250"/>
      <c r="SVF157" s="250"/>
      <c r="SVG157" s="250"/>
      <c r="SVH157" s="250"/>
      <c r="SVI157" s="250"/>
      <c r="SVJ157" s="250"/>
      <c r="SVK157" s="250"/>
      <c r="SVL157" s="250"/>
      <c r="SVM157" s="250"/>
      <c r="SVN157" s="250"/>
      <c r="SVO157" s="250"/>
      <c r="SVP157" s="250"/>
      <c r="SVQ157" s="250"/>
      <c r="SVR157" s="250"/>
      <c r="SVS157" s="250"/>
      <c r="SVT157" s="250"/>
      <c r="SVU157" s="250"/>
      <c r="SVV157" s="250"/>
      <c r="SVW157" s="250"/>
      <c r="SVX157" s="250"/>
      <c r="SVY157" s="250"/>
      <c r="SVZ157" s="250"/>
      <c r="SWA157" s="250"/>
      <c r="SWB157" s="250"/>
      <c r="SWC157" s="250"/>
      <c r="SWD157" s="250"/>
      <c r="SWE157" s="250"/>
      <c r="SWF157" s="250"/>
      <c r="SWG157" s="250"/>
      <c r="SWH157" s="250"/>
      <c r="SWI157" s="250"/>
      <c r="SWJ157" s="250"/>
      <c r="SWK157" s="250"/>
      <c r="SWL157" s="250"/>
      <c r="SWM157" s="250"/>
      <c r="SWN157" s="250"/>
      <c r="SWO157" s="250"/>
      <c r="SWP157" s="250"/>
      <c r="SWQ157" s="250"/>
      <c r="SWR157" s="250"/>
      <c r="SWS157" s="250"/>
      <c r="SWT157" s="250"/>
      <c r="SWU157" s="250"/>
      <c r="SWV157" s="250"/>
      <c r="SWW157" s="250"/>
      <c r="SWX157" s="250"/>
      <c r="SWY157" s="250"/>
      <c r="SWZ157" s="250"/>
      <c r="SXA157" s="250"/>
      <c r="SXB157" s="250"/>
      <c r="SXC157" s="250"/>
      <c r="SXD157" s="250"/>
      <c r="SXE157" s="250"/>
      <c r="SXF157" s="250"/>
      <c r="SXG157" s="250"/>
      <c r="SXH157" s="250"/>
      <c r="SXI157" s="250"/>
      <c r="SXJ157" s="250"/>
      <c r="SXK157" s="250"/>
      <c r="SXL157" s="250"/>
      <c r="SXM157" s="250"/>
      <c r="SXN157" s="250"/>
      <c r="SXO157" s="250"/>
      <c r="SXP157" s="250"/>
      <c r="SXQ157" s="250"/>
      <c r="SXR157" s="250"/>
      <c r="SXS157" s="250"/>
      <c r="SXT157" s="250"/>
      <c r="SXU157" s="250"/>
      <c r="SXV157" s="250"/>
      <c r="SXW157" s="250"/>
      <c r="SXX157" s="250"/>
      <c r="SXY157" s="250"/>
      <c r="SXZ157" s="250"/>
      <c r="SYA157" s="250"/>
      <c r="SYB157" s="250"/>
      <c r="SYC157" s="250"/>
      <c r="SYD157" s="250"/>
      <c r="SYE157" s="250"/>
      <c r="SYF157" s="250"/>
      <c r="SYG157" s="250"/>
      <c r="SYH157" s="250"/>
      <c r="SYI157" s="250"/>
      <c r="SYJ157" s="250"/>
      <c r="SYK157" s="250"/>
      <c r="SYL157" s="250"/>
      <c r="SYM157" s="250"/>
      <c r="SYN157" s="250"/>
      <c r="SYO157" s="250"/>
      <c r="SYP157" s="250"/>
      <c r="SYQ157" s="250"/>
      <c r="SYR157" s="250"/>
      <c r="SYS157" s="250"/>
      <c r="SYT157" s="250"/>
      <c r="SYU157" s="250"/>
      <c r="SYV157" s="250"/>
      <c r="SYW157" s="250"/>
      <c r="SYX157" s="250"/>
      <c r="SYY157" s="250"/>
      <c r="SYZ157" s="250"/>
      <c r="SZA157" s="250"/>
      <c r="SZB157" s="250"/>
      <c r="SZC157" s="250"/>
      <c r="SZD157" s="250"/>
      <c r="SZE157" s="250"/>
      <c r="SZF157" s="250"/>
      <c r="SZG157" s="250"/>
      <c r="SZH157" s="250"/>
      <c r="SZI157" s="250"/>
      <c r="SZJ157" s="250"/>
      <c r="SZK157" s="250"/>
      <c r="SZL157" s="250"/>
      <c r="SZM157" s="250"/>
      <c r="SZN157" s="250"/>
      <c r="SZO157" s="250"/>
      <c r="SZP157" s="250"/>
      <c r="SZQ157" s="250"/>
      <c r="SZR157" s="250"/>
      <c r="SZS157" s="250"/>
      <c r="SZT157" s="250"/>
      <c r="SZU157" s="250"/>
      <c r="SZV157" s="250"/>
      <c r="SZW157" s="250"/>
      <c r="SZX157" s="250"/>
      <c r="SZY157" s="250"/>
      <c r="SZZ157" s="250"/>
      <c r="TAA157" s="250"/>
      <c r="TAB157" s="250"/>
      <c r="TAC157" s="250"/>
      <c r="TAD157" s="250"/>
      <c r="TAE157" s="250"/>
      <c r="TAF157" s="250"/>
      <c r="TAG157" s="250"/>
      <c r="TAH157" s="250"/>
      <c r="TAI157" s="250"/>
      <c r="TAJ157" s="250"/>
      <c r="TAK157" s="250"/>
      <c r="TAL157" s="250"/>
      <c r="TAM157" s="250"/>
      <c r="TAN157" s="250"/>
      <c r="TAO157" s="250"/>
      <c r="TAP157" s="250"/>
      <c r="TAQ157" s="250"/>
      <c r="TAR157" s="250"/>
      <c r="TAS157" s="250"/>
      <c r="TAT157" s="250"/>
      <c r="TAU157" s="250"/>
      <c r="TAV157" s="250"/>
      <c r="TAW157" s="250"/>
      <c r="TAX157" s="250"/>
      <c r="TAY157" s="250"/>
      <c r="TAZ157" s="250"/>
      <c r="TBA157" s="250"/>
      <c r="TBB157" s="250"/>
      <c r="TBC157" s="250"/>
      <c r="TBD157" s="250"/>
      <c r="TBE157" s="250"/>
      <c r="TBF157" s="250"/>
      <c r="TBG157" s="250"/>
      <c r="TBH157" s="250"/>
      <c r="TBI157" s="250"/>
      <c r="TBJ157" s="250"/>
      <c r="TBK157" s="250"/>
      <c r="TBL157" s="250"/>
      <c r="TBM157" s="250"/>
      <c r="TBN157" s="250"/>
      <c r="TBO157" s="250"/>
      <c r="TBP157" s="250"/>
      <c r="TBQ157" s="250"/>
      <c r="TBR157" s="250"/>
      <c r="TBS157" s="250"/>
      <c r="TBT157" s="250"/>
      <c r="TBU157" s="250"/>
      <c r="TBV157" s="250"/>
      <c r="TBW157" s="250"/>
      <c r="TBX157" s="250"/>
      <c r="TBY157" s="250"/>
      <c r="TBZ157" s="250"/>
      <c r="TCA157" s="250"/>
      <c r="TCB157" s="250"/>
      <c r="TCC157" s="250"/>
      <c r="TCD157" s="250"/>
      <c r="TCE157" s="250"/>
      <c r="TCF157" s="250"/>
      <c r="TCG157" s="250"/>
      <c r="TCH157" s="250"/>
      <c r="TCI157" s="250"/>
      <c r="TCJ157" s="250"/>
      <c r="TCK157" s="250"/>
      <c r="TCL157" s="250"/>
      <c r="TCM157" s="250"/>
      <c r="TCN157" s="250"/>
      <c r="TCO157" s="250"/>
      <c r="TCP157" s="250"/>
      <c r="TCQ157" s="250"/>
      <c r="TCR157" s="250"/>
      <c r="TCS157" s="250"/>
      <c r="TCT157" s="250"/>
      <c r="TCU157" s="250"/>
      <c r="TCV157" s="250"/>
      <c r="TCW157" s="250"/>
      <c r="TCX157" s="250"/>
      <c r="TCY157" s="250"/>
      <c r="TCZ157" s="250"/>
      <c r="TDA157" s="250"/>
      <c r="TDB157" s="250"/>
      <c r="TDC157" s="250"/>
      <c r="TDD157" s="250"/>
      <c r="TDE157" s="250"/>
      <c r="TDF157" s="250"/>
      <c r="TDG157" s="250"/>
      <c r="TDH157" s="250"/>
      <c r="TDI157" s="250"/>
      <c r="TDJ157" s="250"/>
      <c r="TDK157" s="250"/>
      <c r="TDL157" s="250"/>
      <c r="TDM157" s="250"/>
      <c r="TDN157" s="250"/>
      <c r="TDO157" s="250"/>
      <c r="TDP157" s="250"/>
      <c r="TDQ157" s="250"/>
      <c r="TDR157" s="250"/>
      <c r="TDS157" s="250"/>
      <c r="TDT157" s="250"/>
      <c r="TDU157" s="250"/>
      <c r="TDV157" s="250"/>
      <c r="TDW157" s="250"/>
      <c r="TDX157" s="250"/>
      <c r="TDY157" s="250"/>
      <c r="TDZ157" s="250"/>
      <c r="TEA157" s="250"/>
      <c r="TEB157" s="250"/>
      <c r="TEC157" s="250"/>
      <c r="TED157" s="250"/>
      <c r="TEE157" s="250"/>
      <c r="TEF157" s="250"/>
      <c r="TEG157" s="250"/>
      <c r="TEH157" s="250"/>
      <c r="TEI157" s="250"/>
      <c r="TEJ157" s="250"/>
      <c r="TEK157" s="250"/>
      <c r="TEL157" s="250"/>
      <c r="TEM157" s="250"/>
      <c r="TEN157" s="250"/>
      <c r="TEO157" s="250"/>
      <c r="TEP157" s="250"/>
      <c r="TEQ157" s="250"/>
      <c r="TER157" s="250"/>
      <c r="TES157" s="250"/>
      <c r="TET157" s="250"/>
      <c r="TEU157" s="250"/>
      <c r="TEV157" s="250"/>
      <c r="TEW157" s="250"/>
      <c r="TEX157" s="250"/>
      <c r="TEY157" s="250"/>
      <c r="TEZ157" s="250"/>
      <c r="TFA157" s="250"/>
      <c r="TFB157" s="250"/>
      <c r="TFC157" s="250"/>
      <c r="TFD157" s="250"/>
      <c r="TFE157" s="250"/>
      <c r="TFF157" s="250"/>
      <c r="TFG157" s="250"/>
      <c r="TFH157" s="250"/>
      <c r="TFI157" s="250"/>
      <c r="TFJ157" s="250"/>
      <c r="TFK157" s="250"/>
      <c r="TFL157" s="250"/>
      <c r="TFM157" s="250"/>
      <c r="TFN157" s="250"/>
      <c r="TFO157" s="250"/>
      <c r="TFP157" s="250"/>
      <c r="TFQ157" s="250"/>
      <c r="TFR157" s="250"/>
      <c r="TFS157" s="250"/>
      <c r="TFT157" s="250"/>
      <c r="TFU157" s="250"/>
      <c r="TFV157" s="250"/>
      <c r="TFW157" s="250"/>
      <c r="TFX157" s="250"/>
      <c r="TFY157" s="250"/>
      <c r="TFZ157" s="250"/>
      <c r="TGA157" s="250"/>
      <c r="TGB157" s="250"/>
      <c r="TGC157" s="250"/>
      <c r="TGD157" s="250"/>
      <c r="TGE157" s="250"/>
      <c r="TGF157" s="250"/>
      <c r="TGG157" s="250"/>
      <c r="TGH157" s="250"/>
      <c r="TGI157" s="250"/>
      <c r="TGJ157" s="250"/>
      <c r="TGK157" s="250"/>
      <c r="TGL157" s="250"/>
      <c r="TGM157" s="250"/>
      <c r="TGN157" s="250"/>
      <c r="TGO157" s="250"/>
      <c r="TGP157" s="250"/>
      <c r="TGQ157" s="250"/>
      <c r="TGR157" s="250"/>
      <c r="TGS157" s="250"/>
      <c r="TGT157" s="250"/>
      <c r="TGU157" s="250"/>
      <c r="TGV157" s="250"/>
      <c r="TGW157" s="250"/>
      <c r="TGX157" s="250"/>
      <c r="TGY157" s="250"/>
      <c r="TGZ157" s="250"/>
      <c r="THA157" s="250"/>
      <c r="THB157" s="250"/>
      <c r="THC157" s="250"/>
      <c r="THD157" s="250"/>
      <c r="THE157" s="250"/>
      <c r="THF157" s="250"/>
      <c r="THG157" s="250"/>
      <c r="THH157" s="250"/>
      <c r="THI157" s="250"/>
      <c r="THJ157" s="250"/>
      <c r="THK157" s="250"/>
      <c r="THL157" s="250"/>
      <c r="THM157" s="250"/>
      <c r="THN157" s="250"/>
      <c r="THO157" s="250"/>
      <c r="THP157" s="250"/>
      <c r="THQ157" s="250"/>
      <c r="THR157" s="250"/>
      <c r="THS157" s="250"/>
      <c r="THT157" s="250"/>
      <c r="THU157" s="250"/>
      <c r="THV157" s="250"/>
      <c r="THW157" s="250"/>
      <c r="THX157" s="250"/>
      <c r="THY157" s="250"/>
      <c r="THZ157" s="250"/>
      <c r="TIA157" s="250"/>
      <c r="TIB157" s="250"/>
      <c r="TIC157" s="250"/>
      <c r="TID157" s="250"/>
      <c r="TIE157" s="250"/>
      <c r="TIF157" s="250"/>
      <c r="TIG157" s="250"/>
      <c r="TIH157" s="250"/>
      <c r="TII157" s="250"/>
      <c r="TIJ157" s="250"/>
      <c r="TIK157" s="250"/>
      <c r="TIL157" s="250"/>
      <c r="TIM157" s="250"/>
      <c r="TIN157" s="250"/>
      <c r="TIO157" s="250"/>
      <c r="TIP157" s="250"/>
      <c r="TIQ157" s="250"/>
      <c r="TIR157" s="250"/>
      <c r="TIS157" s="250"/>
      <c r="TIT157" s="250"/>
      <c r="TIU157" s="250"/>
      <c r="TIV157" s="250"/>
      <c r="TIW157" s="250"/>
      <c r="TIX157" s="250"/>
      <c r="TIY157" s="250"/>
      <c r="TIZ157" s="250"/>
      <c r="TJA157" s="250"/>
      <c r="TJB157" s="250"/>
      <c r="TJC157" s="250"/>
      <c r="TJD157" s="250"/>
      <c r="TJE157" s="250"/>
      <c r="TJF157" s="250"/>
      <c r="TJG157" s="250"/>
      <c r="TJH157" s="250"/>
      <c r="TJI157" s="250"/>
      <c r="TJJ157" s="250"/>
      <c r="TJK157" s="250"/>
      <c r="TJL157" s="250"/>
      <c r="TJM157" s="250"/>
      <c r="TJN157" s="250"/>
      <c r="TJO157" s="250"/>
      <c r="TJP157" s="250"/>
      <c r="TJQ157" s="250"/>
      <c r="TJR157" s="250"/>
      <c r="TJS157" s="250"/>
      <c r="TJT157" s="250"/>
      <c r="TJU157" s="250"/>
      <c r="TJV157" s="250"/>
      <c r="TJW157" s="250"/>
      <c r="TJX157" s="250"/>
      <c r="TJY157" s="250"/>
      <c r="TJZ157" s="250"/>
      <c r="TKA157" s="250"/>
      <c r="TKB157" s="250"/>
      <c r="TKC157" s="250"/>
      <c r="TKD157" s="250"/>
      <c r="TKE157" s="250"/>
      <c r="TKF157" s="250"/>
      <c r="TKG157" s="250"/>
      <c r="TKH157" s="250"/>
      <c r="TKI157" s="250"/>
      <c r="TKJ157" s="250"/>
      <c r="TKK157" s="250"/>
      <c r="TKL157" s="250"/>
      <c r="TKM157" s="250"/>
      <c r="TKN157" s="250"/>
      <c r="TKO157" s="250"/>
      <c r="TKP157" s="250"/>
      <c r="TKQ157" s="250"/>
      <c r="TKR157" s="250"/>
      <c r="TKS157" s="250"/>
      <c r="TKT157" s="250"/>
      <c r="TKU157" s="250"/>
      <c r="TKV157" s="250"/>
      <c r="TKW157" s="250"/>
      <c r="TKX157" s="250"/>
      <c r="TKY157" s="250"/>
      <c r="TKZ157" s="250"/>
      <c r="TLA157" s="250"/>
      <c r="TLB157" s="250"/>
      <c r="TLC157" s="250"/>
      <c r="TLD157" s="250"/>
      <c r="TLE157" s="250"/>
      <c r="TLF157" s="250"/>
      <c r="TLG157" s="250"/>
      <c r="TLH157" s="250"/>
      <c r="TLI157" s="250"/>
      <c r="TLJ157" s="250"/>
      <c r="TLK157" s="250"/>
      <c r="TLL157" s="250"/>
      <c r="TLM157" s="250"/>
      <c r="TLN157" s="250"/>
      <c r="TLO157" s="250"/>
      <c r="TLP157" s="250"/>
      <c r="TLQ157" s="250"/>
      <c r="TLR157" s="250"/>
      <c r="TLS157" s="250"/>
      <c r="TLT157" s="250"/>
      <c r="TLU157" s="250"/>
      <c r="TLV157" s="250"/>
      <c r="TLW157" s="250"/>
      <c r="TLX157" s="250"/>
      <c r="TLY157" s="250"/>
      <c r="TLZ157" s="250"/>
      <c r="TMA157" s="250"/>
      <c r="TMB157" s="250"/>
      <c r="TMC157" s="250"/>
      <c r="TMD157" s="250"/>
      <c r="TME157" s="250"/>
      <c r="TMF157" s="250"/>
      <c r="TMG157" s="250"/>
      <c r="TMH157" s="250"/>
      <c r="TMI157" s="250"/>
      <c r="TMJ157" s="250"/>
      <c r="TMK157" s="250"/>
      <c r="TML157" s="250"/>
      <c r="TMM157" s="250"/>
      <c r="TMN157" s="250"/>
      <c r="TMO157" s="250"/>
      <c r="TMP157" s="250"/>
      <c r="TMQ157" s="250"/>
      <c r="TMR157" s="250"/>
      <c r="TMS157" s="250"/>
      <c r="TMT157" s="250"/>
      <c r="TMU157" s="250"/>
      <c r="TMV157" s="250"/>
      <c r="TMW157" s="250"/>
      <c r="TMX157" s="250"/>
      <c r="TMY157" s="250"/>
      <c r="TMZ157" s="250"/>
      <c r="TNA157" s="250"/>
      <c r="TNB157" s="250"/>
      <c r="TNC157" s="250"/>
      <c r="TND157" s="250"/>
      <c r="TNE157" s="250"/>
      <c r="TNF157" s="250"/>
      <c r="TNG157" s="250"/>
      <c r="TNH157" s="250"/>
      <c r="TNI157" s="250"/>
      <c r="TNJ157" s="250"/>
      <c r="TNK157" s="250"/>
      <c r="TNL157" s="250"/>
      <c r="TNM157" s="250"/>
      <c r="TNN157" s="250"/>
      <c r="TNO157" s="250"/>
      <c r="TNP157" s="250"/>
      <c r="TNQ157" s="250"/>
      <c r="TNR157" s="250"/>
      <c r="TNS157" s="250"/>
      <c r="TNT157" s="250"/>
      <c r="TNU157" s="250"/>
      <c r="TNV157" s="250"/>
      <c r="TNW157" s="250"/>
      <c r="TNX157" s="250"/>
      <c r="TNY157" s="250"/>
      <c r="TNZ157" s="250"/>
      <c r="TOA157" s="250"/>
      <c r="TOB157" s="250"/>
      <c r="TOC157" s="250"/>
      <c r="TOD157" s="250"/>
      <c r="TOE157" s="250"/>
      <c r="TOF157" s="250"/>
      <c r="TOG157" s="250"/>
      <c r="TOH157" s="250"/>
      <c r="TOI157" s="250"/>
      <c r="TOJ157" s="250"/>
      <c r="TOK157" s="250"/>
      <c r="TOL157" s="250"/>
      <c r="TOM157" s="250"/>
      <c r="TON157" s="250"/>
      <c r="TOO157" s="250"/>
      <c r="TOP157" s="250"/>
      <c r="TOQ157" s="250"/>
      <c r="TOR157" s="250"/>
      <c r="TOS157" s="250"/>
      <c r="TOT157" s="250"/>
      <c r="TOU157" s="250"/>
      <c r="TOV157" s="250"/>
      <c r="TOW157" s="250"/>
      <c r="TOX157" s="250"/>
      <c r="TOY157" s="250"/>
      <c r="TOZ157" s="250"/>
      <c r="TPA157" s="250"/>
      <c r="TPB157" s="250"/>
      <c r="TPC157" s="250"/>
      <c r="TPD157" s="250"/>
      <c r="TPE157" s="250"/>
      <c r="TPF157" s="250"/>
      <c r="TPG157" s="250"/>
      <c r="TPH157" s="250"/>
      <c r="TPI157" s="250"/>
      <c r="TPJ157" s="250"/>
      <c r="TPK157" s="250"/>
      <c r="TPL157" s="250"/>
      <c r="TPM157" s="250"/>
      <c r="TPN157" s="250"/>
      <c r="TPO157" s="250"/>
      <c r="TPP157" s="250"/>
      <c r="TPQ157" s="250"/>
      <c r="TPR157" s="250"/>
      <c r="TPS157" s="250"/>
      <c r="TPT157" s="250"/>
      <c r="TPU157" s="250"/>
      <c r="TPV157" s="250"/>
      <c r="TPW157" s="250"/>
      <c r="TPX157" s="250"/>
      <c r="TPY157" s="250"/>
      <c r="TPZ157" s="250"/>
      <c r="TQA157" s="250"/>
      <c r="TQB157" s="250"/>
      <c r="TQC157" s="250"/>
      <c r="TQD157" s="250"/>
      <c r="TQE157" s="250"/>
      <c r="TQF157" s="250"/>
      <c r="TQG157" s="250"/>
      <c r="TQH157" s="250"/>
      <c r="TQI157" s="250"/>
      <c r="TQJ157" s="250"/>
      <c r="TQK157" s="250"/>
      <c r="TQL157" s="250"/>
      <c r="TQM157" s="250"/>
      <c r="TQN157" s="250"/>
      <c r="TQO157" s="250"/>
      <c r="TQP157" s="250"/>
      <c r="TQQ157" s="250"/>
      <c r="TQR157" s="250"/>
      <c r="TQS157" s="250"/>
      <c r="TQT157" s="250"/>
      <c r="TQU157" s="250"/>
      <c r="TQV157" s="250"/>
      <c r="TQW157" s="250"/>
      <c r="TQX157" s="250"/>
      <c r="TQY157" s="250"/>
      <c r="TQZ157" s="250"/>
      <c r="TRA157" s="250"/>
      <c r="TRB157" s="250"/>
      <c r="TRC157" s="250"/>
      <c r="TRD157" s="250"/>
      <c r="TRE157" s="250"/>
      <c r="TRF157" s="250"/>
      <c r="TRG157" s="250"/>
      <c r="TRH157" s="250"/>
      <c r="TRI157" s="250"/>
      <c r="TRJ157" s="250"/>
      <c r="TRK157" s="250"/>
      <c r="TRL157" s="250"/>
      <c r="TRM157" s="250"/>
      <c r="TRN157" s="250"/>
      <c r="TRO157" s="250"/>
      <c r="TRP157" s="250"/>
      <c r="TRQ157" s="250"/>
      <c r="TRR157" s="250"/>
      <c r="TRS157" s="250"/>
      <c r="TRT157" s="250"/>
      <c r="TRU157" s="250"/>
      <c r="TRV157" s="250"/>
      <c r="TRW157" s="250"/>
      <c r="TRX157" s="250"/>
      <c r="TRY157" s="250"/>
      <c r="TRZ157" s="250"/>
      <c r="TSA157" s="250"/>
      <c r="TSB157" s="250"/>
      <c r="TSC157" s="250"/>
      <c r="TSD157" s="250"/>
      <c r="TSE157" s="250"/>
      <c r="TSF157" s="250"/>
      <c r="TSG157" s="250"/>
      <c r="TSH157" s="250"/>
      <c r="TSI157" s="250"/>
      <c r="TSJ157" s="250"/>
      <c r="TSK157" s="250"/>
      <c r="TSL157" s="250"/>
      <c r="TSM157" s="250"/>
      <c r="TSN157" s="250"/>
      <c r="TSO157" s="250"/>
      <c r="TSP157" s="250"/>
      <c r="TSQ157" s="250"/>
      <c r="TSR157" s="250"/>
      <c r="TSS157" s="250"/>
      <c r="TST157" s="250"/>
      <c r="TSU157" s="250"/>
      <c r="TSV157" s="250"/>
      <c r="TSW157" s="250"/>
      <c r="TSX157" s="250"/>
      <c r="TSY157" s="250"/>
      <c r="TSZ157" s="250"/>
      <c r="TTA157" s="250"/>
      <c r="TTB157" s="250"/>
      <c r="TTC157" s="250"/>
      <c r="TTD157" s="250"/>
      <c r="TTE157" s="250"/>
      <c r="TTF157" s="250"/>
      <c r="TTG157" s="250"/>
      <c r="TTH157" s="250"/>
      <c r="TTI157" s="250"/>
      <c r="TTJ157" s="250"/>
      <c r="TTK157" s="250"/>
      <c r="TTL157" s="250"/>
      <c r="TTM157" s="250"/>
      <c r="TTN157" s="250"/>
      <c r="TTO157" s="250"/>
      <c r="TTP157" s="250"/>
      <c r="TTQ157" s="250"/>
      <c r="TTR157" s="250"/>
      <c r="TTS157" s="250"/>
      <c r="TTT157" s="250"/>
      <c r="TTU157" s="250"/>
      <c r="TTV157" s="250"/>
      <c r="TTW157" s="250"/>
      <c r="TTX157" s="250"/>
      <c r="TTY157" s="250"/>
      <c r="TTZ157" s="250"/>
      <c r="TUA157" s="250"/>
      <c r="TUB157" s="250"/>
      <c r="TUC157" s="250"/>
      <c r="TUD157" s="250"/>
      <c r="TUE157" s="250"/>
      <c r="TUF157" s="250"/>
      <c r="TUG157" s="250"/>
      <c r="TUH157" s="250"/>
      <c r="TUI157" s="250"/>
      <c r="TUJ157" s="250"/>
      <c r="TUK157" s="250"/>
      <c r="TUL157" s="250"/>
      <c r="TUM157" s="250"/>
      <c r="TUN157" s="250"/>
      <c r="TUO157" s="250"/>
      <c r="TUP157" s="250"/>
      <c r="TUQ157" s="250"/>
      <c r="TUR157" s="250"/>
      <c r="TUS157" s="250"/>
      <c r="TUT157" s="250"/>
      <c r="TUU157" s="250"/>
      <c r="TUV157" s="250"/>
      <c r="TUW157" s="250"/>
      <c r="TUX157" s="250"/>
      <c r="TUY157" s="250"/>
      <c r="TUZ157" s="250"/>
      <c r="TVA157" s="250"/>
      <c r="TVB157" s="250"/>
      <c r="TVC157" s="250"/>
      <c r="TVD157" s="250"/>
      <c r="TVE157" s="250"/>
      <c r="TVF157" s="250"/>
      <c r="TVG157" s="250"/>
      <c r="TVH157" s="250"/>
      <c r="TVI157" s="250"/>
      <c r="TVJ157" s="250"/>
      <c r="TVK157" s="250"/>
      <c r="TVL157" s="250"/>
      <c r="TVM157" s="250"/>
      <c r="TVN157" s="250"/>
      <c r="TVO157" s="250"/>
      <c r="TVP157" s="250"/>
      <c r="TVQ157" s="250"/>
      <c r="TVR157" s="250"/>
      <c r="TVS157" s="250"/>
      <c r="TVT157" s="250"/>
      <c r="TVU157" s="250"/>
      <c r="TVV157" s="250"/>
      <c r="TVW157" s="250"/>
      <c r="TVX157" s="250"/>
      <c r="TVY157" s="250"/>
      <c r="TVZ157" s="250"/>
      <c r="TWA157" s="250"/>
      <c r="TWB157" s="250"/>
      <c r="TWC157" s="250"/>
      <c r="TWD157" s="250"/>
      <c r="TWE157" s="250"/>
      <c r="TWF157" s="250"/>
      <c r="TWG157" s="250"/>
      <c r="TWH157" s="250"/>
      <c r="TWI157" s="250"/>
      <c r="TWJ157" s="250"/>
      <c r="TWK157" s="250"/>
      <c r="TWL157" s="250"/>
      <c r="TWM157" s="250"/>
      <c r="TWN157" s="250"/>
      <c r="TWO157" s="250"/>
      <c r="TWP157" s="250"/>
      <c r="TWQ157" s="250"/>
      <c r="TWR157" s="250"/>
      <c r="TWS157" s="250"/>
      <c r="TWT157" s="250"/>
      <c r="TWU157" s="250"/>
      <c r="TWV157" s="250"/>
      <c r="TWW157" s="250"/>
      <c r="TWX157" s="250"/>
      <c r="TWY157" s="250"/>
      <c r="TWZ157" s="250"/>
      <c r="TXA157" s="250"/>
      <c r="TXB157" s="250"/>
      <c r="TXC157" s="250"/>
      <c r="TXD157" s="250"/>
      <c r="TXE157" s="250"/>
      <c r="TXF157" s="250"/>
      <c r="TXG157" s="250"/>
      <c r="TXH157" s="250"/>
      <c r="TXI157" s="250"/>
      <c r="TXJ157" s="250"/>
      <c r="TXK157" s="250"/>
      <c r="TXL157" s="250"/>
      <c r="TXM157" s="250"/>
      <c r="TXN157" s="250"/>
      <c r="TXO157" s="250"/>
      <c r="TXP157" s="250"/>
      <c r="TXQ157" s="250"/>
      <c r="TXR157" s="250"/>
      <c r="TXS157" s="250"/>
      <c r="TXT157" s="250"/>
      <c r="TXU157" s="250"/>
      <c r="TXV157" s="250"/>
      <c r="TXW157" s="250"/>
      <c r="TXX157" s="250"/>
      <c r="TXY157" s="250"/>
      <c r="TXZ157" s="250"/>
      <c r="TYA157" s="250"/>
      <c r="TYB157" s="250"/>
      <c r="TYC157" s="250"/>
      <c r="TYD157" s="250"/>
      <c r="TYE157" s="250"/>
      <c r="TYF157" s="250"/>
      <c r="TYG157" s="250"/>
      <c r="TYH157" s="250"/>
      <c r="TYI157" s="250"/>
      <c r="TYJ157" s="250"/>
      <c r="TYK157" s="250"/>
      <c r="TYL157" s="250"/>
      <c r="TYM157" s="250"/>
      <c r="TYN157" s="250"/>
      <c r="TYO157" s="250"/>
      <c r="TYP157" s="250"/>
      <c r="TYQ157" s="250"/>
      <c r="TYR157" s="250"/>
      <c r="TYS157" s="250"/>
      <c r="TYT157" s="250"/>
      <c r="TYU157" s="250"/>
      <c r="TYV157" s="250"/>
      <c r="TYW157" s="250"/>
      <c r="TYX157" s="250"/>
      <c r="TYY157" s="250"/>
      <c r="TYZ157" s="250"/>
      <c r="TZA157" s="250"/>
      <c r="TZB157" s="250"/>
      <c r="TZC157" s="250"/>
      <c r="TZD157" s="250"/>
      <c r="TZE157" s="250"/>
      <c r="TZF157" s="250"/>
      <c r="TZG157" s="250"/>
      <c r="TZH157" s="250"/>
      <c r="TZI157" s="250"/>
      <c r="TZJ157" s="250"/>
      <c r="TZK157" s="250"/>
      <c r="TZL157" s="250"/>
      <c r="TZM157" s="250"/>
      <c r="TZN157" s="250"/>
      <c r="TZO157" s="250"/>
      <c r="TZP157" s="250"/>
      <c r="TZQ157" s="250"/>
      <c r="TZR157" s="250"/>
      <c r="TZS157" s="250"/>
      <c r="TZT157" s="250"/>
      <c r="TZU157" s="250"/>
      <c r="TZV157" s="250"/>
      <c r="TZW157" s="250"/>
      <c r="TZX157" s="250"/>
      <c r="TZY157" s="250"/>
      <c r="TZZ157" s="250"/>
      <c r="UAA157" s="250"/>
      <c r="UAB157" s="250"/>
      <c r="UAC157" s="250"/>
      <c r="UAD157" s="250"/>
      <c r="UAE157" s="250"/>
      <c r="UAF157" s="250"/>
      <c r="UAG157" s="250"/>
      <c r="UAH157" s="250"/>
      <c r="UAI157" s="250"/>
      <c r="UAJ157" s="250"/>
      <c r="UAK157" s="250"/>
      <c r="UAL157" s="250"/>
      <c r="UAM157" s="250"/>
      <c r="UAN157" s="250"/>
      <c r="UAO157" s="250"/>
      <c r="UAP157" s="250"/>
      <c r="UAQ157" s="250"/>
      <c r="UAR157" s="250"/>
      <c r="UAS157" s="250"/>
      <c r="UAT157" s="250"/>
      <c r="UAU157" s="250"/>
      <c r="UAV157" s="250"/>
      <c r="UAW157" s="250"/>
      <c r="UAX157" s="250"/>
      <c r="UAY157" s="250"/>
      <c r="UAZ157" s="250"/>
      <c r="UBA157" s="250"/>
      <c r="UBB157" s="250"/>
      <c r="UBC157" s="250"/>
      <c r="UBD157" s="250"/>
      <c r="UBE157" s="250"/>
      <c r="UBF157" s="250"/>
      <c r="UBG157" s="250"/>
      <c r="UBH157" s="250"/>
      <c r="UBI157" s="250"/>
      <c r="UBJ157" s="250"/>
      <c r="UBK157" s="250"/>
      <c r="UBL157" s="250"/>
      <c r="UBM157" s="250"/>
      <c r="UBN157" s="250"/>
      <c r="UBO157" s="250"/>
      <c r="UBP157" s="250"/>
      <c r="UBQ157" s="250"/>
      <c r="UBR157" s="250"/>
      <c r="UBS157" s="250"/>
      <c r="UBT157" s="250"/>
      <c r="UBU157" s="250"/>
      <c r="UBV157" s="250"/>
      <c r="UBW157" s="250"/>
      <c r="UBX157" s="250"/>
      <c r="UBY157" s="250"/>
      <c r="UBZ157" s="250"/>
      <c r="UCA157" s="250"/>
      <c r="UCB157" s="250"/>
      <c r="UCC157" s="250"/>
      <c r="UCD157" s="250"/>
      <c r="UCE157" s="250"/>
      <c r="UCF157" s="250"/>
      <c r="UCG157" s="250"/>
      <c r="UCH157" s="250"/>
      <c r="UCI157" s="250"/>
      <c r="UCJ157" s="250"/>
      <c r="UCK157" s="250"/>
      <c r="UCL157" s="250"/>
      <c r="UCM157" s="250"/>
      <c r="UCN157" s="250"/>
      <c r="UCO157" s="250"/>
      <c r="UCP157" s="250"/>
      <c r="UCQ157" s="250"/>
      <c r="UCR157" s="250"/>
      <c r="UCS157" s="250"/>
      <c r="UCT157" s="250"/>
      <c r="UCU157" s="250"/>
      <c r="UCV157" s="250"/>
      <c r="UCW157" s="250"/>
      <c r="UCX157" s="250"/>
      <c r="UCY157" s="250"/>
      <c r="UCZ157" s="250"/>
      <c r="UDA157" s="250"/>
      <c r="UDB157" s="250"/>
      <c r="UDC157" s="250"/>
      <c r="UDD157" s="250"/>
      <c r="UDE157" s="250"/>
      <c r="UDF157" s="250"/>
      <c r="UDG157" s="250"/>
      <c r="UDH157" s="250"/>
      <c r="UDI157" s="250"/>
      <c r="UDJ157" s="250"/>
      <c r="UDK157" s="250"/>
      <c r="UDL157" s="250"/>
      <c r="UDM157" s="250"/>
      <c r="UDN157" s="250"/>
      <c r="UDO157" s="250"/>
      <c r="UDP157" s="250"/>
      <c r="UDQ157" s="250"/>
      <c r="UDR157" s="250"/>
      <c r="UDS157" s="250"/>
      <c r="UDT157" s="250"/>
      <c r="UDU157" s="250"/>
      <c r="UDV157" s="250"/>
      <c r="UDW157" s="250"/>
      <c r="UDX157" s="250"/>
      <c r="UDY157" s="250"/>
      <c r="UDZ157" s="250"/>
      <c r="UEA157" s="250"/>
      <c r="UEB157" s="250"/>
      <c r="UEC157" s="250"/>
      <c r="UED157" s="250"/>
      <c r="UEE157" s="250"/>
      <c r="UEF157" s="250"/>
      <c r="UEG157" s="250"/>
      <c r="UEH157" s="250"/>
      <c r="UEI157" s="250"/>
      <c r="UEJ157" s="250"/>
      <c r="UEK157" s="250"/>
      <c r="UEL157" s="250"/>
      <c r="UEM157" s="250"/>
      <c r="UEN157" s="250"/>
      <c r="UEO157" s="250"/>
      <c r="UEP157" s="250"/>
      <c r="UEQ157" s="250"/>
      <c r="UER157" s="250"/>
      <c r="UES157" s="250"/>
      <c r="UET157" s="250"/>
      <c r="UEU157" s="250"/>
      <c r="UEV157" s="250"/>
      <c r="UEW157" s="250"/>
      <c r="UEX157" s="250"/>
      <c r="UEY157" s="250"/>
      <c r="UEZ157" s="250"/>
      <c r="UFA157" s="250"/>
      <c r="UFB157" s="250"/>
      <c r="UFC157" s="250"/>
      <c r="UFD157" s="250"/>
      <c r="UFE157" s="250"/>
      <c r="UFF157" s="250"/>
      <c r="UFG157" s="250"/>
      <c r="UFH157" s="250"/>
      <c r="UFI157" s="250"/>
      <c r="UFJ157" s="250"/>
      <c r="UFK157" s="250"/>
      <c r="UFL157" s="250"/>
      <c r="UFM157" s="250"/>
      <c r="UFN157" s="250"/>
      <c r="UFO157" s="250"/>
      <c r="UFP157" s="250"/>
      <c r="UFQ157" s="250"/>
      <c r="UFR157" s="250"/>
      <c r="UFS157" s="250"/>
      <c r="UFT157" s="250"/>
      <c r="UFU157" s="250"/>
      <c r="UFV157" s="250"/>
      <c r="UFW157" s="250"/>
      <c r="UFX157" s="250"/>
      <c r="UFY157" s="250"/>
      <c r="UFZ157" s="250"/>
      <c r="UGA157" s="250"/>
      <c r="UGB157" s="250"/>
      <c r="UGC157" s="250"/>
      <c r="UGD157" s="250"/>
      <c r="UGE157" s="250"/>
      <c r="UGF157" s="250"/>
      <c r="UGG157" s="250"/>
      <c r="UGH157" s="250"/>
      <c r="UGI157" s="250"/>
      <c r="UGJ157" s="250"/>
      <c r="UGK157" s="250"/>
      <c r="UGL157" s="250"/>
      <c r="UGM157" s="250"/>
      <c r="UGN157" s="250"/>
      <c r="UGO157" s="250"/>
      <c r="UGP157" s="250"/>
      <c r="UGQ157" s="250"/>
      <c r="UGR157" s="250"/>
      <c r="UGS157" s="250"/>
      <c r="UGT157" s="250"/>
      <c r="UGU157" s="250"/>
      <c r="UGV157" s="250"/>
      <c r="UGW157" s="250"/>
      <c r="UGX157" s="250"/>
      <c r="UGY157" s="250"/>
      <c r="UGZ157" s="250"/>
      <c r="UHA157" s="250"/>
      <c r="UHB157" s="250"/>
      <c r="UHC157" s="250"/>
      <c r="UHD157" s="250"/>
      <c r="UHE157" s="250"/>
      <c r="UHF157" s="250"/>
      <c r="UHG157" s="250"/>
      <c r="UHH157" s="250"/>
      <c r="UHI157" s="250"/>
      <c r="UHJ157" s="250"/>
      <c r="UHK157" s="250"/>
      <c r="UHL157" s="250"/>
      <c r="UHM157" s="250"/>
      <c r="UHN157" s="250"/>
      <c r="UHO157" s="250"/>
      <c r="UHP157" s="250"/>
      <c r="UHQ157" s="250"/>
      <c r="UHR157" s="250"/>
      <c r="UHS157" s="250"/>
      <c r="UHT157" s="250"/>
      <c r="UHU157" s="250"/>
      <c r="UHV157" s="250"/>
      <c r="UHW157" s="250"/>
      <c r="UHX157" s="250"/>
      <c r="UHY157" s="250"/>
      <c r="UHZ157" s="250"/>
      <c r="UIA157" s="250"/>
      <c r="UIB157" s="250"/>
      <c r="UIC157" s="250"/>
      <c r="UID157" s="250"/>
      <c r="UIE157" s="250"/>
      <c r="UIF157" s="250"/>
      <c r="UIG157" s="250"/>
      <c r="UIH157" s="250"/>
      <c r="UII157" s="250"/>
      <c r="UIJ157" s="250"/>
      <c r="UIK157" s="250"/>
      <c r="UIL157" s="250"/>
      <c r="UIM157" s="250"/>
      <c r="UIN157" s="250"/>
      <c r="UIO157" s="250"/>
      <c r="UIP157" s="250"/>
      <c r="UIQ157" s="250"/>
      <c r="UIR157" s="250"/>
      <c r="UIS157" s="250"/>
      <c r="UIT157" s="250"/>
      <c r="UIU157" s="250"/>
      <c r="UIV157" s="250"/>
      <c r="UIW157" s="250"/>
      <c r="UIX157" s="250"/>
      <c r="UIY157" s="250"/>
      <c r="UIZ157" s="250"/>
      <c r="UJA157" s="250"/>
      <c r="UJB157" s="250"/>
      <c r="UJC157" s="250"/>
      <c r="UJD157" s="250"/>
      <c r="UJE157" s="250"/>
      <c r="UJF157" s="250"/>
      <c r="UJG157" s="250"/>
      <c r="UJH157" s="250"/>
      <c r="UJI157" s="250"/>
      <c r="UJJ157" s="250"/>
      <c r="UJK157" s="250"/>
      <c r="UJL157" s="250"/>
      <c r="UJM157" s="250"/>
      <c r="UJN157" s="250"/>
      <c r="UJO157" s="250"/>
      <c r="UJP157" s="250"/>
      <c r="UJQ157" s="250"/>
      <c r="UJR157" s="250"/>
      <c r="UJS157" s="250"/>
      <c r="UJT157" s="250"/>
      <c r="UJU157" s="250"/>
      <c r="UJV157" s="250"/>
      <c r="UJW157" s="250"/>
      <c r="UJX157" s="250"/>
      <c r="UJY157" s="250"/>
      <c r="UJZ157" s="250"/>
      <c r="UKA157" s="250"/>
      <c r="UKB157" s="250"/>
      <c r="UKC157" s="250"/>
      <c r="UKD157" s="250"/>
      <c r="UKE157" s="250"/>
      <c r="UKF157" s="250"/>
      <c r="UKG157" s="250"/>
      <c r="UKH157" s="250"/>
      <c r="UKI157" s="250"/>
      <c r="UKJ157" s="250"/>
      <c r="UKK157" s="250"/>
      <c r="UKL157" s="250"/>
      <c r="UKM157" s="250"/>
      <c r="UKN157" s="250"/>
      <c r="UKO157" s="250"/>
      <c r="UKP157" s="250"/>
      <c r="UKQ157" s="250"/>
      <c r="UKR157" s="250"/>
      <c r="UKS157" s="250"/>
      <c r="UKT157" s="250"/>
      <c r="UKU157" s="250"/>
      <c r="UKV157" s="250"/>
      <c r="UKW157" s="250"/>
      <c r="UKX157" s="250"/>
      <c r="UKY157" s="250"/>
      <c r="UKZ157" s="250"/>
      <c r="ULA157" s="250"/>
      <c r="ULB157" s="250"/>
      <c r="ULC157" s="250"/>
      <c r="ULD157" s="250"/>
      <c r="ULE157" s="250"/>
      <c r="ULF157" s="250"/>
      <c r="ULG157" s="250"/>
      <c r="ULH157" s="250"/>
      <c r="ULI157" s="250"/>
      <c r="ULJ157" s="250"/>
      <c r="ULK157" s="250"/>
      <c r="ULL157" s="250"/>
      <c r="ULM157" s="250"/>
      <c r="ULN157" s="250"/>
      <c r="ULO157" s="250"/>
      <c r="ULP157" s="250"/>
      <c r="ULQ157" s="250"/>
      <c r="ULR157" s="250"/>
      <c r="ULS157" s="250"/>
      <c r="ULT157" s="250"/>
      <c r="ULU157" s="250"/>
      <c r="ULV157" s="250"/>
      <c r="ULW157" s="250"/>
      <c r="ULX157" s="250"/>
      <c r="ULY157" s="250"/>
      <c r="ULZ157" s="250"/>
      <c r="UMA157" s="250"/>
      <c r="UMB157" s="250"/>
      <c r="UMC157" s="250"/>
      <c r="UMD157" s="250"/>
      <c r="UME157" s="250"/>
      <c r="UMF157" s="250"/>
      <c r="UMG157" s="250"/>
      <c r="UMH157" s="250"/>
      <c r="UMI157" s="250"/>
      <c r="UMJ157" s="250"/>
      <c r="UMK157" s="250"/>
      <c r="UML157" s="250"/>
      <c r="UMM157" s="250"/>
      <c r="UMN157" s="250"/>
      <c r="UMO157" s="250"/>
      <c r="UMP157" s="250"/>
      <c r="UMQ157" s="250"/>
      <c r="UMR157" s="250"/>
      <c r="UMS157" s="250"/>
      <c r="UMT157" s="250"/>
      <c r="UMU157" s="250"/>
      <c r="UMV157" s="250"/>
      <c r="UMW157" s="250"/>
      <c r="UMX157" s="250"/>
      <c r="UMY157" s="250"/>
      <c r="UMZ157" s="250"/>
      <c r="UNA157" s="250"/>
      <c r="UNB157" s="250"/>
      <c r="UNC157" s="250"/>
      <c r="UND157" s="250"/>
      <c r="UNE157" s="250"/>
      <c r="UNF157" s="250"/>
      <c r="UNG157" s="250"/>
      <c r="UNH157" s="250"/>
      <c r="UNI157" s="250"/>
      <c r="UNJ157" s="250"/>
      <c r="UNK157" s="250"/>
      <c r="UNL157" s="250"/>
      <c r="UNM157" s="250"/>
      <c r="UNN157" s="250"/>
      <c r="UNO157" s="250"/>
      <c r="UNP157" s="250"/>
      <c r="UNQ157" s="250"/>
      <c r="UNR157" s="250"/>
      <c r="UNS157" s="250"/>
      <c r="UNT157" s="250"/>
      <c r="UNU157" s="250"/>
      <c r="UNV157" s="250"/>
      <c r="UNW157" s="250"/>
      <c r="UNX157" s="250"/>
      <c r="UNY157" s="250"/>
      <c r="UNZ157" s="250"/>
      <c r="UOA157" s="250"/>
      <c r="UOB157" s="250"/>
      <c r="UOC157" s="250"/>
      <c r="UOD157" s="250"/>
      <c r="UOE157" s="250"/>
      <c r="UOF157" s="250"/>
      <c r="UOG157" s="250"/>
      <c r="UOH157" s="250"/>
      <c r="UOI157" s="250"/>
      <c r="UOJ157" s="250"/>
      <c r="UOK157" s="250"/>
      <c r="UOL157" s="250"/>
      <c r="UOM157" s="250"/>
      <c r="UON157" s="250"/>
      <c r="UOO157" s="250"/>
      <c r="UOP157" s="250"/>
      <c r="UOQ157" s="250"/>
      <c r="UOR157" s="250"/>
      <c r="UOS157" s="250"/>
      <c r="UOT157" s="250"/>
      <c r="UOU157" s="250"/>
      <c r="UOV157" s="250"/>
      <c r="UOW157" s="250"/>
      <c r="UOX157" s="250"/>
      <c r="UOY157" s="250"/>
      <c r="UOZ157" s="250"/>
      <c r="UPA157" s="250"/>
      <c r="UPB157" s="250"/>
      <c r="UPC157" s="250"/>
      <c r="UPD157" s="250"/>
      <c r="UPE157" s="250"/>
      <c r="UPF157" s="250"/>
      <c r="UPG157" s="250"/>
      <c r="UPH157" s="250"/>
      <c r="UPI157" s="250"/>
      <c r="UPJ157" s="250"/>
      <c r="UPK157" s="250"/>
      <c r="UPL157" s="250"/>
      <c r="UPM157" s="250"/>
      <c r="UPN157" s="250"/>
      <c r="UPO157" s="250"/>
      <c r="UPP157" s="250"/>
      <c r="UPQ157" s="250"/>
      <c r="UPR157" s="250"/>
      <c r="UPS157" s="250"/>
      <c r="UPT157" s="250"/>
      <c r="UPU157" s="250"/>
      <c r="UPV157" s="250"/>
      <c r="UPW157" s="250"/>
      <c r="UPX157" s="250"/>
      <c r="UPY157" s="250"/>
      <c r="UPZ157" s="250"/>
      <c r="UQA157" s="250"/>
      <c r="UQB157" s="250"/>
      <c r="UQC157" s="250"/>
      <c r="UQD157" s="250"/>
      <c r="UQE157" s="250"/>
      <c r="UQF157" s="250"/>
      <c r="UQG157" s="250"/>
      <c r="UQH157" s="250"/>
      <c r="UQI157" s="250"/>
      <c r="UQJ157" s="250"/>
      <c r="UQK157" s="250"/>
      <c r="UQL157" s="250"/>
      <c r="UQM157" s="250"/>
      <c r="UQN157" s="250"/>
      <c r="UQO157" s="250"/>
      <c r="UQP157" s="250"/>
      <c r="UQQ157" s="250"/>
      <c r="UQR157" s="250"/>
      <c r="UQS157" s="250"/>
      <c r="UQT157" s="250"/>
      <c r="UQU157" s="250"/>
      <c r="UQV157" s="250"/>
      <c r="UQW157" s="250"/>
      <c r="UQX157" s="250"/>
      <c r="UQY157" s="250"/>
      <c r="UQZ157" s="250"/>
      <c r="URA157" s="250"/>
      <c r="URB157" s="250"/>
      <c r="URC157" s="250"/>
      <c r="URD157" s="250"/>
      <c r="URE157" s="250"/>
      <c r="URF157" s="250"/>
      <c r="URG157" s="250"/>
      <c r="URH157" s="250"/>
      <c r="URI157" s="250"/>
      <c r="URJ157" s="250"/>
      <c r="URK157" s="250"/>
      <c r="URL157" s="250"/>
      <c r="URM157" s="250"/>
      <c r="URN157" s="250"/>
      <c r="URO157" s="250"/>
      <c r="URP157" s="250"/>
      <c r="URQ157" s="250"/>
      <c r="URR157" s="250"/>
      <c r="URS157" s="250"/>
      <c r="URT157" s="250"/>
      <c r="URU157" s="250"/>
      <c r="URV157" s="250"/>
      <c r="URW157" s="250"/>
      <c r="URX157" s="250"/>
      <c r="URY157" s="250"/>
      <c r="URZ157" s="250"/>
      <c r="USA157" s="250"/>
      <c r="USB157" s="250"/>
      <c r="USC157" s="250"/>
      <c r="USD157" s="250"/>
      <c r="USE157" s="250"/>
      <c r="USF157" s="250"/>
      <c r="USG157" s="250"/>
      <c r="USH157" s="250"/>
      <c r="USI157" s="250"/>
      <c r="USJ157" s="250"/>
      <c r="USK157" s="250"/>
      <c r="USL157" s="250"/>
      <c r="USM157" s="250"/>
      <c r="USN157" s="250"/>
      <c r="USO157" s="250"/>
      <c r="USP157" s="250"/>
      <c r="USQ157" s="250"/>
      <c r="USR157" s="250"/>
      <c r="USS157" s="250"/>
      <c r="UST157" s="250"/>
      <c r="USU157" s="250"/>
      <c r="USV157" s="250"/>
      <c r="USW157" s="250"/>
      <c r="USX157" s="250"/>
      <c r="USY157" s="250"/>
      <c r="USZ157" s="250"/>
      <c r="UTA157" s="250"/>
      <c r="UTB157" s="250"/>
      <c r="UTC157" s="250"/>
      <c r="UTD157" s="250"/>
      <c r="UTE157" s="250"/>
      <c r="UTF157" s="250"/>
      <c r="UTG157" s="250"/>
      <c r="UTH157" s="250"/>
      <c r="UTI157" s="250"/>
      <c r="UTJ157" s="250"/>
      <c r="UTK157" s="250"/>
      <c r="UTL157" s="250"/>
      <c r="UTM157" s="250"/>
      <c r="UTN157" s="250"/>
      <c r="UTO157" s="250"/>
      <c r="UTP157" s="250"/>
      <c r="UTQ157" s="250"/>
      <c r="UTR157" s="250"/>
      <c r="UTS157" s="250"/>
      <c r="UTT157" s="250"/>
      <c r="UTU157" s="250"/>
      <c r="UTV157" s="250"/>
      <c r="UTW157" s="250"/>
      <c r="UTX157" s="250"/>
      <c r="UTY157" s="250"/>
      <c r="UTZ157" s="250"/>
      <c r="UUA157" s="250"/>
      <c r="UUB157" s="250"/>
      <c r="UUC157" s="250"/>
      <c r="UUD157" s="250"/>
      <c r="UUE157" s="250"/>
      <c r="UUF157" s="250"/>
      <c r="UUG157" s="250"/>
      <c r="UUH157" s="250"/>
      <c r="UUI157" s="250"/>
      <c r="UUJ157" s="250"/>
      <c r="UUK157" s="250"/>
      <c r="UUL157" s="250"/>
      <c r="UUM157" s="250"/>
      <c r="UUN157" s="250"/>
      <c r="UUO157" s="250"/>
      <c r="UUP157" s="250"/>
      <c r="UUQ157" s="250"/>
      <c r="UUR157" s="250"/>
      <c r="UUS157" s="250"/>
      <c r="UUT157" s="250"/>
      <c r="UUU157" s="250"/>
      <c r="UUV157" s="250"/>
      <c r="UUW157" s="250"/>
      <c r="UUX157" s="250"/>
      <c r="UUY157" s="250"/>
      <c r="UUZ157" s="250"/>
      <c r="UVA157" s="250"/>
      <c r="UVB157" s="250"/>
      <c r="UVC157" s="250"/>
      <c r="UVD157" s="250"/>
      <c r="UVE157" s="250"/>
      <c r="UVF157" s="250"/>
      <c r="UVG157" s="250"/>
      <c r="UVH157" s="250"/>
      <c r="UVI157" s="250"/>
      <c r="UVJ157" s="250"/>
      <c r="UVK157" s="250"/>
      <c r="UVL157" s="250"/>
      <c r="UVM157" s="250"/>
      <c r="UVN157" s="250"/>
      <c r="UVO157" s="250"/>
      <c r="UVP157" s="250"/>
      <c r="UVQ157" s="250"/>
      <c r="UVR157" s="250"/>
      <c r="UVS157" s="250"/>
      <c r="UVT157" s="250"/>
      <c r="UVU157" s="250"/>
      <c r="UVV157" s="250"/>
      <c r="UVW157" s="250"/>
      <c r="UVX157" s="250"/>
      <c r="UVY157" s="250"/>
      <c r="UVZ157" s="250"/>
      <c r="UWA157" s="250"/>
      <c r="UWB157" s="250"/>
      <c r="UWC157" s="250"/>
      <c r="UWD157" s="250"/>
      <c r="UWE157" s="250"/>
      <c r="UWF157" s="250"/>
      <c r="UWG157" s="250"/>
      <c r="UWH157" s="250"/>
      <c r="UWI157" s="250"/>
      <c r="UWJ157" s="250"/>
      <c r="UWK157" s="250"/>
      <c r="UWL157" s="250"/>
      <c r="UWM157" s="250"/>
      <c r="UWN157" s="250"/>
      <c r="UWO157" s="250"/>
      <c r="UWP157" s="250"/>
      <c r="UWQ157" s="250"/>
      <c r="UWR157" s="250"/>
      <c r="UWS157" s="250"/>
      <c r="UWT157" s="250"/>
      <c r="UWU157" s="250"/>
      <c r="UWV157" s="250"/>
      <c r="UWW157" s="250"/>
      <c r="UWX157" s="250"/>
      <c r="UWY157" s="250"/>
      <c r="UWZ157" s="250"/>
      <c r="UXA157" s="250"/>
      <c r="UXB157" s="250"/>
      <c r="UXC157" s="250"/>
      <c r="UXD157" s="250"/>
      <c r="UXE157" s="250"/>
      <c r="UXF157" s="250"/>
      <c r="UXG157" s="250"/>
      <c r="UXH157" s="250"/>
      <c r="UXI157" s="250"/>
      <c r="UXJ157" s="250"/>
      <c r="UXK157" s="250"/>
      <c r="UXL157" s="250"/>
      <c r="UXM157" s="250"/>
      <c r="UXN157" s="250"/>
      <c r="UXO157" s="250"/>
      <c r="UXP157" s="250"/>
      <c r="UXQ157" s="250"/>
      <c r="UXR157" s="250"/>
      <c r="UXS157" s="250"/>
      <c r="UXT157" s="250"/>
      <c r="UXU157" s="250"/>
      <c r="UXV157" s="250"/>
      <c r="UXW157" s="250"/>
      <c r="UXX157" s="250"/>
      <c r="UXY157" s="250"/>
      <c r="UXZ157" s="250"/>
      <c r="UYA157" s="250"/>
      <c r="UYB157" s="250"/>
      <c r="UYC157" s="250"/>
      <c r="UYD157" s="250"/>
      <c r="UYE157" s="250"/>
      <c r="UYF157" s="250"/>
      <c r="UYG157" s="250"/>
      <c r="UYH157" s="250"/>
      <c r="UYI157" s="250"/>
      <c r="UYJ157" s="250"/>
      <c r="UYK157" s="250"/>
      <c r="UYL157" s="250"/>
      <c r="UYM157" s="250"/>
      <c r="UYN157" s="250"/>
      <c r="UYO157" s="250"/>
      <c r="UYP157" s="250"/>
      <c r="UYQ157" s="250"/>
      <c r="UYR157" s="250"/>
      <c r="UYS157" s="250"/>
      <c r="UYT157" s="250"/>
      <c r="UYU157" s="250"/>
      <c r="UYV157" s="250"/>
      <c r="UYW157" s="250"/>
      <c r="UYX157" s="250"/>
      <c r="UYY157" s="250"/>
      <c r="UYZ157" s="250"/>
      <c r="UZA157" s="250"/>
      <c r="UZB157" s="250"/>
      <c r="UZC157" s="250"/>
      <c r="UZD157" s="250"/>
      <c r="UZE157" s="250"/>
      <c r="UZF157" s="250"/>
      <c r="UZG157" s="250"/>
      <c r="UZH157" s="250"/>
      <c r="UZI157" s="250"/>
      <c r="UZJ157" s="250"/>
      <c r="UZK157" s="250"/>
      <c r="UZL157" s="250"/>
      <c r="UZM157" s="250"/>
      <c r="UZN157" s="250"/>
      <c r="UZO157" s="250"/>
      <c r="UZP157" s="250"/>
      <c r="UZQ157" s="250"/>
      <c r="UZR157" s="250"/>
      <c r="UZS157" s="250"/>
      <c r="UZT157" s="250"/>
      <c r="UZU157" s="250"/>
      <c r="UZV157" s="250"/>
      <c r="UZW157" s="250"/>
      <c r="UZX157" s="250"/>
      <c r="UZY157" s="250"/>
      <c r="UZZ157" s="250"/>
      <c r="VAA157" s="250"/>
      <c r="VAB157" s="250"/>
      <c r="VAC157" s="250"/>
      <c r="VAD157" s="250"/>
      <c r="VAE157" s="250"/>
      <c r="VAF157" s="250"/>
      <c r="VAG157" s="250"/>
      <c r="VAH157" s="250"/>
      <c r="VAI157" s="250"/>
      <c r="VAJ157" s="250"/>
      <c r="VAK157" s="250"/>
      <c r="VAL157" s="250"/>
      <c r="VAM157" s="250"/>
      <c r="VAN157" s="250"/>
      <c r="VAO157" s="250"/>
      <c r="VAP157" s="250"/>
      <c r="VAQ157" s="250"/>
      <c r="VAR157" s="250"/>
      <c r="VAS157" s="250"/>
      <c r="VAT157" s="250"/>
      <c r="VAU157" s="250"/>
      <c r="VAV157" s="250"/>
      <c r="VAW157" s="250"/>
      <c r="VAX157" s="250"/>
      <c r="VAY157" s="250"/>
      <c r="VAZ157" s="250"/>
      <c r="VBA157" s="250"/>
      <c r="VBB157" s="250"/>
      <c r="VBC157" s="250"/>
      <c r="VBD157" s="250"/>
      <c r="VBE157" s="250"/>
      <c r="VBF157" s="250"/>
      <c r="VBG157" s="250"/>
      <c r="VBH157" s="250"/>
      <c r="VBI157" s="250"/>
      <c r="VBJ157" s="250"/>
      <c r="VBK157" s="250"/>
      <c r="VBL157" s="250"/>
      <c r="VBM157" s="250"/>
      <c r="VBN157" s="250"/>
      <c r="VBO157" s="250"/>
      <c r="VBP157" s="250"/>
      <c r="VBQ157" s="250"/>
      <c r="VBR157" s="250"/>
      <c r="VBS157" s="250"/>
      <c r="VBT157" s="250"/>
      <c r="VBU157" s="250"/>
      <c r="VBV157" s="250"/>
      <c r="VBW157" s="250"/>
      <c r="VBX157" s="250"/>
      <c r="VBY157" s="250"/>
      <c r="VBZ157" s="250"/>
      <c r="VCA157" s="250"/>
      <c r="VCB157" s="250"/>
      <c r="VCC157" s="250"/>
      <c r="VCD157" s="250"/>
      <c r="VCE157" s="250"/>
      <c r="VCF157" s="250"/>
      <c r="VCG157" s="250"/>
      <c r="VCH157" s="250"/>
      <c r="VCI157" s="250"/>
      <c r="VCJ157" s="250"/>
      <c r="VCK157" s="250"/>
      <c r="VCL157" s="250"/>
      <c r="VCM157" s="250"/>
      <c r="VCN157" s="250"/>
      <c r="VCO157" s="250"/>
      <c r="VCP157" s="250"/>
      <c r="VCQ157" s="250"/>
      <c r="VCR157" s="250"/>
      <c r="VCS157" s="250"/>
      <c r="VCT157" s="250"/>
      <c r="VCU157" s="250"/>
      <c r="VCV157" s="250"/>
      <c r="VCW157" s="250"/>
      <c r="VCX157" s="250"/>
      <c r="VCY157" s="250"/>
      <c r="VCZ157" s="250"/>
      <c r="VDA157" s="250"/>
      <c r="VDB157" s="250"/>
      <c r="VDC157" s="250"/>
      <c r="VDD157" s="250"/>
      <c r="VDE157" s="250"/>
      <c r="VDF157" s="250"/>
      <c r="VDG157" s="250"/>
      <c r="VDH157" s="250"/>
      <c r="VDI157" s="250"/>
      <c r="VDJ157" s="250"/>
      <c r="VDK157" s="250"/>
      <c r="VDL157" s="250"/>
      <c r="VDM157" s="250"/>
      <c r="VDN157" s="250"/>
      <c r="VDO157" s="250"/>
      <c r="VDP157" s="250"/>
      <c r="VDQ157" s="250"/>
      <c r="VDR157" s="250"/>
      <c r="VDS157" s="250"/>
      <c r="VDT157" s="250"/>
      <c r="VDU157" s="250"/>
      <c r="VDV157" s="250"/>
      <c r="VDW157" s="250"/>
      <c r="VDX157" s="250"/>
      <c r="VDY157" s="250"/>
      <c r="VDZ157" s="250"/>
      <c r="VEA157" s="250"/>
      <c r="VEB157" s="250"/>
      <c r="VEC157" s="250"/>
      <c r="VED157" s="250"/>
      <c r="VEE157" s="250"/>
      <c r="VEF157" s="250"/>
      <c r="VEG157" s="250"/>
      <c r="VEH157" s="250"/>
      <c r="VEI157" s="250"/>
      <c r="VEJ157" s="250"/>
      <c r="VEK157" s="250"/>
      <c r="VEL157" s="250"/>
      <c r="VEM157" s="250"/>
      <c r="VEN157" s="250"/>
      <c r="VEO157" s="250"/>
      <c r="VEP157" s="250"/>
      <c r="VEQ157" s="250"/>
      <c r="VER157" s="250"/>
      <c r="VES157" s="250"/>
      <c r="VET157" s="250"/>
      <c r="VEU157" s="250"/>
      <c r="VEV157" s="250"/>
      <c r="VEW157" s="250"/>
      <c r="VEX157" s="250"/>
      <c r="VEY157" s="250"/>
      <c r="VEZ157" s="250"/>
      <c r="VFA157" s="250"/>
      <c r="VFB157" s="250"/>
      <c r="VFC157" s="250"/>
      <c r="VFD157" s="250"/>
      <c r="VFE157" s="250"/>
      <c r="VFF157" s="250"/>
      <c r="VFG157" s="250"/>
      <c r="VFH157" s="250"/>
      <c r="VFI157" s="250"/>
      <c r="VFJ157" s="250"/>
      <c r="VFK157" s="250"/>
      <c r="VFL157" s="250"/>
      <c r="VFM157" s="250"/>
      <c r="VFN157" s="250"/>
      <c r="VFO157" s="250"/>
      <c r="VFP157" s="250"/>
      <c r="VFQ157" s="250"/>
      <c r="VFR157" s="250"/>
      <c r="VFS157" s="250"/>
      <c r="VFT157" s="250"/>
      <c r="VFU157" s="250"/>
      <c r="VFV157" s="250"/>
      <c r="VFW157" s="250"/>
      <c r="VFX157" s="250"/>
      <c r="VFY157" s="250"/>
      <c r="VFZ157" s="250"/>
      <c r="VGA157" s="250"/>
      <c r="VGB157" s="250"/>
      <c r="VGC157" s="250"/>
      <c r="VGD157" s="250"/>
      <c r="VGE157" s="250"/>
      <c r="VGF157" s="250"/>
      <c r="VGG157" s="250"/>
      <c r="VGH157" s="250"/>
      <c r="VGI157" s="250"/>
      <c r="VGJ157" s="250"/>
      <c r="VGK157" s="250"/>
      <c r="VGL157" s="250"/>
      <c r="VGM157" s="250"/>
      <c r="VGN157" s="250"/>
      <c r="VGO157" s="250"/>
      <c r="VGP157" s="250"/>
      <c r="VGQ157" s="250"/>
      <c r="VGR157" s="250"/>
      <c r="VGS157" s="250"/>
      <c r="VGT157" s="250"/>
      <c r="VGU157" s="250"/>
      <c r="VGV157" s="250"/>
      <c r="VGW157" s="250"/>
      <c r="VGX157" s="250"/>
      <c r="VGY157" s="250"/>
      <c r="VGZ157" s="250"/>
      <c r="VHA157" s="250"/>
      <c r="VHB157" s="250"/>
      <c r="VHC157" s="250"/>
      <c r="VHD157" s="250"/>
      <c r="VHE157" s="250"/>
      <c r="VHF157" s="250"/>
      <c r="VHG157" s="250"/>
      <c r="VHH157" s="250"/>
      <c r="VHI157" s="250"/>
      <c r="VHJ157" s="250"/>
      <c r="VHK157" s="250"/>
      <c r="VHL157" s="250"/>
      <c r="VHM157" s="250"/>
      <c r="VHN157" s="250"/>
      <c r="VHO157" s="250"/>
      <c r="VHP157" s="250"/>
      <c r="VHQ157" s="250"/>
      <c r="VHR157" s="250"/>
      <c r="VHS157" s="250"/>
      <c r="VHT157" s="250"/>
      <c r="VHU157" s="250"/>
      <c r="VHV157" s="250"/>
      <c r="VHW157" s="250"/>
      <c r="VHX157" s="250"/>
      <c r="VHY157" s="250"/>
      <c r="VHZ157" s="250"/>
      <c r="VIA157" s="250"/>
      <c r="VIB157" s="250"/>
      <c r="VIC157" s="250"/>
      <c r="VID157" s="250"/>
      <c r="VIE157" s="250"/>
      <c r="VIF157" s="250"/>
      <c r="VIG157" s="250"/>
      <c r="VIH157" s="250"/>
      <c r="VII157" s="250"/>
      <c r="VIJ157" s="250"/>
      <c r="VIK157" s="250"/>
      <c r="VIL157" s="250"/>
      <c r="VIM157" s="250"/>
      <c r="VIN157" s="250"/>
      <c r="VIO157" s="250"/>
      <c r="VIP157" s="250"/>
      <c r="VIQ157" s="250"/>
      <c r="VIR157" s="250"/>
      <c r="VIS157" s="250"/>
      <c r="VIT157" s="250"/>
      <c r="VIU157" s="250"/>
      <c r="VIV157" s="250"/>
      <c r="VIW157" s="250"/>
      <c r="VIX157" s="250"/>
      <c r="VIY157" s="250"/>
      <c r="VIZ157" s="250"/>
      <c r="VJA157" s="250"/>
      <c r="VJB157" s="250"/>
      <c r="VJC157" s="250"/>
      <c r="VJD157" s="250"/>
      <c r="VJE157" s="250"/>
      <c r="VJF157" s="250"/>
      <c r="VJG157" s="250"/>
      <c r="VJH157" s="250"/>
      <c r="VJI157" s="250"/>
      <c r="VJJ157" s="250"/>
      <c r="VJK157" s="250"/>
      <c r="VJL157" s="250"/>
      <c r="VJM157" s="250"/>
      <c r="VJN157" s="250"/>
      <c r="VJO157" s="250"/>
      <c r="VJP157" s="250"/>
      <c r="VJQ157" s="250"/>
      <c r="VJR157" s="250"/>
      <c r="VJS157" s="250"/>
      <c r="VJT157" s="250"/>
      <c r="VJU157" s="250"/>
      <c r="VJV157" s="250"/>
      <c r="VJW157" s="250"/>
      <c r="VJX157" s="250"/>
      <c r="VJY157" s="250"/>
      <c r="VJZ157" s="250"/>
      <c r="VKA157" s="250"/>
      <c r="VKB157" s="250"/>
      <c r="VKC157" s="250"/>
      <c r="VKD157" s="250"/>
      <c r="VKE157" s="250"/>
      <c r="VKF157" s="250"/>
      <c r="VKG157" s="250"/>
      <c r="VKH157" s="250"/>
      <c r="VKI157" s="250"/>
      <c r="VKJ157" s="250"/>
      <c r="VKK157" s="250"/>
      <c r="VKL157" s="250"/>
      <c r="VKM157" s="250"/>
      <c r="VKN157" s="250"/>
      <c r="VKO157" s="250"/>
      <c r="VKP157" s="250"/>
      <c r="VKQ157" s="250"/>
      <c r="VKR157" s="250"/>
      <c r="VKS157" s="250"/>
      <c r="VKT157" s="250"/>
      <c r="VKU157" s="250"/>
      <c r="VKV157" s="250"/>
      <c r="VKW157" s="250"/>
      <c r="VKX157" s="250"/>
      <c r="VKY157" s="250"/>
      <c r="VKZ157" s="250"/>
      <c r="VLA157" s="250"/>
      <c r="VLB157" s="250"/>
      <c r="VLC157" s="250"/>
      <c r="VLD157" s="250"/>
      <c r="VLE157" s="250"/>
      <c r="VLF157" s="250"/>
      <c r="VLG157" s="250"/>
      <c r="VLH157" s="250"/>
      <c r="VLI157" s="250"/>
      <c r="VLJ157" s="250"/>
      <c r="VLK157" s="250"/>
      <c r="VLL157" s="250"/>
      <c r="VLM157" s="250"/>
      <c r="VLN157" s="250"/>
      <c r="VLO157" s="250"/>
      <c r="VLP157" s="250"/>
      <c r="VLQ157" s="250"/>
      <c r="VLR157" s="250"/>
      <c r="VLS157" s="250"/>
      <c r="VLT157" s="250"/>
      <c r="VLU157" s="250"/>
      <c r="VLV157" s="250"/>
      <c r="VLW157" s="250"/>
      <c r="VLX157" s="250"/>
      <c r="VLY157" s="250"/>
      <c r="VLZ157" s="250"/>
      <c r="VMA157" s="250"/>
      <c r="VMB157" s="250"/>
      <c r="VMC157" s="250"/>
      <c r="VMD157" s="250"/>
      <c r="VME157" s="250"/>
      <c r="VMF157" s="250"/>
      <c r="VMG157" s="250"/>
      <c r="VMH157" s="250"/>
      <c r="VMI157" s="250"/>
      <c r="VMJ157" s="250"/>
      <c r="VMK157" s="250"/>
      <c r="VML157" s="250"/>
      <c r="VMM157" s="250"/>
      <c r="VMN157" s="250"/>
      <c r="VMO157" s="250"/>
      <c r="VMP157" s="250"/>
      <c r="VMQ157" s="250"/>
      <c r="VMR157" s="250"/>
      <c r="VMS157" s="250"/>
      <c r="VMT157" s="250"/>
      <c r="VMU157" s="250"/>
      <c r="VMV157" s="250"/>
      <c r="VMW157" s="250"/>
      <c r="VMX157" s="250"/>
      <c r="VMY157" s="250"/>
      <c r="VMZ157" s="250"/>
      <c r="VNA157" s="250"/>
      <c r="VNB157" s="250"/>
      <c r="VNC157" s="250"/>
      <c r="VND157" s="250"/>
      <c r="VNE157" s="250"/>
      <c r="VNF157" s="250"/>
      <c r="VNG157" s="250"/>
      <c r="VNH157" s="250"/>
      <c r="VNI157" s="250"/>
      <c r="VNJ157" s="250"/>
      <c r="VNK157" s="250"/>
      <c r="VNL157" s="250"/>
      <c r="VNM157" s="250"/>
      <c r="VNN157" s="250"/>
      <c r="VNO157" s="250"/>
      <c r="VNP157" s="250"/>
      <c r="VNQ157" s="250"/>
      <c r="VNR157" s="250"/>
      <c r="VNS157" s="250"/>
      <c r="VNT157" s="250"/>
      <c r="VNU157" s="250"/>
      <c r="VNV157" s="250"/>
      <c r="VNW157" s="250"/>
      <c r="VNX157" s="250"/>
      <c r="VNY157" s="250"/>
      <c r="VNZ157" s="250"/>
      <c r="VOA157" s="250"/>
      <c r="VOB157" s="250"/>
      <c r="VOC157" s="250"/>
      <c r="VOD157" s="250"/>
      <c r="VOE157" s="250"/>
      <c r="VOF157" s="250"/>
      <c r="VOG157" s="250"/>
      <c r="VOH157" s="250"/>
      <c r="VOI157" s="250"/>
      <c r="VOJ157" s="250"/>
      <c r="VOK157" s="250"/>
      <c r="VOL157" s="250"/>
      <c r="VOM157" s="250"/>
      <c r="VON157" s="250"/>
      <c r="VOO157" s="250"/>
      <c r="VOP157" s="250"/>
      <c r="VOQ157" s="250"/>
      <c r="VOR157" s="250"/>
      <c r="VOS157" s="250"/>
      <c r="VOT157" s="250"/>
      <c r="VOU157" s="250"/>
      <c r="VOV157" s="250"/>
      <c r="VOW157" s="250"/>
      <c r="VOX157" s="250"/>
      <c r="VOY157" s="250"/>
      <c r="VOZ157" s="250"/>
      <c r="VPA157" s="250"/>
      <c r="VPB157" s="250"/>
      <c r="VPC157" s="250"/>
      <c r="VPD157" s="250"/>
      <c r="VPE157" s="250"/>
      <c r="VPF157" s="250"/>
      <c r="VPG157" s="250"/>
      <c r="VPH157" s="250"/>
      <c r="VPI157" s="250"/>
      <c r="VPJ157" s="250"/>
      <c r="VPK157" s="250"/>
      <c r="VPL157" s="250"/>
      <c r="VPM157" s="250"/>
      <c r="VPN157" s="250"/>
      <c r="VPO157" s="250"/>
      <c r="VPP157" s="250"/>
      <c r="VPQ157" s="250"/>
      <c r="VPR157" s="250"/>
      <c r="VPS157" s="250"/>
      <c r="VPT157" s="250"/>
      <c r="VPU157" s="250"/>
      <c r="VPV157" s="250"/>
      <c r="VPW157" s="250"/>
      <c r="VPX157" s="250"/>
      <c r="VPY157" s="250"/>
      <c r="VPZ157" s="250"/>
      <c r="VQA157" s="250"/>
      <c r="VQB157" s="250"/>
      <c r="VQC157" s="250"/>
      <c r="VQD157" s="250"/>
      <c r="VQE157" s="250"/>
      <c r="VQF157" s="250"/>
      <c r="VQG157" s="250"/>
      <c r="VQH157" s="250"/>
      <c r="VQI157" s="250"/>
      <c r="VQJ157" s="250"/>
      <c r="VQK157" s="250"/>
      <c r="VQL157" s="250"/>
      <c r="VQM157" s="250"/>
      <c r="VQN157" s="250"/>
      <c r="VQO157" s="250"/>
      <c r="VQP157" s="250"/>
      <c r="VQQ157" s="250"/>
      <c r="VQR157" s="250"/>
      <c r="VQS157" s="250"/>
      <c r="VQT157" s="250"/>
      <c r="VQU157" s="250"/>
      <c r="VQV157" s="250"/>
      <c r="VQW157" s="250"/>
      <c r="VQX157" s="250"/>
      <c r="VQY157" s="250"/>
      <c r="VQZ157" s="250"/>
      <c r="VRA157" s="250"/>
      <c r="VRB157" s="250"/>
      <c r="VRC157" s="250"/>
      <c r="VRD157" s="250"/>
      <c r="VRE157" s="250"/>
      <c r="VRF157" s="250"/>
      <c r="VRG157" s="250"/>
      <c r="VRH157" s="250"/>
      <c r="VRI157" s="250"/>
      <c r="VRJ157" s="250"/>
      <c r="VRK157" s="250"/>
      <c r="VRL157" s="250"/>
      <c r="VRM157" s="250"/>
      <c r="VRN157" s="250"/>
      <c r="VRO157" s="250"/>
      <c r="VRP157" s="250"/>
      <c r="VRQ157" s="250"/>
      <c r="VRR157" s="250"/>
      <c r="VRS157" s="250"/>
      <c r="VRT157" s="250"/>
      <c r="VRU157" s="250"/>
      <c r="VRV157" s="250"/>
      <c r="VRW157" s="250"/>
      <c r="VRX157" s="250"/>
      <c r="VRY157" s="250"/>
      <c r="VRZ157" s="250"/>
      <c r="VSA157" s="250"/>
      <c r="VSB157" s="250"/>
      <c r="VSC157" s="250"/>
      <c r="VSD157" s="250"/>
      <c r="VSE157" s="250"/>
      <c r="VSF157" s="250"/>
      <c r="VSG157" s="250"/>
      <c r="VSH157" s="250"/>
      <c r="VSI157" s="250"/>
      <c r="VSJ157" s="250"/>
      <c r="VSK157" s="250"/>
      <c r="VSL157" s="250"/>
      <c r="VSM157" s="250"/>
      <c r="VSN157" s="250"/>
      <c r="VSO157" s="250"/>
      <c r="VSP157" s="250"/>
      <c r="VSQ157" s="250"/>
      <c r="VSR157" s="250"/>
      <c r="VSS157" s="250"/>
      <c r="VST157" s="250"/>
      <c r="VSU157" s="250"/>
      <c r="VSV157" s="250"/>
      <c r="VSW157" s="250"/>
      <c r="VSX157" s="250"/>
      <c r="VSY157" s="250"/>
      <c r="VSZ157" s="250"/>
      <c r="VTA157" s="250"/>
      <c r="VTB157" s="250"/>
      <c r="VTC157" s="250"/>
      <c r="VTD157" s="250"/>
      <c r="VTE157" s="250"/>
      <c r="VTF157" s="250"/>
      <c r="VTG157" s="250"/>
      <c r="VTH157" s="250"/>
      <c r="VTI157" s="250"/>
      <c r="VTJ157" s="250"/>
      <c r="VTK157" s="250"/>
      <c r="VTL157" s="250"/>
      <c r="VTM157" s="250"/>
      <c r="VTN157" s="250"/>
      <c r="VTO157" s="250"/>
      <c r="VTP157" s="250"/>
      <c r="VTQ157" s="250"/>
      <c r="VTR157" s="250"/>
      <c r="VTS157" s="250"/>
      <c r="VTT157" s="250"/>
      <c r="VTU157" s="250"/>
      <c r="VTV157" s="250"/>
      <c r="VTW157" s="250"/>
      <c r="VTX157" s="250"/>
      <c r="VTY157" s="250"/>
      <c r="VTZ157" s="250"/>
      <c r="VUA157" s="250"/>
      <c r="VUB157" s="250"/>
      <c r="VUC157" s="250"/>
      <c r="VUD157" s="250"/>
      <c r="VUE157" s="250"/>
      <c r="VUF157" s="250"/>
      <c r="VUG157" s="250"/>
      <c r="VUH157" s="250"/>
      <c r="VUI157" s="250"/>
      <c r="VUJ157" s="250"/>
      <c r="VUK157" s="250"/>
      <c r="VUL157" s="250"/>
      <c r="VUM157" s="250"/>
      <c r="VUN157" s="250"/>
      <c r="VUO157" s="250"/>
      <c r="VUP157" s="250"/>
      <c r="VUQ157" s="250"/>
      <c r="VUR157" s="250"/>
      <c r="VUS157" s="250"/>
      <c r="VUT157" s="250"/>
      <c r="VUU157" s="250"/>
      <c r="VUV157" s="250"/>
      <c r="VUW157" s="250"/>
      <c r="VUX157" s="250"/>
      <c r="VUY157" s="250"/>
      <c r="VUZ157" s="250"/>
      <c r="VVA157" s="250"/>
      <c r="VVB157" s="250"/>
      <c r="VVC157" s="250"/>
      <c r="VVD157" s="250"/>
      <c r="VVE157" s="250"/>
      <c r="VVF157" s="250"/>
      <c r="VVG157" s="250"/>
      <c r="VVH157" s="250"/>
      <c r="VVI157" s="250"/>
      <c r="VVJ157" s="250"/>
      <c r="VVK157" s="250"/>
      <c r="VVL157" s="250"/>
      <c r="VVM157" s="250"/>
      <c r="VVN157" s="250"/>
      <c r="VVO157" s="250"/>
      <c r="VVP157" s="250"/>
      <c r="VVQ157" s="250"/>
      <c r="VVR157" s="250"/>
      <c r="VVS157" s="250"/>
      <c r="VVT157" s="250"/>
      <c r="VVU157" s="250"/>
      <c r="VVV157" s="250"/>
      <c r="VVW157" s="250"/>
      <c r="VVX157" s="250"/>
      <c r="VVY157" s="250"/>
      <c r="VVZ157" s="250"/>
      <c r="VWA157" s="250"/>
      <c r="VWB157" s="250"/>
      <c r="VWC157" s="250"/>
      <c r="VWD157" s="250"/>
      <c r="VWE157" s="250"/>
      <c r="VWF157" s="250"/>
      <c r="VWG157" s="250"/>
      <c r="VWH157" s="250"/>
      <c r="VWI157" s="250"/>
      <c r="VWJ157" s="250"/>
      <c r="VWK157" s="250"/>
      <c r="VWL157" s="250"/>
      <c r="VWM157" s="250"/>
      <c r="VWN157" s="250"/>
      <c r="VWO157" s="250"/>
      <c r="VWP157" s="250"/>
      <c r="VWQ157" s="250"/>
      <c r="VWR157" s="250"/>
      <c r="VWS157" s="250"/>
      <c r="VWT157" s="250"/>
      <c r="VWU157" s="250"/>
      <c r="VWV157" s="250"/>
      <c r="VWW157" s="250"/>
      <c r="VWX157" s="250"/>
      <c r="VWY157" s="250"/>
      <c r="VWZ157" s="250"/>
      <c r="VXA157" s="250"/>
      <c r="VXB157" s="250"/>
      <c r="VXC157" s="250"/>
      <c r="VXD157" s="250"/>
      <c r="VXE157" s="250"/>
      <c r="VXF157" s="250"/>
      <c r="VXG157" s="250"/>
      <c r="VXH157" s="250"/>
      <c r="VXI157" s="250"/>
      <c r="VXJ157" s="250"/>
      <c r="VXK157" s="250"/>
      <c r="VXL157" s="250"/>
      <c r="VXM157" s="250"/>
      <c r="VXN157" s="250"/>
      <c r="VXO157" s="250"/>
      <c r="VXP157" s="250"/>
      <c r="VXQ157" s="250"/>
      <c r="VXR157" s="250"/>
      <c r="VXS157" s="250"/>
      <c r="VXT157" s="250"/>
      <c r="VXU157" s="250"/>
      <c r="VXV157" s="250"/>
      <c r="VXW157" s="250"/>
      <c r="VXX157" s="250"/>
      <c r="VXY157" s="250"/>
      <c r="VXZ157" s="250"/>
      <c r="VYA157" s="250"/>
      <c r="VYB157" s="250"/>
      <c r="VYC157" s="250"/>
      <c r="VYD157" s="250"/>
      <c r="VYE157" s="250"/>
      <c r="VYF157" s="250"/>
      <c r="VYG157" s="250"/>
      <c r="VYH157" s="250"/>
      <c r="VYI157" s="250"/>
      <c r="VYJ157" s="250"/>
      <c r="VYK157" s="250"/>
      <c r="VYL157" s="250"/>
      <c r="VYM157" s="250"/>
      <c r="VYN157" s="250"/>
      <c r="VYO157" s="250"/>
      <c r="VYP157" s="250"/>
      <c r="VYQ157" s="250"/>
      <c r="VYR157" s="250"/>
      <c r="VYS157" s="250"/>
      <c r="VYT157" s="250"/>
      <c r="VYU157" s="250"/>
      <c r="VYV157" s="250"/>
      <c r="VYW157" s="250"/>
      <c r="VYX157" s="250"/>
      <c r="VYY157" s="250"/>
      <c r="VYZ157" s="250"/>
      <c r="VZA157" s="250"/>
      <c r="VZB157" s="250"/>
      <c r="VZC157" s="250"/>
      <c r="VZD157" s="250"/>
      <c r="VZE157" s="250"/>
      <c r="VZF157" s="250"/>
      <c r="VZG157" s="250"/>
      <c r="VZH157" s="250"/>
      <c r="VZI157" s="250"/>
      <c r="VZJ157" s="250"/>
      <c r="VZK157" s="250"/>
      <c r="VZL157" s="250"/>
      <c r="VZM157" s="250"/>
      <c r="VZN157" s="250"/>
      <c r="VZO157" s="250"/>
      <c r="VZP157" s="250"/>
      <c r="VZQ157" s="250"/>
      <c r="VZR157" s="250"/>
      <c r="VZS157" s="250"/>
      <c r="VZT157" s="250"/>
      <c r="VZU157" s="250"/>
      <c r="VZV157" s="250"/>
      <c r="VZW157" s="250"/>
      <c r="VZX157" s="250"/>
      <c r="VZY157" s="250"/>
      <c r="VZZ157" s="250"/>
      <c r="WAA157" s="250"/>
      <c r="WAB157" s="250"/>
      <c r="WAC157" s="250"/>
      <c r="WAD157" s="250"/>
      <c r="WAE157" s="250"/>
      <c r="WAF157" s="250"/>
      <c r="WAG157" s="250"/>
      <c r="WAH157" s="250"/>
      <c r="WAI157" s="250"/>
      <c r="WAJ157" s="250"/>
      <c r="WAK157" s="250"/>
      <c r="WAL157" s="250"/>
      <c r="WAM157" s="250"/>
      <c r="WAN157" s="250"/>
      <c r="WAO157" s="250"/>
      <c r="WAP157" s="250"/>
      <c r="WAQ157" s="250"/>
      <c r="WAR157" s="250"/>
      <c r="WAS157" s="250"/>
      <c r="WAT157" s="250"/>
      <c r="WAU157" s="250"/>
      <c r="WAV157" s="250"/>
      <c r="WAW157" s="250"/>
      <c r="WAX157" s="250"/>
      <c r="WAY157" s="250"/>
      <c r="WAZ157" s="250"/>
      <c r="WBA157" s="250"/>
      <c r="WBB157" s="250"/>
      <c r="WBC157" s="250"/>
      <c r="WBD157" s="250"/>
      <c r="WBE157" s="250"/>
      <c r="WBF157" s="250"/>
      <c r="WBG157" s="250"/>
      <c r="WBH157" s="250"/>
      <c r="WBI157" s="250"/>
      <c r="WBJ157" s="250"/>
      <c r="WBK157" s="250"/>
      <c r="WBL157" s="250"/>
      <c r="WBM157" s="250"/>
      <c r="WBN157" s="250"/>
      <c r="WBO157" s="250"/>
      <c r="WBP157" s="250"/>
      <c r="WBQ157" s="250"/>
      <c r="WBR157" s="250"/>
      <c r="WBS157" s="250"/>
      <c r="WBT157" s="250"/>
      <c r="WBU157" s="250"/>
      <c r="WBV157" s="250"/>
      <c r="WBW157" s="250"/>
      <c r="WBX157" s="250"/>
      <c r="WBY157" s="250"/>
      <c r="WBZ157" s="250"/>
      <c r="WCA157" s="250"/>
      <c r="WCB157" s="250"/>
      <c r="WCC157" s="250"/>
      <c r="WCD157" s="250"/>
      <c r="WCE157" s="250"/>
      <c r="WCF157" s="250"/>
      <c r="WCG157" s="250"/>
      <c r="WCH157" s="250"/>
      <c r="WCI157" s="250"/>
      <c r="WCJ157" s="250"/>
      <c r="WCK157" s="250"/>
      <c r="WCL157" s="250"/>
      <c r="WCM157" s="250"/>
      <c r="WCN157" s="250"/>
      <c r="WCO157" s="250"/>
      <c r="WCP157" s="250"/>
      <c r="WCQ157" s="250"/>
      <c r="WCR157" s="250"/>
      <c r="WCS157" s="250"/>
      <c r="WCT157" s="250"/>
      <c r="WCU157" s="250"/>
      <c r="WCV157" s="250"/>
      <c r="WCW157" s="250"/>
      <c r="WCX157" s="250"/>
      <c r="WCY157" s="250"/>
      <c r="WCZ157" s="250"/>
      <c r="WDA157" s="250"/>
      <c r="WDB157" s="250"/>
      <c r="WDC157" s="250"/>
      <c r="WDD157" s="250"/>
      <c r="WDE157" s="250"/>
      <c r="WDF157" s="250"/>
      <c r="WDG157" s="250"/>
      <c r="WDH157" s="250"/>
      <c r="WDI157" s="250"/>
      <c r="WDJ157" s="250"/>
      <c r="WDK157" s="250"/>
      <c r="WDL157" s="250"/>
      <c r="WDM157" s="250"/>
      <c r="WDN157" s="250"/>
      <c r="WDO157" s="250"/>
      <c r="WDP157" s="250"/>
      <c r="WDQ157" s="250"/>
      <c r="WDR157" s="250"/>
      <c r="WDS157" s="250"/>
      <c r="WDT157" s="250"/>
      <c r="WDU157" s="250"/>
      <c r="WDV157" s="250"/>
      <c r="WDW157" s="250"/>
      <c r="WDX157" s="250"/>
      <c r="WDY157" s="250"/>
      <c r="WDZ157" s="250"/>
      <c r="WEA157" s="250"/>
      <c r="WEB157" s="250"/>
      <c r="WEC157" s="250"/>
      <c r="WED157" s="250"/>
      <c r="WEE157" s="250"/>
      <c r="WEF157" s="250"/>
      <c r="WEG157" s="250"/>
      <c r="WEH157" s="250"/>
      <c r="WEI157" s="250"/>
      <c r="WEJ157" s="250"/>
      <c r="WEK157" s="250"/>
      <c r="WEL157" s="250"/>
      <c r="WEM157" s="250"/>
      <c r="WEN157" s="250"/>
      <c r="WEO157" s="250"/>
      <c r="WEP157" s="250"/>
      <c r="WEQ157" s="250"/>
      <c r="WER157" s="250"/>
      <c r="WES157" s="250"/>
      <c r="WET157" s="250"/>
      <c r="WEU157" s="250"/>
      <c r="WEV157" s="250"/>
      <c r="WEW157" s="250"/>
      <c r="WEX157" s="250"/>
      <c r="WEY157" s="250"/>
      <c r="WEZ157" s="250"/>
      <c r="WFA157" s="250"/>
      <c r="WFB157" s="250"/>
      <c r="WFC157" s="250"/>
      <c r="WFD157" s="250"/>
      <c r="WFE157" s="250"/>
      <c r="WFF157" s="250"/>
      <c r="WFG157" s="250"/>
      <c r="WFH157" s="250"/>
      <c r="WFI157" s="250"/>
      <c r="WFJ157" s="250"/>
      <c r="WFK157" s="250"/>
      <c r="WFL157" s="250"/>
      <c r="WFM157" s="250"/>
      <c r="WFN157" s="250"/>
      <c r="WFO157" s="250"/>
      <c r="WFP157" s="250"/>
      <c r="WFQ157" s="250"/>
      <c r="WFR157" s="250"/>
      <c r="WFS157" s="250"/>
      <c r="WFT157" s="250"/>
      <c r="WFU157" s="250"/>
      <c r="WFV157" s="250"/>
      <c r="WFW157" s="250"/>
      <c r="WFX157" s="250"/>
      <c r="WFY157" s="250"/>
      <c r="WFZ157" s="250"/>
      <c r="WGA157" s="250"/>
      <c r="WGB157" s="250"/>
      <c r="WGC157" s="250"/>
      <c r="WGD157" s="250"/>
      <c r="WGE157" s="250"/>
      <c r="WGF157" s="250"/>
      <c r="WGG157" s="250"/>
      <c r="WGH157" s="250"/>
      <c r="WGI157" s="250"/>
      <c r="WGJ157" s="250"/>
      <c r="WGK157" s="250"/>
      <c r="WGL157" s="250"/>
      <c r="WGM157" s="250"/>
      <c r="WGN157" s="250"/>
      <c r="WGO157" s="250"/>
      <c r="WGP157" s="250"/>
      <c r="WGQ157" s="250"/>
      <c r="WGR157" s="250"/>
      <c r="WGS157" s="250"/>
      <c r="WGT157" s="250"/>
      <c r="WGU157" s="250"/>
      <c r="WGV157" s="250"/>
      <c r="WGW157" s="250"/>
      <c r="WGX157" s="250"/>
      <c r="WGY157" s="250"/>
      <c r="WGZ157" s="250"/>
      <c r="WHA157" s="250"/>
      <c r="WHB157" s="250"/>
      <c r="WHC157" s="250"/>
      <c r="WHD157" s="250"/>
      <c r="WHE157" s="250"/>
      <c r="WHF157" s="250"/>
      <c r="WHG157" s="250"/>
      <c r="WHH157" s="250"/>
      <c r="WHI157" s="250"/>
      <c r="WHJ157" s="250"/>
      <c r="WHK157" s="250"/>
      <c r="WHL157" s="250"/>
      <c r="WHM157" s="250"/>
      <c r="WHN157" s="250"/>
      <c r="WHO157" s="250"/>
      <c r="WHP157" s="250"/>
      <c r="WHQ157" s="250"/>
      <c r="WHR157" s="250"/>
      <c r="WHS157" s="250"/>
      <c r="WHT157" s="250"/>
      <c r="WHU157" s="250"/>
      <c r="WHV157" s="250"/>
      <c r="WHW157" s="250"/>
      <c r="WHX157" s="250"/>
      <c r="WHY157" s="250"/>
      <c r="WHZ157" s="250"/>
      <c r="WIA157" s="250"/>
      <c r="WIB157" s="250"/>
      <c r="WIC157" s="250"/>
      <c r="WID157" s="250"/>
      <c r="WIE157" s="250"/>
      <c r="WIF157" s="250"/>
      <c r="WIG157" s="250"/>
      <c r="WIH157" s="250"/>
      <c r="WII157" s="250"/>
      <c r="WIJ157" s="250"/>
      <c r="WIK157" s="250"/>
      <c r="WIL157" s="250"/>
      <c r="WIM157" s="250"/>
      <c r="WIN157" s="250"/>
      <c r="WIO157" s="250"/>
      <c r="WIP157" s="250"/>
      <c r="WIQ157" s="250"/>
      <c r="WIR157" s="250"/>
      <c r="WIS157" s="250"/>
      <c r="WIT157" s="250"/>
      <c r="WIU157" s="250"/>
      <c r="WIV157" s="250"/>
      <c r="WIW157" s="250"/>
      <c r="WIX157" s="250"/>
      <c r="WIY157" s="250"/>
      <c r="WIZ157" s="250"/>
      <c r="WJA157" s="250"/>
      <c r="WJB157" s="250"/>
      <c r="WJC157" s="250"/>
      <c r="WJD157" s="250"/>
      <c r="WJE157" s="250"/>
      <c r="WJF157" s="250"/>
      <c r="WJG157" s="250"/>
      <c r="WJH157" s="250"/>
      <c r="WJI157" s="250"/>
      <c r="WJJ157" s="250"/>
      <c r="WJK157" s="250"/>
      <c r="WJL157" s="250"/>
      <c r="WJM157" s="250"/>
      <c r="WJN157" s="250"/>
      <c r="WJO157" s="250"/>
      <c r="WJP157" s="250"/>
      <c r="WJQ157" s="250"/>
      <c r="WJR157" s="250"/>
      <c r="WJS157" s="250"/>
      <c r="WJT157" s="250"/>
      <c r="WJU157" s="250"/>
      <c r="WJV157" s="250"/>
      <c r="WJW157" s="250"/>
      <c r="WJX157" s="250"/>
      <c r="WJY157" s="250"/>
      <c r="WJZ157" s="250"/>
      <c r="WKA157" s="250"/>
      <c r="WKB157" s="250"/>
      <c r="WKC157" s="250"/>
      <c r="WKD157" s="250"/>
      <c r="WKE157" s="250"/>
      <c r="WKF157" s="250"/>
      <c r="WKG157" s="250"/>
      <c r="WKH157" s="250"/>
      <c r="WKI157" s="250"/>
      <c r="WKJ157" s="250"/>
      <c r="WKK157" s="250"/>
      <c r="WKL157" s="250"/>
      <c r="WKM157" s="250"/>
      <c r="WKN157" s="250"/>
      <c r="WKO157" s="250"/>
      <c r="WKP157" s="250"/>
      <c r="WKQ157" s="250"/>
      <c r="WKR157" s="250"/>
      <c r="WKS157" s="250"/>
      <c r="WKT157" s="250"/>
      <c r="WKU157" s="250"/>
      <c r="WKV157" s="250"/>
      <c r="WKW157" s="250"/>
      <c r="WKX157" s="250"/>
      <c r="WKY157" s="250"/>
      <c r="WKZ157" s="250"/>
      <c r="WLA157" s="250"/>
      <c r="WLB157" s="250"/>
      <c r="WLC157" s="250"/>
      <c r="WLD157" s="250"/>
      <c r="WLE157" s="250"/>
      <c r="WLF157" s="250"/>
      <c r="WLG157" s="250"/>
      <c r="WLH157" s="250"/>
      <c r="WLI157" s="250"/>
      <c r="WLJ157" s="250"/>
      <c r="WLK157" s="250"/>
      <c r="WLL157" s="250"/>
      <c r="WLM157" s="250"/>
      <c r="WLN157" s="250"/>
      <c r="WLO157" s="250"/>
      <c r="WLP157" s="250"/>
      <c r="WLQ157" s="250"/>
      <c r="WLR157" s="250"/>
      <c r="WLS157" s="250"/>
      <c r="WLT157" s="250"/>
      <c r="WLU157" s="250"/>
      <c r="WLV157" s="250"/>
      <c r="WLW157" s="250"/>
      <c r="WLX157" s="250"/>
      <c r="WLY157" s="250"/>
      <c r="WLZ157" s="250"/>
      <c r="WMA157" s="250"/>
      <c r="WMB157" s="250"/>
      <c r="WMC157" s="250"/>
      <c r="WMD157" s="250"/>
      <c r="WME157" s="250"/>
      <c r="WMF157" s="250"/>
      <c r="WMG157" s="250"/>
      <c r="WMH157" s="250"/>
      <c r="WMI157" s="250"/>
      <c r="WMJ157" s="250"/>
      <c r="WMK157" s="250"/>
      <c r="WML157" s="250"/>
      <c r="WMM157" s="250"/>
      <c r="WMN157" s="250"/>
      <c r="WMO157" s="250"/>
      <c r="WMP157" s="250"/>
      <c r="WMQ157" s="250"/>
      <c r="WMR157" s="250"/>
      <c r="WMS157" s="250"/>
      <c r="WMT157" s="250"/>
      <c r="WMU157" s="250"/>
      <c r="WMV157" s="250"/>
      <c r="WMW157" s="250"/>
      <c r="WMX157" s="250"/>
      <c r="WMY157" s="250"/>
      <c r="WMZ157" s="250"/>
      <c r="WNA157" s="250"/>
      <c r="WNB157" s="250"/>
      <c r="WNC157" s="250"/>
      <c r="WND157" s="250"/>
      <c r="WNE157" s="250"/>
      <c r="WNF157" s="250"/>
      <c r="WNG157" s="250"/>
      <c r="WNH157" s="250"/>
      <c r="WNI157" s="250"/>
      <c r="WNJ157" s="250"/>
      <c r="WNK157" s="250"/>
      <c r="WNL157" s="250"/>
      <c r="WNM157" s="250"/>
      <c r="WNN157" s="250"/>
      <c r="WNO157" s="250"/>
      <c r="WNP157" s="250"/>
      <c r="WNQ157" s="250"/>
      <c r="WNR157" s="250"/>
      <c r="WNS157" s="250"/>
      <c r="WNT157" s="250"/>
      <c r="WNU157" s="250"/>
      <c r="WNV157" s="250"/>
      <c r="WNW157" s="250"/>
      <c r="WNX157" s="250"/>
      <c r="WNY157" s="250"/>
      <c r="WNZ157" s="250"/>
      <c r="WOA157" s="250"/>
      <c r="WOB157" s="250"/>
      <c r="WOC157" s="250"/>
      <c r="WOD157" s="250"/>
      <c r="WOE157" s="250"/>
      <c r="WOF157" s="250"/>
      <c r="WOG157" s="250"/>
      <c r="WOH157" s="250"/>
      <c r="WOI157" s="250"/>
      <c r="WOJ157" s="250"/>
      <c r="WOK157" s="250"/>
      <c r="WOL157" s="250"/>
      <c r="WOM157" s="250"/>
      <c r="WON157" s="250"/>
      <c r="WOO157" s="250"/>
      <c r="WOP157" s="250"/>
      <c r="WOQ157" s="250"/>
      <c r="WOR157" s="250"/>
      <c r="WOS157" s="250"/>
      <c r="WOT157" s="250"/>
      <c r="WOU157" s="250"/>
      <c r="WOV157" s="250"/>
      <c r="WOW157" s="250"/>
      <c r="WOX157" s="250"/>
      <c r="WOY157" s="250"/>
      <c r="WOZ157" s="250"/>
      <c r="WPA157" s="250"/>
      <c r="WPB157" s="250"/>
      <c r="WPC157" s="250"/>
      <c r="WPD157" s="250"/>
      <c r="WPE157" s="250"/>
      <c r="WPF157" s="250"/>
      <c r="WPG157" s="250"/>
      <c r="WPH157" s="250"/>
      <c r="WPI157" s="250"/>
      <c r="WPJ157" s="250"/>
      <c r="WPK157" s="250"/>
      <c r="WPL157" s="250"/>
      <c r="WPM157" s="250"/>
      <c r="WPN157" s="250"/>
      <c r="WPO157" s="250"/>
      <c r="WPP157" s="250"/>
      <c r="WPQ157" s="250"/>
      <c r="WPR157" s="250"/>
      <c r="WPS157" s="250"/>
      <c r="WPT157" s="250"/>
      <c r="WPU157" s="250"/>
      <c r="WPV157" s="250"/>
      <c r="WPW157" s="250"/>
      <c r="WPX157" s="250"/>
      <c r="WPY157" s="250"/>
      <c r="WPZ157" s="250"/>
      <c r="WQA157" s="250"/>
      <c r="WQB157" s="250"/>
      <c r="WQC157" s="250"/>
      <c r="WQD157" s="250"/>
      <c r="WQE157" s="250"/>
      <c r="WQF157" s="250"/>
      <c r="WQG157" s="250"/>
      <c r="WQH157" s="250"/>
      <c r="WQI157" s="250"/>
      <c r="WQJ157" s="250"/>
      <c r="WQK157" s="250"/>
      <c r="WQL157" s="250"/>
      <c r="WQM157" s="250"/>
      <c r="WQN157" s="250"/>
      <c r="WQO157" s="250"/>
      <c r="WQP157" s="250"/>
      <c r="WQQ157" s="250"/>
      <c r="WQR157" s="250"/>
      <c r="WQS157" s="250"/>
      <c r="WQT157" s="250"/>
      <c r="WQU157" s="250"/>
      <c r="WQV157" s="250"/>
      <c r="WQW157" s="250"/>
      <c r="WQX157" s="250"/>
      <c r="WQY157" s="250"/>
      <c r="WQZ157" s="250"/>
      <c r="WRA157" s="250"/>
      <c r="WRB157" s="250"/>
      <c r="WRC157" s="250"/>
      <c r="WRD157" s="250"/>
      <c r="WRE157" s="250"/>
      <c r="WRF157" s="250"/>
      <c r="WRG157" s="250"/>
      <c r="WRH157" s="250"/>
      <c r="WRI157" s="250"/>
      <c r="WRJ157" s="250"/>
      <c r="WRK157" s="250"/>
      <c r="WRL157" s="250"/>
      <c r="WRM157" s="250"/>
      <c r="WRN157" s="250"/>
      <c r="WRO157" s="250"/>
      <c r="WRP157" s="250"/>
      <c r="WRQ157" s="250"/>
      <c r="WRR157" s="250"/>
      <c r="WRS157" s="250"/>
      <c r="WRT157" s="250"/>
      <c r="WRU157" s="250"/>
      <c r="WRV157" s="250"/>
      <c r="WRW157" s="250"/>
      <c r="WRX157" s="250"/>
      <c r="WRY157" s="250"/>
      <c r="WRZ157" s="250"/>
      <c r="WSA157" s="250"/>
      <c r="WSB157" s="250"/>
      <c r="WSC157" s="250"/>
      <c r="WSD157" s="250"/>
      <c r="WSE157" s="250"/>
      <c r="WSF157" s="250"/>
      <c r="WSG157" s="250"/>
      <c r="WSH157" s="250"/>
      <c r="WSI157" s="250"/>
      <c r="WSJ157" s="250"/>
      <c r="WSK157" s="250"/>
      <c r="WSL157" s="250"/>
      <c r="WSM157" s="250"/>
      <c r="WSN157" s="250"/>
      <c r="WSO157" s="250"/>
      <c r="WSP157" s="250"/>
      <c r="WSQ157" s="250"/>
      <c r="WSR157" s="250"/>
      <c r="WSS157" s="250"/>
      <c r="WST157" s="250"/>
      <c r="WSU157" s="250"/>
      <c r="WSV157" s="250"/>
      <c r="WSW157" s="250"/>
      <c r="WSX157" s="250"/>
      <c r="WSY157" s="250"/>
      <c r="WSZ157" s="250"/>
      <c r="WTA157" s="250"/>
      <c r="WTB157" s="250"/>
      <c r="WTC157" s="250"/>
      <c r="WTD157" s="250"/>
      <c r="WTE157" s="250"/>
      <c r="WTF157" s="250"/>
      <c r="WTG157" s="250"/>
      <c r="WTH157" s="250"/>
      <c r="WTI157" s="250"/>
      <c r="WTJ157" s="250"/>
      <c r="WTK157" s="250"/>
      <c r="WTL157" s="250"/>
      <c r="WTM157" s="250"/>
      <c r="WTN157" s="250"/>
      <c r="WTO157" s="250"/>
      <c r="WTP157" s="250"/>
      <c r="WTQ157" s="250"/>
      <c r="WTR157" s="250"/>
      <c r="WTS157" s="250"/>
      <c r="WTT157" s="250"/>
      <c r="WTU157" s="250"/>
      <c r="WTV157" s="250"/>
      <c r="WTW157" s="250"/>
      <c r="WTX157" s="250"/>
      <c r="WTY157" s="250"/>
      <c r="WTZ157" s="250"/>
      <c r="WUA157" s="250"/>
      <c r="WUB157" s="250"/>
      <c r="WUC157" s="250"/>
      <c r="WUD157" s="250"/>
      <c r="WUE157" s="250"/>
      <c r="WUF157" s="250"/>
      <c r="WUG157" s="250"/>
      <c r="WUH157" s="250"/>
      <c r="WUI157" s="250"/>
      <c r="WUJ157" s="250"/>
      <c r="WUK157" s="250"/>
      <c r="WUL157" s="250"/>
      <c r="WUM157" s="250"/>
      <c r="WUN157" s="250"/>
      <c r="WUO157" s="250"/>
      <c r="WUP157" s="250"/>
      <c r="WUQ157" s="250"/>
      <c r="WUR157" s="250"/>
      <c r="WUS157" s="250"/>
      <c r="WUT157" s="250"/>
      <c r="WUU157" s="250"/>
      <c r="WUV157" s="250"/>
      <c r="WUW157" s="250"/>
      <c r="WUX157" s="250"/>
      <c r="WUY157" s="250"/>
      <c r="WUZ157" s="250"/>
      <c r="WVA157" s="250"/>
      <c r="WVB157" s="250"/>
      <c r="WVC157" s="250"/>
      <c r="WVD157" s="250"/>
      <c r="WVE157" s="250"/>
      <c r="WVF157" s="250"/>
      <c r="WVG157" s="250"/>
      <c r="WVH157" s="250"/>
      <c r="WVI157" s="250"/>
      <c r="WVJ157" s="250"/>
      <c r="WVK157" s="250"/>
      <c r="WVL157" s="250"/>
      <c r="WVM157" s="250"/>
      <c r="WVN157" s="250"/>
      <c r="WVO157" s="250"/>
      <c r="WVP157" s="250"/>
      <c r="WVQ157" s="250"/>
      <c r="WVR157" s="250"/>
      <c r="WVS157" s="250"/>
      <c r="WVT157" s="250"/>
      <c r="WVU157" s="250"/>
      <c r="WVV157" s="250"/>
      <c r="WVW157" s="250"/>
      <c r="WVX157" s="250"/>
      <c r="WVY157" s="250"/>
      <c r="WVZ157" s="250"/>
      <c r="WWA157" s="250"/>
      <c r="WWB157" s="250"/>
      <c r="WWC157" s="250"/>
      <c r="WWD157" s="250"/>
      <c r="WWE157" s="250"/>
      <c r="WWF157" s="250"/>
      <c r="WWG157" s="250"/>
      <c r="WWH157" s="250"/>
      <c r="WWI157" s="250"/>
      <c r="WWJ157" s="250"/>
      <c r="WWK157" s="250"/>
      <c r="WWL157" s="250"/>
      <c r="WWM157" s="250"/>
      <c r="WWN157" s="250"/>
      <c r="WWO157" s="250"/>
      <c r="WWP157" s="250"/>
      <c r="WWQ157" s="250"/>
      <c r="WWR157" s="250"/>
      <c r="WWS157" s="250"/>
      <c r="WWT157" s="250"/>
      <c r="WWU157" s="250"/>
      <c r="WWV157" s="250"/>
      <c r="WWW157" s="250"/>
      <c r="WWX157" s="250"/>
      <c r="WWY157" s="250"/>
      <c r="WWZ157" s="250"/>
      <c r="WXA157" s="250"/>
      <c r="WXB157" s="250"/>
      <c r="WXC157" s="250"/>
      <c r="WXD157" s="250"/>
      <c r="WXE157" s="250"/>
      <c r="WXF157" s="250"/>
      <c r="WXG157" s="250"/>
      <c r="WXH157" s="250"/>
      <c r="WXI157" s="250"/>
      <c r="WXJ157" s="250"/>
      <c r="WXK157" s="250"/>
      <c r="WXL157" s="250"/>
      <c r="WXM157" s="250"/>
      <c r="WXN157" s="250"/>
      <c r="WXO157" s="250"/>
      <c r="WXP157" s="250"/>
      <c r="WXQ157" s="250"/>
      <c r="WXR157" s="250"/>
      <c r="WXS157" s="250"/>
      <c r="WXT157" s="250"/>
      <c r="WXU157" s="250"/>
      <c r="WXV157" s="250"/>
      <c r="WXW157" s="250"/>
      <c r="WXX157" s="250"/>
      <c r="WXY157" s="250"/>
      <c r="WXZ157" s="250"/>
      <c r="WYA157" s="250"/>
      <c r="WYB157" s="250"/>
      <c r="WYC157" s="250"/>
      <c r="WYD157" s="250"/>
      <c r="WYE157" s="250"/>
      <c r="WYF157" s="250"/>
      <c r="WYG157" s="250"/>
      <c r="WYH157" s="250"/>
      <c r="WYI157" s="250"/>
      <c r="WYJ157" s="250"/>
      <c r="WYK157" s="250"/>
      <c r="WYL157" s="250"/>
      <c r="WYM157" s="250"/>
      <c r="WYN157" s="250"/>
      <c r="WYO157" s="250"/>
      <c r="WYP157" s="250"/>
      <c r="WYQ157" s="250"/>
      <c r="WYR157" s="250"/>
      <c r="WYS157" s="250"/>
      <c r="WYT157" s="250"/>
      <c r="WYU157" s="250"/>
      <c r="WYV157" s="250"/>
      <c r="WYW157" s="250"/>
      <c r="WYX157" s="250"/>
      <c r="WYY157" s="250"/>
      <c r="WYZ157" s="250"/>
      <c r="WZA157" s="250"/>
      <c r="WZB157" s="250"/>
      <c r="WZC157" s="250"/>
      <c r="WZD157" s="250"/>
      <c r="WZE157" s="250"/>
      <c r="WZF157" s="250"/>
      <c r="WZG157" s="250"/>
      <c r="WZH157" s="250"/>
      <c r="WZI157" s="250"/>
      <c r="WZJ157" s="250"/>
      <c r="WZK157" s="250"/>
      <c r="WZL157" s="250"/>
      <c r="WZM157" s="250"/>
      <c r="WZN157" s="250"/>
      <c r="WZO157" s="250"/>
      <c r="WZP157" s="250"/>
      <c r="WZQ157" s="250"/>
      <c r="WZR157" s="250"/>
      <c r="WZS157" s="250"/>
      <c r="WZT157" s="250"/>
      <c r="WZU157" s="250"/>
      <c r="WZV157" s="250"/>
      <c r="WZW157" s="250"/>
      <c r="WZX157" s="250"/>
      <c r="WZY157" s="250"/>
      <c r="WZZ157" s="250"/>
      <c r="XAA157" s="250"/>
      <c r="XAB157" s="250"/>
      <c r="XAC157" s="250"/>
      <c r="XAD157" s="250"/>
      <c r="XAE157" s="250"/>
      <c r="XAF157" s="250"/>
      <c r="XAG157" s="250"/>
      <c r="XAH157" s="250"/>
      <c r="XAI157" s="250"/>
      <c r="XAJ157" s="250"/>
      <c r="XAK157" s="250"/>
      <c r="XAL157" s="250"/>
      <c r="XAM157" s="250"/>
      <c r="XAN157" s="250"/>
      <c r="XAO157" s="250"/>
      <c r="XAP157" s="250"/>
      <c r="XAQ157" s="250"/>
      <c r="XAR157" s="250"/>
      <c r="XAS157" s="250"/>
      <c r="XAT157" s="250"/>
      <c r="XAU157" s="250"/>
      <c r="XAV157" s="250"/>
      <c r="XAW157" s="250"/>
      <c r="XAX157" s="250"/>
      <c r="XAY157" s="250"/>
      <c r="XAZ157" s="250"/>
      <c r="XBA157" s="250"/>
      <c r="XBB157" s="250"/>
      <c r="XBC157" s="250"/>
      <c r="XBD157" s="250"/>
      <c r="XBE157" s="250"/>
      <c r="XBF157" s="250"/>
      <c r="XBG157" s="250"/>
      <c r="XBH157" s="250"/>
      <c r="XBI157" s="250"/>
      <c r="XBJ157" s="250"/>
      <c r="XBK157" s="250"/>
      <c r="XBL157" s="250"/>
      <c r="XBM157" s="250"/>
      <c r="XBN157" s="250"/>
      <c r="XBO157" s="250"/>
      <c r="XBP157" s="250"/>
      <c r="XBQ157" s="250"/>
      <c r="XBR157" s="250"/>
      <c r="XBS157" s="250"/>
      <c r="XBT157" s="250"/>
      <c r="XBU157" s="250"/>
      <c r="XBV157" s="250"/>
      <c r="XBW157" s="250"/>
      <c r="XBX157" s="250"/>
      <c r="XBY157" s="250"/>
      <c r="XBZ157" s="250"/>
      <c r="XCA157" s="250"/>
      <c r="XCB157" s="250"/>
      <c r="XCC157" s="250"/>
      <c r="XCD157" s="250"/>
      <c r="XCE157" s="250"/>
      <c r="XCF157" s="250"/>
      <c r="XCG157" s="250"/>
      <c r="XCH157" s="250"/>
      <c r="XCI157" s="250"/>
      <c r="XCJ157" s="250"/>
      <c r="XCK157" s="250"/>
      <c r="XCL157" s="250"/>
      <c r="XCM157" s="250"/>
      <c r="XCN157" s="250"/>
      <c r="XCO157" s="250"/>
      <c r="XCP157" s="250"/>
      <c r="XCQ157" s="250"/>
      <c r="XCR157" s="250"/>
      <c r="XCS157" s="250"/>
      <c r="XCT157" s="250"/>
      <c r="XCU157" s="250"/>
      <c r="XCV157" s="250"/>
      <c r="XCW157" s="250"/>
      <c r="XCX157" s="250"/>
      <c r="XCY157" s="250"/>
      <c r="XCZ157" s="250"/>
      <c r="XDA157" s="250"/>
      <c r="XDB157" s="250"/>
      <c r="XDC157" s="250"/>
      <c r="XDD157" s="250"/>
      <c r="XDE157" s="250"/>
      <c r="XDF157" s="250"/>
      <c r="XDG157" s="250"/>
      <c r="XDH157" s="250"/>
      <c r="XDI157" s="250"/>
      <c r="XDJ157" s="250"/>
      <c r="XDK157" s="250"/>
      <c r="XDL157" s="250"/>
      <c r="XDM157" s="250"/>
      <c r="XDN157" s="250"/>
      <c r="XDO157" s="250"/>
      <c r="XDP157" s="250"/>
      <c r="XDQ157" s="250"/>
      <c r="XDR157" s="250"/>
      <c r="XDS157" s="250"/>
      <c r="XDT157" s="250"/>
      <c r="XDU157" s="250"/>
      <c r="XDV157" s="250"/>
      <c r="XDW157" s="250"/>
      <c r="XDX157" s="250"/>
      <c r="XDY157" s="250"/>
      <c r="XDZ157" s="250"/>
      <c r="XEA157" s="250"/>
      <c r="XEB157" s="250"/>
      <c r="XEC157" s="250"/>
      <c r="XED157" s="250"/>
      <c r="XEE157" s="250"/>
      <c r="XEF157" s="250"/>
      <c r="XEG157" s="250"/>
      <c r="XEH157" s="250"/>
      <c r="XEI157" s="250"/>
      <c r="XEJ157" s="250"/>
      <c r="XEK157" s="250"/>
      <c r="XEL157" s="250"/>
      <c r="XEM157" s="250"/>
      <c r="XEN157" s="250"/>
      <c r="XEO157" s="250"/>
      <c r="XEP157" s="250"/>
      <c r="XEQ157" s="250"/>
      <c r="XER157" s="250"/>
      <c r="XES157" s="250"/>
      <c r="XET157" s="250"/>
      <c r="XEU157" s="250"/>
      <c r="XEV157" s="250"/>
      <c r="XEW157" s="250"/>
      <c r="XEX157" s="250"/>
      <c r="XEY157" s="250"/>
      <c r="XEZ157" s="250"/>
      <c r="XFA157" s="250"/>
      <c r="XFB157" s="250"/>
      <c r="XFC157" s="250"/>
    </row>
    <row r="158" spans="1:16383" ht="12" customHeight="1" x14ac:dyDescent="0.2">
      <c r="A158" s="229"/>
      <c r="B158" s="250" t="s">
        <v>234</v>
      </c>
      <c r="C158" s="303" t="s">
        <v>69</v>
      </c>
      <c r="D158" s="250"/>
      <c r="E158" s="250"/>
      <c r="F158" s="250"/>
      <c r="G158" s="250"/>
      <c r="H158" s="250"/>
      <c r="I158" s="250"/>
      <c r="J158" s="250"/>
      <c r="K158" s="250"/>
      <c r="L158" s="250"/>
      <c r="M158" s="317">
        <f>Escalators!N$137</f>
        <v>3.5000000000000003E-2</v>
      </c>
      <c r="N158" s="317">
        <f>Escalators!O$137</f>
        <v>3.5000000000000003E-2</v>
      </c>
      <c r="O158" s="317">
        <f>Escalators!P$137</f>
        <v>3.5000000000000003E-2</v>
      </c>
      <c r="P158" s="318">
        <f>Escalators!Q$137</f>
        <v>3.5000000000000003E-2</v>
      </c>
      <c r="Q158" s="318">
        <f>Escalators!R$137</f>
        <v>3.5000000000000003E-2</v>
      </c>
      <c r="R158" s="318">
        <f>Escalators!S$137</f>
        <v>3.5000000000000003E-2</v>
      </c>
      <c r="S158" s="318">
        <f>Escalators!T$137</f>
        <v>3.5000000000000003E-2</v>
      </c>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250"/>
      <c r="FL158" s="250"/>
      <c r="FM158" s="250"/>
      <c r="FN158" s="250"/>
      <c r="FO158" s="250"/>
      <c r="FP158" s="250"/>
      <c r="FQ158" s="250"/>
      <c r="FR158" s="250"/>
      <c r="FS158" s="250"/>
      <c r="FT158" s="250"/>
      <c r="FU158" s="250"/>
      <c r="FV158" s="250"/>
      <c r="FW158" s="250"/>
      <c r="FX158" s="250"/>
      <c r="FY158" s="250"/>
      <c r="FZ158" s="250"/>
      <c r="GA158" s="250"/>
      <c r="GB158" s="250"/>
      <c r="GC158" s="250"/>
      <c r="GD158" s="250"/>
      <c r="GE158" s="250"/>
      <c r="GF158" s="250"/>
      <c r="GG158" s="250"/>
      <c r="GH158" s="250"/>
      <c r="GI158" s="250"/>
      <c r="GJ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HN158" s="250"/>
      <c r="HO158" s="250"/>
      <c r="HP158" s="250"/>
      <c r="HQ158" s="250"/>
      <c r="HR158" s="250"/>
      <c r="HS158" s="250"/>
      <c r="HT158" s="250"/>
      <c r="HU158" s="250"/>
      <c r="HV158" s="250"/>
      <c r="HW158" s="250"/>
      <c r="HX158" s="250"/>
      <c r="HY158" s="250"/>
      <c r="HZ158" s="250"/>
      <c r="IA158" s="250"/>
      <c r="IB158" s="250"/>
      <c r="IC158" s="250"/>
      <c r="ID158" s="250"/>
      <c r="IE158" s="250"/>
      <c r="IF158" s="250"/>
      <c r="IG158" s="250"/>
      <c r="IH158" s="250"/>
      <c r="II158" s="250"/>
      <c r="IJ158" s="250"/>
      <c r="IK158" s="250"/>
      <c r="IL158" s="250"/>
      <c r="IM158" s="250"/>
      <c r="IN158" s="250"/>
      <c r="IO158" s="250"/>
      <c r="IP158" s="250"/>
      <c r="IQ158" s="250"/>
      <c r="IR158" s="250"/>
      <c r="IS158" s="250"/>
      <c r="IT158" s="250"/>
      <c r="IU158" s="250"/>
      <c r="IV158" s="250"/>
      <c r="IW158" s="250"/>
      <c r="IX158" s="250"/>
      <c r="IY158" s="250"/>
      <c r="IZ158" s="250"/>
      <c r="JA158" s="250"/>
      <c r="JB158" s="250"/>
      <c r="JC158" s="250"/>
      <c r="JD158" s="250"/>
      <c r="JE158" s="250"/>
      <c r="JF158" s="250"/>
      <c r="JG158" s="250"/>
      <c r="JH158" s="250"/>
      <c r="JI158" s="250"/>
      <c r="JJ158" s="250"/>
      <c r="JK158" s="250"/>
      <c r="JL158" s="250"/>
      <c r="JM158" s="250"/>
      <c r="JN158" s="250"/>
      <c r="JO158" s="250"/>
      <c r="JP158" s="250"/>
      <c r="JQ158" s="250"/>
      <c r="JR158" s="250"/>
      <c r="JS158" s="250"/>
      <c r="JT158" s="250"/>
      <c r="JU158" s="250"/>
      <c r="JV158" s="250"/>
      <c r="JW158" s="250"/>
      <c r="JX158" s="250"/>
      <c r="JY158" s="250"/>
      <c r="JZ158" s="250"/>
      <c r="KA158" s="250"/>
      <c r="KB158" s="250"/>
      <c r="KC158" s="250"/>
      <c r="KD158" s="250"/>
      <c r="KE158" s="250"/>
      <c r="KF158" s="250"/>
      <c r="KG158" s="250"/>
      <c r="KH158" s="250"/>
      <c r="KI158" s="250"/>
      <c r="KJ158" s="250"/>
      <c r="KK158" s="250"/>
      <c r="KL158" s="250"/>
      <c r="KM158" s="250"/>
      <c r="KN158" s="250"/>
      <c r="KO158" s="250"/>
      <c r="KP158" s="250"/>
      <c r="KQ158" s="250"/>
      <c r="KR158" s="250"/>
      <c r="KS158" s="250"/>
      <c r="KT158" s="250"/>
      <c r="KU158" s="250"/>
      <c r="KV158" s="250"/>
      <c r="KW158" s="250"/>
      <c r="KX158" s="250"/>
      <c r="KY158" s="250"/>
      <c r="KZ158" s="250"/>
      <c r="LA158" s="250"/>
      <c r="LB158" s="250"/>
      <c r="LC158" s="250"/>
      <c r="LD158" s="250"/>
      <c r="LE158" s="250"/>
      <c r="LF158" s="250"/>
      <c r="LG158" s="250"/>
      <c r="LH158" s="250"/>
      <c r="LI158" s="250"/>
      <c r="LJ158" s="250"/>
      <c r="LK158" s="250"/>
      <c r="LL158" s="250"/>
      <c r="LM158" s="250"/>
      <c r="LN158" s="250"/>
      <c r="LO158" s="250"/>
      <c r="LP158" s="250"/>
      <c r="LQ158" s="250"/>
      <c r="LR158" s="250"/>
      <c r="LS158" s="250"/>
      <c r="LT158" s="250"/>
      <c r="LU158" s="250"/>
      <c r="LV158" s="250"/>
      <c r="LW158" s="250"/>
      <c r="LX158" s="250"/>
      <c r="LY158" s="250"/>
      <c r="LZ158" s="250"/>
      <c r="MA158" s="250"/>
      <c r="MB158" s="250"/>
      <c r="MC158" s="250"/>
      <c r="MD158" s="250"/>
      <c r="ME158" s="250"/>
      <c r="MF158" s="250"/>
      <c r="MG158" s="250"/>
      <c r="MH158" s="250"/>
      <c r="MI158" s="250"/>
      <c r="MJ158" s="250"/>
      <c r="MK158" s="250"/>
      <c r="ML158" s="250"/>
      <c r="MM158" s="250"/>
      <c r="MN158" s="250"/>
      <c r="MO158" s="250"/>
      <c r="MP158" s="250"/>
      <c r="MQ158" s="250"/>
      <c r="MR158" s="250"/>
      <c r="MS158" s="250"/>
      <c r="MT158" s="250"/>
      <c r="MU158" s="250"/>
      <c r="MV158" s="250"/>
      <c r="MW158" s="250"/>
      <c r="MX158" s="250"/>
      <c r="MY158" s="250"/>
      <c r="MZ158" s="250"/>
      <c r="NA158" s="250"/>
      <c r="NB158" s="250"/>
      <c r="NC158" s="250"/>
      <c r="ND158" s="250"/>
      <c r="NE158" s="250"/>
      <c r="NF158" s="250"/>
      <c r="NG158" s="250"/>
      <c r="NH158" s="250"/>
      <c r="NI158" s="250"/>
      <c r="NJ158" s="250"/>
      <c r="NK158" s="250"/>
      <c r="NL158" s="250"/>
      <c r="NM158" s="250"/>
      <c r="NN158" s="250"/>
      <c r="NO158" s="250"/>
      <c r="NP158" s="250"/>
      <c r="NQ158" s="250"/>
      <c r="NR158" s="250"/>
      <c r="NS158" s="250"/>
      <c r="NT158" s="250"/>
      <c r="NU158" s="250"/>
      <c r="NV158" s="250"/>
      <c r="NW158" s="250"/>
      <c r="NX158" s="250"/>
      <c r="NY158" s="250"/>
      <c r="NZ158" s="250"/>
      <c r="OA158" s="250"/>
      <c r="OB158" s="250"/>
      <c r="OC158" s="250"/>
      <c r="OD158" s="250"/>
      <c r="OE158" s="250"/>
      <c r="OF158" s="250"/>
      <c r="OG158" s="250"/>
      <c r="OH158" s="250"/>
      <c r="OI158" s="250"/>
      <c r="OJ158" s="250"/>
      <c r="OK158" s="250"/>
      <c r="OL158" s="250"/>
      <c r="OM158" s="250"/>
      <c r="ON158" s="250"/>
      <c r="OO158" s="250"/>
      <c r="OP158" s="250"/>
      <c r="OQ158" s="250"/>
      <c r="OR158" s="250"/>
      <c r="OS158" s="250"/>
      <c r="OT158" s="250"/>
      <c r="OU158" s="250"/>
      <c r="OV158" s="250"/>
      <c r="OW158" s="250"/>
      <c r="OX158" s="250"/>
      <c r="OY158" s="250"/>
      <c r="OZ158" s="250"/>
      <c r="PA158" s="250"/>
      <c r="PB158" s="250"/>
      <c r="PC158" s="250"/>
      <c r="PD158" s="250"/>
      <c r="PE158" s="250"/>
      <c r="PF158" s="250"/>
      <c r="PG158" s="250"/>
      <c r="PH158" s="250"/>
      <c r="PI158" s="250"/>
      <c r="PJ158" s="250"/>
      <c r="PK158" s="250"/>
      <c r="PL158" s="250"/>
      <c r="PM158" s="250"/>
      <c r="PN158" s="250"/>
      <c r="PO158" s="250"/>
      <c r="PP158" s="250"/>
      <c r="PQ158" s="250"/>
      <c r="PR158" s="250"/>
      <c r="PS158" s="250"/>
      <c r="PT158" s="250"/>
      <c r="PU158" s="250"/>
      <c r="PV158" s="250"/>
      <c r="PW158" s="250"/>
      <c r="PX158" s="250"/>
      <c r="PY158" s="250"/>
      <c r="PZ158" s="250"/>
      <c r="QA158" s="250"/>
      <c r="QB158" s="250"/>
      <c r="QC158" s="250"/>
      <c r="QD158" s="250"/>
      <c r="QE158" s="250"/>
      <c r="QF158" s="250"/>
      <c r="QG158" s="250"/>
      <c r="QH158" s="250"/>
      <c r="QI158" s="250"/>
      <c r="QJ158" s="250"/>
      <c r="QK158" s="250"/>
      <c r="QL158" s="250"/>
      <c r="QM158" s="250"/>
      <c r="QN158" s="250"/>
      <c r="QO158" s="250"/>
      <c r="QP158" s="250"/>
      <c r="QQ158" s="250"/>
      <c r="QR158" s="250"/>
      <c r="QS158" s="250"/>
      <c r="QT158" s="250"/>
      <c r="QU158" s="250"/>
      <c r="QV158" s="250"/>
      <c r="QW158" s="250"/>
      <c r="QX158" s="250"/>
      <c r="QY158" s="250"/>
      <c r="QZ158" s="250"/>
      <c r="RA158" s="250"/>
      <c r="RB158" s="250"/>
      <c r="RC158" s="250"/>
      <c r="RD158" s="250"/>
      <c r="RE158" s="250"/>
      <c r="RF158" s="250"/>
      <c r="RG158" s="250"/>
      <c r="RH158" s="250"/>
      <c r="RI158" s="250"/>
      <c r="RJ158" s="250"/>
      <c r="RK158" s="250"/>
      <c r="RL158" s="250"/>
      <c r="RM158" s="250"/>
      <c r="RN158" s="250"/>
      <c r="RO158" s="250"/>
      <c r="RP158" s="250"/>
      <c r="RQ158" s="250"/>
      <c r="RR158" s="250"/>
      <c r="RS158" s="250"/>
      <c r="RT158" s="250"/>
      <c r="RU158" s="250"/>
      <c r="RV158" s="250"/>
      <c r="RW158" s="250"/>
      <c r="RX158" s="250"/>
      <c r="RY158" s="250"/>
      <c r="RZ158" s="250"/>
      <c r="SA158" s="250"/>
      <c r="SB158" s="250"/>
      <c r="SC158" s="250"/>
      <c r="SD158" s="250"/>
      <c r="SE158" s="250"/>
      <c r="SF158" s="250"/>
      <c r="SG158" s="250"/>
      <c r="SH158" s="250"/>
      <c r="SI158" s="250"/>
      <c r="SJ158" s="250"/>
      <c r="SK158" s="250"/>
      <c r="SL158" s="250"/>
      <c r="SM158" s="250"/>
      <c r="SN158" s="250"/>
      <c r="SO158" s="250"/>
      <c r="SP158" s="250"/>
      <c r="SQ158" s="250"/>
      <c r="SR158" s="250"/>
      <c r="SS158" s="250"/>
      <c r="ST158" s="250"/>
      <c r="SU158" s="250"/>
      <c r="SV158" s="250"/>
      <c r="SW158" s="250"/>
      <c r="SX158" s="250"/>
      <c r="SY158" s="250"/>
      <c r="SZ158" s="250"/>
      <c r="TA158" s="250"/>
      <c r="TB158" s="250"/>
      <c r="TC158" s="250"/>
      <c r="TD158" s="250"/>
      <c r="TE158" s="250"/>
      <c r="TF158" s="250"/>
      <c r="TG158" s="250"/>
      <c r="TH158" s="250"/>
      <c r="TI158" s="250"/>
      <c r="TJ158" s="250"/>
      <c r="TK158" s="250"/>
      <c r="TL158" s="250"/>
      <c r="TM158" s="250"/>
      <c r="TN158" s="250"/>
      <c r="TO158" s="250"/>
      <c r="TP158" s="250"/>
      <c r="TQ158" s="250"/>
      <c r="TR158" s="250"/>
      <c r="TS158" s="250"/>
      <c r="TT158" s="250"/>
      <c r="TU158" s="250"/>
      <c r="TV158" s="250"/>
      <c r="TW158" s="250"/>
      <c r="TX158" s="250"/>
      <c r="TY158" s="250"/>
      <c r="TZ158" s="250"/>
      <c r="UA158" s="250"/>
      <c r="UB158" s="250"/>
      <c r="UC158" s="250"/>
      <c r="UD158" s="250"/>
      <c r="UE158" s="250"/>
      <c r="UF158" s="250"/>
      <c r="UG158" s="250"/>
      <c r="UH158" s="250"/>
      <c r="UI158" s="250"/>
      <c r="UJ158" s="250"/>
      <c r="UK158" s="250"/>
      <c r="UL158" s="250"/>
      <c r="UM158" s="250"/>
      <c r="UN158" s="250"/>
      <c r="UO158" s="250"/>
      <c r="UP158" s="250"/>
      <c r="UQ158" s="250"/>
      <c r="UR158" s="250"/>
      <c r="US158" s="250"/>
      <c r="UT158" s="250"/>
      <c r="UU158" s="250"/>
      <c r="UV158" s="250"/>
      <c r="UW158" s="250"/>
      <c r="UX158" s="250"/>
      <c r="UY158" s="250"/>
      <c r="UZ158" s="250"/>
      <c r="VA158" s="250"/>
      <c r="VB158" s="250"/>
      <c r="VC158" s="250"/>
      <c r="VD158" s="250"/>
      <c r="VE158" s="250"/>
      <c r="VF158" s="250"/>
      <c r="VG158" s="250"/>
      <c r="VH158" s="250"/>
      <c r="VI158" s="250"/>
      <c r="VJ158" s="250"/>
      <c r="VK158" s="250"/>
      <c r="VL158" s="250"/>
      <c r="VM158" s="250"/>
      <c r="VN158" s="250"/>
      <c r="VO158" s="250"/>
      <c r="VP158" s="250"/>
      <c r="VQ158" s="250"/>
      <c r="VR158" s="250"/>
      <c r="VS158" s="250"/>
      <c r="VT158" s="250"/>
      <c r="VU158" s="250"/>
      <c r="VV158" s="250"/>
      <c r="VW158" s="250"/>
      <c r="VX158" s="250"/>
      <c r="VY158" s="250"/>
      <c r="VZ158" s="250"/>
      <c r="WA158" s="250"/>
      <c r="WB158" s="250"/>
      <c r="WC158" s="250"/>
      <c r="WD158" s="250"/>
      <c r="WE158" s="250"/>
      <c r="WF158" s="250"/>
      <c r="WG158" s="250"/>
      <c r="WH158" s="250"/>
      <c r="WI158" s="250"/>
      <c r="WJ158" s="250"/>
      <c r="WK158" s="250"/>
      <c r="WL158" s="250"/>
      <c r="WM158" s="250"/>
      <c r="WN158" s="250"/>
      <c r="WO158" s="250"/>
      <c r="WP158" s="250"/>
      <c r="WQ158" s="250"/>
      <c r="WR158" s="250"/>
      <c r="WS158" s="250"/>
      <c r="WT158" s="250"/>
      <c r="WU158" s="250"/>
      <c r="WV158" s="250"/>
      <c r="WW158" s="250"/>
      <c r="WX158" s="250"/>
      <c r="WY158" s="250"/>
      <c r="WZ158" s="250"/>
      <c r="XA158" s="250"/>
      <c r="XB158" s="250"/>
      <c r="XC158" s="250"/>
      <c r="XD158" s="250"/>
      <c r="XE158" s="250"/>
      <c r="XF158" s="250"/>
      <c r="XG158" s="250"/>
      <c r="XH158" s="250"/>
      <c r="XI158" s="250"/>
      <c r="XJ158" s="250"/>
      <c r="XK158" s="250"/>
      <c r="XL158" s="250"/>
      <c r="XM158" s="250"/>
      <c r="XN158" s="250"/>
      <c r="XO158" s="250"/>
      <c r="XP158" s="250"/>
      <c r="XQ158" s="250"/>
      <c r="XR158" s="250"/>
      <c r="XS158" s="250"/>
      <c r="XT158" s="250"/>
      <c r="XU158" s="250"/>
      <c r="XV158" s="250"/>
      <c r="XW158" s="250"/>
      <c r="XX158" s="250"/>
      <c r="XY158" s="250"/>
      <c r="XZ158" s="250"/>
      <c r="YA158" s="250"/>
      <c r="YB158" s="250"/>
      <c r="YC158" s="250"/>
      <c r="YD158" s="250"/>
      <c r="YE158" s="250"/>
      <c r="YF158" s="250"/>
      <c r="YG158" s="250"/>
      <c r="YH158" s="250"/>
      <c r="YI158" s="250"/>
      <c r="YJ158" s="250"/>
      <c r="YK158" s="250"/>
      <c r="YL158" s="250"/>
      <c r="YM158" s="250"/>
      <c r="YN158" s="250"/>
      <c r="YO158" s="250"/>
      <c r="YP158" s="250"/>
      <c r="YQ158" s="250"/>
      <c r="YR158" s="250"/>
      <c r="YS158" s="250"/>
      <c r="YT158" s="250"/>
      <c r="YU158" s="250"/>
      <c r="YV158" s="250"/>
      <c r="YW158" s="250"/>
      <c r="YX158" s="250"/>
      <c r="YY158" s="250"/>
      <c r="YZ158" s="250"/>
      <c r="ZA158" s="250"/>
      <c r="ZB158" s="250"/>
      <c r="ZC158" s="250"/>
      <c r="ZD158" s="250"/>
      <c r="ZE158" s="250"/>
      <c r="ZF158" s="250"/>
      <c r="ZG158" s="250"/>
      <c r="ZH158" s="250"/>
      <c r="ZI158" s="250"/>
      <c r="ZJ158" s="250"/>
      <c r="ZK158" s="250"/>
      <c r="ZL158" s="250"/>
      <c r="ZM158" s="250"/>
      <c r="ZN158" s="250"/>
      <c r="ZO158" s="250"/>
      <c r="ZP158" s="250"/>
      <c r="ZQ158" s="250"/>
      <c r="ZR158" s="250"/>
      <c r="ZS158" s="250"/>
      <c r="ZT158" s="250"/>
      <c r="ZU158" s="250"/>
      <c r="ZV158" s="250"/>
      <c r="ZW158" s="250"/>
      <c r="ZX158" s="250"/>
      <c r="ZY158" s="250"/>
      <c r="ZZ158" s="250"/>
      <c r="AAA158" s="250"/>
      <c r="AAB158" s="250"/>
      <c r="AAC158" s="250"/>
      <c r="AAD158" s="250"/>
      <c r="AAE158" s="250"/>
      <c r="AAF158" s="250"/>
      <c r="AAG158" s="250"/>
      <c r="AAH158" s="250"/>
      <c r="AAI158" s="250"/>
      <c r="AAJ158" s="250"/>
      <c r="AAK158" s="250"/>
      <c r="AAL158" s="250"/>
      <c r="AAM158" s="250"/>
      <c r="AAN158" s="250"/>
      <c r="AAO158" s="250"/>
      <c r="AAP158" s="250"/>
      <c r="AAQ158" s="250"/>
      <c r="AAR158" s="250"/>
      <c r="AAS158" s="250"/>
      <c r="AAT158" s="250"/>
      <c r="AAU158" s="250"/>
      <c r="AAV158" s="250"/>
      <c r="AAW158" s="250"/>
      <c r="AAX158" s="250"/>
      <c r="AAY158" s="250"/>
      <c r="AAZ158" s="250"/>
      <c r="ABA158" s="250"/>
      <c r="ABB158" s="250"/>
      <c r="ABC158" s="250"/>
      <c r="ABD158" s="250"/>
      <c r="ABE158" s="250"/>
      <c r="ABF158" s="250"/>
      <c r="ABG158" s="250"/>
      <c r="ABH158" s="250"/>
      <c r="ABI158" s="250"/>
      <c r="ABJ158" s="250"/>
      <c r="ABK158" s="250"/>
      <c r="ABL158" s="250"/>
      <c r="ABM158" s="250"/>
      <c r="ABN158" s="250"/>
      <c r="ABO158" s="250"/>
      <c r="ABP158" s="250"/>
      <c r="ABQ158" s="250"/>
      <c r="ABR158" s="250"/>
      <c r="ABS158" s="250"/>
      <c r="ABT158" s="250"/>
      <c r="ABU158" s="250"/>
      <c r="ABV158" s="250"/>
      <c r="ABW158" s="250"/>
      <c r="ABX158" s="250"/>
      <c r="ABY158" s="250"/>
      <c r="ABZ158" s="250"/>
      <c r="ACA158" s="250"/>
      <c r="ACB158" s="250"/>
      <c r="ACC158" s="250"/>
      <c r="ACD158" s="250"/>
      <c r="ACE158" s="250"/>
      <c r="ACF158" s="250"/>
      <c r="ACG158" s="250"/>
      <c r="ACH158" s="250"/>
      <c r="ACI158" s="250"/>
      <c r="ACJ158" s="250"/>
      <c r="ACK158" s="250"/>
      <c r="ACL158" s="250"/>
      <c r="ACM158" s="250"/>
      <c r="ACN158" s="250"/>
      <c r="ACO158" s="250"/>
      <c r="ACP158" s="250"/>
      <c r="ACQ158" s="250"/>
      <c r="ACR158" s="250"/>
      <c r="ACS158" s="250"/>
      <c r="ACT158" s="250"/>
      <c r="ACU158" s="250"/>
      <c r="ACV158" s="250"/>
      <c r="ACW158" s="250"/>
      <c r="ACX158" s="250"/>
      <c r="ACY158" s="250"/>
      <c r="ACZ158" s="250"/>
      <c r="ADA158" s="250"/>
      <c r="ADB158" s="250"/>
      <c r="ADC158" s="250"/>
      <c r="ADD158" s="250"/>
      <c r="ADE158" s="250"/>
      <c r="ADF158" s="250"/>
      <c r="ADG158" s="250"/>
      <c r="ADH158" s="250"/>
      <c r="ADI158" s="250"/>
      <c r="ADJ158" s="250"/>
      <c r="ADK158" s="250"/>
      <c r="ADL158" s="250"/>
      <c r="ADM158" s="250"/>
      <c r="ADN158" s="250"/>
      <c r="ADO158" s="250"/>
      <c r="ADP158" s="250"/>
      <c r="ADQ158" s="250"/>
      <c r="ADR158" s="250"/>
      <c r="ADS158" s="250"/>
      <c r="ADT158" s="250"/>
      <c r="ADU158" s="250"/>
      <c r="ADV158" s="250"/>
      <c r="ADW158" s="250"/>
      <c r="ADX158" s="250"/>
      <c r="ADY158" s="250"/>
      <c r="ADZ158" s="250"/>
      <c r="AEA158" s="250"/>
      <c r="AEB158" s="250"/>
      <c r="AEC158" s="250"/>
      <c r="AED158" s="250"/>
      <c r="AEE158" s="250"/>
      <c r="AEF158" s="250"/>
      <c r="AEG158" s="250"/>
      <c r="AEH158" s="250"/>
      <c r="AEI158" s="250"/>
      <c r="AEJ158" s="250"/>
      <c r="AEK158" s="250"/>
      <c r="AEL158" s="250"/>
      <c r="AEM158" s="250"/>
      <c r="AEN158" s="250"/>
      <c r="AEO158" s="250"/>
      <c r="AEP158" s="250"/>
      <c r="AEQ158" s="250"/>
      <c r="AER158" s="250"/>
      <c r="AES158" s="250"/>
      <c r="AET158" s="250"/>
      <c r="AEU158" s="250"/>
      <c r="AEV158" s="250"/>
      <c r="AEW158" s="250"/>
      <c r="AEX158" s="250"/>
      <c r="AEY158" s="250"/>
      <c r="AEZ158" s="250"/>
      <c r="AFA158" s="250"/>
      <c r="AFB158" s="250"/>
      <c r="AFC158" s="250"/>
      <c r="AFD158" s="250"/>
      <c r="AFE158" s="250"/>
      <c r="AFF158" s="250"/>
      <c r="AFG158" s="250"/>
      <c r="AFH158" s="250"/>
      <c r="AFI158" s="250"/>
      <c r="AFJ158" s="250"/>
      <c r="AFK158" s="250"/>
      <c r="AFL158" s="250"/>
      <c r="AFM158" s="250"/>
      <c r="AFN158" s="250"/>
      <c r="AFO158" s="250"/>
      <c r="AFP158" s="250"/>
      <c r="AFQ158" s="250"/>
      <c r="AFR158" s="250"/>
      <c r="AFS158" s="250"/>
      <c r="AFT158" s="250"/>
      <c r="AFU158" s="250"/>
      <c r="AFV158" s="250"/>
      <c r="AFW158" s="250"/>
      <c r="AFX158" s="250"/>
      <c r="AFY158" s="250"/>
      <c r="AFZ158" s="250"/>
      <c r="AGA158" s="250"/>
      <c r="AGB158" s="250"/>
      <c r="AGC158" s="250"/>
      <c r="AGD158" s="250"/>
      <c r="AGE158" s="250"/>
      <c r="AGF158" s="250"/>
      <c r="AGG158" s="250"/>
      <c r="AGH158" s="250"/>
      <c r="AGI158" s="250"/>
      <c r="AGJ158" s="250"/>
      <c r="AGK158" s="250"/>
      <c r="AGL158" s="250"/>
      <c r="AGM158" s="250"/>
      <c r="AGN158" s="250"/>
      <c r="AGO158" s="250"/>
      <c r="AGP158" s="250"/>
      <c r="AGQ158" s="250"/>
      <c r="AGR158" s="250"/>
      <c r="AGS158" s="250"/>
      <c r="AGT158" s="250"/>
      <c r="AGU158" s="250"/>
      <c r="AGV158" s="250"/>
      <c r="AGW158" s="250"/>
      <c r="AGX158" s="250"/>
      <c r="AGY158" s="250"/>
      <c r="AGZ158" s="250"/>
      <c r="AHA158" s="250"/>
      <c r="AHB158" s="250"/>
      <c r="AHC158" s="250"/>
      <c r="AHD158" s="250"/>
      <c r="AHE158" s="250"/>
      <c r="AHF158" s="250"/>
      <c r="AHG158" s="250"/>
      <c r="AHH158" s="250"/>
      <c r="AHI158" s="250"/>
      <c r="AHJ158" s="250"/>
      <c r="AHK158" s="250"/>
      <c r="AHL158" s="250"/>
      <c r="AHM158" s="250"/>
      <c r="AHN158" s="250"/>
      <c r="AHO158" s="250"/>
      <c r="AHP158" s="250"/>
      <c r="AHQ158" s="250"/>
      <c r="AHR158" s="250"/>
      <c r="AHS158" s="250"/>
      <c r="AHT158" s="250"/>
      <c r="AHU158" s="250"/>
      <c r="AHV158" s="250"/>
      <c r="AHW158" s="250"/>
      <c r="AHX158" s="250"/>
      <c r="AHY158" s="250"/>
      <c r="AHZ158" s="250"/>
      <c r="AIA158" s="250"/>
      <c r="AIB158" s="250"/>
      <c r="AIC158" s="250"/>
      <c r="AID158" s="250"/>
      <c r="AIE158" s="250"/>
      <c r="AIF158" s="250"/>
      <c r="AIG158" s="250"/>
      <c r="AIH158" s="250"/>
      <c r="AII158" s="250"/>
      <c r="AIJ158" s="250"/>
      <c r="AIK158" s="250"/>
      <c r="AIL158" s="250"/>
      <c r="AIM158" s="250"/>
      <c r="AIN158" s="250"/>
      <c r="AIO158" s="250"/>
      <c r="AIP158" s="250"/>
      <c r="AIQ158" s="250"/>
      <c r="AIR158" s="250"/>
      <c r="AIS158" s="250"/>
      <c r="AIT158" s="250"/>
      <c r="AIU158" s="250"/>
      <c r="AIV158" s="250"/>
      <c r="AIW158" s="250"/>
      <c r="AIX158" s="250"/>
      <c r="AIY158" s="250"/>
      <c r="AIZ158" s="250"/>
      <c r="AJA158" s="250"/>
      <c r="AJB158" s="250"/>
      <c r="AJC158" s="250"/>
      <c r="AJD158" s="250"/>
      <c r="AJE158" s="250"/>
      <c r="AJF158" s="250"/>
      <c r="AJG158" s="250"/>
      <c r="AJH158" s="250"/>
      <c r="AJI158" s="250"/>
      <c r="AJJ158" s="250"/>
      <c r="AJK158" s="250"/>
      <c r="AJL158" s="250"/>
      <c r="AJM158" s="250"/>
      <c r="AJN158" s="250"/>
      <c r="AJO158" s="250"/>
      <c r="AJP158" s="250"/>
      <c r="AJQ158" s="250"/>
      <c r="AJR158" s="250"/>
      <c r="AJS158" s="250"/>
      <c r="AJT158" s="250"/>
      <c r="AJU158" s="250"/>
      <c r="AJV158" s="250"/>
      <c r="AJW158" s="250"/>
      <c r="AJX158" s="250"/>
      <c r="AJY158" s="250"/>
      <c r="AJZ158" s="250"/>
      <c r="AKA158" s="250"/>
      <c r="AKB158" s="250"/>
      <c r="AKC158" s="250"/>
      <c r="AKD158" s="250"/>
      <c r="AKE158" s="250"/>
      <c r="AKF158" s="250"/>
      <c r="AKG158" s="250"/>
      <c r="AKH158" s="250"/>
      <c r="AKI158" s="250"/>
      <c r="AKJ158" s="250"/>
      <c r="AKK158" s="250"/>
      <c r="AKL158" s="250"/>
      <c r="AKM158" s="250"/>
      <c r="AKN158" s="250"/>
      <c r="AKO158" s="250"/>
      <c r="AKP158" s="250"/>
      <c r="AKQ158" s="250"/>
      <c r="AKR158" s="250"/>
      <c r="AKS158" s="250"/>
      <c r="AKT158" s="250"/>
      <c r="AKU158" s="250"/>
      <c r="AKV158" s="250"/>
      <c r="AKW158" s="250"/>
      <c r="AKX158" s="250"/>
      <c r="AKY158" s="250"/>
      <c r="AKZ158" s="250"/>
      <c r="ALA158" s="250"/>
      <c r="ALB158" s="250"/>
      <c r="ALC158" s="250"/>
      <c r="ALD158" s="250"/>
      <c r="ALE158" s="250"/>
      <c r="ALF158" s="250"/>
      <c r="ALG158" s="250"/>
      <c r="ALH158" s="250"/>
      <c r="ALI158" s="250"/>
      <c r="ALJ158" s="250"/>
      <c r="ALK158" s="250"/>
      <c r="ALL158" s="250"/>
      <c r="ALM158" s="250"/>
      <c r="ALN158" s="250"/>
      <c r="ALO158" s="250"/>
      <c r="ALP158" s="250"/>
      <c r="ALQ158" s="250"/>
      <c r="ALR158" s="250"/>
      <c r="ALS158" s="250"/>
      <c r="ALT158" s="250"/>
      <c r="ALU158" s="250"/>
      <c r="ALV158" s="250"/>
      <c r="ALW158" s="250"/>
      <c r="ALX158" s="250"/>
      <c r="ALY158" s="250"/>
      <c r="ALZ158" s="250"/>
      <c r="AMA158" s="250"/>
      <c r="AMB158" s="250"/>
      <c r="AMC158" s="250"/>
      <c r="AMD158" s="250"/>
      <c r="AME158" s="250"/>
      <c r="AMF158" s="250"/>
      <c r="AMG158" s="250"/>
      <c r="AMH158" s="250"/>
      <c r="AMI158" s="250"/>
      <c r="AMJ158" s="250"/>
      <c r="AMK158" s="250"/>
      <c r="AML158" s="250"/>
      <c r="AMM158" s="250"/>
      <c r="AMN158" s="250"/>
      <c r="AMO158" s="250"/>
      <c r="AMP158" s="250"/>
      <c r="AMQ158" s="250"/>
      <c r="AMR158" s="250"/>
      <c r="AMS158" s="250"/>
      <c r="AMT158" s="250"/>
      <c r="AMU158" s="250"/>
      <c r="AMV158" s="250"/>
      <c r="AMW158" s="250"/>
      <c r="AMX158" s="250"/>
      <c r="AMY158" s="250"/>
      <c r="AMZ158" s="250"/>
      <c r="ANA158" s="250"/>
      <c r="ANB158" s="250"/>
      <c r="ANC158" s="250"/>
      <c r="AND158" s="250"/>
      <c r="ANE158" s="250"/>
      <c r="ANF158" s="250"/>
      <c r="ANG158" s="250"/>
      <c r="ANH158" s="250"/>
      <c r="ANI158" s="250"/>
      <c r="ANJ158" s="250"/>
      <c r="ANK158" s="250"/>
      <c r="ANL158" s="250"/>
      <c r="ANM158" s="250"/>
      <c r="ANN158" s="250"/>
      <c r="ANO158" s="250"/>
      <c r="ANP158" s="250"/>
      <c r="ANQ158" s="250"/>
      <c r="ANR158" s="250"/>
      <c r="ANS158" s="250"/>
      <c r="ANT158" s="250"/>
      <c r="ANU158" s="250"/>
      <c r="ANV158" s="250"/>
      <c r="ANW158" s="250"/>
      <c r="ANX158" s="250"/>
      <c r="ANY158" s="250"/>
      <c r="ANZ158" s="250"/>
      <c r="AOA158" s="250"/>
      <c r="AOB158" s="250"/>
      <c r="AOC158" s="250"/>
      <c r="AOD158" s="250"/>
      <c r="AOE158" s="250"/>
      <c r="AOF158" s="250"/>
      <c r="AOG158" s="250"/>
      <c r="AOH158" s="250"/>
      <c r="AOI158" s="250"/>
      <c r="AOJ158" s="250"/>
      <c r="AOK158" s="250"/>
      <c r="AOL158" s="250"/>
      <c r="AOM158" s="250"/>
      <c r="AON158" s="250"/>
      <c r="AOO158" s="250"/>
      <c r="AOP158" s="250"/>
      <c r="AOQ158" s="250"/>
      <c r="AOR158" s="250"/>
      <c r="AOS158" s="250"/>
      <c r="AOT158" s="250"/>
      <c r="AOU158" s="250"/>
      <c r="AOV158" s="250"/>
      <c r="AOW158" s="250"/>
      <c r="AOX158" s="250"/>
      <c r="AOY158" s="250"/>
      <c r="AOZ158" s="250"/>
      <c r="APA158" s="250"/>
      <c r="APB158" s="250"/>
      <c r="APC158" s="250"/>
      <c r="APD158" s="250"/>
      <c r="APE158" s="250"/>
      <c r="APF158" s="250"/>
      <c r="APG158" s="250"/>
      <c r="APH158" s="250"/>
      <c r="API158" s="250"/>
      <c r="APJ158" s="250"/>
      <c r="APK158" s="250"/>
      <c r="APL158" s="250"/>
      <c r="APM158" s="250"/>
      <c r="APN158" s="250"/>
      <c r="APO158" s="250"/>
      <c r="APP158" s="250"/>
      <c r="APQ158" s="250"/>
      <c r="APR158" s="250"/>
      <c r="APS158" s="250"/>
      <c r="APT158" s="250"/>
      <c r="APU158" s="250"/>
      <c r="APV158" s="250"/>
      <c r="APW158" s="250"/>
      <c r="APX158" s="250"/>
      <c r="APY158" s="250"/>
      <c r="APZ158" s="250"/>
      <c r="AQA158" s="250"/>
      <c r="AQB158" s="250"/>
      <c r="AQC158" s="250"/>
      <c r="AQD158" s="250"/>
      <c r="AQE158" s="250"/>
      <c r="AQF158" s="250"/>
      <c r="AQG158" s="250"/>
      <c r="AQH158" s="250"/>
      <c r="AQI158" s="250"/>
      <c r="AQJ158" s="250"/>
      <c r="AQK158" s="250"/>
      <c r="AQL158" s="250"/>
      <c r="AQM158" s="250"/>
      <c r="AQN158" s="250"/>
      <c r="AQO158" s="250"/>
      <c r="AQP158" s="250"/>
      <c r="AQQ158" s="250"/>
      <c r="AQR158" s="250"/>
      <c r="AQS158" s="250"/>
      <c r="AQT158" s="250"/>
      <c r="AQU158" s="250"/>
      <c r="AQV158" s="250"/>
      <c r="AQW158" s="250"/>
      <c r="AQX158" s="250"/>
      <c r="AQY158" s="250"/>
      <c r="AQZ158" s="250"/>
      <c r="ARA158" s="250"/>
      <c r="ARB158" s="250"/>
      <c r="ARC158" s="250"/>
      <c r="ARD158" s="250"/>
      <c r="ARE158" s="250"/>
      <c r="ARF158" s="250"/>
      <c r="ARG158" s="250"/>
      <c r="ARH158" s="250"/>
      <c r="ARI158" s="250"/>
      <c r="ARJ158" s="250"/>
      <c r="ARK158" s="250"/>
      <c r="ARL158" s="250"/>
      <c r="ARM158" s="250"/>
      <c r="ARN158" s="250"/>
      <c r="ARO158" s="250"/>
      <c r="ARP158" s="250"/>
      <c r="ARQ158" s="250"/>
      <c r="ARR158" s="250"/>
      <c r="ARS158" s="250"/>
      <c r="ART158" s="250"/>
      <c r="ARU158" s="250"/>
      <c r="ARV158" s="250"/>
      <c r="ARW158" s="250"/>
      <c r="ARX158" s="250"/>
      <c r="ARY158" s="250"/>
      <c r="ARZ158" s="250"/>
      <c r="ASA158" s="250"/>
      <c r="ASB158" s="250"/>
      <c r="ASC158" s="250"/>
      <c r="ASD158" s="250"/>
      <c r="ASE158" s="250"/>
      <c r="ASF158" s="250"/>
      <c r="ASG158" s="250"/>
      <c r="ASH158" s="250"/>
      <c r="ASI158" s="250"/>
      <c r="ASJ158" s="250"/>
      <c r="ASK158" s="250"/>
      <c r="ASL158" s="250"/>
      <c r="ASM158" s="250"/>
      <c r="ASN158" s="250"/>
      <c r="ASO158" s="250"/>
      <c r="ASP158" s="250"/>
      <c r="ASQ158" s="250"/>
      <c r="ASR158" s="250"/>
      <c r="ASS158" s="250"/>
      <c r="AST158" s="250"/>
      <c r="ASU158" s="250"/>
      <c r="ASV158" s="250"/>
      <c r="ASW158" s="250"/>
      <c r="ASX158" s="250"/>
      <c r="ASY158" s="250"/>
      <c r="ASZ158" s="250"/>
      <c r="ATA158" s="250"/>
      <c r="ATB158" s="250"/>
      <c r="ATC158" s="250"/>
      <c r="ATD158" s="250"/>
      <c r="ATE158" s="250"/>
      <c r="ATF158" s="250"/>
      <c r="ATG158" s="250"/>
      <c r="ATH158" s="250"/>
      <c r="ATI158" s="250"/>
      <c r="ATJ158" s="250"/>
      <c r="ATK158" s="250"/>
      <c r="ATL158" s="250"/>
      <c r="ATM158" s="250"/>
      <c r="ATN158" s="250"/>
      <c r="ATO158" s="250"/>
      <c r="ATP158" s="250"/>
      <c r="ATQ158" s="250"/>
      <c r="ATR158" s="250"/>
      <c r="ATS158" s="250"/>
      <c r="ATT158" s="250"/>
      <c r="ATU158" s="250"/>
      <c r="ATV158" s="250"/>
      <c r="ATW158" s="250"/>
      <c r="ATX158" s="250"/>
      <c r="ATY158" s="250"/>
      <c r="ATZ158" s="250"/>
      <c r="AUA158" s="250"/>
      <c r="AUB158" s="250"/>
      <c r="AUC158" s="250"/>
      <c r="AUD158" s="250"/>
      <c r="AUE158" s="250"/>
      <c r="AUF158" s="250"/>
      <c r="AUG158" s="250"/>
      <c r="AUH158" s="250"/>
      <c r="AUI158" s="250"/>
      <c r="AUJ158" s="250"/>
      <c r="AUK158" s="250"/>
      <c r="AUL158" s="250"/>
      <c r="AUM158" s="250"/>
      <c r="AUN158" s="250"/>
      <c r="AUO158" s="250"/>
      <c r="AUP158" s="250"/>
      <c r="AUQ158" s="250"/>
      <c r="AUR158" s="250"/>
      <c r="AUS158" s="250"/>
      <c r="AUT158" s="250"/>
      <c r="AUU158" s="250"/>
      <c r="AUV158" s="250"/>
      <c r="AUW158" s="250"/>
      <c r="AUX158" s="250"/>
      <c r="AUY158" s="250"/>
      <c r="AUZ158" s="250"/>
      <c r="AVA158" s="250"/>
      <c r="AVB158" s="250"/>
      <c r="AVC158" s="250"/>
      <c r="AVD158" s="250"/>
      <c r="AVE158" s="250"/>
      <c r="AVF158" s="250"/>
      <c r="AVG158" s="250"/>
      <c r="AVH158" s="250"/>
      <c r="AVI158" s="250"/>
      <c r="AVJ158" s="250"/>
      <c r="AVK158" s="250"/>
      <c r="AVL158" s="250"/>
      <c r="AVM158" s="250"/>
      <c r="AVN158" s="250"/>
      <c r="AVO158" s="250"/>
      <c r="AVP158" s="250"/>
      <c r="AVQ158" s="250"/>
      <c r="AVR158" s="250"/>
      <c r="AVS158" s="250"/>
      <c r="AVT158" s="250"/>
      <c r="AVU158" s="250"/>
      <c r="AVV158" s="250"/>
      <c r="AVW158" s="250"/>
      <c r="AVX158" s="250"/>
      <c r="AVY158" s="250"/>
      <c r="AVZ158" s="250"/>
      <c r="AWA158" s="250"/>
      <c r="AWB158" s="250"/>
      <c r="AWC158" s="250"/>
      <c r="AWD158" s="250"/>
      <c r="AWE158" s="250"/>
      <c r="AWF158" s="250"/>
      <c r="AWG158" s="250"/>
      <c r="AWH158" s="250"/>
      <c r="AWI158" s="250"/>
      <c r="AWJ158" s="250"/>
      <c r="AWK158" s="250"/>
      <c r="AWL158" s="250"/>
      <c r="AWM158" s="250"/>
      <c r="AWN158" s="250"/>
      <c r="AWO158" s="250"/>
      <c r="AWP158" s="250"/>
      <c r="AWQ158" s="250"/>
      <c r="AWR158" s="250"/>
      <c r="AWS158" s="250"/>
      <c r="AWT158" s="250"/>
      <c r="AWU158" s="250"/>
      <c r="AWV158" s="250"/>
      <c r="AWW158" s="250"/>
      <c r="AWX158" s="250"/>
      <c r="AWY158" s="250"/>
      <c r="AWZ158" s="250"/>
      <c r="AXA158" s="250"/>
      <c r="AXB158" s="250"/>
      <c r="AXC158" s="250"/>
      <c r="AXD158" s="250"/>
      <c r="AXE158" s="250"/>
      <c r="AXF158" s="250"/>
      <c r="AXG158" s="250"/>
      <c r="AXH158" s="250"/>
      <c r="AXI158" s="250"/>
      <c r="AXJ158" s="250"/>
      <c r="AXK158" s="250"/>
      <c r="AXL158" s="250"/>
      <c r="AXM158" s="250"/>
      <c r="AXN158" s="250"/>
      <c r="AXO158" s="250"/>
      <c r="AXP158" s="250"/>
      <c r="AXQ158" s="250"/>
      <c r="AXR158" s="250"/>
      <c r="AXS158" s="250"/>
      <c r="AXT158" s="250"/>
      <c r="AXU158" s="250"/>
      <c r="AXV158" s="250"/>
      <c r="AXW158" s="250"/>
      <c r="AXX158" s="250"/>
      <c r="AXY158" s="250"/>
      <c r="AXZ158" s="250"/>
      <c r="AYA158" s="250"/>
      <c r="AYB158" s="250"/>
      <c r="AYC158" s="250"/>
      <c r="AYD158" s="250"/>
      <c r="AYE158" s="250"/>
      <c r="AYF158" s="250"/>
      <c r="AYG158" s="250"/>
      <c r="AYH158" s="250"/>
      <c r="AYI158" s="250"/>
      <c r="AYJ158" s="250"/>
      <c r="AYK158" s="250"/>
      <c r="AYL158" s="250"/>
      <c r="AYM158" s="250"/>
      <c r="AYN158" s="250"/>
      <c r="AYO158" s="250"/>
      <c r="AYP158" s="250"/>
      <c r="AYQ158" s="250"/>
      <c r="AYR158" s="250"/>
      <c r="AYS158" s="250"/>
      <c r="AYT158" s="250"/>
      <c r="AYU158" s="250"/>
      <c r="AYV158" s="250"/>
      <c r="AYW158" s="250"/>
      <c r="AYX158" s="250"/>
      <c r="AYY158" s="250"/>
      <c r="AYZ158" s="250"/>
      <c r="AZA158" s="250"/>
      <c r="AZB158" s="250"/>
      <c r="AZC158" s="250"/>
      <c r="AZD158" s="250"/>
      <c r="AZE158" s="250"/>
      <c r="AZF158" s="250"/>
      <c r="AZG158" s="250"/>
      <c r="AZH158" s="250"/>
      <c r="AZI158" s="250"/>
      <c r="AZJ158" s="250"/>
      <c r="AZK158" s="250"/>
      <c r="AZL158" s="250"/>
      <c r="AZM158" s="250"/>
      <c r="AZN158" s="250"/>
      <c r="AZO158" s="250"/>
      <c r="AZP158" s="250"/>
      <c r="AZQ158" s="250"/>
      <c r="AZR158" s="250"/>
      <c r="AZS158" s="250"/>
      <c r="AZT158" s="250"/>
      <c r="AZU158" s="250"/>
      <c r="AZV158" s="250"/>
      <c r="AZW158" s="250"/>
      <c r="AZX158" s="250"/>
      <c r="AZY158" s="250"/>
      <c r="AZZ158" s="250"/>
      <c r="BAA158" s="250"/>
      <c r="BAB158" s="250"/>
      <c r="BAC158" s="250"/>
      <c r="BAD158" s="250"/>
      <c r="BAE158" s="250"/>
      <c r="BAF158" s="250"/>
      <c r="BAG158" s="250"/>
      <c r="BAH158" s="250"/>
      <c r="BAI158" s="250"/>
      <c r="BAJ158" s="250"/>
      <c r="BAK158" s="250"/>
      <c r="BAL158" s="250"/>
      <c r="BAM158" s="250"/>
      <c r="BAN158" s="250"/>
      <c r="BAO158" s="250"/>
      <c r="BAP158" s="250"/>
      <c r="BAQ158" s="250"/>
      <c r="BAR158" s="250"/>
      <c r="BAS158" s="250"/>
      <c r="BAT158" s="250"/>
      <c r="BAU158" s="250"/>
      <c r="BAV158" s="250"/>
      <c r="BAW158" s="250"/>
      <c r="BAX158" s="250"/>
      <c r="BAY158" s="250"/>
      <c r="BAZ158" s="250"/>
      <c r="BBA158" s="250"/>
      <c r="BBB158" s="250"/>
      <c r="BBC158" s="250"/>
      <c r="BBD158" s="250"/>
      <c r="BBE158" s="250"/>
      <c r="BBF158" s="250"/>
      <c r="BBG158" s="250"/>
      <c r="BBH158" s="250"/>
      <c r="BBI158" s="250"/>
      <c r="BBJ158" s="250"/>
      <c r="BBK158" s="250"/>
      <c r="BBL158" s="250"/>
      <c r="BBM158" s="250"/>
      <c r="BBN158" s="250"/>
      <c r="BBO158" s="250"/>
      <c r="BBP158" s="250"/>
      <c r="BBQ158" s="250"/>
      <c r="BBR158" s="250"/>
      <c r="BBS158" s="250"/>
      <c r="BBT158" s="250"/>
      <c r="BBU158" s="250"/>
      <c r="BBV158" s="250"/>
      <c r="BBW158" s="250"/>
      <c r="BBX158" s="250"/>
      <c r="BBY158" s="250"/>
      <c r="BBZ158" s="250"/>
      <c r="BCA158" s="250"/>
      <c r="BCB158" s="250"/>
      <c r="BCC158" s="250"/>
      <c r="BCD158" s="250"/>
      <c r="BCE158" s="250"/>
      <c r="BCF158" s="250"/>
      <c r="BCG158" s="250"/>
      <c r="BCH158" s="250"/>
      <c r="BCI158" s="250"/>
      <c r="BCJ158" s="250"/>
      <c r="BCK158" s="250"/>
      <c r="BCL158" s="250"/>
      <c r="BCM158" s="250"/>
      <c r="BCN158" s="250"/>
      <c r="BCO158" s="250"/>
      <c r="BCP158" s="250"/>
      <c r="BCQ158" s="250"/>
      <c r="BCR158" s="250"/>
      <c r="BCS158" s="250"/>
      <c r="BCT158" s="250"/>
      <c r="BCU158" s="250"/>
      <c r="BCV158" s="250"/>
      <c r="BCW158" s="250"/>
      <c r="BCX158" s="250"/>
      <c r="BCY158" s="250"/>
      <c r="BCZ158" s="250"/>
      <c r="BDA158" s="250"/>
      <c r="BDB158" s="250"/>
      <c r="BDC158" s="250"/>
      <c r="BDD158" s="250"/>
      <c r="BDE158" s="250"/>
      <c r="BDF158" s="250"/>
      <c r="BDG158" s="250"/>
      <c r="BDH158" s="250"/>
      <c r="BDI158" s="250"/>
      <c r="BDJ158" s="250"/>
      <c r="BDK158" s="250"/>
      <c r="BDL158" s="250"/>
      <c r="BDM158" s="250"/>
      <c r="BDN158" s="250"/>
      <c r="BDO158" s="250"/>
      <c r="BDP158" s="250"/>
      <c r="BDQ158" s="250"/>
      <c r="BDR158" s="250"/>
      <c r="BDS158" s="250"/>
      <c r="BDT158" s="250"/>
      <c r="BDU158" s="250"/>
      <c r="BDV158" s="250"/>
      <c r="BDW158" s="250"/>
      <c r="BDX158" s="250"/>
      <c r="BDY158" s="250"/>
      <c r="BDZ158" s="250"/>
      <c r="BEA158" s="250"/>
      <c r="BEB158" s="250"/>
      <c r="BEC158" s="250"/>
      <c r="BED158" s="250"/>
      <c r="BEE158" s="250"/>
      <c r="BEF158" s="250"/>
      <c r="BEG158" s="250"/>
      <c r="BEH158" s="250"/>
      <c r="BEI158" s="250"/>
      <c r="BEJ158" s="250"/>
      <c r="BEK158" s="250"/>
      <c r="BEL158" s="250"/>
      <c r="BEM158" s="250"/>
      <c r="BEN158" s="250"/>
      <c r="BEO158" s="250"/>
      <c r="BEP158" s="250"/>
      <c r="BEQ158" s="250"/>
      <c r="BER158" s="250"/>
      <c r="BES158" s="250"/>
      <c r="BET158" s="250"/>
      <c r="BEU158" s="250"/>
      <c r="BEV158" s="250"/>
      <c r="BEW158" s="250"/>
      <c r="BEX158" s="250"/>
      <c r="BEY158" s="250"/>
      <c r="BEZ158" s="250"/>
      <c r="BFA158" s="250"/>
      <c r="BFB158" s="250"/>
      <c r="BFC158" s="250"/>
      <c r="BFD158" s="250"/>
      <c r="BFE158" s="250"/>
      <c r="BFF158" s="250"/>
      <c r="BFG158" s="250"/>
      <c r="BFH158" s="250"/>
      <c r="BFI158" s="250"/>
      <c r="BFJ158" s="250"/>
      <c r="BFK158" s="250"/>
      <c r="BFL158" s="250"/>
      <c r="BFM158" s="250"/>
      <c r="BFN158" s="250"/>
      <c r="BFO158" s="250"/>
      <c r="BFP158" s="250"/>
      <c r="BFQ158" s="250"/>
      <c r="BFR158" s="250"/>
      <c r="BFS158" s="250"/>
      <c r="BFT158" s="250"/>
      <c r="BFU158" s="250"/>
      <c r="BFV158" s="250"/>
      <c r="BFW158" s="250"/>
      <c r="BFX158" s="250"/>
      <c r="BFY158" s="250"/>
      <c r="BFZ158" s="250"/>
      <c r="BGA158" s="250"/>
      <c r="BGB158" s="250"/>
      <c r="BGC158" s="250"/>
      <c r="BGD158" s="250"/>
      <c r="BGE158" s="250"/>
      <c r="BGF158" s="250"/>
      <c r="BGG158" s="250"/>
      <c r="BGH158" s="250"/>
      <c r="BGI158" s="250"/>
      <c r="BGJ158" s="250"/>
      <c r="BGK158" s="250"/>
      <c r="BGL158" s="250"/>
      <c r="BGM158" s="250"/>
      <c r="BGN158" s="250"/>
      <c r="BGO158" s="250"/>
      <c r="BGP158" s="250"/>
      <c r="BGQ158" s="250"/>
      <c r="BGR158" s="250"/>
      <c r="BGS158" s="250"/>
      <c r="BGT158" s="250"/>
      <c r="BGU158" s="250"/>
      <c r="BGV158" s="250"/>
      <c r="BGW158" s="250"/>
      <c r="BGX158" s="250"/>
      <c r="BGY158" s="250"/>
      <c r="BGZ158" s="250"/>
      <c r="BHA158" s="250"/>
      <c r="BHB158" s="250"/>
      <c r="BHC158" s="250"/>
      <c r="BHD158" s="250"/>
      <c r="BHE158" s="250"/>
      <c r="BHF158" s="250"/>
      <c r="BHG158" s="250"/>
      <c r="BHH158" s="250"/>
      <c r="BHI158" s="250"/>
      <c r="BHJ158" s="250"/>
      <c r="BHK158" s="250"/>
      <c r="BHL158" s="250"/>
      <c r="BHM158" s="250"/>
      <c r="BHN158" s="250"/>
      <c r="BHO158" s="250"/>
      <c r="BHP158" s="250"/>
      <c r="BHQ158" s="250"/>
      <c r="BHR158" s="250"/>
      <c r="BHS158" s="250"/>
      <c r="BHT158" s="250"/>
      <c r="BHU158" s="250"/>
      <c r="BHV158" s="250"/>
      <c r="BHW158" s="250"/>
      <c r="BHX158" s="250"/>
      <c r="BHY158" s="250"/>
      <c r="BHZ158" s="250"/>
      <c r="BIA158" s="250"/>
      <c r="BIB158" s="250"/>
      <c r="BIC158" s="250"/>
      <c r="BID158" s="250"/>
      <c r="BIE158" s="250"/>
      <c r="BIF158" s="250"/>
      <c r="BIG158" s="250"/>
      <c r="BIH158" s="250"/>
      <c r="BII158" s="250"/>
      <c r="BIJ158" s="250"/>
      <c r="BIK158" s="250"/>
      <c r="BIL158" s="250"/>
      <c r="BIM158" s="250"/>
      <c r="BIN158" s="250"/>
      <c r="BIO158" s="250"/>
      <c r="BIP158" s="250"/>
      <c r="BIQ158" s="250"/>
      <c r="BIR158" s="250"/>
      <c r="BIS158" s="250"/>
      <c r="BIT158" s="250"/>
      <c r="BIU158" s="250"/>
      <c r="BIV158" s="250"/>
      <c r="BIW158" s="250"/>
      <c r="BIX158" s="250"/>
      <c r="BIY158" s="250"/>
      <c r="BIZ158" s="250"/>
      <c r="BJA158" s="250"/>
      <c r="BJB158" s="250"/>
      <c r="BJC158" s="250"/>
      <c r="BJD158" s="250"/>
      <c r="BJE158" s="250"/>
      <c r="BJF158" s="250"/>
      <c r="BJG158" s="250"/>
      <c r="BJH158" s="250"/>
      <c r="BJI158" s="250"/>
      <c r="BJJ158" s="250"/>
      <c r="BJK158" s="250"/>
      <c r="BJL158" s="250"/>
      <c r="BJM158" s="250"/>
      <c r="BJN158" s="250"/>
      <c r="BJO158" s="250"/>
      <c r="BJP158" s="250"/>
      <c r="BJQ158" s="250"/>
      <c r="BJR158" s="250"/>
      <c r="BJS158" s="250"/>
      <c r="BJT158" s="250"/>
      <c r="BJU158" s="250"/>
      <c r="BJV158" s="250"/>
      <c r="BJW158" s="250"/>
      <c r="BJX158" s="250"/>
      <c r="BJY158" s="250"/>
      <c r="BJZ158" s="250"/>
      <c r="BKA158" s="250"/>
      <c r="BKB158" s="250"/>
      <c r="BKC158" s="250"/>
      <c r="BKD158" s="250"/>
      <c r="BKE158" s="250"/>
      <c r="BKF158" s="250"/>
      <c r="BKG158" s="250"/>
      <c r="BKH158" s="250"/>
      <c r="BKI158" s="250"/>
      <c r="BKJ158" s="250"/>
      <c r="BKK158" s="250"/>
      <c r="BKL158" s="250"/>
      <c r="BKM158" s="250"/>
      <c r="BKN158" s="250"/>
      <c r="BKO158" s="250"/>
      <c r="BKP158" s="250"/>
      <c r="BKQ158" s="250"/>
      <c r="BKR158" s="250"/>
      <c r="BKS158" s="250"/>
      <c r="BKT158" s="250"/>
      <c r="BKU158" s="250"/>
      <c r="BKV158" s="250"/>
      <c r="BKW158" s="250"/>
      <c r="BKX158" s="250"/>
      <c r="BKY158" s="250"/>
      <c r="BKZ158" s="250"/>
      <c r="BLA158" s="250"/>
      <c r="BLB158" s="250"/>
      <c r="BLC158" s="250"/>
      <c r="BLD158" s="250"/>
      <c r="BLE158" s="250"/>
      <c r="BLF158" s="250"/>
      <c r="BLG158" s="250"/>
      <c r="BLH158" s="250"/>
      <c r="BLI158" s="250"/>
      <c r="BLJ158" s="250"/>
      <c r="BLK158" s="250"/>
      <c r="BLL158" s="250"/>
      <c r="BLM158" s="250"/>
      <c r="BLN158" s="250"/>
      <c r="BLO158" s="250"/>
      <c r="BLP158" s="250"/>
      <c r="BLQ158" s="250"/>
      <c r="BLR158" s="250"/>
      <c r="BLS158" s="250"/>
      <c r="BLT158" s="250"/>
      <c r="BLU158" s="250"/>
      <c r="BLV158" s="250"/>
      <c r="BLW158" s="250"/>
      <c r="BLX158" s="250"/>
      <c r="BLY158" s="250"/>
      <c r="BLZ158" s="250"/>
      <c r="BMA158" s="250"/>
      <c r="BMB158" s="250"/>
      <c r="BMC158" s="250"/>
      <c r="BMD158" s="250"/>
      <c r="BME158" s="250"/>
      <c r="BMF158" s="250"/>
      <c r="BMG158" s="250"/>
      <c r="BMH158" s="250"/>
      <c r="BMI158" s="250"/>
      <c r="BMJ158" s="250"/>
      <c r="BMK158" s="250"/>
      <c r="BML158" s="250"/>
      <c r="BMM158" s="250"/>
      <c r="BMN158" s="250"/>
      <c r="BMO158" s="250"/>
      <c r="BMP158" s="250"/>
      <c r="BMQ158" s="250"/>
      <c r="BMR158" s="250"/>
      <c r="BMS158" s="250"/>
      <c r="BMT158" s="250"/>
      <c r="BMU158" s="250"/>
      <c r="BMV158" s="250"/>
      <c r="BMW158" s="250"/>
      <c r="BMX158" s="250"/>
      <c r="BMY158" s="250"/>
      <c r="BMZ158" s="250"/>
      <c r="BNA158" s="250"/>
      <c r="BNB158" s="250"/>
      <c r="BNC158" s="250"/>
      <c r="BND158" s="250"/>
      <c r="BNE158" s="250"/>
      <c r="BNF158" s="250"/>
      <c r="BNG158" s="250"/>
      <c r="BNH158" s="250"/>
      <c r="BNI158" s="250"/>
      <c r="BNJ158" s="250"/>
      <c r="BNK158" s="250"/>
      <c r="BNL158" s="250"/>
      <c r="BNM158" s="250"/>
      <c r="BNN158" s="250"/>
      <c r="BNO158" s="250"/>
      <c r="BNP158" s="250"/>
      <c r="BNQ158" s="250"/>
      <c r="BNR158" s="250"/>
      <c r="BNS158" s="250"/>
      <c r="BNT158" s="250"/>
      <c r="BNU158" s="250"/>
      <c r="BNV158" s="250"/>
      <c r="BNW158" s="250"/>
      <c r="BNX158" s="250"/>
      <c r="BNY158" s="250"/>
      <c r="BNZ158" s="250"/>
      <c r="BOA158" s="250"/>
      <c r="BOB158" s="250"/>
      <c r="BOC158" s="250"/>
      <c r="BOD158" s="250"/>
      <c r="BOE158" s="250"/>
      <c r="BOF158" s="250"/>
      <c r="BOG158" s="250"/>
      <c r="BOH158" s="250"/>
      <c r="BOI158" s="250"/>
      <c r="BOJ158" s="250"/>
      <c r="BOK158" s="250"/>
      <c r="BOL158" s="250"/>
      <c r="BOM158" s="250"/>
      <c r="BON158" s="250"/>
      <c r="BOO158" s="250"/>
      <c r="BOP158" s="250"/>
      <c r="BOQ158" s="250"/>
      <c r="BOR158" s="250"/>
      <c r="BOS158" s="250"/>
      <c r="BOT158" s="250"/>
      <c r="BOU158" s="250"/>
      <c r="BOV158" s="250"/>
      <c r="BOW158" s="250"/>
      <c r="BOX158" s="250"/>
      <c r="BOY158" s="250"/>
      <c r="BOZ158" s="250"/>
      <c r="BPA158" s="250"/>
      <c r="BPB158" s="250"/>
      <c r="BPC158" s="250"/>
      <c r="BPD158" s="250"/>
      <c r="BPE158" s="250"/>
      <c r="BPF158" s="250"/>
      <c r="BPG158" s="250"/>
      <c r="BPH158" s="250"/>
      <c r="BPI158" s="250"/>
      <c r="BPJ158" s="250"/>
      <c r="BPK158" s="250"/>
      <c r="BPL158" s="250"/>
      <c r="BPM158" s="250"/>
      <c r="BPN158" s="250"/>
      <c r="BPO158" s="250"/>
      <c r="BPP158" s="250"/>
      <c r="BPQ158" s="250"/>
      <c r="BPR158" s="250"/>
      <c r="BPS158" s="250"/>
      <c r="BPT158" s="250"/>
      <c r="BPU158" s="250"/>
      <c r="BPV158" s="250"/>
      <c r="BPW158" s="250"/>
      <c r="BPX158" s="250"/>
      <c r="BPY158" s="250"/>
      <c r="BPZ158" s="250"/>
      <c r="BQA158" s="250"/>
      <c r="BQB158" s="250"/>
      <c r="BQC158" s="250"/>
      <c r="BQD158" s="250"/>
      <c r="BQE158" s="250"/>
      <c r="BQF158" s="250"/>
      <c r="BQG158" s="250"/>
      <c r="BQH158" s="250"/>
      <c r="BQI158" s="250"/>
      <c r="BQJ158" s="250"/>
      <c r="BQK158" s="250"/>
      <c r="BQL158" s="250"/>
      <c r="BQM158" s="250"/>
      <c r="BQN158" s="250"/>
      <c r="BQO158" s="250"/>
      <c r="BQP158" s="250"/>
      <c r="BQQ158" s="250"/>
      <c r="BQR158" s="250"/>
      <c r="BQS158" s="250"/>
      <c r="BQT158" s="250"/>
      <c r="BQU158" s="250"/>
      <c r="BQV158" s="250"/>
      <c r="BQW158" s="250"/>
      <c r="BQX158" s="250"/>
      <c r="BQY158" s="250"/>
      <c r="BQZ158" s="250"/>
      <c r="BRA158" s="250"/>
      <c r="BRB158" s="250"/>
      <c r="BRC158" s="250"/>
      <c r="BRD158" s="250"/>
      <c r="BRE158" s="250"/>
      <c r="BRF158" s="250"/>
      <c r="BRG158" s="250"/>
      <c r="BRH158" s="250"/>
      <c r="BRI158" s="250"/>
      <c r="BRJ158" s="250"/>
      <c r="BRK158" s="250"/>
      <c r="BRL158" s="250"/>
      <c r="BRM158" s="250"/>
      <c r="BRN158" s="250"/>
      <c r="BRO158" s="250"/>
      <c r="BRP158" s="250"/>
      <c r="BRQ158" s="250"/>
      <c r="BRR158" s="250"/>
      <c r="BRS158" s="250"/>
      <c r="BRT158" s="250"/>
      <c r="BRU158" s="250"/>
      <c r="BRV158" s="250"/>
      <c r="BRW158" s="250"/>
      <c r="BRX158" s="250"/>
      <c r="BRY158" s="250"/>
      <c r="BRZ158" s="250"/>
      <c r="BSA158" s="250"/>
      <c r="BSB158" s="250"/>
      <c r="BSC158" s="250"/>
      <c r="BSD158" s="250"/>
      <c r="BSE158" s="250"/>
      <c r="BSF158" s="250"/>
      <c r="BSG158" s="250"/>
      <c r="BSH158" s="250"/>
      <c r="BSI158" s="250"/>
      <c r="BSJ158" s="250"/>
      <c r="BSK158" s="250"/>
      <c r="BSL158" s="250"/>
      <c r="BSM158" s="250"/>
      <c r="BSN158" s="250"/>
      <c r="BSO158" s="250"/>
      <c r="BSP158" s="250"/>
      <c r="BSQ158" s="250"/>
      <c r="BSR158" s="250"/>
      <c r="BSS158" s="250"/>
      <c r="BST158" s="250"/>
      <c r="BSU158" s="250"/>
      <c r="BSV158" s="250"/>
      <c r="BSW158" s="250"/>
      <c r="BSX158" s="250"/>
      <c r="BSY158" s="250"/>
      <c r="BSZ158" s="250"/>
      <c r="BTA158" s="250"/>
      <c r="BTB158" s="250"/>
      <c r="BTC158" s="250"/>
      <c r="BTD158" s="250"/>
      <c r="BTE158" s="250"/>
      <c r="BTF158" s="250"/>
      <c r="BTG158" s="250"/>
      <c r="BTH158" s="250"/>
      <c r="BTI158" s="250"/>
      <c r="BTJ158" s="250"/>
      <c r="BTK158" s="250"/>
      <c r="BTL158" s="250"/>
      <c r="BTM158" s="250"/>
      <c r="BTN158" s="250"/>
      <c r="BTO158" s="250"/>
      <c r="BTP158" s="250"/>
      <c r="BTQ158" s="250"/>
      <c r="BTR158" s="250"/>
      <c r="BTS158" s="250"/>
      <c r="BTT158" s="250"/>
      <c r="BTU158" s="250"/>
      <c r="BTV158" s="250"/>
      <c r="BTW158" s="250"/>
      <c r="BTX158" s="250"/>
      <c r="BTY158" s="250"/>
      <c r="BTZ158" s="250"/>
      <c r="BUA158" s="250"/>
      <c r="BUB158" s="250"/>
      <c r="BUC158" s="250"/>
      <c r="BUD158" s="250"/>
      <c r="BUE158" s="250"/>
      <c r="BUF158" s="250"/>
      <c r="BUG158" s="250"/>
      <c r="BUH158" s="250"/>
      <c r="BUI158" s="250"/>
      <c r="BUJ158" s="250"/>
      <c r="BUK158" s="250"/>
      <c r="BUL158" s="250"/>
      <c r="BUM158" s="250"/>
      <c r="BUN158" s="250"/>
      <c r="BUO158" s="250"/>
      <c r="BUP158" s="250"/>
      <c r="BUQ158" s="250"/>
      <c r="BUR158" s="250"/>
      <c r="BUS158" s="250"/>
      <c r="BUT158" s="250"/>
      <c r="BUU158" s="250"/>
      <c r="BUV158" s="250"/>
      <c r="BUW158" s="250"/>
      <c r="BUX158" s="250"/>
      <c r="BUY158" s="250"/>
      <c r="BUZ158" s="250"/>
      <c r="BVA158" s="250"/>
      <c r="BVB158" s="250"/>
      <c r="BVC158" s="250"/>
      <c r="BVD158" s="250"/>
      <c r="BVE158" s="250"/>
      <c r="BVF158" s="250"/>
      <c r="BVG158" s="250"/>
      <c r="BVH158" s="250"/>
      <c r="BVI158" s="250"/>
      <c r="BVJ158" s="250"/>
      <c r="BVK158" s="250"/>
      <c r="BVL158" s="250"/>
      <c r="BVM158" s="250"/>
      <c r="BVN158" s="250"/>
      <c r="BVO158" s="250"/>
      <c r="BVP158" s="250"/>
      <c r="BVQ158" s="250"/>
      <c r="BVR158" s="250"/>
      <c r="BVS158" s="250"/>
      <c r="BVT158" s="250"/>
      <c r="BVU158" s="250"/>
      <c r="BVV158" s="250"/>
      <c r="BVW158" s="250"/>
      <c r="BVX158" s="250"/>
      <c r="BVY158" s="250"/>
      <c r="BVZ158" s="250"/>
      <c r="BWA158" s="250"/>
      <c r="BWB158" s="250"/>
      <c r="BWC158" s="250"/>
      <c r="BWD158" s="250"/>
      <c r="BWE158" s="250"/>
      <c r="BWF158" s="250"/>
      <c r="BWG158" s="250"/>
      <c r="BWH158" s="250"/>
      <c r="BWI158" s="250"/>
      <c r="BWJ158" s="250"/>
      <c r="BWK158" s="250"/>
      <c r="BWL158" s="250"/>
      <c r="BWM158" s="250"/>
      <c r="BWN158" s="250"/>
      <c r="BWO158" s="250"/>
      <c r="BWP158" s="250"/>
      <c r="BWQ158" s="250"/>
      <c r="BWR158" s="250"/>
      <c r="BWS158" s="250"/>
      <c r="BWT158" s="250"/>
      <c r="BWU158" s="250"/>
      <c r="BWV158" s="250"/>
      <c r="BWW158" s="250"/>
      <c r="BWX158" s="250"/>
      <c r="BWY158" s="250"/>
      <c r="BWZ158" s="250"/>
      <c r="BXA158" s="250"/>
      <c r="BXB158" s="250"/>
      <c r="BXC158" s="250"/>
      <c r="BXD158" s="250"/>
      <c r="BXE158" s="250"/>
      <c r="BXF158" s="250"/>
      <c r="BXG158" s="250"/>
      <c r="BXH158" s="250"/>
      <c r="BXI158" s="250"/>
      <c r="BXJ158" s="250"/>
      <c r="BXK158" s="250"/>
      <c r="BXL158" s="250"/>
      <c r="BXM158" s="250"/>
      <c r="BXN158" s="250"/>
      <c r="BXO158" s="250"/>
      <c r="BXP158" s="250"/>
      <c r="BXQ158" s="250"/>
      <c r="BXR158" s="250"/>
      <c r="BXS158" s="250"/>
      <c r="BXT158" s="250"/>
      <c r="BXU158" s="250"/>
      <c r="BXV158" s="250"/>
      <c r="BXW158" s="250"/>
      <c r="BXX158" s="250"/>
      <c r="BXY158" s="250"/>
      <c r="BXZ158" s="250"/>
      <c r="BYA158" s="250"/>
      <c r="BYB158" s="250"/>
      <c r="BYC158" s="250"/>
      <c r="BYD158" s="250"/>
      <c r="BYE158" s="250"/>
      <c r="BYF158" s="250"/>
      <c r="BYG158" s="250"/>
      <c r="BYH158" s="250"/>
      <c r="BYI158" s="250"/>
      <c r="BYJ158" s="250"/>
      <c r="BYK158" s="250"/>
      <c r="BYL158" s="250"/>
      <c r="BYM158" s="250"/>
      <c r="BYN158" s="250"/>
      <c r="BYO158" s="250"/>
      <c r="BYP158" s="250"/>
      <c r="BYQ158" s="250"/>
      <c r="BYR158" s="250"/>
      <c r="BYS158" s="250"/>
      <c r="BYT158" s="250"/>
      <c r="BYU158" s="250"/>
      <c r="BYV158" s="250"/>
      <c r="BYW158" s="250"/>
      <c r="BYX158" s="250"/>
      <c r="BYY158" s="250"/>
      <c r="BYZ158" s="250"/>
      <c r="BZA158" s="250"/>
      <c r="BZB158" s="250"/>
      <c r="BZC158" s="250"/>
      <c r="BZD158" s="250"/>
      <c r="BZE158" s="250"/>
      <c r="BZF158" s="250"/>
      <c r="BZG158" s="250"/>
      <c r="BZH158" s="250"/>
      <c r="BZI158" s="250"/>
      <c r="BZJ158" s="250"/>
      <c r="BZK158" s="250"/>
      <c r="BZL158" s="250"/>
      <c r="BZM158" s="250"/>
      <c r="BZN158" s="250"/>
      <c r="BZO158" s="250"/>
      <c r="BZP158" s="250"/>
      <c r="BZQ158" s="250"/>
      <c r="BZR158" s="250"/>
      <c r="BZS158" s="250"/>
      <c r="BZT158" s="250"/>
      <c r="BZU158" s="250"/>
      <c r="BZV158" s="250"/>
      <c r="BZW158" s="250"/>
      <c r="BZX158" s="250"/>
      <c r="BZY158" s="250"/>
      <c r="BZZ158" s="250"/>
      <c r="CAA158" s="250"/>
      <c r="CAB158" s="250"/>
      <c r="CAC158" s="250"/>
      <c r="CAD158" s="250"/>
      <c r="CAE158" s="250"/>
      <c r="CAF158" s="250"/>
      <c r="CAG158" s="250"/>
      <c r="CAH158" s="250"/>
      <c r="CAI158" s="250"/>
      <c r="CAJ158" s="250"/>
      <c r="CAK158" s="250"/>
      <c r="CAL158" s="250"/>
      <c r="CAM158" s="250"/>
      <c r="CAN158" s="250"/>
      <c r="CAO158" s="250"/>
      <c r="CAP158" s="250"/>
      <c r="CAQ158" s="250"/>
      <c r="CAR158" s="250"/>
      <c r="CAS158" s="250"/>
      <c r="CAT158" s="250"/>
      <c r="CAU158" s="250"/>
      <c r="CAV158" s="250"/>
      <c r="CAW158" s="250"/>
      <c r="CAX158" s="250"/>
      <c r="CAY158" s="250"/>
      <c r="CAZ158" s="250"/>
      <c r="CBA158" s="250"/>
      <c r="CBB158" s="250"/>
      <c r="CBC158" s="250"/>
      <c r="CBD158" s="250"/>
      <c r="CBE158" s="250"/>
      <c r="CBF158" s="250"/>
      <c r="CBG158" s="250"/>
      <c r="CBH158" s="250"/>
      <c r="CBI158" s="250"/>
      <c r="CBJ158" s="250"/>
      <c r="CBK158" s="250"/>
      <c r="CBL158" s="250"/>
      <c r="CBM158" s="250"/>
      <c r="CBN158" s="250"/>
      <c r="CBO158" s="250"/>
      <c r="CBP158" s="250"/>
      <c r="CBQ158" s="250"/>
      <c r="CBR158" s="250"/>
      <c r="CBS158" s="250"/>
      <c r="CBT158" s="250"/>
      <c r="CBU158" s="250"/>
      <c r="CBV158" s="250"/>
      <c r="CBW158" s="250"/>
      <c r="CBX158" s="250"/>
      <c r="CBY158" s="250"/>
      <c r="CBZ158" s="250"/>
      <c r="CCA158" s="250"/>
      <c r="CCB158" s="250"/>
      <c r="CCC158" s="250"/>
      <c r="CCD158" s="250"/>
      <c r="CCE158" s="250"/>
      <c r="CCF158" s="250"/>
      <c r="CCG158" s="250"/>
      <c r="CCH158" s="250"/>
      <c r="CCI158" s="250"/>
      <c r="CCJ158" s="250"/>
      <c r="CCK158" s="250"/>
      <c r="CCL158" s="250"/>
      <c r="CCM158" s="250"/>
      <c r="CCN158" s="250"/>
      <c r="CCO158" s="250"/>
      <c r="CCP158" s="250"/>
      <c r="CCQ158" s="250"/>
      <c r="CCR158" s="250"/>
      <c r="CCS158" s="250"/>
      <c r="CCT158" s="250"/>
      <c r="CCU158" s="250"/>
      <c r="CCV158" s="250"/>
      <c r="CCW158" s="250"/>
      <c r="CCX158" s="250"/>
      <c r="CCY158" s="250"/>
      <c r="CCZ158" s="250"/>
      <c r="CDA158" s="250"/>
      <c r="CDB158" s="250"/>
      <c r="CDC158" s="250"/>
      <c r="CDD158" s="250"/>
      <c r="CDE158" s="250"/>
      <c r="CDF158" s="250"/>
      <c r="CDG158" s="250"/>
      <c r="CDH158" s="250"/>
      <c r="CDI158" s="250"/>
      <c r="CDJ158" s="250"/>
      <c r="CDK158" s="250"/>
      <c r="CDL158" s="250"/>
      <c r="CDM158" s="250"/>
      <c r="CDN158" s="250"/>
      <c r="CDO158" s="250"/>
      <c r="CDP158" s="250"/>
      <c r="CDQ158" s="250"/>
      <c r="CDR158" s="250"/>
      <c r="CDS158" s="250"/>
      <c r="CDT158" s="250"/>
      <c r="CDU158" s="250"/>
      <c r="CDV158" s="250"/>
      <c r="CDW158" s="250"/>
      <c r="CDX158" s="250"/>
      <c r="CDY158" s="250"/>
      <c r="CDZ158" s="250"/>
      <c r="CEA158" s="250"/>
      <c r="CEB158" s="250"/>
      <c r="CEC158" s="250"/>
      <c r="CED158" s="250"/>
      <c r="CEE158" s="250"/>
      <c r="CEF158" s="250"/>
      <c r="CEG158" s="250"/>
      <c r="CEH158" s="250"/>
      <c r="CEI158" s="250"/>
      <c r="CEJ158" s="250"/>
      <c r="CEK158" s="250"/>
      <c r="CEL158" s="250"/>
      <c r="CEM158" s="250"/>
      <c r="CEN158" s="250"/>
      <c r="CEO158" s="250"/>
      <c r="CEP158" s="250"/>
      <c r="CEQ158" s="250"/>
      <c r="CER158" s="250"/>
      <c r="CES158" s="250"/>
      <c r="CET158" s="250"/>
      <c r="CEU158" s="250"/>
      <c r="CEV158" s="250"/>
      <c r="CEW158" s="250"/>
      <c r="CEX158" s="250"/>
      <c r="CEY158" s="250"/>
      <c r="CEZ158" s="250"/>
      <c r="CFA158" s="250"/>
      <c r="CFB158" s="250"/>
      <c r="CFC158" s="250"/>
      <c r="CFD158" s="250"/>
      <c r="CFE158" s="250"/>
      <c r="CFF158" s="250"/>
      <c r="CFG158" s="250"/>
      <c r="CFH158" s="250"/>
      <c r="CFI158" s="250"/>
      <c r="CFJ158" s="250"/>
      <c r="CFK158" s="250"/>
      <c r="CFL158" s="250"/>
      <c r="CFM158" s="250"/>
      <c r="CFN158" s="250"/>
      <c r="CFO158" s="250"/>
      <c r="CFP158" s="250"/>
      <c r="CFQ158" s="250"/>
      <c r="CFR158" s="250"/>
      <c r="CFS158" s="250"/>
      <c r="CFT158" s="250"/>
      <c r="CFU158" s="250"/>
      <c r="CFV158" s="250"/>
      <c r="CFW158" s="250"/>
      <c r="CFX158" s="250"/>
      <c r="CFY158" s="250"/>
      <c r="CFZ158" s="250"/>
      <c r="CGA158" s="250"/>
      <c r="CGB158" s="250"/>
      <c r="CGC158" s="250"/>
      <c r="CGD158" s="250"/>
      <c r="CGE158" s="250"/>
      <c r="CGF158" s="250"/>
      <c r="CGG158" s="250"/>
      <c r="CGH158" s="250"/>
      <c r="CGI158" s="250"/>
      <c r="CGJ158" s="250"/>
      <c r="CGK158" s="250"/>
      <c r="CGL158" s="250"/>
      <c r="CGM158" s="250"/>
      <c r="CGN158" s="250"/>
      <c r="CGO158" s="250"/>
      <c r="CGP158" s="250"/>
      <c r="CGQ158" s="250"/>
      <c r="CGR158" s="250"/>
      <c r="CGS158" s="250"/>
      <c r="CGT158" s="250"/>
      <c r="CGU158" s="250"/>
      <c r="CGV158" s="250"/>
      <c r="CGW158" s="250"/>
      <c r="CGX158" s="250"/>
      <c r="CGY158" s="250"/>
      <c r="CGZ158" s="250"/>
      <c r="CHA158" s="250"/>
      <c r="CHB158" s="250"/>
      <c r="CHC158" s="250"/>
      <c r="CHD158" s="250"/>
      <c r="CHE158" s="250"/>
      <c r="CHF158" s="250"/>
      <c r="CHG158" s="250"/>
      <c r="CHH158" s="250"/>
      <c r="CHI158" s="250"/>
      <c r="CHJ158" s="250"/>
      <c r="CHK158" s="250"/>
      <c r="CHL158" s="250"/>
      <c r="CHM158" s="250"/>
      <c r="CHN158" s="250"/>
      <c r="CHO158" s="250"/>
      <c r="CHP158" s="250"/>
      <c r="CHQ158" s="250"/>
      <c r="CHR158" s="250"/>
      <c r="CHS158" s="250"/>
      <c r="CHT158" s="250"/>
      <c r="CHU158" s="250"/>
      <c r="CHV158" s="250"/>
      <c r="CHW158" s="250"/>
      <c r="CHX158" s="250"/>
      <c r="CHY158" s="250"/>
      <c r="CHZ158" s="250"/>
      <c r="CIA158" s="250"/>
      <c r="CIB158" s="250"/>
      <c r="CIC158" s="250"/>
      <c r="CID158" s="250"/>
      <c r="CIE158" s="250"/>
      <c r="CIF158" s="250"/>
      <c r="CIG158" s="250"/>
      <c r="CIH158" s="250"/>
      <c r="CII158" s="250"/>
      <c r="CIJ158" s="250"/>
      <c r="CIK158" s="250"/>
      <c r="CIL158" s="250"/>
      <c r="CIM158" s="250"/>
      <c r="CIN158" s="250"/>
      <c r="CIO158" s="250"/>
      <c r="CIP158" s="250"/>
      <c r="CIQ158" s="250"/>
      <c r="CIR158" s="250"/>
      <c r="CIS158" s="250"/>
      <c r="CIT158" s="250"/>
      <c r="CIU158" s="250"/>
      <c r="CIV158" s="250"/>
      <c r="CIW158" s="250"/>
      <c r="CIX158" s="250"/>
      <c r="CIY158" s="250"/>
      <c r="CIZ158" s="250"/>
      <c r="CJA158" s="250"/>
      <c r="CJB158" s="250"/>
      <c r="CJC158" s="250"/>
      <c r="CJD158" s="250"/>
      <c r="CJE158" s="250"/>
      <c r="CJF158" s="250"/>
      <c r="CJG158" s="250"/>
      <c r="CJH158" s="250"/>
      <c r="CJI158" s="250"/>
      <c r="CJJ158" s="250"/>
      <c r="CJK158" s="250"/>
      <c r="CJL158" s="250"/>
      <c r="CJM158" s="250"/>
      <c r="CJN158" s="250"/>
      <c r="CJO158" s="250"/>
      <c r="CJP158" s="250"/>
      <c r="CJQ158" s="250"/>
      <c r="CJR158" s="250"/>
      <c r="CJS158" s="250"/>
      <c r="CJT158" s="250"/>
      <c r="CJU158" s="250"/>
      <c r="CJV158" s="250"/>
      <c r="CJW158" s="250"/>
      <c r="CJX158" s="250"/>
      <c r="CJY158" s="250"/>
      <c r="CJZ158" s="250"/>
      <c r="CKA158" s="250"/>
      <c r="CKB158" s="250"/>
      <c r="CKC158" s="250"/>
      <c r="CKD158" s="250"/>
      <c r="CKE158" s="250"/>
      <c r="CKF158" s="250"/>
      <c r="CKG158" s="250"/>
      <c r="CKH158" s="250"/>
      <c r="CKI158" s="250"/>
      <c r="CKJ158" s="250"/>
      <c r="CKK158" s="250"/>
      <c r="CKL158" s="250"/>
      <c r="CKM158" s="250"/>
      <c r="CKN158" s="250"/>
      <c r="CKO158" s="250"/>
      <c r="CKP158" s="250"/>
      <c r="CKQ158" s="250"/>
      <c r="CKR158" s="250"/>
      <c r="CKS158" s="250"/>
      <c r="CKT158" s="250"/>
      <c r="CKU158" s="250"/>
      <c r="CKV158" s="250"/>
      <c r="CKW158" s="250"/>
      <c r="CKX158" s="250"/>
      <c r="CKY158" s="250"/>
      <c r="CKZ158" s="250"/>
      <c r="CLA158" s="250"/>
      <c r="CLB158" s="250"/>
      <c r="CLC158" s="250"/>
      <c r="CLD158" s="250"/>
      <c r="CLE158" s="250"/>
      <c r="CLF158" s="250"/>
      <c r="CLG158" s="250"/>
      <c r="CLH158" s="250"/>
      <c r="CLI158" s="250"/>
      <c r="CLJ158" s="250"/>
      <c r="CLK158" s="250"/>
      <c r="CLL158" s="250"/>
      <c r="CLM158" s="250"/>
      <c r="CLN158" s="250"/>
      <c r="CLO158" s="250"/>
      <c r="CLP158" s="250"/>
      <c r="CLQ158" s="250"/>
      <c r="CLR158" s="250"/>
      <c r="CLS158" s="250"/>
      <c r="CLT158" s="250"/>
      <c r="CLU158" s="250"/>
      <c r="CLV158" s="250"/>
      <c r="CLW158" s="250"/>
      <c r="CLX158" s="250"/>
      <c r="CLY158" s="250"/>
      <c r="CLZ158" s="250"/>
      <c r="CMA158" s="250"/>
      <c r="CMB158" s="250"/>
      <c r="CMC158" s="250"/>
      <c r="CMD158" s="250"/>
      <c r="CME158" s="250"/>
      <c r="CMF158" s="250"/>
      <c r="CMG158" s="250"/>
      <c r="CMH158" s="250"/>
      <c r="CMI158" s="250"/>
      <c r="CMJ158" s="250"/>
      <c r="CMK158" s="250"/>
      <c r="CML158" s="250"/>
      <c r="CMM158" s="250"/>
      <c r="CMN158" s="250"/>
      <c r="CMO158" s="250"/>
      <c r="CMP158" s="250"/>
      <c r="CMQ158" s="250"/>
      <c r="CMR158" s="250"/>
      <c r="CMS158" s="250"/>
      <c r="CMT158" s="250"/>
      <c r="CMU158" s="250"/>
      <c r="CMV158" s="250"/>
      <c r="CMW158" s="250"/>
      <c r="CMX158" s="250"/>
      <c r="CMY158" s="250"/>
      <c r="CMZ158" s="250"/>
      <c r="CNA158" s="250"/>
      <c r="CNB158" s="250"/>
      <c r="CNC158" s="250"/>
      <c r="CND158" s="250"/>
      <c r="CNE158" s="250"/>
      <c r="CNF158" s="250"/>
      <c r="CNG158" s="250"/>
      <c r="CNH158" s="250"/>
      <c r="CNI158" s="250"/>
      <c r="CNJ158" s="250"/>
      <c r="CNK158" s="250"/>
      <c r="CNL158" s="250"/>
      <c r="CNM158" s="250"/>
      <c r="CNN158" s="250"/>
      <c r="CNO158" s="250"/>
      <c r="CNP158" s="250"/>
      <c r="CNQ158" s="250"/>
      <c r="CNR158" s="250"/>
      <c r="CNS158" s="250"/>
      <c r="CNT158" s="250"/>
      <c r="CNU158" s="250"/>
      <c r="CNV158" s="250"/>
      <c r="CNW158" s="250"/>
      <c r="CNX158" s="250"/>
      <c r="CNY158" s="250"/>
      <c r="CNZ158" s="250"/>
      <c r="COA158" s="250"/>
      <c r="COB158" s="250"/>
      <c r="COC158" s="250"/>
      <c r="COD158" s="250"/>
      <c r="COE158" s="250"/>
      <c r="COF158" s="250"/>
      <c r="COG158" s="250"/>
      <c r="COH158" s="250"/>
      <c r="COI158" s="250"/>
      <c r="COJ158" s="250"/>
      <c r="COK158" s="250"/>
      <c r="COL158" s="250"/>
      <c r="COM158" s="250"/>
      <c r="CON158" s="250"/>
      <c r="COO158" s="250"/>
      <c r="COP158" s="250"/>
      <c r="COQ158" s="250"/>
      <c r="COR158" s="250"/>
      <c r="COS158" s="250"/>
      <c r="COT158" s="250"/>
      <c r="COU158" s="250"/>
      <c r="COV158" s="250"/>
      <c r="COW158" s="250"/>
      <c r="COX158" s="250"/>
      <c r="COY158" s="250"/>
      <c r="COZ158" s="250"/>
      <c r="CPA158" s="250"/>
      <c r="CPB158" s="250"/>
      <c r="CPC158" s="250"/>
      <c r="CPD158" s="250"/>
      <c r="CPE158" s="250"/>
      <c r="CPF158" s="250"/>
      <c r="CPG158" s="250"/>
      <c r="CPH158" s="250"/>
      <c r="CPI158" s="250"/>
      <c r="CPJ158" s="250"/>
      <c r="CPK158" s="250"/>
      <c r="CPL158" s="250"/>
      <c r="CPM158" s="250"/>
      <c r="CPN158" s="250"/>
      <c r="CPO158" s="250"/>
      <c r="CPP158" s="250"/>
      <c r="CPQ158" s="250"/>
      <c r="CPR158" s="250"/>
      <c r="CPS158" s="250"/>
      <c r="CPT158" s="250"/>
      <c r="CPU158" s="250"/>
      <c r="CPV158" s="250"/>
      <c r="CPW158" s="250"/>
      <c r="CPX158" s="250"/>
      <c r="CPY158" s="250"/>
      <c r="CPZ158" s="250"/>
      <c r="CQA158" s="250"/>
      <c r="CQB158" s="250"/>
      <c r="CQC158" s="250"/>
      <c r="CQD158" s="250"/>
      <c r="CQE158" s="250"/>
      <c r="CQF158" s="250"/>
      <c r="CQG158" s="250"/>
      <c r="CQH158" s="250"/>
      <c r="CQI158" s="250"/>
      <c r="CQJ158" s="250"/>
      <c r="CQK158" s="250"/>
      <c r="CQL158" s="250"/>
      <c r="CQM158" s="250"/>
      <c r="CQN158" s="250"/>
      <c r="CQO158" s="250"/>
      <c r="CQP158" s="250"/>
      <c r="CQQ158" s="250"/>
      <c r="CQR158" s="250"/>
      <c r="CQS158" s="250"/>
      <c r="CQT158" s="250"/>
      <c r="CQU158" s="250"/>
      <c r="CQV158" s="250"/>
      <c r="CQW158" s="250"/>
      <c r="CQX158" s="250"/>
      <c r="CQY158" s="250"/>
      <c r="CQZ158" s="250"/>
      <c r="CRA158" s="250"/>
      <c r="CRB158" s="250"/>
      <c r="CRC158" s="250"/>
      <c r="CRD158" s="250"/>
      <c r="CRE158" s="250"/>
      <c r="CRF158" s="250"/>
      <c r="CRG158" s="250"/>
      <c r="CRH158" s="250"/>
      <c r="CRI158" s="250"/>
      <c r="CRJ158" s="250"/>
      <c r="CRK158" s="250"/>
      <c r="CRL158" s="250"/>
      <c r="CRM158" s="250"/>
      <c r="CRN158" s="250"/>
      <c r="CRO158" s="250"/>
      <c r="CRP158" s="250"/>
      <c r="CRQ158" s="250"/>
      <c r="CRR158" s="250"/>
      <c r="CRS158" s="250"/>
      <c r="CRT158" s="250"/>
      <c r="CRU158" s="250"/>
      <c r="CRV158" s="250"/>
      <c r="CRW158" s="250"/>
      <c r="CRX158" s="250"/>
      <c r="CRY158" s="250"/>
      <c r="CRZ158" s="250"/>
      <c r="CSA158" s="250"/>
      <c r="CSB158" s="250"/>
      <c r="CSC158" s="250"/>
      <c r="CSD158" s="250"/>
      <c r="CSE158" s="250"/>
      <c r="CSF158" s="250"/>
      <c r="CSG158" s="250"/>
      <c r="CSH158" s="250"/>
      <c r="CSI158" s="250"/>
      <c r="CSJ158" s="250"/>
      <c r="CSK158" s="250"/>
      <c r="CSL158" s="250"/>
      <c r="CSM158" s="250"/>
      <c r="CSN158" s="250"/>
      <c r="CSO158" s="250"/>
      <c r="CSP158" s="250"/>
      <c r="CSQ158" s="250"/>
      <c r="CSR158" s="250"/>
      <c r="CSS158" s="250"/>
      <c r="CST158" s="250"/>
      <c r="CSU158" s="250"/>
      <c r="CSV158" s="250"/>
      <c r="CSW158" s="250"/>
      <c r="CSX158" s="250"/>
      <c r="CSY158" s="250"/>
      <c r="CSZ158" s="250"/>
      <c r="CTA158" s="250"/>
      <c r="CTB158" s="250"/>
      <c r="CTC158" s="250"/>
      <c r="CTD158" s="250"/>
      <c r="CTE158" s="250"/>
      <c r="CTF158" s="250"/>
      <c r="CTG158" s="250"/>
      <c r="CTH158" s="250"/>
      <c r="CTI158" s="250"/>
      <c r="CTJ158" s="250"/>
      <c r="CTK158" s="250"/>
      <c r="CTL158" s="250"/>
      <c r="CTM158" s="250"/>
      <c r="CTN158" s="250"/>
      <c r="CTO158" s="250"/>
      <c r="CTP158" s="250"/>
      <c r="CTQ158" s="250"/>
      <c r="CTR158" s="250"/>
      <c r="CTS158" s="250"/>
      <c r="CTT158" s="250"/>
      <c r="CTU158" s="250"/>
      <c r="CTV158" s="250"/>
      <c r="CTW158" s="250"/>
      <c r="CTX158" s="250"/>
      <c r="CTY158" s="250"/>
      <c r="CTZ158" s="250"/>
      <c r="CUA158" s="250"/>
      <c r="CUB158" s="250"/>
      <c r="CUC158" s="250"/>
      <c r="CUD158" s="250"/>
      <c r="CUE158" s="250"/>
      <c r="CUF158" s="250"/>
      <c r="CUG158" s="250"/>
      <c r="CUH158" s="250"/>
      <c r="CUI158" s="250"/>
      <c r="CUJ158" s="250"/>
      <c r="CUK158" s="250"/>
      <c r="CUL158" s="250"/>
      <c r="CUM158" s="250"/>
      <c r="CUN158" s="250"/>
      <c r="CUO158" s="250"/>
      <c r="CUP158" s="250"/>
      <c r="CUQ158" s="250"/>
      <c r="CUR158" s="250"/>
      <c r="CUS158" s="250"/>
      <c r="CUT158" s="250"/>
      <c r="CUU158" s="250"/>
      <c r="CUV158" s="250"/>
      <c r="CUW158" s="250"/>
      <c r="CUX158" s="250"/>
      <c r="CUY158" s="250"/>
      <c r="CUZ158" s="250"/>
      <c r="CVA158" s="250"/>
      <c r="CVB158" s="250"/>
      <c r="CVC158" s="250"/>
      <c r="CVD158" s="250"/>
      <c r="CVE158" s="250"/>
      <c r="CVF158" s="250"/>
      <c r="CVG158" s="250"/>
      <c r="CVH158" s="250"/>
      <c r="CVI158" s="250"/>
      <c r="CVJ158" s="250"/>
      <c r="CVK158" s="250"/>
      <c r="CVL158" s="250"/>
      <c r="CVM158" s="250"/>
      <c r="CVN158" s="250"/>
      <c r="CVO158" s="250"/>
      <c r="CVP158" s="250"/>
      <c r="CVQ158" s="250"/>
      <c r="CVR158" s="250"/>
      <c r="CVS158" s="250"/>
      <c r="CVT158" s="250"/>
      <c r="CVU158" s="250"/>
      <c r="CVV158" s="250"/>
      <c r="CVW158" s="250"/>
      <c r="CVX158" s="250"/>
      <c r="CVY158" s="250"/>
      <c r="CVZ158" s="250"/>
      <c r="CWA158" s="250"/>
      <c r="CWB158" s="250"/>
      <c r="CWC158" s="250"/>
      <c r="CWD158" s="250"/>
      <c r="CWE158" s="250"/>
      <c r="CWF158" s="250"/>
      <c r="CWG158" s="250"/>
      <c r="CWH158" s="250"/>
      <c r="CWI158" s="250"/>
      <c r="CWJ158" s="250"/>
      <c r="CWK158" s="250"/>
      <c r="CWL158" s="250"/>
      <c r="CWM158" s="250"/>
      <c r="CWN158" s="250"/>
      <c r="CWO158" s="250"/>
      <c r="CWP158" s="250"/>
      <c r="CWQ158" s="250"/>
      <c r="CWR158" s="250"/>
      <c r="CWS158" s="250"/>
      <c r="CWT158" s="250"/>
      <c r="CWU158" s="250"/>
      <c r="CWV158" s="250"/>
      <c r="CWW158" s="250"/>
      <c r="CWX158" s="250"/>
      <c r="CWY158" s="250"/>
      <c r="CWZ158" s="250"/>
      <c r="CXA158" s="250"/>
      <c r="CXB158" s="250"/>
      <c r="CXC158" s="250"/>
      <c r="CXD158" s="250"/>
      <c r="CXE158" s="250"/>
      <c r="CXF158" s="250"/>
      <c r="CXG158" s="250"/>
      <c r="CXH158" s="250"/>
      <c r="CXI158" s="250"/>
      <c r="CXJ158" s="250"/>
      <c r="CXK158" s="250"/>
      <c r="CXL158" s="250"/>
      <c r="CXM158" s="250"/>
      <c r="CXN158" s="250"/>
      <c r="CXO158" s="250"/>
      <c r="CXP158" s="250"/>
      <c r="CXQ158" s="250"/>
      <c r="CXR158" s="250"/>
      <c r="CXS158" s="250"/>
      <c r="CXT158" s="250"/>
      <c r="CXU158" s="250"/>
      <c r="CXV158" s="250"/>
      <c r="CXW158" s="250"/>
      <c r="CXX158" s="250"/>
      <c r="CXY158" s="250"/>
      <c r="CXZ158" s="250"/>
      <c r="CYA158" s="250"/>
      <c r="CYB158" s="250"/>
      <c r="CYC158" s="250"/>
      <c r="CYD158" s="250"/>
      <c r="CYE158" s="250"/>
      <c r="CYF158" s="250"/>
      <c r="CYG158" s="250"/>
      <c r="CYH158" s="250"/>
      <c r="CYI158" s="250"/>
      <c r="CYJ158" s="250"/>
      <c r="CYK158" s="250"/>
      <c r="CYL158" s="250"/>
      <c r="CYM158" s="250"/>
      <c r="CYN158" s="250"/>
      <c r="CYO158" s="250"/>
      <c r="CYP158" s="250"/>
      <c r="CYQ158" s="250"/>
      <c r="CYR158" s="250"/>
      <c r="CYS158" s="250"/>
      <c r="CYT158" s="250"/>
      <c r="CYU158" s="250"/>
      <c r="CYV158" s="250"/>
      <c r="CYW158" s="250"/>
      <c r="CYX158" s="250"/>
      <c r="CYY158" s="250"/>
      <c r="CYZ158" s="250"/>
      <c r="CZA158" s="250"/>
      <c r="CZB158" s="250"/>
      <c r="CZC158" s="250"/>
      <c r="CZD158" s="250"/>
      <c r="CZE158" s="250"/>
      <c r="CZF158" s="250"/>
      <c r="CZG158" s="250"/>
      <c r="CZH158" s="250"/>
      <c r="CZI158" s="250"/>
      <c r="CZJ158" s="250"/>
      <c r="CZK158" s="250"/>
      <c r="CZL158" s="250"/>
      <c r="CZM158" s="250"/>
      <c r="CZN158" s="250"/>
      <c r="CZO158" s="250"/>
      <c r="CZP158" s="250"/>
      <c r="CZQ158" s="250"/>
      <c r="CZR158" s="250"/>
      <c r="CZS158" s="250"/>
      <c r="CZT158" s="250"/>
      <c r="CZU158" s="250"/>
      <c r="CZV158" s="250"/>
      <c r="CZW158" s="250"/>
      <c r="CZX158" s="250"/>
      <c r="CZY158" s="250"/>
      <c r="CZZ158" s="250"/>
      <c r="DAA158" s="250"/>
      <c r="DAB158" s="250"/>
      <c r="DAC158" s="250"/>
      <c r="DAD158" s="250"/>
      <c r="DAE158" s="250"/>
      <c r="DAF158" s="250"/>
      <c r="DAG158" s="250"/>
      <c r="DAH158" s="250"/>
      <c r="DAI158" s="250"/>
      <c r="DAJ158" s="250"/>
      <c r="DAK158" s="250"/>
      <c r="DAL158" s="250"/>
      <c r="DAM158" s="250"/>
      <c r="DAN158" s="250"/>
      <c r="DAO158" s="250"/>
      <c r="DAP158" s="250"/>
      <c r="DAQ158" s="250"/>
      <c r="DAR158" s="250"/>
      <c r="DAS158" s="250"/>
      <c r="DAT158" s="250"/>
      <c r="DAU158" s="250"/>
      <c r="DAV158" s="250"/>
      <c r="DAW158" s="250"/>
      <c r="DAX158" s="250"/>
      <c r="DAY158" s="250"/>
      <c r="DAZ158" s="250"/>
      <c r="DBA158" s="250"/>
      <c r="DBB158" s="250"/>
      <c r="DBC158" s="250"/>
      <c r="DBD158" s="250"/>
      <c r="DBE158" s="250"/>
      <c r="DBF158" s="250"/>
      <c r="DBG158" s="250"/>
      <c r="DBH158" s="250"/>
      <c r="DBI158" s="250"/>
      <c r="DBJ158" s="250"/>
      <c r="DBK158" s="250"/>
      <c r="DBL158" s="250"/>
      <c r="DBM158" s="250"/>
      <c r="DBN158" s="250"/>
      <c r="DBO158" s="250"/>
      <c r="DBP158" s="250"/>
      <c r="DBQ158" s="250"/>
      <c r="DBR158" s="250"/>
      <c r="DBS158" s="250"/>
      <c r="DBT158" s="250"/>
      <c r="DBU158" s="250"/>
      <c r="DBV158" s="250"/>
      <c r="DBW158" s="250"/>
      <c r="DBX158" s="250"/>
      <c r="DBY158" s="250"/>
      <c r="DBZ158" s="250"/>
      <c r="DCA158" s="250"/>
      <c r="DCB158" s="250"/>
      <c r="DCC158" s="250"/>
      <c r="DCD158" s="250"/>
      <c r="DCE158" s="250"/>
      <c r="DCF158" s="250"/>
      <c r="DCG158" s="250"/>
      <c r="DCH158" s="250"/>
      <c r="DCI158" s="250"/>
      <c r="DCJ158" s="250"/>
      <c r="DCK158" s="250"/>
      <c r="DCL158" s="250"/>
      <c r="DCM158" s="250"/>
      <c r="DCN158" s="250"/>
      <c r="DCO158" s="250"/>
      <c r="DCP158" s="250"/>
      <c r="DCQ158" s="250"/>
      <c r="DCR158" s="250"/>
      <c r="DCS158" s="250"/>
      <c r="DCT158" s="250"/>
      <c r="DCU158" s="250"/>
      <c r="DCV158" s="250"/>
      <c r="DCW158" s="250"/>
      <c r="DCX158" s="250"/>
      <c r="DCY158" s="250"/>
      <c r="DCZ158" s="250"/>
      <c r="DDA158" s="250"/>
      <c r="DDB158" s="250"/>
      <c r="DDC158" s="250"/>
      <c r="DDD158" s="250"/>
      <c r="DDE158" s="250"/>
      <c r="DDF158" s="250"/>
      <c r="DDG158" s="250"/>
      <c r="DDH158" s="250"/>
      <c r="DDI158" s="250"/>
      <c r="DDJ158" s="250"/>
      <c r="DDK158" s="250"/>
      <c r="DDL158" s="250"/>
      <c r="DDM158" s="250"/>
      <c r="DDN158" s="250"/>
      <c r="DDO158" s="250"/>
      <c r="DDP158" s="250"/>
      <c r="DDQ158" s="250"/>
      <c r="DDR158" s="250"/>
      <c r="DDS158" s="250"/>
      <c r="DDT158" s="250"/>
      <c r="DDU158" s="250"/>
      <c r="DDV158" s="250"/>
      <c r="DDW158" s="250"/>
      <c r="DDX158" s="250"/>
      <c r="DDY158" s="250"/>
      <c r="DDZ158" s="250"/>
      <c r="DEA158" s="250"/>
      <c r="DEB158" s="250"/>
      <c r="DEC158" s="250"/>
      <c r="DED158" s="250"/>
      <c r="DEE158" s="250"/>
      <c r="DEF158" s="250"/>
      <c r="DEG158" s="250"/>
      <c r="DEH158" s="250"/>
      <c r="DEI158" s="250"/>
      <c r="DEJ158" s="250"/>
      <c r="DEK158" s="250"/>
      <c r="DEL158" s="250"/>
      <c r="DEM158" s="250"/>
      <c r="DEN158" s="250"/>
      <c r="DEO158" s="250"/>
      <c r="DEP158" s="250"/>
      <c r="DEQ158" s="250"/>
      <c r="DER158" s="250"/>
      <c r="DES158" s="250"/>
      <c r="DET158" s="250"/>
      <c r="DEU158" s="250"/>
      <c r="DEV158" s="250"/>
      <c r="DEW158" s="250"/>
      <c r="DEX158" s="250"/>
      <c r="DEY158" s="250"/>
      <c r="DEZ158" s="250"/>
      <c r="DFA158" s="250"/>
      <c r="DFB158" s="250"/>
      <c r="DFC158" s="250"/>
      <c r="DFD158" s="250"/>
      <c r="DFE158" s="250"/>
      <c r="DFF158" s="250"/>
      <c r="DFG158" s="250"/>
      <c r="DFH158" s="250"/>
      <c r="DFI158" s="250"/>
      <c r="DFJ158" s="250"/>
      <c r="DFK158" s="250"/>
      <c r="DFL158" s="250"/>
      <c r="DFM158" s="250"/>
      <c r="DFN158" s="250"/>
      <c r="DFO158" s="250"/>
      <c r="DFP158" s="250"/>
      <c r="DFQ158" s="250"/>
      <c r="DFR158" s="250"/>
      <c r="DFS158" s="250"/>
      <c r="DFT158" s="250"/>
      <c r="DFU158" s="250"/>
      <c r="DFV158" s="250"/>
      <c r="DFW158" s="250"/>
      <c r="DFX158" s="250"/>
      <c r="DFY158" s="250"/>
      <c r="DFZ158" s="250"/>
      <c r="DGA158" s="250"/>
      <c r="DGB158" s="250"/>
      <c r="DGC158" s="250"/>
      <c r="DGD158" s="250"/>
      <c r="DGE158" s="250"/>
      <c r="DGF158" s="250"/>
      <c r="DGG158" s="250"/>
      <c r="DGH158" s="250"/>
      <c r="DGI158" s="250"/>
      <c r="DGJ158" s="250"/>
      <c r="DGK158" s="250"/>
      <c r="DGL158" s="250"/>
      <c r="DGM158" s="250"/>
      <c r="DGN158" s="250"/>
      <c r="DGO158" s="250"/>
      <c r="DGP158" s="250"/>
      <c r="DGQ158" s="250"/>
      <c r="DGR158" s="250"/>
      <c r="DGS158" s="250"/>
      <c r="DGT158" s="250"/>
      <c r="DGU158" s="250"/>
      <c r="DGV158" s="250"/>
      <c r="DGW158" s="250"/>
      <c r="DGX158" s="250"/>
      <c r="DGY158" s="250"/>
      <c r="DGZ158" s="250"/>
      <c r="DHA158" s="250"/>
      <c r="DHB158" s="250"/>
      <c r="DHC158" s="250"/>
      <c r="DHD158" s="250"/>
      <c r="DHE158" s="250"/>
      <c r="DHF158" s="250"/>
      <c r="DHG158" s="250"/>
      <c r="DHH158" s="250"/>
      <c r="DHI158" s="250"/>
      <c r="DHJ158" s="250"/>
      <c r="DHK158" s="250"/>
      <c r="DHL158" s="250"/>
      <c r="DHM158" s="250"/>
      <c r="DHN158" s="250"/>
      <c r="DHO158" s="250"/>
      <c r="DHP158" s="250"/>
      <c r="DHQ158" s="250"/>
      <c r="DHR158" s="250"/>
      <c r="DHS158" s="250"/>
      <c r="DHT158" s="250"/>
      <c r="DHU158" s="250"/>
      <c r="DHV158" s="250"/>
      <c r="DHW158" s="250"/>
      <c r="DHX158" s="250"/>
      <c r="DHY158" s="250"/>
      <c r="DHZ158" s="250"/>
      <c r="DIA158" s="250"/>
      <c r="DIB158" s="250"/>
      <c r="DIC158" s="250"/>
      <c r="DID158" s="250"/>
      <c r="DIE158" s="250"/>
      <c r="DIF158" s="250"/>
      <c r="DIG158" s="250"/>
      <c r="DIH158" s="250"/>
      <c r="DII158" s="250"/>
      <c r="DIJ158" s="250"/>
      <c r="DIK158" s="250"/>
      <c r="DIL158" s="250"/>
      <c r="DIM158" s="250"/>
      <c r="DIN158" s="250"/>
      <c r="DIO158" s="250"/>
      <c r="DIP158" s="250"/>
      <c r="DIQ158" s="250"/>
      <c r="DIR158" s="250"/>
      <c r="DIS158" s="250"/>
      <c r="DIT158" s="250"/>
      <c r="DIU158" s="250"/>
      <c r="DIV158" s="250"/>
      <c r="DIW158" s="250"/>
      <c r="DIX158" s="250"/>
      <c r="DIY158" s="250"/>
      <c r="DIZ158" s="250"/>
      <c r="DJA158" s="250"/>
      <c r="DJB158" s="250"/>
      <c r="DJC158" s="250"/>
      <c r="DJD158" s="250"/>
      <c r="DJE158" s="250"/>
      <c r="DJF158" s="250"/>
      <c r="DJG158" s="250"/>
      <c r="DJH158" s="250"/>
      <c r="DJI158" s="250"/>
      <c r="DJJ158" s="250"/>
      <c r="DJK158" s="250"/>
      <c r="DJL158" s="250"/>
      <c r="DJM158" s="250"/>
      <c r="DJN158" s="250"/>
      <c r="DJO158" s="250"/>
      <c r="DJP158" s="250"/>
      <c r="DJQ158" s="250"/>
      <c r="DJR158" s="250"/>
      <c r="DJS158" s="250"/>
      <c r="DJT158" s="250"/>
      <c r="DJU158" s="250"/>
      <c r="DJV158" s="250"/>
      <c r="DJW158" s="250"/>
      <c r="DJX158" s="250"/>
      <c r="DJY158" s="250"/>
      <c r="DJZ158" s="250"/>
      <c r="DKA158" s="250"/>
      <c r="DKB158" s="250"/>
      <c r="DKC158" s="250"/>
      <c r="DKD158" s="250"/>
      <c r="DKE158" s="250"/>
      <c r="DKF158" s="250"/>
      <c r="DKG158" s="250"/>
      <c r="DKH158" s="250"/>
      <c r="DKI158" s="250"/>
      <c r="DKJ158" s="250"/>
      <c r="DKK158" s="250"/>
      <c r="DKL158" s="250"/>
      <c r="DKM158" s="250"/>
      <c r="DKN158" s="250"/>
      <c r="DKO158" s="250"/>
      <c r="DKP158" s="250"/>
      <c r="DKQ158" s="250"/>
      <c r="DKR158" s="250"/>
      <c r="DKS158" s="250"/>
      <c r="DKT158" s="250"/>
      <c r="DKU158" s="250"/>
      <c r="DKV158" s="250"/>
      <c r="DKW158" s="250"/>
      <c r="DKX158" s="250"/>
      <c r="DKY158" s="250"/>
      <c r="DKZ158" s="250"/>
      <c r="DLA158" s="250"/>
      <c r="DLB158" s="250"/>
      <c r="DLC158" s="250"/>
      <c r="DLD158" s="250"/>
      <c r="DLE158" s="250"/>
      <c r="DLF158" s="250"/>
      <c r="DLG158" s="250"/>
      <c r="DLH158" s="250"/>
      <c r="DLI158" s="250"/>
      <c r="DLJ158" s="250"/>
      <c r="DLK158" s="250"/>
      <c r="DLL158" s="250"/>
      <c r="DLM158" s="250"/>
      <c r="DLN158" s="250"/>
      <c r="DLO158" s="250"/>
      <c r="DLP158" s="250"/>
      <c r="DLQ158" s="250"/>
      <c r="DLR158" s="250"/>
      <c r="DLS158" s="250"/>
      <c r="DLT158" s="250"/>
      <c r="DLU158" s="250"/>
      <c r="DLV158" s="250"/>
      <c r="DLW158" s="250"/>
      <c r="DLX158" s="250"/>
      <c r="DLY158" s="250"/>
      <c r="DLZ158" s="250"/>
      <c r="DMA158" s="250"/>
      <c r="DMB158" s="250"/>
      <c r="DMC158" s="250"/>
      <c r="DMD158" s="250"/>
      <c r="DME158" s="250"/>
      <c r="DMF158" s="250"/>
      <c r="DMG158" s="250"/>
      <c r="DMH158" s="250"/>
      <c r="DMI158" s="250"/>
      <c r="DMJ158" s="250"/>
      <c r="DMK158" s="250"/>
      <c r="DML158" s="250"/>
      <c r="DMM158" s="250"/>
      <c r="DMN158" s="250"/>
      <c r="DMO158" s="250"/>
      <c r="DMP158" s="250"/>
      <c r="DMQ158" s="250"/>
      <c r="DMR158" s="250"/>
      <c r="DMS158" s="250"/>
      <c r="DMT158" s="250"/>
      <c r="DMU158" s="250"/>
      <c r="DMV158" s="250"/>
      <c r="DMW158" s="250"/>
      <c r="DMX158" s="250"/>
      <c r="DMY158" s="250"/>
      <c r="DMZ158" s="250"/>
      <c r="DNA158" s="250"/>
      <c r="DNB158" s="250"/>
      <c r="DNC158" s="250"/>
      <c r="DND158" s="250"/>
      <c r="DNE158" s="250"/>
      <c r="DNF158" s="250"/>
      <c r="DNG158" s="250"/>
      <c r="DNH158" s="250"/>
      <c r="DNI158" s="250"/>
      <c r="DNJ158" s="250"/>
      <c r="DNK158" s="250"/>
      <c r="DNL158" s="250"/>
      <c r="DNM158" s="250"/>
      <c r="DNN158" s="250"/>
      <c r="DNO158" s="250"/>
      <c r="DNP158" s="250"/>
      <c r="DNQ158" s="250"/>
      <c r="DNR158" s="250"/>
      <c r="DNS158" s="250"/>
      <c r="DNT158" s="250"/>
      <c r="DNU158" s="250"/>
      <c r="DNV158" s="250"/>
      <c r="DNW158" s="250"/>
      <c r="DNX158" s="250"/>
      <c r="DNY158" s="250"/>
      <c r="DNZ158" s="250"/>
      <c r="DOA158" s="250"/>
      <c r="DOB158" s="250"/>
      <c r="DOC158" s="250"/>
      <c r="DOD158" s="250"/>
      <c r="DOE158" s="250"/>
      <c r="DOF158" s="250"/>
      <c r="DOG158" s="250"/>
      <c r="DOH158" s="250"/>
      <c r="DOI158" s="250"/>
      <c r="DOJ158" s="250"/>
      <c r="DOK158" s="250"/>
      <c r="DOL158" s="250"/>
      <c r="DOM158" s="250"/>
      <c r="DON158" s="250"/>
      <c r="DOO158" s="250"/>
      <c r="DOP158" s="250"/>
      <c r="DOQ158" s="250"/>
      <c r="DOR158" s="250"/>
      <c r="DOS158" s="250"/>
      <c r="DOT158" s="250"/>
      <c r="DOU158" s="250"/>
      <c r="DOV158" s="250"/>
      <c r="DOW158" s="250"/>
      <c r="DOX158" s="250"/>
      <c r="DOY158" s="250"/>
      <c r="DOZ158" s="250"/>
      <c r="DPA158" s="250"/>
      <c r="DPB158" s="250"/>
      <c r="DPC158" s="250"/>
      <c r="DPD158" s="250"/>
      <c r="DPE158" s="250"/>
      <c r="DPF158" s="250"/>
      <c r="DPG158" s="250"/>
      <c r="DPH158" s="250"/>
      <c r="DPI158" s="250"/>
      <c r="DPJ158" s="250"/>
      <c r="DPK158" s="250"/>
      <c r="DPL158" s="250"/>
      <c r="DPM158" s="250"/>
      <c r="DPN158" s="250"/>
      <c r="DPO158" s="250"/>
      <c r="DPP158" s="250"/>
      <c r="DPQ158" s="250"/>
      <c r="DPR158" s="250"/>
      <c r="DPS158" s="250"/>
      <c r="DPT158" s="250"/>
      <c r="DPU158" s="250"/>
      <c r="DPV158" s="250"/>
      <c r="DPW158" s="250"/>
      <c r="DPX158" s="250"/>
      <c r="DPY158" s="250"/>
      <c r="DPZ158" s="250"/>
      <c r="DQA158" s="250"/>
      <c r="DQB158" s="250"/>
      <c r="DQC158" s="250"/>
      <c r="DQD158" s="250"/>
      <c r="DQE158" s="250"/>
      <c r="DQF158" s="250"/>
      <c r="DQG158" s="250"/>
      <c r="DQH158" s="250"/>
      <c r="DQI158" s="250"/>
      <c r="DQJ158" s="250"/>
      <c r="DQK158" s="250"/>
      <c r="DQL158" s="250"/>
      <c r="DQM158" s="250"/>
      <c r="DQN158" s="250"/>
      <c r="DQO158" s="250"/>
      <c r="DQP158" s="250"/>
      <c r="DQQ158" s="250"/>
      <c r="DQR158" s="250"/>
      <c r="DQS158" s="250"/>
      <c r="DQT158" s="250"/>
      <c r="DQU158" s="250"/>
      <c r="DQV158" s="250"/>
      <c r="DQW158" s="250"/>
      <c r="DQX158" s="250"/>
      <c r="DQY158" s="250"/>
      <c r="DQZ158" s="250"/>
      <c r="DRA158" s="250"/>
      <c r="DRB158" s="250"/>
      <c r="DRC158" s="250"/>
      <c r="DRD158" s="250"/>
      <c r="DRE158" s="250"/>
      <c r="DRF158" s="250"/>
      <c r="DRG158" s="250"/>
      <c r="DRH158" s="250"/>
      <c r="DRI158" s="250"/>
      <c r="DRJ158" s="250"/>
      <c r="DRK158" s="250"/>
      <c r="DRL158" s="250"/>
      <c r="DRM158" s="250"/>
      <c r="DRN158" s="250"/>
      <c r="DRO158" s="250"/>
      <c r="DRP158" s="250"/>
      <c r="DRQ158" s="250"/>
      <c r="DRR158" s="250"/>
      <c r="DRS158" s="250"/>
      <c r="DRT158" s="250"/>
      <c r="DRU158" s="250"/>
      <c r="DRV158" s="250"/>
      <c r="DRW158" s="250"/>
      <c r="DRX158" s="250"/>
      <c r="DRY158" s="250"/>
      <c r="DRZ158" s="250"/>
      <c r="DSA158" s="250"/>
      <c r="DSB158" s="250"/>
      <c r="DSC158" s="250"/>
      <c r="DSD158" s="250"/>
      <c r="DSE158" s="250"/>
      <c r="DSF158" s="250"/>
      <c r="DSG158" s="250"/>
      <c r="DSH158" s="250"/>
      <c r="DSI158" s="250"/>
      <c r="DSJ158" s="250"/>
      <c r="DSK158" s="250"/>
      <c r="DSL158" s="250"/>
      <c r="DSM158" s="250"/>
      <c r="DSN158" s="250"/>
      <c r="DSO158" s="250"/>
      <c r="DSP158" s="250"/>
      <c r="DSQ158" s="250"/>
      <c r="DSR158" s="250"/>
      <c r="DSS158" s="250"/>
      <c r="DST158" s="250"/>
      <c r="DSU158" s="250"/>
      <c r="DSV158" s="250"/>
      <c r="DSW158" s="250"/>
      <c r="DSX158" s="250"/>
      <c r="DSY158" s="250"/>
      <c r="DSZ158" s="250"/>
      <c r="DTA158" s="250"/>
      <c r="DTB158" s="250"/>
      <c r="DTC158" s="250"/>
      <c r="DTD158" s="250"/>
      <c r="DTE158" s="250"/>
      <c r="DTF158" s="250"/>
      <c r="DTG158" s="250"/>
      <c r="DTH158" s="250"/>
      <c r="DTI158" s="250"/>
      <c r="DTJ158" s="250"/>
      <c r="DTK158" s="250"/>
      <c r="DTL158" s="250"/>
      <c r="DTM158" s="250"/>
      <c r="DTN158" s="250"/>
      <c r="DTO158" s="250"/>
      <c r="DTP158" s="250"/>
      <c r="DTQ158" s="250"/>
      <c r="DTR158" s="250"/>
      <c r="DTS158" s="250"/>
      <c r="DTT158" s="250"/>
      <c r="DTU158" s="250"/>
      <c r="DTV158" s="250"/>
      <c r="DTW158" s="250"/>
      <c r="DTX158" s="250"/>
      <c r="DTY158" s="250"/>
      <c r="DTZ158" s="250"/>
      <c r="DUA158" s="250"/>
      <c r="DUB158" s="250"/>
      <c r="DUC158" s="250"/>
      <c r="DUD158" s="250"/>
      <c r="DUE158" s="250"/>
      <c r="DUF158" s="250"/>
      <c r="DUG158" s="250"/>
      <c r="DUH158" s="250"/>
      <c r="DUI158" s="250"/>
      <c r="DUJ158" s="250"/>
      <c r="DUK158" s="250"/>
      <c r="DUL158" s="250"/>
      <c r="DUM158" s="250"/>
      <c r="DUN158" s="250"/>
      <c r="DUO158" s="250"/>
      <c r="DUP158" s="250"/>
      <c r="DUQ158" s="250"/>
      <c r="DUR158" s="250"/>
      <c r="DUS158" s="250"/>
      <c r="DUT158" s="250"/>
      <c r="DUU158" s="250"/>
      <c r="DUV158" s="250"/>
      <c r="DUW158" s="250"/>
      <c r="DUX158" s="250"/>
      <c r="DUY158" s="250"/>
      <c r="DUZ158" s="250"/>
      <c r="DVA158" s="250"/>
      <c r="DVB158" s="250"/>
      <c r="DVC158" s="250"/>
      <c r="DVD158" s="250"/>
      <c r="DVE158" s="250"/>
      <c r="DVF158" s="250"/>
      <c r="DVG158" s="250"/>
      <c r="DVH158" s="250"/>
      <c r="DVI158" s="250"/>
      <c r="DVJ158" s="250"/>
      <c r="DVK158" s="250"/>
      <c r="DVL158" s="250"/>
      <c r="DVM158" s="250"/>
      <c r="DVN158" s="250"/>
      <c r="DVO158" s="250"/>
      <c r="DVP158" s="250"/>
      <c r="DVQ158" s="250"/>
      <c r="DVR158" s="250"/>
      <c r="DVS158" s="250"/>
      <c r="DVT158" s="250"/>
      <c r="DVU158" s="250"/>
      <c r="DVV158" s="250"/>
      <c r="DVW158" s="250"/>
      <c r="DVX158" s="250"/>
      <c r="DVY158" s="250"/>
      <c r="DVZ158" s="250"/>
      <c r="DWA158" s="250"/>
      <c r="DWB158" s="250"/>
      <c r="DWC158" s="250"/>
      <c r="DWD158" s="250"/>
      <c r="DWE158" s="250"/>
      <c r="DWF158" s="250"/>
      <c r="DWG158" s="250"/>
      <c r="DWH158" s="250"/>
      <c r="DWI158" s="250"/>
      <c r="DWJ158" s="250"/>
      <c r="DWK158" s="250"/>
      <c r="DWL158" s="250"/>
      <c r="DWM158" s="250"/>
      <c r="DWN158" s="250"/>
      <c r="DWO158" s="250"/>
      <c r="DWP158" s="250"/>
      <c r="DWQ158" s="250"/>
      <c r="DWR158" s="250"/>
      <c r="DWS158" s="250"/>
      <c r="DWT158" s="250"/>
      <c r="DWU158" s="250"/>
      <c r="DWV158" s="250"/>
      <c r="DWW158" s="250"/>
      <c r="DWX158" s="250"/>
      <c r="DWY158" s="250"/>
      <c r="DWZ158" s="250"/>
      <c r="DXA158" s="250"/>
      <c r="DXB158" s="250"/>
      <c r="DXC158" s="250"/>
      <c r="DXD158" s="250"/>
      <c r="DXE158" s="250"/>
      <c r="DXF158" s="250"/>
      <c r="DXG158" s="250"/>
      <c r="DXH158" s="250"/>
      <c r="DXI158" s="250"/>
      <c r="DXJ158" s="250"/>
      <c r="DXK158" s="250"/>
      <c r="DXL158" s="250"/>
      <c r="DXM158" s="250"/>
      <c r="DXN158" s="250"/>
      <c r="DXO158" s="250"/>
      <c r="DXP158" s="250"/>
      <c r="DXQ158" s="250"/>
      <c r="DXR158" s="250"/>
      <c r="DXS158" s="250"/>
      <c r="DXT158" s="250"/>
      <c r="DXU158" s="250"/>
      <c r="DXV158" s="250"/>
      <c r="DXW158" s="250"/>
      <c r="DXX158" s="250"/>
      <c r="DXY158" s="250"/>
      <c r="DXZ158" s="250"/>
      <c r="DYA158" s="250"/>
      <c r="DYB158" s="250"/>
      <c r="DYC158" s="250"/>
      <c r="DYD158" s="250"/>
      <c r="DYE158" s="250"/>
      <c r="DYF158" s="250"/>
      <c r="DYG158" s="250"/>
      <c r="DYH158" s="250"/>
      <c r="DYI158" s="250"/>
      <c r="DYJ158" s="250"/>
      <c r="DYK158" s="250"/>
      <c r="DYL158" s="250"/>
      <c r="DYM158" s="250"/>
      <c r="DYN158" s="250"/>
      <c r="DYO158" s="250"/>
      <c r="DYP158" s="250"/>
      <c r="DYQ158" s="250"/>
      <c r="DYR158" s="250"/>
      <c r="DYS158" s="250"/>
      <c r="DYT158" s="250"/>
      <c r="DYU158" s="250"/>
      <c r="DYV158" s="250"/>
      <c r="DYW158" s="250"/>
      <c r="DYX158" s="250"/>
      <c r="DYY158" s="250"/>
      <c r="DYZ158" s="250"/>
      <c r="DZA158" s="250"/>
      <c r="DZB158" s="250"/>
      <c r="DZC158" s="250"/>
      <c r="DZD158" s="250"/>
      <c r="DZE158" s="250"/>
      <c r="DZF158" s="250"/>
      <c r="DZG158" s="250"/>
      <c r="DZH158" s="250"/>
      <c r="DZI158" s="250"/>
      <c r="DZJ158" s="250"/>
      <c r="DZK158" s="250"/>
      <c r="DZL158" s="250"/>
      <c r="DZM158" s="250"/>
      <c r="DZN158" s="250"/>
      <c r="DZO158" s="250"/>
      <c r="DZP158" s="250"/>
      <c r="DZQ158" s="250"/>
      <c r="DZR158" s="250"/>
      <c r="DZS158" s="250"/>
      <c r="DZT158" s="250"/>
      <c r="DZU158" s="250"/>
      <c r="DZV158" s="250"/>
      <c r="DZW158" s="250"/>
      <c r="DZX158" s="250"/>
      <c r="DZY158" s="250"/>
      <c r="DZZ158" s="250"/>
      <c r="EAA158" s="250"/>
      <c r="EAB158" s="250"/>
      <c r="EAC158" s="250"/>
      <c r="EAD158" s="250"/>
      <c r="EAE158" s="250"/>
      <c r="EAF158" s="250"/>
      <c r="EAG158" s="250"/>
      <c r="EAH158" s="250"/>
      <c r="EAI158" s="250"/>
      <c r="EAJ158" s="250"/>
      <c r="EAK158" s="250"/>
      <c r="EAL158" s="250"/>
      <c r="EAM158" s="250"/>
      <c r="EAN158" s="250"/>
      <c r="EAO158" s="250"/>
      <c r="EAP158" s="250"/>
      <c r="EAQ158" s="250"/>
      <c r="EAR158" s="250"/>
      <c r="EAS158" s="250"/>
      <c r="EAT158" s="250"/>
      <c r="EAU158" s="250"/>
      <c r="EAV158" s="250"/>
      <c r="EAW158" s="250"/>
      <c r="EAX158" s="250"/>
      <c r="EAY158" s="250"/>
      <c r="EAZ158" s="250"/>
      <c r="EBA158" s="250"/>
      <c r="EBB158" s="250"/>
      <c r="EBC158" s="250"/>
      <c r="EBD158" s="250"/>
      <c r="EBE158" s="250"/>
      <c r="EBF158" s="250"/>
      <c r="EBG158" s="250"/>
      <c r="EBH158" s="250"/>
      <c r="EBI158" s="250"/>
      <c r="EBJ158" s="250"/>
      <c r="EBK158" s="250"/>
      <c r="EBL158" s="250"/>
      <c r="EBM158" s="250"/>
      <c r="EBN158" s="250"/>
      <c r="EBO158" s="250"/>
      <c r="EBP158" s="250"/>
      <c r="EBQ158" s="250"/>
      <c r="EBR158" s="250"/>
      <c r="EBS158" s="250"/>
      <c r="EBT158" s="250"/>
      <c r="EBU158" s="250"/>
      <c r="EBV158" s="250"/>
      <c r="EBW158" s="250"/>
      <c r="EBX158" s="250"/>
      <c r="EBY158" s="250"/>
      <c r="EBZ158" s="250"/>
      <c r="ECA158" s="250"/>
      <c r="ECB158" s="250"/>
      <c r="ECC158" s="250"/>
      <c r="ECD158" s="250"/>
      <c r="ECE158" s="250"/>
      <c r="ECF158" s="250"/>
      <c r="ECG158" s="250"/>
      <c r="ECH158" s="250"/>
      <c r="ECI158" s="250"/>
      <c r="ECJ158" s="250"/>
      <c r="ECK158" s="250"/>
      <c r="ECL158" s="250"/>
      <c r="ECM158" s="250"/>
      <c r="ECN158" s="250"/>
      <c r="ECO158" s="250"/>
      <c r="ECP158" s="250"/>
      <c r="ECQ158" s="250"/>
      <c r="ECR158" s="250"/>
      <c r="ECS158" s="250"/>
      <c r="ECT158" s="250"/>
      <c r="ECU158" s="250"/>
      <c r="ECV158" s="250"/>
      <c r="ECW158" s="250"/>
      <c r="ECX158" s="250"/>
      <c r="ECY158" s="250"/>
      <c r="ECZ158" s="250"/>
      <c r="EDA158" s="250"/>
      <c r="EDB158" s="250"/>
      <c r="EDC158" s="250"/>
      <c r="EDD158" s="250"/>
      <c r="EDE158" s="250"/>
      <c r="EDF158" s="250"/>
      <c r="EDG158" s="250"/>
      <c r="EDH158" s="250"/>
      <c r="EDI158" s="250"/>
      <c r="EDJ158" s="250"/>
      <c r="EDK158" s="250"/>
      <c r="EDL158" s="250"/>
      <c r="EDM158" s="250"/>
      <c r="EDN158" s="250"/>
      <c r="EDO158" s="250"/>
      <c r="EDP158" s="250"/>
      <c r="EDQ158" s="250"/>
      <c r="EDR158" s="250"/>
      <c r="EDS158" s="250"/>
      <c r="EDT158" s="250"/>
      <c r="EDU158" s="250"/>
      <c r="EDV158" s="250"/>
      <c r="EDW158" s="250"/>
      <c r="EDX158" s="250"/>
      <c r="EDY158" s="250"/>
      <c r="EDZ158" s="250"/>
      <c r="EEA158" s="250"/>
      <c r="EEB158" s="250"/>
      <c r="EEC158" s="250"/>
      <c r="EED158" s="250"/>
      <c r="EEE158" s="250"/>
      <c r="EEF158" s="250"/>
      <c r="EEG158" s="250"/>
      <c r="EEH158" s="250"/>
      <c r="EEI158" s="250"/>
      <c r="EEJ158" s="250"/>
      <c r="EEK158" s="250"/>
      <c r="EEL158" s="250"/>
      <c r="EEM158" s="250"/>
      <c r="EEN158" s="250"/>
      <c r="EEO158" s="250"/>
      <c r="EEP158" s="250"/>
      <c r="EEQ158" s="250"/>
      <c r="EER158" s="250"/>
      <c r="EES158" s="250"/>
      <c r="EET158" s="250"/>
      <c r="EEU158" s="250"/>
      <c r="EEV158" s="250"/>
      <c r="EEW158" s="250"/>
      <c r="EEX158" s="250"/>
      <c r="EEY158" s="250"/>
      <c r="EEZ158" s="250"/>
      <c r="EFA158" s="250"/>
      <c r="EFB158" s="250"/>
      <c r="EFC158" s="250"/>
      <c r="EFD158" s="250"/>
      <c r="EFE158" s="250"/>
      <c r="EFF158" s="250"/>
      <c r="EFG158" s="250"/>
      <c r="EFH158" s="250"/>
      <c r="EFI158" s="250"/>
      <c r="EFJ158" s="250"/>
      <c r="EFK158" s="250"/>
      <c r="EFL158" s="250"/>
      <c r="EFM158" s="250"/>
      <c r="EFN158" s="250"/>
      <c r="EFO158" s="250"/>
      <c r="EFP158" s="250"/>
      <c r="EFQ158" s="250"/>
      <c r="EFR158" s="250"/>
      <c r="EFS158" s="250"/>
      <c r="EFT158" s="250"/>
      <c r="EFU158" s="250"/>
      <c r="EFV158" s="250"/>
      <c r="EFW158" s="250"/>
      <c r="EFX158" s="250"/>
      <c r="EFY158" s="250"/>
      <c r="EFZ158" s="250"/>
      <c r="EGA158" s="250"/>
      <c r="EGB158" s="250"/>
      <c r="EGC158" s="250"/>
      <c r="EGD158" s="250"/>
      <c r="EGE158" s="250"/>
      <c r="EGF158" s="250"/>
      <c r="EGG158" s="250"/>
      <c r="EGH158" s="250"/>
      <c r="EGI158" s="250"/>
      <c r="EGJ158" s="250"/>
      <c r="EGK158" s="250"/>
      <c r="EGL158" s="250"/>
      <c r="EGM158" s="250"/>
      <c r="EGN158" s="250"/>
      <c r="EGO158" s="250"/>
      <c r="EGP158" s="250"/>
      <c r="EGQ158" s="250"/>
      <c r="EGR158" s="250"/>
      <c r="EGS158" s="250"/>
      <c r="EGT158" s="250"/>
      <c r="EGU158" s="250"/>
      <c r="EGV158" s="250"/>
      <c r="EGW158" s="250"/>
      <c r="EGX158" s="250"/>
      <c r="EGY158" s="250"/>
      <c r="EGZ158" s="250"/>
      <c r="EHA158" s="250"/>
      <c r="EHB158" s="250"/>
      <c r="EHC158" s="250"/>
      <c r="EHD158" s="250"/>
      <c r="EHE158" s="250"/>
      <c r="EHF158" s="250"/>
      <c r="EHG158" s="250"/>
      <c r="EHH158" s="250"/>
      <c r="EHI158" s="250"/>
      <c r="EHJ158" s="250"/>
      <c r="EHK158" s="250"/>
      <c r="EHL158" s="250"/>
      <c r="EHM158" s="250"/>
      <c r="EHN158" s="250"/>
      <c r="EHO158" s="250"/>
      <c r="EHP158" s="250"/>
      <c r="EHQ158" s="250"/>
      <c r="EHR158" s="250"/>
      <c r="EHS158" s="250"/>
      <c r="EHT158" s="250"/>
      <c r="EHU158" s="250"/>
      <c r="EHV158" s="250"/>
      <c r="EHW158" s="250"/>
      <c r="EHX158" s="250"/>
      <c r="EHY158" s="250"/>
      <c r="EHZ158" s="250"/>
      <c r="EIA158" s="250"/>
      <c r="EIB158" s="250"/>
      <c r="EIC158" s="250"/>
      <c r="EID158" s="250"/>
      <c r="EIE158" s="250"/>
      <c r="EIF158" s="250"/>
      <c r="EIG158" s="250"/>
      <c r="EIH158" s="250"/>
      <c r="EII158" s="250"/>
      <c r="EIJ158" s="250"/>
      <c r="EIK158" s="250"/>
      <c r="EIL158" s="250"/>
      <c r="EIM158" s="250"/>
      <c r="EIN158" s="250"/>
      <c r="EIO158" s="250"/>
      <c r="EIP158" s="250"/>
      <c r="EIQ158" s="250"/>
      <c r="EIR158" s="250"/>
      <c r="EIS158" s="250"/>
      <c r="EIT158" s="250"/>
      <c r="EIU158" s="250"/>
      <c r="EIV158" s="250"/>
      <c r="EIW158" s="250"/>
      <c r="EIX158" s="250"/>
      <c r="EIY158" s="250"/>
      <c r="EIZ158" s="250"/>
      <c r="EJA158" s="250"/>
      <c r="EJB158" s="250"/>
      <c r="EJC158" s="250"/>
      <c r="EJD158" s="250"/>
      <c r="EJE158" s="250"/>
      <c r="EJF158" s="250"/>
      <c r="EJG158" s="250"/>
      <c r="EJH158" s="250"/>
      <c r="EJI158" s="250"/>
      <c r="EJJ158" s="250"/>
      <c r="EJK158" s="250"/>
      <c r="EJL158" s="250"/>
      <c r="EJM158" s="250"/>
      <c r="EJN158" s="250"/>
      <c r="EJO158" s="250"/>
      <c r="EJP158" s="250"/>
      <c r="EJQ158" s="250"/>
      <c r="EJR158" s="250"/>
      <c r="EJS158" s="250"/>
      <c r="EJT158" s="250"/>
      <c r="EJU158" s="250"/>
      <c r="EJV158" s="250"/>
      <c r="EJW158" s="250"/>
      <c r="EJX158" s="250"/>
      <c r="EJY158" s="250"/>
      <c r="EJZ158" s="250"/>
      <c r="EKA158" s="250"/>
      <c r="EKB158" s="250"/>
      <c r="EKC158" s="250"/>
      <c r="EKD158" s="250"/>
      <c r="EKE158" s="250"/>
      <c r="EKF158" s="250"/>
      <c r="EKG158" s="250"/>
      <c r="EKH158" s="250"/>
      <c r="EKI158" s="250"/>
      <c r="EKJ158" s="250"/>
      <c r="EKK158" s="250"/>
      <c r="EKL158" s="250"/>
      <c r="EKM158" s="250"/>
      <c r="EKN158" s="250"/>
      <c r="EKO158" s="250"/>
      <c r="EKP158" s="250"/>
      <c r="EKQ158" s="250"/>
      <c r="EKR158" s="250"/>
      <c r="EKS158" s="250"/>
      <c r="EKT158" s="250"/>
      <c r="EKU158" s="250"/>
      <c r="EKV158" s="250"/>
      <c r="EKW158" s="250"/>
      <c r="EKX158" s="250"/>
      <c r="EKY158" s="250"/>
      <c r="EKZ158" s="250"/>
      <c r="ELA158" s="250"/>
      <c r="ELB158" s="250"/>
      <c r="ELC158" s="250"/>
      <c r="ELD158" s="250"/>
      <c r="ELE158" s="250"/>
      <c r="ELF158" s="250"/>
      <c r="ELG158" s="250"/>
      <c r="ELH158" s="250"/>
      <c r="ELI158" s="250"/>
      <c r="ELJ158" s="250"/>
      <c r="ELK158" s="250"/>
      <c r="ELL158" s="250"/>
      <c r="ELM158" s="250"/>
      <c r="ELN158" s="250"/>
      <c r="ELO158" s="250"/>
      <c r="ELP158" s="250"/>
      <c r="ELQ158" s="250"/>
      <c r="ELR158" s="250"/>
      <c r="ELS158" s="250"/>
      <c r="ELT158" s="250"/>
      <c r="ELU158" s="250"/>
      <c r="ELV158" s="250"/>
      <c r="ELW158" s="250"/>
      <c r="ELX158" s="250"/>
      <c r="ELY158" s="250"/>
      <c r="ELZ158" s="250"/>
      <c r="EMA158" s="250"/>
      <c r="EMB158" s="250"/>
      <c r="EMC158" s="250"/>
      <c r="EMD158" s="250"/>
      <c r="EME158" s="250"/>
      <c r="EMF158" s="250"/>
      <c r="EMG158" s="250"/>
      <c r="EMH158" s="250"/>
      <c r="EMI158" s="250"/>
      <c r="EMJ158" s="250"/>
      <c r="EMK158" s="250"/>
      <c r="EML158" s="250"/>
      <c r="EMM158" s="250"/>
      <c r="EMN158" s="250"/>
      <c r="EMO158" s="250"/>
      <c r="EMP158" s="250"/>
      <c r="EMQ158" s="250"/>
      <c r="EMR158" s="250"/>
      <c r="EMS158" s="250"/>
      <c r="EMT158" s="250"/>
      <c r="EMU158" s="250"/>
      <c r="EMV158" s="250"/>
      <c r="EMW158" s="250"/>
      <c r="EMX158" s="250"/>
      <c r="EMY158" s="250"/>
      <c r="EMZ158" s="250"/>
      <c r="ENA158" s="250"/>
      <c r="ENB158" s="250"/>
      <c r="ENC158" s="250"/>
      <c r="END158" s="250"/>
      <c r="ENE158" s="250"/>
      <c r="ENF158" s="250"/>
      <c r="ENG158" s="250"/>
      <c r="ENH158" s="250"/>
      <c r="ENI158" s="250"/>
      <c r="ENJ158" s="250"/>
      <c r="ENK158" s="250"/>
      <c r="ENL158" s="250"/>
      <c r="ENM158" s="250"/>
      <c r="ENN158" s="250"/>
      <c r="ENO158" s="250"/>
      <c r="ENP158" s="250"/>
      <c r="ENQ158" s="250"/>
      <c r="ENR158" s="250"/>
      <c r="ENS158" s="250"/>
      <c r="ENT158" s="250"/>
      <c r="ENU158" s="250"/>
      <c r="ENV158" s="250"/>
      <c r="ENW158" s="250"/>
      <c r="ENX158" s="250"/>
      <c r="ENY158" s="250"/>
      <c r="ENZ158" s="250"/>
      <c r="EOA158" s="250"/>
      <c r="EOB158" s="250"/>
      <c r="EOC158" s="250"/>
      <c r="EOD158" s="250"/>
      <c r="EOE158" s="250"/>
      <c r="EOF158" s="250"/>
      <c r="EOG158" s="250"/>
      <c r="EOH158" s="250"/>
      <c r="EOI158" s="250"/>
      <c r="EOJ158" s="250"/>
      <c r="EOK158" s="250"/>
      <c r="EOL158" s="250"/>
      <c r="EOM158" s="250"/>
      <c r="EON158" s="250"/>
      <c r="EOO158" s="250"/>
      <c r="EOP158" s="250"/>
      <c r="EOQ158" s="250"/>
      <c r="EOR158" s="250"/>
      <c r="EOS158" s="250"/>
      <c r="EOT158" s="250"/>
      <c r="EOU158" s="250"/>
      <c r="EOV158" s="250"/>
      <c r="EOW158" s="250"/>
      <c r="EOX158" s="250"/>
      <c r="EOY158" s="250"/>
      <c r="EOZ158" s="250"/>
      <c r="EPA158" s="250"/>
      <c r="EPB158" s="250"/>
      <c r="EPC158" s="250"/>
      <c r="EPD158" s="250"/>
      <c r="EPE158" s="250"/>
      <c r="EPF158" s="250"/>
      <c r="EPG158" s="250"/>
      <c r="EPH158" s="250"/>
      <c r="EPI158" s="250"/>
      <c r="EPJ158" s="250"/>
      <c r="EPK158" s="250"/>
      <c r="EPL158" s="250"/>
      <c r="EPM158" s="250"/>
      <c r="EPN158" s="250"/>
      <c r="EPO158" s="250"/>
      <c r="EPP158" s="250"/>
      <c r="EPQ158" s="250"/>
      <c r="EPR158" s="250"/>
      <c r="EPS158" s="250"/>
      <c r="EPT158" s="250"/>
      <c r="EPU158" s="250"/>
      <c r="EPV158" s="250"/>
      <c r="EPW158" s="250"/>
      <c r="EPX158" s="250"/>
      <c r="EPY158" s="250"/>
      <c r="EPZ158" s="250"/>
      <c r="EQA158" s="250"/>
      <c r="EQB158" s="250"/>
      <c r="EQC158" s="250"/>
      <c r="EQD158" s="250"/>
      <c r="EQE158" s="250"/>
      <c r="EQF158" s="250"/>
      <c r="EQG158" s="250"/>
      <c r="EQH158" s="250"/>
      <c r="EQI158" s="250"/>
      <c r="EQJ158" s="250"/>
      <c r="EQK158" s="250"/>
      <c r="EQL158" s="250"/>
      <c r="EQM158" s="250"/>
      <c r="EQN158" s="250"/>
      <c r="EQO158" s="250"/>
      <c r="EQP158" s="250"/>
      <c r="EQQ158" s="250"/>
      <c r="EQR158" s="250"/>
      <c r="EQS158" s="250"/>
      <c r="EQT158" s="250"/>
      <c r="EQU158" s="250"/>
      <c r="EQV158" s="250"/>
      <c r="EQW158" s="250"/>
      <c r="EQX158" s="250"/>
      <c r="EQY158" s="250"/>
      <c r="EQZ158" s="250"/>
      <c r="ERA158" s="250"/>
      <c r="ERB158" s="250"/>
      <c r="ERC158" s="250"/>
      <c r="ERD158" s="250"/>
      <c r="ERE158" s="250"/>
      <c r="ERF158" s="250"/>
      <c r="ERG158" s="250"/>
      <c r="ERH158" s="250"/>
      <c r="ERI158" s="250"/>
      <c r="ERJ158" s="250"/>
      <c r="ERK158" s="250"/>
      <c r="ERL158" s="250"/>
      <c r="ERM158" s="250"/>
      <c r="ERN158" s="250"/>
      <c r="ERO158" s="250"/>
      <c r="ERP158" s="250"/>
      <c r="ERQ158" s="250"/>
      <c r="ERR158" s="250"/>
      <c r="ERS158" s="250"/>
      <c r="ERT158" s="250"/>
      <c r="ERU158" s="250"/>
      <c r="ERV158" s="250"/>
      <c r="ERW158" s="250"/>
      <c r="ERX158" s="250"/>
      <c r="ERY158" s="250"/>
      <c r="ERZ158" s="250"/>
      <c r="ESA158" s="250"/>
      <c r="ESB158" s="250"/>
      <c r="ESC158" s="250"/>
      <c r="ESD158" s="250"/>
      <c r="ESE158" s="250"/>
      <c r="ESF158" s="250"/>
      <c r="ESG158" s="250"/>
      <c r="ESH158" s="250"/>
      <c r="ESI158" s="250"/>
      <c r="ESJ158" s="250"/>
      <c r="ESK158" s="250"/>
      <c r="ESL158" s="250"/>
      <c r="ESM158" s="250"/>
      <c r="ESN158" s="250"/>
      <c r="ESO158" s="250"/>
      <c r="ESP158" s="250"/>
      <c r="ESQ158" s="250"/>
      <c r="ESR158" s="250"/>
      <c r="ESS158" s="250"/>
      <c r="EST158" s="250"/>
      <c r="ESU158" s="250"/>
      <c r="ESV158" s="250"/>
      <c r="ESW158" s="250"/>
      <c r="ESX158" s="250"/>
      <c r="ESY158" s="250"/>
      <c r="ESZ158" s="250"/>
      <c r="ETA158" s="250"/>
      <c r="ETB158" s="250"/>
      <c r="ETC158" s="250"/>
      <c r="ETD158" s="250"/>
      <c r="ETE158" s="250"/>
      <c r="ETF158" s="250"/>
      <c r="ETG158" s="250"/>
      <c r="ETH158" s="250"/>
      <c r="ETI158" s="250"/>
      <c r="ETJ158" s="250"/>
      <c r="ETK158" s="250"/>
      <c r="ETL158" s="250"/>
      <c r="ETM158" s="250"/>
      <c r="ETN158" s="250"/>
      <c r="ETO158" s="250"/>
      <c r="ETP158" s="250"/>
      <c r="ETQ158" s="250"/>
      <c r="ETR158" s="250"/>
      <c r="ETS158" s="250"/>
      <c r="ETT158" s="250"/>
      <c r="ETU158" s="250"/>
      <c r="ETV158" s="250"/>
      <c r="ETW158" s="250"/>
      <c r="ETX158" s="250"/>
      <c r="ETY158" s="250"/>
      <c r="ETZ158" s="250"/>
      <c r="EUA158" s="250"/>
      <c r="EUB158" s="250"/>
      <c r="EUC158" s="250"/>
      <c r="EUD158" s="250"/>
      <c r="EUE158" s="250"/>
      <c r="EUF158" s="250"/>
      <c r="EUG158" s="250"/>
      <c r="EUH158" s="250"/>
      <c r="EUI158" s="250"/>
      <c r="EUJ158" s="250"/>
      <c r="EUK158" s="250"/>
      <c r="EUL158" s="250"/>
      <c r="EUM158" s="250"/>
      <c r="EUN158" s="250"/>
      <c r="EUO158" s="250"/>
      <c r="EUP158" s="250"/>
      <c r="EUQ158" s="250"/>
      <c r="EUR158" s="250"/>
      <c r="EUS158" s="250"/>
      <c r="EUT158" s="250"/>
      <c r="EUU158" s="250"/>
      <c r="EUV158" s="250"/>
      <c r="EUW158" s="250"/>
      <c r="EUX158" s="250"/>
      <c r="EUY158" s="250"/>
      <c r="EUZ158" s="250"/>
      <c r="EVA158" s="250"/>
      <c r="EVB158" s="250"/>
      <c r="EVC158" s="250"/>
      <c r="EVD158" s="250"/>
      <c r="EVE158" s="250"/>
      <c r="EVF158" s="250"/>
      <c r="EVG158" s="250"/>
      <c r="EVH158" s="250"/>
      <c r="EVI158" s="250"/>
      <c r="EVJ158" s="250"/>
      <c r="EVK158" s="250"/>
      <c r="EVL158" s="250"/>
      <c r="EVM158" s="250"/>
      <c r="EVN158" s="250"/>
      <c r="EVO158" s="250"/>
      <c r="EVP158" s="250"/>
      <c r="EVQ158" s="250"/>
      <c r="EVR158" s="250"/>
      <c r="EVS158" s="250"/>
      <c r="EVT158" s="250"/>
      <c r="EVU158" s="250"/>
      <c r="EVV158" s="250"/>
      <c r="EVW158" s="250"/>
      <c r="EVX158" s="250"/>
      <c r="EVY158" s="250"/>
      <c r="EVZ158" s="250"/>
      <c r="EWA158" s="250"/>
      <c r="EWB158" s="250"/>
      <c r="EWC158" s="250"/>
      <c r="EWD158" s="250"/>
      <c r="EWE158" s="250"/>
      <c r="EWF158" s="250"/>
      <c r="EWG158" s="250"/>
      <c r="EWH158" s="250"/>
      <c r="EWI158" s="250"/>
      <c r="EWJ158" s="250"/>
      <c r="EWK158" s="250"/>
      <c r="EWL158" s="250"/>
      <c r="EWM158" s="250"/>
      <c r="EWN158" s="250"/>
      <c r="EWO158" s="250"/>
      <c r="EWP158" s="250"/>
      <c r="EWQ158" s="250"/>
      <c r="EWR158" s="250"/>
      <c r="EWS158" s="250"/>
      <c r="EWT158" s="250"/>
      <c r="EWU158" s="250"/>
      <c r="EWV158" s="250"/>
      <c r="EWW158" s="250"/>
      <c r="EWX158" s="250"/>
      <c r="EWY158" s="250"/>
      <c r="EWZ158" s="250"/>
      <c r="EXA158" s="250"/>
      <c r="EXB158" s="250"/>
      <c r="EXC158" s="250"/>
      <c r="EXD158" s="250"/>
      <c r="EXE158" s="250"/>
      <c r="EXF158" s="250"/>
      <c r="EXG158" s="250"/>
      <c r="EXH158" s="250"/>
      <c r="EXI158" s="250"/>
      <c r="EXJ158" s="250"/>
      <c r="EXK158" s="250"/>
      <c r="EXL158" s="250"/>
      <c r="EXM158" s="250"/>
      <c r="EXN158" s="250"/>
      <c r="EXO158" s="250"/>
      <c r="EXP158" s="250"/>
      <c r="EXQ158" s="250"/>
      <c r="EXR158" s="250"/>
      <c r="EXS158" s="250"/>
      <c r="EXT158" s="250"/>
      <c r="EXU158" s="250"/>
      <c r="EXV158" s="250"/>
      <c r="EXW158" s="250"/>
      <c r="EXX158" s="250"/>
      <c r="EXY158" s="250"/>
      <c r="EXZ158" s="250"/>
      <c r="EYA158" s="250"/>
      <c r="EYB158" s="250"/>
      <c r="EYC158" s="250"/>
      <c r="EYD158" s="250"/>
      <c r="EYE158" s="250"/>
      <c r="EYF158" s="250"/>
      <c r="EYG158" s="250"/>
      <c r="EYH158" s="250"/>
      <c r="EYI158" s="250"/>
      <c r="EYJ158" s="250"/>
      <c r="EYK158" s="250"/>
      <c r="EYL158" s="250"/>
      <c r="EYM158" s="250"/>
      <c r="EYN158" s="250"/>
      <c r="EYO158" s="250"/>
      <c r="EYP158" s="250"/>
      <c r="EYQ158" s="250"/>
      <c r="EYR158" s="250"/>
      <c r="EYS158" s="250"/>
      <c r="EYT158" s="250"/>
      <c r="EYU158" s="250"/>
      <c r="EYV158" s="250"/>
      <c r="EYW158" s="250"/>
      <c r="EYX158" s="250"/>
      <c r="EYY158" s="250"/>
      <c r="EYZ158" s="250"/>
      <c r="EZA158" s="250"/>
      <c r="EZB158" s="250"/>
      <c r="EZC158" s="250"/>
      <c r="EZD158" s="250"/>
      <c r="EZE158" s="250"/>
      <c r="EZF158" s="250"/>
      <c r="EZG158" s="250"/>
      <c r="EZH158" s="250"/>
      <c r="EZI158" s="250"/>
      <c r="EZJ158" s="250"/>
      <c r="EZK158" s="250"/>
      <c r="EZL158" s="250"/>
      <c r="EZM158" s="250"/>
      <c r="EZN158" s="250"/>
      <c r="EZO158" s="250"/>
      <c r="EZP158" s="250"/>
      <c r="EZQ158" s="250"/>
      <c r="EZR158" s="250"/>
      <c r="EZS158" s="250"/>
      <c r="EZT158" s="250"/>
      <c r="EZU158" s="250"/>
      <c r="EZV158" s="250"/>
      <c r="EZW158" s="250"/>
      <c r="EZX158" s="250"/>
      <c r="EZY158" s="250"/>
      <c r="EZZ158" s="250"/>
      <c r="FAA158" s="250"/>
      <c r="FAB158" s="250"/>
      <c r="FAC158" s="250"/>
      <c r="FAD158" s="250"/>
      <c r="FAE158" s="250"/>
      <c r="FAF158" s="250"/>
      <c r="FAG158" s="250"/>
      <c r="FAH158" s="250"/>
      <c r="FAI158" s="250"/>
      <c r="FAJ158" s="250"/>
      <c r="FAK158" s="250"/>
      <c r="FAL158" s="250"/>
      <c r="FAM158" s="250"/>
      <c r="FAN158" s="250"/>
      <c r="FAO158" s="250"/>
      <c r="FAP158" s="250"/>
      <c r="FAQ158" s="250"/>
      <c r="FAR158" s="250"/>
      <c r="FAS158" s="250"/>
      <c r="FAT158" s="250"/>
      <c r="FAU158" s="250"/>
      <c r="FAV158" s="250"/>
      <c r="FAW158" s="250"/>
      <c r="FAX158" s="250"/>
      <c r="FAY158" s="250"/>
      <c r="FAZ158" s="250"/>
      <c r="FBA158" s="250"/>
      <c r="FBB158" s="250"/>
      <c r="FBC158" s="250"/>
      <c r="FBD158" s="250"/>
      <c r="FBE158" s="250"/>
      <c r="FBF158" s="250"/>
      <c r="FBG158" s="250"/>
      <c r="FBH158" s="250"/>
      <c r="FBI158" s="250"/>
      <c r="FBJ158" s="250"/>
      <c r="FBK158" s="250"/>
      <c r="FBL158" s="250"/>
      <c r="FBM158" s="250"/>
      <c r="FBN158" s="250"/>
      <c r="FBO158" s="250"/>
      <c r="FBP158" s="250"/>
      <c r="FBQ158" s="250"/>
      <c r="FBR158" s="250"/>
      <c r="FBS158" s="250"/>
      <c r="FBT158" s="250"/>
      <c r="FBU158" s="250"/>
      <c r="FBV158" s="250"/>
      <c r="FBW158" s="250"/>
      <c r="FBX158" s="250"/>
      <c r="FBY158" s="250"/>
      <c r="FBZ158" s="250"/>
      <c r="FCA158" s="250"/>
      <c r="FCB158" s="250"/>
      <c r="FCC158" s="250"/>
      <c r="FCD158" s="250"/>
      <c r="FCE158" s="250"/>
      <c r="FCF158" s="250"/>
      <c r="FCG158" s="250"/>
      <c r="FCH158" s="250"/>
      <c r="FCI158" s="250"/>
      <c r="FCJ158" s="250"/>
      <c r="FCK158" s="250"/>
      <c r="FCL158" s="250"/>
      <c r="FCM158" s="250"/>
      <c r="FCN158" s="250"/>
      <c r="FCO158" s="250"/>
      <c r="FCP158" s="250"/>
      <c r="FCQ158" s="250"/>
      <c r="FCR158" s="250"/>
      <c r="FCS158" s="250"/>
      <c r="FCT158" s="250"/>
      <c r="FCU158" s="250"/>
      <c r="FCV158" s="250"/>
      <c r="FCW158" s="250"/>
      <c r="FCX158" s="250"/>
      <c r="FCY158" s="250"/>
      <c r="FCZ158" s="250"/>
      <c r="FDA158" s="250"/>
      <c r="FDB158" s="250"/>
      <c r="FDC158" s="250"/>
      <c r="FDD158" s="250"/>
      <c r="FDE158" s="250"/>
      <c r="FDF158" s="250"/>
      <c r="FDG158" s="250"/>
      <c r="FDH158" s="250"/>
      <c r="FDI158" s="250"/>
      <c r="FDJ158" s="250"/>
      <c r="FDK158" s="250"/>
      <c r="FDL158" s="250"/>
      <c r="FDM158" s="250"/>
      <c r="FDN158" s="250"/>
      <c r="FDO158" s="250"/>
      <c r="FDP158" s="250"/>
      <c r="FDQ158" s="250"/>
      <c r="FDR158" s="250"/>
      <c r="FDS158" s="250"/>
      <c r="FDT158" s="250"/>
      <c r="FDU158" s="250"/>
      <c r="FDV158" s="250"/>
      <c r="FDW158" s="250"/>
      <c r="FDX158" s="250"/>
      <c r="FDY158" s="250"/>
      <c r="FDZ158" s="250"/>
      <c r="FEA158" s="250"/>
      <c r="FEB158" s="250"/>
      <c r="FEC158" s="250"/>
      <c r="FED158" s="250"/>
      <c r="FEE158" s="250"/>
      <c r="FEF158" s="250"/>
      <c r="FEG158" s="250"/>
      <c r="FEH158" s="250"/>
      <c r="FEI158" s="250"/>
      <c r="FEJ158" s="250"/>
      <c r="FEK158" s="250"/>
      <c r="FEL158" s="250"/>
      <c r="FEM158" s="250"/>
      <c r="FEN158" s="250"/>
      <c r="FEO158" s="250"/>
      <c r="FEP158" s="250"/>
      <c r="FEQ158" s="250"/>
      <c r="FER158" s="250"/>
      <c r="FES158" s="250"/>
      <c r="FET158" s="250"/>
      <c r="FEU158" s="250"/>
      <c r="FEV158" s="250"/>
      <c r="FEW158" s="250"/>
      <c r="FEX158" s="250"/>
      <c r="FEY158" s="250"/>
      <c r="FEZ158" s="250"/>
      <c r="FFA158" s="250"/>
      <c r="FFB158" s="250"/>
      <c r="FFC158" s="250"/>
      <c r="FFD158" s="250"/>
      <c r="FFE158" s="250"/>
      <c r="FFF158" s="250"/>
      <c r="FFG158" s="250"/>
      <c r="FFH158" s="250"/>
      <c r="FFI158" s="250"/>
      <c r="FFJ158" s="250"/>
      <c r="FFK158" s="250"/>
      <c r="FFL158" s="250"/>
      <c r="FFM158" s="250"/>
      <c r="FFN158" s="250"/>
      <c r="FFO158" s="250"/>
      <c r="FFP158" s="250"/>
      <c r="FFQ158" s="250"/>
      <c r="FFR158" s="250"/>
      <c r="FFS158" s="250"/>
      <c r="FFT158" s="250"/>
      <c r="FFU158" s="250"/>
      <c r="FFV158" s="250"/>
      <c r="FFW158" s="250"/>
      <c r="FFX158" s="250"/>
      <c r="FFY158" s="250"/>
      <c r="FFZ158" s="250"/>
      <c r="FGA158" s="250"/>
      <c r="FGB158" s="250"/>
      <c r="FGC158" s="250"/>
      <c r="FGD158" s="250"/>
      <c r="FGE158" s="250"/>
      <c r="FGF158" s="250"/>
      <c r="FGG158" s="250"/>
      <c r="FGH158" s="250"/>
      <c r="FGI158" s="250"/>
      <c r="FGJ158" s="250"/>
      <c r="FGK158" s="250"/>
      <c r="FGL158" s="250"/>
      <c r="FGM158" s="250"/>
      <c r="FGN158" s="250"/>
      <c r="FGO158" s="250"/>
      <c r="FGP158" s="250"/>
      <c r="FGQ158" s="250"/>
      <c r="FGR158" s="250"/>
      <c r="FGS158" s="250"/>
      <c r="FGT158" s="250"/>
      <c r="FGU158" s="250"/>
      <c r="FGV158" s="250"/>
      <c r="FGW158" s="250"/>
      <c r="FGX158" s="250"/>
      <c r="FGY158" s="250"/>
      <c r="FGZ158" s="250"/>
      <c r="FHA158" s="250"/>
      <c r="FHB158" s="250"/>
      <c r="FHC158" s="250"/>
      <c r="FHD158" s="250"/>
      <c r="FHE158" s="250"/>
      <c r="FHF158" s="250"/>
      <c r="FHG158" s="250"/>
      <c r="FHH158" s="250"/>
      <c r="FHI158" s="250"/>
      <c r="FHJ158" s="250"/>
      <c r="FHK158" s="250"/>
      <c r="FHL158" s="250"/>
      <c r="FHM158" s="250"/>
      <c r="FHN158" s="250"/>
      <c r="FHO158" s="250"/>
      <c r="FHP158" s="250"/>
      <c r="FHQ158" s="250"/>
      <c r="FHR158" s="250"/>
      <c r="FHS158" s="250"/>
      <c r="FHT158" s="250"/>
      <c r="FHU158" s="250"/>
      <c r="FHV158" s="250"/>
      <c r="FHW158" s="250"/>
      <c r="FHX158" s="250"/>
      <c r="FHY158" s="250"/>
      <c r="FHZ158" s="250"/>
      <c r="FIA158" s="250"/>
      <c r="FIB158" s="250"/>
      <c r="FIC158" s="250"/>
      <c r="FID158" s="250"/>
      <c r="FIE158" s="250"/>
      <c r="FIF158" s="250"/>
      <c r="FIG158" s="250"/>
      <c r="FIH158" s="250"/>
      <c r="FII158" s="250"/>
      <c r="FIJ158" s="250"/>
      <c r="FIK158" s="250"/>
      <c r="FIL158" s="250"/>
      <c r="FIM158" s="250"/>
      <c r="FIN158" s="250"/>
      <c r="FIO158" s="250"/>
      <c r="FIP158" s="250"/>
      <c r="FIQ158" s="250"/>
      <c r="FIR158" s="250"/>
      <c r="FIS158" s="250"/>
      <c r="FIT158" s="250"/>
      <c r="FIU158" s="250"/>
      <c r="FIV158" s="250"/>
      <c r="FIW158" s="250"/>
      <c r="FIX158" s="250"/>
      <c r="FIY158" s="250"/>
      <c r="FIZ158" s="250"/>
      <c r="FJA158" s="250"/>
      <c r="FJB158" s="250"/>
      <c r="FJC158" s="250"/>
      <c r="FJD158" s="250"/>
      <c r="FJE158" s="250"/>
      <c r="FJF158" s="250"/>
      <c r="FJG158" s="250"/>
      <c r="FJH158" s="250"/>
      <c r="FJI158" s="250"/>
      <c r="FJJ158" s="250"/>
      <c r="FJK158" s="250"/>
      <c r="FJL158" s="250"/>
      <c r="FJM158" s="250"/>
      <c r="FJN158" s="250"/>
      <c r="FJO158" s="250"/>
      <c r="FJP158" s="250"/>
      <c r="FJQ158" s="250"/>
      <c r="FJR158" s="250"/>
      <c r="FJS158" s="250"/>
      <c r="FJT158" s="250"/>
      <c r="FJU158" s="250"/>
      <c r="FJV158" s="250"/>
      <c r="FJW158" s="250"/>
      <c r="FJX158" s="250"/>
      <c r="FJY158" s="250"/>
      <c r="FJZ158" s="250"/>
      <c r="FKA158" s="250"/>
      <c r="FKB158" s="250"/>
      <c r="FKC158" s="250"/>
      <c r="FKD158" s="250"/>
      <c r="FKE158" s="250"/>
      <c r="FKF158" s="250"/>
      <c r="FKG158" s="250"/>
      <c r="FKH158" s="250"/>
      <c r="FKI158" s="250"/>
      <c r="FKJ158" s="250"/>
      <c r="FKK158" s="250"/>
      <c r="FKL158" s="250"/>
      <c r="FKM158" s="250"/>
      <c r="FKN158" s="250"/>
      <c r="FKO158" s="250"/>
      <c r="FKP158" s="250"/>
      <c r="FKQ158" s="250"/>
      <c r="FKR158" s="250"/>
      <c r="FKS158" s="250"/>
      <c r="FKT158" s="250"/>
      <c r="FKU158" s="250"/>
      <c r="FKV158" s="250"/>
      <c r="FKW158" s="250"/>
      <c r="FKX158" s="250"/>
      <c r="FKY158" s="250"/>
      <c r="FKZ158" s="250"/>
      <c r="FLA158" s="250"/>
      <c r="FLB158" s="250"/>
      <c r="FLC158" s="250"/>
      <c r="FLD158" s="250"/>
      <c r="FLE158" s="250"/>
      <c r="FLF158" s="250"/>
      <c r="FLG158" s="250"/>
      <c r="FLH158" s="250"/>
      <c r="FLI158" s="250"/>
      <c r="FLJ158" s="250"/>
      <c r="FLK158" s="250"/>
      <c r="FLL158" s="250"/>
      <c r="FLM158" s="250"/>
      <c r="FLN158" s="250"/>
      <c r="FLO158" s="250"/>
      <c r="FLP158" s="250"/>
      <c r="FLQ158" s="250"/>
      <c r="FLR158" s="250"/>
      <c r="FLS158" s="250"/>
      <c r="FLT158" s="250"/>
      <c r="FLU158" s="250"/>
      <c r="FLV158" s="250"/>
      <c r="FLW158" s="250"/>
      <c r="FLX158" s="250"/>
      <c r="FLY158" s="250"/>
      <c r="FLZ158" s="250"/>
      <c r="FMA158" s="250"/>
      <c r="FMB158" s="250"/>
      <c r="FMC158" s="250"/>
      <c r="FMD158" s="250"/>
      <c r="FME158" s="250"/>
      <c r="FMF158" s="250"/>
      <c r="FMG158" s="250"/>
      <c r="FMH158" s="250"/>
      <c r="FMI158" s="250"/>
      <c r="FMJ158" s="250"/>
      <c r="FMK158" s="250"/>
      <c r="FML158" s="250"/>
      <c r="FMM158" s="250"/>
      <c r="FMN158" s="250"/>
      <c r="FMO158" s="250"/>
      <c r="FMP158" s="250"/>
      <c r="FMQ158" s="250"/>
      <c r="FMR158" s="250"/>
      <c r="FMS158" s="250"/>
      <c r="FMT158" s="250"/>
      <c r="FMU158" s="250"/>
      <c r="FMV158" s="250"/>
      <c r="FMW158" s="250"/>
      <c r="FMX158" s="250"/>
      <c r="FMY158" s="250"/>
      <c r="FMZ158" s="250"/>
      <c r="FNA158" s="250"/>
      <c r="FNB158" s="250"/>
      <c r="FNC158" s="250"/>
      <c r="FND158" s="250"/>
      <c r="FNE158" s="250"/>
      <c r="FNF158" s="250"/>
      <c r="FNG158" s="250"/>
      <c r="FNH158" s="250"/>
      <c r="FNI158" s="250"/>
      <c r="FNJ158" s="250"/>
      <c r="FNK158" s="250"/>
      <c r="FNL158" s="250"/>
      <c r="FNM158" s="250"/>
      <c r="FNN158" s="250"/>
      <c r="FNO158" s="250"/>
      <c r="FNP158" s="250"/>
      <c r="FNQ158" s="250"/>
      <c r="FNR158" s="250"/>
      <c r="FNS158" s="250"/>
      <c r="FNT158" s="250"/>
      <c r="FNU158" s="250"/>
      <c r="FNV158" s="250"/>
      <c r="FNW158" s="250"/>
      <c r="FNX158" s="250"/>
      <c r="FNY158" s="250"/>
      <c r="FNZ158" s="250"/>
      <c r="FOA158" s="250"/>
      <c r="FOB158" s="250"/>
      <c r="FOC158" s="250"/>
      <c r="FOD158" s="250"/>
      <c r="FOE158" s="250"/>
      <c r="FOF158" s="250"/>
      <c r="FOG158" s="250"/>
      <c r="FOH158" s="250"/>
      <c r="FOI158" s="250"/>
      <c r="FOJ158" s="250"/>
      <c r="FOK158" s="250"/>
      <c r="FOL158" s="250"/>
      <c r="FOM158" s="250"/>
      <c r="FON158" s="250"/>
      <c r="FOO158" s="250"/>
      <c r="FOP158" s="250"/>
      <c r="FOQ158" s="250"/>
      <c r="FOR158" s="250"/>
      <c r="FOS158" s="250"/>
      <c r="FOT158" s="250"/>
      <c r="FOU158" s="250"/>
      <c r="FOV158" s="250"/>
      <c r="FOW158" s="250"/>
      <c r="FOX158" s="250"/>
      <c r="FOY158" s="250"/>
      <c r="FOZ158" s="250"/>
      <c r="FPA158" s="250"/>
      <c r="FPB158" s="250"/>
      <c r="FPC158" s="250"/>
      <c r="FPD158" s="250"/>
      <c r="FPE158" s="250"/>
      <c r="FPF158" s="250"/>
      <c r="FPG158" s="250"/>
      <c r="FPH158" s="250"/>
      <c r="FPI158" s="250"/>
      <c r="FPJ158" s="250"/>
      <c r="FPK158" s="250"/>
      <c r="FPL158" s="250"/>
      <c r="FPM158" s="250"/>
      <c r="FPN158" s="250"/>
      <c r="FPO158" s="250"/>
      <c r="FPP158" s="250"/>
      <c r="FPQ158" s="250"/>
      <c r="FPR158" s="250"/>
      <c r="FPS158" s="250"/>
      <c r="FPT158" s="250"/>
      <c r="FPU158" s="250"/>
      <c r="FPV158" s="250"/>
      <c r="FPW158" s="250"/>
      <c r="FPX158" s="250"/>
      <c r="FPY158" s="250"/>
      <c r="FPZ158" s="250"/>
      <c r="FQA158" s="250"/>
      <c r="FQB158" s="250"/>
      <c r="FQC158" s="250"/>
      <c r="FQD158" s="250"/>
      <c r="FQE158" s="250"/>
      <c r="FQF158" s="250"/>
      <c r="FQG158" s="250"/>
      <c r="FQH158" s="250"/>
      <c r="FQI158" s="250"/>
      <c r="FQJ158" s="250"/>
      <c r="FQK158" s="250"/>
      <c r="FQL158" s="250"/>
      <c r="FQM158" s="250"/>
      <c r="FQN158" s="250"/>
      <c r="FQO158" s="250"/>
      <c r="FQP158" s="250"/>
      <c r="FQQ158" s="250"/>
      <c r="FQR158" s="250"/>
      <c r="FQS158" s="250"/>
      <c r="FQT158" s="250"/>
      <c r="FQU158" s="250"/>
      <c r="FQV158" s="250"/>
      <c r="FQW158" s="250"/>
      <c r="FQX158" s="250"/>
      <c r="FQY158" s="250"/>
      <c r="FQZ158" s="250"/>
      <c r="FRA158" s="250"/>
      <c r="FRB158" s="250"/>
      <c r="FRC158" s="250"/>
      <c r="FRD158" s="250"/>
      <c r="FRE158" s="250"/>
      <c r="FRF158" s="250"/>
      <c r="FRG158" s="250"/>
      <c r="FRH158" s="250"/>
      <c r="FRI158" s="250"/>
      <c r="FRJ158" s="250"/>
      <c r="FRK158" s="250"/>
      <c r="FRL158" s="250"/>
      <c r="FRM158" s="250"/>
      <c r="FRN158" s="250"/>
      <c r="FRO158" s="250"/>
      <c r="FRP158" s="250"/>
      <c r="FRQ158" s="250"/>
      <c r="FRR158" s="250"/>
      <c r="FRS158" s="250"/>
      <c r="FRT158" s="250"/>
      <c r="FRU158" s="250"/>
      <c r="FRV158" s="250"/>
      <c r="FRW158" s="250"/>
      <c r="FRX158" s="250"/>
      <c r="FRY158" s="250"/>
      <c r="FRZ158" s="250"/>
      <c r="FSA158" s="250"/>
      <c r="FSB158" s="250"/>
      <c r="FSC158" s="250"/>
      <c r="FSD158" s="250"/>
      <c r="FSE158" s="250"/>
      <c r="FSF158" s="250"/>
      <c r="FSG158" s="250"/>
      <c r="FSH158" s="250"/>
      <c r="FSI158" s="250"/>
      <c r="FSJ158" s="250"/>
      <c r="FSK158" s="250"/>
      <c r="FSL158" s="250"/>
      <c r="FSM158" s="250"/>
      <c r="FSN158" s="250"/>
      <c r="FSO158" s="250"/>
      <c r="FSP158" s="250"/>
      <c r="FSQ158" s="250"/>
      <c r="FSR158" s="250"/>
      <c r="FSS158" s="250"/>
      <c r="FST158" s="250"/>
      <c r="FSU158" s="250"/>
      <c r="FSV158" s="250"/>
      <c r="FSW158" s="250"/>
      <c r="FSX158" s="250"/>
      <c r="FSY158" s="250"/>
      <c r="FSZ158" s="250"/>
      <c r="FTA158" s="250"/>
      <c r="FTB158" s="250"/>
      <c r="FTC158" s="250"/>
      <c r="FTD158" s="250"/>
      <c r="FTE158" s="250"/>
      <c r="FTF158" s="250"/>
      <c r="FTG158" s="250"/>
      <c r="FTH158" s="250"/>
      <c r="FTI158" s="250"/>
      <c r="FTJ158" s="250"/>
      <c r="FTK158" s="250"/>
      <c r="FTL158" s="250"/>
      <c r="FTM158" s="250"/>
      <c r="FTN158" s="250"/>
      <c r="FTO158" s="250"/>
      <c r="FTP158" s="250"/>
      <c r="FTQ158" s="250"/>
      <c r="FTR158" s="250"/>
      <c r="FTS158" s="250"/>
      <c r="FTT158" s="250"/>
      <c r="FTU158" s="250"/>
      <c r="FTV158" s="250"/>
      <c r="FTW158" s="250"/>
      <c r="FTX158" s="250"/>
      <c r="FTY158" s="250"/>
      <c r="FTZ158" s="250"/>
      <c r="FUA158" s="250"/>
      <c r="FUB158" s="250"/>
      <c r="FUC158" s="250"/>
      <c r="FUD158" s="250"/>
      <c r="FUE158" s="250"/>
      <c r="FUF158" s="250"/>
      <c r="FUG158" s="250"/>
      <c r="FUH158" s="250"/>
      <c r="FUI158" s="250"/>
      <c r="FUJ158" s="250"/>
      <c r="FUK158" s="250"/>
      <c r="FUL158" s="250"/>
      <c r="FUM158" s="250"/>
      <c r="FUN158" s="250"/>
      <c r="FUO158" s="250"/>
      <c r="FUP158" s="250"/>
      <c r="FUQ158" s="250"/>
      <c r="FUR158" s="250"/>
      <c r="FUS158" s="250"/>
      <c r="FUT158" s="250"/>
      <c r="FUU158" s="250"/>
      <c r="FUV158" s="250"/>
      <c r="FUW158" s="250"/>
      <c r="FUX158" s="250"/>
      <c r="FUY158" s="250"/>
      <c r="FUZ158" s="250"/>
      <c r="FVA158" s="250"/>
      <c r="FVB158" s="250"/>
      <c r="FVC158" s="250"/>
      <c r="FVD158" s="250"/>
      <c r="FVE158" s="250"/>
      <c r="FVF158" s="250"/>
      <c r="FVG158" s="250"/>
      <c r="FVH158" s="250"/>
      <c r="FVI158" s="250"/>
      <c r="FVJ158" s="250"/>
      <c r="FVK158" s="250"/>
      <c r="FVL158" s="250"/>
      <c r="FVM158" s="250"/>
      <c r="FVN158" s="250"/>
      <c r="FVO158" s="250"/>
      <c r="FVP158" s="250"/>
      <c r="FVQ158" s="250"/>
      <c r="FVR158" s="250"/>
      <c r="FVS158" s="250"/>
      <c r="FVT158" s="250"/>
      <c r="FVU158" s="250"/>
      <c r="FVV158" s="250"/>
      <c r="FVW158" s="250"/>
      <c r="FVX158" s="250"/>
      <c r="FVY158" s="250"/>
      <c r="FVZ158" s="250"/>
      <c r="FWA158" s="250"/>
      <c r="FWB158" s="250"/>
      <c r="FWC158" s="250"/>
      <c r="FWD158" s="250"/>
      <c r="FWE158" s="250"/>
      <c r="FWF158" s="250"/>
      <c r="FWG158" s="250"/>
      <c r="FWH158" s="250"/>
      <c r="FWI158" s="250"/>
      <c r="FWJ158" s="250"/>
      <c r="FWK158" s="250"/>
      <c r="FWL158" s="250"/>
      <c r="FWM158" s="250"/>
      <c r="FWN158" s="250"/>
      <c r="FWO158" s="250"/>
      <c r="FWP158" s="250"/>
      <c r="FWQ158" s="250"/>
      <c r="FWR158" s="250"/>
      <c r="FWS158" s="250"/>
      <c r="FWT158" s="250"/>
      <c r="FWU158" s="250"/>
      <c r="FWV158" s="250"/>
      <c r="FWW158" s="250"/>
      <c r="FWX158" s="250"/>
      <c r="FWY158" s="250"/>
      <c r="FWZ158" s="250"/>
      <c r="FXA158" s="250"/>
      <c r="FXB158" s="250"/>
      <c r="FXC158" s="250"/>
      <c r="FXD158" s="250"/>
      <c r="FXE158" s="250"/>
      <c r="FXF158" s="250"/>
      <c r="FXG158" s="250"/>
      <c r="FXH158" s="250"/>
      <c r="FXI158" s="250"/>
      <c r="FXJ158" s="250"/>
      <c r="FXK158" s="250"/>
      <c r="FXL158" s="250"/>
      <c r="FXM158" s="250"/>
      <c r="FXN158" s="250"/>
      <c r="FXO158" s="250"/>
      <c r="FXP158" s="250"/>
      <c r="FXQ158" s="250"/>
      <c r="FXR158" s="250"/>
      <c r="FXS158" s="250"/>
      <c r="FXT158" s="250"/>
      <c r="FXU158" s="250"/>
      <c r="FXV158" s="250"/>
      <c r="FXW158" s="250"/>
      <c r="FXX158" s="250"/>
      <c r="FXY158" s="250"/>
      <c r="FXZ158" s="250"/>
      <c r="FYA158" s="250"/>
      <c r="FYB158" s="250"/>
      <c r="FYC158" s="250"/>
      <c r="FYD158" s="250"/>
      <c r="FYE158" s="250"/>
      <c r="FYF158" s="250"/>
      <c r="FYG158" s="250"/>
      <c r="FYH158" s="250"/>
      <c r="FYI158" s="250"/>
      <c r="FYJ158" s="250"/>
      <c r="FYK158" s="250"/>
      <c r="FYL158" s="250"/>
      <c r="FYM158" s="250"/>
      <c r="FYN158" s="250"/>
      <c r="FYO158" s="250"/>
      <c r="FYP158" s="250"/>
      <c r="FYQ158" s="250"/>
      <c r="FYR158" s="250"/>
      <c r="FYS158" s="250"/>
      <c r="FYT158" s="250"/>
      <c r="FYU158" s="250"/>
      <c r="FYV158" s="250"/>
      <c r="FYW158" s="250"/>
      <c r="FYX158" s="250"/>
      <c r="FYY158" s="250"/>
      <c r="FYZ158" s="250"/>
      <c r="FZA158" s="250"/>
      <c r="FZB158" s="250"/>
      <c r="FZC158" s="250"/>
      <c r="FZD158" s="250"/>
      <c r="FZE158" s="250"/>
      <c r="FZF158" s="250"/>
      <c r="FZG158" s="250"/>
      <c r="FZH158" s="250"/>
      <c r="FZI158" s="250"/>
      <c r="FZJ158" s="250"/>
      <c r="FZK158" s="250"/>
      <c r="FZL158" s="250"/>
      <c r="FZM158" s="250"/>
      <c r="FZN158" s="250"/>
      <c r="FZO158" s="250"/>
      <c r="FZP158" s="250"/>
      <c r="FZQ158" s="250"/>
      <c r="FZR158" s="250"/>
      <c r="FZS158" s="250"/>
      <c r="FZT158" s="250"/>
      <c r="FZU158" s="250"/>
      <c r="FZV158" s="250"/>
      <c r="FZW158" s="250"/>
      <c r="FZX158" s="250"/>
      <c r="FZY158" s="250"/>
      <c r="FZZ158" s="250"/>
      <c r="GAA158" s="250"/>
      <c r="GAB158" s="250"/>
      <c r="GAC158" s="250"/>
      <c r="GAD158" s="250"/>
      <c r="GAE158" s="250"/>
      <c r="GAF158" s="250"/>
      <c r="GAG158" s="250"/>
      <c r="GAH158" s="250"/>
      <c r="GAI158" s="250"/>
      <c r="GAJ158" s="250"/>
      <c r="GAK158" s="250"/>
      <c r="GAL158" s="250"/>
      <c r="GAM158" s="250"/>
      <c r="GAN158" s="250"/>
      <c r="GAO158" s="250"/>
      <c r="GAP158" s="250"/>
      <c r="GAQ158" s="250"/>
      <c r="GAR158" s="250"/>
      <c r="GAS158" s="250"/>
      <c r="GAT158" s="250"/>
      <c r="GAU158" s="250"/>
      <c r="GAV158" s="250"/>
      <c r="GAW158" s="250"/>
      <c r="GAX158" s="250"/>
      <c r="GAY158" s="250"/>
      <c r="GAZ158" s="250"/>
      <c r="GBA158" s="250"/>
      <c r="GBB158" s="250"/>
      <c r="GBC158" s="250"/>
      <c r="GBD158" s="250"/>
      <c r="GBE158" s="250"/>
      <c r="GBF158" s="250"/>
      <c r="GBG158" s="250"/>
      <c r="GBH158" s="250"/>
      <c r="GBI158" s="250"/>
      <c r="GBJ158" s="250"/>
      <c r="GBK158" s="250"/>
      <c r="GBL158" s="250"/>
      <c r="GBM158" s="250"/>
      <c r="GBN158" s="250"/>
      <c r="GBO158" s="250"/>
      <c r="GBP158" s="250"/>
      <c r="GBQ158" s="250"/>
      <c r="GBR158" s="250"/>
      <c r="GBS158" s="250"/>
      <c r="GBT158" s="250"/>
      <c r="GBU158" s="250"/>
      <c r="GBV158" s="250"/>
      <c r="GBW158" s="250"/>
      <c r="GBX158" s="250"/>
      <c r="GBY158" s="250"/>
      <c r="GBZ158" s="250"/>
      <c r="GCA158" s="250"/>
      <c r="GCB158" s="250"/>
      <c r="GCC158" s="250"/>
      <c r="GCD158" s="250"/>
      <c r="GCE158" s="250"/>
      <c r="GCF158" s="250"/>
      <c r="GCG158" s="250"/>
      <c r="GCH158" s="250"/>
      <c r="GCI158" s="250"/>
      <c r="GCJ158" s="250"/>
      <c r="GCK158" s="250"/>
      <c r="GCL158" s="250"/>
      <c r="GCM158" s="250"/>
      <c r="GCN158" s="250"/>
      <c r="GCO158" s="250"/>
      <c r="GCP158" s="250"/>
      <c r="GCQ158" s="250"/>
      <c r="GCR158" s="250"/>
      <c r="GCS158" s="250"/>
      <c r="GCT158" s="250"/>
      <c r="GCU158" s="250"/>
      <c r="GCV158" s="250"/>
      <c r="GCW158" s="250"/>
      <c r="GCX158" s="250"/>
      <c r="GCY158" s="250"/>
      <c r="GCZ158" s="250"/>
      <c r="GDA158" s="250"/>
      <c r="GDB158" s="250"/>
      <c r="GDC158" s="250"/>
      <c r="GDD158" s="250"/>
      <c r="GDE158" s="250"/>
      <c r="GDF158" s="250"/>
      <c r="GDG158" s="250"/>
      <c r="GDH158" s="250"/>
      <c r="GDI158" s="250"/>
      <c r="GDJ158" s="250"/>
      <c r="GDK158" s="250"/>
      <c r="GDL158" s="250"/>
      <c r="GDM158" s="250"/>
      <c r="GDN158" s="250"/>
      <c r="GDO158" s="250"/>
      <c r="GDP158" s="250"/>
      <c r="GDQ158" s="250"/>
      <c r="GDR158" s="250"/>
      <c r="GDS158" s="250"/>
      <c r="GDT158" s="250"/>
      <c r="GDU158" s="250"/>
      <c r="GDV158" s="250"/>
      <c r="GDW158" s="250"/>
      <c r="GDX158" s="250"/>
      <c r="GDY158" s="250"/>
      <c r="GDZ158" s="250"/>
      <c r="GEA158" s="250"/>
      <c r="GEB158" s="250"/>
      <c r="GEC158" s="250"/>
      <c r="GED158" s="250"/>
      <c r="GEE158" s="250"/>
      <c r="GEF158" s="250"/>
      <c r="GEG158" s="250"/>
      <c r="GEH158" s="250"/>
      <c r="GEI158" s="250"/>
      <c r="GEJ158" s="250"/>
      <c r="GEK158" s="250"/>
      <c r="GEL158" s="250"/>
      <c r="GEM158" s="250"/>
      <c r="GEN158" s="250"/>
      <c r="GEO158" s="250"/>
      <c r="GEP158" s="250"/>
      <c r="GEQ158" s="250"/>
      <c r="GER158" s="250"/>
      <c r="GES158" s="250"/>
      <c r="GET158" s="250"/>
      <c r="GEU158" s="250"/>
      <c r="GEV158" s="250"/>
      <c r="GEW158" s="250"/>
      <c r="GEX158" s="250"/>
      <c r="GEY158" s="250"/>
      <c r="GEZ158" s="250"/>
      <c r="GFA158" s="250"/>
      <c r="GFB158" s="250"/>
      <c r="GFC158" s="250"/>
      <c r="GFD158" s="250"/>
      <c r="GFE158" s="250"/>
      <c r="GFF158" s="250"/>
      <c r="GFG158" s="250"/>
      <c r="GFH158" s="250"/>
      <c r="GFI158" s="250"/>
      <c r="GFJ158" s="250"/>
      <c r="GFK158" s="250"/>
      <c r="GFL158" s="250"/>
      <c r="GFM158" s="250"/>
      <c r="GFN158" s="250"/>
      <c r="GFO158" s="250"/>
      <c r="GFP158" s="250"/>
      <c r="GFQ158" s="250"/>
      <c r="GFR158" s="250"/>
      <c r="GFS158" s="250"/>
      <c r="GFT158" s="250"/>
      <c r="GFU158" s="250"/>
      <c r="GFV158" s="250"/>
      <c r="GFW158" s="250"/>
      <c r="GFX158" s="250"/>
      <c r="GFY158" s="250"/>
      <c r="GFZ158" s="250"/>
      <c r="GGA158" s="250"/>
      <c r="GGB158" s="250"/>
      <c r="GGC158" s="250"/>
      <c r="GGD158" s="250"/>
      <c r="GGE158" s="250"/>
      <c r="GGF158" s="250"/>
      <c r="GGG158" s="250"/>
      <c r="GGH158" s="250"/>
      <c r="GGI158" s="250"/>
      <c r="GGJ158" s="250"/>
      <c r="GGK158" s="250"/>
      <c r="GGL158" s="250"/>
      <c r="GGM158" s="250"/>
      <c r="GGN158" s="250"/>
      <c r="GGO158" s="250"/>
      <c r="GGP158" s="250"/>
      <c r="GGQ158" s="250"/>
      <c r="GGR158" s="250"/>
      <c r="GGS158" s="250"/>
      <c r="GGT158" s="250"/>
      <c r="GGU158" s="250"/>
      <c r="GGV158" s="250"/>
      <c r="GGW158" s="250"/>
      <c r="GGX158" s="250"/>
      <c r="GGY158" s="250"/>
      <c r="GGZ158" s="250"/>
      <c r="GHA158" s="250"/>
      <c r="GHB158" s="250"/>
      <c r="GHC158" s="250"/>
      <c r="GHD158" s="250"/>
      <c r="GHE158" s="250"/>
      <c r="GHF158" s="250"/>
      <c r="GHG158" s="250"/>
      <c r="GHH158" s="250"/>
      <c r="GHI158" s="250"/>
      <c r="GHJ158" s="250"/>
      <c r="GHK158" s="250"/>
      <c r="GHL158" s="250"/>
      <c r="GHM158" s="250"/>
      <c r="GHN158" s="250"/>
      <c r="GHO158" s="250"/>
      <c r="GHP158" s="250"/>
      <c r="GHQ158" s="250"/>
      <c r="GHR158" s="250"/>
      <c r="GHS158" s="250"/>
      <c r="GHT158" s="250"/>
      <c r="GHU158" s="250"/>
      <c r="GHV158" s="250"/>
      <c r="GHW158" s="250"/>
      <c r="GHX158" s="250"/>
      <c r="GHY158" s="250"/>
      <c r="GHZ158" s="250"/>
      <c r="GIA158" s="250"/>
      <c r="GIB158" s="250"/>
      <c r="GIC158" s="250"/>
      <c r="GID158" s="250"/>
      <c r="GIE158" s="250"/>
      <c r="GIF158" s="250"/>
      <c r="GIG158" s="250"/>
      <c r="GIH158" s="250"/>
      <c r="GII158" s="250"/>
      <c r="GIJ158" s="250"/>
      <c r="GIK158" s="250"/>
      <c r="GIL158" s="250"/>
      <c r="GIM158" s="250"/>
      <c r="GIN158" s="250"/>
      <c r="GIO158" s="250"/>
      <c r="GIP158" s="250"/>
      <c r="GIQ158" s="250"/>
      <c r="GIR158" s="250"/>
      <c r="GIS158" s="250"/>
      <c r="GIT158" s="250"/>
      <c r="GIU158" s="250"/>
      <c r="GIV158" s="250"/>
      <c r="GIW158" s="250"/>
      <c r="GIX158" s="250"/>
      <c r="GIY158" s="250"/>
      <c r="GIZ158" s="250"/>
      <c r="GJA158" s="250"/>
      <c r="GJB158" s="250"/>
      <c r="GJC158" s="250"/>
      <c r="GJD158" s="250"/>
      <c r="GJE158" s="250"/>
      <c r="GJF158" s="250"/>
      <c r="GJG158" s="250"/>
      <c r="GJH158" s="250"/>
      <c r="GJI158" s="250"/>
      <c r="GJJ158" s="250"/>
      <c r="GJK158" s="250"/>
      <c r="GJL158" s="250"/>
      <c r="GJM158" s="250"/>
      <c r="GJN158" s="250"/>
      <c r="GJO158" s="250"/>
      <c r="GJP158" s="250"/>
      <c r="GJQ158" s="250"/>
      <c r="GJR158" s="250"/>
      <c r="GJS158" s="250"/>
      <c r="GJT158" s="250"/>
      <c r="GJU158" s="250"/>
      <c r="GJV158" s="250"/>
      <c r="GJW158" s="250"/>
      <c r="GJX158" s="250"/>
      <c r="GJY158" s="250"/>
      <c r="GJZ158" s="250"/>
      <c r="GKA158" s="250"/>
      <c r="GKB158" s="250"/>
      <c r="GKC158" s="250"/>
      <c r="GKD158" s="250"/>
      <c r="GKE158" s="250"/>
      <c r="GKF158" s="250"/>
      <c r="GKG158" s="250"/>
      <c r="GKH158" s="250"/>
      <c r="GKI158" s="250"/>
      <c r="GKJ158" s="250"/>
      <c r="GKK158" s="250"/>
      <c r="GKL158" s="250"/>
      <c r="GKM158" s="250"/>
      <c r="GKN158" s="250"/>
      <c r="GKO158" s="250"/>
      <c r="GKP158" s="250"/>
      <c r="GKQ158" s="250"/>
      <c r="GKR158" s="250"/>
      <c r="GKS158" s="250"/>
      <c r="GKT158" s="250"/>
      <c r="GKU158" s="250"/>
      <c r="GKV158" s="250"/>
      <c r="GKW158" s="250"/>
      <c r="GKX158" s="250"/>
      <c r="GKY158" s="250"/>
      <c r="GKZ158" s="250"/>
      <c r="GLA158" s="250"/>
      <c r="GLB158" s="250"/>
      <c r="GLC158" s="250"/>
      <c r="GLD158" s="250"/>
      <c r="GLE158" s="250"/>
      <c r="GLF158" s="250"/>
      <c r="GLG158" s="250"/>
      <c r="GLH158" s="250"/>
      <c r="GLI158" s="250"/>
      <c r="GLJ158" s="250"/>
      <c r="GLK158" s="250"/>
      <c r="GLL158" s="250"/>
      <c r="GLM158" s="250"/>
      <c r="GLN158" s="250"/>
      <c r="GLO158" s="250"/>
      <c r="GLP158" s="250"/>
      <c r="GLQ158" s="250"/>
      <c r="GLR158" s="250"/>
      <c r="GLS158" s="250"/>
      <c r="GLT158" s="250"/>
      <c r="GLU158" s="250"/>
      <c r="GLV158" s="250"/>
      <c r="GLW158" s="250"/>
      <c r="GLX158" s="250"/>
      <c r="GLY158" s="250"/>
      <c r="GLZ158" s="250"/>
      <c r="GMA158" s="250"/>
      <c r="GMB158" s="250"/>
      <c r="GMC158" s="250"/>
      <c r="GMD158" s="250"/>
      <c r="GME158" s="250"/>
      <c r="GMF158" s="250"/>
      <c r="GMG158" s="250"/>
      <c r="GMH158" s="250"/>
      <c r="GMI158" s="250"/>
      <c r="GMJ158" s="250"/>
      <c r="GMK158" s="250"/>
      <c r="GML158" s="250"/>
      <c r="GMM158" s="250"/>
      <c r="GMN158" s="250"/>
      <c r="GMO158" s="250"/>
      <c r="GMP158" s="250"/>
      <c r="GMQ158" s="250"/>
      <c r="GMR158" s="250"/>
      <c r="GMS158" s="250"/>
      <c r="GMT158" s="250"/>
      <c r="GMU158" s="250"/>
      <c r="GMV158" s="250"/>
      <c r="GMW158" s="250"/>
      <c r="GMX158" s="250"/>
      <c r="GMY158" s="250"/>
      <c r="GMZ158" s="250"/>
      <c r="GNA158" s="250"/>
      <c r="GNB158" s="250"/>
      <c r="GNC158" s="250"/>
      <c r="GND158" s="250"/>
      <c r="GNE158" s="250"/>
      <c r="GNF158" s="250"/>
      <c r="GNG158" s="250"/>
      <c r="GNH158" s="250"/>
      <c r="GNI158" s="250"/>
      <c r="GNJ158" s="250"/>
      <c r="GNK158" s="250"/>
      <c r="GNL158" s="250"/>
      <c r="GNM158" s="250"/>
      <c r="GNN158" s="250"/>
      <c r="GNO158" s="250"/>
      <c r="GNP158" s="250"/>
      <c r="GNQ158" s="250"/>
      <c r="GNR158" s="250"/>
      <c r="GNS158" s="250"/>
      <c r="GNT158" s="250"/>
      <c r="GNU158" s="250"/>
      <c r="GNV158" s="250"/>
      <c r="GNW158" s="250"/>
      <c r="GNX158" s="250"/>
      <c r="GNY158" s="250"/>
      <c r="GNZ158" s="250"/>
      <c r="GOA158" s="250"/>
      <c r="GOB158" s="250"/>
      <c r="GOC158" s="250"/>
      <c r="GOD158" s="250"/>
      <c r="GOE158" s="250"/>
      <c r="GOF158" s="250"/>
      <c r="GOG158" s="250"/>
      <c r="GOH158" s="250"/>
      <c r="GOI158" s="250"/>
      <c r="GOJ158" s="250"/>
      <c r="GOK158" s="250"/>
      <c r="GOL158" s="250"/>
      <c r="GOM158" s="250"/>
      <c r="GON158" s="250"/>
      <c r="GOO158" s="250"/>
      <c r="GOP158" s="250"/>
      <c r="GOQ158" s="250"/>
      <c r="GOR158" s="250"/>
      <c r="GOS158" s="250"/>
      <c r="GOT158" s="250"/>
      <c r="GOU158" s="250"/>
      <c r="GOV158" s="250"/>
      <c r="GOW158" s="250"/>
      <c r="GOX158" s="250"/>
      <c r="GOY158" s="250"/>
      <c r="GOZ158" s="250"/>
      <c r="GPA158" s="250"/>
      <c r="GPB158" s="250"/>
      <c r="GPC158" s="250"/>
      <c r="GPD158" s="250"/>
      <c r="GPE158" s="250"/>
      <c r="GPF158" s="250"/>
      <c r="GPG158" s="250"/>
      <c r="GPH158" s="250"/>
      <c r="GPI158" s="250"/>
      <c r="GPJ158" s="250"/>
      <c r="GPK158" s="250"/>
      <c r="GPL158" s="250"/>
      <c r="GPM158" s="250"/>
      <c r="GPN158" s="250"/>
      <c r="GPO158" s="250"/>
      <c r="GPP158" s="250"/>
      <c r="GPQ158" s="250"/>
      <c r="GPR158" s="250"/>
      <c r="GPS158" s="250"/>
      <c r="GPT158" s="250"/>
      <c r="GPU158" s="250"/>
      <c r="GPV158" s="250"/>
      <c r="GPW158" s="250"/>
      <c r="GPX158" s="250"/>
      <c r="GPY158" s="250"/>
      <c r="GPZ158" s="250"/>
      <c r="GQA158" s="250"/>
      <c r="GQB158" s="250"/>
      <c r="GQC158" s="250"/>
      <c r="GQD158" s="250"/>
      <c r="GQE158" s="250"/>
      <c r="GQF158" s="250"/>
      <c r="GQG158" s="250"/>
      <c r="GQH158" s="250"/>
      <c r="GQI158" s="250"/>
      <c r="GQJ158" s="250"/>
      <c r="GQK158" s="250"/>
      <c r="GQL158" s="250"/>
      <c r="GQM158" s="250"/>
      <c r="GQN158" s="250"/>
      <c r="GQO158" s="250"/>
      <c r="GQP158" s="250"/>
      <c r="GQQ158" s="250"/>
      <c r="GQR158" s="250"/>
      <c r="GQS158" s="250"/>
      <c r="GQT158" s="250"/>
      <c r="GQU158" s="250"/>
      <c r="GQV158" s="250"/>
      <c r="GQW158" s="250"/>
      <c r="GQX158" s="250"/>
      <c r="GQY158" s="250"/>
      <c r="GQZ158" s="250"/>
      <c r="GRA158" s="250"/>
      <c r="GRB158" s="250"/>
      <c r="GRC158" s="250"/>
      <c r="GRD158" s="250"/>
      <c r="GRE158" s="250"/>
      <c r="GRF158" s="250"/>
      <c r="GRG158" s="250"/>
      <c r="GRH158" s="250"/>
      <c r="GRI158" s="250"/>
      <c r="GRJ158" s="250"/>
      <c r="GRK158" s="250"/>
      <c r="GRL158" s="250"/>
      <c r="GRM158" s="250"/>
      <c r="GRN158" s="250"/>
      <c r="GRO158" s="250"/>
      <c r="GRP158" s="250"/>
      <c r="GRQ158" s="250"/>
      <c r="GRR158" s="250"/>
      <c r="GRS158" s="250"/>
      <c r="GRT158" s="250"/>
      <c r="GRU158" s="250"/>
      <c r="GRV158" s="250"/>
      <c r="GRW158" s="250"/>
      <c r="GRX158" s="250"/>
      <c r="GRY158" s="250"/>
      <c r="GRZ158" s="250"/>
      <c r="GSA158" s="250"/>
      <c r="GSB158" s="250"/>
      <c r="GSC158" s="250"/>
      <c r="GSD158" s="250"/>
      <c r="GSE158" s="250"/>
      <c r="GSF158" s="250"/>
      <c r="GSG158" s="250"/>
      <c r="GSH158" s="250"/>
      <c r="GSI158" s="250"/>
      <c r="GSJ158" s="250"/>
      <c r="GSK158" s="250"/>
      <c r="GSL158" s="250"/>
      <c r="GSM158" s="250"/>
      <c r="GSN158" s="250"/>
      <c r="GSO158" s="250"/>
      <c r="GSP158" s="250"/>
      <c r="GSQ158" s="250"/>
      <c r="GSR158" s="250"/>
      <c r="GSS158" s="250"/>
      <c r="GST158" s="250"/>
      <c r="GSU158" s="250"/>
      <c r="GSV158" s="250"/>
      <c r="GSW158" s="250"/>
      <c r="GSX158" s="250"/>
      <c r="GSY158" s="250"/>
      <c r="GSZ158" s="250"/>
      <c r="GTA158" s="250"/>
      <c r="GTB158" s="250"/>
      <c r="GTC158" s="250"/>
      <c r="GTD158" s="250"/>
      <c r="GTE158" s="250"/>
      <c r="GTF158" s="250"/>
      <c r="GTG158" s="250"/>
      <c r="GTH158" s="250"/>
      <c r="GTI158" s="250"/>
      <c r="GTJ158" s="250"/>
      <c r="GTK158" s="250"/>
      <c r="GTL158" s="250"/>
      <c r="GTM158" s="250"/>
      <c r="GTN158" s="250"/>
      <c r="GTO158" s="250"/>
      <c r="GTP158" s="250"/>
      <c r="GTQ158" s="250"/>
      <c r="GTR158" s="250"/>
      <c r="GTS158" s="250"/>
      <c r="GTT158" s="250"/>
      <c r="GTU158" s="250"/>
      <c r="GTV158" s="250"/>
      <c r="GTW158" s="250"/>
      <c r="GTX158" s="250"/>
      <c r="GTY158" s="250"/>
      <c r="GTZ158" s="250"/>
      <c r="GUA158" s="250"/>
      <c r="GUB158" s="250"/>
      <c r="GUC158" s="250"/>
      <c r="GUD158" s="250"/>
      <c r="GUE158" s="250"/>
      <c r="GUF158" s="250"/>
      <c r="GUG158" s="250"/>
      <c r="GUH158" s="250"/>
      <c r="GUI158" s="250"/>
      <c r="GUJ158" s="250"/>
      <c r="GUK158" s="250"/>
      <c r="GUL158" s="250"/>
      <c r="GUM158" s="250"/>
      <c r="GUN158" s="250"/>
      <c r="GUO158" s="250"/>
      <c r="GUP158" s="250"/>
      <c r="GUQ158" s="250"/>
      <c r="GUR158" s="250"/>
      <c r="GUS158" s="250"/>
      <c r="GUT158" s="250"/>
      <c r="GUU158" s="250"/>
      <c r="GUV158" s="250"/>
      <c r="GUW158" s="250"/>
      <c r="GUX158" s="250"/>
      <c r="GUY158" s="250"/>
      <c r="GUZ158" s="250"/>
      <c r="GVA158" s="250"/>
      <c r="GVB158" s="250"/>
      <c r="GVC158" s="250"/>
      <c r="GVD158" s="250"/>
      <c r="GVE158" s="250"/>
      <c r="GVF158" s="250"/>
      <c r="GVG158" s="250"/>
      <c r="GVH158" s="250"/>
      <c r="GVI158" s="250"/>
      <c r="GVJ158" s="250"/>
      <c r="GVK158" s="250"/>
      <c r="GVL158" s="250"/>
      <c r="GVM158" s="250"/>
      <c r="GVN158" s="250"/>
      <c r="GVO158" s="250"/>
      <c r="GVP158" s="250"/>
      <c r="GVQ158" s="250"/>
      <c r="GVR158" s="250"/>
      <c r="GVS158" s="250"/>
      <c r="GVT158" s="250"/>
      <c r="GVU158" s="250"/>
      <c r="GVV158" s="250"/>
      <c r="GVW158" s="250"/>
      <c r="GVX158" s="250"/>
      <c r="GVY158" s="250"/>
      <c r="GVZ158" s="250"/>
      <c r="GWA158" s="250"/>
      <c r="GWB158" s="250"/>
      <c r="GWC158" s="250"/>
      <c r="GWD158" s="250"/>
      <c r="GWE158" s="250"/>
      <c r="GWF158" s="250"/>
      <c r="GWG158" s="250"/>
      <c r="GWH158" s="250"/>
      <c r="GWI158" s="250"/>
      <c r="GWJ158" s="250"/>
      <c r="GWK158" s="250"/>
      <c r="GWL158" s="250"/>
      <c r="GWM158" s="250"/>
      <c r="GWN158" s="250"/>
      <c r="GWO158" s="250"/>
      <c r="GWP158" s="250"/>
      <c r="GWQ158" s="250"/>
      <c r="GWR158" s="250"/>
      <c r="GWS158" s="250"/>
      <c r="GWT158" s="250"/>
      <c r="GWU158" s="250"/>
      <c r="GWV158" s="250"/>
      <c r="GWW158" s="250"/>
      <c r="GWX158" s="250"/>
      <c r="GWY158" s="250"/>
      <c r="GWZ158" s="250"/>
      <c r="GXA158" s="250"/>
      <c r="GXB158" s="250"/>
      <c r="GXC158" s="250"/>
      <c r="GXD158" s="250"/>
      <c r="GXE158" s="250"/>
      <c r="GXF158" s="250"/>
      <c r="GXG158" s="250"/>
      <c r="GXH158" s="250"/>
      <c r="GXI158" s="250"/>
      <c r="GXJ158" s="250"/>
      <c r="GXK158" s="250"/>
      <c r="GXL158" s="250"/>
      <c r="GXM158" s="250"/>
      <c r="GXN158" s="250"/>
      <c r="GXO158" s="250"/>
      <c r="GXP158" s="250"/>
      <c r="GXQ158" s="250"/>
      <c r="GXR158" s="250"/>
      <c r="GXS158" s="250"/>
      <c r="GXT158" s="250"/>
      <c r="GXU158" s="250"/>
      <c r="GXV158" s="250"/>
      <c r="GXW158" s="250"/>
      <c r="GXX158" s="250"/>
      <c r="GXY158" s="250"/>
      <c r="GXZ158" s="250"/>
      <c r="GYA158" s="250"/>
      <c r="GYB158" s="250"/>
      <c r="GYC158" s="250"/>
      <c r="GYD158" s="250"/>
      <c r="GYE158" s="250"/>
      <c r="GYF158" s="250"/>
      <c r="GYG158" s="250"/>
      <c r="GYH158" s="250"/>
      <c r="GYI158" s="250"/>
      <c r="GYJ158" s="250"/>
      <c r="GYK158" s="250"/>
      <c r="GYL158" s="250"/>
      <c r="GYM158" s="250"/>
      <c r="GYN158" s="250"/>
      <c r="GYO158" s="250"/>
      <c r="GYP158" s="250"/>
      <c r="GYQ158" s="250"/>
      <c r="GYR158" s="250"/>
      <c r="GYS158" s="250"/>
      <c r="GYT158" s="250"/>
      <c r="GYU158" s="250"/>
      <c r="GYV158" s="250"/>
      <c r="GYW158" s="250"/>
      <c r="GYX158" s="250"/>
      <c r="GYY158" s="250"/>
      <c r="GYZ158" s="250"/>
      <c r="GZA158" s="250"/>
      <c r="GZB158" s="250"/>
      <c r="GZC158" s="250"/>
      <c r="GZD158" s="250"/>
      <c r="GZE158" s="250"/>
      <c r="GZF158" s="250"/>
      <c r="GZG158" s="250"/>
      <c r="GZH158" s="250"/>
      <c r="GZI158" s="250"/>
      <c r="GZJ158" s="250"/>
      <c r="GZK158" s="250"/>
      <c r="GZL158" s="250"/>
      <c r="GZM158" s="250"/>
      <c r="GZN158" s="250"/>
      <c r="GZO158" s="250"/>
      <c r="GZP158" s="250"/>
      <c r="GZQ158" s="250"/>
      <c r="GZR158" s="250"/>
      <c r="GZS158" s="250"/>
      <c r="GZT158" s="250"/>
      <c r="GZU158" s="250"/>
      <c r="GZV158" s="250"/>
      <c r="GZW158" s="250"/>
      <c r="GZX158" s="250"/>
      <c r="GZY158" s="250"/>
      <c r="GZZ158" s="250"/>
      <c r="HAA158" s="250"/>
      <c r="HAB158" s="250"/>
      <c r="HAC158" s="250"/>
      <c r="HAD158" s="250"/>
      <c r="HAE158" s="250"/>
      <c r="HAF158" s="250"/>
      <c r="HAG158" s="250"/>
      <c r="HAH158" s="250"/>
      <c r="HAI158" s="250"/>
      <c r="HAJ158" s="250"/>
      <c r="HAK158" s="250"/>
      <c r="HAL158" s="250"/>
      <c r="HAM158" s="250"/>
      <c r="HAN158" s="250"/>
      <c r="HAO158" s="250"/>
      <c r="HAP158" s="250"/>
      <c r="HAQ158" s="250"/>
      <c r="HAR158" s="250"/>
      <c r="HAS158" s="250"/>
      <c r="HAT158" s="250"/>
      <c r="HAU158" s="250"/>
      <c r="HAV158" s="250"/>
      <c r="HAW158" s="250"/>
      <c r="HAX158" s="250"/>
      <c r="HAY158" s="250"/>
      <c r="HAZ158" s="250"/>
      <c r="HBA158" s="250"/>
      <c r="HBB158" s="250"/>
      <c r="HBC158" s="250"/>
      <c r="HBD158" s="250"/>
      <c r="HBE158" s="250"/>
      <c r="HBF158" s="250"/>
      <c r="HBG158" s="250"/>
      <c r="HBH158" s="250"/>
      <c r="HBI158" s="250"/>
      <c r="HBJ158" s="250"/>
      <c r="HBK158" s="250"/>
      <c r="HBL158" s="250"/>
      <c r="HBM158" s="250"/>
      <c r="HBN158" s="250"/>
      <c r="HBO158" s="250"/>
      <c r="HBP158" s="250"/>
      <c r="HBQ158" s="250"/>
      <c r="HBR158" s="250"/>
      <c r="HBS158" s="250"/>
      <c r="HBT158" s="250"/>
      <c r="HBU158" s="250"/>
      <c r="HBV158" s="250"/>
      <c r="HBW158" s="250"/>
      <c r="HBX158" s="250"/>
      <c r="HBY158" s="250"/>
      <c r="HBZ158" s="250"/>
      <c r="HCA158" s="250"/>
      <c r="HCB158" s="250"/>
      <c r="HCC158" s="250"/>
      <c r="HCD158" s="250"/>
      <c r="HCE158" s="250"/>
      <c r="HCF158" s="250"/>
      <c r="HCG158" s="250"/>
      <c r="HCH158" s="250"/>
      <c r="HCI158" s="250"/>
      <c r="HCJ158" s="250"/>
      <c r="HCK158" s="250"/>
      <c r="HCL158" s="250"/>
      <c r="HCM158" s="250"/>
      <c r="HCN158" s="250"/>
      <c r="HCO158" s="250"/>
      <c r="HCP158" s="250"/>
      <c r="HCQ158" s="250"/>
      <c r="HCR158" s="250"/>
      <c r="HCS158" s="250"/>
      <c r="HCT158" s="250"/>
      <c r="HCU158" s="250"/>
      <c r="HCV158" s="250"/>
      <c r="HCW158" s="250"/>
      <c r="HCX158" s="250"/>
      <c r="HCY158" s="250"/>
      <c r="HCZ158" s="250"/>
      <c r="HDA158" s="250"/>
      <c r="HDB158" s="250"/>
      <c r="HDC158" s="250"/>
      <c r="HDD158" s="250"/>
      <c r="HDE158" s="250"/>
      <c r="HDF158" s="250"/>
      <c r="HDG158" s="250"/>
      <c r="HDH158" s="250"/>
      <c r="HDI158" s="250"/>
      <c r="HDJ158" s="250"/>
      <c r="HDK158" s="250"/>
      <c r="HDL158" s="250"/>
      <c r="HDM158" s="250"/>
      <c r="HDN158" s="250"/>
      <c r="HDO158" s="250"/>
      <c r="HDP158" s="250"/>
      <c r="HDQ158" s="250"/>
      <c r="HDR158" s="250"/>
      <c r="HDS158" s="250"/>
      <c r="HDT158" s="250"/>
      <c r="HDU158" s="250"/>
      <c r="HDV158" s="250"/>
      <c r="HDW158" s="250"/>
      <c r="HDX158" s="250"/>
      <c r="HDY158" s="250"/>
      <c r="HDZ158" s="250"/>
      <c r="HEA158" s="250"/>
      <c r="HEB158" s="250"/>
      <c r="HEC158" s="250"/>
      <c r="HED158" s="250"/>
      <c r="HEE158" s="250"/>
      <c r="HEF158" s="250"/>
      <c r="HEG158" s="250"/>
      <c r="HEH158" s="250"/>
      <c r="HEI158" s="250"/>
      <c r="HEJ158" s="250"/>
      <c r="HEK158" s="250"/>
      <c r="HEL158" s="250"/>
      <c r="HEM158" s="250"/>
      <c r="HEN158" s="250"/>
      <c r="HEO158" s="250"/>
      <c r="HEP158" s="250"/>
      <c r="HEQ158" s="250"/>
      <c r="HER158" s="250"/>
      <c r="HES158" s="250"/>
      <c r="HET158" s="250"/>
      <c r="HEU158" s="250"/>
      <c r="HEV158" s="250"/>
      <c r="HEW158" s="250"/>
      <c r="HEX158" s="250"/>
      <c r="HEY158" s="250"/>
      <c r="HEZ158" s="250"/>
      <c r="HFA158" s="250"/>
      <c r="HFB158" s="250"/>
      <c r="HFC158" s="250"/>
      <c r="HFD158" s="250"/>
      <c r="HFE158" s="250"/>
      <c r="HFF158" s="250"/>
      <c r="HFG158" s="250"/>
      <c r="HFH158" s="250"/>
      <c r="HFI158" s="250"/>
      <c r="HFJ158" s="250"/>
      <c r="HFK158" s="250"/>
      <c r="HFL158" s="250"/>
      <c r="HFM158" s="250"/>
      <c r="HFN158" s="250"/>
      <c r="HFO158" s="250"/>
      <c r="HFP158" s="250"/>
      <c r="HFQ158" s="250"/>
      <c r="HFR158" s="250"/>
      <c r="HFS158" s="250"/>
      <c r="HFT158" s="250"/>
      <c r="HFU158" s="250"/>
      <c r="HFV158" s="250"/>
      <c r="HFW158" s="250"/>
      <c r="HFX158" s="250"/>
      <c r="HFY158" s="250"/>
      <c r="HFZ158" s="250"/>
      <c r="HGA158" s="250"/>
      <c r="HGB158" s="250"/>
      <c r="HGC158" s="250"/>
      <c r="HGD158" s="250"/>
      <c r="HGE158" s="250"/>
      <c r="HGF158" s="250"/>
      <c r="HGG158" s="250"/>
      <c r="HGH158" s="250"/>
      <c r="HGI158" s="250"/>
      <c r="HGJ158" s="250"/>
      <c r="HGK158" s="250"/>
      <c r="HGL158" s="250"/>
      <c r="HGM158" s="250"/>
      <c r="HGN158" s="250"/>
      <c r="HGO158" s="250"/>
      <c r="HGP158" s="250"/>
      <c r="HGQ158" s="250"/>
      <c r="HGR158" s="250"/>
      <c r="HGS158" s="250"/>
      <c r="HGT158" s="250"/>
      <c r="HGU158" s="250"/>
      <c r="HGV158" s="250"/>
      <c r="HGW158" s="250"/>
      <c r="HGX158" s="250"/>
      <c r="HGY158" s="250"/>
      <c r="HGZ158" s="250"/>
      <c r="HHA158" s="250"/>
      <c r="HHB158" s="250"/>
      <c r="HHC158" s="250"/>
      <c r="HHD158" s="250"/>
      <c r="HHE158" s="250"/>
      <c r="HHF158" s="250"/>
      <c r="HHG158" s="250"/>
      <c r="HHH158" s="250"/>
      <c r="HHI158" s="250"/>
      <c r="HHJ158" s="250"/>
      <c r="HHK158" s="250"/>
      <c r="HHL158" s="250"/>
      <c r="HHM158" s="250"/>
      <c r="HHN158" s="250"/>
      <c r="HHO158" s="250"/>
      <c r="HHP158" s="250"/>
      <c r="HHQ158" s="250"/>
      <c r="HHR158" s="250"/>
      <c r="HHS158" s="250"/>
      <c r="HHT158" s="250"/>
      <c r="HHU158" s="250"/>
      <c r="HHV158" s="250"/>
      <c r="HHW158" s="250"/>
      <c r="HHX158" s="250"/>
      <c r="HHY158" s="250"/>
      <c r="HHZ158" s="250"/>
      <c r="HIA158" s="250"/>
      <c r="HIB158" s="250"/>
      <c r="HIC158" s="250"/>
      <c r="HID158" s="250"/>
      <c r="HIE158" s="250"/>
      <c r="HIF158" s="250"/>
      <c r="HIG158" s="250"/>
      <c r="HIH158" s="250"/>
      <c r="HII158" s="250"/>
      <c r="HIJ158" s="250"/>
      <c r="HIK158" s="250"/>
      <c r="HIL158" s="250"/>
      <c r="HIM158" s="250"/>
      <c r="HIN158" s="250"/>
      <c r="HIO158" s="250"/>
      <c r="HIP158" s="250"/>
      <c r="HIQ158" s="250"/>
      <c r="HIR158" s="250"/>
      <c r="HIS158" s="250"/>
      <c r="HIT158" s="250"/>
      <c r="HIU158" s="250"/>
      <c r="HIV158" s="250"/>
      <c r="HIW158" s="250"/>
      <c r="HIX158" s="250"/>
      <c r="HIY158" s="250"/>
      <c r="HIZ158" s="250"/>
      <c r="HJA158" s="250"/>
      <c r="HJB158" s="250"/>
      <c r="HJC158" s="250"/>
      <c r="HJD158" s="250"/>
      <c r="HJE158" s="250"/>
      <c r="HJF158" s="250"/>
      <c r="HJG158" s="250"/>
      <c r="HJH158" s="250"/>
      <c r="HJI158" s="250"/>
      <c r="HJJ158" s="250"/>
      <c r="HJK158" s="250"/>
      <c r="HJL158" s="250"/>
      <c r="HJM158" s="250"/>
      <c r="HJN158" s="250"/>
      <c r="HJO158" s="250"/>
      <c r="HJP158" s="250"/>
      <c r="HJQ158" s="250"/>
      <c r="HJR158" s="250"/>
      <c r="HJS158" s="250"/>
      <c r="HJT158" s="250"/>
      <c r="HJU158" s="250"/>
      <c r="HJV158" s="250"/>
      <c r="HJW158" s="250"/>
      <c r="HJX158" s="250"/>
      <c r="HJY158" s="250"/>
      <c r="HJZ158" s="250"/>
      <c r="HKA158" s="250"/>
      <c r="HKB158" s="250"/>
      <c r="HKC158" s="250"/>
      <c r="HKD158" s="250"/>
      <c r="HKE158" s="250"/>
      <c r="HKF158" s="250"/>
      <c r="HKG158" s="250"/>
      <c r="HKH158" s="250"/>
      <c r="HKI158" s="250"/>
      <c r="HKJ158" s="250"/>
      <c r="HKK158" s="250"/>
      <c r="HKL158" s="250"/>
      <c r="HKM158" s="250"/>
      <c r="HKN158" s="250"/>
      <c r="HKO158" s="250"/>
      <c r="HKP158" s="250"/>
      <c r="HKQ158" s="250"/>
      <c r="HKR158" s="250"/>
      <c r="HKS158" s="250"/>
      <c r="HKT158" s="250"/>
      <c r="HKU158" s="250"/>
      <c r="HKV158" s="250"/>
      <c r="HKW158" s="250"/>
      <c r="HKX158" s="250"/>
      <c r="HKY158" s="250"/>
      <c r="HKZ158" s="250"/>
      <c r="HLA158" s="250"/>
      <c r="HLB158" s="250"/>
      <c r="HLC158" s="250"/>
      <c r="HLD158" s="250"/>
      <c r="HLE158" s="250"/>
      <c r="HLF158" s="250"/>
      <c r="HLG158" s="250"/>
      <c r="HLH158" s="250"/>
      <c r="HLI158" s="250"/>
      <c r="HLJ158" s="250"/>
      <c r="HLK158" s="250"/>
      <c r="HLL158" s="250"/>
      <c r="HLM158" s="250"/>
      <c r="HLN158" s="250"/>
      <c r="HLO158" s="250"/>
      <c r="HLP158" s="250"/>
      <c r="HLQ158" s="250"/>
      <c r="HLR158" s="250"/>
      <c r="HLS158" s="250"/>
      <c r="HLT158" s="250"/>
      <c r="HLU158" s="250"/>
      <c r="HLV158" s="250"/>
      <c r="HLW158" s="250"/>
      <c r="HLX158" s="250"/>
      <c r="HLY158" s="250"/>
      <c r="HLZ158" s="250"/>
      <c r="HMA158" s="250"/>
      <c r="HMB158" s="250"/>
      <c r="HMC158" s="250"/>
      <c r="HMD158" s="250"/>
      <c r="HME158" s="250"/>
      <c r="HMF158" s="250"/>
      <c r="HMG158" s="250"/>
      <c r="HMH158" s="250"/>
      <c r="HMI158" s="250"/>
      <c r="HMJ158" s="250"/>
      <c r="HMK158" s="250"/>
      <c r="HML158" s="250"/>
      <c r="HMM158" s="250"/>
      <c r="HMN158" s="250"/>
      <c r="HMO158" s="250"/>
      <c r="HMP158" s="250"/>
      <c r="HMQ158" s="250"/>
      <c r="HMR158" s="250"/>
      <c r="HMS158" s="250"/>
      <c r="HMT158" s="250"/>
      <c r="HMU158" s="250"/>
      <c r="HMV158" s="250"/>
      <c r="HMW158" s="250"/>
      <c r="HMX158" s="250"/>
      <c r="HMY158" s="250"/>
      <c r="HMZ158" s="250"/>
      <c r="HNA158" s="250"/>
      <c r="HNB158" s="250"/>
      <c r="HNC158" s="250"/>
      <c r="HND158" s="250"/>
      <c r="HNE158" s="250"/>
      <c r="HNF158" s="250"/>
      <c r="HNG158" s="250"/>
      <c r="HNH158" s="250"/>
      <c r="HNI158" s="250"/>
      <c r="HNJ158" s="250"/>
      <c r="HNK158" s="250"/>
      <c r="HNL158" s="250"/>
      <c r="HNM158" s="250"/>
      <c r="HNN158" s="250"/>
      <c r="HNO158" s="250"/>
      <c r="HNP158" s="250"/>
      <c r="HNQ158" s="250"/>
      <c r="HNR158" s="250"/>
      <c r="HNS158" s="250"/>
      <c r="HNT158" s="250"/>
      <c r="HNU158" s="250"/>
      <c r="HNV158" s="250"/>
      <c r="HNW158" s="250"/>
      <c r="HNX158" s="250"/>
      <c r="HNY158" s="250"/>
      <c r="HNZ158" s="250"/>
      <c r="HOA158" s="250"/>
      <c r="HOB158" s="250"/>
      <c r="HOC158" s="250"/>
      <c r="HOD158" s="250"/>
      <c r="HOE158" s="250"/>
      <c r="HOF158" s="250"/>
      <c r="HOG158" s="250"/>
      <c r="HOH158" s="250"/>
      <c r="HOI158" s="250"/>
      <c r="HOJ158" s="250"/>
      <c r="HOK158" s="250"/>
      <c r="HOL158" s="250"/>
      <c r="HOM158" s="250"/>
      <c r="HON158" s="250"/>
      <c r="HOO158" s="250"/>
      <c r="HOP158" s="250"/>
      <c r="HOQ158" s="250"/>
      <c r="HOR158" s="250"/>
      <c r="HOS158" s="250"/>
      <c r="HOT158" s="250"/>
      <c r="HOU158" s="250"/>
      <c r="HOV158" s="250"/>
      <c r="HOW158" s="250"/>
      <c r="HOX158" s="250"/>
      <c r="HOY158" s="250"/>
      <c r="HOZ158" s="250"/>
      <c r="HPA158" s="250"/>
      <c r="HPB158" s="250"/>
      <c r="HPC158" s="250"/>
      <c r="HPD158" s="250"/>
      <c r="HPE158" s="250"/>
      <c r="HPF158" s="250"/>
      <c r="HPG158" s="250"/>
      <c r="HPH158" s="250"/>
      <c r="HPI158" s="250"/>
      <c r="HPJ158" s="250"/>
      <c r="HPK158" s="250"/>
      <c r="HPL158" s="250"/>
      <c r="HPM158" s="250"/>
      <c r="HPN158" s="250"/>
      <c r="HPO158" s="250"/>
      <c r="HPP158" s="250"/>
      <c r="HPQ158" s="250"/>
      <c r="HPR158" s="250"/>
      <c r="HPS158" s="250"/>
      <c r="HPT158" s="250"/>
      <c r="HPU158" s="250"/>
      <c r="HPV158" s="250"/>
      <c r="HPW158" s="250"/>
      <c r="HPX158" s="250"/>
      <c r="HPY158" s="250"/>
      <c r="HPZ158" s="250"/>
      <c r="HQA158" s="250"/>
      <c r="HQB158" s="250"/>
      <c r="HQC158" s="250"/>
      <c r="HQD158" s="250"/>
      <c r="HQE158" s="250"/>
      <c r="HQF158" s="250"/>
      <c r="HQG158" s="250"/>
      <c r="HQH158" s="250"/>
      <c r="HQI158" s="250"/>
      <c r="HQJ158" s="250"/>
      <c r="HQK158" s="250"/>
      <c r="HQL158" s="250"/>
      <c r="HQM158" s="250"/>
      <c r="HQN158" s="250"/>
      <c r="HQO158" s="250"/>
      <c r="HQP158" s="250"/>
      <c r="HQQ158" s="250"/>
      <c r="HQR158" s="250"/>
      <c r="HQS158" s="250"/>
      <c r="HQT158" s="250"/>
      <c r="HQU158" s="250"/>
      <c r="HQV158" s="250"/>
      <c r="HQW158" s="250"/>
      <c r="HQX158" s="250"/>
      <c r="HQY158" s="250"/>
      <c r="HQZ158" s="250"/>
      <c r="HRA158" s="250"/>
      <c r="HRB158" s="250"/>
      <c r="HRC158" s="250"/>
      <c r="HRD158" s="250"/>
      <c r="HRE158" s="250"/>
      <c r="HRF158" s="250"/>
      <c r="HRG158" s="250"/>
      <c r="HRH158" s="250"/>
      <c r="HRI158" s="250"/>
      <c r="HRJ158" s="250"/>
      <c r="HRK158" s="250"/>
      <c r="HRL158" s="250"/>
      <c r="HRM158" s="250"/>
      <c r="HRN158" s="250"/>
      <c r="HRO158" s="250"/>
      <c r="HRP158" s="250"/>
      <c r="HRQ158" s="250"/>
      <c r="HRR158" s="250"/>
      <c r="HRS158" s="250"/>
      <c r="HRT158" s="250"/>
      <c r="HRU158" s="250"/>
      <c r="HRV158" s="250"/>
      <c r="HRW158" s="250"/>
      <c r="HRX158" s="250"/>
      <c r="HRY158" s="250"/>
      <c r="HRZ158" s="250"/>
      <c r="HSA158" s="250"/>
      <c r="HSB158" s="250"/>
      <c r="HSC158" s="250"/>
      <c r="HSD158" s="250"/>
      <c r="HSE158" s="250"/>
      <c r="HSF158" s="250"/>
      <c r="HSG158" s="250"/>
      <c r="HSH158" s="250"/>
      <c r="HSI158" s="250"/>
      <c r="HSJ158" s="250"/>
      <c r="HSK158" s="250"/>
      <c r="HSL158" s="250"/>
      <c r="HSM158" s="250"/>
      <c r="HSN158" s="250"/>
      <c r="HSO158" s="250"/>
      <c r="HSP158" s="250"/>
      <c r="HSQ158" s="250"/>
      <c r="HSR158" s="250"/>
      <c r="HSS158" s="250"/>
      <c r="HST158" s="250"/>
      <c r="HSU158" s="250"/>
      <c r="HSV158" s="250"/>
      <c r="HSW158" s="250"/>
      <c r="HSX158" s="250"/>
      <c r="HSY158" s="250"/>
      <c r="HSZ158" s="250"/>
      <c r="HTA158" s="250"/>
      <c r="HTB158" s="250"/>
      <c r="HTC158" s="250"/>
      <c r="HTD158" s="250"/>
      <c r="HTE158" s="250"/>
      <c r="HTF158" s="250"/>
      <c r="HTG158" s="250"/>
      <c r="HTH158" s="250"/>
      <c r="HTI158" s="250"/>
      <c r="HTJ158" s="250"/>
      <c r="HTK158" s="250"/>
      <c r="HTL158" s="250"/>
      <c r="HTM158" s="250"/>
      <c r="HTN158" s="250"/>
      <c r="HTO158" s="250"/>
      <c r="HTP158" s="250"/>
      <c r="HTQ158" s="250"/>
      <c r="HTR158" s="250"/>
      <c r="HTS158" s="250"/>
      <c r="HTT158" s="250"/>
      <c r="HTU158" s="250"/>
      <c r="HTV158" s="250"/>
      <c r="HTW158" s="250"/>
      <c r="HTX158" s="250"/>
      <c r="HTY158" s="250"/>
      <c r="HTZ158" s="250"/>
      <c r="HUA158" s="250"/>
      <c r="HUB158" s="250"/>
      <c r="HUC158" s="250"/>
      <c r="HUD158" s="250"/>
      <c r="HUE158" s="250"/>
      <c r="HUF158" s="250"/>
      <c r="HUG158" s="250"/>
      <c r="HUH158" s="250"/>
      <c r="HUI158" s="250"/>
      <c r="HUJ158" s="250"/>
      <c r="HUK158" s="250"/>
      <c r="HUL158" s="250"/>
      <c r="HUM158" s="250"/>
      <c r="HUN158" s="250"/>
      <c r="HUO158" s="250"/>
      <c r="HUP158" s="250"/>
      <c r="HUQ158" s="250"/>
      <c r="HUR158" s="250"/>
      <c r="HUS158" s="250"/>
      <c r="HUT158" s="250"/>
      <c r="HUU158" s="250"/>
      <c r="HUV158" s="250"/>
      <c r="HUW158" s="250"/>
      <c r="HUX158" s="250"/>
      <c r="HUY158" s="250"/>
      <c r="HUZ158" s="250"/>
      <c r="HVA158" s="250"/>
      <c r="HVB158" s="250"/>
      <c r="HVC158" s="250"/>
      <c r="HVD158" s="250"/>
      <c r="HVE158" s="250"/>
      <c r="HVF158" s="250"/>
      <c r="HVG158" s="250"/>
      <c r="HVH158" s="250"/>
      <c r="HVI158" s="250"/>
      <c r="HVJ158" s="250"/>
      <c r="HVK158" s="250"/>
      <c r="HVL158" s="250"/>
      <c r="HVM158" s="250"/>
      <c r="HVN158" s="250"/>
      <c r="HVO158" s="250"/>
      <c r="HVP158" s="250"/>
      <c r="HVQ158" s="250"/>
      <c r="HVR158" s="250"/>
      <c r="HVS158" s="250"/>
      <c r="HVT158" s="250"/>
      <c r="HVU158" s="250"/>
      <c r="HVV158" s="250"/>
      <c r="HVW158" s="250"/>
      <c r="HVX158" s="250"/>
      <c r="HVY158" s="250"/>
      <c r="HVZ158" s="250"/>
      <c r="HWA158" s="250"/>
      <c r="HWB158" s="250"/>
      <c r="HWC158" s="250"/>
      <c r="HWD158" s="250"/>
      <c r="HWE158" s="250"/>
      <c r="HWF158" s="250"/>
      <c r="HWG158" s="250"/>
      <c r="HWH158" s="250"/>
      <c r="HWI158" s="250"/>
      <c r="HWJ158" s="250"/>
      <c r="HWK158" s="250"/>
      <c r="HWL158" s="250"/>
      <c r="HWM158" s="250"/>
      <c r="HWN158" s="250"/>
      <c r="HWO158" s="250"/>
      <c r="HWP158" s="250"/>
      <c r="HWQ158" s="250"/>
      <c r="HWR158" s="250"/>
      <c r="HWS158" s="250"/>
      <c r="HWT158" s="250"/>
      <c r="HWU158" s="250"/>
      <c r="HWV158" s="250"/>
      <c r="HWW158" s="250"/>
      <c r="HWX158" s="250"/>
      <c r="HWY158" s="250"/>
      <c r="HWZ158" s="250"/>
      <c r="HXA158" s="250"/>
      <c r="HXB158" s="250"/>
      <c r="HXC158" s="250"/>
      <c r="HXD158" s="250"/>
      <c r="HXE158" s="250"/>
      <c r="HXF158" s="250"/>
      <c r="HXG158" s="250"/>
      <c r="HXH158" s="250"/>
      <c r="HXI158" s="250"/>
      <c r="HXJ158" s="250"/>
      <c r="HXK158" s="250"/>
      <c r="HXL158" s="250"/>
      <c r="HXM158" s="250"/>
      <c r="HXN158" s="250"/>
      <c r="HXO158" s="250"/>
      <c r="HXP158" s="250"/>
      <c r="HXQ158" s="250"/>
      <c r="HXR158" s="250"/>
      <c r="HXS158" s="250"/>
      <c r="HXT158" s="250"/>
      <c r="HXU158" s="250"/>
      <c r="HXV158" s="250"/>
      <c r="HXW158" s="250"/>
      <c r="HXX158" s="250"/>
      <c r="HXY158" s="250"/>
      <c r="HXZ158" s="250"/>
      <c r="HYA158" s="250"/>
      <c r="HYB158" s="250"/>
      <c r="HYC158" s="250"/>
      <c r="HYD158" s="250"/>
      <c r="HYE158" s="250"/>
      <c r="HYF158" s="250"/>
      <c r="HYG158" s="250"/>
      <c r="HYH158" s="250"/>
      <c r="HYI158" s="250"/>
      <c r="HYJ158" s="250"/>
      <c r="HYK158" s="250"/>
      <c r="HYL158" s="250"/>
      <c r="HYM158" s="250"/>
      <c r="HYN158" s="250"/>
      <c r="HYO158" s="250"/>
      <c r="HYP158" s="250"/>
      <c r="HYQ158" s="250"/>
      <c r="HYR158" s="250"/>
      <c r="HYS158" s="250"/>
      <c r="HYT158" s="250"/>
      <c r="HYU158" s="250"/>
      <c r="HYV158" s="250"/>
      <c r="HYW158" s="250"/>
      <c r="HYX158" s="250"/>
      <c r="HYY158" s="250"/>
      <c r="HYZ158" s="250"/>
      <c r="HZA158" s="250"/>
      <c r="HZB158" s="250"/>
      <c r="HZC158" s="250"/>
      <c r="HZD158" s="250"/>
      <c r="HZE158" s="250"/>
      <c r="HZF158" s="250"/>
      <c r="HZG158" s="250"/>
      <c r="HZH158" s="250"/>
      <c r="HZI158" s="250"/>
      <c r="HZJ158" s="250"/>
      <c r="HZK158" s="250"/>
      <c r="HZL158" s="250"/>
      <c r="HZM158" s="250"/>
      <c r="HZN158" s="250"/>
      <c r="HZO158" s="250"/>
      <c r="HZP158" s="250"/>
      <c r="HZQ158" s="250"/>
      <c r="HZR158" s="250"/>
      <c r="HZS158" s="250"/>
      <c r="HZT158" s="250"/>
      <c r="HZU158" s="250"/>
      <c r="HZV158" s="250"/>
      <c r="HZW158" s="250"/>
      <c r="HZX158" s="250"/>
      <c r="HZY158" s="250"/>
      <c r="HZZ158" s="250"/>
      <c r="IAA158" s="250"/>
      <c r="IAB158" s="250"/>
      <c r="IAC158" s="250"/>
      <c r="IAD158" s="250"/>
      <c r="IAE158" s="250"/>
      <c r="IAF158" s="250"/>
      <c r="IAG158" s="250"/>
      <c r="IAH158" s="250"/>
      <c r="IAI158" s="250"/>
      <c r="IAJ158" s="250"/>
      <c r="IAK158" s="250"/>
      <c r="IAL158" s="250"/>
      <c r="IAM158" s="250"/>
      <c r="IAN158" s="250"/>
      <c r="IAO158" s="250"/>
      <c r="IAP158" s="250"/>
      <c r="IAQ158" s="250"/>
      <c r="IAR158" s="250"/>
      <c r="IAS158" s="250"/>
      <c r="IAT158" s="250"/>
      <c r="IAU158" s="250"/>
      <c r="IAV158" s="250"/>
      <c r="IAW158" s="250"/>
      <c r="IAX158" s="250"/>
      <c r="IAY158" s="250"/>
      <c r="IAZ158" s="250"/>
      <c r="IBA158" s="250"/>
      <c r="IBB158" s="250"/>
      <c r="IBC158" s="250"/>
      <c r="IBD158" s="250"/>
      <c r="IBE158" s="250"/>
      <c r="IBF158" s="250"/>
      <c r="IBG158" s="250"/>
      <c r="IBH158" s="250"/>
      <c r="IBI158" s="250"/>
      <c r="IBJ158" s="250"/>
      <c r="IBK158" s="250"/>
      <c r="IBL158" s="250"/>
      <c r="IBM158" s="250"/>
      <c r="IBN158" s="250"/>
      <c r="IBO158" s="250"/>
      <c r="IBP158" s="250"/>
      <c r="IBQ158" s="250"/>
      <c r="IBR158" s="250"/>
      <c r="IBS158" s="250"/>
      <c r="IBT158" s="250"/>
      <c r="IBU158" s="250"/>
      <c r="IBV158" s="250"/>
      <c r="IBW158" s="250"/>
      <c r="IBX158" s="250"/>
      <c r="IBY158" s="250"/>
      <c r="IBZ158" s="250"/>
      <c r="ICA158" s="250"/>
      <c r="ICB158" s="250"/>
      <c r="ICC158" s="250"/>
      <c r="ICD158" s="250"/>
      <c r="ICE158" s="250"/>
      <c r="ICF158" s="250"/>
      <c r="ICG158" s="250"/>
      <c r="ICH158" s="250"/>
      <c r="ICI158" s="250"/>
      <c r="ICJ158" s="250"/>
      <c r="ICK158" s="250"/>
      <c r="ICL158" s="250"/>
      <c r="ICM158" s="250"/>
      <c r="ICN158" s="250"/>
      <c r="ICO158" s="250"/>
      <c r="ICP158" s="250"/>
      <c r="ICQ158" s="250"/>
      <c r="ICR158" s="250"/>
      <c r="ICS158" s="250"/>
      <c r="ICT158" s="250"/>
      <c r="ICU158" s="250"/>
      <c r="ICV158" s="250"/>
      <c r="ICW158" s="250"/>
      <c r="ICX158" s="250"/>
      <c r="ICY158" s="250"/>
      <c r="ICZ158" s="250"/>
      <c r="IDA158" s="250"/>
      <c r="IDB158" s="250"/>
      <c r="IDC158" s="250"/>
      <c r="IDD158" s="250"/>
      <c r="IDE158" s="250"/>
      <c r="IDF158" s="250"/>
      <c r="IDG158" s="250"/>
      <c r="IDH158" s="250"/>
      <c r="IDI158" s="250"/>
      <c r="IDJ158" s="250"/>
      <c r="IDK158" s="250"/>
      <c r="IDL158" s="250"/>
      <c r="IDM158" s="250"/>
      <c r="IDN158" s="250"/>
      <c r="IDO158" s="250"/>
      <c r="IDP158" s="250"/>
      <c r="IDQ158" s="250"/>
      <c r="IDR158" s="250"/>
      <c r="IDS158" s="250"/>
      <c r="IDT158" s="250"/>
      <c r="IDU158" s="250"/>
      <c r="IDV158" s="250"/>
      <c r="IDW158" s="250"/>
      <c r="IDX158" s="250"/>
      <c r="IDY158" s="250"/>
      <c r="IDZ158" s="250"/>
      <c r="IEA158" s="250"/>
      <c r="IEB158" s="250"/>
      <c r="IEC158" s="250"/>
      <c r="IED158" s="250"/>
      <c r="IEE158" s="250"/>
      <c r="IEF158" s="250"/>
      <c r="IEG158" s="250"/>
      <c r="IEH158" s="250"/>
      <c r="IEI158" s="250"/>
      <c r="IEJ158" s="250"/>
      <c r="IEK158" s="250"/>
      <c r="IEL158" s="250"/>
      <c r="IEM158" s="250"/>
      <c r="IEN158" s="250"/>
      <c r="IEO158" s="250"/>
      <c r="IEP158" s="250"/>
      <c r="IEQ158" s="250"/>
      <c r="IER158" s="250"/>
      <c r="IES158" s="250"/>
      <c r="IET158" s="250"/>
      <c r="IEU158" s="250"/>
      <c r="IEV158" s="250"/>
      <c r="IEW158" s="250"/>
      <c r="IEX158" s="250"/>
      <c r="IEY158" s="250"/>
      <c r="IEZ158" s="250"/>
      <c r="IFA158" s="250"/>
      <c r="IFB158" s="250"/>
      <c r="IFC158" s="250"/>
      <c r="IFD158" s="250"/>
      <c r="IFE158" s="250"/>
      <c r="IFF158" s="250"/>
      <c r="IFG158" s="250"/>
      <c r="IFH158" s="250"/>
      <c r="IFI158" s="250"/>
      <c r="IFJ158" s="250"/>
      <c r="IFK158" s="250"/>
      <c r="IFL158" s="250"/>
      <c r="IFM158" s="250"/>
      <c r="IFN158" s="250"/>
      <c r="IFO158" s="250"/>
      <c r="IFP158" s="250"/>
      <c r="IFQ158" s="250"/>
      <c r="IFR158" s="250"/>
      <c r="IFS158" s="250"/>
      <c r="IFT158" s="250"/>
      <c r="IFU158" s="250"/>
      <c r="IFV158" s="250"/>
      <c r="IFW158" s="250"/>
      <c r="IFX158" s="250"/>
      <c r="IFY158" s="250"/>
      <c r="IFZ158" s="250"/>
      <c r="IGA158" s="250"/>
      <c r="IGB158" s="250"/>
      <c r="IGC158" s="250"/>
      <c r="IGD158" s="250"/>
      <c r="IGE158" s="250"/>
      <c r="IGF158" s="250"/>
      <c r="IGG158" s="250"/>
      <c r="IGH158" s="250"/>
      <c r="IGI158" s="250"/>
      <c r="IGJ158" s="250"/>
      <c r="IGK158" s="250"/>
      <c r="IGL158" s="250"/>
      <c r="IGM158" s="250"/>
      <c r="IGN158" s="250"/>
      <c r="IGO158" s="250"/>
      <c r="IGP158" s="250"/>
      <c r="IGQ158" s="250"/>
      <c r="IGR158" s="250"/>
      <c r="IGS158" s="250"/>
      <c r="IGT158" s="250"/>
      <c r="IGU158" s="250"/>
      <c r="IGV158" s="250"/>
      <c r="IGW158" s="250"/>
      <c r="IGX158" s="250"/>
      <c r="IGY158" s="250"/>
      <c r="IGZ158" s="250"/>
      <c r="IHA158" s="250"/>
      <c r="IHB158" s="250"/>
      <c r="IHC158" s="250"/>
      <c r="IHD158" s="250"/>
      <c r="IHE158" s="250"/>
      <c r="IHF158" s="250"/>
      <c r="IHG158" s="250"/>
      <c r="IHH158" s="250"/>
      <c r="IHI158" s="250"/>
      <c r="IHJ158" s="250"/>
      <c r="IHK158" s="250"/>
      <c r="IHL158" s="250"/>
      <c r="IHM158" s="250"/>
      <c r="IHN158" s="250"/>
      <c r="IHO158" s="250"/>
      <c r="IHP158" s="250"/>
      <c r="IHQ158" s="250"/>
      <c r="IHR158" s="250"/>
      <c r="IHS158" s="250"/>
      <c r="IHT158" s="250"/>
      <c r="IHU158" s="250"/>
      <c r="IHV158" s="250"/>
      <c r="IHW158" s="250"/>
      <c r="IHX158" s="250"/>
      <c r="IHY158" s="250"/>
      <c r="IHZ158" s="250"/>
      <c r="IIA158" s="250"/>
      <c r="IIB158" s="250"/>
      <c r="IIC158" s="250"/>
      <c r="IID158" s="250"/>
      <c r="IIE158" s="250"/>
      <c r="IIF158" s="250"/>
      <c r="IIG158" s="250"/>
      <c r="IIH158" s="250"/>
      <c r="III158" s="250"/>
      <c r="IIJ158" s="250"/>
      <c r="IIK158" s="250"/>
      <c r="IIL158" s="250"/>
      <c r="IIM158" s="250"/>
      <c r="IIN158" s="250"/>
      <c r="IIO158" s="250"/>
      <c r="IIP158" s="250"/>
      <c r="IIQ158" s="250"/>
      <c r="IIR158" s="250"/>
      <c r="IIS158" s="250"/>
      <c r="IIT158" s="250"/>
      <c r="IIU158" s="250"/>
      <c r="IIV158" s="250"/>
      <c r="IIW158" s="250"/>
      <c r="IIX158" s="250"/>
      <c r="IIY158" s="250"/>
      <c r="IIZ158" s="250"/>
      <c r="IJA158" s="250"/>
      <c r="IJB158" s="250"/>
      <c r="IJC158" s="250"/>
      <c r="IJD158" s="250"/>
      <c r="IJE158" s="250"/>
      <c r="IJF158" s="250"/>
      <c r="IJG158" s="250"/>
      <c r="IJH158" s="250"/>
      <c r="IJI158" s="250"/>
      <c r="IJJ158" s="250"/>
      <c r="IJK158" s="250"/>
      <c r="IJL158" s="250"/>
      <c r="IJM158" s="250"/>
      <c r="IJN158" s="250"/>
      <c r="IJO158" s="250"/>
      <c r="IJP158" s="250"/>
      <c r="IJQ158" s="250"/>
      <c r="IJR158" s="250"/>
      <c r="IJS158" s="250"/>
      <c r="IJT158" s="250"/>
      <c r="IJU158" s="250"/>
      <c r="IJV158" s="250"/>
      <c r="IJW158" s="250"/>
      <c r="IJX158" s="250"/>
      <c r="IJY158" s="250"/>
      <c r="IJZ158" s="250"/>
      <c r="IKA158" s="250"/>
      <c r="IKB158" s="250"/>
      <c r="IKC158" s="250"/>
      <c r="IKD158" s="250"/>
      <c r="IKE158" s="250"/>
      <c r="IKF158" s="250"/>
      <c r="IKG158" s="250"/>
      <c r="IKH158" s="250"/>
      <c r="IKI158" s="250"/>
      <c r="IKJ158" s="250"/>
      <c r="IKK158" s="250"/>
      <c r="IKL158" s="250"/>
      <c r="IKM158" s="250"/>
      <c r="IKN158" s="250"/>
      <c r="IKO158" s="250"/>
      <c r="IKP158" s="250"/>
      <c r="IKQ158" s="250"/>
      <c r="IKR158" s="250"/>
      <c r="IKS158" s="250"/>
      <c r="IKT158" s="250"/>
      <c r="IKU158" s="250"/>
      <c r="IKV158" s="250"/>
      <c r="IKW158" s="250"/>
      <c r="IKX158" s="250"/>
      <c r="IKY158" s="250"/>
      <c r="IKZ158" s="250"/>
      <c r="ILA158" s="250"/>
      <c r="ILB158" s="250"/>
      <c r="ILC158" s="250"/>
      <c r="ILD158" s="250"/>
      <c r="ILE158" s="250"/>
      <c r="ILF158" s="250"/>
      <c r="ILG158" s="250"/>
      <c r="ILH158" s="250"/>
      <c r="ILI158" s="250"/>
      <c r="ILJ158" s="250"/>
      <c r="ILK158" s="250"/>
      <c r="ILL158" s="250"/>
      <c r="ILM158" s="250"/>
      <c r="ILN158" s="250"/>
      <c r="ILO158" s="250"/>
      <c r="ILP158" s="250"/>
      <c r="ILQ158" s="250"/>
      <c r="ILR158" s="250"/>
      <c r="ILS158" s="250"/>
      <c r="ILT158" s="250"/>
      <c r="ILU158" s="250"/>
      <c r="ILV158" s="250"/>
      <c r="ILW158" s="250"/>
      <c r="ILX158" s="250"/>
      <c r="ILY158" s="250"/>
      <c r="ILZ158" s="250"/>
      <c r="IMA158" s="250"/>
      <c r="IMB158" s="250"/>
      <c r="IMC158" s="250"/>
      <c r="IMD158" s="250"/>
      <c r="IME158" s="250"/>
      <c r="IMF158" s="250"/>
      <c r="IMG158" s="250"/>
      <c r="IMH158" s="250"/>
      <c r="IMI158" s="250"/>
      <c r="IMJ158" s="250"/>
      <c r="IMK158" s="250"/>
      <c r="IML158" s="250"/>
      <c r="IMM158" s="250"/>
      <c r="IMN158" s="250"/>
      <c r="IMO158" s="250"/>
      <c r="IMP158" s="250"/>
      <c r="IMQ158" s="250"/>
      <c r="IMR158" s="250"/>
      <c r="IMS158" s="250"/>
      <c r="IMT158" s="250"/>
      <c r="IMU158" s="250"/>
      <c r="IMV158" s="250"/>
      <c r="IMW158" s="250"/>
      <c r="IMX158" s="250"/>
      <c r="IMY158" s="250"/>
      <c r="IMZ158" s="250"/>
      <c r="INA158" s="250"/>
      <c r="INB158" s="250"/>
      <c r="INC158" s="250"/>
      <c r="IND158" s="250"/>
      <c r="INE158" s="250"/>
      <c r="INF158" s="250"/>
      <c r="ING158" s="250"/>
      <c r="INH158" s="250"/>
      <c r="INI158" s="250"/>
      <c r="INJ158" s="250"/>
      <c r="INK158" s="250"/>
      <c r="INL158" s="250"/>
      <c r="INM158" s="250"/>
      <c r="INN158" s="250"/>
      <c r="INO158" s="250"/>
      <c r="INP158" s="250"/>
      <c r="INQ158" s="250"/>
      <c r="INR158" s="250"/>
      <c r="INS158" s="250"/>
      <c r="INT158" s="250"/>
      <c r="INU158" s="250"/>
      <c r="INV158" s="250"/>
      <c r="INW158" s="250"/>
      <c r="INX158" s="250"/>
      <c r="INY158" s="250"/>
      <c r="INZ158" s="250"/>
      <c r="IOA158" s="250"/>
      <c r="IOB158" s="250"/>
      <c r="IOC158" s="250"/>
      <c r="IOD158" s="250"/>
      <c r="IOE158" s="250"/>
      <c r="IOF158" s="250"/>
      <c r="IOG158" s="250"/>
      <c r="IOH158" s="250"/>
      <c r="IOI158" s="250"/>
      <c r="IOJ158" s="250"/>
      <c r="IOK158" s="250"/>
      <c r="IOL158" s="250"/>
      <c r="IOM158" s="250"/>
      <c r="ION158" s="250"/>
      <c r="IOO158" s="250"/>
      <c r="IOP158" s="250"/>
      <c r="IOQ158" s="250"/>
      <c r="IOR158" s="250"/>
      <c r="IOS158" s="250"/>
      <c r="IOT158" s="250"/>
      <c r="IOU158" s="250"/>
      <c r="IOV158" s="250"/>
      <c r="IOW158" s="250"/>
      <c r="IOX158" s="250"/>
      <c r="IOY158" s="250"/>
      <c r="IOZ158" s="250"/>
      <c r="IPA158" s="250"/>
      <c r="IPB158" s="250"/>
      <c r="IPC158" s="250"/>
      <c r="IPD158" s="250"/>
      <c r="IPE158" s="250"/>
      <c r="IPF158" s="250"/>
      <c r="IPG158" s="250"/>
      <c r="IPH158" s="250"/>
      <c r="IPI158" s="250"/>
      <c r="IPJ158" s="250"/>
      <c r="IPK158" s="250"/>
      <c r="IPL158" s="250"/>
      <c r="IPM158" s="250"/>
      <c r="IPN158" s="250"/>
      <c r="IPO158" s="250"/>
      <c r="IPP158" s="250"/>
      <c r="IPQ158" s="250"/>
      <c r="IPR158" s="250"/>
      <c r="IPS158" s="250"/>
      <c r="IPT158" s="250"/>
      <c r="IPU158" s="250"/>
      <c r="IPV158" s="250"/>
      <c r="IPW158" s="250"/>
      <c r="IPX158" s="250"/>
      <c r="IPY158" s="250"/>
      <c r="IPZ158" s="250"/>
      <c r="IQA158" s="250"/>
      <c r="IQB158" s="250"/>
      <c r="IQC158" s="250"/>
      <c r="IQD158" s="250"/>
      <c r="IQE158" s="250"/>
      <c r="IQF158" s="250"/>
      <c r="IQG158" s="250"/>
      <c r="IQH158" s="250"/>
      <c r="IQI158" s="250"/>
      <c r="IQJ158" s="250"/>
      <c r="IQK158" s="250"/>
      <c r="IQL158" s="250"/>
      <c r="IQM158" s="250"/>
      <c r="IQN158" s="250"/>
      <c r="IQO158" s="250"/>
      <c r="IQP158" s="250"/>
      <c r="IQQ158" s="250"/>
      <c r="IQR158" s="250"/>
      <c r="IQS158" s="250"/>
      <c r="IQT158" s="250"/>
      <c r="IQU158" s="250"/>
      <c r="IQV158" s="250"/>
      <c r="IQW158" s="250"/>
      <c r="IQX158" s="250"/>
      <c r="IQY158" s="250"/>
      <c r="IQZ158" s="250"/>
      <c r="IRA158" s="250"/>
      <c r="IRB158" s="250"/>
      <c r="IRC158" s="250"/>
      <c r="IRD158" s="250"/>
      <c r="IRE158" s="250"/>
      <c r="IRF158" s="250"/>
      <c r="IRG158" s="250"/>
      <c r="IRH158" s="250"/>
      <c r="IRI158" s="250"/>
      <c r="IRJ158" s="250"/>
      <c r="IRK158" s="250"/>
      <c r="IRL158" s="250"/>
      <c r="IRM158" s="250"/>
      <c r="IRN158" s="250"/>
      <c r="IRO158" s="250"/>
      <c r="IRP158" s="250"/>
      <c r="IRQ158" s="250"/>
      <c r="IRR158" s="250"/>
      <c r="IRS158" s="250"/>
      <c r="IRT158" s="250"/>
      <c r="IRU158" s="250"/>
      <c r="IRV158" s="250"/>
      <c r="IRW158" s="250"/>
      <c r="IRX158" s="250"/>
      <c r="IRY158" s="250"/>
      <c r="IRZ158" s="250"/>
      <c r="ISA158" s="250"/>
      <c r="ISB158" s="250"/>
      <c r="ISC158" s="250"/>
      <c r="ISD158" s="250"/>
      <c r="ISE158" s="250"/>
      <c r="ISF158" s="250"/>
      <c r="ISG158" s="250"/>
      <c r="ISH158" s="250"/>
      <c r="ISI158" s="250"/>
      <c r="ISJ158" s="250"/>
      <c r="ISK158" s="250"/>
      <c r="ISL158" s="250"/>
      <c r="ISM158" s="250"/>
      <c r="ISN158" s="250"/>
      <c r="ISO158" s="250"/>
      <c r="ISP158" s="250"/>
      <c r="ISQ158" s="250"/>
      <c r="ISR158" s="250"/>
      <c r="ISS158" s="250"/>
      <c r="IST158" s="250"/>
      <c r="ISU158" s="250"/>
      <c r="ISV158" s="250"/>
      <c r="ISW158" s="250"/>
      <c r="ISX158" s="250"/>
      <c r="ISY158" s="250"/>
      <c r="ISZ158" s="250"/>
      <c r="ITA158" s="250"/>
      <c r="ITB158" s="250"/>
      <c r="ITC158" s="250"/>
      <c r="ITD158" s="250"/>
      <c r="ITE158" s="250"/>
      <c r="ITF158" s="250"/>
      <c r="ITG158" s="250"/>
      <c r="ITH158" s="250"/>
      <c r="ITI158" s="250"/>
      <c r="ITJ158" s="250"/>
      <c r="ITK158" s="250"/>
      <c r="ITL158" s="250"/>
      <c r="ITM158" s="250"/>
      <c r="ITN158" s="250"/>
      <c r="ITO158" s="250"/>
      <c r="ITP158" s="250"/>
      <c r="ITQ158" s="250"/>
      <c r="ITR158" s="250"/>
      <c r="ITS158" s="250"/>
      <c r="ITT158" s="250"/>
      <c r="ITU158" s="250"/>
      <c r="ITV158" s="250"/>
      <c r="ITW158" s="250"/>
      <c r="ITX158" s="250"/>
      <c r="ITY158" s="250"/>
      <c r="ITZ158" s="250"/>
      <c r="IUA158" s="250"/>
      <c r="IUB158" s="250"/>
      <c r="IUC158" s="250"/>
      <c r="IUD158" s="250"/>
      <c r="IUE158" s="250"/>
      <c r="IUF158" s="250"/>
      <c r="IUG158" s="250"/>
      <c r="IUH158" s="250"/>
      <c r="IUI158" s="250"/>
      <c r="IUJ158" s="250"/>
      <c r="IUK158" s="250"/>
      <c r="IUL158" s="250"/>
      <c r="IUM158" s="250"/>
      <c r="IUN158" s="250"/>
      <c r="IUO158" s="250"/>
      <c r="IUP158" s="250"/>
      <c r="IUQ158" s="250"/>
      <c r="IUR158" s="250"/>
      <c r="IUS158" s="250"/>
      <c r="IUT158" s="250"/>
      <c r="IUU158" s="250"/>
      <c r="IUV158" s="250"/>
      <c r="IUW158" s="250"/>
      <c r="IUX158" s="250"/>
      <c r="IUY158" s="250"/>
      <c r="IUZ158" s="250"/>
      <c r="IVA158" s="250"/>
      <c r="IVB158" s="250"/>
      <c r="IVC158" s="250"/>
      <c r="IVD158" s="250"/>
      <c r="IVE158" s="250"/>
      <c r="IVF158" s="250"/>
      <c r="IVG158" s="250"/>
      <c r="IVH158" s="250"/>
      <c r="IVI158" s="250"/>
      <c r="IVJ158" s="250"/>
      <c r="IVK158" s="250"/>
      <c r="IVL158" s="250"/>
      <c r="IVM158" s="250"/>
      <c r="IVN158" s="250"/>
      <c r="IVO158" s="250"/>
      <c r="IVP158" s="250"/>
      <c r="IVQ158" s="250"/>
      <c r="IVR158" s="250"/>
      <c r="IVS158" s="250"/>
      <c r="IVT158" s="250"/>
      <c r="IVU158" s="250"/>
      <c r="IVV158" s="250"/>
      <c r="IVW158" s="250"/>
      <c r="IVX158" s="250"/>
      <c r="IVY158" s="250"/>
      <c r="IVZ158" s="250"/>
      <c r="IWA158" s="250"/>
      <c r="IWB158" s="250"/>
      <c r="IWC158" s="250"/>
      <c r="IWD158" s="250"/>
      <c r="IWE158" s="250"/>
      <c r="IWF158" s="250"/>
      <c r="IWG158" s="250"/>
      <c r="IWH158" s="250"/>
      <c r="IWI158" s="250"/>
      <c r="IWJ158" s="250"/>
      <c r="IWK158" s="250"/>
      <c r="IWL158" s="250"/>
      <c r="IWM158" s="250"/>
      <c r="IWN158" s="250"/>
      <c r="IWO158" s="250"/>
      <c r="IWP158" s="250"/>
      <c r="IWQ158" s="250"/>
      <c r="IWR158" s="250"/>
      <c r="IWS158" s="250"/>
      <c r="IWT158" s="250"/>
      <c r="IWU158" s="250"/>
      <c r="IWV158" s="250"/>
      <c r="IWW158" s="250"/>
      <c r="IWX158" s="250"/>
      <c r="IWY158" s="250"/>
      <c r="IWZ158" s="250"/>
      <c r="IXA158" s="250"/>
      <c r="IXB158" s="250"/>
      <c r="IXC158" s="250"/>
      <c r="IXD158" s="250"/>
      <c r="IXE158" s="250"/>
      <c r="IXF158" s="250"/>
      <c r="IXG158" s="250"/>
      <c r="IXH158" s="250"/>
      <c r="IXI158" s="250"/>
      <c r="IXJ158" s="250"/>
      <c r="IXK158" s="250"/>
      <c r="IXL158" s="250"/>
      <c r="IXM158" s="250"/>
      <c r="IXN158" s="250"/>
      <c r="IXO158" s="250"/>
      <c r="IXP158" s="250"/>
      <c r="IXQ158" s="250"/>
      <c r="IXR158" s="250"/>
      <c r="IXS158" s="250"/>
      <c r="IXT158" s="250"/>
      <c r="IXU158" s="250"/>
      <c r="IXV158" s="250"/>
      <c r="IXW158" s="250"/>
      <c r="IXX158" s="250"/>
      <c r="IXY158" s="250"/>
      <c r="IXZ158" s="250"/>
      <c r="IYA158" s="250"/>
      <c r="IYB158" s="250"/>
      <c r="IYC158" s="250"/>
      <c r="IYD158" s="250"/>
      <c r="IYE158" s="250"/>
      <c r="IYF158" s="250"/>
      <c r="IYG158" s="250"/>
      <c r="IYH158" s="250"/>
      <c r="IYI158" s="250"/>
      <c r="IYJ158" s="250"/>
      <c r="IYK158" s="250"/>
      <c r="IYL158" s="250"/>
      <c r="IYM158" s="250"/>
      <c r="IYN158" s="250"/>
      <c r="IYO158" s="250"/>
      <c r="IYP158" s="250"/>
      <c r="IYQ158" s="250"/>
      <c r="IYR158" s="250"/>
      <c r="IYS158" s="250"/>
      <c r="IYT158" s="250"/>
      <c r="IYU158" s="250"/>
      <c r="IYV158" s="250"/>
      <c r="IYW158" s="250"/>
      <c r="IYX158" s="250"/>
      <c r="IYY158" s="250"/>
      <c r="IYZ158" s="250"/>
      <c r="IZA158" s="250"/>
      <c r="IZB158" s="250"/>
      <c r="IZC158" s="250"/>
      <c r="IZD158" s="250"/>
      <c r="IZE158" s="250"/>
      <c r="IZF158" s="250"/>
      <c r="IZG158" s="250"/>
      <c r="IZH158" s="250"/>
      <c r="IZI158" s="250"/>
      <c r="IZJ158" s="250"/>
      <c r="IZK158" s="250"/>
      <c r="IZL158" s="250"/>
      <c r="IZM158" s="250"/>
      <c r="IZN158" s="250"/>
      <c r="IZO158" s="250"/>
      <c r="IZP158" s="250"/>
      <c r="IZQ158" s="250"/>
      <c r="IZR158" s="250"/>
      <c r="IZS158" s="250"/>
      <c r="IZT158" s="250"/>
      <c r="IZU158" s="250"/>
      <c r="IZV158" s="250"/>
      <c r="IZW158" s="250"/>
      <c r="IZX158" s="250"/>
      <c r="IZY158" s="250"/>
      <c r="IZZ158" s="250"/>
      <c r="JAA158" s="250"/>
      <c r="JAB158" s="250"/>
      <c r="JAC158" s="250"/>
      <c r="JAD158" s="250"/>
      <c r="JAE158" s="250"/>
      <c r="JAF158" s="250"/>
      <c r="JAG158" s="250"/>
      <c r="JAH158" s="250"/>
      <c r="JAI158" s="250"/>
      <c r="JAJ158" s="250"/>
      <c r="JAK158" s="250"/>
      <c r="JAL158" s="250"/>
      <c r="JAM158" s="250"/>
      <c r="JAN158" s="250"/>
      <c r="JAO158" s="250"/>
      <c r="JAP158" s="250"/>
      <c r="JAQ158" s="250"/>
      <c r="JAR158" s="250"/>
      <c r="JAS158" s="250"/>
      <c r="JAT158" s="250"/>
      <c r="JAU158" s="250"/>
      <c r="JAV158" s="250"/>
      <c r="JAW158" s="250"/>
      <c r="JAX158" s="250"/>
      <c r="JAY158" s="250"/>
      <c r="JAZ158" s="250"/>
      <c r="JBA158" s="250"/>
      <c r="JBB158" s="250"/>
      <c r="JBC158" s="250"/>
      <c r="JBD158" s="250"/>
      <c r="JBE158" s="250"/>
      <c r="JBF158" s="250"/>
      <c r="JBG158" s="250"/>
      <c r="JBH158" s="250"/>
      <c r="JBI158" s="250"/>
      <c r="JBJ158" s="250"/>
      <c r="JBK158" s="250"/>
      <c r="JBL158" s="250"/>
      <c r="JBM158" s="250"/>
      <c r="JBN158" s="250"/>
      <c r="JBO158" s="250"/>
      <c r="JBP158" s="250"/>
      <c r="JBQ158" s="250"/>
      <c r="JBR158" s="250"/>
      <c r="JBS158" s="250"/>
      <c r="JBT158" s="250"/>
      <c r="JBU158" s="250"/>
      <c r="JBV158" s="250"/>
      <c r="JBW158" s="250"/>
      <c r="JBX158" s="250"/>
      <c r="JBY158" s="250"/>
      <c r="JBZ158" s="250"/>
      <c r="JCA158" s="250"/>
      <c r="JCB158" s="250"/>
      <c r="JCC158" s="250"/>
      <c r="JCD158" s="250"/>
      <c r="JCE158" s="250"/>
      <c r="JCF158" s="250"/>
      <c r="JCG158" s="250"/>
      <c r="JCH158" s="250"/>
      <c r="JCI158" s="250"/>
      <c r="JCJ158" s="250"/>
      <c r="JCK158" s="250"/>
      <c r="JCL158" s="250"/>
      <c r="JCM158" s="250"/>
      <c r="JCN158" s="250"/>
      <c r="JCO158" s="250"/>
      <c r="JCP158" s="250"/>
      <c r="JCQ158" s="250"/>
      <c r="JCR158" s="250"/>
      <c r="JCS158" s="250"/>
      <c r="JCT158" s="250"/>
      <c r="JCU158" s="250"/>
      <c r="JCV158" s="250"/>
      <c r="JCW158" s="250"/>
      <c r="JCX158" s="250"/>
      <c r="JCY158" s="250"/>
      <c r="JCZ158" s="250"/>
      <c r="JDA158" s="250"/>
      <c r="JDB158" s="250"/>
      <c r="JDC158" s="250"/>
      <c r="JDD158" s="250"/>
      <c r="JDE158" s="250"/>
      <c r="JDF158" s="250"/>
      <c r="JDG158" s="250"/>
      <c r="JDH158" s="250"/>
      <c r="JDI158" s="250"/>
      <c r="JDJ158" s="250"/>
      <c r="JDK158" s="250"/>
      <c r="JDL158" s="250"/>
      <c r="JDM158" s="250"/>
      <c r="JDN158" s="250"/>
      <c r="JDO158" s="250"/>
      <c r="JDP158" s="250"/>
      <c r="JDQ158" s="250"/>
      <c r="JDR158" s="250"/>
      <c r="JDS158" s="250"/>
      <c r="JDT158" s="250"/>
      <c r="JDU158" s="250"/>
      <c r="JDV158" s="250"/>
      <c r="JDW158" s="250"/>
      <c r="JDX158" s="250"/>
      <c r="JDY158" s="250"/>
      <c r="JDZ158" s="250"/>
      <c r="JEA158" s="250"/>
      <c r="JEB158" s="250"/>
      <c r="JEC158" s="250"/>
      <c r="JED158" s="250"/>
      <c r="JEE158" s="250"/>
      <c r="JEF158" s="250"/>
      <c r="JEG158" s="250"/>
      <c r="JEH158" s="250"/>
      <c r="JEI158" s="250"/>
      <c r="JEJ158" s="250"/>
      <c r="JEK158" s="250"/>
      <c r="JEL158" s="250"/>
      <c r="JEM158" s="250"/>
      <c r="JEN158" s="250"/>
      <c r="JEO158" s="250"/>
      <c r="JEP158" s="250"/>
      <c r="JEQ158" s="250"/>
      <c r="JER158" s="250"/>
      <c r="JES158" s="250"/>
      <c r="JET158" s="250"/>
      <c r="JEU158" s="250"/>
      <c r="JEV158" s="250"/>
      <c r="JEW158" s="250"/>
      <c r="JEX158" s="250"/>
      <c r="JEY158" s="250"/>
      <c r="JEZ158" s="250"/>
      <c r="JFA158" s="250"/>
      <c r="JFB158" s="250"/>
      <c r="JFC158" s="250"/>
      <c r="JFD158" s="250"/>
      <c r="JFE158" s="250"/>
      <c r="JFF158" s="250"/>
      <c r="JFG158" s="250"/>
      <c r="JFH158" s="250"/>
      <c r="JFI158" s="250"/>
      <c r="JFJ158" s="250"/>
      <c r="JFK158" s="250"/>
      <c r="JFL158" s="250"/>
      <c r="JFM158" s="250"/>
      <c r="JFN158" s="250"/>
      <c r="JFO158" s="250"/>
      <c r="JFP158" s="250"/>
      <c r="JFQ158" s="250"/>
      <c r="JFR158" s="250"/>
      <c r="JFS158" s="250"/>
      <c r="JFT158" s="250"/>
      <c r="JFU158" s="250"/>
      <c r="JFV158" s="250"/>
      <c r="JFW158" s="250"/>
      <c r="JFX158" s="250"/>
      <c r="JFY158" s="250"/>
      <c r="JFZ158" s="250"/>
      <c r="JGA158" s="250"/>
      <c r="JGB158" s="250"/>
      <c r="JGC158" s="250"/>
      <c r="JGD158" s="250"/>
      <c r="JGE158" s="250"/>
      <c r="JGF158" s="250"/>
      <c r="JGG158" s="250"/>
      <c r="JGH158" s="250"/>
      <c r="JGI158" s="250"/>
      <c r="JGJ158" s="250"/>
      <c r="JGK158" s="250"/>
      <c r="JGL158" s="250"/>
      <c r="JGM158" s="250"/>
      <c r="JGN158" s="250"/>
      <c r="JGO158" s="250"/>
      <c r="JGP158" s="250"/>
      <c r="JGQ158" s="250"/>
      <c r="JGR158" s="250"/>
      <c r="JGS158" s="250"/>
      <c r="JGT158" s="250"/>
      <c r="JGU158" s="250"/>
      <c r="JGV158" s="250"/>
      <c r="JGW158" s="250"/>
      <c r="JGX158" s="250"/>
      <c r="JGY158" s="250"/>
      <c r="JGZ158" s="250"/>
      <c r="JHA158" s="250"/>
      <c r="JHB158" s="250"/>
      <c r="JHC158" s="250"/>
      <c r="JHD158" s="250"/>
      <c r="JHE158" s="250"/>
      <c r="JHF158" s="250"/>
      <c r="JHG158" s="250"/>
      <c r="JHH158" s="250"/>
      <c r="JHI158" s="250"/>
      <c r="JHJ158" s="250"/>
      <c r="JHK158" s="250"/>
      <c r="JHL158" s="250"/>
      <c r="JHM158" s="250"/>
      <c r="JHN158" s="250"/>
      <c r="JHO158" s="250"/>
      <c r="JHP158" s="250"/>
      <c r="JHQ158" s="250"/>
      <c r="JHR158" s="250"/>
      <c r="JHS158" s="250"/>
      <c r="JHT158" s="250"/>
      <c r="JHU158" s="250"/>
      <c r="JHV158" s="250"/>
      <c r="JHW158" s="250"/>
      <c r="JHX158" s="250"/>
      <c r="JHY158" s="250"/>
      <c r="JHZ158" s="250"/>
      <c r="JIA158" s="250"/>
      <c r="JIB158" s="250"/>
      <c r="JIC158" s="250"/>
      <c r="JID158" s="250"/>
      <c r="JIE158" s="250"/>
      <c r="JIF158" s="250"/>
      <c r="JIG158" s="250"/>
      <c r="JIH158" s="250"/>
      <c r="JII158" s="250"/>
      <c r="JIJ158" s="250"/>
      <c r="JIK158" s="250"/>
      <c r="JIL158" s="250"/>
      <c r="JIM158" s="250"/>
      <c r="JIN158" s="250"/>
      <c r="JIO158" s="250"/>
      <c r="JIP158" s="250"/>
      <c r="JIQ158" s="250"/>
      <c r="JIR158" s="250"/>
      <c r="JIS158" s="250"/>
      <c r="JIT158" s="250"/>
      <c r="JIU158" s="250"/>
      <c r="JIV158" s="250"/>
      <c r="JIW158" s="250"/>
      <c r="JIX158" s="250"/>
      <c r="JIY158" s="250"/>
      <c r="JIZ158" s="250"/>
      <c r="JJA158" s="250"/>
      <c r="JJB158" s="250"/>
      <c r="JJC158" s="250"/>
      <c r="JJD158" s="250"/>
      <c r="JJE158" s="250"/>
      <c r="JJF158" s="250"/>
      <c r="JJG158" s="250"/>
      <c r="JJH158" s="250"/>
      <c r="JJI158" s="250"/>
      <c r="JJJ158" s="250"/>
      <c r="JJK158" s="250"/>
      <c r="JJL158" s="250"/>
      <c r="JJM158" s="250"/>
      <c r="JJN158" s="250"/>
      <c r="JJO158" s="250"/>
      <c r="JJP158" s="250"/>
      <c r="JJQ158" s="250"/>
      <c r="JJR158" s="250"/>
      <c r="JJS158" s="250"/>
      <c r="JJT158" s="250"/>
      <c r="JJU158" s="250"/>
      <c r="JJV158" s="250"/>
      <c r="JJW158" s="250"/>
      <c r="JJX158" s="250"/>
      <c r="JJY158" s="250"/>
      <c r="JJZ158" s="250"/>
      <c r="JKA158" s="250"/>
      <c r="JKB158" s="250"/>
      <c r="JKC158" s="250"/>
      <c r="JKD158" s="250"/>
      <c r="JKE158" s="250"/>
      <c r="JKF158" s="250"/>
      <c r="JKG158" s="250"/>
      <c r="JKH158" s="250"/>
      <c r="JKI158" s="250"/>
      <c r="JKJ158" s="250"/>
      <c r="JKK158" s="250"/>
      <c r="JKL158" s="250"/>
      <c r="JKM158" s="250"/>
      <c r="JKN158" s="250"/>
      <c r="JKO158" s="250"/>
      <c r="JKP158" s="250"/>
      <c r="JKQ158" s="250"/>
      <c r="JKR158" s="250"/>
      <c r="JKS158" s="250"/>
      <c r="JKT158" s="250"/>
      <c r="JKU158" s="250"/>
      <c r="JKV158" s="250"/>
      <c r="JKW158" s="250"/>
      <c r="JKX158" s="250"/>
      <c r="JKY158" s="250"/>
      <c r="JKZ158" s="250"/>
      <c r="JLA158" s="250"/>
      <c r="JLB158" s="250"/>
      <c r="JLC158" s="250"/>
      <c r="JLD158" s="250"/>
      <c r="JLE158" s="250"/>
      <c r="JLF158" s="250"/>
      <c r="JLG158" s="250"/>
      <c r="JLH158" s="250"/>
      <c r="JLI158" s="250"/>
      <c r="JLJ158" s="250"/>
      <c r="JLK158" s="250"/>
      <c r="JLL158" s="250"/>
      <c r="JLM158" s="250"/>
      <c r="JLN158" s="250"/>
      <c r="JLO158" s="250"/>
      <c r="JLP158" s="250"/>
      <c r="JLQ158" s="250"/>
      <c r="JLR158" s="250"/>
      <c r="JLS158" s="250"/>
      <c r="JLT158" s="250"/>
      <c r="JLU158" s="250"/>
      <c r="JLV158" s="250"/>
      <c r="JLW158" s="250"/>
      <c r="JLX158" s="250"/>
      <c r="JLY158" s="250"/>
      <c r="JLZ158" s="250"/>
      <c r="JMA158" s="250"/>
      <c r="JMB158" s="250"/>
      <c r="JMC158" s="250"/>
      <c r="JMD158" s="250"/>
      <c r="JME158" s="250"/>
      <c r="JMF158" s="250"/>
      <c r="JMG158" s="250"/>
      <c r="JMH158" s="250"/>
      <c r="JMI158" s="250"/>
      <c r="JMJ158" s="250"/>
      <c r="JMK158" s="250"/>
      <c r="JML158" s="250"/>
      <c r="JMM158" s="250"/>
      <c r="JMN158" s="250"/>
      <c r="JMO158" s="250"/>
      <c r="JMP158" s="250"/>
      <c r="JMQ158" s="250"/>
      <c r="JMR158" s="250"/>
      <c r="JMS158" s="250"/>
      <c r="JMT158" s="250"/>
      <c r="JMU158" s="250"/>
      <c r="JMV158" s="250"/>
      <c r="JMW158" s="250"/>
      <c r="JMX158" s="250"/>
      <c r="JMY158" s="250"/>
      <c r="JMZ158" s="250"/>
      <c r="JNA158" s="250"/>
      <c r="JNB158" s="250"/>
      <c r="JNC158" s="250"/>
      <c r="JND158" s="250"/>
      <c r="JNE158" s="250"/>
      <c r="JNF158" s="250"/>
      <c r="JNG158" s="250"/>
      <c r="JNH158" s="250"/>
      <c r="JNI158" s="250"/>
      <c r="JNJ158" s="250"/>
      <c r="JNK158" s="250"/>
      <c r="JNL158" s="250"/>
      <c r="JNM158" s="250"/>
      <c r="JNN158" s="250"/>
      <c r="JNO158" s="250"/>
      <c r="JNP158" s="250"/>
      <c r="JNQ158" s="250"/>
      <c r="JNR158" s="250"/>
      <c r="JNS158" s="250"/>
      <c r="JNT158" s="250"/>
      <c r="JNU158" s="250"/>
      <c r="JNV158" s="250"/>
      <c r="JNW158" s="250"/>
      <c r="JNX158" s="250"/>
      <c r="JNY158" s="250"/>
      <c r="JNZ158" s="250"/>
      <c r="JOA158" s="250"/>
      <c r="JOB158" s="250"/>
      <c r="JOC158" s="250"/>
      <c r="JOD158" s="250"/>
      <c r="JOE158" s="250"/>
      <c r="JOF158" s="250"/>
      <c r="JOG158" s="250"/>
      <c r="JOH158" s="250"/>
      <c r="JOI158" s="250"/>
      <c r="JOJ158" s="250"/>
      <c r="JOK158" s="250"/>
      <c r="JOL158" s="250"/>
      <c r="JOM158" s="250"/>
      <c r="JON158" s="250"/>
      <c r="JOO158" s="250"/>
      <c r="JOP158" s="250"/>
      <c r="JOQ158" s="250"/>
      <c r="JOR158" s="250"/>
      <c r="JOS158" s="250"/>
      <c r="JOT158" s="250"/>
      <c r="JOU158" s="250"/>
      <c r="JOV158" s="250"/>
      <c r="JOW158" s="250"/>
      <c r="JOX158" s="250"/>
      <c r="JOY158" s="250"/>
      <c r="JOZ158" s="250"/>
      <c r="JPA158" s="250"/>
      <c r="JPB158" s="250"/>
      <c r="JPC158" s="250"/>
      <c r="JPD158" s="250"/>
      <c r="JPE158" s="250"/>
      <c r="JPF158" s="250"/>
      <c r="JPG158" s="250"/>
      <c r="JPH158" s="250"/>
      <c r="JPI158" s="250"/>
      <c r="JPJ158" s="250"/>
      <c r="JPK158" s="250"/>
      <c r="JPL158" s="250"/>
      <c r="JPM158" s="250"/>
      <c r="JPN158" s="250"/>
      <c r="JPO158" s="250"/>
      <c r="JPP158" s="250"/>
      <c r="JPQ158" s="250"/>
      <c r="JPR158" s="250"/>
      <c r="JPS158" s="250"/>
      <c r="JPT158" s="250"/>
      <c r="JPU158" s="250"/>
      <c r="JPV158" s="250"/>
      <c r="JPW158" s="250"/>
      <c r="JPX158" s="250"/>
      <c r="JPY158" s="250"/>
      <c r="JPZ158" s="250"/>
      <c r="JQA158" s="250"/>
      <c r="JQB158" s="250"/>
      <c r="JQC158" s="250"/>
      <c r="JQD158" s="250"/>
      <c r="JQE158" s="250"/>
      <c r="JQF158" s="250"/>
      <c r="JQG158" s="250"/>
      <c r="JQH158" s="250"/>
      <c r="JQI158" s="250"/>
      <c r="JQJ158" s="250"/>
      <c r="JQK158" s="250"/>
      <c r="JQL158" s="250"/>
      <c r="JQM158" s="250"/>
      <c r="JQN158" s="250"/>
      <c r="JQO158" s="250"/>
      <c r="JQP158" s="250"/>
      <c r="JQQ158" s="250"/>
      <c r="JQR158" s="250"/>
      <c r="JQS158" s="250"/>
      <c r="JQT158" s="250"/>
      <c r="JQU158" s="250"/>
      <c r="JQV158" s="250"/>
      <c r="JQW158" s="250"/>
      <c r="JQX158" s="250"/>
      <c r="JQY158" s="250"/>
      <c r="JQZ158" s="250"/>
      <c r="JRA158" s="250"/>
      <c r="JRB158" s="250"/>
      <c r="JRC158" s="250"/>
      <c r="JRD158" s="250"/>
      <c r="JRE158" s="250"/>
      <c r="JRF158" s="250"/>
      <c r="JRG158" s="250"/>
      <c r="JRH158" s="250"/>
      <c r="JRI158" s="250"/>
      <c r="JRJ158" s="250"/>
      <c r="JRK158" s="250"/>
      <c r="JRL158" s="250"/>
      <c r="JRM158" s="250"/>
      <c r="JRN158" s="250"/>
      <c r="JRO158" s="250"/>
      <c r="JRP158" s="250"/>
      <c r="JRQ158" s="250"/>
      <c r="JRR158" s="250"/>
      <c r="JRS158" s="250"/>
      <c r="JRT158" s="250"/>
      <c r="JRU158" s="250"/>
      <c r="JRV158" s="250"/>
      <c r="JRW158" s="250"/>
      <c r="JRX158" s="250"/>
      <c r="JRY158" s="250"/>
      <c r="JRZ158" s="250"/>
      <c r="JSA158" s="250"/>
      <c r="JSB158" s="250"/>
      <c r="JSC158" s="250"/>
      <c r="JSD158" s="250"/>
      <c r="JSE158" s="250"/>
      <c r="JSF158" s="250"/>
      <c r="JSG158" s="250"/>
      <c r="JSH158" s="250"/>
      <c r="JSI158" s="250"/>
      <c r="JSJ158" s="250"/>
      <c r="JSK158" s="250"/>
      <c r="JSL158" s="250"/>
      <c r="JSM158" s="250"/>
      <c r="JSN158" s="250"/>
      <c r="JSO158" s="250"/>
      <c r="JSP158" s="250"/>
      <c r="JSQ158" s="250"/>
      <c r="JSR158" s="250"/>
      <c r="JSS158" s="250"/>
      <c r="JST158" s="250"/>
      <c r="JSU158" s="250"/>
      <c r="JSV158" s="250"/>
      <c r="JSW158" s="250"/>
      <c r="JSX158" s="250"/>
      <c r="JSY158" s="250"/>
      <c r="JSZ158" s="250"/>
      <c r="JTA158" s="250"/>
      <c r="JTB158" s="250"/>
      <c r="JTC158" s="250"/>
      <c r="JTD158" s="250"/>
      <c r="JTE158" s="250"/>
      <c r="JTF158" s="250"/>
      <c r="JTG158" s="250"/>
      <c r="JTH158" s="250"/>
      <c r="JTI158" s="250"/>
      <c r="JTJ158" s="250"/>
      <c r="JTK158" s="250"/>
      <c r="JTL158" s="250"/>
      <c r="JTM158" s="250"/>
      <c r="JTN158" s="250"/>
      <c r="JTO158" s="250"/>
      <c r="JTP158" s="250"/>
      <c r="JTQ158" s="250"/>
      <c r="JTR158" s="250"/>
      <c r="JTS158" s="250"/>
      <c r="JTT158" s="250"/>
      <c r="JTU158" s="250"/>
      <c r="JTV158" s="250"/>
      <c r="JTW158" s="250"/>
      <c r="JTX158" s="250"/>
      <c r="JTY158" s="250"/>
      <c r="JTZ158" s="250"/>
      <c r="JUA158" s="250"/>
      <c r="JUB158" s="250"/>
      <c r="JUC158" s="250"/>
      <c r="JUD158" s="250"/>
      <c r="JUE158" s="250"/>
      <c r="JUF158" s="250"/>
      <c r="JUG158" s="250"/>
      <c r="JUH158" s="250"/>
      <c r="JUI158" s="250"/>
      <c r="JUJ158" s="250"/>
      <c r="JUK158" s="250"/>
      <c r="JUL158" s="250"/>
      <c r="JUM158" s="250"/>
      <c r="JUN158" s="250"/>
      <c r="JUO158" s="250"/>
      <c r="JUP158" s="250"/>
      <c r="JUQ158" s="250"/>
      <c r="JUR158" s="250"/>
      <c r="JUS158" s="250"/>
      <c r="JUT158" s="250"/>
      <c r="JUU158" s="250"/>
      <c r="JUV158" s="250"/>
      <c r="JUW158" s="250"/>
      <c r="JUX158" s="250"/>
      <c r="JUY158" s="250"/>
      <c r="JUZ158" s="250"/>
      <c r="JVA158" s="250"/>
      <c r="JVB158" s="250"/>
      <c r="JVC158" s="250"/>
      <c r="JVD158" s="250"/>
      <c r="JVE158" s="250"/>
      <c r="JVF158" s="250"/>
      <c r="JVG158" s="250"/>
      <c r="JVH158" s="250"/>
      <c r="JVI158" s="250"/>
      <c r="JVJ158" s="250"/>
      <c r="JVK158" s="250"/>
      <c r="JVL158" s="250"/>
      <c r="JVM158" s="250"/>
      <c r="JVN158" s="250"/>
      <c r="JVO158" s="250"/>
      <c r="JVP158" s="250"/>
      <c r="JVQ158" s="250"/>
      <c r="JVR158" s="250"/>
      <c r="JVS158" s="250"/>
      <c r="JVT158" s="250"/>
      <c r="JVU158" s="250"/>
      <c r="JVV158" s="250"/>
      <c r="JVW158" s="250"/>
      <c r="JVX158" s="250"/>
      <c r="JVY158" s="250"/>
      <c r="JVZ158" s="250"/>
      <c r="JWA158" s="250"/>
      <c r="JWB158" s="250"/>
      <c r="JWC158" s="250"/>
      <c r="JWD158" s="250"/>
      <c r="JWE158" s="250"/>
      <c r="JWF158" s="250"/>
      <c r="JWG158" s="250"/>
      <c r="JWH158" s="250"/>
      <c r="JWI158" s="250"/>
      <c r="JWJ158" s="250"/>
      <c r="JWK158" s="250"/>
      <c r="JWL158" s="250"/>
      <c r="JWM158" s="250"/>
      <c r="JWN158" s="250"/>
      <c r="JWO158" s="250"/>
      <c r="JWP158" s="250"/>
      <c r="JWQ158" s="250"/>
      <c r="JWR158" s="250"/>
      <c r="JWS158" s="250"/>
      <c r="JWT158" s="250"/>
      <c r="JWU158" s="250"/>
      <c r="JWV158" s="250"/>
      <c r="JWW158" s="250"/>
      <c r="JWX158" s="250"/>
      <c r="JWY158" s="250"/>
      <c r="JWZ158" s="250"/>
      <c r="JXA158" s="250"/>
      <c r="JXB158" s="250"/>
      <c r="JXC158" s="250"/>
      <c r="JXD158" s="250"/>
      <c r="JXE158" s="250"/>
      <c r="JXF158" s="250"/>
      <c r="JXG158" s="250"/>
      <c r="JXH158" s="250"/>
      <c r="JXI158" s="250"/>
      <c r="JXJ158" s="250"/>
      <c r="JXK158" s="250"/>
      <c r="JXL158" s="250"/>
      <c r="JXM158" s="250"/>
      <c r="JXN158" s="250"/>
      <c r="JXO158" s="250"/>
      <c r="JXP158" s="250"/>
      <c r="JXQ158" s="250"/>
      <c r="JXR158" s="250"/>
      <c r="JXS158" s="250"/>
      <c r="JXT158" s="250"/>
      <c r="JXU158" s="250"/>
      <c r="JXV158" s="250"/>
      <c r="JXW158" s="250"/>
      <c r="JXX158" s="250"/>
      <c r="JXY158" s="250"/>
      <c r="JXZ158" s="250"/>
      <c r="JYA158" s="250"/>
      <c r="JYB158" s="250"/>
      <c r="JYC158" s="250"/>
      <c r="JYD158" s="250"/>
      <c r="JYE158" s="250"/>
      <c r="JYF158" s="250"/>
      <c r="JYG158" s="250"/>
      <c r="JYH158" s="250"/>
      <c r="JYI158" s="250"/>
      <c r="JYJ158" s="250"/>
      <c r="JYK158" s="250"/>
      <c r="JYL158" s="250"/>
      <c r="JYM158" s="250"/>
      <c r="JYN158" s="250"/>
      <c r="JYO158" s="250"/>
      <c r="JYP158" s="250"/>
      <c r="JYQ158" s="250"/>
      <c r="JYR158" s="250"/>
      <c r="JYS158" s="250"/>
      <c r="JYT158" s="250"/>
      <c r="JYU158" s="250"/>
      <c r="JYV158" s="250"/>
      <c r="JYW158" s="250"/>
      <c r="JYX158" s="250"/>
      <c r="JYY158" s="250"/>
      <c r="JYZ158" s="250"/>
      <c r="JZA158" s="250"/>
      <c r="JZB158" s="250"/>
      <c r="JZC158" s="250"/>
      <c r="JZD158" s="250"/>
      <c r="JZE158" s="250"/>
      <c r="JZF158" s="250"/>
      <c r="JZG158" s="250"/>
      <c r="JZH158" s="250"/>
      <c r="JZI158" s="250"/>
      <c r="JZJ158" s="250"/>
      <c r="JZK158" s="250"/>
      <c r="JZL158" s="250"/>
      <c r="JZM158" s="250"/>
      <c r="JZN158" s="250"/>
      <c r="JZO158" s="250"/>
      <c r="JZP158" s="250"/>
      <c r="JZQ158" s="250"/>
      <c r="JZR158" s="250"/>
      <c r="JZS158" s="250"/>
      <c r="JZT158" s="250"/>
      <c r="JZU158" s="250"/>
      <c r="JZV158" s="250"/>
      <c r="JZW158" s="250"/>
      <c r="JZX158" s="250"/>
      <c r="JZY158" s="250"/>
      <c r="JZZ158" s="250"/>
      <c r="KAA158" s="250"/>
      <c r="KAB158" s="250"/>
      <c r="KAC158" s="250"/>
      <c r="KAD158" s="250"/>
      <c r="KAE158" s="250"/>
      <c r="KAF158" s="250"/>
      <c r="KAG158" s="250"/>
      <c r="KAH158" s="250"/>
      <c r="KAI158" s="250"/>
      <c r="KAJ158" s="250"/>
      <c r="KAK158" s="250"/>
      <c r="KAL158" s="250"/>
      <c r="KAM158" s="250"/>
      <c r="KAN158" s="250"/>
      <c r="KAO158" s="250"/>
      <c r="KAP158" s="250"/>
      <c r="KAQ158" s="250"/>
      <c r="KAR158" s="250"/>
      <c r="KAS158" s="250"/>
      <c r="KAT158" s="250"/>
      <c r="KAU158" s="250"/>
      <c r="KAV158" s="250"/>
      <c r="KAW158" s="250"/>
      <c r="KAX158" s="250"/>
      <c r="KAY158" s="250"/>
      <c r="KAZ158" s="250"/>
      <c r="KBA158" s="250"/>
      <c r="KBB158" s="250"/>
      <c r="KBC158" s="250"/>
      <c r="KBD158" s="250"/>
      <c r="KBE158" s="250"/>
      <c r="KBF158" s="250"/>
      <c r="KBG158" s="250"/>
      <c r="KBH158" s="250"/>
      <c r="KBI158" s="250"/>
      <c r="KBJ158" s="250"/>
      <c r="KBK158" s="250"/>
      <c r="KBL158" s="250"/>
      <c r="KBM158" s="250"/>
      <c r="KBN158" s="250"/>
      <c r="KBO158" s="250"/>
      <c r="KBP158" s="250"/>
      <c r="KBQ158" s="250"/>
      <c r="KBR158" s="250"/>
      <c r="KBS158" s="250"/>
      <c r="KBT158" s="250"/>
      <c r="KBU158" s="250"/>
      <c r="KBV158" s="250"/>
      <c r="KBW158" s="250"/>
      <c r="KBX158" s="250"/>
      <c r="KBY158" s="250"/>
      <c r="KBZ158" s="250"/>
      <c r="KCA158" s="250"/>
      <c r="KCB158" s="250"/>
      <c r="KCC158" s="250"/>
      <c r="KCD158" s="250"/>
      <c r="KCE158" s="250"/>
      <c r="KCF158" s="250"/>
      <c r="KCG158" s="250"/>
      <c r="KCH158" s="250"/>
      <c r="KCI158" s="250"/>
      <c r="KCJ158" s="250"/>
      <c r="KCK158" s="250"/>
      <c r="KCL158" s="250"/>
      <c r="KCM158" s="250"/>
      <c r="KCN158" s="250"/>
      <c r="KCO158" s="250"/>
      <c r="KCP158" s="250"/>
      <c r="KCQ158" s="250"/>
      <c r="KCR158" s="250"/>
      <c r="KCS158" s="250"/>
      <c r="KCT158" s="250"/>
      <c r="KCU158" s="250"/>
      <c r="KCV158" s="250"/>
      <c r="KCW158" s="250"/>
      <c r="KCX158" s="250"/>
      <c r="KCY158" s="250"/>
      <c r="KCZ158" s="250"/>
      <c r="KDA158" s="250"/>
      <c r="KDB158" s="250"/>
      <c r="KDC158" s="250"/>
      <c r="KDD158" s="250"/>
      <c r="KDE158" s="250"/>
      <c r="KDF158" s="250"/>
      <c r="KDG158" s="250"/>
      <c r="KDH158" s="250"/>
      <c r="KDI158" s="250"/>
      <c r="KDJ158" s="250"/>
      <c r="KDK158" s="250"/>
      <c r="KDL158" s="250"/>
      <c r="KDM158" s="250"/>
      <c r="KDN158" s="250"/>
      <c r="KDO158" s="250"/>
      <c r="KDP158" s="250"/>
      <c r="KDQ158" s="250"/>
      <c r="KDR158" s="250"/>
      <c r="KDS158" s="250"/>
      <c r="KDT158" s="250"/>
      <c r="KDU158" s="250"/>
      <c r="KDV158" s="250"/>
      <c r="KDW158" s="250"/>
      <c r="KDX158" s="250"/>
      <c r="KDY158" s="250"/>
      <c r="KDZ158" s="250"/>
      <c r="KEA158" s="250"/>
      <c r="KEB158" s="250"/>
      <c r="KEC158" s="250"/>
      <c r="KED158" s="250"/>
      <c r="KEE158" s="250"/>
      <c r="KEF158" s="250"/>
      <c r="KEG158" s="250"/>
      <c r="KEH158" s="250"/>
      <c r="KEI158" s="250"/>
      <c r="KEJ158" s="250"/>
      <c r="KEK158" s="250"/>
      <c r="KEL158" s="250"/>
      <c r="KEM158" s="250"/>
      <c r="KEN158" s="250"/>
      <c r="KEO158" s="250"/>
      <c r="KEP158" s="250"/>
      <c r="KEQ158" s="250"/>
      <c r="KER158" s="250"/>
      <c r="KES158" s="250"/>
      <c r="KET158" s="250"/>
      <c r="KEU158" s="250"/>
      <c r="KEV158" s="250"/>
      <c r="KEW158" s="250"/>
      <c r="KEX158" s="250"/>
      <c r="KEY158" s="250"/>
      <c r="KEZ158" s="250"/>
      <c r="KFA158" s="250"/>
      <c r="KFB158" s="250"/>
      <c r="KFC158" s="250"/>
      <c r="KFD158" s="250"/>
      <c r="KFE158" s="250"/>
      <c r="KFF158" s="250"/>
      <c r="KFG158" s="250"/>
      <c r="KFH158" s="250"/>
      <c r="KFI158" s="250"/>
      <c r="KFJ158" s="250"/>
      <c r="KFK158" s="250"/>
      <c r="KFL158" s="250"/>
      <c r="KFM158" s="250"/>
      <c r="KFN158" s="250"/>
      <c r="KFO158" s="250"/>
      <c r="KFP158" s="250"/>
      <c r="KFQ158" s="250"/>
      <c r="KFR158" s="250"/>
      <c r="KFS158" s="250"/>
      <c r="KFT158" s="250"/>
      <c r="KFU158" s="250"/>
      <c r="KFV158" s="250"/>
      <c r="KFW158" s="250"/>
      <c r="KFX158" s="250"/>
      <c r="KFY158" s="250"/>
      <c r="KFZ158" s="250"/>
      <c r="KGA158" s="250"/>
      <c r="KGB158" s="250"/>
      <c r="KGC158" s="250"/>
      <c r="KGD158" s="250"/>
      <c r="KGE158" s="250"/>
      <c r="KGF158" s="250"/>
      <c r="KGG158" s="250"/>
      <c r="KGH158" s="250"/>
      <c r="KGI158" s="250"/>
      <c r="KGJ158" s="250"/>
      <c r="KGK158" s="250"/>
      <c r="KGL158" s="250"/>
      <c r="KGM158" s="250"/>
      <c r="KGN158" s="250"/>
      <c r="KGO158" s="250"/>
      <c r="KGP158" s="250"/>
      <c r="KGQ158" s="250"/>
      <c r="KGR158" s="250"/>
      <c r="KGS158" s="250"/>
      <c r="KGT158" s="250"/>
      <c r="KGU158" s="250"/>
      <c r="KGV158" s="250"/>
      <c r="KGW158" s="250"/>
      <c r="KGX158" s="250"/>
      <c r="KGY158" s="250"/>
      <c r="KGZ158" s="250"/>
      <c r="KHA158" s="250"/>
      <c r="KHB158" s="250"/>
      <c r="KHC158" s="250"/>
      <c r="KHD158" s="250"/>
      <c r="KHE158" s="250"/>
      <c r="KHF158" s="250"/>
      <c r="KHG158" s="250"/>
      <c r="KHH158" s="250"/>
      <c r="KHI158" s="250"/>
      <c r="KHJ158" s="250"/>
      <c r="KHK158" s="250"/>
      <c r="KHL158" s="250"/>
      <c r="KHM158" s="250"/>
      <c r="KHN158" s="250"/>
      <c r="KHO158" s="250"/>
      <c r="KHP158" s="250"/>
      <c r="KHQ158" s="250"/>
      <c r="KHR158" s="250"/>
      <c r="KHS158" s="250"/>
      <c r="KHT158" s="250"/>
      <c r="KHU158" s="250"/>
      <c r="KHV158" s="250"/>
      <c r="KHW158" s="250"/>
      <c r="KHX158" s="250"/>
      <c r="KHY158" s="250"/>
      <c r="KHZ158" s="250"/>
      <c r="KIA158" s="250"/>
      <c r="KIB158" s="250"/>
      <c r="KIC158" s="250"/>
      <c r="KID158" s="250"/>
      <c r="KIE158" s="250"/>
      <c r="KIF158" s="250"/>
      <c r="KIG158" s="250"/>
      <c r="KIH158" s="250"/>
      <c r="KII158" s="250"/>
      <c r="KIJ158" s="250"/>
      <c r="KIK158" s="250"/>
      <c r="KIL158" s="250"/>
      <c r="KIM158" s="250"/>
      <c r="KIN158" s="250"/>
      <c r="KIO158" s="250"/>
      <c r="KIP158" s="250"/>
      <c r="KIQ158" s="250"/>
      <c r="KIR158" s="250"/>
      <c r="KIS158" s="250"/>
      <c r="KIT158" s="250"/>
      <c r="KIU158" s="250"/>
      <c r="KIV158" s="250"/>
      <c r="KIW158" s="250"/>
      <c r="KIX158" s="250"/>
      <c r="KIY158" s="250"/>
      <c r="KIZ158" s="250"/>
      <c r="KJA158" s="250"/>
      <c r="KJB158" s="250"/>
      <c r="KJC158" s="250"/>
      <c r="KJD158" s="250"/>
      <c r="KJE158" s="250"/>
      <c r="KJF158" s="250"/>
      <c r="KJG158" s="250"/>
      <c r="KJH158" s="250"/>
      <c r="KJI158" s="250"/>
      <c r="KJJ158" s="250"/>
      <c r="KJK158" s="250"/>
      <c r="KJL158" s="250"/>
      <c r="KJM158" s="250"/>
      <c r="KJN158" s="250"/>
      <c r="KJO158" s="250"/>
      <c r="KJP158" s="250"/>
      <c r="KJQ158" s="250"/>
      <c r="KJR158" s="250"/>
      <c r="KJS158" s="250"/>
      <c r="KJT158" s="250"/>
      <c r="KJU158" s="250"/>
      <c r="KJV158" s="250"/>
      <c r="KJW158" s="250"/>
      <c r="KJX158" s="250"/>
      <c r="KJY158" s="250"/>
      <c r="KJZ158" s="250"/>
      <c r="KKA158" s="250"/>
      <c r="KKB158" s="250"/>
      <c r="KKC158" s="250"/>
      <c r="KKD158" s="250"/>
      <c r="KKE158" s="250"/>
      <c r="KKF158" s="250"/>
      <c r="KKG158" s="250"/>
      <c r="KKH158" s="250"/>
      <c r="KKI158" s="250"/>
      <c r="KKJ158" s="250"/>
      <c r="KKK158" s="250"/>
      <c r="KKL158" s="250"/>
      <c r="KKM158" s="250"/>
      <c r="KKN158" s="250"/>
      <c r="KKO158" s="250"/>
      <c r="KKP158" s="250"/>
      <c r="KKQ158" s="250"/>
      <c r="KKR158" s="250"/>
      <c r="KKS158" s="250"/>
      <c r="KKT158" s="250"/>
      <c r="KKU158" s="250"/>
      <c r="KKV158" s="250"/>
      <c r="KKW158" s="250"/>
      <c r="KKX158" s="250"/>
      <c r="KKY158" s="250"/>
      <c r="KKZ158" s="250"/>
      <c r="KLA158" s="250"/>
      <c r="KLB158" s="250"/>
      <c r="KLC158" s="250"/>
      <c r="KLD158" s="250"/>
      <c r="KLE158" s="250"/>
      <c r="KLF158" s="250"/>
      <c r="KLG158" s="250"/>
      <c r="KLH158" s="250"/>
      <c r="KLI158" s="250"/>
      <c r="KLJ158" s="250"/>
      <c r="KLK158" s="250"/>
      <c r="KLL158" s="250"/>
      <c r="KLM158" s="250"/>
      <c r="KLN158" s="250"/>
      <c r="KLO158" s="250"/>
      <c r="KLP158" s="250"/>
      <c r="KLQ158" s="250"/>
      <c r="KLR158" s="250"/>
      <c r="KLS158" s="250"/>
      <c r="KLT158" s="250"/>
      <c r="KLU158" s="250"/>
      <c r="KLV158" s="250"/>
      <c r="KLW158" s="250"/>
      <c r="KLX158" s="250"/>
      <c r="KLY158" s="250"/>
      <c r="KLZ158" s="250"/>
      <c r="KMA158" s="250"/>
      <c r="KMB158" s="250"/>
      <c r="KMC158" s="250"/>
      <c r="KMD158" s="250"/>
      <c r="KME158" s="250"/>
      <c r="KMF158" s="250"/>
      <c r="KMG158" s="250"/>
      <c r="KMH158" s="250"/>
      <c r="KMI158" s="250"/>
      <c r="KMJ158" s="250"/>
      <c r="KMK158" s="250"/>
      <c r="KML158" s="250"/>
      <c r="KMM158" s="250"/>
      <c r="KMN158" s="250"/>
      <c r="KMO158" s="250"/>
      <c r="KMP158" s="250"/>
      <c r="KMQ158" s="250"/>
      <c r="KMR158" s="250"/>
      <c r="KMS158" s="250"/>
      <c r="KMT158" s="250"/>
      <c r="KMU158" s="250"/>
      <c r="KMV158" s="250"/>
      <c r="KMW158" s="250"/>
      <c r="KMX158" s="250"/>
      <c r="KMY158" s="250"/>
      <c r="KMZ158" s="250"/>
      <c r="KNA158" s="250"/>
      <c r="KNB158" s="250"/>
      <c r="KNC158" s="250"/>
      <c r="KND158" s="250"/>
      <c r="KNE158" s="250"/>
      <c r="KNF158" s="250"/>
      <c r="KNG158" s="250"/>
      <c r="KNH158" s="250"/>
      <c r="KNI158" s="250"/>
      <c r="KNJ158" s="250"/>
      <c r="KNK158" s="250"/>
      <c r="KNL158" s="250"/>
      <c r="KNM158" s="250"/>
      <c r="KNN158" s="250"/>
      <c r="KNO158" s="250"/>
      <c r="KNP158" s="250"/>
      <c r="KNQ158" s="250"/>
      <c r="KNR158" s="250"/>
      <c r="KNS158" s="250"/>
      <c r="KNT158" s="250"/>
      <c r="KNU158" s="250"/>
      <c r="KNV158" s="250"/>
      <c r="KNW158" s="250"/>
      <c r="KNX158" s="250"/>
      <c r="KNY158" s="250"/>
      <c r="KNZ158" s="250"/>
      <c r="KOA158" s="250"/>
      <c r="KOB158" s="250"/>
      <c r="KOC158" s="250"/>
      <c r="KOD158" s="250"/>
      <c r="KOE158" s="250"/>
      <c r="KOF158" s="250"/>
      <c r="KOG158" s="250"/>
      <c r="KOH158" s="250"/>
      <c r="KOI158" s="250"/>
      <c r="KOJ158" s="250"/>
      <c r="KOK158" s="250"/>
      <c r="KOL158" s="250"/>
      <c r="KOM158" s="250"/>
      <c r="KON158" s="250"/>
      <c r="KOO158" s="250"/>
      <c r="KOP158" s="250"/>
      <c r="KOQ158" s="250"/>
      <c r="KOR158" s="250"/>
      <c r="KOS158" s="250"/>
      <c r="KOT158" s="250"/>
      <c r="KOU158" s="250"/>
      <c r="KOV158" s="250"/>
      <c r="KOW158" s="250"/>
      <c r="KOX158" s="250"/>
      <c r="KOY158" s="250"/>
      <c r="KOZ158" s="250"/>
      <c r="KPA158" s="250"/>
      <c r="KPB158" s="250"/>
      <c r="KPC158" s="250"/>
      <c r="KPD158" s="250"/>
      <c r="KPE158" s="250"/>
      <c r="KPF158" s="250"/>
      <c r="KPG158" s="250"/>
      <c r="KPH158" s="250"/>
      <c r="KPI158" s="250"/>
      <c r="KPJ158" s="250"/>
      <c r="KPK158" s="250"/>
      <c r="KPL158" s="250"/>
      <c r="KPM158" s="250"/>
      <c r="KPN158" s="250"/>
      <c r="KPO158" s="250"/>
      <c r="KPP158" s="250"/>
      <c r="KPQ158" s="250"/>
      <c r="KPR158" s="250"/>
      <c r="KPS158" s="250"/>
      <c r="KPT158" s="250"/>
      <c r="KPU158" s="250"/>
      <c r="KPV158" s="250"/>
      <c r="KPW158" s="250"/>
      <c r="KPX158" s="250"/>
      <c r="KPY158" s="250"/>
      <c r="KPZ158" s="250"/>
      <c r="KQA158" s="250"/>
      <c r="KQB158" s="250"/>
      <c r="KQC158" s="250"/>
      <c r="KQD158" s="250"/>
      <c r="KQE158" s="250"/>
      <c r="KQF158" s="250"/>
      <c r="KQG158" s="250"/>
      <c r="KQH158" s="250"/>
      <c r="KQI158" s="250"/>
      <c r="KQJ158" s="250"/>
      <c r="KQK158" s="250"/>
      <c r="KQL158" s="250"/>
      <c r="KQM158" s="250"/>
      <c r="KQN158" s="250"/>
      <c r="KQO158" s="250"/>
      <c r="KQP158" s="250"/>
      <c r="KQQ158" s="250"/>
      <c r="KQR158" s="250"/>
      <c r="KQS158" s="250"/>
      <c r="KQT158" s="250"/>
      <c r="KQU158" s="250"/>
      <c r="KQV158" s="250"/>
      <c r="KQW158" s="250"/>
      <c r="KQX158" s="250"/>
      <c r="KQY158" s="250"/>
      <c r="KQZ158" s="250"/>
      <c r="KRA158" s="250"/>
      <c r="KRB158" s="250"/>
      <c r="KRC158" s="250"/>
      <c r="KRD158" s="250"/>
      <c r="KRE158" s="250"/>
      <c r="KRF158" s="250"/>
      <c r="KRG158" s="250"/>
      <c r="KRH158" s="250"/>
      <c r="KRI158" s="250"/>
      <c r="KRJ158" s="250"/>
      <c r="KRK158" s="250"/>
      <c r="KRL158" s="250"/>
      <c r="KRM158" s="250"/>
      <c r="KRN158" s="250"/>
      <c r="KRO158" s="250"/>
      <c r="KRP158" s="250"/>
      <c r="KRQ158" s="250"/>
      <c r="KRR158" s="250"/>
      <c r="KRS158" s="250"/>
      <c r="KRT158" s="250"/>
      <c r="KRU158" s="250"/>
      <c r="KRV158" s="250"/>
      <c r="KRW158" s="250"/>
      <c r="KRX158" s="250"/>
      <c r="KRY158" s="250"/>
      <c r="KRZ158" s="250"/>
      <c r="KSA158" s="250"/>
      <c r="KSB158" s="250"/>
      <c r="KSC158" s="250"/>
      <c r="KSD158" s="250"/>
      <c r="KSE158" s="250"/>
      <c r="KSF158" s="250"/>
      <c r="KSG158" s="250"/>
      <c r="KSH158" s="250"/>
      <c r="KSI158" s="250"/>
      <c r="KSJ158" s="250"/>
      <c r="KSK158" s="250"/>
      <c r="KSL158" s="250"/>
      <c r="KSM158" s="250"/>
      <c r="KSN158" s="250"/>
      <c r="KSO158" s="250"/>
      <c r="KSP158" s="250"/>
      <c r="KSQ158" s="250"/>
      <c r="KSR158" s="250"/>
      <c r="KSS158" s="250"/>
      <c r="KST158" s="250"/>
      <c r="KSU158" s="250"/>
      <c r="KSV158" s="250"/>
      <c r="KSW158" s="250"/>
      <c r="KSX158" s="250"/>
      <c r="KSY158" s="250"/>
      <c r="KSZ158" s="250"/>
      <c r="KTA158" s="250"/>
      <c r="KTB158" s="250"/>
      <c r="KTC158" s="250"/>
      <c r="KTD158" s="250"/>
      <c r="KTE158" s="250"/>
      <c r="KTF158" s="250"/>
      <c r="KTG158" s="250"/>
      <c r="KTH158" s="250"/>
      <c r="KTI158" s="250"/>
      <c r="KTJ158" s="250"/>
      <c r="KTK158" s="250"/>
      <c r="KTL158" s="250"/>
      <c r="KTM158" s="250"/>
      <c r="KTN158" s="250"/>
      <c r="KTO158" s="250"/>
      <c r="KTP158" s="250"/>
      <c r="KTQ158" s="250"/>
      <c r="KTR158" s="250"/>
      <c r="KTS158" s="250"/>
      <c r="KTT158" s="250"/>
      <c r="KTU158" s="250"/>
      <c r="KTV158" s="250"/>
      <c r="KTW158" s="250"/>
      <c r="KTX158" s="250"/>
      <c r="KTY158" s="250"/>
      <c r="KTZ158" s="250"/>
      <c r="KUA158" s="250"/>
      <c r="KUB158" s="250"/>
      <c r="KUC158" s="250"/>
      <c r="KUD158" s="250"/>
      <c r="KUE158" s="250"/>
      <c r="KUF158" s="250"/>
      <c r="KUG158" s="250"/>
      <c r="KUH158" s="250"/>
      <c r="KUI158" s="250"/>
      <c r="KUJ158" s="250"/>
      <c r="KUK158" s="250"/>
      <c r="KUL158" s="250"/>
      <c r="KUM158" s="250"/>
      <c r="KUN158" s="250"/>
      <c r="KUO158" s="250"/>
      <c r="KUP158" s="250"/>
      <c r="KUQ158" s="250"/>
      <c r="KUR158" s="250"/>
      <c r="KUS158" s="250"/>
      <c r="KUT158" s="250"/>
      <c r="KUU158" s="250"/>
      <c r="KUV158" s="250"/>
      <c r="KUW158" s="250"/>
      <c r="KUX158" s="250"/>
      <c r="KUY158" s="250"/>
      <c r="KUZ158" s="250"/>
      <c r="KVA158" s="250"/>
      <c r="KVB158" s="250"/>
      <c r="KVC158" s="250"/>
      <c r="KVD158" s="250"/>
      <c r="KVE158" s="250"/>
      <c r="KVF158" s="250"/>
      <c r="KVG158" s="250"/>
      <c r="KVH158" s="250"/>
      <c r="KVI158" s="250"/>
      <c r="KVJ158" s="250"/>
      <c r="KVK158" s="250"/>
      <c r="KVL158" s="250"/>
      <c r="KVM158" s="250"/>
      <c r="KVN158" s="250"/>
      <c r="KVO158" s="250"/>
      <c r="KVP158" s="250"/>
      <c r="KVQ158" s="250"/>
      <c r="KVR158" s="250"/>
      <c r="KVS158" s="250"/>
      <c r="KVT158" s="250"/>
      <c r="KVU158" s="250"/>
      <c r="KVV158" s="250"/>
      <c r="KVW158" s="250"/>
      <c r="KVX158" s="250"/>
      <c r="KVY158" s="250"/>
      <c r="KVZ158" s="250"/>
      <c r="KWA158" s="250"/>
      <c r="KWB158" s="250"/>
      <c r="KWC158" s="250"/>
      <c r="KWD158" s="250"/>
      <c r="KWE158" s="250"/>
      <c r="KWF158" s="250"/>
      <c r="KWG158" s="250"/>
      <c r="KWH158" s="250"/>
      <c r="KWI158" s="250"/>
      <c r="KWJ158" s="250"/>
      <c r="KWK158" s="250"/>
      <c r="KWL158" s="250"/>
      <c r="KWM158" s="250"/>
      <c r="KWN158" s="250"/>
      <c r="KWO158" s="250"/>
      <c r="KWP158" s="250"/>
      <c r="KWQ158" s="250"/>
      <c r="KWR158" s="250"/>
      <c r="KWS158" s="250"/>
      <c r="KWT158" s="250"/>
      <c r="KWU158" s="250"/>
      <c r="KWV158" s="250"/>
      <c r="KWW158" s="250"/>
      <c r="KWX158" s="250"/>
      <c r="KWY158" s="250"/>
      <c r="KWZ158" s="250"/>
      <c r="KXA158" s="250"/>
      <c r="KXB158" s="250"/>
      <c r="KXC158" s="250"/>
      <c r="KXD158" s="250"/>
      <c r="KXE158" s="250"/>
      <c r="KXF158" s="250"/>
      <c r="KXG158" s="250"/>
      <c r="KXH158" s="250"/>
      <c r="KXI158" s="250"/>
      <c r="KXJ158" s="250"/>
      <c r="KXK158" s="250"/>
      <c r="KXL158" s="250"/>
      <c r="KXM158" s="250"/>
      <c r="KXN158" s="250"/>
      <c r="KXO158" s="250"/>
      <c r="KXP158" s="250"/>
      <c r="KXQ158" s="250"/>
      <c r="KXR158" s="250"/>
      <c r="KXS158" s="250"/>
      <c r="KXT158" s="250"/>
      <c r="KXU158" s="250"/>
      <c r="KXV158" s="250"/>
      <c r="KXW158" s="250"/>
      <c r="KXX158" s="250"/>
      <c r="KXY158" s="250"/>
      <c r="KXZ158" s="250"/>
      <c r="KYA158" s="250"/>
      <c r="KYB158" s="250"/>
      <c r="KYC158" s="250"/>
      <c r="KYD158" s="250"/>
      <c r="KYE158" s="250"/>
      <c r="KYF158" s="250"/>
      <c r="KYG158" s="250"/>
      <c r="KYH158" s="250"/>
      <c r="KYI158" s="250"/>
      <c r="KYJ158" s="250"/>
      <c r="KYK158" s="250"/>
      <c r="KYL158" s="250"/>
      <c r="KYM158" s="250"/>
      <c r="KYN158" s="250"/>
      <c r="KYO158" s="250"/>
      <c r="KYP158" s="250"/>
      <c r="KYQ158" s="250"/>
      <c r="KYR158" s="250"/>
      <c r="KYS158" s="250"/>
      <c r="KYT158" s="250"/>
      <c r="KYU158" s="250"/>
      <c r="KYV158" s="250"/>
      <c r="KYW158" s="250"/>
      <c r="KYX158" s="250"/>
      <c r="KYY158" s="250"/>
      <c r="KYZ158" s="250"/>
      <c r="KZA158" s="250"/>
      <c r="KZB158" s="250"/>
      <c r="KZC158" s="250"/>
      <c r="KZD158" s="250"/>
      <c r="KZE158" s="250"/>
      <c r="KZF158" s="250"/>
      <c r="KZG158" s="250"/>
      <c r="KZH158" s="250"/>
      <c r="KZI158" s="250"/>
      <c r="KZJ158" s="250"/>
      <c r="KZK158" s="250"/>
      <c r="KZL158" s="250"/>
      <c r="KZM158" s="250"/>
      <c r="KZN158" s="250"/>
      <c r="KZO158" s="250"/>
      <c r="KZP158" s="250"/>
      <c r="KZQ158" s="250"/>
      <c r="KZR158" s="250"/>
      <c r="KZS158" s="250"/>
      <c r="KZT158" s="250"/>
      <c r="KZU158" s="250"/>
      <c r="KZV158" s="250"/>
      <c r="KZW158" s="250"/>
      <c r="KZX158" s="250"/>
      <c r="KZY158" s="250"/>
      <c r="KZZ158" s="250"/>
      <c r="LAA158" s="250"/>
      <c r="LAB158" s="250"/>
      <c r="LAC158" s="250"/>
      <c r="LAD158" s="250"/>
      <c r="LAE158" s="250"/>
      <c r="LAF158" s="250"/>
      <c r="LAG158" s="250"/>
      <c r="LAH158" s="250"/>
      <c r="LAI158" s="250"/>
      <c r="LAJ158" s="250"/>
      <c r="LAK158" s="250"/>
      <c r="LAL158" s="250"/>
      <c r="LAM158" s="250"/>
      <c r="LAN158" s="250"/>
      <c r="LAO158" s="250"/>
      <c r="LAP158" s="250"/>
      <c r="LAQ158" s="250"/>
      <c r="LAR158" s="250"/>
      <c r="LAS158" s="250"/>
      <c r="LAT158" s="250"/>
      <c r="LAU158" s="250"/>
      <c r="LAV158" s="250"/>
      <c r="LAW158" s="250"/>
      <c r="LAX158" s="250"/>
      <c r="LAY158" s="250"/>
      <c r="LAZ158" s="250"/>
      <c r="LBA158" s="250"/>
      <c r="LBB158" s="250"/>
      <c r="LBC158" s="250"/>
      <c r="LBD158" s="250"/>
      <c r="LBE158" s="250"/>
      <c r="LBF158" s="250"/>
      <c r="LBG158" s="250"/>
      <c r="LBH158" s="250"/>
      <c r="LBI158" s="250"/>
      <c r="LBJ158" s="250"/>
      <c r="LBK158" s="250"/>
      <c r="LBL158" s="250"/>
      <c r="LBM158" s="250"/>
      <c r="LBN158" s="250"/>
      <c r="LBO158" s="250"/>
      <c r="LBP158" s="250"/>
      <c r="LBQ158" s="250"/>
      <c r="LBR158" s="250"/>
      <c r="LBS158" s="250"/>
      <c r="LBT158" s="250"/>
      <c r="LBU158" s="250"/>
      <c r="LBV158" s="250"/>
      <c r="LBW158" s="250"/>
      <c r="LBX158" s="250"/>
      <c r="LBY158" s="250"/>
      <c r="LBZ158" s="250"/>
      <c r="LCA158" s="250"/>
      <c r="LCB158" s="250"/>
      <c r="LCC158" s="250"/>
      <c r="LCD158" s="250"/>
      <c r="LCE158" s="250"/>
      <c r="LCF158" s="250"/>
      <c r="LCG158" s="250"/>
      <c r="LCH158" s="250"/>
      <c r="LCI158" s="250"/>
      <c r="LCJ158" s="250"/>
      <c r="LCK158" s="250"/>
      <c r="LCL158" s="250"/>
      <c r="LCM158" s="250"/>
      <c r="LCN158" s="250"/>
      <c r="LCO158" s="250"/>
      <c r="LCP158" s="250"/>
      <c r="LCQ158" s="250"/>
      <c r="LCR158" s="250"/>
      <c r="LCS158" s="250"/>
      <c r="LCT158" s="250"/>
      <c r="LCU158" s="250"/>
      <c r="LCV158" s="250"/>
      <c r="LCW158" s="250"/>
      <c r="LCX158" s="250"/>
      <c r="LCY158" s="250"/>
      <c r="LCZ158" s="250"/>
      <c r="LDA158" s="250"/>
      <c r="LDB158" s="250"/>
      <c r="LDC158" s="250"/>
      <c r="LDD158" s="250"/>
      <c r="LDE158" s="250"/>
      <c r="LDF158" s="250"/>
      <c r="LDG158" s="250"/>
      <c r="LDH158" s="250"/>
      <c r="LDI158" s="250"/>
      <c r="LDJ158" s="250"/>
      <c r="LDK158" s="250"/>
      <c r="LDL158" s="250"/>
      <c r="LDM158" s="250"/>
      <c r="LDN158" s="250"/>
      <c r="LDO158" s="250"/>
      <c r="LDP158" s="250"/>
      <c r="LDQ158" s="250"/>
      <c r="LDR158" s="250"/>
      <c r="LDS158" s="250"/>
      <c r="LDT158" s="250"/>
      <c r="LDU158" s="250"/>
      <c r="LDV158" s="250"/>
      <c r="LDW158" s="250"/>
      <c r="LDX158" s="250"/>
      <c r="LDY158" s="250"/>
      <c r="LDZ158" s="250"/>
      <c r="LEA158" s="250"/>
      <c r="LEB158" s="250"/>
      <c r="LEC158" s="250"/>
      <c r="LED158" s="250"/>
      <c r="LEE158" s="250"/>
      <c r="LEF158" s="250"/>
      <c r="LEG158" s="250"/>
      <c r="LEH158" s="250"/>
      <c r="LEI158" s="250"/>
      <c r="LEJ158" s="250"/>
      <c r="LEK158" s="250"/>
      <c r="LEL158" s="250"/>
      <c r="LEM158" s="250"/>
      <c r="LEN158" s="250"/>
      <c r="LEO158" s="250"/>
      <c r="LEP158" s="250"/>
      <c r="LEQ158" s="250"/>
      <c r="LER158" s="250"/>
      <c r="LES158" s="250"/>
      <c r="LET158" s="250"/>
      <c r="LEU158" s="250"/>
      <c r="LEV158" s="250"/>
      <c r="LEW158" s="250"/>
      <c r="LEX158" s="250"/>
      <c r="LEY158" s="250"/>
      <c r="LEZ158" s="250"/>
      <c r="LFA158" s="250"/>
      <c r="LFB158" s="250"/>
      <c r="LFC158" s="250"/>
      <c r="LFD158" s="250"/>
      <c r="LFE158" s="250"/>
      <c r="LFF158" s="250"/>
      <c r="LFG158" s="250"/>
      <c r="LFH158" s="250"/>
      <c r="LFI158" s="250"/>
      <c r="LFJ158" s="250"/>
      <c r="LFK158" s="250"/>
      <c r="LFL158" s="250"/>
      <c r="LFM158" s="250"/>
      <c r="LFN158" s="250"/>
      <c r="LFO158" s="250"/>
      <c r="LFP158" s="250"/>
      <c r="LFQ158" s="250"/>
      <c r="LFR158" s="250"/>
      <c r="LFS158" s="250"/>
      <c r="LFT158" s="250"/>
      <c r="LFU158" s="250"/>
      <c r="LFV158" s="250"/>
      <c r="LFW158" s="250"/>
      <c r="LFX158" s="250"/>
      <c r="LFY158" s="250"/>
      <c r="LFZ158" s="250"/>
      <c r="LGA158" s="250"/>
      <c r="LGB158" s="250"/>
      <c r="LGC158" s="250"/>
      <c r="LGD158" s="250"/>
      <c r="LGE158" s="250"/>
      <c r="LGF158" s="250"/>
      <c r="LGG158" s="250"/>
      <c r="LGH158" s="250"/>
      <c r="LGI158" s="250"/>
      <c r="LGJ158" s="250"/>
      <c r="LGK158" s="250"/>
      <c r="LGL158" s="250"/>
      <c r="LGM158" s="250"/>
      <c r="LGN158" s="250"/>
      <c r="LGO158" s="250"/>
      <c r="LGP158" s="250"/>
      <c r="LGQ158" s="250"/>
      <c r="LGR158" s="250"/>
      <c r="LGS158" s="250"/>
      <c r="LGT158" s="250"/>
      <c r="LGU158" s="250"/>
      <c r="LGV158" s="250"/>
      <c r="LGW158" s="250"/>
      <c r="LGX158" s="250"/>
      <c r="LGY158" s="250"/>
      <c r="LGZ158" s="250"/>
      <c r="LHA158" s="250"/>
      <c r="LHB158" s="250"/>
      <c r="LHC158" s="250"/>
      <c r="LHD158" s="250"/>
      <c r="LHE158" s="250"/>
      <c r="LHF158" s="250"/>
      <c r="LHG158" s="250"/>
      <c r="LHH158" s="250"/>
      <c r="LHI158" s="250"/>
      <c r="LHJ158" s="250"/>
      <c r="LHK158" s="250"/>
      <c r="LHL158" s="250"/>
      <c r="LHM158" s="250"/>
      <c r="LHN158" s="250"/>
      <c r="LHO158" s="250"/>
      <c r="LHP158" s="250"/>
      <c r="LHQ158" s="250"/>
      <c r="LHR158" s="250"/>
      <c r="LHS158" s="250"/>
      <c r="LHT158" s="250"/>
      <c r="LHU158" s="250"/>
      <c r="LHV158" s="250"/>
      <c r="LHW158" s="250"/>
      <c r="LHX158" s="250"/>
      <c r="LHY158" s="250"/>
      <c r="LHZ158" s="250"/>
      <c r="LIA158" s="250"/>
      <c r="LIB158" s="250"/>
      <c r="LIC158" s="250"/>
      <c r="LID158" s="250"/>
      <c r="LIE158" s="250"/>
      <c r="LIF158" s="250"/>
      <c r="LIG158" s="250"/>
      <c r="LIH158" s="250"/>
      <c r="LII158" s="250"/>
      <c r="LIJ158" s="250"/>
      <c r="LIK158" s="250"/>
      <c r="LIL158" s="250"/>
      <c r="LIM158" s="250"/>
      <c r="LIN158" s="250"/>
      <c r="LIO158" s="250"/>
      <c r="LIP158" s="250"/>
      <c r="LIQ158" s="250"/>
      <c r="LIR158" s="250"/>
      <c r="LIS158" s="250"/>
      <c r="LIT158" s="250"/>
      <c r="LIU158" s="250"/>
      <c r="LIV158" s="250"/>
      <c r="LIW158" s="250"/>
      <c r="LIX158" s="250"/>
      <c r="LIY158" s="250"/>
      <c r="LIZ158" s="250"/>
      <c r="LJA158" s="250"/>
      <c r="LJB158" s="250"/>
      <c r="LJC158" s="250"/>
      <c r="LJD158" s="250"/>
      <c r="LJE158" s="250"/>
      <c r="LJF158" s="250"/>
      <c r="LJG158" s="250"/>
      <c r="LJH158" s="250"/>
      <c r="LJI158" s="250"/>
      <c r="LJJ158" s="250"/>
      <c r="LJK158" s="250"/>
      <c r="LJL158" s="250"/>
      <c r="LJM158" s="250"/>
      <c r="LJN158" s="250"/>
      <c r="LJO158" s="250"/>
      <c r="LJP158" s="250"/>
      <c r="LJQ158" s="250"/>
      <c r="LJR158" s="250"/>
      <c r="LJS158" s="250"/>
      <c r="LJT158" s="250"/>
      <c r="LJU158" s="250"/>
      <c r="LJV158" s="250"/>
      <c r="LJW158" s="250"/>
      <c r="LJX158" s="250"/>
      <c r="LJY158" s="250"/>
      <c r="LJZ158" s="250"/>
      <c r="LKA158" s="250"/>
      <c r="LKB158" s="250"/>
      <c r="LKC158" s="250"/>
      <c r="LKD158" s="250"/>
      <c r="LKE158" s="250"/>
      <c r="LKF158" s="250"/>
      <c r="LKG158" s="250"/>
      <c r="LKH158" s="250"/>
      <c r="LKI158" s="250"/>
      <c r="LKJ158" s="250"/>
      <c r="LKK158" s="250"/>
      <c r="LKL158" s="250"/>
      <c r="LKM158" s="250"/>
      <c r="LKN158" s="250"/>
      <c r="LKO158" s="250"/>
      <c r="LKP158" s="250"/>
      <c r="LKQ158" s="250"/>
      <c r="LKR158" s="250"/>
      <c r="LKS158" s="250"/>
      <c r="LKT158" s="250"/>
      <c r="LKU158" s="250"/>
      <c r="LKV158" s="250"/>
      <c r="LKW158" s="250"/>
      <c r="LKX158" s="250"/>
      <c r="LKY158" s="250"/>
      <c r="LKZ158" s="250"/>
      <c r="LLA158" s="250"/>
      <c r="LLB158" s="250"/>
      <c r="LLC158" s="250"/>
      <c r="LLD158" s="250"/>
      <c r="LLE158" s="250"/>
      <c r="LLF158" s="250"/>
      <c r="LLG158" s="250"/>
      <c r="LLH158" s="250"/>
      <c r="LLI158" s="250"/>
      <c r="LLJ158" s="250"/>
      <c r="LLK158" s="250"/>
      <c r="LLL158" s="250"/>
      <c r="LLM158" s="250"/>
      <c r="LLN158" s="250"/>
      <c r="LLO158" s="250"/>
      <c r="LLP158" s="250"/>
      <c r="LLQ158" s="250"/>
      <c r="LLR158" s="250"/>
      <c r="LLS158" s="250"/>
      <c r="LLT158" s="250"/>
      <c r="LLU158" s="250"/>
      <c r="LLV158" s="250"/>
      <c r="LLW158" s="250"/>
      <c r="LLX158" s="250"/>
      <c r="LLY158" s="250"/>
      <c r="LLZ158" s="250"/>
      <c r="LMA158" s="250"/>
      <c r="LMB158" s="250"/>
      <c r="LMC158" s="250"/>
      <c r="LMD158" s="250"/>
      <c r="LME158" s="250"/>
      <c r="LMF158" s="250"/>
      <c r="LMG158" s="250"/>
      <c r="LMH158" s="250"/>
      <c r="LMI158" s="250"/>
      <c r="LMJ158" s="250"/>
      <c r="LMK158" s="250"/>
      <c r="LML158" s="250"/>
      <c r="LMM158" s="250"/>
      <c r="LMN158" s="250"/>
      <c r="LMO158" s="250"/>
      <c r="LMP158" s="250"/>
      <c r="LMQ158" s="250"/>
      <c r="LMR158" s="250"/>
      <c r="LMS158" s="250"/>
      <c r="LMT158" s="250"/>
      <c r="LMU158" s="250"/>
      <c r="LMV158" s="250"/>
      <c r="LMW158" s="250"/>
      <c r="LMX158" s="250"/>
      <c r="LMY158" s="250"/>
      <c r="LMZ158" s="250"/>
      <c r="LNA158" s="250"/>
      <c r="LNB158" s="250"/>
      <c r="LNC158" s="250"/>
      <c r="LND158" s="250"/>
      <c r="LNE158" s="250"/>
      <c r="LNF158" s="250"/>
      <c r="LNG158" s="250"/>
      <c r="LNH158" s="250"/>
      <c r="LNI158" s="250"/>
      <c r="LNJ158" s="250"/>
      <c r="LNK158" s="250"/>
      <c r="LNL158" s="250"/>
      <c r="LNM158" s="250"/>
      <c r="LNN158" s="250"/>
      <c r="LNO158" s="250"/>
      <c r="LNP158" s="250"/>
      <c r="LNQ158" s="250"/>
      <c r="LNR158" s="250"/>
      <c r="LNS158" s="250"/>
      <c r="LNT158" s="250"/>
      <c r="LNU158" s="250"/>
      <c r="LNV158" s="250"/>
      <c r="LNW158" s="250"/>
      <c r="LNX158" s="250"/>
      <c r="LNY158" s="250"/>
      <c r="LNZ158" s="250"/>
      <c r="LOA158" s="250"/>
      <c r="LOB158" s="250"/>
      <c r="LOC158" s="250"/>
      <c r="LOD158" s="250"/>
      <c r="LOE158" s="250"/>
      <c r="LOF158" s="250"/>
      <c r="LOG158" s="250"/>
      <c r="LOH158" s="250"/>
      <c r="LOI158" s="250"/>
      <c r="LOJ158" s="250"/>
      <c r="LOK158" s="250"/>
      <c r="LOL158" s="250"/>
      <c r="LOM158" s="250"/>
      <c r="LON158" s="250"/>
      <c r="LOO158" s="250"/>
      <c r="LOP158" s="250"/>
      <c r="LOQ158" s="250"/>
      <c r="LOR158" s="250"/>
      <c r="LOS158" s="250"/>
      <c r="LOT158" s="250"/>
      <c r="LOU158" s="250"/>
      <c r="LOV158" s="250"/>
      <c r="LOW158" s="250"/>
      <c r="LOX158" s="250"/>
      <c r="LOY158" s="250"/>
      <c r="LOZ158" s="250"/>
      <c r="LPA158" s="250"/>
      <c r="LPB158" s="250"/>
      <c r="LPC158" s="250"/>
      <c r="LPD158" s="250"/>
      <c r="LPE158" s="250"/>
      <c r="LPF158" s="250"/>
      <c r="LPG158" s="250"/>
      <c r="LPH158" s="250"/>
      <c r="LPI158" s="250"/>
      <c r="LPJ158" s="250"/>
      <c r="LPK158" s="250"/>
      <c r="LPL158" s="250"/>
      <c r="LPM158" s="250"/>
      <c r="LPN158" s="250"/>
      <c r="LPO158" s="250"/>
      <c r="LPP158" s="250"/>
      <c r="LPQ158" s="250"/>
      <c r="LPR158" s="250"/>
      <c r="LPS158" s="250"/>
      <c r="LPT158" s="250"/>
      <c r="LPU158" s="250"/>
      <c r="LPV158" s="250"/>
      <c r="LPW158" s="250"/>
      <c r="LPX158" s="250"/>
      <c r="LPY158" s="250"/>
      <c r="LPZ158" s="250"/>
      <c r="LQA158" s="250"/>
      <c r="LQB158" s="250"/>
      <c r="LQC158" s="250"/>
      <c r="LQD158" s="250"/>
      <c r="LQE158" s="250"/>
      <c r="LQF158" s="250"/>
      <c r="LQG158" s="250"/>
      <c r="LQH158" s="250"/>
      <c r="LQI158" s="250"/>
      <c r="LQJ158" s="250"/>
      <c r="LQK158" s="250"/>
      <c r="LQL158" s="250"/>
      <c r="LQM158" s="250"/>
      <c r="LQN158" s="250"/>
      <c r="LQO158" s="250"/>
      <c r="LQP158" s="250"/>
      <c r="LQQ158" s="250"/>
      <c r="LQR158" s="250"/>
      <c r="LQS158" s="250"/>
      <c r="LQT158" s="250"/>
      <c r="LQU158" s="250"/>
      <c r="LQV158" s="250"/>
      <c r="LQW158" s="250"/>
      <c r="LQX158" s="250"/>
      <c r="LQY158" s="250"/>
      <c r="LQZ158" s="250"/>
      <c r="LRA158" s="250"/>
      <c r="LRB158" s="250"/>
      <c r="LRC158" s="250"/>
      <c r="LRD158" s="250"/>
      <c r="LRE158" s="250"/>
      <c r="LRF158" s="250"/>
      <c r="LRG158" s="250"/>
      <c r="LRH158" s="250"/>
      <c r="LRI158" s="250"/>
      <c r="LRJ158" s="250"/>
      <c r="LRK158" s="250"/>
      <c r="LRL158" s="250"/>
      <c r="LRM158" s="250"/>
      <c r="LRN158" s="250"/>
      <c r="LRO158" s="250"/>
      <c r="LRP158" s="250"/>
      <c r="LRQ158" s="250"/>
      <c r="LRR158" s="250"/>
      <c r="LRS158" s="250"/>
      <c r="LRT158" s="250"/>
      <c r="LRU158" s="250"/>
      <c r="LRV158" s="250"/>
      <c r="LRW158" s="250"/>
      <c r="LRX158" s="250"/>
      <c r="LRY158" s="250"/>
      <c r="LRZ158" s="250"/>
      <c r="LSA158" s="250"/>
      <c r="LSB158" s="250"/>
      <c r="LSC158" s="250"/>
      <c r="LSD158" s="250"/>
      <c r="LSE158" s="250"/>
      <c r="LSF158" s="250"/>
      <c r="LSG158" s="250"/>
      <c r="LSH158" s="250"/>
      <c r="LSI158" s="250"/>
      <c r="LSJ158" s="250"/>
      <c r="LSK158" s="250"/>
      <c r="LSL158" s="250"/>
      <c r="LSM158" s="250"/>
      <c r="LSN158" s="250"/>
      <c r="LSO158" s="250"/>
      <c r="LSP158" s="250"/>
      <c r="LSQ158" s="250"/>
      <c r="LSR158" s="250"/>
      <c r="LSS158" s="250"/>
      <c r="LST158" s="250"/>
      <c r="LSU158" s="250"/>
      <c r="LSV158" s="250"/>
      <c r="LSW158" s="250"/>
      <c r="LSX158" s="250"/>
      <c r="LSY158" s="250"/>
      <c r="LSZ158" s="250"/>
      <c r="LTA158" s="250"/>
      <c r="LTB158" s="250"/>
      <c r="LTC158" s="250"/>
      <c r="LTD158" s="250"/>
      <c r="LTE158" s="250"/>
      <c r="LTF158" s="250"/>
      <c r="LTG158" s="250"/>
      <c r="LTH158" s="250"/>
      <c r="LTI158" s="250"/>
      <c r="LTJ158" s="250"/>
      <c r="LTK158" s="250"/>
      <c r="LTL158" s="250"/>
      <c r="LTM158" s="250"/>
      <c r="LTN158" s="250"/>
      <c r="LTO158" s="250"/>
      <c r="LTP158" s="250"/>
      <c r="LTQ158" s="250"/>
      <c r="LTR158" s="250"/>
      <c r="LTS158" s="250"/>
      <c r="LTT158" s="250"/>
      <c r="LTU158" s="250"/>
      <c r="LTV158" s="250"/>
      <c r="LTW158" s="250"/>
      <c r="LTX158" s="250"/>
      <c r="LTY158" s="250"/>
      <c r="LTZ158" s="250"/>
      <c r="LUA158" s="250"/>
      <c r="LUB158" s="250"/>
      <c r="LUC158" s="250"/>
      <c r="LUD158" s="250"/>
      <c r="LUE158" s="250"/>
      <c r="LUF158" s="250"/>
      <c r="LUG158" s="250"/>
      <c r="LUH158" s="250"/>
      <c r="LUI158" s="250"/>
      <c r="LUJ158" s="250"/>
      <c r="LUK158" s="250"/>
      <c r="LUL158" s="250"/>
      <c r="LUM158" s="250"/>
      <c r="LUN158" s="250"/>
      <c r="LUO158" s="250"/>
      <c r="LUP158" s="250"/>
      <c r="LUQ158" s="250"/>
      <c r="LUR158" s="250"/>
      <c r="LUS158" s="250"/>
      <c r="LUT158" s="250"/>
      <c r="LUU158" s="250"/>
      <c r="LUV158" s="250"/>
      <c r="LUW158" s="250"/>
      <c r="LUX158" s="250"/>
      <c r="LUY158" s="250"/>
      <c r="LUZ158" s="250"/>
      <c r="LVA158" s="250"/>
      <c r="LVB158" s="250"/>
      <c r="LVC158" s="250"/>
      <c r="LVD158" s="250"/>
      <c r="LVE158" s="250"/>
      <c r="LVF158" s="250"/>
      <c r="LVG158" s="250"/>
      <c r="LVH158" s="250"/>
      <c r="LVI158" s="250"/>
      <c r="LVJ158" s="250"/>
      <c r="LVK158" s="250"/>
      <c r="LVL158" s="250"/>
      <c r="LVM158" s="250"/>
      <c r="LVN158" s="250"/>
      <c r="LVO158" s="250"/>
      <c r="LVP158" s="250"/>
      <c r="LVQ158" s="250"/>
      <c r="LVR158" s="250"/>
      <c r="LVS158" s="250"/>
      <c r="LVT158" s="250"/>
      <c r="LVU158" s="250"/>
      <c r="LVV158" s="250"/>
      <c r="LVW158" s="250"/>
      <c r="LVX158" s="250"/>
      <c r="LVY158" s="250"/>
      <c r="LVZ158" s="250"/>
      <c r="LWA158" s="250"/>
      <c r="LWB158" s="250"/>
      <c r="LWC158" s="250"/>
      <c r="LWD158" s="250"/>
      <c r="LWE158" s="250"/>
      <c r="LWF158" s="250"/>
      <c r="LWG158" s="250"/>
      <c r="LWH158" s="250"/>
      <c r="LWI158" s="250"/>
      <c r="LWJ158" s="250"/>
      <c r="LWK158" s="250"/>
      <c r="LWL158" s="250"/>
      <c r="LWM158" s="250"/>
      <c r="LWN158" s="250"/>
      <c r="LWO158" s="250"/>
      <c r="LWP158" s="250"/>
      <c r="LWQ158" s="250"/>
      <c r="LWR158" s="250"/>
      <c r="LWS158" s="250"/>
      <c r="LWT158" s="250"/>
      <c r="LWU158" s="250"/>
      <c r="LWV158" s="250"/>
      <c r="LWW158" s="250"/>
      <c r="LWX158" s="250"/>
      <c r="LWY158" s="250"/>
      <c r="LWZ158" s="250"/>
      <c r="LXA158" s="250"/>
      <c r="LXB158" s="250"/>
      <c r="LXC158" s="250"/>
      <c r="LXD158" s="250"/>
      <c r="LXE158" s="250"/>
      <c r="LXF158" s="250"/>
      <c r="LXG158" s="250"/>
      <c r="LXH158" s="250"/>
      <c r="LXI158" s="250"/>
      <c r="LXJ158" s="250"/>
      <c r="LXK158" s="250"/>
      <c r="LXL158" s="250"/>
      <c r="LXM158" s="250"/>
      <c r="LXN158" s="250"/>
      <c r="LXO158" s="250"/>
      <c r="LXP158" s="250"/>
      <c r="LXQ158" s="250"/>
      <c r="LXR158" s="250"/>
      <c r="LXS158" s="250"/>
      <c r="LXT158" s="250"/>
      <c r="LXU158" s="250"/>
      <c r="LXV158" s="250"/>
      <c r="LXW158" s="250"/>
      <c r="LXX158" s="250"/>
      <c r="LXY158" s="250"/>
      <c r="LXZ158" s="250"/>
      <c r="LYA158" s="250"/>
      <c r="LYB158" s="250"/>
      <c r="LYC158" s="250"/>
      <c r="LYD158" s="250"/>
      <c r="LYE158" s="250"/>
      <c r="LYF158" s="250"/>
      <c r="LYG158" s="250"/>
      <c r="LYH158" s="250"/>
      <c r="LYI158" s="250"/>
      <c r="LYJ158" s="250"/>
      <c r="LYK158" s="250"/>
      <c r="LYL158" s="250"/>
      <c r="LYM158" s="250"/>
      <c r="LYN158" s="250"/>
      <c r="LYO158" s="250"/>
      <c r="LYP158" s="250"/>
      <c r="LYQ158" s="250"/>
      <c r="LYR158" s="250"/>
      <c r="LYS158" s="250"/>
      <c r="LYT158" s="250"/>
      <c r="LYU158" s="250"/>
      <c r="LYV158" s="250"/>
      <c r="LYW158" s="250"/>
      <c r="LYX158" s="250"/>
      <c r="LYY158" s="250"/>
      <c r="LYZ158" s="250"/>
      <c r="LZA158" s="250"/>
      <c r="LZB158" s="250"/>
      <c r="LZC158" s="250"/>
      <c r="LZD158" s="250"/>
      <c r="LZE158" s="250"/>
      <c r="LZF158" s="250"/>
      <c r="LZG158" s="250"/>
      <c r="LZH158" s="250"/>
      <c r="LZI158" s="250"/>
      <c r="LZJ158" s="250"/>
      <c r="LZK158" s="250"/>
      <c r="LZL158" s="250"/>
      <c r="LZM158" s="250"/>
      <c r="LZN158" s="250"/>
      <c r="LZO158" s="250"/>
      <c r="LZP158" s="250"/>
      <c r="LZQ158" s="250"/>
      <c r="LZR158" s="250"/>
      <c r="LZS158" s="250"/>
      <c r="LZT158" s="250"/>
      <c r="LZU158" s="250"/>
      <c r="LZV158" s="250"/>
      <c r="LZW158" s="250"/>
      <c r="LZX158" s="250"/>
      <c r="LZY158" s="250"/>
      <c r="LZZ158" s="250"/>
      <c r="MAA158" s="250"/>
      <c r="MAB158" s="250"/>
      <c r="MAC158" s="250"/>
      <c r="MAD158" s="250"/>
      <c r="MAE158" s="250"/>
      <c r="MAF158" s="250"/>
      <c r="MAG158" s="250"/>
      <c r="MAH158" s="250"/>
      <c r="MAI158" s="250"/>
      <c r="MAJ158" s="250"/>
      <c r="MAK158" s="250"/>
      <c r="MAL158" s="250"/>
      <c r="MAM158" s="250"/>
      <c r="MAN158" s="250"/>
      <c r="MAO158" s="250"/>
      <c r="MAP158" s="250"/>
      <c r="MAQ158" s="250"/>
      <c r="MAR158" s="250"/>
      <c r="MAS158" s="250"/>
      <c r="MAT158" s="250"/>
      <c r="MAU158" s="250"/>
      <c r="MAV158" s="250"/>
      <c r="MAW158" s="250"/>
      <c r="MAX158" s="250"/>
      <c r="MAY158" s="250"/>
      <c r="MAZ158" s="250"/>
      <c r="MBA158" s="250"/>
      <c r="MBB158" s="250"/>
      <c r="MBC158" s="250"/>
      <c r="MBD158" s="250"/>
      <c r="MBE158" s="250"/>
      <c r="MBF158" s="250"/>
      <c r="MBG158" s="250"/>
      <c r="MBH158" s="250"/>
      <c r="MBI158" s="250"/>
      <c r="MBJ158" s="250"/>
      <c r="MBK158" s="250"/>
      <c r="MBL158" s="250"/>
      <c r="MBM158" s="250"/>
      <c r="MBN158" s="250"/>
      <c r="MBO158" s="250"/>
      <c r="MBP158" s="250"/>
      <c r="MBQ158" s="250"/>
      <c r="MBR158" s="250"/>
      <c r="MBS158" s="250"/>
      <c r="MBT158" s="250"/>
      <c r="MBU158" s="250"/>
      <c r="MBV158" s="250"/>
      <c r="MBW158" s="250"/>
      <c r="MBX158" s="250"/>
      <c r="MBY158" s="250"/>
      <c r="MBZ158" s="250"/>
      <c r="MCA158" s="250"/>
      <c r="MCB158" s="250"/>
      <c r="MCC158" s="250"/>
      <c r="MCD158" s="250"/>
      <c r="MCE158" s="250"/>
      <c r="MCF158" s="250"/>
      <c r="MCG158" s="250"/>
      <c r="MCH158" s="250"/>
      <c r="MCI158" s="250"/>
      <c r="MCJ158" s="250"/>
      <c r="MCK158" s="250"/>
      <c r="MCL158" s="250"/>
      <c r="MCM158" s="250"/>
      <c r="MCN158" s="250"/>
      <c r="MCO158" s="250"/>
      <c r="MCP158" s="250"/>
      <c r="MCQ158" s="250"/>
      <c r="MCR158" s="250"/>
      <c r="MCS158" s="250"/>
      <c r="MCT158" s="250"/>
      <c r="MCU158" s="250"/>
      <c r="MCV158" s="250"/>
      <c r="MCW158" s="250"/>
      <c r="MCX158" s="250"/>
      <c r="MCY158" s="250"/>
      <c r="MCZ158" s="250"/>
      <c r="MDA158" s="250"/>
      <c r="MDB158" s="250"/>
      <c r="MDC158" s="250"/>
      <c r="MDD158" s="250"/>
      <c r="MDE158" s="250"/>
      <c r="MDF158" s="250"/>
      <c r="MDG158" s="250"/>
      <c r="MDH158" s="250"/>
      <c r="MDI158" s="250"/>
      <c r="MDJ158" s="250"/>
      <c r="MDK158" s="250"/>
      <c r="MDL158" s="250"/>
      <c r="MDM158" s="250"/>
      <c r="MDN158" s="250"/>
      <c r="MDO158" s="250"/>
      <c r="MDP158" s="250"/>
      <c r="MDQ158" s="250"/>
      <c r="MDR158" s="250"/>
      <c r="MDS158" s="250"/>
      <c r="MDT158" s="250"/>
      <c r="MDU158" s="250"/>
      <c r="MDV158" s="250"/>
      <c r="MDW158" s="250"/>
      <c r="MDX158" s="250"/>
      <c r="MDY158" s="250"/>
      <c r="MDZ158" s="250"/>
      <c r="MEA158" s="250"/>
      <c r="MEB158" s="250"/>
      <c r="MEC158" s="250"/>
      <c r="MED158" s="250"/>
      <c r="MEE158" s="250"/>
      <c r="MEF158" s="250"/>
      <c r="MEG158" s="250"/>
      <c r="MEH158" s="250"/>
      <c r="MEI158" s="250"/>
      <c r="MEJ158" s="250"/>
      <c r="MEK158" s="250"/>
      <c r="MEL158" s="250"/>
      <c r="MEM158" s="250"/>
      <c r="MEN158" s="250"/>
      <c r="MEO158" s="250"/>
      <c r="MEP158" s="250"/>
      <c r="MEQ158" s="250"/>
      <c r="MER158" s="250"/>
      <c r="MES158" s="250"/>
      <c r="MET158" s="250"/>
      <c r="MEU158" s="250"/>
      <c r="MEV158" s="250"/>
      <c r="MEW158" s="250"/>
      <c r="MEX158" s="250"/>
      <c r="MEY158" s="250"/>
      <c r="MEZ158" s="250"/>
      <c r="MFA158" s="250"/>
      <c r="MFB158" s="250"/>
      <c r="MFC158" s="250"/>
      <c r="MFD158" s="250"/>
      <c r="MFE158" s="250"/>
      <c r="MFF158" s="250"/>
      <c r="MFG158" s="250"/>
      <c r="MFH158" s="250"/>
      <c r="MFI158" s="250"/>
      <c r="MFJ158" s="250"/>
      <c r="MFK158" s="250"/>
      <c r="MFL158" s="250"/>
      <c r="MFM158" s="250"/>
      <c r="MFN158" s="250"/>
      <c r="MFO158" s="250"/>
      <c r="MFP158" s="250"/>
      <c r="MFQ158" s="250"/>
      <c r="MFR158" s="250"/>
      <c r="MFS158" s="250"/>
      <c r="MFT158" s="250"/>
      <c r="MFU158" s="250"/>
      <c r="MFV158" s="250"/>
      <c r="MFW158" s="250"/>
      <c r="MFX158" s="250"/>
      <c r="MFY158" s="250"/>
      <c r="MFZ158" s="250"/>
      <c r="MGA158" s="250"/>
      <c r="MGB158" s="250"/>
      <c r="MGC158" s="250"/>
      <c r="MGD158" s="250"/>
      <c r="MGE158" s="250"/>
      <c r="MGF158" s="250"/>
      <c r="MGG158" s="250"/>
      <c r="MGH158" s="250"/>
      <c r="MGI158" s="250"/>
      <c r="MGJ158" s="250"/>
      <c r="MGK158" s="250"/>
      <c r="MGL158" s="250"/>
      <c r="MGM158" s="250"/>
      <c r="MGN158" s="250"/>
      <c r="MGO158" s="250"/>
      <c r="MGP158" s="250"/>
      <c r="MGQ158" s="250"/>
      <c r="MGR158" s="250"/>
      <c r="MGS158" s="250"/>
      <c r="MGT158" s="250"/>
      <c r="MGU158" s="250"/>
      <c r="MGV158" s="250"/>
      <c r="MGW158" s="250"/>
      <c r="MGX158" s="250"/>
      <c r="MGY158" s="250"/>
      <c r="MGZ158" s="250"/>
      <c r="MHA158" s="250"/>
      <c r="MHB158" s="250"/>
      <c r="MHC158" s="250"/>
      <c r="MHD158" s="250"/>
      <c r="MHE158" s="250"/>
      <c r="MHF158" s="250"/>
      <c r="MHG158" s="250"/>
      <c r="MHH158" s="250"/>
      <c r="MHI158" s="250"/>
      <c r="MHJ158" s="250"/>
      <c r="MHK158" s="250"/>
      <c r="MHL158" s="250"/>
      <c r="MHM158" s="250"/>
      <c r="MHN158" s="250"/>
      <c r="MHO158" s="250"/>
      <c r="MHP158" s="250"/>
      <c r="MHQ158" s="250"/>
      <c r="MHR158" s="250"/>
      <c r="MHS158" s="250"/>
      <c r="MHT158" s="250"/>
      <c r="MHU158" s="250"/>
      <c r="MHV158" s="250"/>
      <c r="MHW158" s="250"/>
      <c r="MHX158" s="250"/>
      <c r="MHY158" s="250"/>
      <c r="MHZ158" s="250"/>
      <c r="MIA158" s="250"/>
      <c r="MIB158" s="250"/>
      <c r="MIC158" s="250"/>
      <c r="MID158" s="250"/>
      <c r="MIE158" s="250"/>
      <c r="MIF158" s="250"/>
      <c r="MIG158" s="250"/>
      <c r="MIH158" s="250"/>
      <c r="MII158" s="250"/>
      <c r="MIJ158" s="250"/>
      <c r="MIK158" s="250"/>
      <c r="MIL158" s="250"/>
      <c r="MIM158" s="250"/>
      <c r="MIN158" s="250"/>
      <c r="MIO158" s="250"/>
      <c r="MIP158" s="250"/>
      <c r="MIQ158" s="250"/>
      <c r="MIR158" s="250"/>
      <c r="MIS158" s="250"/>
      <c r="MIT158" s="250"/>
      <c r="MIU158" s="250"/>
      <c r="MIV158" s="250"/>
      <c r="MIW158" s="250"/>
      <c r="MIX158" s="250"/>
      <c r="MIY158" s="250"/>
      <c r="MIZ158" s="250"/>
      <c r="MJA158" s="250"/>
      <c r="MJB158" s="250"/>
      <c r="MJC158" s="250"/>
      <c r="MJD158" s="250"/>
      <c r="MJE158" s="250"/>
      <c r="MJF158" s="250"/>
      <c r="MJG158" s="250"/>
      <c r="MJH158" s="250"/>
      <c r="MJI158" s="250"/>
      <c r="MJJ158" s="250"/>
      <c r="MJK158" s="250"/>
      <c r="MJL158" s="250"/>
      <c r="MJM158" s="250"/>
      <c r="MJN158" s="250"/>
      <c r="MJO158" s="250"/>
      <c r="MJP158" s="250"/>
      <c r="MJQ158" s="250"/>
      <c r="MJR158" s="250"/>
      <c r="MJS158" s="250"/>
      <c r="MJT158" s="250"/>
      <c r="MJU158" s="250"/>
      <c r="MJV158" s="250"/>
      <c r="MJW158" s="250"/>
      <c r="MJX158" s="250"/>
      <c r="MJY158" s="250"/>
      <c r="MJZ158" s="250"/>
      <c r="MKA158" s="250"/>
      <c r="MKB158" s="250"/>
      <c r="MKC158" s="250"/>
      <c r="MKD158" s="250"/>
      <c r="MKE158" s="250"/>
      <c r="MKF158" s="250"/>
      <c r="MKG158" s="250"/>
      <c r="MKH158" s="250"/>
      <c r="MKI158" s="250"/>
      <c r="MKJ158" s="250"/>
      <c r="MKK158" s="250"/>
      <c r="MKL158" s="250"/>
      <c r="MKM158" s="250"/>
      <c r="MKN158" s="250"/>
      <c r="MKO158" s="250"/>
      <c r="MKP158" s="250"/>
      <c r="MKQ158" s="250"/>
      <c r="MKR158" s="250"/>
      <c r="MKS158" s="250"/>
      <c r="MKT158" s="250"/>
      <c r="MKU158" s="250"/>
      <c r="MKV158" s="250"/>
      <c r="MKW158" s="250"/>
      <c r="MKX158" s="250"/>
      <c r="MKY158" s="250"/>
      <c r="MKZ158" s="250"/>
      <c r="MLA158" s="250"/>
      <c r="MLB158" s="250"/>
      <c r="MLC158" s="250"/>
      <c r="MLD158" s="250"/>
      <c r="MLE158" s="250"/>
      <c r="MLF158" s="250"/>
      <c r="MLG158" s="250"/>
      <c r="MLH158" s="250"/>
      <c r="MLI158" s="250"/>
      <c r="MLJ158" s="250"/>
      <c r="MLK158" s="250"/>
      <c r="MLL158" s="250"/>
      <c r="MLM158" s="250"/>
      <c r="MLN158" s="250"/>
      <c r="MLO158" s="250"/>
      <c r="MLP158" s="250"/>
      <c r="MLQ158" s="250"/>
      <c r="MLR158" s="250"/>
      <c r="MLS158" s="250"/>
      <c r="MLT158" s="250"/>
      <c r="MLU158" s="250"/>
      <c r="MLV158" s="250"/>
      <c r="MLW158" s="250"/>
      <c r="MLX158" s="250"/>
      <c r="MLY158" s="250"/>
      <c r="MLZ158" s="250"/>
      <c r="MMA158" s="250"/>
      <c r="MMB158" s="250"/>
      <c r="MMC158" s="250"/>
      <c r="MMD158" s="250"/>
      <c r="MME158" s="250"/>
      <c r="MMF158" s="250"/>
      <c r="MMG158" s="250"/>
      <c r="MMH158" s="250"/>
      <c r="MMI158" s="250"/>
      <c r="MMJ158" s="250"/>
      <c r="MMK158" s="250"/>
      <c r="MML158" s="250"/>
      <c r="MMM158" s="250"/>
      <c r="MMN158" s="250"/>
      <c r="MMO158" s="250"/>
      <c r="MMP158" s="250"/>
      <c r="MMQ158" s="250"/>
      <c r="MMR158" s="250"/>
      <c r="MMS158" s="250"/>
      <c r="MMT158" s="250"/>
      <c r="MMU158" s="250"/>
      <c r="MMV158" s="250"/>
      <c r="MMW158" s="250"/>
      <c r="MMX158" s="250"/>
      <c r="MMY158" s="250"/>
      <c r="MMZ158" s="250"/>
      <c r="MNA158" s="250"/>
      <c r="MNB158" s="250"/>
      <c r="MNC158" s="250"/>
      <c r="MND158" s="250"/>
      <c r="MNE158" s="250"/>
      <c r="MNF158" s="250"/>
      <c r="MNG158" s="250"/>
      <c r="MNH158" s="250"/>
      <c r="MNI158" s="250"/>
      <c r="MNJ158" s="250"/>
      <c r="MNK158" s="250"/>
      <c r="MNL158" s="250"/>
      <c r="MNM158" s="250"/>
      <c r="MNN158" s="250"/>
      <c r="MNO158" s="250"/>
      <c r="MNP158" s="250"/>
      <c r="MNQ158" s="250"/>
      <c r="MNR158" s="250"/>
      <c r="MNS158" s="250"/>
      <c r="MNT158" s="250"/>
      <c r="MNU158" s="250"/>
      <c r="MNV158" s="250"/>
      <c r="MNW158" s="250"/>
      <c r="MNX158" s="250"/>
      <c r="MNY158" s="250"/>
      <c r="MNZ158" s="250"/>
      <c r="MOA158" s="250"/>
      <c r="MOB158" s="250"/>
      <c r="MOC158" s="250"/>
      <c r="MOD158" s="250"/>
      <c r="MOE158" s="250"/>
      <c r="MOF158" s="250"/>
      <c r="MOG158" s="250"/>
      <c r="MOH158" s="250"/>
      <c r="MOI158" s="250"/>
      <c r="MOJ158" s="250"/>
      <c r="MOK158" s="250"/>
      <c r="MOL158" s="250"/>
      <c r="MOM158" s="250"/>
      <c r="MON158" s="250"/>
      <c r="MOO158" s="250"/>
      <c r="MOP158" s="250"/>
      <c r="MOQ158" s="250"/>
      <c r="MOR158" s="250"/>
      <c r="MOS158" s="250"/>
      <c r="MOT158" s="250"/>
      <c r="MOU158" s="250"/>
      <c r="MOV158" s="250"/>
      <c r="MOW158" s="250"/>
      <c r="MOX158" s="250"/>
      <c r="MOY158" s="250"/>
      <c r="MOZ158" s="250"/>
      <c r="MPA158" s="250"/>
      <c r="MPB158" s="250"/>
      <c r="MPC158" s="250"/>
      <c r="MPD158" s="250"/>
      <c r="MPE158" s="250"/>
      <c r="MPF158" s="250"/>
      <c r="MPG158" s="250"/>
      <c r="MPH158" s="250"/>
      <c r="MPI158" s="250"/>
      <c r="MPJ158" s="250"/>
      <c r="MPK158" s="250"/>
      <c r="MPL158" s="250"/>
      <c r="MPM158" s="250"/>
      <c r="MPN158" s="250"/>
      <c r="MPO158" s="250"/>
      <c r="MPP158" s="250"/>
      <c r="MPQ158" s="250"/>
      <c r="MPR158" s="250"/>
      <c r="MPS158" s="250"/>
      <c r="MPT158" s="250"/>
      <c r="MPU158" s="250"/>
      <c r="MPV158" s="250"/>
      <c r="MPW158" s="250"/>
      <c r="MPX158" s="250"/>
      <c r="MPY158" s="250"/>
      <c r="MPZ158" s="250"/>
      <c r="MQA158" s="250"/>
      <c r="MQB158" s="250"/>
      <c r="MQC158" s="250"/>
      <c r="MQD158" s="250"/>
      <c r="MQE158" s="250"/>
      <c r="MQF158" s="250"/>
      <c r="MQG158" s="250"/>
      <c r="MQH158" s="250"/>
      <c r="MQI158" s="250"/>
      <c r="MQJ158" s="250"/>
      <c r="MQK158" s="250"/>
      <c r="MQL158" s="250"/>
      <c r="MQM158" s="250"/>
      <c r="MQN158" s="250"/>
      <c r="MQO158" s="250"/>
      <c r="MQP158" s="250"/>
      <c r="MQQ158" s="250"/>
      <c r="MQR158" s="250"/>
      <c r="MQS158" s="250"/>
      <c r="MQT158" s="250"/>
      <c r="MQU158" s="250"/>
      <c r="MQV158" s="250"/>
      <c r="MQW158" s="250"/>
      <c r="MQX158" s="250"/>
      <c r="MQY158" s="250"/>
      <c r="MQZ158" s="250"/>
      <c r="MRA158" s="250"/>
      <c r="MRB158" s="250"/>
      <c r="MRC158" s="250"/>
      <c r="MRD158" s="250"/>
      <c r="MRE158" s="250"/>
      <c r="MRF158" s="250"/>
      <c r="MRG158" s="250"/>
      <c r="MRH158" s="250"/>
      <c r="MRI158" s="250"/>
      <c r="MRJ158" s="250"/>
      <c r="MRK158" s="250"/>
      <c r="MRL158" s="250"/>
      <c r="MRM158" s="250"/>
      <c r="MRN158" s="250"/>
      <c r="MRO158" s="250"/>
      <c r="MRP158" s="250"/>
      <c r="MRQ158" s="250"/>
      <c r="MRR158" s="250"/>
      <c r="MRS158" s="250"/>
      <c r="MRT158" s="250"/>
      <c r="MRU158" s="250"/>
      <c r="MRV158" s="250"/>
      <c r="MRW158" s="250"/>
      <c r="MRX158" s="250"/>
      <c r="MRY158" s="250"/>
      <c r="MRZ158" s="250"/>
      <c r="MSA158" s="250"/>
      <c r="MSB158" s="250"/>
      <c r="MSC158" s="250"/>
      <c r="MSD158" s="250"/>
      <c r="MSE158" s="250"/>
      <c r="MSF158" s="250"/>
      <c r="MSG158" s="250"/>
      <c r="MSH158" s="250"/>
      <c r="MSI158" s="250"/>
      <c r="MSJ158" s="250"/>
      <c r="MSK158" s="250"/>
      <c r="MSL158" s="250"/>
      <c r="MSM158" s="250"/>
      <c r="MSN158" s="250"/>
      <c r="MSO158" s="250"/>
      <c r="MSP158" s="250"/>
      <c r="MSQ158" s="250"/>
      <c r="MSR158" s="250"/>
      <c r="MSS158" s="250"/>
      <c r="MST158" s="250"/>
      <c r="MSU158" s="250"/>
      <c r="MSV158" s="250"/>
      <c r="MSW158" s="250"/>
      <c r="MSX158" s="250"/>
      <c r="MSY158" s="250"/>
      <c r="MSZ158" s="250"/>
      <c r="MTA158" s="250"/>
      <c r="MTB158" s="250"/>
      <c r="MTC158" s="250"/>
      <c r="MTD158" s="250"/>
      <c r="MTE158" s="250"/>
      <c r="MTF158" s="250"/>
      <c r="MTG158" s="250"/>
      <c r="MTH158" s="250"/>
      <c r="MTI158" s="250"/>
      <c r="MTJ158" s="250"/>
      <c r="MTK158" s="250"/>
      <c r="MTL158" s="250"/>
      <c r="MTM158" s="250"/>
      <c r="MTN158" s="250"/>
      <c r="MTO158" s="250"/>
      <c r="MTP158" s="250"/>
      <c r="MTQ158" s="250"/>
      <c r="MTR158" s="250"/>
      <c r="MTS158" s="250"/>
      <c r="MTT158" s="250"/>
      <c r="MTU158" s="250"/>
      <c r="MTV158" s="250"/>
      <c r="MTW158" s="250"/>
      <c r="MTX158" s="250"/>
      <c r="MTY158" s="250"/>
      <c r="MTZ158" s="250"/>
      <c r="MUA158" s="250"/>
      <c r="MUB158" s="250"/>
      <c r="MUC158" s="250"/>
      <c r="MUD158" s="250"/>
      <c r="MUE158" s="250"/>
      <c r="MUF158" s="250"/>
      <c r="MUG158" s="250"/>
      <c r="MUH158" s="250"/>
      <c r="MUI158" s="250"/>
      <c r="MUJ158" s="250"/>
      <c r="MUK158" s="250"/>
      <c r="MUL158" s="250"/>
      <c r="MUM158" s="250"/>
      <c r="MUN158" s="250"/>
      <c r="MUO158" s="250"/>
      <c r="MUP158" s="250"/>
      <c r="MUQ158" s="250"/>
      <c r="MUR158" s="250"/>
      <c r="MUS158" s="250"/>
      <c r="MUT158" s="250"/>
      <c r="MUU158" s="250"/>
      <c r="MUV158" s="250"/>
      <c r="MUW158" s="250"/>
      <c r="MUX158" s="250"/>
      <c r="MUY158" s="250"/>
      <c r="MUZ158" s="250"/>
      <c r="MVA158" s="250"/>
      <c r="MVB158" s="250"/>
      <c r="MVC158" s="250"/>
      <c r="MVD158" s="250"/>
      <c r="MVE158" s="250"/>
      <c r="MVF158" s="250"/>
      <c r="MVG158" s="250"/>
      <c r="MVH158" s="250"/>
      <c r="MVI158" s="250"/>
      <c r="MVJ158" s="250"/>
      <c r="MVK158" s="250"/>
      <c r="MVL158" s="250"/>
      <c r="MVM158" s="250"/>
      <c r="MVN158" s="250"/>
      <c r="MVO158" s="250"/>
      <c r="MVP158" s="250"/>
      <c r="MVQ158" s="250"/>
      <c r="MVR158" s="250"/>
      <c r="MVS158" s="250"/>
      <c r="MVT158" s="250"/>
      <c r="MVU158" s="250"/>
      <c r="MVV158" s="250"/>
      <c r="MVW158" s="250"/>
      <c r="MVX158" s="250"/>
      <c r="MVY158" s="250"/>
      <c r="MVZ158" s="250"/>
      <c r="MWA158" s="250"/>
      <c r="MWB158" s="250"/>
      <c r="MWC158" s="250"/>
      <c r="MWD158" s="250"/>
      <c r="MWE158" s="250"/>
      <c r="MWF158" s="250"/>
      <c r="MWG158" s="250"/>
      <c r="MWH158" s="250"/>
      <c r="MWI158" s="250"/>
      <c r="MWJ158" s="250"/>
      <c r="MWK158" s="250"/>
      <c r="MWL158" s="250"/>
      <c r="MWM158" s="250"/>
      <c r="MWN158" s="250"/>
      <c r="MWO158" s="250"/>
      <c r="MWP158" s="250"/>
      <c r="MWQ158" s="250"/>
      <c r="MWR158" s="250"/>
      <c r="MWS158" s="250"/>
      <c r="MWT158" s="250"/>
      <c r="MWU158" s="250"/>
      <c r="MWV158" s="250"/>
      <c r="MWW158" s="250"/>
      <c r="MWX158" s="250"/>
      <c r="MWY158" s="250"/>
      <c r="MWZ158" s="250"/>
      <c r="MXA158" s="250"/>
      <c r="MXB158" s="250"/>
      <c r="MXC158" s="250"/>
      <c r="MXD158" s="250"/>
      <c r="MXE158" s="250"/>
      <c r="MXF158" s="250"/>
      <c r="MXG158" s="250"/>
      <c r="MXH158" s="250"/>
      <c r="MXI158" s="250"/>
      <c r="MXJ158" s="250"/>
      <c r="MXK158" s="250"/>
      <c r="MXL158" s="250"/>
      <c r="MXM158" s="250"/>
      <c r="MXN158" s="250"/>
      <c r="MXO158" s="250"/>
      <c r="MXP158" s="250"/>
      <c r="MXQ158" s="250"/>
      <c r="MXR158" s="250"/>
      <c r="MXS158" s="250"/>
      <c r="MXT158" s="250"/>
      <c r="MXU158" s="250"/>
      <c r="MXV158" s="250"/>
      <c r="MXW158" s="250"/>
      <c r="MXX158" s="250"/>
      <c r="MXY158" s="250"/>
      <c r="MXZ158" s="250"/>
      <c r="MYA158" s="250"/>
      <c r="MYB158" s="250"/>
      <c r="MYC158" s="250"/>
      <c r="MYD158" s="250"/>
      <c r="MYE158" s="250"/>
      <c r="MYF158" s="250"/>
      <c r="MYG158" s="250"/>
      <c r="MYH158" s="250"/>
      <c r="MYI158" s="250"/>
      <c r="MYJ158" s="250"/>
      <c r="MYK158" s="250"/>
      <c r="MYL158" s="250"/>
      <c r="MYM158" s="250"/>
      <c r="MYN158" s="250"/>
      <c r="MYO158" s="250"/>
      <c r="MYP158" s="250"/>
      <c r="MYQ158" s="250"/>
      <c r="MYR158" s="250"/>
      <c r="MYS158" s="250"/>
      <c r="MYT158" s="250"/>
      <c r="MYU158" s="250"/>
      <c r="MYV158" s="250"/>
      <c r="MYW158" s="250"/>
      <c r="MYX158" s="250"/>
      <c r="MYY158" s="250"/>
      <c r="MYZ158" s="250"/>
      <c r="MZA158" s="250"/>
      <c r="MZB158" s="250"/>
      <c r="MZC158" s="250"/>
      <c r="MZD158" s="250"/>
      <c r="MZE158" s="250"/>
      <c r="MZF158" s="250"/>
      <c r="MZG158" s="250"/>
      <c r="MZH158" s="250"/>
      <c r="MZI158" s="250"/>
      <c r="MZJ158" s="250"/>
      <c r="MZK158" s="250"/>
      <c r="MZL158" s="250"/>
      <c r="MZM158" s="250"/>
      <c r="MZN158" s="250"/>
      <c r="MZO158" s="250"/>
      <c r="MZP158" s="250"/>
      <c r="MZQ158" s="250"/>
      <c r="MZR158" s="250"/>
      <c r="MZS158" s="250"/>
      <c r="MZT158" s="250"/>
      <c r="MZU158" s="250"/>
      <c r="MZV158" s="250"/>
      <c r="MZW158" s="250"/>
      <c r="MZX158" s="250"/>
      <c r="MZY158" s="250"/>
      <c r="MZZ158" s="250"/>
      <c r="NAA158" s="250"/>
      <c r="NAB158" s="250"/>
      <c r="NAC158" s="250"/>
      <c r="NAD158" s="250"/>
      <c r="NAE158" s="250"/>
      <c r="NAF158" s="250"/>
      <c r="NAG158" s="250"/>
      <c r="NAH158" s="250"/>
      <c r="NAI158" s="250"/>
      <c r="NAJ158" s="250"/>
      <c r="NAK158" s="250"/>
      <c r="NAL158" s="250"/>
      <c r="NAM158" s="250"/>
      <c r="NAN158" s="250"/>
      <c r="NAO158" s="250"/>
      <c r="NAP158" s="250"/>
      <c r="NAQ158" s="250"/>
      <c r="NAR158" s="250"/>
      <c r="NAS158" s="250"/>
      <c r="NAT158" s="250"/>
      <c r="NAU158" s="250"/>
      <c r="NAV158" s="250"/>
      <c r="NAW158" s="250"/>
      <c r="NAX158" s="250"/>
      <c r="NAY158" s="250"/>
      <c r="NAZ158" s="250"/>
      <c r="NBA158" s="250"/>
      <c r="NBB158" s="250"/>
      <c r="NBC158" s="250"/>
      <c r="NBD158" s="250"/>
      <c r="NBE158" s="250"/>
      <c r="NBF158" s="250"/>
      <c r="NBG158" s="250"/>
      <c r="NBH158" s="250"/>
      <c r="NBI158" s="250"/>
      <c r="NBJ158" s="250"/>
      <c r="NBK158" s="250"/>
      <c r="NBL158" s="250"/>
      <c r="NBM158" s="250"/>
      <c r="NBN158" s="250"/>
      <c r="NBO158" s="250"/>
      <c r="NBP158" s="250"/>
      <c r="NBQ158" s="250"/>
      <c r="NBR158" s="250"/>
      <c r="NBS158" s="250"/>
      <c r="NBT158" s="250"/>
      <c r="NBU158" s="250"/>
      <c r="NBV158" s="250"/>
      <c r="NBW158" s="250"/>
      <c r="NBX158" s="250"/>
      <c r="NBY158" s="250"/>
      <c r="NBZ158" s="250"/>
      <c r="NCA158" s="250"/>
      <c r="NCB158" s="250"/>
      <c r="NCC158" s="250"/>
      <c r="NCD158" s="250"/>
      <c r="NCE158" s="250"/>
      <c r="NCF158" s="250"/>
      <c r="NCG158" s="250"/>
      <c r="NCH158" s="250"/>
      <c r="NCI158" s="250"/>
      <c r="NCJ158" s="250"/>
      <c r="NCK158" s="250"/>
      <c r="NCL158" s="250"/>
      <c r="NCM158" s="250"/>
      <c r="NCN158" s="250"/>
      <c r="NCO158" s="250"/>
      <c r="NCP158" s="250"/>
      <c r="NCQ158" s="250"/>
      <c r="NCR158" s="250"/>
      <c r="NCS158" s="250"/>
      <c r="NCT158" s="250"/>
      <c r="NCU158" s="250"/>
      <c r="NCV158" s="250"/>
      <c r="NCW158" s="250"/>
      <c r="NCX158" s="250"/>
      <c r="NCY158" s="250"/>
      <c r="NCZ158" s="250"/>
      <c r="NDA158" s="250"/>
      <c r="NDB158" s="250"/>
      <c r="NDC158" s="250"/>
      <c r="NDD158" s="250"/>
      <c r="NDE158" s="250"/>
      <c r="NDF158" s="250"/>
      <c r="NDG158" s="250"/>
      <c r="NDH158" s="250"/>
      <c r="NDI158" s="250"/>
      <c r="NDJ158" s="250"/>
      <c r="NDK158" s="250"/>
      <c r="NDL158" s="250"/>
      <c r="NDM158" s="250"/>
      <c r="NDN158" s="250"/>
      <c r="NDO158" s="250"/>
      <c r="NDP158" s="250"/>
      <c r="NDQ158" s="250"/>
      <c r="NDR158" s="250"/>
      <c r="NDS158" s="250"/>
      <c r="NDT158" s="250"/>
      <c r="NDU158" s="250"/>
      <c r="NDV158" s="250"/>
      <c r="NDW158" s="250"/>
      <c r="NDX158" s="250"/>
      <c r="NDY158" s="250"/>
      <c r="NDZ158" s="250"/>
      <c r="NEA158" s="250"/>
      <c r="NEB158" s="250"/>
      <c r="NEC158" s="250"/>
      <c r="NED158" s="250"/>
      <c r="NEE158" s="250"/>
      <c r="NEF158" s="250"/>
      <c r="NEG158" s="250"/>
      <c r="NEH158" s="250"/>
      <c r="NEI158" s="250"/>
      <c r="NEJ158" s="250"/>
      <c r="NEK158" s="250"/>
      <c r="NEL158" s="250"/>
      <c r="NEM158" s="250"/>
      <c r="NEN158" s="250"/>
      <c r="NEO158" s="250"/>
      <c r="NEP158" s="250"/>
      <c r="NEQ158" s="250"/>
      <c r="NER158" s="250"/>
      <c r="NES158" s="250"/>
      <c r="NET158" s="250"/>
      <c r="NEU158" s="250"/>
      <c r="NEV158" s="250"/>
      <c r="NEW158" s="250"/>
      <c r="NEX158" s="250"/>
      <c r="NEY158" s="250"/>
      <c r="NEZ158" s="250"/>
      <c r="NFA158" s="250"/>
      <c r="NFB158" s="250"/>
      <c r="NFC158" s="250"/>
      <c r="NFD158" s="250"/>
      <c r="NFE158" s="250"/>
      <c r="NFF158" s="250"/>
      <c r="NFG158" s="250"/>
      <c r="NFH158" s="250"/>
      <c r="NFI158" s="250"/>
      <c r="NFJ158" s="250"/>
      <c r="NFK158" s="250"/>
      <c r="NFL158" s="250"/>
      <c r="NFM158" s="250"/>
      <c r="NFN158" s="250"/>
      <c r="NFO158" s="250"/>
      <c r="NFP158" s="250"/>
      <c r="NFQ158" s="250"/>
      <c r="NFR158" s="250"/>
      <c r="NFS158" s="250"/>
      <c r="NFT158" s="250"/>
      <c r="NFU158" s="250"/>
      <c r="NFV158" s="250"/>
      <c r="NFW158" s="250"/>
      <c r="NFX158" s="250"/>
      <c r="NFY158" s="250"/>
      <c r="NFZ158" s="250"/>
      <c r="NGA158" s="250"/>
      <c r="NGB158" s="250"/>
      <c r="NGC158" s="250"/>
      <c r="NGD158" s="250"/>
      <c r="NGE158" s="250"/>
      <c r="NGF158" s="250"/>
      <c r="NGG158" s="250"/>
      <c r="NGH158" s="250"/>
      <c r="NGI158" s="250"/>
      <c r="NGJ158" s="250"/>
      <c r="NGK158" s="250"/>
      <c r="NGL158" s="250"/>
      <c r="NGM158" s="250"/>
      <c r="NGN158" s="250"/>
      <c r="NGO158" s="250"/>
      <c r="NGP158" s="250"/>
      <c r="NGQ158" s="250"/>
      <c r="NGR158" s="250"/>
      <c r="NGS158" s="250"/>
      <c r="NGT158" s="250"/>
      <c r="NGU158" s="250"/>
      <c r="NGV158" s="250"/>
      <c r="NGW158" s="250"/>
      <c r="NGX158" s="250"/>
      <c r="NGY158" s="250"/>
      <c r="NGZ158" s="250"/>
      <c r="NHA158" s="250"/>
      <c r="NHB158" s="250"/>
      <c r="NHC158" s="250"/>
      <c r="NHD158" s="250"/>
      <c r="NHE158" s="250"/>
      <c r="NHF158" s="250"/>
      <c r="NHG158" s="250"/>
      <c r="NHH158" s="250"/>
      <c r="NHI158" s="250"/>
      <c r="NHJ158" s="250"/>
      <c r="NHK158" s="250"/>
      <c r="NHL158" s="250"/>
      <c r="NHM158" s="250"/>
      <c r="NHN158" s="250"/>
      <c r="NHO158" s="250"/>
      <c r="NHP158" s="250"/>
      <c r="NHQ158" s="250"/>
      <c r="NHR158" s="250"/>
      <c r="NHS158" s="250"/>
      <c r="NHT158" s="250"/>
      <c r="NHU158" s="250"/>
      <c r="NHV158" s="250"/>
      <c r="NHW158" s="250"/>
      <c r="NHX158" s="250"/>
      <c r="NHY158" s="250"/>
      <c r="NHZ158" s="250"/>
      <c r="NIA158" s="250"/>
      <c r="NIB158" s="250"/>
      <c r="NIC158" s="250"/>
      <c r="NID158" s="250"/>
      <c r="NIE158" s="250"/>
      <c r="NIF158" s="250"/>
      <c r="NIG158" s="250"/>
      <c r="NIH158" s="250"/>
      <c r="NII158" s="250"/>
      <c r="NIJ158" s="250"/>
      <c r="NIK158" s="250"/>
      <c r="NIL158" s="250"/>
      <c r="NIM158" s="250"/>
      <c r="NIN158" s="250"/>
      <c r="NIO158" s="250"/>
      <c r="NIP158" s="250"/>
      <c r="NIQ158" s="250"/>
      <c r="NIR158" s="250"/>
      <c r="NIS158" s="250"/>
      <c r="NIT158" s="250"/>
      <c r="NIU158" s="250"/>
      <c r="NIV158" s="250"/>
      <c r="NIW158" s="250"/>
      <c r="NIX158" s="250"/>
      <c r="NIY158" s="250"/>
      <c r="NIZ158" s="250"/>
      <c r="NJA158" s="250"/>
      <c r="NJB158" s="250"/>
      <c r="NJC158" s="250"/>
      <c r="NJD158" s="250"/>
      <c r="NJE158" s="250"/>
      <c r="NJF158" s="250"/>
      <c r="NJG158" s="250"/>
      <c r="NJH158" s="250"/>
      <c r="NJI158" s="250"/>
      <c r="NJJ158" s="250"/>
      <c r="NJK158" s="250"/>
      <c r="NJL158" s="250"/>
      <c r="NJM158" s="250"/>
      <c r="NJN158" s="250"/>
      <c r="NJO158" s="250"/>
      <c r="NJP158" s="250"/>
      <c r="NJQ158" s="250"/>
      <c r="NJR158" s="250"/>
      <c r="NJS158" s="250"/>
      <c r="NJT158" s="250"/>
      <c r="NJU158" s="250"/>
      <c r="NJV158" s="250"/>
      <c r="NJW158" s="250"/>
      <c r="NJX158" s="250"/>
      <c r="NJY158" s="250"/>
      <c r="NJZ158" s="250"/>
      <c r="NKA158" s="250"/>
      <c r="NKB158" s="250"/>
      <c r="NKC158" s="250"/>
      <c r="NKD158" s="250"/>
      <c r="NKE158" s="250"/>
      <c r="NKF158" s="250"/>
      <c r="NKG158" s="250"/>
      <c r="NKH158" s="250"/>
      <c r="NKI158" s="250"/>
      <c r="NKJ158" s="250"/>
      <c r="NKK158" s="250"/>
      <c r="NKL158" s="250"/>
      <c r="NKM158" s="250"/>
      <c r="NKN158" s="250"/>
      <c r="NKO158" s="250"/>
      <c r="NKP158" s="250"/>
      <c r="NKQ158" s="250"/>
      <c r="NKR158" s="250"/>
      <c r="NKS158" s="250"/>
      <c r="NKT158" s="250"/>
      <c r="NKU158" s="250"/>
      <c r="NKV158" s="250"/>
      <c r="NKW158" s="250"/>
      <c r="NKX158" s="250"/>
      <c r="NKY158" s="250"/>
      <c r="NKZ158" s="250"/>
      <c r="NLA158" s="250"/>
      <c r="NLB158" s="250"/>
      <c r="NLC158" s="250"/>
      <c r="NLD158" s="250"/>
      <c r="NLE158" s="250"/>
      <c r="NLF158" s="250"/>
      <c r="NLG158" s="250"/>
      <c r="NLH158" s="250"/>
      <c r="NLI158" s="250"/>
      <c r="NLJ158" s="250"/>
      <c r="NLK158" s="250"/>
      <c r="NLL158" s="250"/>
      <c r="NLM158" s="250"/>
      <c r="NLN158" s="250"/>
      <c r="NLO158" s="250"/>
      <c r="NLP158" s="250"/>
      <c r="NLQ158" s="250"/>
      <c r="NLR158" s="250"/>
      <c r="NLS158" s="250"/>
      <c r="NLT158" s="250"/>
      <c r="NLU158" s="250"/>
      <c r="NLV158" s="250"/>
      <c r="NLW158" s="250"/>
      <c r="NLX158" s="250"/>
      <c r="NLY158" s="250"/>
      <c r="NLZ158" s="250"/>
      <c r="NMA158" s="250"/>
      <c r="NMB158" s="250"/>
      <c r="NMC158" s="250"/>
      <c r="NMD158" s="250"/>
      <c r="NME158" s="250"/>
      <c r="NMF158" s="250"/>
      <c r="NMG158" s="250"/>
      <c r="NMH158" s="250"/>
      <c r="NMI158" s="250"/>
      <c r="NMJ158" s="250"/>
      <c r="NMK158" s="250"/>
      <c r="NML158" s="250"/>
      <c r="NMM158" s="250"/>
      <c r="NMN158" s="250"/>
      <c r="NMO158" s="250"/>
      <c r="NMP158" s="250"/>
      <c r="NMQ158" s="250"/>
      <c r="NMR158" s="250"/>
      <c r="NMS158" s="250"/>
      <c r="NMT158" s="250"/>
      <c r="NMU158" s="250"/>
      <c r="NMV158" s="250"/>
      <c r="NMW158" s="250"/>
      <c r="NMX158" s="250"/>
      <c r="NMY158" s="250"/>
      <c r="NMZ158" s="250"/>
      <c r="NNA158" s="250"/>
      <c r="NNB158" s="250"/>
      <c r="NNC158" s="250"/>
      <c r="NND158" s="250"/>
      <c r="NNE158" s="250"/>
      <c r="NNF158" s="250"/>
      <c r="NNG158" s="250"/>
      <c r="NNH158" s="250"/>
      <c r="NNI158" s="250"/>
      <c r="NNJ158" s="250"/>
      <c r="NNK158" s="250"/>
      <c r="NNL158" s="250"/>
      <c r="NNM158" s="250"/>
      <c r="NNN158" s="250"/>
      <c r="NNO158" s="250"/>
      <c r="NNP158" s="250"/>
      <c r="NNQ158" s="250"/>
      <c r="NNR158" s="250"/>
      <c r="NNS158" s="250"/>
      <c r="NNT158" s="250"/>
      <c r="NNU158" s="250"/>
      <c r="NNV158" s="250"/>
      <c r="NNW158" s="250"/>
      <c r="NNX158" s="250"/>
      <c r="NNY158" s="250"/>
      <c r="NNZ158" s="250"/>
      <c r="NOA158" s="250"/>
      <c r="NOB158" s="250"/>
      <c r="NOC158" s="250"/>
      <c r="NOD158" s="250"/>
      <c r="NOE158" s="250"/>
      <c r="NOF158" s="250"/>
      <c r="NOG158" s="250"/>
      <c r="NOH158" s="250"/>
      <c r="NOI158" s="250"/>
      <c r="NOJ158" s="250"/>
      <c r="NOK158" s="250"/>
      <c r="NOL158" s="250"/>
      <c r="NOM158" s="250"/>
      <c r="NON158" s="250"/>
      <c r="NOO158" s="250"/>
      <c r="NOP158" s="250"/>
      <c r="NOQ158" s="250"/>
      <c r="NOR158" s="250"/>
      <c r="NOS158" s="250"/>
      <c r="NOT158" s="250"/>
      <c r="NOU158" s="250"/>
      <c r="NOV158" s="250"/>
      <c r="NOW158" s="250"/>
      <c r="NOX158" s="250"/>
      <c r="NOY158" s="250"/>
      <c r="NOZ158" s="250"/>
      <c r="NPA158" s="250"/>
      <c r="NPB158" s="250"/>
      <c r="NPC158" s="250"/>
      <c r="NPD158" s="250"/>
      <c r="NPE158" s="250"/>
      <c r="NPF158" s="250"/>
      <c r="NPG158" s="250"/>
      <c r="NPH158" s="250"/>
      <c r="NPI158" s="250"/>
      <c r="NPJ158" s="250"/>
      <c r="NPK158" s="250"/>
      <c r="NPL158" s="250"/>
      <c r="NPM158" s="250"/>
      <c r="NPN158" s="250"/>
      <c r="NPO158" s="250"/>
      <c r="NPP158" s="250"/>
      <c r="NPQ158" s="250"/>
      <c r="NPR158" s="250"/>
      <c r="NPS158" s="250"/>
      <c r="NPT158" s="250"/>
      <c r="NPU158" s="250"/>
      <c r="NPV158" s="250"/>
      <c r="NPW158" s="250"/>
      <c r="NPX158" s="250"/>
      <c r="NPY158" s="250"/>
      <c r="NPZ158" s="250"/>
      <c r="NQA158" s="250"/>
      <c r="NQB158" s="250"/>
      <c r="NQC158" s="250"/>
      <c r="NQD158" s="250"/>
      <c r="NQE158" s="250"/>
      <c r="NQF158" s="250"/>
      <c r="NQG158" s="250"/>
      <c r="NQH158" s="250"/>
      <c r="NQI158" s="250"/>
      <c r="NQJ158" s="250"/>
      <c r="NQK158" s="250"/>
      <c r="NQL158" s="250"/>
      <c r="NQM158" s="250"/>
      <c r="NQN158" s="250"/>
      <c r="NQO158" s="250"/>
      <c r="NQP158" s="250"/>
      <c r="NQQ158" s="250"/>
      <c r="NQR158" s="250"/>
      <c r="NQS158" s="250"/>
      <c r="NQT158" s="250"/>
      <c r="NQU158" s="250"/>
      <c r="NQV158" s="250"/>
      <c r="NQW158" s="250"/>
      <c r="NQX158" s="250"/>
      <c r="NQY158" s="250"/>
      <c r="NQZ158" s="250"/>
      <c r="NRA158" s="250"/>
      <c r="NRB158" s="250"/>
      <c r="NRC158" s="250"/>
      <c r="NRD158" s="250"/>
      <c r="NRE158" s="250"/>
      <c r="NRF158" s="250"/>
      <c r="NRG158" s="250"/>
      <c r="NRH158" s="250"/>
      <c r="NRI158" s="250"/>
      <c r="NRJ158" s="250"/>
      <c r="NRK158" s="250"/>
      <c r="NRL158" s="250"/>
      <c r="NRM158" s="250"/>
      <c r="NRN158" s="250"/>
      <c r="NRO158" s="250"/>
      <c r="NRP158" s="250"/>
      <c r="NRQ158" s="250"/>
      <c r="NRR158" s="250"/>
      <c r="NRS158" s="250"/>
      <c r="NRT158" s="250"/>
      <c r="NRU158" s="250"/>
      <c r="NRV158" s="250"/>
      <c r="NRW158" s="250"/>
      <c r="NRX158" s="250"/>
      <c r="NRY158" s="250"/>
      <c r="NRZ158" s="250"/>
      <c r="NSA158" s="250"/>
      <c r="NSB158" s="250"/>
      <c r="NSC158" s="250"/>
      <c r="NSD158" s="250"/>
      <c r="NSE158" s="250"/>
      <c r="NSF158" s="250"/>
      <c r="NSG158" s="250"/>
      <c r="NSH158" s="250"/>
      <c r="NSI158" s="250"/>
      <c r="NSJ158" s="250"/>
      <c r="NSK158" s="250"/>
      <c r="NSL158" s="250"/>
      <c r="NSM158" s="250"/>
      <c r="NSN158" s="250"/>
      <c r="NSO158" s="250"/>
      <c r="NSP158" s="250"/>
      <c r="NSQ158" s="250"/>
      <c r="NSR158" s="250"/>
      <c r="NSS158" s="250"/>
      <c r="NST158" s="250"/>
      <c r="NSU158" s="250"/>
      <c r="NSV158" s="250"/>
      <c r="NSW158" s="250"/>
      <c r="NSX158" s="250"/>
      <c r="NSY158" s="250"/>
      <c r="NSZ158" s="250"/>
      <c r="NTA158" s="250"/>
      <c r="NTB158" s="250"/>
      <c r="NTC158" s="250"/>
      <c r="NTD158" s="250"/>
      <c r="NTE158" s="250"/>
      <c r="NTF158" s="250"/>
      <c r="NTG158" s="250"/>
      <c r="NTH158" s="250"/>
      <c r="NTI158" s="250"/>
      <c r="NTJ158" s="250"/>
      <c r="NTK158" s="250"/>
      <c r="NTL158" s="250"/>
      <c r="NTM158" s="250"/>
      <c r="NTN158" s="250"/>
      <c r="NTO158" s="250"/>
      <c r="NTP158" s="250"/>
      <c r="NTQ158" s="250"/>
      <c r="NTR158" s="250"/>
      <c r="NTS158" s="250"/>
      <c r="NTT158" s="250"/>
      <c r="NTU158" s="250"/>
      <c r="NTV158" s="250"/>
      <c r="NTW158" s="250"/>
      <c r="NTX158" s="250"/>
      <c r="NTY158" s="250"/>
      <c r="NTZ158" s="250"/>
      <c r="NUA158" s="250"/>
      <c r="NUB158" s="250"/>
      <c r="NUC158" s="250"/>
      <c r="NUD158" s="250"/>
      <c r="NUE158" s="250"/>
      <c r="NUF158" s="250"/>
      <c r="NUG158" s="250"/>
      <c r="NUH158" s="250"/>
      <c r="NUI158" s="250"/>
      <c r="NUJ158" s="250"/>
      <c r="NUK158" s="250"/>
      <c r="NUL158" s="250"/>
      <c r="NUM158" s="250"/>
      <c r="NUN158" s="250"/>
      <c r="NUO158" s="250"/>
      <c r="NUP158" s="250"/>
      <c r="NUQ158" s="250"/>
      <c r="NUR158" s="250"/>
      <c r="NUS158" s="250"/>
      <c r="NUT158" s="250"/>
      <c r="NUU158" s="250"/>
      <c r="NUV158" s="250"/>
      <c r="NUW158" s="250"/>
      <c r="NUX158" s="250"/>
      <c r="NUY158" s="250"/>
      <c r="NUZ158" s="250"/>
      <c r="NVA158" s="250"/>
      <c r="NVB158" s="250"/>
      <c r="NVC158" s="250"/>
      <c r="NVD158" s="250"/>
      <c r="NVE158" s="250"/>
      <c r="NVF158" s="250"/>
      <c r="NVG158" s="250"/>
      <c r="NVH158" s="250"/>
      <c r="NVI158" s="250"/>
      <c r="NVJ158" s="250"/>
      <c r="NVK158" s="250"/>
      <c r="NVL158" s="250"/>
      <c r="NVM158" s="250"/>
      <c r="NVN158" s="250"/>
      <c r="NVO158" s="250"/>
      <c r="NVP158" s="250"/>
      <c r="NVQ158" s="250"/>
      <c r="NVR158" s="250"/>
      <c r="NVS158" s="250"/>
      <c r="NVT158" s="250"/>
      <c r="NVU158" s="250"/>
      <c r="NVV158" s="250"/>
      <c r="NVW158" s="250"/>
      <c r="NVX158" s="250"/>
      <c r="NVY158" s="250"/>
      <c r="NVZ158" s="250"/>
      <c r="NWA158" s="250"/>
      <c r="NWB158" s="250"/>
      <c r="NWC158" s="250"/>
      <c r="NWD158" s="250"/>
      <c r="NWE158" s="250"/>
      <c r="NWF158" s="250"/>
      <c r="NWG158" s="250"/>
      <c r="NWH158" s="250"/>
      <c r="NWI158" s="250"/>
      <c r="NWJ158" s="250"/>
      <c r="NWK158" s="250"/>
      <c r="NWL158" s="250"/>
      <c r="NWM158" s="250"/>
      <c r="NWN158" s="250"/>
      <c r="NWO158" s="250"/>
      <c r="NWP158" s="250"/>
      <c r="NWQ158" s="250"/>
      <c r="NWR158" s="250"/>
      <c r="NWS158" s="250"/>
      <c r="NWT158" s="250"/>
      <c r="NWU158" s="250"/>
      <c r="NWV158" s="250"/>
      <c r="NWW158" s="250"/>
      <c r="NWX158" s="250"/>
      <c r="NWY158" s="250"/>
      <c r="NWZ158" s="250"/>
      <c r="NXA158" s="250"/>
      <c r="NXB158" s="250"/>
      <c r="NXC158" s="250"/>
      <c r="NXD158" s="250"/>
      <c r="NXE158" s="250"/>
      <c r="NXF158" s="250"/>
      <c r="NXG158" s="250"/>
      <c r="NXH158" s="250"/>
      <c r="NXI158" s="250"/>
      <c r="NXJ158" s="250"/>
      <c r="NXK158" s="250"/>
      <c r="NXL158" s="250"/>
      <c r="NXM158" s="250"/>
      <c r="NXN158" s="250"/>
      <c r="NXO158" s="250"/>
      <c r="NXP158" s="250"/>
      <c r="NXQ158" s="250"/>
      <c r="NXR158" s="250"/>
      <c r="NXS158" s="250"/>
      <c r="NXT158" s="250"/>
      <c r="NXU158" s="250"/>
      <c r="NXV158" s="250"/>
      <c r="NXW158" s="250"/>
      <c r="NXX158" s="250"/>
      <c r="NXY158" s="250"/>
      <c r="NXZ158" s="250"/>
      <c r="NYA158" s="250"/>
      <c r="NYB158" s="250"/>
      <c r="NYC158" s="250"/>
      <c r="NYD158" s="250"/>
      <c r="NYE158" s="250"/>
      <c r="NYF158" s="250"/>
      <c r="NYG158" s="250"/>
      <c r="NYH158" s="250"/>
      <c r="NYI158" s="250"/>
      <c r="NYJ158" s="250"/>
      <c r="NYK158" s="250"/>
      <c r="NYL158" s="250"/>
      <c r="NYM158" s="250"/>
      <c r="NYN158" s="250"/>
      <c r="NYO158" s="250"/>
      <c r="NYP158" s="250"/>
      <c r="NYQ158" s="250"/>
      <c r="NYR158" s="250"/>
      <c r="NYS158" s="250"/>
      <c r="NYT158" s="250"/>
      <c r="NYU158" s="250"/>
      <c r="NYV158" s="250"/>
      <c r="NYW158" s="250"/>
      <c r="NYX158" s="250"/>
      <c r="NYY158" s="250"/>
      <c r="NYZ158" s="250"/>
      <c r="NZA158" s="250"/>
      <c r="NZB158" s="250"/>
      <c r="NZC158" s="250"/>
      <c r="NZD158" s="250"/>
      <c r="NZE158" s="250"/>
      <c r="NZF158" s="250"/>
      <c r="NZG158" s="250"/>
      <c r="NZH158" s="250"/>
      <c r="NZI158" s="250"/>
      <c r="NZJ158" s="250"/>
      <c r="NZK158" s="250"/>
      <c r="NZL158" s="250"/>
      <c r="NZM158" s="250"/>
      <c r="NZN158" s="250"/>
      <c r="NZO158" s="250"/>
      <c r="NZP158" s="250"/>
      <c r="NZQ158" s="250"/>
      <c r="NZR158" s="250"/>
      <c r="NZS158" s="250"/>
      <c r="NZT158" s="250"/>
      <c r="NZU158" s="250"/>
      <c r="NZV158" s="250"/>
      <c r="NZW158" s="250"/>
      <c r="NZX158" s="250"/>
      <c r="NZY158" s="250"/>
      <c r="NZZ158" s="250"/>
      <c r="OAA158" s="250"/>
      <c r="OAB158" s="250"/>
      <c r="OAC158" s="250"/>
      <c r="OAD158" s="250"/>
      <c r="OAE158" s="250"/>
      <c r="OAF158" s="250"/>
      <c r="OAG158" s="250"/>
      <c r="OAH158" s="250"/>
      <c r="OAI158" s="250"/>
      <c r="OAJ158" s="250"/>
      <c r="OAK158" s="250"/>
      <c r="OAL158" s="250"/>
      <c r="OAM158" s="250"/>
      <c r="OAN158" s="250"/>
      <c r="OAO158" s="250"/>
      <c r="OAP158" s="250"/>
      <c r="OAQ158" s="250"/>
      <c r="OAR158" s="250"/>
      <c r="OAS158" s="250"/>
      <c r="OAT158" s="250"/>
      <c r="OAU158" s="250"/>
      <c r="OAV158" s="250"/>
      <c r="OAW158" s="250"/>
      <c r="OAX158" s="250"/>
      <c r="OAY158" s="250"/>
      <c r="OAZ158" s="250"/>
      <c r="OBA158" s="250"/>
      <c r="OBB158" s="250"/>
      <c r="OBC158" s="250"/>
      <c r="OBD158" s="250"/>
      <c r="OBE158" s="250"/>
      <c r="OBF158" s="250"/>
      <c r="OBG158" s="250"/>
      <c r="OBH158" s="250"/>
      <c r="OBI158" s="250"/>
      <c r="OBJ158" s="250"/>
      <c r="OBK158" s="250"/>
      <c r="OBL158" s="250"/>
      <c r="OBM158" s="250"/>
      <c r="OBN158" s="250"/>
      <c r="OBO158" s="250"/>
      <c r="OBP158" s="250"/>
      <c r="OBQ158" s="250"/>
      <c r="OBR158" s="250"/>
      <c r="OBS158" s="250"/>
      <c r="OBT158" s="250"/>
      <c r="OBU158" s="250"/>
      <c r="OBV158" s="250"/>
      <c r="OBW158" s="250"/>
      <c r="OBX158" s="250"/>
      <c r="OBY158" s="250"/>
      <c r="OBZ158" s="250"/>
      <c r="OCA158" s="250"/>
      <c r="OCB158" s="250"/>
      <c r="OCC158" s="250"/>
      <c r="OCD158" s="250"/>
      <c r="OCE158" s="250"/>
      <c r="OCF158" s="250"/>
      <c r="OCG158" s="250"/>
      <c r="OCH158" s="250"/>
      <c r="OCI158" s="250"/>
      <c r="OCJ158" s="250"/>
      <c r="OCK158" s="250"/>
      <c r="OCL158" s="250"/>
      <c r="OCM158" s="250"/>
      <c r="OCN158" s="250"/>
      <c r="OCO158" s="250"/>
      <c r="OCP158" s="250"/>
      <c r="OCQ158" s="250"/>
      <c r="OCR158" s="250"/>
      <c r="OCS158" s="250"/>
      <c r="OCT158" s="250"/>
      <c r="OCU158" s="250"/>
      <c r="OCV158" s="250"/>
      <c r="OCW158" s="250"/>
      <c r="OCX158" s="250"/>
      <c r="OCY158" s="250"/>
      <c r="OCZ158" s="250"/>
      <c r="ODA158" s="250"/>
      <c r="ODB158" s="250"/>
      <c r="ODC158" s="250"/>
      <c r="ODD158" s="250"/>
      <c r="ODE158" s="250"/>
      <c r="ODF158" s="250"/>
      <c r="ODG158" s="250"/>
      <c r="ODH158" s="250"/>
      <c r="ODI158" s="250"/>
      <c r="ODJ158" s="250"/>
      <c r="ODK158" s="250"/>
      <c r="ODL158" s="250"/>
      <c r="ODM158" s="250"/>
      <c r="ODN158" s="250"/>
      <c r="ODO158" s="250"/>
      <c r="ODP158" s="250"/>
      <c r="ODQ158" s="250"/>
      <c r="ODR158" s="250"/>
      <c r="ODS158" s="250"/>
      <c r="ODT158" s="250"/>
      <c r="ODU158" s="250"/>
      <c r="ODV158" s="250"/>
      <c r="ODW158" s="250"/>
      <c r="ODX158" s="250"/>
      <c r="ODY158" s="250"/>
      <c r="ODZ158" s="250"/>
      <c r="OEA158" s="250"/>
      <c r="OEB158" s="250"/>
      <c r="OEC158" s="250"/>
      <c r="OED158" s="250"/>
      <c r="OEE158" s="250"/>
      <c r="OEF158" s="250"/>
      <c r="OEG158" s="250"/>
      <c r="OEH158" s="250"/>
      <c r="OEI158" s="250"/>
      <c r="OEJ158" s="250"/>
      <c r="OEK158" s="250"/>
      <c r="OEL158" s="250"/>
      <c r="OEM158" s="250"/>
      <c r="OEN158" s="250"/>
      <c r="OEO158" s="250"/>
      <c r="OEP158" s="250"/>
      <c r="OEQ158" s="250"/>
      <c r="OER158" s="250"/>
      <c r="OES158" s="250"/>
      <c r="OET158" s="250"/>
      <c r="OEU158" s="250"/>
      <c r="OEV158" s="250"/>
      <c r="OEW158" s="250"/>
      <c r="OEX158" s="250"/>
      <c r="OEY158" s="250"/>
      <c r="OEZ158" s="250"/>
      <c r="OFA158" s="250"/>
      <c r="OFB158" s="250"/>
      <c r="OFC158" s="250"/>
      <c r="OFD158" s="250"/>
      <c r="OFE158" s="250"/>
      <c r="OFF158" s="250"/>
      <c r="OFG158" s="250"/>
      <c r="OFH158" s="250"/>
      <c r="OFI158" s="250"/>
      <c r="OFJ158" s="250"/>
      <c r="OFK158" s="250"/>
      <c r="OFL158" s="250"/>
      <c r="OFM158" s="250"/>
      <c r="OFN158" s="250"/>
      <c r="OFO158" s="250"/>
      <c r="OFP158" s="250"/>
      <c r="OFQ158" s="250"/>
      <c r="OFR158" s="250"/>
      <c r="OFS158" s="250"/>
      <c r="OFT158" s="250"/>
      <c r="OFU158" s="250"/>
      <c r="OFV158" s="250"/>
      <c r="OFW158" s="250"/>
      <c r="OFX158" s="250"/>
      <c r="OFY158" s="250"/>
      <c r="OFZ158" s="250"/>
      <c r="OGA158" s="250"/>
      <c r="OGB158" s="250"/>
      <c r="OGC158" s="250"/>
      <c r="OGD158" s="250"/>
      <c r="OGE158" s="250"/>
      <c r="OGF158" s="250"/>
      <c r="OGG158" s="250"/>
      <c r="OGH158" s="250"/>
      <c r="OGI158" s="250"/>
      <c r="OGJ158" s="250"/>
      <c r="OGK158" s="250"/>
      <c r="OGL158" s="250"/>
      <c r="OGM158" s="250"/>
      <c r="OGN158" s="250"/>
      <c r="OGO158" s="250"/>
      <c r="OGP158" s="250"/>
      <c r="OGQ158" s="250"/>
      <c r="OGR158" s="250"/>
      <c r="OGS158" s="250"/>
      <c r="OGT158" s="250"/>
      <c r="OGU158" s="250"/>
      <c r="OGV158" s="250"/>
      <c r="OGW158" s="250"/>
      <c r="OGX158" s="250"/>
      <c r="OGY158" s="250"/>
      <c r="OGZ158" s="250"/>
      <c r="OHA158" s="250"/>
      <c r="OHB158" s="250"/>
      <c r="OHC158" s="250"/>
      <c r="OHD158" s="250"/>
      <c r="OHE158" s="250"/>
      <c r="OHF158" s="250"/>
      <c r="OHG158" s="250"/>
      <c r="OHH158" s="250"/>
      <c r="OHI158" s="250"/>
      <c r="OHJ158" s="250"/>
      <c r="OHK158" s="250"/>
      <c r="OHL158" s="250"/>
      <c r="OHM158" s="250"/>
      <c r="OHN158" s="250"/>
      <c r="OHO158" s="250"/>
      <c r="OHP158" s="250"/>
      <c r="OHQ158" s="250"/>
      <c r="OHR158" s="250"/>
      <c r="OHS158" s="250"/>
      <c r="OHT158" s="250"/>
      <c r="OHU158" s="250"/>
      <c r="OHV158" s="250"/>
      <c r="OHW158" s="250"/>
      <c r="OHX158" s="250"/>
      <c r="OHY158" s="250"/>
      <c r="OHZ158" s="250"/>
      <c r="OIA158" s="250"/>
      <c r="OIB158" s="250"/>
      <c r="OIC158" s="250"/>
      <c r="OID158" s="250"/>
      <c r="OIE158" s="250"/>
      <c r="OIF158" s="250"/>
      <c r="OIG158" s="250"/>
      <c r="OIH158" s="250"/>
      <c r="OII158" s="250"/>
      <c r="OIJ158" s="250"/>
      <c r="OIK158" s="250"/>
      <c r="OIL158" s="250"/>
      <c r="OIM158" s="250"/>
      <c r="OIN158" s="250"/>
      <c r="OIO158" s="250"/>
      <c r="OIP158" s="250"/>
      <c r="OIQ158" s="250"/>
      <c r="OIR158" s="250"/>
      <c r="OIS158" s="250"/>
      <c r="OIT158" s="250"/>
      <c r="OIU158" s="250"/>
      <c r="OIV158" s="250"/>
      <c r="OIW158" s="250"/>
      <c r="OIX158" s="250"/>
      <c r="OIY158" s="250"/>
      <c r="OIZ158" s="250"/>
      <c r="OJA158" s="250"/>
      <c r="OJB158" s="250"/>
      <c r="OJC158" s="250"/>
      <c r="OJD158" s="250"/>
      <c r="OJE158" s="250"/>
      <c r="OJF158" s="250"/>
      <c r="OJG158" s="250"/>
      <c r="OJH158" s="250"/>
      <c r="OJI158" s="250"/>
      <c r="OJJ158" s="250"/>
      <c r="OJK158" s="250"/>
      <c r="OJL158" s="250"/>
      <c r="OJM158" s="250"/>
      <c r="OJN158" s="250"/>
      <c r="OJO158" s="250"/>
      <c r="OJP158" s="250"/>
      <c r="OJQ158" s="250"/>
      <c r="OJR158" s="250"/>
      <c r="OJS158" s="250"/>
      <c r="OJT158" s="250"/>
      <c r="OJU158" s="250"/>
      <c r="OJV158" s="250"/>
      <c r="OJW158" s="250"/>
      <c r="OJX158" s="250"/>
      <c r="OJY158" s="250"/>
      <c r="OJZ158" s="250"/>
      <c r="OKA158" s="250"/>
      <c r="OKB158" s="250"/>
      <c r="OKC158" s="250"/>
      <c r="OKD158" s="250"/>
      <c r="OKE158" s="250"/>
      <c r="OKF158" s="250"/>
      <c r="OKG158" s="250"/>
      <c r="OKH158" s="250"/>
      <c r="OKI158" s="250"/>
      <c r="OKJ158" s="250"/>
      <c r="OKK158" s="250"/>
      <c r="OKL158" s="250"/>
      <c r="OKM158" s="250"/>
      <c r="OKN158" s="250"/>
      <c r="OKO158" s="250"/>
      <c r="OKP158" s="250"/>
      <c r="OKQ158" s="250"/>
      <c r="OKR158" s="250"/>
      <c r="OKS158" s="250"/>
      <c r="OKT158" s="250"/>
      <c r="OKU158" s="250"/>
      <c r="OKV158" s="250"/>
      <c r="OKW158" s="250"/>
      <c r="OKX158" s="250"/>
      <c r="OKY158" s="250"/>
      <c r="OKZ158" s="250"/>
      <c r="OLA158" s="250"/>
      <c r="OLB158" s="250"/>
      <c r="OLC158" s="250"/>
      <c r="OLD158" s="250"/>
      <c r="OLE158" s="250"/>
      <c r="OLF158" s="250"/>
      <c r="OLG158" s="250"/>
      <c r="OLH158" s="250"/>
      <c r="OLI158" s="250"/>
      <c r="OLJ158" s="250"/>
      <c r="OLK158" s="250"/>
      <c r="OLL158" s="250"/>
      <c r="OLM158" s="250"/>
      <c r="OLN158" s="250"/>
      <c r="OLO158" s="250"/>
      <c r="OLP158" s="250"/>
      <c r="OLQ158" s="250"/>
      <c r="OLR158" s="250"/>
      <c r="OLS158" s="250"/>
      <c r="OLT158" s="250"/>
      <c r="OLU158" s="250"/>
      <c r="OLV158" s="250"/>
      <c r="OLW158" s="250"/>
      <c r="OLX158" s="250"/>
      <c r="OLY158" s="250"/>
      <c r="OLZ158" s="250"/>
      <c r="OMA158" s="250"/>
      <c r="OMB158" s="250"/>
      <c r="OMC158" s="250"/>
      <c r="OMD158" s="250"/>
      <c r="OME158" s="250"/>
      <c r="OMF158" s="250"/>
      <c r="OMG158" s="250"/>
      <c r="OMH158" s="250"/>
      <c r="OMI158" s="250"/>
      <c r="OMJ158" s="250"/>
      <c r="OMK158" s="250"/>
      <c r="OML158" s="250"/>
      <c r="OMM158" s="250"/>
      <c r="OMN158" s="250"/>
      <c r="OMO158" s="250"/>
      <c r="OMP158" s="250"/>
      <c r="OMQ158" s="250"/>
      <c r="OMR158" s="250"/>
      <c r="OMS158" s="250"/>
      <c r="OMT158" s="250"/>
      <c r="OMU158" s="250"/>
      <c r="OMV158" s="250"/>
      <c r="OMW158" s="250"/>
      <c r="OMX158" s="250"/>
      <c r="OMY158" s="250"/>
      <c r="OMZ158" s="250"/>
      <c r="ONA158" s="250"/>
      <c r="ONB158" s="250"/>
      <c r="ONC158" s="250"/>
      <c r="OND158" s="250"/>
      <c r="ONE158" s="250"/>
      <c r="ONF158" s="250"/>
      <c r="ONG158" s="250"/>
      <c r="ONH158" s="250"/>
      <c r="ONI158" s="250"/>
      <c r="ONJ158" s="250"/>
      <c r="ONK158" s="250"/>
      <c r="ONL158" s="250"/>
      <c r="ONM158" s="250"/>
      <c r="ONN158" s="250"/>
      <c r="ONO158" s="250"/>
      <c r="ONP158" s="250"/>
      <c r="ONQ158" s="250"/>
      <c r="ONR158" s="250"/>
      <c r="ONS158" s="250"/>
      <c r="ONT158" s="250"/>
      <c r="ONU158" s="250"/>
      <c r="ONV158" s="250"/>
      <c r="ONW158" s="250"/>
      <c r="ONX158" s="250"/>
      <c r="ONY158" s="250"/>
      <c r="ONZ158" s="250"/>
      <c r="OOA158" s="250"/>
      <c r="OOB158" s="250"/>
      <c r="OOC158" s="250"/>
      <c r="OOD158" s="250"/>
      <c r="OOE158" s="250"/>
      <c r="OOF158" s="250"/>
      <c r="OOG158" s="250"/>
      <c r="OOH158" s="250"/>
      <c r="OOI158" s="250"/>
      <c r="OOJ158" s="250"/>
      <c r="OOK158" s="250"/>
      <c r="OOL158" s="250"/>
      <c r="OOM158" s="250"/>
      <c r="OON158" s="250"/>
      <c r="OOO158" s="250"/>
      <c r="OOP158" s="250"/>
      <c r="OOQ158" s="250"/>
      <c r="OOR158" s="250"/>
      <c r="OOS158" s="250"/>
      <c r="OOT158" s="250"/>
      <c r="OOU158" s="250"/>
      <c r="OOV158" s="250"/>
      <c r="OOW158" s="250"/>
      <c r="OOX158" s="250"/>
      <c r="OOY158" s="250"/>
      <c r="OOZ158" s="250"/>
      <c r="OPA158" s="250"/>
      <c r="OPB158" s="250"/>
      <c r="OPC158" s="250"/>
      <c r="OPD158" s="250"/>
      <c r="OPE158" s="250"/>
      <c r="OPF158" s="250"/>
      <c r="OPG158" s="250"/>
      <c r="OPH158" s="250"/>
      <c r="OPI158" s="250"/>
      <c r="OPJ158" s="250"/>
      <c r="OPK158" s="250"/>
      <c r="OPL158" s="250"/>
      <c r="OPM158" s="250"/>
      <c r="OPN158" s="250"/>
      <c r="OPO158" s="250"/>
      <c r="OPP158" s="250"/>
      <c r="OPQ158" s="250"/>
      <c r="OPR158" s="250"/>
      <c r="OPS158" s="250"/>
      <c r="OPT158" s="250"/>
      <c r="OPU158" s="250"/>
      <c r="OPV158" s="250"/>
      <c r="OPW158" s="250"/>
      <c r="OPX158" s="250"/>
      <c r="OPY158" s="250"/>
      <c r="OPZ158" s="250"/>
      <c r="OQA158" s="250"/>
      <c r="OQB158" s="250"/>
      <c r="OQC158" s="250"/>
      <c r="OQD158" s="250"/>
      <c r="OQE158" s="250"/>
      <c r="OQF158" s="250"/>
      <c r="OQG158" s="250"/>
      <c r="OQH158" s="250"/>
      <c r="OQI158" s="250"/>
      <c r="OQJ158" s="250"/>
      <c r="OQK158" s="250"/>
      <c r="OQL158" s="250"/>
      <c r="OQM158" s="250"/>
      <c r="OQN158" s="250"/>
      <c r="OQO158" s="250"/>
      <c r="OQP158" s="250"/>
      <c r="OQQ158" s="250"/>
      <c r="OQR158" s="250"/>
      <c r="OQS158" s="250"/>
      <c r="OQT158" s="250"/>
      <c r="OQU158" s="250"/>
      <c r="OQV158" s="250"/>
      <c r="OQW158" s="250"/>
      <c r="OQX158" s="250"/>
      <c r="OQY158" s="250"/>
      <c r="OQZ158" s="250"/>
      <c r="ORA158" s="250"/>
      <c r="ORB158" s="250"/>
      <c r="ORC158" s="250"/>
      <c r="ORD158" s="250"/>
      <c r="ORE158" s="250"/>
      <c r="ORF158" s="250"/>
      <c r="ORG158" s="250"/>
      <c r="ORH158" s="250"/>
      <c r="ORI158" s="250"/>
      <c r="ORJ158" s="250"/>
      <c r="ORK158" s="250"/>
      <c r="ORL158" s="250"/>
      <c r="ORM158" s="250"/>
      <c r="ORN158" s="250"/>
      <c r="ORO158" s="250"/>
      <c r="ORP158" s="250"/>
      <c r="ORQ158" s="250"/>
      <c r="ORR158" s="250"/>
      <c r="ORS158" s="250"/>
      <c r="ORT158" s="250"/>
      <c r="ORU158" s="250"/>
      <c r="ORV158" s="250"/>
      <c r="ORW158" s="250"/>
      <c r="ORX158" s="250"/>
      <c r="ORY158" s="250"/>
      <c r="ORZ158" s="250"/>
      <c r="OSA158" s="250"/>
      <c r="OSB158" s="250"/>
      <c r="OSC158" s="250"/>
      <c r="OSD158" s="250"/>
      <c r="OSE158" s="250"/>
      <c r="OSF158" s="250"/>
      <c r="OSG158" s="250"/>
      <c r="OSH158" s="250"/>
      <c r="OSI158" s="250"/>
      <c r="OSJ158" s="250"/>
      <c r="OSK158" s="250"/>
      <c r="OSL158" s="250"/>
      <c r="OSM158" s="250"/>
      <c r="OSN158" s="250"/>
      <c r="OSO158" s="250"/>
      <c r="OSP158" s="250"/>
      <c r="OSQ158" s="250"/>
      <c r="OSR158" s="250"/>
      <c r="OSS158" s="250"/>
      <c r="OST158" s="250"/>
      <c r="OSU158" s="250"/>
      <c r="OSV158" s="250"/>
      <c r="OSW158" s="250"/>
      <c r="OSX158" s="250"/>
      <c r="OSY158" s="250"/>
      <c r="OSZ158" s="250"/>
      <c r="OTA158" s="250"/>
      <c r="OTB158" s="250"/>
      <c r="OTC158" s="250"/>
      <c r="OTD158" s="250"/>
      <c r="OTE158" s="250"/>
      <c r="OTF158" s="250"/>
      <c r="OTG158" s="250"/>
      <c r="OTH158" s="250"/>
      <c r="OTI158" s="250"/>
      <c r="OTJ158" s="250"/>
      <c r="OTK158" s="250"/>
      <c r="OTL158" s="250"/>
      <c r="OTM158" s="250"/>
      <c r="OTN158" s="250"/>
      <c r="OTO158" s="250"/>
      <c r="OTP158" s="250"/>
      <c r="OTQ158" s="250"/>
      <c r="OTR158" s="250"/>
      <c r="OTS158" s="250"/>
      <c r="OTT158" s="250"/>
      <c r="OTU158" s="250"/>
      <c r="OTV158" s="250"/>
      <c r="OTW158" s="250"/>
      <c r="OTX158" s="250"/>
      <c r="OTY158" s="250"/>
      <c r="OTZ158" s="250"/>
      <c r="OUA158" s="250"/>
      <c r="OUB158" s="250"/>
      <c r="OUC158" s="250"/>
      <c r="OUD158" s="250"/>
      <c r="OUE158" s="250"/>
      <c r="OUF158" s="250"/>
      <c r="OUG158" s="250"/>
      <c r="OUH158" s="250"/>
      <c r="OUI158" s="250"/>
      <c r="OUJ158" s="250"/>
      <c r="OUK158" s="250"/>
      <c r="OUL158" s="250"/>
      <c r="OUM158" s="250"/>
      <c r="OUN158" s="250"/>
      <c r="OUO158" s="250"/>
      <c r="OUP158" s="250"/>
      <c r="OUQ158" s="250"/>
      <c r="OUR158" s="250"/>
      <c r="OUS158" s="250"/>
      <c r="OUT158" s="250"/>
      <c r="OUU158" s="250"/>
      <c r="OUV158" s="250"/>
      <c r="OUW158" s="250"/>
      <c r="OUX158" s="250"/>
      <c r="OUY158" s="250"/>
      <c r="OUZ158" s="250"/>
      <c r="OVA158" s="250"/>
      <c r="OVB158" s="250"/>
      <c r="OVC158" s="250"/>
      <c r="OVD158" s="250"/>
      <c r="OVE158" s="250"/>
      <c r="OVF158" s="250"/>
      <c r="OVG158" s="250"/>
      <c r="OVH158" s="250"/>
      <c r="OVI158" s="250"/>
      <c r="OVJ158" s="250"/>
      <c r="OVK158" s="250"/>
      <c r="OVL158" s="250"/>
      <c r="OVM158" s="250"/>
      <c r="OVN158" s="250"/>
      <c r="OVO158" s="250"/>
      <c r="OVP158" s="250"/>
      <c r="OVQ158" s="250"/>
      <c r="OVR158" s="250"/>
      <c r="OVS158" s="250"/>
      <c r="OVT158" s="250"/>
      <c r="OVU158" s="250"/>
      <c r="OVV158" s="250"/>
      <c r="OVW158" s="250"/>
      <c r="OVX158" s="250"/>
      <c r="OVY158" s="250"/>
      <c r="OVZ158" s="250"/>
      <c r="OWA158" s="250"/>
      <c r="OWB158" s="250"/>
      <c r="OWC158" s="250"/>
      <c r="OWD158" s="250"/>
      <c r="OWE158" s="250"/>
      <c r="OWF158" s="250"/>
      <c r="OWG158" s="250"/>
      <c r="OWH158" s="250"/>
      <c r="OWI158" s="250"/>
      <c r="OWJ158" s="250"/>
      <c r="OWK158" s="250"/>
      <c r="OWL158" s="250"/>
      <c r="OWM158" s="250"/>
      <c r="OWN158" s="250"/>
      <c r="OWO158" s="250"/>
      <c r="OWP158" s="250"/>
      <c r="OWQ158" s="250"/>
      <c r="OWR158" s="250"/>
      <c r="OWS158" s="250"/>
      <c r="OWT158" s="250"/>
      <c r="OWU158" s="250"/>
      <c r="OWV158" s="250"/>
      <c r="OWW158" s="250"/>
      <c r="OWX158" s="250"/>
      <c r="OWY158" s="250"/>
      <c r="OWZ158" s="250"/>
      <c r="OXA158" s="250"/>
      <c r="OXB158" s="250"/>
      <c r="OXC158" s="250"/>
      <c r="OXD158" s="250"/>
      <c r="OXE158" s="250"/>
      <c r="OXF158" s="250"/>
      <c r="OXG158" s="250"/>
      <c r="OXH158" s="250"/>
      <c r="OXI158" s="250"/>
      <c r="OXJ158" s="250"/>
      <c r="OXK158" s="250"/>
      <c r="OXL158" s="250"/>
      <c r="OXM158" s="250"/>
      <c r="OXN158" s="250"/>
      <c r="OXO158" s="250"/>
      <c r="OXP158" s="250"/>
      <c r="OXQ158" s="250"/>
      <c r="OXR158" s="250"/>
      <c r="OXS158" s="250"/>
      <c r="OXT158" s="250"/>
      <c r="OXU158" s="250"/>
      <c r="OXV158" s="250"/>
      <c r="OXW158" s="250"/>
      <c r="OXX158" s="250"/>
      <c r="OXY158" s="250"/>
      <c r="OXZ158" s="250"/>
      <c r="OYA158" s="250"/>
      <c r="OYB158" s="250"/>
      <c r="OYC158" s="250"/>
      <c r="OYD158" s="250"/>
      <c r="OYE158" s="250"/>
      <c r="OYF158" s="250"/>
      <c r="OYG158" s="250"/>
      <c r="OYH158" s="250"/>
      <c r="OYI158" s="250"/>
      <c r="OYJ158" s="250"/>
      <c r="OYK158" s="250"/>
      <c r="OYL158" s="250"/>
      <c r="OYM158" s="250"/>
      <c r="OYN158" s="250"/>
      <c r="OYO158" s="250"/>
      <c r="OYP158" s="250"/>
      <c r="OYQ158" s="250"/>
      <c r="OYR158" s="250"/>
      <c r="OYS158" s="250"/>
      <c r="OYT158" s="250"/>
      <c r="OYU158" s="250"/>
      <c r="OYV158" s="250"/>
      <c r="OYW158" s="250"/>
      <c r="OYX158" s="250"/>
      <c r="OYY158" s="250"/>
      <c r="OYZ158" s="250"/>
      <c r="OZA158" s="250"/>
      <c r="OZB158" s="250"/>
      <c r="OZC158" s="250"/>
      <c r="OZD158" s="250"/>
      <c r="OZE158" s="250"/>
      <c r="OZF158" s="250"/>
      <c r="OZG158" s="250"/>
      <c r="OZH158" s="250"/>
      <c r="OZI158" s="250"/>
      <c r="OZJ158" s="250"/>
      <c r="OZK158" s="250"/>
      <c r="OZL158" s="250"/>
      <c r="OZM158" s="250"/>
      <c r="OZN158" s="250"/>
      <c r="OZO158" s="250"/>
      <c r="OZP158" s="250"/>
      <c r="OZQ158" s="250"/>
      <c r="OZR158" s="250"/>
      <c r="OZS158" s="250"/>
      <c r="OZT158" s="250"/>
      <c r="OZU158" s="250"/>
      <c r="OZV158" s="250"/>
      <c r="OZW158" s="250"/>
      <c r="OZX158" s="250"/>
      <c r="OZY158" s="250"/>
      <c r="OZZ158" s="250"/>
      <c r="PAA158" s="250"/>
      <c r="PAB158" s="250"/>
      <c r="PAC158" s="250"/>
      <c r="PAD158" s="250"/>
      <c r="PAE158" s="250"/>
      <c r="PAF158" s="250"/>
      <c r="PAG158" s="250"/>
      <c r="PAH158" s="250"/>
      <c r="PAI158" s="250"/>
      <c r="PAJ158" s="250"/>
      <c r="PAK158" s="250"/>
      <c r="PAL158" s="250"/>
      <c r="PAM158" s="250"/>
      <c r="PAN158" s="250"/>
      <c r="PAO158" s="250"/>
      <c r="PAP158" s="250"/>
      <c r="PAQ158" s="250"/>
      <c r="PAR158" s="250"/>
      <c r="PAS158" s="250"/>
      <c r="PAT158" s="250"/>
      <c r="PAU158" s="250"/>
      <c r="PAV158" s="250"/>
      <c r="PAW158" s="250"/>
      <c r="PAX158" s="250"/>
      <c r="PAY158" s="250"/>
      <c r="PAZ158" s="250"/>
      <c r="PBA158" s="250"/>
      <c r="PBB158" s="250"/>
      <c r="PBC158" s="250"/>
      <c r="PBD158" s="250"/>
      <c r="PBE158" s="250"/>
      <c r="PBF158" s="250"/>
      <c r="PBG158" s="250"/>
      <c r="PBH158" s="250"/>
      <c r="PBI158" s="250"/>
      <c r="PBJ158" s="250"/>
      <c r="PBK158" s="250"/>
      <c r="PBL158" s="250"/>
      <c r="PBM158" s="250"/>
      <c r="PBN158" s="250"/>
      <c r="PBO158" s="250"/>
      <c r="PBP158" s="250"/>
      <c r="PBQ158" s="250"/>
      <c r="PBR158" s="250"/>
      <c r="PBS158" s="250"/>
      <c r="PBT158" s="250"/>
      <c r="PBU158" s="250"/>
      <c r="PBV158" s="250"/>
      <c r="PBW158" s="250"/>
      <c r="PBX158" s="250"/>
      <c r="PBY158" s="250"/>
      <c r="PBZ158" s="250"/>
      <c r="PCA158" s="250"/>
      <c r="PCB158" s="250"/>
      <c r="PCC158" s="250"/>
      <c r="PCD158" s="250"/>
      <c r="PCE158" s="250"/>
      <c r="PCF158" s="250"/>
      <c r="PCG158" s="250"/>
      <c r="PCH158" s="250"/>
      <c r="PCI158" s="250"/>
      <c r="PCJ158" s="250"/>
      <c r="PCK158" s="250"/>
      <c r="PCL158" s="250"/>
      <c r="PCM158" s="250"/>
      <c r="PCN158" s="250"/>
      <c r="PCO158" s="250"/>
      <c r="PCP158" s="250"/>
      <c r="PCQ158" s="250"/>
      <c r="PCR158" s="250"/>
      <c r="PCS158" s="250"/>
      <c r="PCT158" s="250"/>
      <c r="PCU158" s="250"/>
      <c r="PCV158" s="250"/>
      <c r="PCW158" s="250"/>
      <c r="PCX158" s="250"/>
      <c r="PCY158" s="250"/>
      <c r="PCZ158" s="250"/>
      <c r="PDA158" s="250"/>
      <c r="PDB158" s="250"/>
      <c r="PDC158" s="250"/>
      <c r="PDD158" s="250"/>
      <c r="PDE158" s="250"/>
      <c r="PDF158" s="250"/>
      <c r="PDG158" s="250"/>
      <c r="PDH158" s="250"/>
      <c r="PDI158" s="250"/>
      <c r="PDJ158" s="250"/>
      <c r="PDK158" s="250"/>
      <c r="PDL158" s="250"/>
      <c r="PDM158" s="250"/>
      <c r="PDN158" s="250"/>
      <c r="PDO158" s="250"/>
      <c r="PDP158" s="250"/>
      <c r="PDQ158" s="250"/>
      <c r="PDR158" s="250"/>
      <c r="PDS158" s="250"/>
      <c r="PDT158" s="250"/>
      <c r="PDU158" s="250"/>
      <c r="PDV158" s="250"/>
      <c r="PDW158" s="250"/>
      <c r="PDX158" s="250"/>
      <c r="PDY158" s="250"/>
      <c r="PDZ158" s="250"/>
      <c r="PEA158" s="250"/>
      <c r="PEB158" s="250"/>
      <c r="PEC158" s="250"/>
      <c r="PED158" s="250"/>
      <c r="PEE158" s="250"/>
      <c r="PEF158" s="250"/>
      <c r="PEG158" s="250"/>
      <c r="PEH158" s="250"/>
      <c r="PEI158" s="250"/>
      <c r="PEJ158" s="250"/>
      <c r="PEK158" s="250"/>
      <c r="PEL158" s="250"/>
      <c r="PEM158" s="250"/>
      <c r="PEN158" s="250"/>
      <c r="PEO158" s="250"/>
      <c r="PEP158" s="250"/>
      <c r="PEQ158" s="250"/>
      <c r="PER158" s="250"/>
      <c r="PES158" s="250"/>
      <c r="PET158" s="250"/>
      <c r="PEU158" s="250"/>
      <c r="PEV158" s="250"/>
      <c r="PEW158" s="250"/>
      <c r="PEX158" s="250"/>
      <c r="PEY158" s="250"/>
      <c r="PEZ158" s="250"/>
      <c r="PFA158" s="250"/>
      <c r="PFB158" s="250"/>
      <c r="PFC158" s="250"/>
      <c r="PFD158" s="250"/>
      <c r="PFE158" s="250"/>
      <c r="PFF158" s="250"/>
      <c r="PFG158" s="250"/>
      <c r="PFH158" s="250"/>
      <c r="PFI158" s="250"/>
      <c r="PFJ158" s="250"/>
      <c r="PFK158" s="250"/>
      <c r="PFL158" s="250"/>
      <c r="PFM158" s="250"/>
      <c r="PFN158" s="250"/>
      <c r="PFO158" s="250"/>
      <c r="PFP158" s="250"/>
      <c r="PFQ158" s="250"/>
      <c r="PFR158" s="250"/>
      <c r="PFS158" s="250"/>
      <c r="PFT158" s="250"/>
      <c r="PFU158" s="250"/>
      <c r="PFV158" s="250"/>
      <c r="PFW158" s="250"/>
      <c r="PFX158" s="250"/>
      <c r="PFY158" s="250"/>
      <c r="PFZ158" s="250"/>
      <c r="PGA158" s="250"/>
      <c r="PGB158" s="250"/>
      <c r="PGC158" s="250"/>
      <c r="PGD158" s="250"/>
      <c r="PGE158" s="250"/>
      <c r="PGF158" s="250"/>
      <c r="PGG158" s="250"/>
      <c r="PGH158" s="250"/>
      <c r="PGI158" s="250"/>
      <c r="PGJ158" s="250"/>
      <c r="PGK158" s="250"/>
      <c r="PGL158" s="250"/>
      <c r="PGM158" s="250"/>
      <c r="PGN158" s="250"/>
      <c r="PGO158" s="250"/>
      <c r="PGP158" s="250"/>
      <c r="PGQ158" s="250"/>
      <c r="PGR158" s="250"/>
      <c r="PGS158" s="250"/>
      <c r="PGT158" s="250"/>
      <c r="PGU158" s="250"/>
      <c r="PGV158" s="250"/>
      <c r="PGW158" s="250"/>
      <c r="PGX158" s="250"/>
      <c r="PGY158" s="250"/>
      <c r="PGZ158" s="250"/>
      <c r="PHA158" s="250"/>
      <c r="PHB158" s="250"/>
      <c r="PHC158" s="250"/>
      <c r="PHD158" s="250"/>
      <c r="PHE158" s="250"/>
      <c r="PHF158" s="250"/>
      <c r="PHG158" s="250"/>
      <c r="PHH158" s="250"/>
      <c r="PHI158" s="250"/>
      <c r="PHJ158" s="250"/>
      <c r="PHK158" s="250"/>
      <c r="PHL158" s="250"/>
      <c r="PHM158" s="250"/>
      <c r="PHN158" s="250"/>
      <c r="PHO158" s="250"/>
      <c r="PHP158" s="250"/>
      <c r="PHQ158" s="250"/>
      <c r="PHR158" s="250"/>
      <c r="PHS158" s="250"/>
      <c r="PHT158" s="250"/>
      <c r="PHU158" s="250"/>
      <c r="PHV158" s="250"/>
      <c r="PHW158" s="250"/>
      <c r="PHX158" s="250"/>
      <c r="PHY158" s="250"/>
      <c r="PHZ158" s="250"/>
      <c r="PIA158" s="250"/>
      <c r="PIB158" s="250"/>
      <c r="PIC158" s="250"/>
      <c r="PID158" s="250"/>
      <c r="PIE158" s="250"/>
      <c r="PIF158" s="250"/>
      <c r="PIG158" s="250"/>
      <c r="PIH158" s="250"/>
      <c r="PII158" s="250"/>
      <c r="PIJ158" s="250"/>
      <c r="PIK158" s="250"/>
      <c r="PIL158" s="250"/>
      <c r="PIM158" s="250"/>
      <c r="PIN158" s="250"/>
      <c r="PIO158" s="250"/>
      <c r="PIP158" s="250"/>
      <c r="PIQ158" s="250"/>
      <c r="PIR158" s="250"/>
      <c r="PIS158" s="250"/>
      <c r="PIT158" s="250"/>
      <c r="PIU158" s="250"/>
      <c r="PIV158" s="250"/>
      <c r="PIW158" s="250"/>
      <c r="PIX158" s="250"/>
      <c r="PIY158" s="250"/>
      <c r="PIZ158" s="250"/>
      <c r="PJA158" s="250"/>
      <c r="PJB158" s="250"/>
      <c r="PJC158" s="250"/>
      <c r="PJD158" s="250"/>
      <c r="PJE158" s="250"/>
      <c r="PJF158" s="250"/>
      <c r="PJG158" s="250"/>
      <c r="PJH158" s="250"/>
      <c r="PJI158" s="250"/>
      <c r="PJJ158" s="250"/>
      <c r="PJK158" s="250"/>
      <c r="PJL158" s="250"/>
      <c r="PJM158" s="250"/>
      <c r="PJN158" s="250"/>
      <c r="PJO158" s="250"/>
      <c r="PJP158" s="250"/>
      <c r="PJQ158" s="250"/>
      <c r="PJR158" s="250"/>
      <c r="PJS158" s="250"/>
      <c r="PJT158" s="250"/>
      <c r="PJU158" s="250"/>
      <c r="PJV158" s="250"/>
      <c r="PJW158" s="250"/>
      <c r="PJX158" s="250"/>
      <c r="PJY158" s="250"/>
      <c r="PJZ158" s="250"/>
      <c r="PKA158" s="250"/>
      <c r="PKB158" s="250"/>
      <c r="PKC158" s="250"/>
      <c r="PKD158" s="250"/>
      <c r="PKE158" s="250"/>
      <c r="PKF158" s="250"/>
      <c r="PKG158" s="250"/>
      <c r="PKH158" s="250"/>
      <c r="PKI158" s="250"/>
      <c r="PKJ158" s="250"/>
      <c r="PKK158" s="250"/>
      <c r="PKL158" s="250"/>
      <c r="PKM158" s="250"/>
      <c r="PKN158" s="250"/>
      <c r="PKO158" s="250"/>
      <c r="PKP158" s="250"/>
      <c r="PKQ158" s="250"/>
      <c r="PKR158" s="250"/>
      <c r="PKS158" s="250"/>
      <c r="PKT158" s="250"/>
      <c r="PKU158" s="250"/>
      <c r="PKV158" s="250"/>
      <c r="PKW158" s="250"/>
      <c r="PKX158" s="250"/>
      <c r="PKY158" s="250"/>
      <c r="PKZ158" s="250"/>
      <c r="PLA158" s="250"/>
      <c r="PLB158" s="250"/>
      <c r="PLC158" s="250"/>
      <c r="PLD158" s="250"/>
      <c r="PLE158" s="250"/>
      <c r="PLF158" s="250"/>
      <c r="PLG158" s="250"/>
      <c r="PLH158" s="250"/>
      <c r="PLI158" s="250"/>
      <c r="PLJ158" s="250"/>
      <c r="PLK158" s="250"/>
      <c r="PLL158" s="250"/>
      <c r="PLM158" s="250"/>
      <c r="PLN158" s="250"/>
      <c r="PLO158" s="250"/>
      <c r="PLP158" s="250"/>
      <c r="PLQ158" s="250"/>
      <c r="PLR158" s="250"/>
      <c r="PLS158" s="250"/>
      <c r="PLT158" s="250"/>
      <c r="PLU158" s="250"/>
      <c r="PLV158" s="250"/>
      <c r="PLW158" s="250"/>
      <c r="PLX158" s="250"/>
      <c r="PLY158" s="250"/>
      <c r="PLZ158" s="250"/>
      <c r="PMA158" s="250"/>
      <c r="PMB158" s="250"/>
      <c r="PMC158" s="250"/>
      <c r="PMD158" s="250"/>
      <c r="PME158" s="250"/>
      <c r="PMF158" s="250"/>
      <c r="PMG158" s="250"/>
      <c r="PMH158" s="250"/>
      <c r="PMI158" s="250"/>
      <c r="PMJ158" s="250"/>
      <c r="PMK158" s="250"/>
      <c r="PML158" s="250"/>
      <c r="PMM158" s="250"/>
      <c r="PMN158" s="250"/>
      <c r="PMO158" s="250"/>
      <c r="PMP158" s="250"/>
      <c r="PMQ158" s="250"/>
      <c r="PMR158" s="250"/>
      <c r="PMS158" s="250"/>
      <c r="PMT158" s="250"/>
      <c r="PMU158" s="250"/>
      <c r="PMV158" s="250"/>
      <c r="PMW158" s="250"/>
      <c r="PMX158" s="250"/>
      <c r="PMY158" s="250"/>
      <c r="PMZ158" s="250"/>
      <c r="PNA158" s="250"/>
      <c r="PNB158" s="250"/>
      <c r="PNC158" s="250"/>
      <c r="PND158" s="250"/>
      <c r="PNE158" s="250"/>
      <c r="PNF158" s="250"/>
      <c r="PNG158" s="250"/>
      <c r="PNH158" s="250"/>
      <c r="PNI158" s="250"/>
      <c r="PNJ158" s="250"/>
      <c r="PNK158" s="250"/>
      <c r="PNL158" s="250"/>
      <c r="PNM158" s="250"/>
      <c r="PNN158" s="250"/>
      <c r="PNO158" s="250"/>
      <c r="PNP158" s="250"/>
      <c r="PNQ158" s="250"/>
      <c r="PNR158" s="250"/>
      <c r="PNS158" s="250"/>
      <c r="PNT158" s="250"/>
      <c r="PNU158" s="250"/>
      <c r="PNV158" s="250"/>
      <c r="PNW158" s="250"/>
      <c r="PNX158" s="250"/>
      <c r="PNY158" s="250"/>
      <c r="PNZ158" s="250"/>
      <c r="POA158" s="250"/>
      <c r="POB158" s="250"/>
      <c r="POC158" s="250"/>
      <c r="POD158" s="250"/>
      <c r="POE158" s="250"/>
      <c r="POF158" s="250"/>
      <c r="POG158" s="250"/>
      <c r="POH158" s="250"/>
      <c r="POI158" s="250"/>
      <c r="POJ158" s="250"/>
      <c r="POK158" s="250"/>
      <c r="POL158" s="250"/>
      <c r="POM158" s="250"/>
      <c r="PON158" s="250"/>
      <c r="POO158" s="250"/>
      <c r="POP158" s="250"/>
      <c r="POQ158" s="250"/>
      <c r="POR158" s="250"/>
      <c r="POS158" s="250"/>
      <c r="POT158" s="250"/>
      <c r="POU158" s="250"/>
      <c r="POV158" s="250"/>
      <c r="POW158" s="250"/>
      <c r="POX158" s="250"/>
      <c r="POY158" s="250"/>
      <c r="POZ158" s="250"/>
      <c r="PPA158" s="250"/>
      <c r="PPB158" s="250"/>
      <c r="PPC158" s="250"/>
      <c r="PPD158" s="250"/>
      <c r="PPE158" s="250"/>
      <c r="PPF158" s="250"/>
      <c r="PPG158" s="250"/>
      <c r="PPH158" s="250"/>
      <c r="PPI158" s="250"/>
      <c r="PPJ158" s="250"/>
      <c r="PPK158" s="250"/>
      <c r="PPL158" s="250"/>
      <c r="PPM158" s="250"/>
      <c r="PPN158" s="250"/>
      <c r="PPO158" s="250"/>
      <c r="PPP158" s="250"/>
      <c r="PPQ158" s="250"/>
      <c r="PPR158" s="250"/>
      <c r="PPS158" s="250"/>
      <c r="PPT158" s="250"/>
      <c r="PPU158" s="250"/>
      <c r="PPV158" s="250"/>
      <c r="PPW158" s="250"/>
      <c r="PPX158" s="250"/>
      <c r="PPY158" s="250"/>
      <c r="PPZ158" s="250"/>
      <c r="PQA158" s="250"/>
      <c r="PQB158" s="250"/>
      <c r="PQC158" s="250"/>
      <c r="PQD158" s="250"/>
      <c r="PQE158" s="250"/>
      <c r="PQF158" s="250"/>
      <c r="PQG158" s="250"/>
      <c r="PQH158" s="250"/>
      <c r="PQI158" s="250"/>
      <c r="PQJ158" s="250"/>
      <c r="PQK158" s="250"/>
      <c r="PQL158" s="250"/>
      <c r="PQM158" s="250"/>
      <c r="PQN158" s="250"/>
      <c r="PQO158" s="250"/>
      <c r="PQP158" s="250"/>
      <c r="PQQ158" s="250"/>
      <c r="PQR158" s="250"/>
      <c r="PQS158" s="250"/>
      <c r="PQT158" s="250"/>
      <c r="PQU158" s="250"/>
      <c r="PQV158" s="250"/>
      <c r="PQW158" s="250"/>
      <c r="PQX158" s="250"/>
      <c r="PQY158" s="250"/>
      <c r="PQZ158" s="250"/>
      <c r="PRA158" s="250"/>
      <c r="PRB158" s="250"/>
      <c r="PRC158" s="250"/>
      <c r="PRD158" s="250"/>
      <c r="PRE158" s="250"/>
      <c r="PRF158" s="250"/>
      <c r="PRG158" s="250"/>
      <c r="PRH158" s="250"/>
      <c r="PRI158" s="250"/>
      <c r="PRJ158" s="250"/>
      <c r="PRK158" s="250"/>
      <c r="PRL158" s="250"/>
      <c r="PRM158" s="250"/>
      <c r="PRN158" s="250"/>
      <c r="PRO158" s="250"/>
      <c r="PRP158" s="250"/>
      <c r="PRQ158" s="250"/>
      <c r="PRR158" s="250"/>
      <c r="PRS158" s="250"/>
      <c r="PRT158" s="250"/>
      <c r="PRU158" s="250"/>
      <c r="PRV158" s="250"/>
      <c r="PRW158" s="250"/>
      <c r="PRX158" s="250"/>
      <c r="PRY158" s="250"/>
      <c r="PRZ158" s="250"/>
      <c r="PSA158" s="250"/>
      <c r="PSB158" s="250"/>
      <c r="PSC158" s="250"/>
      <c r="PSD158" s="250"/>
      <c r="PSE158" s="250"/>
      <c r="PSF158" s="250"/>
      <c r="PSG158" s="250"/>
      <c r="PSH158" s="250"/>
      <c r="PSI158" s="250"/>
      <c r="PSJ158" s="250"/>
      <c r="PSK158" s="250"/>
      <c r="PSL158" s="250"/>
      <c r="PSM158" s="250"/>
      <c r="PSN158" s="250"/>
      <c r="PSO158" s="250"/>
      <c r="PSP158" s="250"/>
      <c r="PSQ158" s="250"/>
      <c r="PSR158" s="250"/>
      <c r="PSS158" s="250"/>
      <c r="PST158" s="250"/>
      <c r="PSU158" s="250"/>
      <c r="PSV158" s="250"/>
      <c r="PSW158" s="250"/>
      <c r="PSX158" s="250"/>
      <c r="PSY158" s="250"/>
      <c r="PSZ158" s="250"/>
      <c r="PTA158" s="250"/>
      <c r="PTB158" s="250"/>
      <c r="PTC158" s="250"/>
      <c r="PTD158" s="250"/>
      <c r="PTE158" s="250"/>
      <c r="PTF158" s="250"/>
      <c r="PTG158" s="250"/>
      <c r="PTH158" s="250"/>
      <c r="PTI158" s="250"/>
      <c r="PTJ158" s="250"/>
      <c r="PTK158" s="250"/>
      <c r="PTL158" s="250"/>
      <c r="PTM158" s="250"/>
      <c r="PTN158" s="250"/>
      <c r="PTO158" s="250"/>
      <c r="PTP158" s="250"/>
      <c r="PTQ158" s="250"/>
      <c r="PTR158" s="250"/>
      <c r="PTS158" s="250"/>
      <c r="PTT158" s="250"/>
      <c r="PTU158" s="250"/>
      <c r="PTV158" s="250"/>
      <c r="PTW158" s="250"/>
      <c r="PTX158" s="250"/>
      <c r="PTY158" s="250"/>
      <c r="PTZ158" s="250"/>
      <c r="PUA158" s="250"/>
      <c r="PUB158" s="250"/>
      <c r="PUC158" s="250"/>
      <c r="PUD158" s="250"/>
      <c r="PUE158" s="250"/>
      <c r="PUF158" s="250"/>
      <c r="PUG158" s="250"/>
      <c r="PUH158" s="250"/>
      <c r="PUI158" s="250"/>
      <c r="PUJ158" s="250"/>
      <c r="PUK158" s="250"/>
      <c r="PUL158" s="250"/>
      <c r="PUM158" s="250"/>
      <c r="PUN158" s="250"/>
      <c r="PUO158" s="250"/>
      <c r="PUP158" s="250"/>
      <c r="PUQ158" s="250"/>
      <c r="PUR158" s="250"/>
      <c r="PUS158" s="250"/>
      <c r="PUT158" s="250"/>
      <c r="PUU158" s="250"/>
      <c r="PUV158" s="250"/>
      <c r="PUW158" s="250"/>
      <c r="PUX158" s="250"/>
      <c r="PUY158" s="250"/>
      <c r="PUZ158" s="250"/>
      <c r="PVA158" s="250"/>
      <c r="PVB158" s="250"/>
      <c r="PVC158" s="250"/>
      <c r="PVD158" s="250"/>
      <c r="PVE158" s="250"/>
      <c r="PVF158" s="250"/>
      <c r="PVG158" s="250"/>
      <c r="PVH158" s="250"/>
      <c r="PVI158" s="250"/>
      <c r="PVJ158" s="250"/>
      <c r="PVK158" s="250"/>
      <c r="PVL158" s="250"/>
      <c r="PVM158" s="250"/>
      <c r="PVN158" s="250"/>
      <c r="PVO158" s="250"/>
      <c r="PVP158" s="250"/>
      <c r="PVQ158" s="250"/>
      <c r="PVR158" s="250"/>
      <c r="PVS158" s="250"/>
      <c r="PVT158" s="250"/>
      <c r="PVU158" s="250"/>
      <c r="PVV158" s="250"/>
      <c r="PVW158" s="250"/>
      <c r="PVX158" s="250"/>
      <c r="PVY158" s="250"/>
      <c r="PVZ158" s="250"/>
      <c r="PWA158" s="250"/>
      <c r="PWB158" s="250"/>
      <c r="PWC158" s="250"/>
      <c r="PWD158" s="250"/>
      <c r="PWE158" s="250"/>
      <c r="PWF158" s="250"/>
      <c r="PWG158" s="250"/>
      <c r="PWH158" s="250"/>
      <c r="PWI158" s="250"/>
      <c r="PWJ158" s="250"/>
      <c r="PWK158" s="250"/>
      <c r="PWL158" s="250"/>
      <c r="PWM158" s="250"/>
      <c r="PWN158" s="250"/>
      <c r="PWO158" s="250"/>
      <c r="PWP158" s="250"/>
      <c r="PWQ158" s="250"/>
      <c r="PWR158" s="250"/>
      <c r="PWS158" s="250"/>
      <c r="PWT158" s="250"/>
      <c r="PWU158" s="250"/>
      <c r="PWV158" s="250"/>
      <c r="PWW158" s="250"/>
      <c r="PWX158" s="250"/>
      <c r="PWY158" s="250"/>
      <c r="PWZ158" s="250"/>
      <c r="PXA158" s="250"/>
      <c r="PXB158" s="250"/>
      <c r="PXC158" s="250"/>
      <c r="PXD158" s="250"/>
      <c r="PXE158" s="250"/>
      <c r="PXF158" s="250"/>
      <c r="PXG158" s="250"/>
      <c r="PXH158" s="250"/>
      <c r="PXI158" s="250"/>
      <c r="PXJ158" s="250"/>
      <c r="PXK158" s="250"/>
      <c r="PXL158" s="250"/>
      <c r="PXM158" s="250"/>
      <c r="PXN158" s="250"/>
      <c r="PXO158" s="250"/>
      <c r="PXP158" s="250"/>
      <c r="PXQ158" s="250"/>
      <c r="PXR158" s="250"/>
      <c r="PXS158" s="250"/>
      <c r="PXT158" s="250"/>
      <c r="PXU158" s="250"/>
      <c r="PXV158" s="250"/>
      <c r="PXW158" s="250"/>
      <c r="PXX158" s="250"/>
      <c r="PXY158" s="250"/>
      <c r="PXZ158" s="250"/>
      <c r="PYA158" s="250"/>
      <c r="PYB158" s="250"/>
      <c r="PYC158" s="250"/>
      <c r="PYD158" s="250"/>
      <c r="PYE158" s="250"/>
      <c r="PYF158" s="250"/>
      <c r="PYG158" s="250"/>
      <c r="PYH158" s="250"/>
      <c r="PYI158" s="250"/>
      <c r="PYJ158" s="250"/>
      <c r="PYK158" s="250"/>
      <c r="PYL158" s="250"/>
      <c r="PYM158" s="250"/>
      <c r="PYN158" s="250"/>
      <c r="PYO158" s="250"/>
      <c r="PYP158" s="250"/>
      <c r="PYQ158" s="250"/>
      <c r="PYR158" s="250"/>
      <c r="PYS158" s="250"/>
      <c r="PYT158" s="250"/>
      <c r="PYU158" s="250"/>
      <c r="PYV158" s="250"/>
      <c r="PYW158" s="250"/>
      <c r="PYX158" s="250"/>
      <c r="PYY158" s="250"/>
      <c r="PYZ158" s="250"/>
      <c r="PZA158" s="250"/>
      <c r="PZB158" s="250"/>
      <c r="PZC158" s="250"/>
      <c r="PZD158" s="250"/>
      <c r="PZE158" s="250"/>
      <c r="PZF158" s="250"/>
      <c r="PZG158" s="250"/>
      <c r="PZH158" s="250"/>
      <c r="PZI158" s="250"/>
      <c r="PZJ158" s="250"/>
      <c r="PZK158" s="250"/>
      <c r="PZL158" s="250"/>
      <c r="PZM158" s="250"/>
      <c r="PZN158" s="250"/>
      <c r="PZO158" s="250"/>
      <c r="PZP158" s="250"/>
      <c r="PZQ158" s="250"/>
      <c r="PZR158" s="250"/>
      <c r="PZS158" s="250"/>
      <c r="PZT158" s="250"/>
      <c r="PZU158" s="250"/>
      <c r="PZV158" s="250"/>
      <c r="PZW158" s="250"/>
      <c r="PZX158" s="250"/>
      <c r="PZY158" s="250"/>
      <c r="PZZ158" s="250"/>
      <c r="QAA158" s="250"/>
      <c r="QAB158" s="250"/>
      <c r="QAC158" s="250"/>
      <c r="QAD158" s="250"/>
      <c r="QAE158" s="250"/>
      <c r="QAF158" s="250"/>
      <c r="QAG158" s="250"/>
      <c r="QAH158" s="250"/>
      <c r="QAI158" s="250"/>
      <c r="QAJ158" s="250"/>
      <c r="QAK158" s="250"/>
      <c r="QAL158" s="250"/>
      <c r="QAM158" s="250"/>
      <c r="QAN158" s="250"/>
      <c r="QAO158" s="250"/>
      <c r="QAP158" s="250"/>
      <c r="QAQ158" s="250"/>
      <c r="QAR158" s="250"/>
      <c r="QAS158" s="250"/>
      <c r="QAT158" s="250"/>
      <c r="QAU158" s="250"/>
      <c r="QAV158" s="250"/>
      <c r="QAW158" s="250"/>
      <c r="QAX158" s="250"/>
      <c r="QAY158" s="250"/>
      <c r="QAZ158" s="250"/>
      <c r="QBA158" s="250"/>
      <c r="QBB158" s="250"/>
      <c r="QBC158" s="250"/>
      <c r="QBD158" s="250"/>
      <c r="QBE158" s="250"/>
      <c r="QBF158" s="250"/>
      <c r="QBG158" s="250"/>
      <c r="QBH158" s="250"/>
      <c r="QBI158" s="250"/>
      <c r="QBJ158" s="250"/>
      <c r="QBK158" s="250"/>
      <c r="QBL158" s="250"/>
      <c r="QBM158" s="250"/>
      <c r="QBN158" s="250"/>
      <c r="QBO158" s="250"/>
      <c r="QBP158" s="250"/>
      <c r="QBQ158" s="250"/>
      <c r="QBR158" s="250"/>
      <c r="QBS158" s="250"/>
      <c r="QBT158" s="250"/>
      <c r="QBU158" s="250"/>
      <c r="QBV158" s="250"/>
      <c r="QBW158" s="250"/>
      <c r="QBX158" s="250"/>
      <c r="QBY158" s="250"/>
      <c r="QBZ158" s="250"/>
      <c r="QCA158" s="250"/>
      <c r="QCB158" s="250"/>
      <c r="QCC158" s="250"/>
      <c r="QCD158" s="250"/>
      <c r="QCE158" s="250"/>
      <c r="QCF158" s="250"/>
      <c r="QCG158" s="250"/>
      <c r="QCH158" s="250"/>
      <c r="QCI158" s="250"/>
      <c r="QCJ158" s="250"/>
      <c r="QCK158" s="250"/>
      <c r="QCL158" s="250"/>
      <c r="QCM158" s="250"/>
      <c r="QCN158" s="250"/>
      <c r="QCO158" s="250"/>
      <c r="QCP158" s="250"/>
      <c r="QCQ158" s="250"/>
      <c r="QCR158" s="250"/>
      <c r="QCS158" s="250"/>
      <c r="QCT158" s="250"/>
      <c r="QCU158" s="250"/>
      <c r="QCV158" s="250"/>
      <c r="QCW158" s="250"/>
      <c r="QCX158" s="250"/>
      <c r="QCY158" s="250"/>
      <c r="QCZ158" s="250"/>
      <c r="QDA158" s="250"/>
      <c r="QDB158" s="250"/>
      <c r="QDC158" s="250"/>
      <c r="QDD158" s="250"/>
      <c r="QDE158" s="250"/>
      <c r="QDF158" s="250"/>
      <c r="QDG158" s="250"/>
      <c r="QDH158" s="250"/>
      <c r="QDI158" s="250"/>
      <c r="QDJ158" s="250"/>
      <c r="QDK158" s="250"/>
      <c r="QDL158" s="250"/>
      <c r="QDM158" s="250"/>
      <c r="QDN158" s="250"/>
      <c r="QDO158" s="250"/>
      <c r="QDP158" s="250"/>
      <c r="QDQ158" s="250"/>
      <c r="QDR158" s="250"/>
      <c r="QDS158" s="250"/>
      <c r="QDT158" s="250"/>
      <c r="QDU158" s="250"/>
      <c r="QDV158" s="250"/>
      <c r="QDW158" s="250"/>
      <c r="QDX158" s="250"/>
      <c r="QDY158" s="250"/>
      <c r="QDZ158" s="250"/>
      <c r="QEA158" s="250"/>
      <c r="QEB158" s="250"/>
      <c r="QEC158" s="250"/>
      <c r="QED158" s="250"/>
      <c r="QEE158" s="250"/>
      <c r="QEF158" s="250"/>
      <c r="QEG158" s="250"/>
      <c r="QEH158" s="250"/>
      <c r="QEI158" s="250"/>
      <c r="QEJ158" s="250"/>
      <c r="QEK158" s="250"/>
      <c r="QEL158" s="250"/>
      <c r="QEM158" s="250"/>
      <c r="QEN158" s="250"/>
      <c r="QEO158" s="250"/>
      <c r="QEP158" s="250"/>
      <c r="QEQ158" s="250"/>
      <c r="QER158" s="250"/>
      <c r="QES158" s="250"/>
      <c r="QET158" s="250"/>
      <c r="QEU158" s="250"/>
      <c r="QEV158" s="250"/>
      <c r="QEW158" s="250"/>
      <c r="QEX158" s="250"/>
      <c r="QEY158" s="250"/>
      <c r="QEZ158" s="250"/>
      <c r="QFA158" s="250"/>
      <c r="QFB158" s="250"/>
      <c r="QFC158" s="250"/>
      <c r="QFD158" s="250"/>
      <c r="QFE158" s="250"/>
      <c r="QFF158" s="250"/>
      <c r="QFG158" s="250"/>
      <c r="QFH158" s="250"/>
      <c r="QFI158" s="250"/>
      <c r="QFJ158" s="250"/>
      <c r="QFK158" s="250"/>
      <c r="QFL158" s="250"/>
      <c r="QFM158" s="250"/>
      <c r="QFN158" s="250"/>
      <c r="QFO158" s="250"/>
      <c r="QFP158" s="250"/>
      <c r="QFQ158" s="250"/>
      <c r="QFR158" s="250"/>
      <c r="QFS158" s="250"/>
      <c r="QFT158" s="250"/>
      <c r="QFU158" s="250"/>
      <c r="QFV158" s="250"/>
      <c r="QFW158" s="250"/>
      <c r="QFX158" s="250"/>
      <c r="QFY158" s="250"/>
      <c r="QFZ158" s="250"/>
      <c r="QGA158" s="250"/>
      <c r="QGB158" s="250"/>
      <c r="QGC158" s="250"/>
      <c r="QGD158" s="250"/>
      <c r="QGE158" s="250"/>
      <c r="QGF158" s="250"/>
      <c r="QGG158" s="250"/>
      <c r="QGH158" s="250"/>
      <c r="QGI158" s="250"/>
      <c r="QGJ158" s="250"/>
      <c r="QGK158" s="250"/>
      <c r="QGL158" s="250"/>
      <c r="QGM158" s="250"/>
      <c r="QGN158" s="250"/>
      <c r="QGO158" s="250"/>
      <c r="QGP158" s="250"/>
      <c r="QGQ158" s="250"/>
      <c r="QGR158" s="250"/>
      <c r="QGS158" s="250"/>
      <c r="QGT158" s="250"/>
      <c r="QGU158" s="250"/>
      <c r="QGV158" s="250"/>
      <c r="QGW158" s="250"/>
      <c r="QGX158" s="250"/>
      <c r="QGY158" s="250"/>
      <c r="QGZ158" s="250"/>
      <c r="QHA158" s="250"/>
      <c r="QHB158" s="250"/>
      <c r="QHC158" s="250"/>
      <c r="QHD158" s="250"/>
      <c r="QHE158" s="250"/>
      <c r="QHF158" s="250"/>
      <c r="QHG158" s="250"/>
      <c r="QHH158" s="250"/>
      <c r="QHI158" s="250"/>
      <c r="QHJ158" s="250"/>
      <c r="QHK158" s="250"/>
      <c r="QHL158" s="250"/>
      <c r="QHM158" s="250"/>
      <c r="QHN158" s="250"/>
      <c r="QHO158" s="250"/>
      <c r="QHP158" s="250"/>
      <c r="QHQ158" s="250"/>
      <c r="QHR158" s="250"/>
      <c r="QHS158" s="250"/>
      <c r="QHT158" s="250"/>
      <c r="QHU158" s="250"/>
      <c r="QHV158" s="250"/>
      <c r="QHW158" s="250"/>
      <c r="QHX158" s="250"/>
      <c r="QHY158" s="250"/>
      <c r="QHZ158" s="250"/>
      <c r="QIA158" s="250"/>
      <c r="QIB158" s="250"/>
      <c r="QIC158" s="250"/>
      <c r="QID158" s="250"/>
      <c r="QIE158" s="250"/>
      <c r="QIF158" s="250"/>
      <c r="QIG158" s="250"/>
      <c r="QIH158" s="250"/>
      <c r="QII158" s="250"/>
      <c r="QIJ158" s="250"/>
      <c r="QIK158" s="250"/>
      <c r="QIL158" s="250"/>
      <c r="QIM158" s="250"/>
      <c r="QIN158" s="250"/>
      <c r="QIO158" s="250"/>
      <c r="QIP158" s="250"/>
      <c r="QIQ158" s="250"/>
      <c r="QIR158" s="250"/>
      <c r="QIS158" s="250"/>
      <c r="QIT158" s="250"/>
      <c r="QIU158" s="250"/>
      <c r="QIV158" s="250"/>
      <c r="QIW158" s="250"/>
      <c r="QIX158" s="250"/>
      <c r="QIY158" s="250"/>
      <c r="QIZ158" s="250"/>
      <c r="QJA158" s="250"/>
      <c r="QJB158" s="250"/>
      <c r="QJC158" s="250"/>
      <c r="QJD158" s="250"/>
      <c r="QJE158" s="250"/>
      <c r="QJF158" s="250"/>
      <c r="QJG158" s="250"/>
      <c r="QJH158" s="250"/>
      <c r="QJI158" s="250"/>
      <c r="QJJ158" s="250"/>
      <c r="QJK158" s="250"/>
      <c r="QJL158" s="250"/>
      <c r="QJM158" s="250"/>
      <c r="QJN158" s="250"/>
      <c r="QJO158" s="250"/>
      <c r="QJP158" s="250"/>
      <c r="QJQ158" s="250"/>
      <c r="QJR158" s="250"/>
      <c r="QJS158" s="250"/>
      <c r="QJT158" s="250"/>
      <c r="QJU158" s="250"/>
      <c r="QJV158" s="250"/>
      <c r="QJW158" s="250"/>
      <c r="QJX158" s="250"/>
      <c r="QJY158" s="250"/>
      <c r="QJZ158" s="250"/>
      <c r="QKA158" s="250"/>
      <c r="QKB158" s="250"/>
      <c r="QKC158" s="250"/>
      <c r="QKD158" s="250"/>
      <c r="QKE158" s="250"/>
      <c r="QKF158" s="250"/>
      <c r="QKG158" s="250"/>
      <c r="QKH158" s="250"/>
      <c r="QKI158" s="250"/>
      <c r="QKJ158" s="250"/>
      <c r="QKK158" s="250"/>
      <c r="QKL158" s="250"/>
      <c r="QKM158" s="250"/>
      <c r="QKN158" s="250"/>
      <c r="QKO158" s="250"/>
      <c r="QKP158" s="250"/>
      <c r="QKQ158" s="250"/>
      <c r="QKR158" s="250"/>
      <c r="QKS158" s="250"/>
      <c r="QKT158" s="250"/>
      <c r="QKU158" s="250"/>
      <c r="QKV158" s="250"/>
      <c r="QKW158" s="250"/>
      <c r="QKX158" s="250"/>
      <c r="QKY158" s="250"/>
      <c r="QKZ158" s="250"/>
      <c r="QLA158" s="250"/>
      <c r="QLB158" s="250"/>
      <c r="QLC158" s="250"/>
      <c r="QLD158" s="250"/>
      <c r="QLE158" s="250"/>
      <c r="QLF158" s="250"/>
      <c r="QLG158" s="250"/>
      <c r="QLH158" s="250"/>
      <c r="QLI158" s="250"/>
      <c r="QLJ158" s="250"/>
      <c r="QLK158" s="250"/>
      <c r="QLL158" s="250"/>
      <c r="QLM158" s="250"/>
      <c r="QLN158" s="250"/>
      <c r="QLO158" s="250"/>
      <c r="QLP158" s="250"/>
      <c r="QLQ158" s="250"/>
      <c r="QLR158" s="250"/>
      <c r="QLS158" s="250"/>
      <c r="QLT158" s="250"/>
      <c r="QLU158" s="250"/>
      <c r="QLV158" s="250"/>
      <c r="QLW158" s="250"/>
      <c r="QLX158" s="250"/>
      <c r="QLY158" s="250"/>
      <c r="QLZ158" s="250"/>
      <c r="QMA158" s="250"/>
      <c r="QMB158" s="250"/>
      <c r="QMC158" s="250"/>
      <c r="QMD158" s="250"/>
      <c r="QME158" s="250"/>
      <c r="QMF158" s="250"/>
      <c r="QMG158" s="250"/>
      <c r="QMH158" s="250"/>
      <c r="QMI158" s="250"/>
      <c r="QMJ158" s="250"/>
      <c r="QMK158" s="250"/>
      <c r="QML158" s="250"/>
      <c r="QMM158" s="250"/>
      <c r="QMN158" s="250"/>
      <c r="QMO158" s="250"/>
      <c r="QMP158" s="250"/>
      <c r="QMQ158" s="250"/>
      <c r="QMR158" s="250"/>
      <c r="QMS158" s="250"/>
      <c r="QMT158" s="250"/>
      <c r="QMU158" s="250"/>
      <c r="QMV158" s="250"/>
      <c r="QMW158" s="250"/>
      <c r="QMX158" s="250"/>
      <c r="QMY158" s="250"/>
      <c r="QMZ158" s="250"/>
      <c r="QNA158" s="250"/>
      <c r="QNB158" s="250"/>
      <c r="QNC158" s="250"/>
      <c r="QND158" s="250"/>
      <c r="QNE158" s="250"/>
      <c r="QNF158" s="250"/>
      <c r="QNG158" s="250"/>
      <c r="QNH158" s="250"/>
      <c r="QNI158" s="250"/>
      <c r="QNJ158" s="250"/>
      <c r="QNK158" s="250"/>
      <c r="QNL158" s="250"/>
      <c r="QNM158" s="250"/>
      <c r="QNN158" s="250"/>
      <c r="QNO158" s="250"/>
      <c r="QNP158" s="250"/>
      <c r="QNQ158" s="250"/>
      <c r="QNR158" s="250"/>
      <c r="QNS158" s="250"/>
      <c r="QNT158" s="250"/>
      <c r="QNU158" s="250"/>
      <c r="QNV158" s="250"/>
      <c r="QNW158" s="250"/>
      <c r="QNX158" s="250"/>
      <c r="QNY158" s="250"/>
      <c r="QNZ158" s="250"/>
      <c r="QOA158" s="250"/>
      <c r="QOB158" s="250"/>
      <c r="QOC158" s="250"/>
      <c r="QOD158" s="250"/>
      <c r="QOE158" s="250"/>
      <c r="QOF158" s="250"/>
      <c r="QOG158" s="250"/>
      <c r="QOH158" s="250"/>
      <c r="QOI158" s="250"/>
      <c r="QOJ158" s="250"/>
      <c r="QOK158" s="250"/>
      <c r="QOL158" s="250"/>
      <c r="QOM158" s="250"/>
      <c r="QON158" s="250"/>
      <c r="QOO158" s="250"/>
      <c r="QOP158" s="250"/>
      <c r="QOQ158" s="250"/>
      <c r="QOR158" s="250"/>
      <c r="QOS158" s="250"/>
      <c r="QOT158" s="250"/>
      <c r="QOU158" s="250"/>
      <c r="QOV158" s="250"/>
      <c r="QOW158" s="250"/>
      <c r="QOX158" s="250"/>
      <c r="QOY158" s="250"/>
      <c r="QOZ158" s="250"/>
      <c r="QPA158" s="250"/>
      <c r="QPB158" s="250"/>
      <c r="QPC158" s="250"/>
      <c r="QPD158" s="250"/>
      <c r="QPE158" s="250"/>
      <c r="QPF158" s="250"/>
      <c r="QPG158" s="250"/>
      <c r="QPH158" s="250"/>
      <c r="QPI158" s="250"/>
      <c r="QPJ158" s="250"/>
      <c r="QPK158" s="250"/>
      <c r="QPL158" s="250"/>
      <c r="QPM158" s="250"/>
      <c r="QPN158" s="250"/>
      <c r="QPO158" s="250"/>
      <c r="QPP158" s="250"/>
      <c r="QPQ158" s="250"/>
      <c r="QPR158" s="250"/>
      <c r="QPS158" s="250"/>
      <c r="QPT158" s="250"/>
      <c r="QPU158" s="250"/>
      <c r="QPV158" s="250"/>
      <c r="QPW158" s="250"/>
      <c r="QPX158" s="250"/>
      <c r="QPY158" s="250"/>
      <c r="QPZ158" s="250"/>
      <c r="QQA158" s="250"/>
      <c r="QQB158" s="250"/>
      <c r="QQC158" s="250"/>
      <c r="QQD158" s="250"/>
      <c r="QQE158" s="250"/>
      <c r="QQF158" s="250"/>
      <c r="QQG158" s="250"/>
      <c r="QQH158" s="250"/>
      <c r="QQI158" s="250"/>
      <c r="QQJ158" s="250"/>
      <c r="QQK158" s="250"/>
      <c r="QQL158" s="250"/>
      <c r="QQM158" s="250"/>
      <c r="QQN158" s="250"/>
      <c r="QQO158" s="250"/>
      <c r="QQP158" s="250"/>
      <c r="QQQ158" s="250"/>
      <c r="QQR158" s="250"/>
      <c r="QQS158" s="250"/>
      <c r="QQT158" s="250"/>
      <c r="QQU158" s="250"/>
      <c r="QQV158" s="250"/>
      <c r="QQW158" s="250"/>
      <c r="QQX158" s="250"/>
      <c r="QQY158" s="250"/>
      <c r="QQZ158" s="250"/>
      <c r="QRA158" s="250"/>
      <c r="QRB158" s="250"/>
      <c r="QRC158" s="250"/>
      <c r="QRD158" s="250"/>
      <c r="QRE158" s="250"/>
      <c r="QRF158" s="250"/>
      <c r="QRG158" s="250"/>
      <c r="QRH158" s="250"/>
      <c r="QRI158" s="250"/>
      <c r="QRJ158" s="250"/>
      <c r="QRK158" s="250"/>
      <c r="QRL158" s="250"/>
      <c r="QRM158" s="250"/>
      <c r="QRN158" s="250"/>
      <c r="QRO158" s="250"/>
      <c r="QRP158" s="250"/>
      <c r="QRQ158" s="250"/>
      <c r="QRR158" s="250"/>
      <c r="QRS158" s="250"/>
      <c r="QRT158" s="250"/>
      <c r="QRU158" s="250"/>
      <c r="QRV158" s="250"/>
      <c r="QRW158" s="250"/>
      <c r="QRX158" s="250"/>
      <c r="QRY158" s="250"/>
      <c r="QRZ158" s="250"/>
      <c r="QSA158" s="250"/>
      <c r="QSB158" s="250"/>
      <c r="QSC158" s="250"/>
      <c r="QSD158" s="250"/>
      <c r="QSE158" s="250"/>
      <c r="QSF158" s="250"/>
      <c r="QSG158" s="250"/>
      <c r="QSH158" s="250"/>
      <c r="QSI158" s="250"/>
      <c r="QSJ158" s="250"/>
      <c r="QSK158" s="250"/>
      <c r="QSL158" s="250"/>
      <c r="QSM158" s="250"/>
      <c r="QSN158" s="250"/>
      <c r="QSO158" s="250"/>
      <c r="QSP158" s="250"/>
      <c r="QSQ158" s="250"/>
      <c r="QSR158" s="250"/>
      <c r="QSS158" s="250"/>
      <c r="QST158" s="250"/>
      <c r="QSU158" s="250"/>
      <c r="QSV158" s="250"/>
      <c r="QSW158" s="250"/>
      <c r="QSX158" s="250"/>
      <c r="QSY158" s="250"/>
      <c r="QSZ158" s="250"/>
      <c r="QTA158" s="250"/>
      <c r="QTB158" s="250"/>
      <c r="QTC158" s="250"/>
      <c r="QTD158" s="250"/>
      <c r="QTE158" s="250"/>
      <c r="QTF158" s="250"/>
      <c r="QTG158" s="250"/>
      <c r="QTH158" s="250"/>
      <c r="QTI158" s="250"/>
      <c r="QTJ158" s="250"/>
      <c r="QTK158" s="250"/>
      <c r="QTL158" s="250"/>
      <c r="QTM158" s="250"/>
      <c r="QTN158" s="250"/>
      <c r="QTO158" s="250"/>
      <c r="QTP158" s="250"/>
      <c r="QTQ158" s="250"/>
      <c r="QTR158" s="250"/>
      <c r="QTS158" s="250"/>
      <c r="QTT158" s="250"/>
      <c r="QTU158" s="250"/>
      <c r="QTV158" s="250"/>
      <c r="QTW158" s="250"/>
      <c r="QTX158" s="250"/>
      <c r="QTY158" s="250"/>
      <c r="QTZ158" s="250"/>
      <c r="QUA158" s="250"/>
      <c r="QUB158" s="250"/>
      <c r="QUC158" s="250"/>
      <c r="QUD158" s="250"/>
      <c r="QUE158" s="250"/>
      <c r="QUF158" s="250"/>
      <c r="QUG158" s="250"/>
      <c r="QUH158" s="250"/>
      <c r="QUI158" s="250"/>
      <c r="QUJ158" s="250"/>
      <c r="QUK158" s="250"/>
      <c r="QUL158" s="250"/>
      <c r="QUM158" s="250"/>
      <c r="QUN158" s="250"/>
      <c r="QUO158" s="250"/>
      <c r="QUP158" s="250"/>
      <c r="QUQ158" s="250"/>
      <c r="QUR158" s="250"/>
      <c r="QUS158" s="250"/>
      <c r="QUT158" s="250"/>
      <c r="QUU158" s="250"/>
      <c r="QUV158" s="250"/>
      <c r="QUW158" s="250"/>
      <c r="QUX158" s="250"/>
      <c r="QUY158" s="250"/>
      <c r="QUZ158" s="250"/>
      <c r="QVA158" s="250"/>
      <c r="QVB158" s="250"/>
      <c r="QVC158" s="250"/>
      <c r="QVD158" s="250"/>
      <c r="QVE158" s="250"/>
      <c r="QVF158" s="250"/>
      <c r="QVG158" s="250"/>
      <c r="QVH158" s="250"/>
      <c r="QVI158" s="250"/>
      <c r="QVJ158" s="250"/>
      <c r="QVK158" s="250"/>
      <c r="QVL158" s="250"/>
      <c r="QVM158" s="250"/>
      <c r="QVN158" s="250"/>
      <c r="QVO158" s="250"/>
      <c r="QVP158" s="250"/>
      <c r="QVQ158" s="250"/>
      <c r="QVR158" s="250"/>
      <c r="QVS158" s="250"/>
      <c r="QVT158" s="250"/>
      <c r="QVU158" s="250"/>
      <c r="QVV158" s="250"/>
      <c r="QVW158" s="250"/>
      <c r="QVX158" s="250"/>
      <c r="QVY158" s="250"/>
      <c r="QVZ158" s="250"/>
      <c r="QWA158" s="250"/>
      <c r="QWB158" s="250"/>
      <c r="QWC158" s="250"/>
      <c r="QWD158" s="250"/>
      <c r="QWE158" s="250"/>
      <c r="QWF158" s="250"/>
      <c r="QWG158" s="250"/>
      <c r="QWH158" s="250"/>
      <c r="QWI158" s="250"/>
      <c r="QWJ158" s="250"/>
      <c r="QWK158" s="250"/>
      <c r="QWL158" s="250"/>
      <c r="QWM158" s="250"/>
      <c r="QWN158" s="250"/>
      <c r="QWO158" s="250"/>
      <c r="QWP158" s="250"/>
      <c r="QWQ158" s="250"/>
      <c r="QWR158" s="250"/>
      <c r="QWS158" s="250"/>
      <c r="QWT158" s="250"/>
      <c r="QWU158" s="250"/>
      <c r="QWV158" s="250"/>
      <c r="QWW158" s="250"/>
      <c r="QWX158" s="250"/>
      <c r="QWY158" s="250"/>
      <c r="QWZ158" s="250"/>
      <c r="QXA158" s="250"/>
      <c r="QXB158" s="250"/>
      <c r="QXC158" s="250"/>
      <c r="QXD158" s="250"/>
      <c r="QXE158" s="250"/>
      <c r="QXF158" s="250"/>
      <c r="QXG158" s="250"/>
      <c r="QXH158" s="250"/>
      <c r="QXI158" s="250"/>
      <c r="QXJ158" s="250"/>
      <c r="QXK158" s="250"/>
      <c r="QXL158" s="250"/>
      <c r="QXM158" s="250"/>
      <c r="QXN158" s="250"/>
      <c r="QXO158" s="250"/>
      <c r="QXP158" s="250"/>
      <c r="QXQ158" s="250"/>
      <c r="QXR158" s="250"/>
      <c r="QXS158" s="250"/>
      <c r="QXT158" s="250"/>
      <c r="QXU158" s="250"/>
      <c r="QXV158" s="250"/>
      <c r="QXW158" s="250"/>
      <c r="QXX158" s="250"/>
      <c r="QXY158" s="250"/>
      <c r="QXZ158" s="250"/>
      <c r="QYA158" s="250"/>
      <c r="QYB158" s="250"/>
      <c r="QYC158" s="250"/>
      <c r="QYD158" s="250"/>
      <c r="QYE158" s="250"/>
      <c r="QYF158" s="250"/>
      <c r="QYG158" s="250"/>
      <c r="QYH158" s="250"/>
      <c r="QYI158" s="250"/>
      <c r="QYJ158" s="250"/>
      <c r="QYK158" s="250"/>
      <c r="QYL158" s="250"/>
      <c r="QYM158" s="250"/>
      <c r="QYN158" s="250"/>
      <c r="QYO158" s="250"/>
      <c r="QYP158" s="250"/>
      <c r="QYQ158" s="250"/>
      <c r="QYR158" s="250"/>
      <c r="QYS158" s="250"/>
      <c r="QYT158" s="250"/>
      <c r="QYU158" s="250"/>
      <c r="QYV158" s="250"/>
      <c r="QYW158" s="250"/>
      <c r="QYX158" s="250"/>
      <c r="QYY158" s="250"/>
      <c r="QYZ158" s="250"/>
      <c r="QZA158" s="250"/>
      <c r="QZB158" s="250"/>
      <c r="QZC158" s="250"/>
      <c r="QZD158" s="250"/>
      <c r="QZE158" s="250"/>
      <c r="QZF158" s="250"/>
      <c r="QZG158" s="250"/>
      <c r="QZH158" s="250"/>
      <c r="QZI158" s="250"/>
      <c r="QZJ158" s="250"/>
      <c r="QZK158" s="250"/>
      <c r="QZL158" s="250"/>
      <c r="QZM158" s="250"/>
      <c r="QZN158" s="250"/>
      <c r="QZO158" s="250"/>
      <c r="QZP158" s="250"/>
      <c r="QZQ158" s="250"/>
      <c r="QZR158" s="250"/>
      <c r="QZS158" s="250"/>
      <c r="QZT158" s="250"/>
      <c r="QZU158" s="250"/>
      <c r="QZV158" s="250"/>
      <c r="QZW158" s="250"/>
      <c r="QZX158" s="250"/>
      <c r="QZY158" s="250"/>
      <c r="QZZ158" s="250"/>
      <c r="RAA158" s="250"/>
      <c r="RAB158" s="250"/>
      <c r="RAC158" s="250"/>
      <c r="RAD158" s="250"/>
      <c r="RAE158" s="250"/>
      <c r="RAF158" s="250"/>
      <c r="RAG158" s="250"/>
      <c r="RAH158" s="250"/>
      <c r="RAI158" s="250"/>
      <c r="RAJ158" s="250"/>
      <c r="RAK158" s="250"/>
      <c r="RAL158" s="250"/>
      <c r="RAM158" s="250"/>
      <c r="RAN158" s="250"/>
      <c r="RAO158" s="250"/>
      <c r="RAP158" s="250"/>
      <c r="RAQ158" s="250"/>
      <c r="RAR158" s="250"/>
      <c r="RAS158" s="250"/>
      <c r="RAT158" s="250"/>
      <c r="RAU158" s="250"/>
      <c r="RAV158" s="250"/>
      <c r="RAW158" s="250"/>
      <c r="RAX158" s="250"/>
      <c r="RAY158" s="250"/>
      <c r="RAZ158" s="250"/>
      <c r="RBA158" s="250"/>
      <c r="RBB158" s="250"/>
      <c r="RBC158" s="250"/>
      <c r="RBD158" s="250"/>
      <c r="RBE158" s="250"/>
      <c r="RBF158" s="250"/>
      <c r="RBG158" s="250"/>
      <c r="RBH158" s="250"/>
      <c r="RBI158" s="250"/>
      <c r="RBJ158" s="250"/>
      <c r="RBK158" s="250"/>
      <c r="RBL158" s="250"/>
      <c r="RBM158" s="250"/>
      <c r="RBN158" s="250"/>
      <c r="RBO158" s="250"/>
      <c r="RBP158" s="250"/>
      <c r="RBQ158" s="250"/>
      <c r="RBR158" s="250"/>
      <c r="RBS158" s="250"/>
      <c r="RBT158" s="250"/>
      <c r="RBU158" s="250"/>
      <c r="RBV158" s="250"/>
      <c r="RBW158" s="250"/>
      <c r="RBX158" s="250"/>
      <c r="RBY158" s="250"/>
      <c r="RBZ158" s="250"/>
      <c r="RCA158" s="250"/>
      <c r="RCB158" s="250"/>
      <c r="RCC158" s="250"/>
      <c r="RCD158" s="250"/>
      <c r="RCE158" s="250"/>
      <c r="RCF158" s="250"/>
      <c r="RCG158" s="250"/>
      <c r="RCH158" s="250"/>
      <c r="RCI158" s="250"/>
      <c r="RCJ158" s="250"/>
      <c r="RCK158" s="250"/>
      <c r="RCL158" s="250"/>
      <c r="RCM158" s="250"/>
      <c r="RCN158" s="250"/>
      <c r="RCO158" s="250"/>
      <c r="RCP158" s="250"/>
      <c r="RCQ158" s="250"/>
      <c r="RCR158" s="250"/>
      <c r="RCS158" s="250"/>
      <c r="RCT158" s="250"/>
      <c r="RCU158" s="250"/>
      <c r="RCV158" s="250"/>
      <c r="RCW158" s="250"/>
      <c r="RCX158" s="250"/>
      <c r="RCY158" s="250"/>
      <c r="RCZ158" s="250"/>
      <c r="RDA158" s="250"/>
      <c r="RDB158" s="250"/>
      <c r="RDC158" s="250"/>
      <c r="RDD158" s="250"/>
      <c r="RDE158" s="250"/>
      <c r="RDF158" s="250"/>
      <c r="RDG158" s="250"/>
      <c r="RDH158" s="250"/>
      <c r="RDI158" s="250"/>
      <c r="RDJ158" s="250"/>
      <c r="RDK158" s="250"/>
      <c r="RDL158" s="250"/>
      <c r="RDM158" s="250"/>
      <c r="RDN158" s="250"/>
      <c r="RDO158" s="250"/>
      <c r="RDP158" s="250"/>
      <c r="RDQ158" s="250"/>
      <c r="RDR158" s="250"/>
      <c r="RDS158" s="250"/>
      <c r="RDT158" s="250"/>
      <c r="RDU158" s="250"/>
      <c r="RDV158" s="250"/>
      <c r="RDW158" s="250"/>
      <c r="RDX158" s="250"/>
      <c r="RDY158" s="250"/>
      <c r="RDZ158" s="250"/>
      <c r="REA158" s="250"/>
      <c r="REB158" s="250"/>
      <c r="REC158" s="250"/>
      <c r="RED158" s="250"/>
      <c r="REE158" s="250"/>
      <c r="REF158" s="250"/>
      <c r="REG158" s="250"/>
      <c r="REH158" s="250"/>
      <c r="REI158" s="250"/>
      <c r="REJ158" s="250"/>
      <c r="REK158" s="250"/>
      <c r="REL158" s="250"/>
      <c r="REM158" s="250"/>
      <c r="REN158" s="250"/>
      <c r="REO158" s="250"/>
      <c r="REP158" s="250"/>
      <c r="REQ158" s="250"/>
      <c r="RER158" s="250"/>
      <c r="RES158" s="250"/>
      <c r="RET158" s="250"/>
      <c r="REU158" s="250"/>
      <c r="REV158" s="250"/>
      <c r="REW158" s="250"/>
      <c r="REX158" s="250"/>
      <c r="REY158" s="250"/>
      <c r="REZ158" s="250"/>
      <c r="RFA158" s="250"/>
      <c r="RFB158" s="250"/>
      <c r="RFC158" s="250"/>
      <c r="RFD158" s="250"/>
      <c r="RFE158" s="250"/>
      <c r="RFF158" s="250"/>
      <c r="RFG158" s="250"/>
      <c r="RFH158" s="250"/>
      <c r="RFI158" s="250"/>
      <c r="RFJ158" s="250"/>
      <c r="RFK158" s="250"/>
      <c r="RFL158" s="250"/>
      <c r="RFM158" s="250"/>
      <c r="RFN158" s="250"/>
      <c r="RFO158" s="250"/>
      <c r="RFP158" s="250"/>
      <c r="RFQ158" s="250"/>
      <c r="RFR158" s="250"/>
      <c r="RFS158" s="250"/>
      <c r="RFT158" s="250"/>
      <c r="RFU158" s="250"/>
      <c r="RFV158" s="250"/>
      <c r="RFW158" s="250"/>
      <c r="RFX158" s="250"/>
      <c r="RFY158" s="250"/>
      <c r="RFZ158" s="250"/>
      <c r="RGA158" s="250"/>
      <c r="RGB158" s="250"/>
      <c r="RGC158" s="250"/>
      <c r="RGD158" s="250"/>
      <c r="RGE158" s="250"/>
      <c r="RGF158" s="250"/>
      <c r="RGG158" s="250"/>
      <c r="RGH158" s="250"/>
      <c r="RGI158" s="250"/>
      <c r="RGJ158" s="250"/>
      <c r="RGK158" s="250"/>
      <c r="RGL158" s="250"/>
      <c r="RGM158" s="250"/>
      <c r="RGN158" s="250"/>
      <c r="RGO158" s="250"/>
      <c r="RGP158" s="250"/>
      <c r="RGQ158" s="250"/>
      <c r="RGR158" s="250"/>
      <c r="RGS158" s="250"/>
      <c r="RGT158" s="250"/>
      <c r="RGU158" s="250"/>
      <c r="RGV158" s="250"/>
      <c r="RGW158" s="250"/>
      <c r="RGX158" s="250"/>
      <c r="RGY158" s="250"/>
      <c r="RGZ158" s="250"/>
      <c r="RHA158" s="250"/>
      <c r="RHB158" s="250"/>
      <c r="RHC158" s="250"/>
      <c r="RHD158" s="250"/>
      <c r="RHE158" s="250"/>
      <c r="RHF158" s="250"/>
      <c r="RHG158" s="250"/>
      <c r="RHH158" s="250"/>
      <c r="RHI158" s="250"/>
      <c r="RHJ158" s="250"/>
      <c r="RHK158" s="250"/>
      <c r="RHL158" s="250"/>
      <c r="RHM158" s="250"/>
      <c r="RHN158" s="250"/>
      <c r="RHO158" s="250"/>
      <c r="RHP158" s="250"/>
      <c r="RHQ158" s="250"/>
      <c r="RHR158" s="250"/>
      <c r="RHS158" s="250"/>
      <c r="RHT158" s="250"/>
      <c r="RHU158" s="250"/>
      <c r="RHV158" s="250"/>
      <c r="RHW158" s="250"/>
      <c r="RHX158" s="250"/>
      <c r="RHY158" s="250"/>
      <c r="RHZ158" s="250"/>
      <c r="RIA158" s="250"/>
      <c r="RIB158" s="250"/>
      <c r="RIC158" s="250"/>
      <c r="RID158" s="250"/>
      <c r="RIE158" s="250"/>
      <c r="RIF158" s="250"/>
      <c r="RIG158" s="250"/>
      <c r="RIH158" s="250"/>
      <c r="RII158" s="250"/>
      <c r="RIJ158" s="250"/>
      <c r="RIK158" s="250"/>
      <c r="RIL158" s="250"/>
      <c r="RIM158" s="250"/>
      <c r="RIN158" s="250"/>
      <c r="RIO158" s="250"/>
      <c r="RIP158" s="250"/>
      <c r="RIQ158" s="250"/>
      <c r="RIR158" s="250"/>
      <c r="RIS158" s="250"/>
      <c r="RIT158" s="250"/>
      <c r="RIU158" s="250"/>
      <c r="RIV158" s="250"/>
      <c r="RIW158" s="250"/>
      <c r="RIX158" s="250"/>
      <c r="RIY158" s="250"/>
      <c r="RIZ158" s="250"/>
      <c r="RJA158" s="250"/>
      <c r="RJB158" s="250"/>
      <c r="RJC158" s="250"/>
      <c r="RJD158" s="250"/>
      <c r="RJE158" s="250"/>
      <c r="RJF158" s="250"/>
      <c r="RJG158" s="250"/>
      <c r="RJH158" s="250"/>
      <c r="RJI158" s="250"/>
      <c r="RJJ158" s="250"/>
      <c r="RJK158" s="250"/>
      <c r="RJL158" s="250"/>
      <c r="RJM158" s="250"/>
      <c r="RJN158" s="250"/>
      <c r="RJO158" s="250"/>
      <c r="RJP158" s="250"/>
      <c r="RJQ158" s="250"/>
      <c r="RJR158" s="250"/>
      <c r="RJS158" s="250"/>
      <c r="RJT158" s="250"/>
      <c r="RJU158" s="250"/>
      <c r="RJV158" s="250"/>
      <c r="RJW158" s="250"/>
      <c r="RJX158" s="250"/>
      <c r="RJY158" s="250"/>
      <c r="RJZ158" s="250"/>
      <c r="RKA158" s="250"/>
      <c r="RKB158" s="250"/>
      <c r="RKC158" s="250"/>
      <c r="RKD158" s="250"/>
      <c r="RKE158" s="250"/>
      <c r="RKF158" s="250"/>
      <c r="RKG158" s="250"/>
      <c r="RKH158" s="250"/>
      <c r="RKI158" s="250"/>
      <c r="RKJ158" s="250"/>
      <c r="RKK158" s="250"/>
      <c r="RKL158" s="250"/>
      <c r="RKM158" s="250"/>
      <c r="RKN158" s="250"/>
      <c r="RKO158" s="250"/>
      <c r="RKP158" s="250"/>
      <c r="RKQ158" s="250"/>
      <c r="RKR158" s="250"/>
      <c r="RKS158" s="250"/>
      <c r="RKT158" s="250"/>
      <c r="RKU158" s="250"/>
      <c r="RKV158" s="250"/>
      <c r="RKW158" s="250"/>
      <c r="RKX158" s="250"/>
      <c r="RKY158" s="250"/>
      <c r="RKZ158" s="250"/>
      <c r="RLA158" s="250"/>
      <c r="RLB158" s="250"/>
      <c r="RLC158" s="250"/>
      <c r="RLD158" s="250"/>
      <c r="RLE158" s="250"/>
      <c r="RLF158" s="250"/>
      <c r="RLG158" s="250"/>
      <c r="RLH158" s="250"/>
      <c r="RLI158" s="250"/>
      <c r="RLJ158" s="250"/>
      <c r="RLK158" s="250"/>
      <c r="RLL158" s="250"/>
      <c r="RLM158" s="250"/>
      <c r="RLN158" s="250"/>
      <c r="RLO158" s="250"/>
      <c r="RLP158" s="250"/>
      <c r="RLQ158" s="250"/>
      <c r="RLR158" s="250"/>
      <c r="RLS158" s="250"/>
      <c r="RLT158" s="250"/>
      <c r="RLU158" s="250"/>
      <c r="RLV158" s="250"/>
      <c r="RLW158" s="250"/>
      <c r="RLX158" s="250"/>
      <c r="RLY158" s="250"/>
      <c r="RLZ158" s="250"/>
      <c r="RMA158" s="250"/>
      <c r="RMB158" s="250"/>
      <c r="RMC158" s="250"/>
      <c r="RMD158" s="250"/>
      <c r="RME158" s="250"/>
      <c r="RMF158" s="250"/>
      <c r="RMG158" s="250"/>
      <c r="RMH158" s="250"/>
      <c r="RMI158" s="250"/>
      <c r="RMJ158" s="250"/>
      <c r="RMK158" s="250"/>
      <c r="RML158" s="250"/>
      <c r="RMM158" s="250"/>
      <c r="RMN158" s="250"/>
      <c r="RMO158" s="250"/>
      <c r="RMP158" s="250"/>
      <c r="RMQ158" s="250"/>
      <c r="RMR158" s="250"/>
      <c r="RMS158" s="250"/>
      <c r="RMT158" s="250"/>
      <c r="RMU158" s="250"/>
      <c r="RMV158" s="250"/>
      <c r="RMW158" s="250"/>
      <c r="RMX158" s="250"/>
      <c r="RMY158" s="250"/>
      <c r="RMZ158" s="250"/>
      <c r="RNA158" s="250"/>
      <c r="RNB158" s="250"/>
      <c r="RNC158" s="250"/>
      <c r="RND158" s="250"/>
      <c r="RNE158" s="250"/>
      <c r="RNF158" s="250"/>
      <c r="RNG158" s="250"/>
      <c r="RNH158" s="250"/>
      <c r="RNI158" s="250"/>
      <c r="RNJ158" s="250"/>
      <c r="RNK158" s="250"/>
      <c r="RNL158" s="250"/>
      <c r="RNM158" s="250"/>
      <c r="RNN158" s="250"/>
      <c r="RNO158" s="250"/>
      <c r="RNP158" s="250"/>
      <c r="RNQ158" s="250"/>
      <c r="RNR158" s="250"/>
      <c r="RNS158" s="250"/>
      <c r="RNT158" s="250"/>
      <c r="RNU158" s="250"/>
      <c r="RNV158" s="250"/>
      <c r="RNW158" s="250"/>
      <c r="RNX158" s="250"/>
      <c r="RNY158" s="250"/>
      <c r="RNZ158" s="250"/>
      <c r="ROA158" s="250"/>
      <c r="ROB158" s="250"/>
      <c r="ROC158" s="250"/>
      <c r="ROD158" s="250"/>
      <c r="ROE158" s="250"/>
      <c r="ROF158" s="250"/>
      <c r="ROG158" s="250"/>
      <c r="ROH158" s="250"/>
      <c r="ROI158" s="250"/>
      <c r="ROJ158" s="250"/>
      <c r="ROK158" s="250"/>
      <c r="ROL158" s="250"/>
      <c r="ROM158" s="250"/>
      <c r="RON158" s="250"/>
      <c r="ROO158" s="250"/>
      <c r="ROP158" s="250"/>
      <c r="ROQ158" s="250"/>
      <c r="ROR158" s="250"/>
      <c r="ROS158" s="250"/>
      <c r="ROT158" s="250"/>
      <c r="ROU158" s="250"/>
      <c r="ROV158" s="250"/>
      <c r="ROW158" s="250"/>
      <c r="ROX158" s="250"/>
      <c r="ROY158" s="250"/>
      <c r="ROZ158" s="250"/>
      <c r="RPA158" s="250"/>
      <c r="RPB158" s="250"/>
      <c r="RPC158" s="250"/>
      <c r="RPD158" s="250"/>
      <c r="RPE158" s="250"/>
      <c r="RPF158" s="250"/>
      <c r="RPG158" s="250"/>
      <c r="RPH158" s="250"/>
      <c r="RPI158" s="250"/>
      <c r="RPJ158" s="250"/>
      <c r="RPK158" s="250"/>
      <c r="RPL158" s="250"/>
      <c r="RPM158" s="250"/>
      <c r="RPN158" s="250"/>
      <c r="RPO158" s="250"/>
      <c r="RPP158" s="250"/>
      <c r="RPQ158" s="250"/>
      <c r="RPR158" s="250"/>
      <c r="RPS158" s="250"/>
      <c r="RPT158" s="250"/>
      <c r="RPU158" s="250"/>
      <c r="RPV158" s="250"/>
      <c r="RPW158" s="250"/>
      <c r="RPX158" s="250"/>
      <c r="RPY158" s="250"/>
      <c r="RPZ158" s="250"/>
      <c r="RQA158" s="250"/>
      <c r="RQB158" s="250"/>
      <c r="RQC158" s="250"/>
      <c r="RQD158" s="250"/>
      <c r="RQE158" s="250"/>
      <c r="RQF158" s="250"/>
      <c r="RQG158" s="250"/>
      <c r="RQH158" s="250"/>
      <c r="RQI158" s="250"/>
      <c r="RQJ158" s="250"/>
      <c r="RQK158" s="250"/>
      <c r="RQL158" s="250"/>
      <c r="RQM158" s="250"/>
      <c r="RQN158" s="250"/>
      <c r="RQO158" s="250"/>
      <c r="RQP158" s="250"/>
      <c r="RQQ158" s="250"/>
      <c r="RQR158" s="250"/>
      <c r="RQS158" s="250"/>
      <c r="RQT158" s="250"/>
      <c r="RQU158" s="250"/>
      <c r="RQV158" s="250"/>
      <c r="RQW158" s="250"/>
      <c r="RQX158" s="250"/>
      <c r="RQY158" s="250"/>
      <c r="RQZ158" s="250"/>
      <c r="RRA158" s="250"/>
      <c r="RRB158" s="250"/>
      <c r="RRC158" s="250"/>
      <c r="RRD158" s="250"/>
      <c r="RRE158" s="250"/>
      <c r="RRF158" s="250"/>
      <c r="RRG158" s="250"/>
      <c r="RRH158" s="250"/>
      <c r="RRI158" s="250"/>
      <c r="RRJ158" s="250"/>
      <c r="RRK158" s="250"/>
      <c r="RRL158" s="250"/>
      <c r="RRM158" s="250"/>
      <c r="RRN158" s="250"/>
      <c r="RRO158" s="250"/>
      <c r="RRP158" s="250"/>
      <c r="RRQ158" s="250"/>
      <c r="RRR158" s="250"/>
      <c r="RRS158" s="250"/>
      <c r="RRT158" s="250"/>
      <c r="RRU158" s="250"/>
      <c r="RRV158" s="250"/>
      <c r="RRW158" s="250"/>
      <c r="RRX158" s="250"/>
      <c r="RRY158" s="250"/>
      <c r="RRZ158" s="250"/>
      <c r="RSA158" s="250"/>
      <c r="RSB158" s="250"/>
      <c r="RSC158" s="250"/>
      <c r="RSD158" s="250"/>
      <c r="RSE158" s="250"/>
      <c r="RSF158" s="250"/>
      <c r="RSG158" s="250"/>
      <c r="RSH158" s="250"/>
      <c r="RSI158" s="250"/>
      <c r="RSJ158" s="250"/>
      <c r="RSK158" s="250"/>
      <c r="RSL158" s="250"/>
      <c r="RSM158" s="250"/>
      <c r="RSN158" s="250"/>
      <c r="RSO158" s="250"/>
      <c r="RSP158" s="250"/>
      <c r="RSQ158" s="250"/>
      <c r="RSR158" s="250"/>
      <c r="RSS158" s="250"/>
      <c r="RST158" s="250"/>
      <c r="RSU158" s="250"/>
      <c r="RSV158" s="250"/>
      <c r="RSW158" s="250"/>
      <c r="RSX158" s="250"/>
      <c r="RSY158" s="250"/>
      <c r="RSZ158" s="250"/>
      <c r="RTA158" s="250"/>
      <c r="RTB158" s="250"/>
      <c r="RTC158" s="250"/>
      <c r="RTD158" s="250"/>
      <c r="RTE158" s="250"/>
      <c r="RTF158" s="250"/>
      <c r="RTG158" s="250"/>
      <c r="RTH158" s="250"/>
      <c r="RTI158" s="250"/>
      <c r="RTJ158" s="250"/>
      <c r="RTK158" s="250"/>
      <c r="RTL158" s="250"/>
      <c r="RTM158" s="250"/>
      <c r="RTN158" s="250"/>
      <c r="RTO158" s="250"/>
      <c r="RTP158" s="250"/>
      <c r="RTQ158" s="250"/>
      <c r="RTR158" s="250"/>
      <c r="RTS158" s="250"/>
      <c r="RTT158" s="250"/>
      <c r="RTU158" s="250"/>
      <c r="RTV158" s="250"/>
      <c r="RTW158" s="250"/>
      <c r="RTX158" s="250"/>
      <c r="RTY158" s="250"/>
      <c r="RTZ158" s="250"/>
      <c r="RUA158" s="250"/>
      <c r="RUB158" s="250"/>
      <c r="RUC158" s="250"/>
      <c r="RUD158" s="250"/>
      <c r="RUE158" s="250"/>
      <c r="RUF158" s="250"/>
      <c r="RUG158" s="250"/>
      <c r="RUH158" s="250"/>
      <c r="RUI158" s="250"/>
      <c r="RUJ158" s="250"/>
      <c r="RUK158" s="250"/>
      <c r="RUL158" s="250"/>
      <c r="RUM158" s="250"/>
      <c r="RUN158" s="250"/>
      <c r="RUO158" s="250"/>
      <c r="RUP158" s="250"/>
      <c r="RUQ158" s="250"/>
      <c r="RUR158" s="250"/>
      <c r="RUS158" s="250"/>
      <c r="RUT158" s="250"/>
      <c r="RUU158" s="250"/>
      <c r="RUV158" s="250"/>
      <c r="RUW158" s="250"/>
      <c r="RUX158" s="250"/>
      <c r="RUY158" s="250"/>
      <c r="RUZ158" s="250"/>
      <c r="RVA158" s="250"/>
      <c r="RVB158" s="250"/>
      <c r="RVC158" s="250"/>
      <c r="RVD158" s="250"/>
      <c r="RVE158" s="250"/>
      <c r="RVF158" s="250"/>
      <c r="RVG158" s="250"/>
      <c r="RVH158" s="250"/>
      <c r="RVI158" s="250"/>
      <c r="RVJ158" s="250"/>
      <c r="RVK158" s="250"/>
      <c r="RVL158" s="250"/>
      <c r="RVM158" s="250"/>
      <c r="RVN158" s="250"/>
      <c r="RVO158" s="250"/>
      <c r="RVP158" s="250"/>
      <c r="RVQ158" s="250"/>
      <c r="RVR158" s="250"/>
      <c r="RVS158" s="250"/>
      <c r="RVT158" s="250"/>
      <c r="RVU158" s="250"/>
      <c r="RVV158" s="250"/>
      <c r="RVW158" s="250"/>
      <c r="RVX158" s="250"/>
      <c r="RVY158" s="250"/>
      <c r="RVZ158" s="250"/>
      <c r="RWA158" s="250"/>
      <c r="RWB158" s="250"/>
      <c r="RWC158" s="250"/>
      <c r="RWD158" s="250"/>
      <c r="RWE158" s="250"/>
      <c r="RWF158" s="250"/>
      <c r="RWG158" s="250"/>
      <c r="RWH158" s="250"/>
      <c r="RWI158" s="250"/>
      <c r="RWJ158" s="250"/>
      <c r="RWK158" s="250"/>
      <c r="RWL158" s="250"/>
      <c r="RWM158" s="250"/>
      <c r="RWN158" s="250"/>
      <c r="RWO158" s="250"/>
      <c r="RWP158" s="250"/>
      <c r="RWQ158" s="250"/>
      <c r="RWR158" s="250"/>
      <c r="RWS158" s="250"/>
      <c r="RWT158" s="250"/>
      <c r="RWU158" s="250"/>
      <c r="RWV158" s="250"/>
      <c r="RWW158" s="250"/>
      <c r="RWX158" s="250"/>
      <c r="RWY158" s="250"/>
      <c r="RWZ158" s="250"/>
      <c r="RXA158" s="250"/>
      <c r="RXB158" s="250"/>
      <c r="RXC158" s="250"/>
      <c r="RXD158" s="250"/>
      <c r="RXE158" s="250"/>
      <c r="RXF158" s="250"/>
      <c r="RXG158" s="250"/>
      <c r="RXH158" s="250"/>
      <c r="RXI158" s="250"/>
      <c r="RXJ158" s="250"/>
      <c r="RXK158" s="250"/>
      <c r="RXL158" s="250"/>
      <c r="RXM158" s="250"/>
      <c r="RXN158" s="250"/>
      <c r="RXO158" s="250"/>
      <c r="RXP158" s="250"/>
      <c r="RXQ158" s="250"/>
      <c r="RXR158" s="250"/>
      <c r="RXS158" s="250"/>
      <c r="RXT158" s="250"/>
      <c r="RXU158" s="250"/>
      <c r="RXV158" s="250"/>
      <c r="RXW158" s="250"/>
      <c r="RXX158" s="250"/>
      <c r="RXY158" s="250"/>
      <c r="RXZ158" s="250"/>
      <c r="RYA158" s="250"/>
      <c r="RYB158" s="250"/>
      <c r="RYC158" s="250"/>
      <c r="RYD158" s="250"/>
      <c r="RYE158" s="250"/>
      <c r="RYF158" s="250"/>
      <c r="RYG158" s="250"/>
      <c r="RYH158" s="250"/>
      <c r="RYI158" s="250"/>
      <c r="RYJ158" s="250"/>
      <c r="RYK158" s="250"/>
      <c r="RYL158" s="250"/>
      <c r="RYM158" s="250"/>
      <c r="RYN158" s="250"/>
      <c r="RYO158" s="250"/>
      <c r="RYP158" s="250"/>
      <c r="RYQ158" s="250"/>
      <c r="RYR158" s="250"/>
      <c r="RYS158" s="250"/>
      <c r="RYT158" s="250"/>
      <c r="RYU158" s="250"/>
      <c r="RYV158" s="250"/>
      <c r="RYW158" s="250"/>
      <c r="RYX158" s="250"/>
      <c r="RYY158" s="250"/>
      <c r="RYZ158" s="250"/>
      <c r="RZA158" s="250"/>
      <c r="RZB158" s="250"/>
      <c r="RZC158" s="250"/>
      <c r="RZD158" s="250"/>
      <c r="RZE158" s="250"/>
      <c r="RZF158" s="250"/>
      <c r="RZG158" s="250"/>
      <c r="RZH158" s="250"/>
      <c r="RZI158" s="250"/>
      <c r="RZJ158" s="250"/>
      <c r="RZK158" s="250"/>
      <c r="RZL158" s="250"/>
      <c r="RZM158" s="250"/>
      <c r="RZN158" s="250"/>
      <c r="RZO158" s="250"/>
      <c r="RZP158" s="250"/>
      <c r="RZQ158" s="250"/>
      <c r="RZR158" s="250"/>
      <c r="RZS158" s="250"/>
      <c r="RZT158" s="250"/>
      <c r="RZU158" s="250"/>
      <c r="RZV158" s="250"/>
      <c r="RZW158" s="250"/>
      <c r="RZX158" s="250"/>
      <c r="RZY158" s="250"/>
      <c r="RZZ158" s="250"/>
      <c r="SAA158" s="250"/>
      <c r="SAB158" s="250"/>
      <c r="SAC158" s="250"/>
      <c r="SAD158" s="250"/>
      <c r="SAE158" s="250"/>
      <c r="SAF158" s="250"/>
      <c r="SAG158" s="250"/>
      <c r="SAH158" s="250"/>
      <c r="SAI158" s="250"/>
      <c r="SAJ158" s="250"/>
      <c r="SAK158" s="250"/>
      <c r="SAL158" s="250"/>
      <c r="SAM158" s="250"/>
      <c r="SAN158" s="250"/>
      <c r="SAO158" s="250"/>
      <c r="SAP158" s="250"/>
      <c r="SAQ158" s="250"/>
      <c r="SAR158" s="250"/>
      <c r="SAS158" s="250"/>
      <c r="SAT158" s="250"/>
      <c r="SAU158" s="250"/>
      <c r="SAV158" s="250"/>
      <c r="SAW158" s="250"/>
      <c r="SAX158" s="250"/>
      <c r="SAY158" s="250"/>
      <c r="SAZ158" s="250"/>
      <c r="SBA158" s="250"/>
      <c r="SBB158" s="250"/>
      <c r="SBC158" s="250"/>
      <c r="SBD158" s="250"/>
      <c r="SBE158" s="250"/>
      <c r="SBF158" s="250"/>
      <c r="SBG158" s="250"/>
      <c r="SBH158" s="250"/>
      <c r="SBI158" s="250"/>
      <c r="SBJ158" s="250"/>
      <c r="SBK158" s="250"/>
      <c r="SBL158" s="250"/>
      <c r="SBM158" s="250"/>
      <c r="SBN158" s="250"/>
      <c r="SBO158" s="250"/>
      <c r="SBP158" s="250"/>
      <c r="SBQ158" s="250"/>
      <c r="SBR158" s="250"/>
      <c r="SBS158" s="250"/>
      <c r="SBT158" s="250"/>
      <c r="SBU158" s="250"/>
      <c r="SBV158" s="250"/>
      <c r="SBW158" s="250"/>
      <c r="SBX158" s="250"/>
      <c r="SBY158" s="250"/>
      <c r="SBZ158" s="250"/>
      <c r="SCA158" s="250"/>
      <c r="SCB158" s="250"/>
      <c r="SCC158" s="250"/>
      <c r="SCD158" s="250"/>
      <c r="SCE158" s="250"/>
      <c r="SCF158" s="250"/>
      <c r="SCG158" s="250"/>
      <c r="SCH158" s="250"/>
      <c r="SCI158" s="250"/>
      <c r="SCJ158" s="250"/>
      <c r="SCK158" s="250"/>
      <c r="SCL158" s="250"/>
      <c r="SCM158" s="250"/>
      <c r="SCN158" s="250"/>
      <c r="SCO158" s="250"/>
      <c r="SCP158" s="250"/>
      <c r="SCQ158" s="250"/>
      <c r="SCR158" s="250"/>
      <c r="SCS158" s="250"/>
      <c r="SCT158" s="250"/>
      <c r="SCU158" s="250"/>
      <c r="SCV158" s="250"/>
      <c r="SCW158" s="250"/>
      <c r="SCX158" s="250"/>
      <c r="SCY158" s="250"/>
      <c r="SCZ158" s="250"/>
      <c r="SDA158" s="250"/>
      <c r="SDB158" s="250"/>
      <c r="SDC158" s="250"/>
      <c r="SDD158" s="250"/>
      <c r="SDE158" s="250"/>
      <c r="SDF158" s="250"/>
      <c r="SDG158" s="250"/>
      <c r="SDH158" s="250"/>
      <c r="SDI158" s="250"/>
      <c r="SDJ158" s="250"/>
      <c r="SDK158" s="250"/>
      <c r="SDL158" s="250"/>
      <c r="SDM158" s="250"/>
      <c r="SDN158" s="250"/>
      <c r="SDO158" s="250"/>
      <c r="SDP158" s="250"/>
      <c r="SDQ158" s="250"/>
      <c r="SDR158" s="250"/>
      <c r="SDS158" s="250"/>
      <c r="SDT158" s="250"/>
      <c r="SDU158" s="250"/>
      <c r="SDV158" s="250"/>
      <c r="SDW158" s="250"/>
      <c r="SDX158" s="250"/>
      <c r="SDY158" s="250"/>
      <c r="SDZ158" s="250"/>
      <c r="SEA158" s="250"/>
      <c r="SEB158" s="250"/>
      <c r="SEC158" s="250"/>
      <c r="SED158" s="250"/>
      <c r="SEE158" s="250"/>
      <c r="SEF158" s="250"/>
      <c r="SEG158" s="250"/>
      <c r="SEH158" s="250"/>
      <c r="SEI158" s="250"/>
      <c r="SEJ158" s="250"/>
      <c r="SEK158" s="250"/>
      <c r="SEL158" s="250"/>
      <c r="SEM158" s="250"/>
      <c r="SEN158" s="250"/>
      <c r="SEO158" s="250"/>
      <c r="SEP158" s="250"/>
      <c r="SEQ158" s="250"/>
      <c r="SER158" s="250"/>
      <c r="SES158" s="250"/>
      <c r="SET158" s="250"/>
      <c r="SEU158" s="250"/>
      <c r="SEV158" s="250"/>
      <c r="SEW158" s="250"/>
      <c r="SEX158" s="250"/>
      <c r="SEY158" s="250"/>
      <c r="SEZ158" s="250"/>
      <c r="SFA158" s="250"/>
      <c r="SFB158" s="250"/>
      <c r="SFC158" s="250"/>
      <c r="SFD158" s="250"/>
      <c r="SFE158" s="250"/>
      <c r="SFF158" s="250"/>
      <c r="SFG158" s="250"/>
      <c r="SFH158" s="250"/>
      <c r="SFI158" s="250"/>
      <c r="SFJ158" s="250"/>
      <c r="SFK158" s="250"/>
      <c r="SFL158" s="250"/>
      <c r="SFM158" s="250"/>
      <c r="SFN158" s="250"/>
      <c r="SFO158" s="250"/>
      <c r="SFP158" s="250"/>
      <c r="SFQ158" s="250"/>
      <c r="SFR158" s="250"/>
      <c r="SFS158" s="250"/>
      <c r="SFT158" s="250"/>
      <c r="SFU158" s="250"/>
      <c r="SFV158" s="250"/>
      <c r="SFW158" s="250"/>
      <c r="SFX158" s="250"/>
      <c r="SFY158" s="250"/>
      <c r="SFZ158" s="250"/>
      <c r="SGA158" s="250"/>
      <c r="SGB158" s="250"/>
      <c r="SGC158" s="250"/>
      <c r="SGD158" s="250"/>
      <c r="SGE158" s="250"/>
      <c r="SGF158" s="250"/>
      <c r="SGG158" s="250"/>
      <c r="SGH158" s="250"/>
      <c r="SGI158" s="250"/>
      <c r="SGJ158" s="250"/>
      <c r="SGK158" s="250"/>
      <c r="SGL158" s="250"/>
      <c r="SGM158" s="250"/>
      <c r="SGN158" s="250"/>
      <c r="SGO158" s="250"/>
      <c r="SGP158" s="250"/>
      <c r="SGQ158" s="250"/>
      <c r="SGR158" s="250"/>
      <c r="SGS158" s="250"/>
      <c r="SGT158" s="250"/>
      <c r="SGU158" s="250"/>
      <c r="SGV158" s="250"/>
      <c r="SGW158" s="250"/>
      <c r="SGX158" s="250"/>
      <c r="SGY158" s="250"/>
      <c r="SGZ158" s="250"/>
      <c r="SHA158" s="250"/>
      <c r="SHB158" s="250"/>
      <c r="SHC158" s="250"/>
      <c r="SHD158" s="250"/>
      <c r="SHE158" s="250"/>
      <c r="SHF158" s="250"/>
      <c r="SHG158" s="250"/>
      <c r="SHH158" s="250"/>
      <c r="SHI158" s="250"/>
      <c r="SHJ158" s="250"/>
      <c r="SHK158" s="250"/>
      <c r="SHL158" s="250"/>
      <c r="SHM158" s="250"/>
      <c r="SHN158" s="250"/>
      <c r="SHO158" s="250"/>
      <c r="SHP158" s="250"/>
      <c r="SHQ158" s="250"/>
      <c r="SHR158" s="250"/>
      <c r="SHS158" s="250"/>
      <c r="SHT158" s="250"/>
      <c r="SHU158" s="250"/>
      <c r="SHV158" s="250"/>
      <c r="SHW158" s="250"/>
      <c r="SHX158" s="250"/>
      <c r="SHY158" s="250"/>
      <c r="SHZ158" s="250"/>
      <c r="SIA158" s="250"/>
      <c r="SIB158" s="250"/>
      <c r="SIC158" s="250"/>
      <c r="SID158" s="250"/>
      <c r="SIE158" s="250"/>
      <c r="SIF158" s="250"/>
      <c r="SIG158" s="250"/>
      <c r="SIH158" s="250"/>
      <c r="SII158" s="250"/>
      <c r="SIJ158" s="250"/>
      <c r="SIK158" s="250"/>
      <c r="SIL158" s="250"/>
      <c r="SIM158" s="250"/>
      <c r="SIN158" s="250"/>
      <c r="SIO158" s="250"/>
      <c r="SIP158" s="250"/>
      <c r="SIQ158" s="250"/>
      <c r="SIR158" s="250"/>
      <c r="SIS158" s="250"/>
      <c r="SIT158" s="250"/>
      <c r="SIU158" s="250"/>
      <c r="SIV158" s="250"/>
      <c r="SIW158" s="250"/>
      <c r="SIX158" s="250"/>
      <c r="SIY158" s="250"/>
      <c r="SIZ158" s="250"/>
      <c r="SJA158" s="250"/>
      <c r="SJB158" s="250"/>
      <c r="SJC158" s="250"/>
      <c r="SJD158" s="250"/>
      <c r="SJE158" s="250"/>
      <c r="SJF158" s="250"/>
      <c r="SJG158" s="250"/>
      <c r="SJH158" s="250"/>
      <c r="SJI158" s="250"/>
      <c r="SJJ158" s="250"/>
      <c r="SJK158" s="250"/>
      <c r="SJL158" s="250"/>
      <c r="SJM158" s="250"/>
      <c r="SJN158" s="250"/>
      <c r="SJO158" s="250"/>
      <c r="SJP158" s="250"/>
      <c r="SJQ158" s="250"/>
      <c r="SJR158" s="250"/>
      <c r="SJS158" s="250"/>
      <c r="SJT158" s="250"/>
      <c r="SJU158" s="250"/>
      <c r="SJV158" s="250"/>
      <c r="SJW158" s="250"/>
      <c r="SJX158" s="250"/>
      <c r="SJY158" s="250"/>
      <c r="SJZ158" s="250"/>
      <c r="SKA158" s="250"/>
      <c r="SKB158" s="250"/>
      <c r="SKC158" s="250"/>
      <c r="SKD158" s="250"/>
      <c r="SKE158" s="250"/>
      <c r="SKF158" s="250"/>
      <c r="SKG158" s="250"/>
      <c r="SKH158" s="250"/>
      <c r="SKI158" s="250"/>
      <c r="SKJ158" s="250"/>
      <c r="SKK158" s="250"/>
      <c r="SKL158" s="250"/>
      <c r="SKM158" s="250"/>
      <c r="SKN158" s="250"/>
      <c r="SKO158" s="250"/>
      <c r="SKP158" s="250"/>
      <c r="SKQ158" s="250"/>
      <c r="SKR158" s="250"/>
      <c r="SKS158" s="250"/>
      <c r="SKT158" s="250"/>
      <c r="SKU158" s="250"/>
      <c r="SKV158" s="250"/>
      <c r="SKW158" s="250"/>
      <c r="SKX158" s="250"/>
      <c r="SKY158" s="250"/>
      <c r="SKZ158" s="250"/>
      <c r="SLA158" s="250"/>
      <c r="SLB158" s="250"/>
      <c r="SLC158" s="250"/>
      <c r="SLD158" s="250"/>
      <c r="SLE158" s="250"/>
      <c r="SLF158" s="250"/>
      <c r="SLG158" s="250"/>
      <c r="SLH158" s="250"/>
      <c r="SLI158" s="250"/>
      <c r="SLJ158" s="250"/>
      <c r="SLK158" s="250"/>
      <c r="SLL158" s="250"/>
      <c r="SLM158" s="250"/>
      <c r="SLN158" s="250"/>
      <c r="SLO158" s="250"/>
      <c r="SLP158" s="250"/>
      <c r="SLQ158" s="250"/>
      <c r="SLR158" s="250"/>
      <c r="SLS158" s="250"/>
      <c r="SLT158" s="250"/>
      <c r="SLU158" s="250"/>
      <c r="SLV158" s="250"/>
      <c r="SLW158" s="250"/>
      <c r="SLX158" s="250"/>
      <c r="SLY158" s="250"/>
      <c r="SLZ158" s="250"/>
      <c r="SMA158" s="250"/>
      <c r="SMB158" s="250"/>
      <c r="SMC158" s="250"/>
      <c r="SMD158" s="250"/>
      <c r="SME158" s="250"/>
      <c r="SMF158" s="250"/>
      <c r="SMG158" s="250"/>
      <c r="SMH158" s="250"/>
      <c r="SMI158" s="250"/>
      <c r="SMJ158" s="250"/>
      <c r="SMK158" s="250"/>
      <c r="SML158" s="250"/>
      <c r="SMM158" s="250"/>
      <c r="SMN158" s="250"/>
      <c r="SMO158" s="250"/>
      <c r="SMP158" s="250"/>
      <c r="SMQ158" s="250"/>
      <c r="SMR158" s="250"/>
      <c r="SMS158" s="250"/>
      <c r="SMT158" s="250"/>
      <c r="SMU158" s="250"/>
      <c r="SMV158" s="250"/>
      <c r="SMW158" s="250"/>
      <c r="SMX158" s="250"/>
      <c r="SMY158" s="250"/>
      <c r="SMZ158" s="250"/>
      <c r="SNA158" s="250"/>
      <c r="SNB158" s="250"/>
      <c r="SNC158" s="250"/>
      <c r="SND158" s="250"/>
      <c r="SNE158" s="250"/>
      <c r="SNF158" s="250"/>
      <c r="SNG158" s="250"/>
      <c r="SNH158" s="250"/>
      <c r="SNI158" s="250"/>
      <c r="SNJ158" s="250"/>
      <c r="SNK158" s="250"/>
      <c r="SNL158" s="250"/>
      <c r="SNM158" s="250"/>
      <c r="SNN158" s="250"/>
      <c r="SNO158" s="250"/>
      <c r="SNP158" s="250"/>
      <c r="SNQ158" s="250"/>
      <c r="SNR158" s="250"/>
      <c r="SNS158" s="250"/>
      <c r="SNT158" s="250"/>
      <c r="SNU158" s="250"/>
      <c r="SNV158" s="250"/>
      <c r="SNW158" s="250"/>
      <c r="SNX158" s="250"/>
      <c r="SNY158" s="250"/>
      <c r="SNZ158" s="250"/>
      <c r="SOA158" s="250"/>
      <c r="SOB158" s="250"/>
      <c r="SOC158" s="250"/>
      <c r="SOD158" s="250"/>
      <c r="SOE158" s="250"/>
      <c r="SOF158" s="250"/>
      <c r="SOG158" s="250"/>
      <c r="SOH158" s="250"/>
      <c r="SOI158" s="250"/>
      <c r="SOJ158" s="250"/>
      <c r="SOK158" s="250"/>
      <c r="SOL158" s="250"/>
      <c r="SOM158" s="250"/>
      <c r="SON158" s="250"/>
      <c r="SOO158" s="250"/>
      <c r="SOP158" s="250"/>
      <c r="SOQ158" s="250"/>
      <c r="SOR158" s="250"/>
      <c r="SOS158" s="250"/>
      <c r="SOT158" s="250"/>
      <c r="SOU158" s="250"/>
      <c r="SOV158" s="250"/>
      <c r="SOW158" s="250"/>
      <c r="SOX158" s="250"/>
      <c r="SOY158" s="250"/>
      <c r="SOZ158" s="250"/>
      <c r="SPA158" s="250"/>
      <c r="SPB158" s="250"/>
      <c r="SPC158" s="250"/>
      <c r="SPD158" s="250"/>
      <c r="SPE158" s="250"/>
      <c r="SPF158" s="250"/>
      <c r="SPG158" s="250"/>
      <c r="SPH158" s="250"/>
      <c r="SPI158" s="250"/>
      <c r="SPJ158" s="250"/>
      <c r="SPK158" s="250"/>
      <c r="SPL158" s="250"/>
      <c r="SPM158" s="250"/>
      <c r="SPN158" s="250"/>
      <c r="SPO158" s="250"/>
      <c r="SPP158" s="250"/>
      <c r="SPQ158" s="250"/>
      <c r="SPR158" s="250"/>
      <c r="SPS158" s="250"/>
      <c r="SPT158" s="250"/>
      <c r="SPU158" s="250"/>
      <c r="SPV158" s="250"/>
      <c r="SPW158" s="250"/>
      <c r="SPX158" s="250"/>
      <c r="SPY158" s="250"/>
      <c r="SPZ158" s="250"/>
      <c r="SQA158" s="250"/>
      <c r="SQB158" s="250"/>
      <c r="SQC158" s="250"/>
      <c r="SQD158" s="250"/>
      <c r="SQE158" s="250"/>
      <c r="SQF158" s="250"/>
      <c r="SQG158" s="250"/>
      <c r="SQH158" s="250"/>
      <c r="SQI158" s="250"/>
      <c r="SQJ158" s="250"/>
      <c r="SQK158" s="250"/>
      <c r="SQL158" s="250"/>
      <c r="SQM158" s="250"/>
      <c r="SQN158" s="250"/>
      <c r="SQO158" s="250"/>
      <c r="SQP158" s="250"/>
      <c r="SQQ158" s="250"/>
      <c r="SQR158" s="250"/>
      <c r="SQS158" s="250"/>
      <c r="SQT158" s="250"/>
      <c r="SQU158" s="250"/>
      <c r="SQV158" s="250"/>
      <c r="SQW158" s="250"/>
      <c r="SQX158" s="250"/>
      <c r="SQY158" s="250"/>
      <c r="SQZ158" s="250"/>
      <c r="SRA158" s="250"/>
      <c r="SRB158" s="250"/>
      <c r="SRC158" s="250"/>
      <c r="SRD158" s="250"/>
      <c r="SRE158" s="250"/>
      <c r="SRF158" s="250"/>
      <c r="SRG158" s="250"/>
      <c r="SRH158" s="250"/>
      <c r="SRI158" s="250"/>
      <c r="SRJ158" s="250"/>
      <c r="SRK158" s="250"/>
      <c r="SRL158" s="250"/>
      <c r="SRM158" s="250"/>
      <c r="SRN158" s="250"/>
      <c r="SRO158" s="250"/>
      <c r="SRP158" s="250"/>
      <c r="SRQ158" s="250"/>
      <c r="SRR158" s="250"/>
      <c r="SRS158" s="250"/>
      <c r="SRT158" s="250"/>
      <c r="SRU158" s="250"/>
      <c r="SRV158" s="250"/>
      <c r="SRW158" s="250"/>
      <c r="SRX158" s="250"/>
      <c r="SRY158" s="250"/>
      <c r="SRZ158" s="250"/>
      <c r="SSA158" s="250"/>
      <c r="SSB158" s="250"/>
      <c r="SSC158" s="250"/>
      <c r="SSD158" s="250"/>
      <c r="SSE158" s="250"/>
      <c r="SSF158" s="250"/>
      <c r="SSG158" s="250"/>
      <c r="SSH158" s="250"/>
      <c r="SSI158" s="250"/>
      <c r="SSJ158" s="250"/>
      <c r="SSK158" s="250"/>
      <c r="SSL158" s="250"/>
      <c r="SSM158" s="250"/>
      <c r="SSN158" s="250"/>
      <c r="SSO158" s="250"/>
      <c r="SSP158" s="250"/>
      <c r="SSQ158" s="250"/>
      <c r="SSR158" s="250"/>
      <c r="SSS158" s="250"/>
      <c r="SST158" s="250"/>
      <c r="SSU158" s="250"/>
      <c r="SSV158" s="250"/>
      <c r="SSW158" s="250"/>
      <c r="SSX158" s="250"/>
      <c r="SSY158" s="250"/>
      <c r="SSZ158" s="250"/>
      <c r="STA158" s="250"/>
      <c r="STB158" s="250"/>
      <c r="STC158" s="250"/>
      <c r="STD158" s="250"/>
      <c r="STE158" s="250"/>
      <c r="STF158" s="250"/>
      <c r="STG158" s="250"/>
      <c r="STH158" s="250"/>
      <c r="STI158" s="250"/>
      <c r="STJ158" s="250"/>
      <c r="STK158" s="250"/>
      <c r="STL158" s="250"/>
      <c r="STM158" s="250"/>
      <c r="STN158" s="250"/>
      <c r="STO158" s="250"/>
      <c r="STP158" s="250"/>
      <c r="STQ158" s="250"/>
      <c r="STR158" s="250"/>
      <c r="STS158" s="250"/>
      <c r="STT158" s="250"/>
      <c r="STU158" s="250"/>
      <c r="STV158" s="250"/>
      <c r="STW158" s="250"/>
      <c r="STX158" s="250"/>
      <c r="STY158" s="250"/>
      <c r="STZ158" s="250"/>
      <c r="SUA158" s="250"/>
      <c r="SUB158" s="250"/>
      <c r="SUC158" s="250"/>
      <c r="SUD158" s="250"/>
      <c r="SUE158" s="250"/>
      <c r="SUF158" s="250"/>
      <c r="SUG158" s="250"/>
      <c r="SUH158" s="250"/>
      <c r="SUI158" s="250"/>
      <c r="SUJ158" s="250"/>
      <c r="SUK158" s="250"/>
      <c r="SUL158" s="250"/>
      <c r="SUM158" s="250"/>
      <c r="SUN158" s="250"/>
      <c r="SUO158" s="250"/>
      <c r="SUP158" s="250"/>
      <c r="SUQ158" s="250"/>
      <c r="SUR158" s="250"/>
      <c r="SUS158" s="250"/>
      <c r="SUT158" s="250"/>
      <c r="SUU158" s="250"/>
      <c r="SUV158" s="250"/>
      <c r="SUW158" s="250"/>
      <c r="SUX158" s="250"/>
      <c r="SUY158" s="250"/>
      <c r="SUZ158" s="250"/>
      <c r="SVA158" s="250"/>
      <c r="SVB158" s="250"/>
      <c r="SVC158" s="250"/>
      <c r="SVD158" s="250"/>
      <c r="SVE158" s="250"/>
      <c r="SVF158" s="250"/>
      <c r="SVG158" s="250"/>
      <c r="SVH158" s="250"/>
      <c r="SVI158" s="250"/>
      <c r="SVJ158" s="250"/>
      <c r="SVK158" s="250"/>
      <c r="SVL158" s="250"/>
      <c r="SVM158" s="250"/>
      <c r="SVN158" s="250"/>
      <c r="SVO158" s="250"/>
      <c r="SVP158" s="250"/>
      <c r="SVQ158" s="250"/>
      <c r="SVR158" s="250"/>
      <c r="SVS158" s="250"/>
      <c r="SVT158" s="250"/>
      <c r="SVU158" s="250"/>
      <c r="SVV158" s="250"/>
      <c r="SVW158" s="250"/>
      <c r="SVX158" s="250"/>
      <c r="SVY158" s="250"/>
      <c r="SVZ158" s="250"/>
      <c r="SWA158" s="250"/>
      <c r="SWB158" s="250"/>
      <c r="SWC158" s="250"/>
      <c r="SWD158" s="250"/>
      <c r="SWE158" s="250"/>
      <c r="SWF158" s="250"/>
      <c r="SWG158" s="250"/>
      <c r="SWH158" s="250"/>
      <c r="SWI158" s="250"/>
      <c r="SWJ158" s="250"/>
      <c r="SWK158" s="250"/>
      <c r="SWL158" s="250"/>
      <c r="SWM158" s="250"/>
      <c r="SWN158" s="250"/>
      <c r="SWO158" s="250"/>
      <c r="SWP158" s="250"/>
      <c r="SWQ158" s="250"/>
      <c r="SWR158" s="250"/>
      <c r="SWS158" s="250"/>
      <c r="SWT158" s="250"/>
      <c r="SWU158" s="250"/>
      <c r="SWV158" s="250"/>
      <c r="SWW158" s="250"/>
      <c r="SWX158" s="250"/>
      <c r="SWY158" s="250"/>
      <c r="SWZ158" s="250"/>
      <c r="SXA158" s="250"/>
      <c r="SXB158" s="250"/>
      <c r="SXC158" s="250"/>
      <c r="SXD158" s="250"/>
      <c r="SXE158" s="250"/>
      <c r="SXF158" s="250"/>
      <c r="SXG158" s="250"/>
      <c r="SXH158" s="250"/>
      <c r="SXI158" s="250"/>
      <c r="SXJ158" s="250"/>
      <c r="SXK158" s="250"/>
      <c r="SXL158" s="250"/>
      <c r="SXM158" s="250"/>
      <c r="SXN158" s="250"/>
      <c r="SXO158" s="250"/>
      <c r="SXP158" s="250"/>
      <c r="SXQ158" s="250"/>
      <c r="SXR158" s="250"/>
      <c r="SXS158" s="250"/>
      <c r="SXT158" s="250"/>
      <c r="SXU158" s="250"/>
      <c r="SXV158" s="250"/>
      <c r="SXW158" s="250"/>
      <c r="SXX158" s="250"/>
      <c r="SXY158" s="250"/>
      <c r="SXZ158" s="250"/>
      <c r="SYA158" s="250"/>
      <c r="SYB158" s="250"/>
      <c r="SYC158" s="250"/>
      <c r="SYD158" s="250"/>
      <c r="SYE158" s="250"/>
      <c r="SYF158" s="250"/>
      <c r="SYG158" s="250"/>
      <c r="SYH158" s="250"/>
      <c r="SYI158" s="250"/>
      <c r="SYJ158" s="250"/>
      <c r="SYK158" s="250"/>
      <c r="SYL158" s="250"/>
      <c r="SYM158" s="250"/>
      <c r="SYN158" s="250"/>
      <c r="SYO158" s="250"/>
      <c r="SYP158" s="250"/>
      <c r="SYQ158" s="250"/>
      <c r="SYR158" s="250"/>
      <c r="SYS158" s="250"/>
      <c r="SYT158" s="250"/>
      <c r="SYU158" s="250"/>
      <c r="SYV158" s="250"/>
      <c r="SYW158" s="250"/>
      <c r="SYX158" s="250"/>
      <c r="SYY158" s="250"/>
      <c r="SYZ158" s="250"/>
      <c r="SZA158" s="250"/>
      <c r="SZB158" s="250"/>
      <c r="SZC158" s="250"/>
      <c r="SZD158" s="250"/>
      <c r="SZE158" s="250"/>
      <c r="SZF158" s="250"/>
      <c r="SZG158" s="250"/>
      <c r="SZH158" s="250"/>
      <c r="SZI158" s="250"/>
      <c r="SZJ158" s="250"/>
      <c r="SZK158" s="250"/>
      <c r="SZL158" s="250"/>
      <c r="SZM158" s="250"/>
      <c r="SZN158" s="250"/>
      <c r="SZO158" s="250"/>
      <c r="SZP158" s="250"/>
      <c r="SZQ158" s="250"/>
      <c r="SZR158" s="250"/>
      <c r="SZS158" s="250"/>
      <c r="SZT158" s="250"/>
      <c r="SZU158" s="250"/>
      <c r="SZV158" s="250"/>
      <c r="SZW158" s="250"/>
      <c r="SZX158" s="250"/>
      <c r="SZY158" s="250"/>
      <c r="SZZ158" s="250"/>
      <c r="TAA158" s="250"/>
      <c r="TAB158" s="250"/>
      <c r="TAC158" s="250"/>
      <c r="TAD158" s="250"/>
      <c r="TAE158" s="250"/>
      <c r="TAF158" s="250"/>
      <c r="TAG158" s="250"/>
      <c r="TAH158" s="250"/>
      <c r="TAI158" s="250"/>
      <c r="TAJ158" s="250"/>
      <c r="TAK158" s="250"/>
      <c r="TAL158" s="250"/>
      <c r="TAM158" s="250"/>
      <c r="TAN158" s="250"/>
      <c r="TAO158" s="250"/>
      <c r="TAP158" s="250"/>
      <c r="TAQ158" s="250"/>
      <c r="TAR158" s="250"/>
      <c r="TAS158" s="250"/>
      <c r="TAT158" s="250"/>
      <c r="TAU158" s="250"/>
      <c r="TAV158" s="250"/>
      <c r="TAW158" s="250"/>
      <c r="TAX158" s="250"/>
      <c r="TAY158" s="250"/>
      <c r="TAZ158" s="250"/>
      <c r="TBA158" s="250"/>
      <c r="TBB158" s="250"/>
      <c r="TBC158" s="250"/>
      <c r="TBD158" s="250"/>
      <c r="TBE158" s="250"/>
      <c r="TBF158" s="250"/>
      <c r="TBG158" s="250"/>
      <c r="TBH158" s="250"/>
      <c r="TBI158" s="250"/>
      <c r="TBJ158" s="250"/>
      <c r="TBK158" s="250"/>
      <c r="TBL158" s="250"/>
      <c r="TBM158" s="250"/>
      <c r="TBN158" s="250"/>
      <c r="TBO158" s="250"/>
      <c r="TBP158" s="250"/>
      <c r="TBQ158" s="250"/>
      <c r="TBR158" s="250"/>
      <c r="TBS158" s="250"/>
      <c r="TBT158" s="250"/>
      <c r="TBU158" s="250"/>
      <c r="TBV158" s="250"/>
      <c r="TBW158" s="250"/>
      <c r="TBX158" s="250"/>
      <c r="TBY158" s="250"/>
      <c r="TBZ158" s="250"/>
      <c r="TCA158" s="250"/>
      <c r="TCB158" s="250"/>
      <c r="TCC158" s="250"/>
      <c r="TCD158" s="250"/>
      <c r="TCE158" s="250"/>
      <c r="TCF158" s="250"/>
      <c r="TCG158" s="250"/>
      <c r="TCH158" s="250"/>
      <c r="TCI158" s="250"/>
      <c r="TCJ158" s="250"/>
      <c r="TCK158" s="250"/>
      <c r="TCL158" s="250"/>
      <c r="TCM158" s="250"/>
      <c r="TCN158" s="250"/>
      <c r="TCO158" s="250"/>
      <c r="TCP158" s="250"/>
      <c r="TCQ158" s="250"/>
      <c r="TCR158" s="250"/>
      <c r="TCS158" s="250"/>
      <c r="TCT158" s="250"/>
      <c r="TCU158" s="250"/>
      <c r="TCV158" s="250"/>
      <c r="TCW158" s="250"/>
      <c r="TCX158" s="250"/>
      <c r="TCY158" s="250"/>
      <c r="TCZ158" s="250"/>
      <c r="TDA158" s="250"/>
      <c r="TDB158" s="250"/>
      <c r="TDC158" s="250"/>
      <c r="TDD158" s="250"/>
      <c r="TDE158" s="250"/>
      <c r="TDF158" s="250"/>
      <c r="TDG158" s="250"/>
      <c r="TDH158" s="250"/>
      <c r="TDI158" s="250"/>
      <c r="TDJ158" s="250"/>
      <c r="TDK158" s="250"/>
      <c r="TDL158" s="250"/>
      <c r="TDM158" s="250"/>
      <c r="TDN158" s="250"/>
      <c r="TDO158" s="250"/>
      <c r="TDP158" s="250"/>
      <c r="TDQ158" s="250"/>
      <c r="TDR158" s="250"/>
      <c r="TDS158" s="250"/>
      <c r="TDT158" s="250"/>
      <c r="TDU158" s="250"/>
      <c r="TDV158" s="250"/>
      <c r="TDW158" s="250"/>
      <c r="TDX158" s="250"/>
      <c r="TDY158" s="250"/>
      <c r="TDZ158" s="250"/>
      <c r="TEA158" s="250"/>
      <c r="TEB158" s="250"/>
      <c r="TEC158" s="250"/>
      <c r="TED158" s="250"/>
      <c r="TEE158" s="250"/>
      <c r="TEF158" s="250"/>
      <c r="TEG158" s="250"/>
      <c r="TEH158" s="250"/>
      <c r="TEI158" s="250"/>
      <c r="TEJ158" s="250"/>
      <c r="TEK158" s="250"/>
      <c r="TEL158" s="250"/>
      <c r="TEM158" s="250"/>
      <c r="TEN158" s="250"/>
      <c r="TEO158" s="250"/>
      <c r="TEP158" s="250"/>
      <c r="TEQ158" s="250"/>
      <c r="TER158" s="250"/>
      <c r="TES158" s="250"/>
      <c r="TET158" s="250"/>
      <c r="TEU158" s="250"/>
      <c r="TEV158" s="250"/>
      <c r="TEW158" s="250"/>
      <c r="TEX158" s="250"/>
      <c r="TEY158" s="250"/>
      <c r="TEZ158" s="250"/>
      <c r="TFA158" s="250"/>
      <c r="TFB158" s="250"/>
      <c r="TFC158" s="250"/>
      <c r="TFD158" s="250"/>
      <c r="TFE158" s="250"/>
      <c r="TFF158" s="250"/>
      <c r="TFG158" s="250"/>
      <c r="TFH158" s="250"/>
      <c r="TFI158" s="250"/>
      <c r="TFJ158" s="250"/>
      <c r="TFK158" s="250"/>
      <c r="TFL158" s="250"/>
      <c r="TFM158" s="250"/>
      <c r="TFN158" s="250"/>
      <c r="TFO158" s="250"/>
      <c r="TFP158" s="250"/>
      <c r="TFQ158" s="250"/>
      <c r="TFR158" s="250"/>
      <c r="TFS158" s="250"/>
      <c r="TFT158" s="250"/>
      <c r="TFU158" s="250"/>
      <c r="TFV158" s="250"/>
      <c r="TFW158" s="250"/>
      <c r="TFX158" s="250"/>
      <c r="TFY158" s="250"/>
      <c r="TFZ158" s="250"/>
      <c r="TGA158" s="250"/>
      <c r="TGB158" s="250"/>
      <c r="TGC158" s="250"/>
      <c r="TGD158" s="250"/>
      <c r="TGE158" s="250"/>
      <c r="TGF158" s="250"/>
      <c r="TGG158" s="250"/>
      <c r="TGH158" s="250"/>
      <c r="TGI158" s="250"/>
      <c r="TGJ158" s="250"/>
      <c r="TGK158" s="250"/>
      <c r="TGL158" s="250"/>
      <c r="TGM158" s="250"/>
      <c r="TGN158" s="250"/>
      <c r="TGO158" s="250"/>
      <c r="TGP158" s="250"/>
      <c r="TGQ158" s="250"/>
      <c r="TGR158" s="250"/>
      <c r="TGS158" s="250"/>
      <c r="TGT158" s="250"/>
      <c r="TGU158" s="250"/>
      <c r="TGV158" s="250"/>
      <c r="TGW158" s="250"/>
      <c r="TGX158" s="250"/>
      <c r="TGY158" s="250"/>
      <c r="TGZ158" s="250"/>
      <c r="THA158" s="250"/>
      <c r="THB158" s="250"/>
      <c r="THC158" s="250"/>
      <c r="THD158" s="250"/>
      <c r="THE158" s="250"/>
      <c r="THF158" s="250"/>
      <c r="THG158" s="250"/>
      <c r="THH158" s="250"/>
      <c r="THI158" s="250"/>
      <c r="THJ158" s="250"/>
      <c r="THK158" s="250"/>
      <c r="THL158" s="250"/>
      <c r="THM158" s="250"/>
      <c r="THN158" s="250"/>
      <c r="THO158" s="250"/>
      <c r="THP158" s="250"/>
      <c r="THQ158" s="250"/>
      <c r="THR158" s="250"/>
      <c r="THS158" s="250"/>
      <c r="THT158" s="250"/>
      <c r="THU158" s="250"/>
      <c r="THV158" s="250"/>
      <c r="THW158" s="250"/>
      <c r="THX158" s="250"/>
      <c r="THY158" s="250"/>
      <c r="THZ158" s="250"/>
      <c r="TIA158" s="250"/>
      <c r="TIB158" s="250"/>
      <c r="TIC158" s="250"/>
      <c r="TID158" s="250"/>
      <c r="TIE158" s="250"/>
      <c r="TIF158" s="250"/>
      <c r="TIG158" s="250"/>
      <c r="TIH158" s="250"/>
      <c r="TII158" s="250"/>
      <c r="TIJ158" s="250"/>
      <c r="TIK158" s="250"/>
      <c r="TIL158" s="250"/>
      <c r="TIM158" s="250"/>
      <c r="TIN158" s="250"/>
      <c r="TIO158" s="250"/>
      <c r="TIP158" s="250"/>
      <c r="TIQ158" s="250"/>
      <c r="TIR158" s="250"/>
      <c r="TIS158" s="250"/>
      <c r="TIT158" s="250"/>
      <c r="TIU158" s="250"/>
      <c r="TIV158" s="250"/>
      <c r="TIW158" s="250"/>
      <c r="TIX158" s="250"/>
      <c r="TIY158" s="250"/>
      <c r="TIZ158" s="250"/>
      <c r="TJA158" s="250"/>
      <c r="TJB158" s="250"/>
      <c r="TJC158" s="250"/>
      <c r="TJD158" s="250"/>
      <c r="TJE158" s="250"/>
      <c r="TJF158" s="250"/>
      <c r="TJG158" s="250"/>
      <c r="TJH158" s="250"/>
      <c r="TJI158" s="250"/>
      <c r="TJJ158" s="250"/>
      <c r="TJK158" s="250"/>
      <c r="TJL158" s="250"/>
      <c r="TJM158" s="250"/>
      <c r="TJN158" s="250"/>
      <c r="TJO158" s="250"/>
      <c r="TJP158" s="250"/>
      <c r="TJQ158" s="250"/>
      <c r="TJR158" s="250"/>
      <c r="TJS158" s="250"/>
      <c r="TJT158" s="250"/>
      <c r="TJU158" s="250"/>
      <c r="TJV158" s="250"/>
      <c r="TJW158" s="250"/>
      <c r="TJX158" s="250"/>
      <c r="TJY158" s="250"/>
      <c r="TJZ158" s="250"/>
      <c r="TKA158" s="250"/>
      <c r="TKB158" s="250"/>
      <c r="TKC158" s="250"/>
      <c r="TKD158" s="250"/>
      <c r="TKE158" s="250"/>
      <c r="TKF158" s="250"/>
      <c r="TKG158" s="250"/>
      <c r="TKH158" s="250"/>
      <c r="TKI158" s="250"/>
      <c r="TKJ158" s="250"/>
      <c r="TKK158" s="250"/>
      <c r="TKL158" s="250"/>
      <c r="TKM158" s="250"/>
      <c r="TKN158" s="250"/>
      <c r="TKO158" s="250"/>
      <c r="TKP158" s="250"/>
      <c r="TKQ158" s="250"/>
      <c r="TKR158" s="250"/>
      <c r="TKS158" s="250"/>
      <c r="TKT158" s="250"/>
      <c r="TKU158" s="250"/>
      <c r="TKV158" s="250"/>
      <c r="TKW158" s="250"/>
      <c r="TKX158" s="250"/>
      <c r="TKY158" s="250"/>
      <c r="TKZ158" s="250"/>
      <c r="TLA158" s="250"/>
      <c r="TLB158" s="250"/>
      <c r="TLC158" s="250"/>
      <c r="TLD158" s="250"/>
      <c r="TLE158" s="250"/>
      <c r="TLF158" s="250"/>
      <c r="TLG158" s="250"/>
      <c r="TLH158" s="250"/>
      <c r="TLI158" s="250"/>
      <c r="TLJ158" s="250"/>
      <c r="TLK158" s="250"/>
      <c r="TLL158" s="250"/>
      <c r="TLM158" s="250"/>
      <c r="TLN158" s="250"/>
      <c r="TLO158" s="250"/>
      <c r="TLP158" s="250"/>
      <c r="TLQ158" s="250"/>
      <c r="TLR158" s="250"/>
      <c r="TLS158" s="250"/>
      <c r="TLT158" s="250"/>
      <c r="TLU158" s="250"/>
      <c r="TLV158" s="250"/>
      <c r="TLW158" s="250"/>
      <c r="TLX158" s="250"/>
      <c r="TLY158" s="250"/>
      <c r="TLZ158" s="250"/>
      <c r="TMA158" s="250"/>
      <c r="TMB158" s="250"/>
      <c r="TMC158" s="250"/>
      <c r="TMD158" s="250"/>
      <c r="TME158" s="250"/>
      <c r="TMF158" s="250"/>
      <c r="TMG158" s="250"/>
      <c r="TMH158" s="250"/>
      <c r="TMI158" s="250"/>
      <c r="TMJ158" s="250"/>
      <c r="TMK158" s="250"/>
      <c r="TML158" s="250"/>
      <c r="TMM158" s="250"/>
      <c r="TMN158" s="250"/>
      <c r="TMO158" s="250"/>
      <c r="TMP158" s="250"/>
      <c r="TMQ158" s="250"/>
      <c r="TMR158" s="250"/>
      <c r="TMS158" s="250"/>
      <c r="TMT158" s="250"/>
      <c r="TMU158" s="250"/>
      <c r="TMV158" s="250"/>
      <c r="TMW158" s="250"/>
      <c r="TMX158" s="250"/>
      <c r="TMY158" s="250"/>
      <c r="TMZ158" s="250"/>
      <c r="TNA158" s="250"/>
      <c r="TNB158" s="250"/>
      <c r="TNC158" s="250"/>
      <c r="TND158" s="250"/>
      <c r="TNE158" s="250"/>
      <c r="TNF158" s="250"/>
      <c r="TNG158" s="250"/>
      <c r="TNH158" s="250"/>
      <c r="TNI158" s="250"/>
      <c r="TNJ158" s="250"/>
      <c r="TNK158" s="250"/>
      <c r="TNL158" s="250"/>
      <c r="TNM158" s="250"/>
      <c r="TNN158" s="250"/>
      <c r="TNO158" s="250"/>
      <c r="TNP158" s="250"/>
      <c r="TNQ158" s="250"/>
      <c r="TNR158" s="250"/>
      <c r="TNS158" s="250"/>
      <c r="TNT158" s="250"/>
      <c r="TNU158" s="250"/>
      <c r="TNV158" s="250"/>
      <c r="TNW158" s="250"/>
      <c r="TNX158" s="250"/>
      <c r="TNY158" s="250"/>
      <c r="TNZ158" s="250"/>
      <c r="TOA158" s="250"/>
      <c r="TOB158" s="250"/>
      <c r="TOC158" s="250"/>
      <c r="TOD158" s="250"/>
      <c r="TOE158" s="250"/>
      <c r="TOF158" s="250"/>
      <c r="TOG158" s="250"/>
      <c r="TOH158" s="250"/>
      <c r="TOI158" s="250"/>
      <c r="TOJ158" s="250"/>
      <c r="TOK158" s="250"/>
      <c r="TOL158" s="250"/>
      <c r="TOM158" s="250"/>
      <c r="TON158" s="250"/>
      <c r="TOO158" s="250"/>
      <c r="TOP158" s="250"/>
      <c r="TOQ158" s="250"/>
      <c r="TOR158" s="250"/>
      <c r="TOS158" s="250"/>
      <c r="TOT158" s="250"/>
      <c r="TOU158" s="250"/>
      <c r="TOV158" s="250"/>
      <c r="TOW158" s="250"/>
      <c r="TOX158" s="250"/>
      <c r="TOY158" s="250"/>
      <c r="TOZ158" s="250"/>
      <c r="TPA158" s="250"/>
      <c r="TPB158" s="250"/>
      <c r="TPC158" s="250"/>
      <c r="TPD158" s="250"/>
      <c r="TPE158" s="250"/>
      <c r="TPF158" s="250"/>
      <c r="TPG158" s="250"/>
      <c r="TPH158" s="250"/>
      <c r="TPI158" s="250"/>
      <c r="TPJ158" s="250"/>
      <c r="TPK158" s="250"/>
      <c r="TPL158" s="250"/>
      <c r="TPM158" s="250"/>
      <c r="TPN158" s="250"/>
      <c r="TPO158" s="250"/>
      <c r="TPP158" s="250"/>
      <c r="TPQ158" s="250"/>
      <c r="TPR158" s="250"/>
      <c r="TPS158" s="250"/>
      <c r="TPT158" s="250"/>
      <c r="TPU158" s="250"/>
      <c r="TPV158" s="250"/>
      <c r="TPW158" s="250"/>
      <c r="TPX158" s="250"/>
      <c r="TPY158" s="250"/>
      <c r="TPZ158" s="250"/>
      <c r="TQA158" s="250"/>
      <c r="TQB158" s="250"/>
      <c r="TQC158" s="250"/>
      <c r="TQD158" s="250"/>
      <c r="TQE158" s="250"/>
      <c r="TQF158" s="250"/>
      <c r="TQG158" s="250"/>
      <c r="TQH158" s="250"/>
      <c r="TQI158" s="250"/>
      <c r="TQJ158" s="250"/>
      <c r="TQK158" s="250"/>
      <c r="TQL158" s="250"/>
      <c r="TQM158" s="250"/>
      <c r="TQN158" s="250"/>
      <c r="TQO158" s="250"/>
      <c r="TQP158" s="250"/>
      <c r="TQQ158" s="250"/>
      <c r="TQR158" s="250"/>
      <c r="TQS158" s="250"/>
      <c r="TQT158" s="250"/>
      <c r="TQU158" s="250"/>
      <c r="TQV158" s="250"/>
      <c r="TQW158" s="250"/>
      <c r="TQX158" s="250"/>
      <c r="TQY158" s="250"/>
      <c r="TQZ158" s="250"/>
      <c r="TRA158" s="250"/>
      <c r="TRB158" s="250"/>
      <c r="TRC158" s="250"/>
      <c r="TRD158" s="250"/>
      <c r="TRE158" s="250"/>
      <c r="TRF158" s="250"/>
      <c r="TRG158" s="250"/>
      <c r="TRH158" s="250"/>
      <c r="TRI158" s="250"/>
      <c r="TRJ158" s="250"/>
      <c r="TRK158" s="250"/>
      <c r="TRL158" s="250"/>
      <c r="TRM158" s="250"/>
      <c r="TRN158" s="250"/>
      <c r="TRO158" s="250"/>
      <c r="TRP158" s="250"/>
      <c r="TRQ158" s="250"/>
      <c r="TRR158" s="250"/>
      <c r="TRS158" s="250"/>
      <c r="TRT158" s="250"/>
      <c r="TRU158" s="250"/>
      <c r="TRV158" s="250"/>
      <c r="TRW158" s="250"/>
      <c r="TRX158" s="250"/>
      <c r="TRY158" s="250"/>
      <c r="TRZ158" s="250"/>
      <c r="TSA158" s="250"/>
      <c r="TSB158" s="250"/>
      <c r="TSC158" s="250"/>
      <c r="TSD158" s="250"/>
      <c r="TSE158" s="250"/>
      <c r="TSF158" s="250"/>
      <c r="TSG158" s="250"/>
      <c r="TSH158" s="250"/>
      <c r="TSI158" s="250"/>
      <c r="TSJ158" s="250"/>
      <c r="TSK158" s="250"/>
      <c r="TSL158" s="250"/>
      <c r="TSM158" s="250"/>
      <c r="TSN158" s="250"/>
      <c r="TSO158" s="250"/>
      <c r="TSP158" s="250"/>
      <c r="TSQ158" s="250"/>
      <c r="TSR158" s="250"/>
      <c r="TSS158" s="250"/>
      <c r="TST158" s="250"/>
      <c r="TSU158" s="250"/>
      <c r="TSV158" s="250"/>
      <c r="TSW158" s="250"/>
      <c r="TSX158" s="250"/>
      <c r="TSY158" s="250"/>
      <c r="TSZ158" s="250"/>
      <c r="TTA158" s="250"/>
      <c r="TTB158" s="250"/>
      <c r="TTC158" s="250"/>
      <c r="TTD158" s="250"/>
      <c r="TTE158" s="250"/>
      <c r="TTF158" s="250"/>
      <c r="TTG158" s="250"/>
      <c r="TTH158" s="250"/>
      <c r="TTI158" s="250"/>
      <c r="TTJ158" s="250"/>
      <c r="TTK158" s="250"/>
      <c r="TTL158" s="250"/>
      <c r="TTM158" s="250"/>
      <c r="TTN158" s="250"/>
      <c r="TTO158" s="250"/>
      <c r="TTP158" s="250"/>
      <c r="TTQ158" s="250"/>
      <c r="TTR158" s="250"/>
      <c r="TTS158" s="250"/>
      <c r="TTT158" s="250"/>
      <c r="TTU158" s="250"/>
      <c r="TTV158" s="250"/>
      <c r="TTW158" s="250"/>
      <c r="TTX158" s="250"/>
      <c r="TTY158" s="250"/>
      <c r="TTZ158" s="250"/>
      <c r="TUA158" s="250"/>
      <c r="TUB158" s="250"/>
      <c r="TUC158" s="250"/>
      <c r="TUD158" s="250"/>
      <c r="TUE158" s="250"/>
      <c r="TUF158" s="250"/>
      <c r="TUG158" s="250"/>
      <c r="TUH158" s="250"/>
      <c r="TUI158" s="250"/>
      <c r="TUJ158" s="250"/>
      <c r="TUK158" s="250"/>
      <c r="TUL158" s="250"/>
      <c r="TUM158" s="250"/>
      <c r="TUN158" s="250"/>
      <c r="TUO158" s="250"/>
      <c r="TUP158" s="250"/>
      <c r="TUQ158" s="250"/>
      <c r="TUR158" s="250"/>
      <c r="TUS158" s="250"/>
      <c r="TUT158" s="250"/>
      <c r="TUU158" s="250"/>
      <c r="TUV158" s="250"/>
      <c r="TUW158" s="250"/>
      <c r="TUX158" s="250"/>
      <c r="TUY158" s="250"/>
      <c r="TUZ158" s="250"/>
      <c r="TVA158" s="250"/>
      <c r="TVB158" s="250"/>
      <c r="TVC158" s="250"/>
      <c r="TVD158" s="250"/>
      <c r="TVE158" s="250"/>
      <c r="TVF158" s="250"/>
      <c r="TVG158" s="250"/>
      <c r="TVH158" s="250"/>
      <c r="TVI158" s="250"/>
      <c r="TVJ158" s="250"/>
      <c r="TVK158" s="250"/>
      <c r="TVL158" s="250"/>
      <c r="TVM158" s="250"/>
      <c r="TVN158" s="250"/>
      <c r="TVO158" s="250"/>
      <c r="TVP158" s="250"/>
      <c r="TVQ158" s="250"/>
      <c r="TVR158" s="250"/>
      <c r="TVS158" s="250"/>
      <c r="TVT158" s="250"/>
      <c r="TVU158" s="250"/>
      <c r="TVV158" s="250"/>
      <c r="TVW158" s="250"/>
      <c r="TVX158" s="250"/>
      <c r="TVY158" s="250"/>
      <c r="TVZ158" s="250"/>
      <c r="TWA158" s="250"/>
      <c r="TWB158" s="250"/>
      <c r="TWC158" s="250"/>
      <c r="TWD158" s="250"/>
      <c r="TWE158" s="250"/>
      <c r="TWF158" s="250"/>
      <c r="TWG158" s="250"/>
      <c r="TWH158" s="250"/>
      <c r="TWI158" s="250"/>
      <c r="TWJ158" s="250"/>
      <c r="TWK158" s="250"/>
      <c r="TWL158" s="250"/>
      <c r="TWM158" s="250"/>
      <c r="TWN158" s="250"/>
      <c r="TWO158" s="250"/>
      <c r="TWP158" s="250"/>
      <c r="TWQ158" s="250"/>
      <c r="TWR158" s="250"/>
      <c r="TWS158" s="250"/>
      <c r="TWT158" s="250"/>
      <c r="TWU158" s="250"/>
      <c r="TWV158" s="250"/>
      <c r="TWW158" s="250"/>
      <c r="TWX158" s="250"/>
      <c r="TWY158" s="250"/>
      <c r="TWZ158" s="250"/>
      <c r="TXA158" s="250"/>
      <c r="TXB158" s="250"/>
      <c r="TXC158" s="250"/>
      <c r="TXD158" s="250"/>
      <c r="TXE158" s="250"/>
      <c r="TXF158" s="250"/>
      <c r="TXG158" s="250"/>
      <c r="TXH158" s="250"/>
      <c r="TXI158" s="250"/>
      <c r="TXJ158" s="250"/>
      <c r="TXK158" s="250"/>
      <c r="TXL158" s="250"/>
      <c r="TXM158" s="250"/>
      <c r="TXN158" s="250"/>
      <c r="TXO158" s="250"/>
      <c r="TXP158" s="250"/>
      <c r="TXQ158" s="250"/>
      <c r="TXR158" s="250"/>
      <c r="TXS158" s="250"/>
      <c r="TXT158" s="250"/>
      <c r="TXU158" s="250"/>
      <c r="TXV158" s="250"/>
      <c r="TXW158" s="250"/>
      <c r="TXX158" s="250"/>
      <c r="TXY158" s="250"/>
      <c r="TXZ158" s="250"/>
      <c r="TYA158" s="250"/>
      <c r="TYB158" s="250"/>
      <c r="TYC158" s="250"/>
      <c r="TYD158" s="250"/>
      <c r="TYE158" s="250"/>
      <c r="TYF158" s="250"/>
      <c r="TYG158" s="250"/>
      <c r="TYH158" s="250"/>
      <c r="TYI158" s="250"/>
      <c r="TYJ158" s="250"/>
      <c r="TYK158" s="250"/>
      <c r="TYL158" s="250"/>
      <c r="TYM158" s="250"/>
      <c r="TYN158" s="250"/>
      <c r="TYO158" s="250"/>
      <c r="TYP158" s="250"/>
      <c r="TYQ158" s="250"/>
      <c r="TYR158" s="250"/>
      <c r="TYS158" s="250"/>
      <c r="TYT158" s="250"/>
      <c r="TYU158" s="250"/>
      <c r="TYV158" s="250"/>
      <c r="TYW158" s="250"/>
      <c r="TYX158" s="250"/>
      <c r="TYY158" s="250"/>
      <c r="TYZ158" s="250"/>
      <c r="TZA158" s="250"/>
      <c r="TZB158" s="250"/>
      <c r="TZC158" s="250"/>
      <c r="TZD158" s="250"/>
      <c r="TZE158" s="250"/>
      <c r="TZF158" s="250"/>
      <c r="TZG158" s="250"/>
      <c r="TZH158" s="250"/>
      <c r="TZI158" s="250"/>
      <c r="TZJ158" s="250"/>
      <c r="TZK158" s="250"/>
      <c r="TZL158" s="250"/>
      <c r="TZM158" s="250"/>
      <c r="TZN158" s="250"/>
      <c r="TZO158" s="250"/>
      <c r="TZP158" s="250"/>
      <c r="TZQ158" s="250"/>
      <c r="TZR158" s="250"/>
      <c r="TZS158" s="250"/>
      <c r="TZT158" s="250"/>
      <c r="TZU158" s="250"/>
      <c r="TZV158" s="250"/>
      <c r="TZW158" s="250"/>
      <c r="TZX158" s="250"/>
      <c r="TZY158" s="250"/>
      <c r="TZZ158" s="250"/>
      <c r="UAA158" s="250"/>
      <c r="UAB158" s="250"/>
      <c r="UAC158" s="250"/>
      <c r="UAD158" s="250"/>
      <c r="UAE158" s="250"/>
      <c r="UAF158" s="250"/>
      <c r="UAG158" s="250"/>
      <c r="UAH158" s="250"/>
      <c r="UAI158" s="250"/>
      <c r="UAJ158" s="250"/>
      <c r="UAK158" s="250"/>
      <c r="UAL158" s="250"/>
      <c r="UAM158" s="250"/>
      <c r="UAN158" s="250"/>
      <c r="UAO158" s="250"/>
      <c r="UAP158" s="250"/>
      <c r="UAQ158" s="250"/>
      <c r="UAR158" s="250"/>
      <c r="UAS158" s="250"/>
      <c r="UAT158" s="250"/>
      <c r="UAU158" s="250"/>
      <c r="UAV158" s="250"/>
      <c r="UAW158" s="250"/>
      <c r="UAX158" s="250"/>
      <c r="UAY158" s="250"/>
      <c r="UAZ158" s="250"/>
      <c r="UBA158" s="250"/>
      <c r="UBB158" s="250"/>
      <c r="UBC158" s="250"/>
      <c r="UBD158" s="250"/>
      <c r="UBE158" s="250"/>
      <c r="UBF158" s="250"/>
      <c r="UBG158" s="250"/>
      <c r="UBH158" s="250"/>
      <c r="UBI158" s="250"/>
      <c r="UBJ158" s="250"/>
      <c r="UBK158" s="250"/>
      <c r="UBL158" s="250"/>
      <c r="UBM158" s="250"/>
      <c r="UBN158" s="250"/>
      <c r="UBO158" s="250"/>
      <c r="UBP158" s="250"/>
      <c r="UBQ158" s="250"/>
      <c r="UBR158" s="250"/>
      <c r="UBS158" s="250"/>
      <c r="UBT158" s="250"/>
      <c r="UBU158" s="250"/>
      <c r="UBV158" s="250"/>
      <c r="UBW158" s="250"/>
      <c r="UBX158" s="250"/>
      <c r="UBY158" s="250"/>
      <c r="UBZ158" s="250"/>
      <c r="UCA158" s="250"/>
      <c r="UCB158" s="250"/>
      <c r="UCC158" s="250"/>
      <c r="UCD158" s="250"/>
      <c r="UCE158" s="250"/>
      <c r="UCF158" s="250"/>
      <c r="UCG158" s="250"/>
      <c r="UCH158" s="250"/>
      <c r="UCI158" s="250"/>
      <c r="UCJ158" s="250"/>
      <c r="UCK158" s="250"/>
      <c r="UCL158" s="250"/>
      <c r="UCM158" s="250"/>
      <c r="UCN158" s="250"/>
      <c r="UCO158" s="250"/>
      <c r="UCP158" s="250"/>
      <c r="UCQ158" s="250"/>
      <c r="UCR158" s="250"/>
      <c r="UCS158" s="250"/>
      <c r="UCT158" s="250"/>
      <c r="UCU158" s="250"/>
      <c r="UCV158" s="250"/>
      <c r="UCW158" s="250"/>
      <c r="UCX158" s="250"/>
      <c r="UCY158" s="250"/>
      <c r="UCZ158" s="250"/>
      <c r="UDA158" s="250"/>
      <c r="UDB158" s="250"/>
      <c r="UDC158" s="250"/>
      <c r="UDD158" s="250"/>
      <c r="UDE158" s="250"/>
      <c r="UDF158" s="250"/>
      <c r="UDG158" s="250"/>
      <c r="UDH158" s="250"/>
      <c r="UDI158" s="250"/>
      <c r="UDJ158" s="250"/>
      <c r="UDK158" s="250"/>
      <c r="UDL158" s="250"/>
      <c r="UDM158" s="250"/>
      <c r="UDN158" s="250"/>
      <c r="UDO158" s="250"/>
      <c r="UDP158" s="250"/>
      <c r="UDQ158" s="250"/>
      <c r="UDR158" s="250"/>
      <c r="UDS158" s="250"/>
      <c r="UDT158" s="250"/>
      <c r="UDU158" s="250"/>
      <c r="UDV158" s="250"/>
      <c r="UDW158" s="250"/>
      <c r="UDX158" s="250"/>
      <c r="UDY158" s="250"/>
      <c r="UDZ158" s="250"/>
      <c r="UEA158" s="250"/>
      <c r="UEB158" s="250"/>
      <c r="UEC158" s="250"/>
      <c r="UED158" s="250"/>
      <c r="UEE158" s="250"/>
      <c r="UEF158" s="250"/>
      <c r="UEG158" s="250"/>
      <c r="UEH158" s="250"/>
      <c r="UEI158" s="250"/>
      <c r="UEJ158" s="250"/>
      <c r="UEK158" s="250"/>
      <c r="UEL158" s="250"/>
      <c r="UEM158" s="250"/>
      <c r="UEN158" s="250"/>
      <c r="UEO158" s="250"/>
      <c r="UEP158" s="250"/>
      <c r="UEQ158" s="250"/>
      <c r="UER158" s="250"/>
      <c r="UES158" s="250"/>
      <c r="UET158" s="250"/>
      <c r="UEU158" s="250"/>
      <c r="UEV158" s="250"/>
      <c r="UEW158" s="250"/>
      <c r="UEX158" s="250"/>
      <c r="UEY158" s="250"/>
      <c r="UEZ158" s="250"/>
      <c r="UFA158" s="250"/>
      <c r="UFB158" s="250"/>
      <c r="UFC158" s="250"/>
      <c r="UFD158" s="250"/>
      <c r="UFE158" s="250"/>
      <c r="UFF158" s="250"/>
      <c r="UFG158" s="250"/>
      <c r="UFH158" s="250"/>
      <c r="UFI158" s="250"/>
      <c r="UFJ158" s="250"/>
      <c r="UFK158" s="250"/>
      <c r="UFL158" s="250"/>
      <c r="UFM158" s="250"/>
      <c r="UFN158" s="250"/>
      <c r="UFO158" s="250"/>
      <c r="UFP158" s="250"/>
      <c r="UFQ158" s="250"/>
      <c r="UFR158" s="250"/>
      <c r="UFS158" s="250"/>
      <c r="UFT158" s="250"/>
      <c r="UFU158" s="250"/>
      <c r="UFV158" s="250"/>
      <c r="UFW158" s="250"/>
      <c r="UFX158" s="250"/>
      <c r="UFY158" s="250"/>
      <c r="UFZ158" s="250"/>
      <c r="UGA158" s="250"/>
      <c r="UGB158" s="250"/>
      <c r="UGC158" s="250"/>
      <c r="UGD158" s="250"/>
      <c r="UGE158" s="250"/>
      <c r="UGF158" s="250"/>
      <c r="UGG158" s="250"/>
      <c r="UGH158" s="250"/>
      <c r="UGI158" s="250"/>
      <c r="UGJ158" s="250"/>
      <c r="UGK158" s="250"/>
      <c r="UGL158" s="250"/>
      <c r="UGM158" s="250"/>
      <c r="UGN158" s="250"/>
      <c r="UGO158" s="250"/>
      <c r="UGP158" s="250"/>
      <c r="UGQ158" s="250"/>
      <c r="UGR158" s="250"/>
      <c r="UGS158" s="250"/>
      <c r="UGT158" s="250"/>
      <c r="UGU158" s="250"/>
      <c r="UGV158" s="250"/>
      <c r="UGW158" s="250"/>
      <c r="UGX158" s="250"/>
      <c r="UGY158" s="250"/>
      <c r="UGZ158" s="250"/>
      <c r="UHA158" s="250"/>
      <c r="UHB158" s="250"/>
      <c r="UHC158" s="250"/>
      <c r="UHD158" s="250"/>
      <c r="UHE158" s="250"/>
      <c r="UHF158" s="250"/>
      <c r="UHG158" s="250"/>
      <c r="UHH158" s="250"/>
      <c r="UHI158" s="250"/>
      <c r="UHJ158" s="250"/>
      <c r="UHK158" s="250"/>
      <c r="UHL158" s="250"/>
      <c r="UHM158" s="250"/>
      <c r="UHN158" s="250"/>
      <c r="UHO158" s="250"/>
      <c r="UHP158" s="250"/>
      <c r="UHQ158" s="250"/>
      <c r="UHR158" s="250"/>
      <c r="UHS158" s="250"/>
      <c r="UHT158" s="250"/>
      <c r="UHU158" s="250"/>
      <c r="UHV158" s="250"/>
      <c r="UHW158" s="250"/>
      <c r="UHX158" s="250"/>
      <c r="UHY158" s="250"/>
      <c r="UHZ158" s="250"/>
      <c r="UIA158" s="250"/>
      <c r="UIB158" s="250"/>
      <c r="UIC158" s="250"/>
      <c r="UID158" s="250"/>
      <c r="UIE158" s="250"/>
      <c r="UIF158" s="250"/>
      <c r="UIG158" s="250"/>
      <c r="UIH158" s="250"/>
      <c r="UII158" s="250"/>
      <c r="UIJ158" s="250"/>
      <c r="UIK158" s="250"/>
      <c r="UIL158" s="250"/>
      <c r="UIM158" s="250"/>
      <c r="UIN158" s="250"/>
      <c r="UIO158" s="250"/>
      <c r="UIP158" s="250"/>
      <c r="UIQ158" s="250"/>
      <c r="UIR158" s="250"/>
      <c r="UIS158" s="250"/>
      <c r="UIT158" s="250"/>
      <c r="UIU158" s="250"/>
      <c r="UIV158" s="250"/>
      <c r="UIW158" s="250"/>
      <c r="UIX158" s="250"/>
      <c r="UIY158" s="250"/>
      <c r="UIZ158" s="250"/>
      <c r="UJA158" s="250"/>
      <c r="UJB158" s="250"/>
      <c r="UJC158" s="250"/>
      <c r="UJD158" s="250"/>
      <c r="UJE158" s="250"/>
      <c r="UJF158" s="250"/>
      <c r="UJG158" s="250"/>
      <c r="UJH158" s="250"/>
      <c r="UJI158" s="250"/>
      <c r="UJJ158" s="250"/>
      <c r="UJK158" s="250"/>
      <c r="UJL158" s="250"/>
      <c r="UJM158" s="250"/>
      <c r="UJN158" s="250"/>
      <c r="UJO158" s="250"/>
      <c r="UJP158" s="250"/>
      <c r="UJQ158" s="250"/>
      <c r="UJR158" s="250"/>
      <c r="UJS158" s="250"/>
      <c r="UJT158" s="250"/>
      <c r="UJU158" s="250"/>
      <c r="UJV158" s="250"/>
      <c r="UJW158" s="250"/>
      <c r="UJX158" s="250"/>
      <c r="UJY158" s="250"/>
      <c r="UJZ158" s="250"/>
      <c r="UKA158" s="250"/>
      <c r="UKB158" s="250"/>
      <c r="UKC158" s="250"/>
      <c r="UKD158" s="250"/>
      <c r="UKE158" s="250"/>
      <c r="UKF158" s="250"/>
      <c r="UKG158" s="250"/>
      <c r="UKH158" s="250"/>
      <c r="UKI158" s="250"/>
      <c r="UKJ158" s="250"/>
      <c r="UKK158" s="250"/>
      <c r="UKL158" s="250"/>
      <c r="UKM158" s="250"/>
      <c r="UKN158" s="250"/>
      <c r="UKO158" s="250"/>
      <c r="UKP158" s="250"/>
      <c r="UKQ158" s="250"/>
      <c r="UKR158" s="250"/>
      <c r="UKS158" s="250"/>
      <c r="UKT158" s="250"/>
      <c r="UKU158" s="250"/>
      <c r="UKV158" s="250"/>
      <c r="UKW158" s="250"/>
      <c r="UKX158" s="250"/>
      <c r="UKY158" s="250"/>
      <c r="UKZ158" s="250"/>
      <c r="ULA158" s="250"/>
      <c r="ULB158" s="250"/>
      <c r="ULC158" s="250"/>
      <c r="ULD158" s="250"/>
      <c r="ULE158" s="250"/>
      <c r="ULF158" s="250"/>
      <c r="ULG158" s="250"/>
      <c r="ULH158" s="250"/>
      <c r="ULI158" s="250"/>
      <c r="ULJ158" s="250"/>
      <c r="ULK158" s="250"/>
      <c r="ULL158" s="250"/>
      <c r="ULM158" s="250"/>
      <c r="ULN158" s="250"/>
      <c r="ULO158" s="250"/>
      <c r="ULP158" s="250"/>
      <c r="ULQ158" s="250"/>
      <c r="ULR158" s="250"/>
      <c r="ULS158" s="250"/>
      <c r="ULT158" s="250"/>
      <c r="ULU158" s="250"/>
      <c r="ULV158" s="250"/>
      <c r="ULW158" s="250"/>
      <c r="ULX158" s="250"/>
      <c r="ULY158" s="250"/>
      <c r="ULZ158" s="250"/>
      <c r="UMA158" s="250"/>
      <c r="UMB158" s="250"/>
      <c r="UMC158" s="250"/>
      <c r="UMD158" s="250"/>
      <c r="UME158" s="250"/>
      <c r="UMF158" s="250"/>
      <c r="UMG158" s="250"/>
      <c r="UMH158" s="250"/>
      <c r="UMI158" s="250"/>
      <c r="UMJ158" s="250"/>
      <c r="UMK158" s="250"/>
      <c r="UML158" s="250"/>
      <c r="UMM158" s="250"/>
      <c r="UMN158" s="250"/>
      <c r="UMO158" s="250"/>
      <c r="UMP158" s="250"/>
      <c r="UMQ158" s="250"/>
      <c r="UMR158" s="250"/>
      <c r="UMS158" s="250"/>
      <c r="UMT158" s="250"/>
      <c r="UMU158" s="250"/>
      <c r="UMV158" s="250"/>
      <c r="UMW158" s="250"/>
      <c r="UMX158" s="250"/>
      <c r="UMY158" s="250"/>
      <c r="UMZ158" s="250"/>
      <c r="UNA158" s="250"/>
      <c r="UNB158" s="250"/>
      <c r="UNC158" s="250"/>
      <c r="UND158" s="250"/>
      <c r="UNE158" s="250"/>
      <c r="UNF158" s="250"/>
      <c r="UNG158" s="250"/>
      <c r="UNH158" s="250"/>
      <c r="UNI158" s="250"/>
      <c r="UNJ158" s="250"/>
      <c r="UNK158" s="250"/>
      <c r="UNL158" s="250"/>
      <c r="UNM158" s="250"/>
      <c r="UNN158" s="250"/>
      <c r="UNO158" s="250"/>
      <c r="UNP158" s="250"/>
      <c r="UNQ158" s="250"/>
      <c r="UNR158" s="250"/>
      <c r="UNS158" s="250"/>
      <c r="UNT158" s="250"/>
      <c r="UNU158" s="250"/>
      <c r="UNV158" s="250"/>
      <c r="UNW158" s="250"/>
      <c r="UNX158" s="250"/>
      <c r="UNY158" s="250"/>
      <c r="UNZ158" s="250"/>
      <c r="UOA158" s="250"/>
      <c r="UOB158" s="250"/>
      <c r="UOC158" s="250"/>
      <c r="UOD158" s="250"/>
      <c r="UOE158" s="250"/>
      <c r="UOF158" s="250"/>
      <c r="UOG158" s="250"/>
      <c r="UOH158" s="250"/>
      <c r="UOI158" s="250"/>
      <c r="UOJ158" s="250"/>
      <c r="UOK158" s="250"/>
      <c r="UOL158" s="250"/>
      <c r="UOM158" s="250"/>
      <c r="UON158" s="250"/>
      <c r="UOO158" s="250"/>
      <c r="UOP158" s="250"/>
      <c r="UOQ158" s="250"/>
      <c r="UOR158" s="250"/>
      <c r="UOS158" s="250"/>
      <c r="UOT158" s="250"/>
      <c r="UOU158" s="250"/>
      <c r="UOV158" s="250"/>
      <c r="UOW158" s="250"/>
      <c r="UOX158" s="250"/>
      <c r="UOY158" s="250"/>
      <c r="UOZ158" s="250"/>
      <c r="UPA158" s="250"/>
      <c r="UPB158" s="250"/>
      <c r="UPC158" s="250"/>
      <c r="UPD158" s="250"/>
      <c r="UPE158" s="250"/>
      <c r="UPF158" s="250"/>
      <c r="UPG158" s="250"/>
      <c r="UPH158" s="250"/>
      <c r="UPI158" s="250"/>
      <c r="UPJ158" s="250"/>
      <c r="UPK158" s="250"/>
      <c r="UPL158" s="250"/>
      <c r="UPM158" s="250"/>
      <c r="UPN158" s="250"/>
      <c r="UPO158" s="250"/>
      <c r="UPP158" s="250"/>
      <c r="UPQ158" s="250"/>
      <c r="UPR158" s="250"/>
      <c r="UPS158" s="250"/>
      <c r="UPT158" s="250"/>
      <c r="UPU158" s="250"/>
      <c r="UPV158" s="250"/>
      <c r="UPW158" s="250"/>
      <c r="UPX158" s="250"/>
      <c r="UPY158" s="250"/>
      <c r="UPZ158" s="250"/>
      <c r="UQA158" s="250"/>
      <c r="UQB158" s="250"/>
      <c r="UQC158" s="250"/>
      <c r="UQD158" s="250"/>
      <c r="UQE158" s="250"/>
      <c r="UQF158" s="250"/>
      <c r="UQG158" s="250"/>
      <c r="UQH158" s="250"/>
      <c r="UQI158" s="250"/>
      <c r="UQJ158" s="250"/>
      <c r="UQK158" s="250"/>
      <c r="UQL158" s="250"/>
      <c r="UQM158" s="250"/>
      <c r="UQN158" s="250"/>
      <c r="UQO158" s="250"/>
      <c r="UQP158" s="250"/>
      <c r="UQQ158" s="250"/>
      <c r="UQR158" s="250"/>
      <c r="UQS158" s="250"/>
      <c r="UQT158" s="250"/>
      <c r="UQU158" s="250"/>
      <c r="UQV158" s="250"/>
      <c r="UQW158" s="250"/>
      <c r="UQX158" s="250"/>
      <c r="UQY158" s="250"/>
      <c r="UQZ158" s="250"/>
      <c r="URA158" s="250"/>
      <c r="URB158" s="250"/>
      <c r="URC158" s="250"/>
      <c r="URD158" s="250"/>
      <c r="URE158" s="250"/>
      <c r="URF158" s="250"/>
      <c r="URG158" s="250"/>
      <c r="URH158" s="250"/>
      <c r="URI158" s="250"/>
      <c r="URJ158" s="250"/>
      <c r="URK158" s="250"/>
      <c r="URL158" s="250"/>
      <c r="URM158" s="250"/>
      <c r="URN158" s="250"/>
      <c r="URO158" s="250"/>
      <c r="URP158" s="250"/>
      <c r="URQ158" s="250"/>
      <c r="URR158" s="250"/>
      <c r="URS158" s="250"/>
      <c r="URT158" s="250"/>
      <c r="URU158" s="250"/>
      <c r="URV158" s="250"/>
      <c r="URW158" s="250"/>
      <c r="URX158" s="250"/>
      <c r="URY158" s="250"/>
      <c r="URZ158" s="250"/>
      <c r="USA158" s="250"/>
      <c r="USB158" s="250"/>
      <c r="USC158" s="250"/>
      <c r="USD158" s="250"/>
      <c r="USE158" s="250"/>
      <c r="USF158" s="250"/>
      <c r="USG158" s="250"/>
      <c r="USH158" s="250"/>
      <c r="USI158" s="250"/>
      <c r="USJ158" s="250"/>
      <c r="USK158" s="250"/>
      <c r="USL158" s="250"/>
      <c r="USM158" s="250"/>
      <c r="USN158" s="250"/>
      <c r="USO158" s="250"/>
      <c r="USP158" s="250"/>
      <c r="USQ158" s="250"/>
      <c r="USR158" s="250"/>
      <c r="USS158" s="250"/>
      <c r="UST158" s="250"/>
      <c r="USU158" s="250"/>
      <c r="USV158" s="250"/>
      <c r="USW158" s="250"/>
      <c r="USX158" s="250"/>
      <c r="USY158" s="250"/>
      <c r="USZ158" s="250"/>
      <c r="UTA158" s="250"/>
      <c r="UTB158" s="250"/>
      <c r="UTC158" s="250"/>
      <c r="UTD158" s="250"/>
      <c r="UTE158" s="250"/>
      <c r="UTF158" s="250"/>
      <c r="UTG158" s="250"/>
      <c r="UTH158" s="250"/>
      <c r="UTI158" s="250"/>
      <c r="UTJ158" s="250"/>
      <c r="UTK158" s="250"/>
      <c r="UTL158" s="250"/>
      <c r="UTM158" s="250"/>
      <c r="UTN158" s="250"/>
      <c r="UTO158" s="250"/>
      <c r="UTP158" s="250"/>
      <c r="UTQ158" s="250"/>
      <c r="UTR158" s="250"/>
      <c r="UTS158" s="250"/>
      <c r="UTT158" s="250"/>
      <c r="UTU158" s="250"/>
      <c r="UTV158" s="250"/>
      <c r="UTW158" s="250"/>
      <c r="UTX158" s="250"/>
      <c r="UTY158" s="250"/>
      <c r="UTZ158" s="250"/>
      <c r="UUA158" s="250"/>
      <c r="UUB158" s="250"/>
      <c r="UUC158" s="250"/>
      <c r="UUD158" s="250"/>
      <c r="UUE158" s="250"/>
      <c r="UUF158" s="250"/>
      <c r="UUG158" s="250"/>
      <c r="UUH158" s="250"/>
      <c r="UUI158" s="250"/>
      <c r="UUJ158" s="250"/>
      <c r="UUK158" s="250"/>
      <c r="UUL158" s="250"/>
      <c r="UUM158" s="250"/>
      <c r="UUN158" s="250"/>
      <c r="UUO158" s="250"/>
      <c r="UUP158" s="250"/>
      <c r="UUQ158" s="250"/>
      <c r="UUR158" s="250"/>
      <c r="UUS158" s="250"/>
      <c r="UUT158" s="250"/>
      <c r="UUU158" s="250"/>
      <c r="UUV158" s="250"/>
      <c r="UUW158" s="250"/>
      <c r="UUX158" s="250"/>
      <c r="UUY158" s="250"/>
      <c r="UUZ158" s="250"/>
      <c r="UVA158" s="250"/>
      <c r="UVB158" s="250"/>
      <c r="UVC158" s="250"/>
      <c r="UVD158" s="250"/>
      <c r="UVE158" s="250"/>
      <c r="UVF158" s="250"/>
      <c r="UVG158" s="250"/>
      <c r="UVH158" s="250"/>
      <c r="UVI158" s="250"/>
      <c r="UVJ158" s="250"/>
      <c r="UVK158" s="250"/>
      <c r="UVL158" s="250"/>
      <c r="UVM158" s="250"/>
      <c r="UVN158" s="250"/>
      <c r="UVO158" s="250"/>
      <c r="UVP158" s="250"/>
      <c r="UVQ158" s="250"/>
      <c r="UVR158" s="250"/>
      <c r="UVS158" s="250"/>
      <c r="UVT158" s="250"/>
      <c r="UVU158" s="250"/>
      <c r="UVV158" s="250"/>
      <c r="UVW158" s="250"/>
      <c r="UVX158" s="250"/>
      <c r="UVY158" s="250"/>
      <c r="UVZ158" s="250"/>
      <c r="UWA158" s="250"/>
      <c r="UWB158" s="250"/>
      <c r="UWC158" s="250"/>
      <c r="UWD158" s="250"/>
      <c r="UWE158" s="250"/>
      <c r="UWF158" s="250"/>
      <c r="UWG158" s="250"/>
      <c r="UWH158" s="250"/>
      <c r="UWI158" s="250"/>
      <c r="UWJ158" s="250"/>
      <c r="UWK158" s="250"/>
      <c r="UWL158" s="250"/>
      <c r="UWM158" s="250"/>
      <c r="UWN158" s="250"/>
      <c r="UWO158" s="250"/>
      <c r="UWP158" s="250"/>
      <c r="UWQ158" s="250"/>
      <c r="UWR158" s="250"/>
      <c r="UWS158" s="250"/>
      <c r="UWT158" s="250"/>
      <c r="UWU158" s="250"/>
      <c r="UWV158" s="250"/>
      <c r="UWW158" s="250"/>
      <c r="UWX158" s="250"/>
      <c r="UWY158" s="250"/>
      <c r="UWZ158" s="250"/>
      <c r="UXA158" s="250"/>
      <c r="UXB158" s="250"/>
      <c r="UXC158" s="250"/>
      <c r="UXD158" s="250"/>
      <c r="UXE158" s="250"/>
      <c r="UXF158" s="250"/>
      <c r="UXG158" s="250"/>
      <c r="UXH158" s="250"/>
      <c r="UXI158" s="250"/>
      <c r="UXJ158" s="250"/>
      <c r="UXK158" s="250"/>
      <c r="UXL158" s="250"/>
      <c r="UXM158" s="250"/>
      <c r="UXN158" s="250"/>
      <c r="UXO158" s="250"/>
      <c r="UXP158" s="250"/>
      <c r="UXQ158" s="250"/>
      <c r="UXR158" s="250"/>
      <c r="UXS158" s="250"/>
      <c r="UXT158" s="250"/>
      <c r="UXU158" s="250"/>
      <c r="UXV158" s="250"/>
      <c r="UXW158" s="250"/>
      <c r="UXX158" s="250"/>
      <c r="UXY158" s="250"/>
      <c r="UXZ158" s="250"/>
      <c r="UYA158" s="250"/>
      <c r="UYB158" s="250"/>
      <c r="UYC158" s="250"/>
      <c r="UYD158" s="250"/>
      <c r="UYE158" s="250"/>
      <c r="UYF158" s="250"/>
      <c r="UYG158" s="250"/>
      <c r="UYH158" s="250"/>
      <c r="UYI158" s="250"/>
      <c r="UYJ158" s="250"/>
      <c r="UYK158" s="250"/>
      <c r="UYL158" s="250"/>
      <c r="UYM158" s="250"/>
      <c r="UYN158" s="250"/>
      <c r="UYO158" s="250"/>
      <c r="UYP158" s="250"/>
      <c r="UYQ158" s="250"/>
      <c r="UYR158" s="250"/>
      <c r="UYS158" s="250"/>
      <c r="UYT158" s="250"/>
      <c r="UYU158" s="250"/>
      <c r="UYV158" s="250"/>
      <c r="UYW158" s="250"/>
      <c r="UYX158" s="250"/>
      <c r="UYY158" s="250"/>
      <c r="UYZ158" s="250"/>
      <c r="UZA158" s="250"/>
      <c r="UZB158" s="250"/>
      <c r="UZC158" s="250"/>
      <c r="UZD158" s="250"/>
      <c r="UZE158" s="250"/>
      <c r="UZF158" s="250"/>
      <c r="UZG158" s="250"/>
      <c r="UZH158" s="250"/>
      <c r="UZI158" s="250"/>
      <c r="UZJ158" s="250"/>
      <c r="UZK158" s="250"/>
      <c r="UZL158" s="250"/>
      <c r="UZM158" s="250"/>
      <c r="UZN158" s="250"/>
      <c r="UZO158" s="250"/>
      <c r="UZP158" s="250"/>
      <c r="UZQ158" s="250"/>
      <c r="UZR158" s="250"/>
      <c r="UZS158" s="250"/>
      <c r="UZT158" s="250"/>
      <c r="UZU158" s="250"/>
      <c r="UZV158" s="250"/>
      <c r="UZW158" s="250"/>
      <c r="UZX158" s="250"/>
      <c r="UZY158" s="250"/>
      <c r="UZZ158" s="250"/>
      <c r="VAA158" s="250"/>
      <c r="VAB158" s="250"/>
      <c r="VAC158" s="250"/>
      <c r="VAD158" s="250"/>
      <c r="VAE158" s="250"/>
      <c r="VAF158" s="250"/>
      <c r="VAG158" s="250"/>
      <c r="VAH158" s="250"/>
      <c r="VAI158" s="250"/>
      <c r="VAJ158" s="250"/>
      <c r="VAK158" s="250"/>
      <c r="VAL158" s="250"/>
      <c r="VAM158" s="250"/>
      <c r="VAN158" s="250"/>
      <c r="VAO158" s="250"/>
      <c r="VAP158" s="250"/>
      <c r="VAQ158" s="250"/>
      <c r="VAR158" s="250"/>
      <c r="VAS158" s="250"/>
      <c r="VAT158" s="250"/>
      <c r="VAU158" s="250"/>
      <c r="VAV158" s="250"/>
      <c r="VAW158" s="250"/>
      <c r="VAX158" s="250"/>
      <c r="VAY158" s="250"/>
      <c r="VAZ158" s="250"/>
      <c r="VBA158" s="250"/>
      <c r="VBB158" s="250"/>
      <c r="VBC158" s="250"/>
      <c r="VBD158" s="250"/>
      <c r="VBE158" s="250"/>
      <c r="VBF158" s="250"/>
      <c r="VBG158" s="250"/>
      <c r="VBH158" s="250"/>
      <c r="VBI158" s="250"/>
      <c r="VBJ158" s="250"/>
      <c r="VBK158" s="250"/>
      <c r="VBL158" s="250"/>
      <c r="VBM158" s="250"/>
      <c r="VBN158" s="250"/>
      <c r="VBO158" s="250"/>
      <c r="VBP158" s="250"/>
      <c r="VBQ158" s="250"/>
      <c r="VBR158" s="250"/>
      <c r="VBS158" s="250"/>
      <c r="VBT158" s="250"/>
      <c r="VBU158" s="250"/>
      <c r="VBV158" s="250"/>
      <c r="VBW158" s="250"/>
      <c r="VBX158" s="250"/>
      <c r="VBY158" s="250"/>
      <c r="VBZ158" s="250"/>
      <c r="VCA158" s="250"/>
      <c r="VCB158" s="250"/>
      <c r="VCC158" s="250"/>
      <c r="VCD158" s="250"/>
      <c r="VCE158" s="250"/>
      <c r="VCF158" s="250"/>
      <c r="VCG158" s="250"/>
      <c r="VCH158" s="250"/>
      <c r="VCI158" s="250"/>
      <c r="VCJ158" s="250"/>
      <c r="VCK158" s="250"/>
      <c r="VCL158" s="250"/>
      <c r="VCM158" s="250"/>
      <c r="VCN158" s="250"/>
      <c r="VCO158" s="250"/>
      <c r="VCP158" s="250"/>
      <c r="VCQ158" s="250"/>
      <c r="VCR158" s="250"/>
      <c r="VCS158" s="250"/>
      <c r="VCT158" s="250"/>
      <c r="VCU158" s="250"/>
      <c r="VCV158" s="250"/>
      <c r="VCW158" s="250"/>
      <c r="VCX158" s="250"/>
      <c r="VCY158" s="250"/>
      <c r="VCZ158" s="250"/>
      <c r="VDA158" s="250"/>
      <c r="VDB158" s="250"/>
      <c r="VDC158" s="250"/>
      <c r="VDD158" s="250"/>
      <c r="VDE158" s="250"/>
      <c r="VDF158" s="250"/>
      <c r="VDG158" s="250"/>
      <c r="VDH158" s="250"/>
      <c r="VDI158" s="250"/>
      <c r="VDJ158" s="250"/>
      <c r="VDK158" s="250"/>
      <c r="VDL158" s="250"/>
      <c r="VDM158" s="250"/>
      <c r="VDN158" s="250"/>
      <c r="VDO158" s="250"/>
      <c r="VDP158" s="250"/>
      <c r="VDQ158" s="250"/>
      <c r="VDR158" s="250"/>
      <c r="VDS158" s="250"/>
      <c r="VDT158" s="250"/>
      <c r="VDU158" s="250"/>
      <c r="VDV158" s="250"/>
      <c r="VDW158" s="250"/>
      <c r="VDX158" s="250"/>
      <c r="VDY158" s="250"/>
      <c r="VDZ158" s="250"/>
      <c r="VEA158" s="250"/>
      <c r="VEB158" s="250"/>
      <c r="VEC158" s="250"/>
      <c r="VED158" s="250"/>
      <c r="VEE158" s="250"/>
      <c r="VEF158" s="250"/>
      <c r="VEG158" s="250"/>
      <c r="VEH158" s="250"/>
      <c r="VEI158" s="250"/>
      <c r="VEJ158" s="250"/>
      <c r="VEK158" s="250"/>
      <c r="VEL158" s="250"/>
      <c r="VEM158" s="250"/>
      <c r="VEN158" s="250"/>
      <c r="VEO158" s="250"/>
      <c r="VEP158" s="250"/>
      <c r="VEQ158" s="250"/>
      <c r="VER158" s="250"/>
      <c r="VES158" s="250"/>
      <c r="VET158" s="250"/>
      <c r="VEU158" s="250"/>
      <c r="VEV158" s="250"/>
      <c r="VEW158" s="250"/>
      <c r="VEX158" s="250"/>
      <c r="VEY158" s="250"/>
      <c r="VEZ158" s="250"/>
      <c r="VFA158" s="250"/>
      <c r="VFB158" s="250"/>
      <c r="VFC158" s="250"/>
      <c r="VFD158" s="250"/>
      <c r="VFE158" s="250"/>
      <c r="VFF158" s="250"/>
      <c r="VFG158" s="250"/>
      <c r="VFH158" s="250"/>
      <c r="VFI158" s="250"/>
      <c r="VFJ158" s="250"/>
      <c r="VFK158" s="250"/>
      <c r="VFL158" s="250"/>
      <c r="VFM158" s="250"/>
      <c r="VFN158" s="250"/>
      <c r="VFO158" s="250"/>
      <c r="VFP158" s="250"/>
      <c r="VFQ158" s="250"/>
      <c r="VFR158" s="250"/>
      <c r="VFS158" s="250"/>
      <c r="VFT158" s="250"/>
      <c r="VFU158" s="250"/>
      <c r="VFV158" s="250"/>
      <c r="VFW158" s="250"/>
      <c r="VFX158" s="250"/>
      <c r="VFY158" s="250"/>
      <c r="VFZ158" s="250"/>
      <c r="VGA158" s="250"/>
      <c r="VGB158" s="250"/>
      <c r="VGC158" s="250"/>
      <c r="VGD158" s="250"/>
      <c r="VGE158" s="250"/>
      <c r="VGF158" s="250"/>
      <c r="VGG158" s="250"/>
      <c r="VGH158" s="250"/>
      <c r="VGI158" s="250"/>
      <c r="VGJ158" s="250"/>
      <c r="VGK158" s="250"/>
      <c r="VGL158" s="250"/>
      <c r="VGM158" s="250"/>
      <c r="VGN158" s="250"/>
      <c r="VGO158" s="250"/>
      <c r="VGP158" s="250"/>
      <c r="VGQ158" s="250"/>
      <c r="VGR158" s="250"/>
      <c r="VGS158" s="250"/>
      <c r="VGT158" s="250"/>
      <c r="VGU158" s="250"/>
      <c r="VGV158" s="250"/>
      <c r="VGW158" s="250"/>
      <c r="VGX158" s="250"/>
      <c r="VGY158" s="250"/>
      <c r="VGZ158" s="250"/>
      <c r="VHA158" s="250"/>
      <c r="VHB158" s="250"/>
      <c r="VHC158" s="250"/>
      <c r="VHD158" s="250"/>
      <c r="VHE158" s="250"/>
      <c r="VHF158" s="250"/>
      <c r="VHG158" s="250"/>
      <c r="VHH158" s="250"/>
      <c r="VHI158" s="250"/>
      <c r="VHJ158" s="250"/>
      <c r="VHK158" s="250"/>
      <c r="VHL158" s="250"/>
      <c r="VHM158" s="250"/>
      <c r="VHN158" s="250"/>
      <c r="VHO158" s="250"/>
      <c r="VHP158" s="250"/>
      <c r="VHQ158" s="250"/>
      <c r="VHR158" s="250"/>
      <c r="VHS158" s="250"/>
      <c r="VHT158" s="250"/>
      <c r="VHU158" s="250"/>
      <c r="VHV158" s="250"/>
      <c r="VHW158" s="250"/>
      <c r="VHX158" s="250"/>
      <c r="VHY158" s="250"/>
      <c r="VHZ158" s="250"/>
      <c r="VIA158" s="250"/>
      <c r="VIB158" s="250"/>
      <c r="VIC158" s="250"/>
      <c r="VID158" s="250"/>
      <c r="VIE158" s="250"/>
      <c r="VIF158" s="250"/>
      <c r="VIG158" s="250"/>
      <c r="VIH158" s="250"/>
      <c r="VII158" s="250"/>
      <c r="VIJ158" s="250"/>
      <c r="VIK158" s="250"/>
      <c r="VIL158" s="250"/>
      <c r="VIM158" s="250"/>
      <c r="VIN158" s="250"/>
      <c r="VIO158" s="250"/>
      <c r="VIP158" s="250"/>
      <c r="VIQ158" s="250"/>
      <c r="VIR158" s="250"/>
      <c r="VIS158" s="250"/>
      <c r="VIT158" s="250"/>
      <c r="VIU158" s="250"/>
      <c r="VIV158" s="250"/>
      <c r="VIW158" s="250"/>
      <c r="VIX158" s="250"/>
      <c r="VIY158" s="250"/>
      <c r="VIZ158" s="250"/>
      <c r="VJA158" s="250"/>
      <c r="VJB158" s="250"/>
      <c r="VJC158" s="250"/>
      <c r="VJD158" s="250"/>
      <c r="VJE158" s="250"/>
      <c r="VJF158" s="250"/>
      <c r="VJG158" s="250"/>
      <c r="VJH158" s="250"/>
      <c r="VJI158" s="250"/>
      <c r="VJJ158" s="250"/>
      <c r="VJK158" s="250"/>
      <c r="VJL158" s="250"/>
      <c r="VJM158" s="250"/>
      <c r="VJN158" s="250"/>
      <c r="VJO158" s="250"/>
      <c r="VJP158" s="250"/>
      <c r="VJQ158" s="250"/>
      <c r="VJR158" s="250"/>
      <c r="VJS158" s="250"/>
      <c r="VJT158" s="250"/>
      <c r="VJU158" s="250"/>
      <c r="VJV158" s="250"/>
      <c r="VJW158" s="250"/>
      <c r="VJX158" s="250"/>
      <c r="VJY158" s="250"/>
      <c r="VJZ158" s="250"/>
      <c r="VKA158" s="250"/>
      <c r="VKB158" s="250"/>
      <c r="VKC158" s="250"/>
      <c r="VKD158" s="250"/>
      <c r="VKE158" s="250"/>
      <c r="VKF158" s="250"/>
      <c r="VKG158" s="250"/>
      <c r="VKH158" s="250"/>
      <c r="VKI158" s="250"/>
      <c r="VKJ158" s="250"/>
      <c r="VKK158" s="250"/>
      <c r="VKL158" s="250"/>
      <c r="VKM158" s="250"/>
      <c r="VKN158" s="250"/>
      <c r="VKO158" s="250"/>
      <c r="VKP158" s="250"/>
      <c r="VKQ158" s="250"/>
      <c r="VKR158" s="250"/>
      <c r="VKS158" s="250"/>
      <c r="VKT158" s="250"/>
      <c r="VKU158" s="250"/>
      <c r="VKV158" s="250"/>
      <c r="VKW158" s="250"/>
      <c r="VKX158" s="250"/>
      <c r="VKY158" s="250"/>
      <c r="VKZ158" s="250"/>
      <c r="VLA158" s="250"/>
      <c r="VLB158" s="250"/>
      <c r="VLC158" s="250"/>
      <c r="VLD158" s="250"/>
      <c r="VLE158" s="250"/>
      <c r="VLF158" s="250"/>
      <c r="VLG158" s="250"/>
      <c r="VLH158" s="250"/>
      <c r="VLI158" s="250"/>
      <c r="VLJ158" s="250"/>
      <c r="VLK158" s="250"/>
      <c r="VLL158" s="250"/>
      <c r="VLM158" s="250"/>
      <c r="VLN158" s="250"/>
      <c r="VLO158" s="250"/>
      <c r="VLP158" s="250"/>
      <c r="VLQ158" s="250"/>
      <c r="VLR158" s="250"/>
      <c r="VLS158" s="250"/>
      <c r="VLT158" s="250"/>
      <c r="VLU158" s="250"/>
      <c r="VLV158" s="250"/>
      <c r="VLW158" s="250"/>
      <c r="VLX158" s="250"/>
      <c r="VLY158" s="250"/>
      <c r="VLZ158" s="250"/>
      <c r="VMA158" s="250"/>
      <c r="VMB158" s="250"/>
      <c r="VMC158" s="250"/>
      <c r="VMD158" s="250"/>
      <c r="VME158" s="250"/>
      <c r="VMF158" s="250"/>
      <c r="VMG158" s="250"/>
      <c r="VMH158" s="250"/>
      <c r="VMI158" s="250"/>
      <c r="VMJ158" s="250"/>
      <c r="VMK158" s="250"/>
      <c r="VML158" s="250"/>
      <c r="VMM158" s="250"/>
      <c r="VMN158" s="250"/>
      <c r="VMO158" s="250"/>
      <c r="VMP158" s="250"/>
      <c r="VMQ158" s="250"/>
      <c r="VMR158" s="250"/>
      <c r="VMS158" s="250"/>
      <c r="VMT158" s="250"/>
      <c r="VMU158" s="250"/>
      <c r="VMV158" s="250"/>
      <c r="VMW158" s="250"/>
      <c r="VMX158" s="250"/>
      <c r="VMY158" s="250"/>
      <c r="VMZ158" s="250"/>
      <c r="VNA158" s="250"/>
      <c r="VNB158" s="250"/>
      <c r="VNC158" s="250"/>
      <c r="VND158" s="250"/>
      <c r="VNE158" s="250"/>
      <c r="VNF158" s="250"/>
      <c r="VNG158" s="250"/>
      <c r="VNH158" s="250"/>
      <c r="VNI158" s="250"/>
      <c r="VNJ158" s="250"/>
      <c r="VNK158" s="250"/>
      <c r="VNL158" s="250"/>
      <c r="VNM158" s="250"/>
      <c r="VNN158" s="250"/>
      <c r="VNO158" s="250"/>
      <c r="VNP158" s="250"/>
      <c r="VNQ158" s="250"/>
      <c r="VNR158" s="250"/>
      <c r="VNS158" s="250"/>
      <c r="VNT158" s="250"/>
      <c r="VNU158" s="250"/>
      <c r="VNV158" s="250"/>
      <c r="VNW158" s="250"/>
      <c r="VNX158" s="250"/>
      <c r="VNY158" s="250"/>
      <c r="VNZ158" s="250"/>
      <c r="VOA158" s="250"/>
      <c r="VOB158" s="250"/>
      <c r="VOC158" s="250"/>
      <c r="VOD158" s="250"/>
      <c r="VOE158" s="250"/>
      <c r="VOF158" s="250"/>
      <c r="VOG158" s="250"/>
      <c r="VOH158" s="250"/>
      <c r="VOI158" s="250"/>
      <c r="VOJ158" s="250"/>
      <c r="VOK158" s="250"/>
      <c r="VOL158" s="250"/>
      <c r="VOM158" s="250"/>
      <c r="VON158" s="250"/>
      <c r="VOO158" s="250"/>
      <c r="VOP158" s="250"/>
      <c r="VOQ158" s="250"/>
      <c r="VOR158" s="250"/>
      <c r="VOS158" s="250"/>
      <c r="VOT158" s="250"/>
      <c r="VOU158" s="250"/>
      <c r="VOV158" s="250"/>
      <c r="VOW158" s="250"/>
      <c r="VOX158" s="250"/>
      <c r="VOY158" s="250"/>
      <c r="VOZ158" s="250"/>
      <c r="VPA158" s="250"/>
      <c r="VPB158" s="250"/>
      <c r="VPC158" s="250"/>
      <c r="VPD158" s="250"/>
      <c r="VPE158" s="250"/>
      <c r="VPF158" s="250"/>
      <c r="VPG158" s="250"/>
      <c r="VPH158" s="250"/>
      <c r="VPI158" s="250"/>
      <c r="VPJ158" s="250"/>
      <c r="VPK158" s="250"/>
      <c r="VPL158" s="250"/>
      <c r="VPM158" s="250"/>
      <c r="VPN158" s="250"/>
      <c r="VPO158" s="250"/>
      <c r="VPP158" s="250"/>
      <c r="VPQ158" s="250"/>
      <c r="VPR158" s="250"/>
      <c r="VPS158" s="250"/>
      <c r="VPT158" s="250"/>
      <c r="VPU158" s="250"/>
      <c r="VPV158" s="250"/>
      <c r="VPW158" s="250"/>
      <c r="VPX158" s="250"/>
      <c r="VPY158" s="250"/>
      <c r="VPZ158" s="250"/>
      <c r="VQA158" s="250"/>
      <c r="VQB158" s="250"/>
      <c r="VQC158" s="250"/>
      <c r="VQD158" s="250"/>
      <c r="VQE158" s="250"/>
      <c r="VQF158" s="250"/>
      <c r="VQG158" s="250"/>
      <c r="VQH158" s="250"/>
      <c r="VQI158" s="250"/>
      <c r="VQJ158" s="250"/>
      <c r="VQK158" s="250"/>
      <c r="VQL158" s="250"/>
      <c r="VQM158" s="250"/>
      <c r="VQN158" s="250"/>
      <c r="VQO158" s="250"/>
      <c r="VQP158" s="250"/>
      <c r="VQQ158" s="250"/>
      <c r="VQR158" s="250"/>
      <c r="VQS158" s="250"/>
      <c r="VQT158" s="250"/>
      <c r="VQU158" s="250"/>
      <c r="VQV158" s="250"/>
      <c r="VQW158" s="250"/>
      <c r="VQX158" s="250"/>
      <c r="VQY158" s="250"/>
      <c r="VQZ158" s="250"/>
      <c r="VRA158" s="250"/>
      <c r="VRB158" s="250"/>
      <c r="VRC158" s="250"/>
      <c r="VRD158" s="250"/>
      <c r="VRE158" s="250"/>
      <c r="VRF158" s="250"/>
      <c r="VRG158" s="250"/>
      <c r="VRH158" s="250"/>
      <c r="VRI158" s="250"/>
      <c r="VRJ158" s="250"/>
      <c r="VRK158" s="250"/>
      <c r="VRL158" s="250"/>
      <c r="VRM158" s="250"/>
      <c r="VRN158" s="250"/>
      <c r="VRO158" s="250"/>
      <c r="VRP158" s="250"/>
      <c r="VRQ158" s="250"/>
      <c r="VRR158" s="250"/>
      <c r="VRS158" s="250"/>
      <c r="VRT158" s="250"/>
      <c r="VRU158" s="250"/>
      <c r="VRV158" s="250"/>
      <c r="VRW158" s="250"/>
      <c r="VRX158" s="250"/>
      <c r="VRY158" s="250"/>
      <c r="VRZ158" s="250"/>
      <c r="VSA158" s="250"/>
      <c r="VSB158" s="250"/>
      <c r="VSC158" s="250"/>
      <c r="VSD158" s="250"/>
      <c r="VSE158" s="250"/>
      <c r="VSF158" s="250"/>
      <c r="VSG158" s="250"/>
      <c r="VSH158" s="250"/>
      <c r="VSI158" s="250"/>
      <c r="VSJ158" s="250"/>
      <c r="VSK158" s="250"/>
      <c r="VSL158" s="250"/>
      <c r="VSM158" s="250"/>
      <c r="VSN158" s="250"/>
      <c r="VSO158" s="250"/>
      <c r="VSP158" s="250"/>
      <c r="VSQ158" s="250"/>
      <c r="VSR158" s="250"/>
      <c r="VSS158" s="250"/>
      <c r="VST158" s="250"/>
      <c r="VSU158" s="250"/>
      <c r="VSV158" s="250"/>
      <c r="VSW158" s="250"/>
      <c r="VSX158" s="250"/>
      <c r="VSY158" s="250"/>
      <c r="VSZ158" s="250"/>
      <c r="VTA158" s="250"/>
      <c r="VTB158" s="250"/>
      <c r="VTC158" s="250"/>
      <c r="VTD158" s="250"/>
      <c r="VTE158" s="250"/>
      <c r="VTF158" s="250"/>
      <c r="VTG158" s="250"/>
      <c r="VTH158" s="250"/>
      <c r="VTI158" s="250"/>
      <c r="VTJ158" s="250"/>
      <c r="VTK158" s="250"/>
      <c r="VTL158" s="250"/>
      <c r="VTM158" s="250"/>
      <c r="VTN158" s="250"/>
      <c r="VTO158" s="250"/>
      <c r="VTP158" s="250"/>
      <c r="VTQ158" s="250"/>
      <c r="VTR158" s="250"/>
      <c r="VTS158" s="250"/>
      <c r="VTT158" s="250"/>
      <c r="VTU158" s="250"/>
      <c r="VTV158" s="250"/>
      <c r="VTW158" s="250"/>
      <c r="VTX158" s="250"/>
      <c r="VTY158" s="250"/>
      <c r="VTZ158" s="250"/>
      <c r="VUA158" s="250"/>
      <c r="VUB158" s="250"/>
      <c r="VUC158" s="250"/>
      <c r="VUD158" s="250"/>
      <c r="VUE158" s="250"/>
      <c r="VUF158" s="250"/>
      <c r="VUG158" s="250"/>
      <c r="VUH158" s="250"/>
      <c r="VUI158" s="250"/>
      <c r="VUJ158" s="250"/>
      <c r="VUK158" s="250"/>
      <c r="VUL158" s="250"/>
      <c r="VUM158" s="250"/>
      <c r="VUN158" s="250"/>
      <c r="VUO158" s="250"/>
      <c r="VUP158" s="250"/>
      <c r="VUQ158" s="250"/>
      <c r="VUR158" s="250"/>
      <c r="VUS158" s="250"/>
      <c r="VUT158" s="250"/>
      <c r="VUU158" s="250"/>
      <c r="VUV158" s="250"/>
      <c r="VUW158" s="250"/>
      <c r="VUX158" s="250"/>
      <c r="VUY158" s="250"/>
      <c r="VUZ158" s="250"/>
      <c r="VVA158" s="250"/>
      <c r="VVB158" s="250"/>
      <c r="VVC158" s="250"/>
      <c r="VVD158" s="250"/>
      <c r="VVE158" s="250"/>
      <c r="VVF158" s="250"/>
      <c r="VVG158" s="250"/>
      <c r="VVH158" s="250"/>
      <c r="VVI158" s="250"/>
      <c r="VVJ158" s="250"/>
      <c r="VVK158" s="250"/>
      <c r="VVL158" s="250"/>
      <c r="VVM158" s="250"/>
      <c r="VVN158" s="250"/>
      <c r="VVO158" s="250"/>
      <c r="VVP158" s="250"/>
      <c r="VVQ158" s="250"/>
      <c r="VVR158" s="250"/>
      <c r="VVS158" s="250"/>
      <c r="VVT158" s="250"/>
      <c r="VVU158" s="250"/>
      <c r="VVV158" s="250"/>
      <c r="VVW158" s="250"/>
      <c r="VVX158" s="250"/>
      <c r="VVY158" s="250"/>
      <c r="VVZ158" s="250"/>
      <c r="VWA158" s="250"/>
      <c r="VWB158" s="250"/>
      <c r="VWC158" s="250"/>
      <c r="VWD158" s="250"/>
      <c r="VWE158" s="250"/>
      <c r="VWF158" s="250"/>
      <c r="VWG158" s="250"/>
      <c r="VWH158" s="250"/>
      <c r="VWI158" s="250"/>
      <c r="VWJ158" s="250"/>
      <c r="VWK158" s="250"/>
      <c r="VWL158" s="250"/>
      <c r="VWM158" s="250"/>
      <c r="VWN158" s="250"/>
      <c r="VWO158" s="250"/>
      <c r="VWP158" s="250"/>
      <c r="VWQ158" s="250"/>
      <c r="VWR158" s="250"/>
      <c r="VWS158" s="250"/>
      <c r="VWT158" s="250"/>
      <c r="VWU158" s="250"/>
      <c r="VWV158" s="250"/>
      <c r="VWW158" s="250"/>
      <c r="VWX158" s="250"/>
      <c r="VWY158" s="250"/>
      <c r="VWZ158" s="250"/>
      <c r="VXA158" s="250"/>
      <c r="VXB158" s="250"/>
      <c r="VXC158" s="250"/>
      <c r="VXD158" s="250"/>
      <c r="VXE158" s="250"/>
      <c r="VXF158" s="250"/>
      <c r="VXG158" s="250"/>
      <c r="VXH158" s="250"/>
      <c r="VXI158" s="250"/>
      <c r="VXJ158" s="250"/>
      <c r="VXK158" s="250"/>
      <c r="VXL158" s="250"/>
      <c r="VXM158" s="250"/>
      <c r="VXN158" s="250"/>
      <c r="VXO158" s="250"/>
      <c r="VXP158" s="250"/>
      <c r="VXQ158" s="250"/>
      <c r="VXR158" s="250"/>
      <c r="VXS158" s="250"/>
      <c r="VXT158" s="250"/>
      <c r="VXU158" s="250"/>
      <c r="VXV158" s="250"/>
      <c r="VXW158" s="250"/>
      <c r="VXX158" s="250"/>
      <c r="VXY158" s="250"/>
      <c r="VXZ158" s="250"/>
      <c r="VYA158" s="250"/>
      <c r="VYB158" s="250"/>
      <c r="VYC158" s="250"/>
      <c r="VYD158" s="250"/>
      <c r="VYE158" s="250"/>
      <c r="VYF158" s="250"/>
      <c r="VYG158" s="250"/>
      <c r="VYH158" s="250"/>
      <c r="VYI158" s="250"/>
      <c r="VYJ158" s="250"/>
      <c r="VYK158" s="250"/>
      <c r="VYL158" s="250"/>
      <c r="VYM158" s="250"/>
      <c r="VYN158" s="250"/>
      <c r="VYO158" s="250"/>
      <c r="VYP158" s="250"/>
      <c r="VYQ158" s="250"/>
      <c r="VYR158" s="250"/>
      <c r="VYS158" s="250"/>
      <c r="VYT158" s="250"/>
      <c r="VYU158" s="250"/>
      <c r="VYV158" s="250"/>
      <c r="VYW158" s="250"/>
      <c r="VYX158" s="250"/>
      <c r="VYY158" s="250"/>
      <c r="VYZ158" s="250"/>
      <c r="VZA158" s="250"/>
      <c r="VZB158" s="250"/>
      <c r="VZC158" s="250"/>
      <c r="VZD158" s="250"/>
      <c r="VZE158" s="250"/>
      <c r="VZF158" s="250"/>
      <c r="VZG158" s="250"/>
      <c r="VZH158" s="250"/>
      <c r="VZI158" s="250"/>
      <c r="VZJ158" s="250"/>
      <c r="VZK158" s="250"/>
      <c r="VZL158" s="250"/>
      <c r="VZM158" s="250"/>
      <c r="VZN158" s="250"/>
      <c r="VZO158" s="250"/>
      <c r="VZP158" s="250"/>
      <c r="VZQ158" s="250"/>
      <c r="VZR158" s="250"/>
      <c r="VZS158" s="250"/>
      <c r="VZT158" s="250"/>
      <c r="VZU158" s="250"/>
      <c r="VZV158" s="250"/>
      <c r="VZW158" s="250"/>
      <c r="VZX158" s="250"/>
      <c r="VZY158" s="250"/>
      <c r="VZZ158" s="250"/>
      <c r="WAA158" s="250"/>
      <c r="WAB158" s="250"/>
      <c r="WAC158" s="250"/>
      <c r="WAD158" s="250"/>
      <c r="WAE158" s="250"/>
      <c r="WAF158" s="250"/>
      <c r="WAG158" s="250"/>
      <c r="WAH158" s="250"/>
      <c r="WAI158" s="250"/>
      <c r="WAJ158" s="250"/>
      <c r="WAK158" s="250"/>
      <c r="WAL158" s="250"/>
      <c r="WAM158" s="250"/>
      <c r="WAN158" s="250"/>
      <c r="WAO158" s="250"/>
      <c r="WAP158" s="250"/>
      <c r="WAQ158" s="250"/>
      <c r="WAR158" s="250"/>
      <c r="WAS158" s="250"/>
      <c r="WAT158" s="250"/>
      <c r="WAU158" s="250"/>
      <c r="WAV158" s="250"/>
      <c r="WAW158" s="250"/>
      <c r="WAX158" s="250"/>
      <c r="WAY158" s="250"/>
      <c r="WAZ158" s="250"/>
      <c r="WBA158" s="250"/>
      <c r="WBB158" s="250"/>
      <c r="WBC158" s="250"/>
      <c r="WBD158" s="250"/>
      <c r="WBE158" s="250"/>
      <c r="WBF158" s="250"/>
      <c r="WBG158" s="250"/>
      <c r="WBH158" s="250"/>
      <c r="WBI158" s="250"/>
      <c r="WBJ158" s="250"/>
      <c r="WBK158" s="250"/>
      <c r="WBL158" s="250"/>
      <c r="WBM158" s="250"/>
      <c r="WBN158" s="250"/>
      <c r="WBO158" s="250"/>
      <c r="WBP158" s="250"/>
      <c r="WBQ158" s="250"/>
      <c r="WBR158" s="250"/>
      <c r="WBS158" s="250"/>
      <c r="WBT158" s="250"/>
      <c r="WBU158" s="250"/>
      <c r="WBV158" s="250"/>
      <c r="WBW158" s="250"/>
      <c r="WBX158" s="250"/>
      <c r="WBY158" s="250"/>
      <c r="WBZ158" s="250"/>
      <c r="WCA158" s="250"/>
      <c r="WCB158" s="250"/>
      <c r="WCC158" s="250"/>
      <c r="WCD158" s="250"/>
      <c r="WCE158" s="250"/>
      <c r="WCF158" s="250"/>
      <c r="WCG158" s="250"/>
      <c r="WCH158" s="250"/>
      <c r="WCI158" s="250"/>
      <c r="WCJ158" s="250"/>
      <c r="WCK158" s="250"/>
      <c r="WCL158" s="250"/>
      <c r="WCM158" s="250"/>
      <c r="WCN158" s="250"/>
      <c r="WCO158" s="250"/>
      <c r="WCP158" s="250"/>
      <c r="WCQ158" s="250"/>
      <c r="WCR158" s="250"/>
      <c r="WCS158" s="250"/>
      <c r="WCT158" s="250"/>
      <c r="WCU158" s="250"/>
      <c r="WCV158" s="250"/>
      <c r="WCW158" s="250"/>
      <c r="WCX158" s="250"/>
      <c r="WCY158" s="250"/>
      <c r="WCZ158" s="250"/>
      <c r="WDA158" s="250"/>
      <c r="WDB158" s="250"/>
      <c r="WDC158" s="250"/>
      <c r="WDD158" s="250"/>
      <c r="WDE158" s="250"/>
      <c r="WDF158" s="250"/>
      <c r="WDG158" s="250"/>
      <c r="WDH158" s="250"/>
      <c r="WDI158" s="250"/>
      <c r="WDJ158" s="250"/>
      <c r="WDK158" s="250"/>
      <c r="WDL158" s="250"/>
      <c r="WDM158" s="250"/>
      <c r="WDN158" s="250"/>
      <c r="WDO158" s="250"/>
      <c r="WDP158" s="250"/>
      <c r="WDQ158" s="250"/>
      <c r="WDR158" s="250"/>
      <c r="WDS158" s="250"/>
      <c r="WDT158" s="250"/>
      <c r="WDU158" s="250"/>
      <c r="WDV158" s="250"/>
      <c r="WDW158" s="250"/>
      <c r="WDX158" s="250"/>
      <c r="WDY158" s="250"/>
      <c r="WDZ158" s="250"/>
      <c r="WEA158" s="250"/>
      <c r="WEB158" s="250"/>
      <c r="WEC158" s="250"/>
      <c r="WED158" s="250"/>
      <c r="WEE158" s="250"/>
      <c r="WEF158" s="250"/>
      <c r="WEG158" s="250"/>
      <c r="WEH158" s="250"/>
      <c r="WEI158" s="250"/>
      <c r="WEJ158" s="250"/>
      <c r="WEK158" s="250"/>
      <c r="WEL158" s="250"/>
      <c r="WEM158" s="250"/>
      <c r="WEN158" s="250"/>
      <c r="WEO158" s="250"/>
      <c r="WEP158" s="250"/>
      <c r="WEQ158" s="250"/>
      <c r="WER158" s="250"/>
      <c r="WES158" s="250"/>
      <c r="WET158" s="250"/>
      <c r="WEU158" s="250"/>
      <c r="WEV158" s="250"/>
      <c r="WEW158" s="250"/>
      <c r="WEX158" s="250"/>
      <c r="WEY158" s="250"/>
      <c r="WEZ158" s="250"/>
      <c r="WFA158" s="250"/>
      <c r="WFB158" s="250"/>
      <c r="WFC158" s="250"/>
      <c r="WFD158" s="250"/>
      <c r="WFE158" s="250"/>
      <c r="WFF158" s="250"/>
      <c r="WFG158" s="250"/>
      <c r="WFH158" s="250"/>
      <c r="WFI158" s="250"/>
      <c r="WFJ158" s="250"/>
      <c r="WFK158" s="250"/>
      <c r="WFL158" s="250"/>
      <c r="WFM158" s="250"/>
      <c r="WFN158" s="250"/>
      <c r="WFO158" s="250"/>
      <c r="WFP158" s="250"/>
      <c r="WFQ158" s="250"/>
      <c r="WFR158" s="250"/>
      <c r="WFS158" s="250"/>
      <c r="WFT158" s="250"/>
      <c r="WFU158" s="250"/>
      <c r="WFV158" s="250"/>
      <c r="WFW158" s="250"/>
      <c r="WFX158" s="250"/>
      <c r="WFY158" s="250"/>
      <c r="WFZ158" s="250"/>
      <c r="WGA158" s="250"/>
      <c r="WGB158" s="250"/>
      <c r="WGC158" s="250"/>
      <c r="WGD158" s="250"/>
      <c r="WGE158" s="250"/>
      <c r="WGF158" s="250"/>
      <c r="WGG158" s="250"/>
      <c r="WGH158" s="250"/>
      <c r="WGI158" s="250"/>
      <c r="WGJ158" s="250"/>
      <c r="WGK158" s="250"/>
      <c r="WGL158" s="250"/>
      <c r="WGM158" s="250"/>
      <c r="WGN158" s="250"/>
      <c r="WGO158" s="250"/>
      <c r="WGP158" s="250"/>
      <c r="WGQ158" s="250"/>
      <c r="WGR158" s="250"/>
      <c r="WGS158" s="250"/>
      <c r="WGT158" s="250"/>
      <c r="WGU158" s="250"/>
      <c r="WGV158" s="250"/>
      <c r="WGW158" s="250"/>
      <c r="WGX158" s="250"/>
      <c r="WGY158" s="250"/>
      <c r="WGZ158" s="250"/>
      <c r="WHA158" s="250"/>
      <c r="WHB158" s="250"/>
      <c r="WHC158" s="250"/>
      <c r="WHD158" s="250"/>
      <c r="WHE158" s="250"/>
      <c r="WHF158" s="250"/>
      <c r="WHG158" s="250"/>
      <c r="WHH158" s="250"/>
      <c r="WHI158" s="250"/>
      <c r="WHJ158" s="250"/>
      <c r="WHK158" s="250"/>
      <c r="WHL158" s="250"/>
      <c r="WHM158" s="250"/>
      <c r="WHN158" s="250"/>
      <c r="WHO158" s="250"/>
      <c r="WHP158" s="250"/>
      <c r="WHQ158" s="250"/>
      <c r="WHR158" s="250"/>
      <c r="WHS158" s="250"/>
      <c r="WHT158" s="250"/>
      <c r="WHU158" s="250"/>
      <c r="WHV158" s="250"/>
      <c r="WHW158" s="250"/>
      <c r="WHX158" s="250"/>
      <c r="WHY158" s="250"/>
      <c r="WHZ158" s="250"/>
      <c r="WIA158" s="250"/>
      <c r="WIB158" s="250"/>
      <c r="WIC158" s="250"/>
      <c r="WID158" s="250"/>
      <c r="WIE158" s="250"/>
      <c r="WIF158" s="250"/>
      <c r="WIG158" s="250"/>
      <c r="WIH158" s="250"/>
      <c r="WII158" s="250"/>
      <c r="WIJ158" s="250"/>
      <c r="WIK158" s="250"/>
      <c r="WIL158" s="250"/>
      <c r="WIM158" s="250"/>
      <c r="WIN158" s="250"/>
      <c r="WIO158" s="250"/>
      <c r="WIP158" s="250"/>
      <c r="WIQ158" s="250"/>
      <c r="WIR158" s="250"/>
      <c r="WIS158" s="250"/>
      <c r="WIT158" s="250"/>
      <c r="WIU158" s="250"/>
      <c r="WIV158" s="250"/>
      <c r="WIW158" s="250"/>
      <c r="WIX158" s="250"/>
      <c r="WIY158" s="250"/>
      <c r="WIZ158" s="250"/>
      <c r="WJA158" s="250"/>
      <c r="WJB158" s="250"/>
      <c r="WJC158" s="250"/>
      <c r="WJD158" s="250"/>
      <c r="WJE158" s="250"/>
      <c r="WJF158" s="250"/>
      <c r="WJG158" s="250"/>
      <c r="WJH158" s="250"/>
      <c r="WJI158" s="250"/>
      <c r="WJJ158" s="250"/>
      <c r="WJK158" s="250"/>
      <c r="WJL158" s="250"/>
      <c r="WJM158" s="250"/>
      <c r="WJN158" s="250"/>
      <c r="WJO158" s="250"/>
      <c r="WJP158" s="250"/>
      <c r="WJQ158" s="250"/>
      <c r="WJR158" s="250"/>
      <c r="WJS158" s="250"/>
      <c r="WJT158" s="250"/>
      <c r="WJU158" s="250"/>
      <c r="WJV158" s="250"/>
      <c r="WJW158" s="250"/>
      <c r="WJX158" s="250"/>
      <c r="WJY158" s="250"/>
      <c r="WJZ158" s="250"/>
      <c r="WKA158" s="250"/>
      <c r="WKB158" s="250"/>
      <c r="WKC158" s="250"/>
      <c r="WKD158" s="250"/>
      <c r="WKE158" s="250"/>
      <c r="WKF158" s="250"/>
      <c r="WKG158" s="250"/>
      <c r="WKH158" s="250"/>
      <c r="WKI158" s="250"/>
      <c r="WKJ158" s="250"/>
      <c r="WKK158" s="250"/>
      <c r="WKL158" s="250"/>
      <c r="WKM158" s="250"/>
      <c r="WKN158" s="250"/>
      <c r="WKO158" s="250"/>
      <c r="WKP158" s="250"/>
      <c r="WKQ158" s="250"/>
      <c r="WKR158" s="250"/>
      <c r="WKS158" s="250"/>
      <c r="WKT158" s="250"/>
      <c r="WKU158" s="250"/>
      <c r="WKV158" s="250"/>
      <c r="WKW158" s="250"/>
      <c r="WKX158" s="250"/>
      <c r="WKY158" s="250"/>
      <c r="WKZ158" s="250"/>
      <c r="WLA158" s="250"/>
      <c r="WLB158" s="250"/>
      <c r="WLC158" s="250"/>
      <c r="WLD158" s="250"/>
      <c r="WLE158" s="250"/>
      <c r="WLF158" s="250"/>
      <c r="WLG158" s="250"/>
      <c r="WLH158" s="250"/>
      <c r="WLI158" s="250"/>
      <c r="WLJ158" s="250"/>
      <c r="WLK158" s="250"/>
      <c r="WLL158" s="250"/>
      <c r="WLM158" s="250"/>
      <c r="WLN158" s="250"/>
      <c r="WLO158" s="250"/>
      <c r="WLP158" s="250"/>
      <c r="WLQ158" s="250"/>
      <c r="WLR158" s="250"/>
      <c r="WLS158" s="250"/>
      <c r="WLT158" s="250"/>
      <c r="WLU158" s="250"/>
      <c r="WLV158" s="250"/>
      <c r="WLW158" s="250"/>
      <c r="WLX158" s="250"/>
      <c r="WLY158" s="250"/>
      <c r="WLZ158" s="250"/>
      <c r="WMA158" s="250"/>
      <c r="WMB158" s="250"/>
      <c r="WMC158" s="250"/>
      <c r="WMD158" s="250"/>
      <c r="WME158" s="250"/>
      <c r="WMF158" s="250"/>
      <c r="WMG158" s="250"/>
      <c r="WMH158" s="250"/>
      <c r="WMI158" s="250"/>
      <c r="WMJ158" s="250"/>
      <c r="WMK158" s="250"/>
      <c r="WML158" s="250"/>
      <c r="WMM158" s="250"/>
      <c r="WMN158" s="250"/>
      <c r="WMO158" s="250"/>
      <c r="WMP158" s="250"/>
      <c r="WMQ158" s="250"/>
      <c r="WMR158" s="250"/>
      <c r="WMS158" s="250"/>
      <c r="WMT158" s="250"/>
      <c r="WMU158" s="250"/>
      <c r="WMV158" s="250"/>
      <c r="WMW158" s="250"/>
      <c r="WMX158" s="250"/>
      <c r="WMY158" s="250"/>
      <c r="WMZ158" s="250"/>
      <c r="WNA158" s="250"/>
      <c r="WNB158" s="250"/>
      <c r="WNC158" s="250"/>
      <c r="WND158" s="250"/>
      <c r="WNE158" s="250"/>
      <c r="WNF158" s="250"/>
      <c r="WNG158" s="250"/>
      <c r="WNH158" s="250"/>
      <c r="WNI158" s="250"/>
      <c r="WNJ158" s="250"/>
      <c r="WNK158" s="250"/>
      <c r="WNL158" s="250"/>
      <c r="WNM158" s="250"/>
      <c r="WNN158" s="250"/>
      <c r="WNO158" s="250"/>
      <c r="WNP158" s="250"/>
      <c r="WNQ158" s="250"/>
      <c r="WNR158" s="250"/>
      <c r="WNS158" s="250"/>
      <c r="WNT158" s="250"/>
      <c r="WNU158" s="250"/>
      <c r="WNV158" s="250"/>
      <c r="WNW158" s="250"/>
      <c r="WNX158" s="250"/>
      <c r="WNY158" s="250"/>
      <c r="WNZ158" s="250"/>
      <c r="WOA158" s="250"/>
      <c r="WOB158" s="250"/>
      <c r="WOC158" s="250"/>
      <c r="WOD158" s="250"/>
      <c r="WOE158" s="250"/>
      <c r="WOF158" s="250"/>
      <c r="WOG158" s="250"/>
      <c r="WOH158" s="250"/>
      <c r="WOI158" s="250"/>
      <c r="WOJ158" s="250"/>
      <c r="WOK158" s="250"/>
      <c r="WOL158" s="250"/>
      <c r="WOM158" s="250"/>
      <c r="WON158" s="250"/>
      <c r="WOO158" s="250"/>
      <c r="WOP158" s="250"/>
      <c r="WOQ158" s="250"/>
      <c r="WOR158" s="250"/>
      <c r="WOS158" s="250"/>
      <c r="WOT158" s="250"/>
      <c r="WOU158" s="250"/>
      <c r="WOV158" s="250"/>
      <c r="WOW158" s="250"/>
      <c r="WOX158" s="250"/>
      <c r="WOY158" s="250"/>
      <c r="WOZ158" s="250"/>
      <c r="WPA158" s="250"/>
      <c r="WPB158" s="250"/>
      <c r="WPC158" s="250"/>
      <c r="WPD158" s="250"/>
      <c r="WPE158" s="250"/>
      <c r="WPF158" s="250"/>
      <c r="WPG158" s="250"/>
      <c r="WPH158" s="250"/>
      <c r="WPI158" s="250"/>
      <c r="WPJ158" s="250"/>
      <c r="WPK158" s="250"/>
      <c r="WPL158" s="250"/>
      <c r="WPM158" s="250"/>
      <c r="WPN158" s="250"/>
      <c r="WPO158" s="250"/>
      <c r="WPP158" s="250"/>
      <c r="WPQ158" s="250"/>
      <c r="WPR158" s="250"/>
      <c r="WPS158" s="250"/>
      <c r="WPT158" s="250"/>
      <c r="WPU158" s="250"/>
      <c r="WPV158" s="250"/>
      <c r="WPW158" s="250"/>
      <c r="WPX158" s="250"/>
      <c r="WPY158" s="250"/>
      <c r="WPZ158" s="250"/>
      <c r="WQA158" s="250"/>
      <c r="WQB158" s="250"/>
      <c r="WQC158" s="250"/>
      <c r="WQD158" s="250"/>
      <c r="WQE158" s="250"/>
      <c r="WQF158" s="250"/>
      <c r="WQG158" s="250"/>
      <c r="WQH158" s="250"/>
      <c r="WQI158" s="250"/>
      <c r="WQJ158" s="250"/>
      <c r="WQK158" s="250"/>
      <c r="WQL158" s="250"/>
      <c r="WQM158" s="250"/>
      <c r="WQN158" s="250"/>
      <c r="WQO158" s="250"/>
      <c r="WQP158" s="250"/>
      <c r="WQQ158" s="250"/>
      <c r="WQR158" s="250"/>
      <c r="WQS158" s="250"/>
      <c r="WQT158" s="250"/>
      <c r="WQU158" s="250"/>
      <c r="WQV158" s="250"/>
      <c r="WQW158" s="250"/>
      <c r="WQX158" s="250"/>
      <c r="WQY158" s="250"/>
      <c r="WQZ158" s="250"/>
      <c r="WRA158" s="250"/>
      <c r="WRB158" s="250"/>
      <c r="WRC158" s="250"/>
      <c r="WRD158" s="250"/>
      <c r="WRE158" s="250"/>
      <c r="WRF158" s="250"/>
      <c r="WRG158" s="250"/>
      <c r="WRH158" s="250"/>
      <c r="WRI158" s="250"/>
      <c r="WRJ158" s="250"/>
      <c r="WRK158" s="250"/>
      <c r="WRL158" s="250"/>
      <c r="WRM158" s="250"/>
      <c r="WRN158" s="250"/>
      <c r="WRO158" s="250"/>
      <c r="WRP158" s="250"/>
      <c r="WRQ158" s="250"/>
      <c r="WRR158" s="250"/>
      <c r="WRS158" s="250"/>
      <c r="WRT158" s="250"/>
      <c r="WRU158" s="250"/>
      <c r="WRV158" s="250"/>
      <c r="WRW158" s="250"/>
      <c r="WRX158" s="250"/>
      <c r="WRY158" s="250"/>
      <c r="WRZ158" s="250"/>
      <c r="WSA158" s="250"/>
      <c r="WSB158" s="250"/>
      <c r="WSC158" s="250"/>
      <c r="WSD158" s="250"/>
      <c r="WSE158" s="250"/>
      <c r="WSF158" s="250"/>
      <c r="WSG158" s="250"/>
      <c r="WSH158" s="250"/>
      <c r="WSI158" s="250"/>
      <c r="WSJ158" s="250"/>
      <c r="WSK158" s="250"/>
      <c r="WSL158" s="250"/>
      <c r="WSM158" s="250"/>
      <c r="WSN158" s="250"/>
      <c r="WSO158" s="250"/>
      <c r="WSP158" s="250"/>
      <c r="WSQ158" s="250"/>
      <c r="WSR158" s="250"/>
      <c r="WSS158" s="250"/>
      <c r="WST158" s="250"/>
      <c r="WSU158" s="250"/>
      <c r="WSV158" s="250"/>
      <c r="WSW158" s="250"/>
      <c r="WSX158" s="250"/>
      <c r="WSY158" s="250"/>
      <c r="WSZ158" s="250"/>
      <c r="WTA158" s="250"/>
      <c r="WTB158" s="250"/>
      <c r="WTC158" s="250"/>
      <c r="WTD158" s="250"/>
      <c r="WTE158" s="250"/>
      <c r="WTF158" s="250"/>
      <c r="WTG158" s="250"/>
      <c r="WTH158" s="250"/>
      <c r="WTI158" s="250"/>
      <c r="WTJ158" s="250"/>
      <c r="WTK158" s="250"/>
      <c r="WTL158" s="250"/>
      <c r="WTM158" s="250"/>
      <c r="WTN158" s="250"/>
      <c r="WTO158" s="250"/>
      <c r="WTP158" s="250"/>
      <c r="WTQ158" s="250"/>
      <c r="WTR158" s="250"/>
      <c r="WTS158" s="250"/>
      <c r="WTT158" s="250"/>
      <c r="WTU158" s="250"/>
      <c r="WTV158" s="250"/>
      <c r="WTW158" s="250"/>
      <c r="WTX158" s="250"/>
      <c r="WTY158" s="250"/>
      <c r="WTZ158" s="250"/>
      <c r="WUA158" s="250"/>
      <c r="WUB158" s="250"/>
      <c r="WUC158" s="250"/>
      <c r="WUD158" s="250"/>
      <c r="WUE158" s="250"/>
      <c r="WUF158" s="250"/>
      <c r="WUG158" s="250"/>
      <c r="WUH158" s="250"/>
      <c r="WUI158" s="250"/>
      <c r="WUJ158" s="250"/>
      <c r="WUK158" s="250"/>
      <c r="WUL158" s="250"/>
      <c r="WUM158" s="250"/>
      <c r="WUN158" s="250"/>
      <c r="WUO158" s="250"/>
      <c r="WUP158" s="250"/>
      <c r="WUQ158" s="250"/>
      <c r="WUR158" s="250"/>
      <c r="WUS158" s="250"/>
      <c r="WUT158" s="250"/>
      <c r="WUU158" s="250"/>
      <c r="WUV158" s="250"/>
      <c r="WUW158" s="250"/>
      <c r="WUX158" s="250"/>
      <c r="WUY158" s="250"/>
      <c r="WUZ158" s="250"/>
      <c r="WVA158" s="250"/>
      <c r="WVB158" s="250"/>
      <c r="WVC158" s="250"/>
      <c r="WVD158" s="250"/>
      <c r="WVE158" s="250"/>
      <c r="WVF158" s="250"/>
      <c r="WVG158" s="250"/>
      <c r="WVH158" s="250"/>
      <c r="WVI158" s="250"/>
      <c r="WVJ158" s="250"/>
      <c r="WVK158" s="250"/>
      <c r="WVL158" s="250"/>
      <c r="WVM158" s="250"/>
      <c r="WVN158" s="250"/>
      <c r="WVO158" s="250"/>
      <c r="WVP158" s="250"/>
      <c r="WVQ158" s="250"/>
      <c r="WVR158" s="250"/>
      <c r="WVS158" s="250"/>
      <c r="WVT158" s="250"/>
      <c r="WVU158" s="250"/>
      <c r="WVV158" s="250"/>
      <c r="WVW158" s="250"/>
      <c r="WVX158" s="250"/>
      <c r="WVY158" s="250"/>
      <c r="WVZ158" s="250"/>
      <c r="WWA158" s="250"/>
      <c r="WWB158" s="250"/>
      <c r="WWC158" s="250"/>
      <c r="WWD158" s="250"/>
      <c r="WWE158" s="250"/>
      <c r="WWF158" s="250"/>
      <c r="WWG158" s="250"/>
      <c r="WWH158" s="250"/>
      <c r="WWI158" s="250"/>
      <c r="WWJ158" s="250"/>
      <c r="WWK158" s="250"/>
      <c r="WWL158" s="250"/>
      <c r="WWM158" s="250"/>
      <c r="WWN158" s="250"/>
      <c r="WWO158" s="250"/>
      <c r="WWP158" s="250"/>
      <c r="WWQ158" s="250"/>
      <c r="WWR158" s="250"/>
      <c r="WWS158" s="250"/>
      <c r="WWT158" s="250"/>
      <c r="WWU158" s="250"/>
      <c r="WWV158" s="250"/>
      <c r="WWW158" s="250"/>
      <c r="WWX158" s="250"/>
      <c r="WWY158" s="250"/>
      <c r="WWZ158" s="250"/>
      <c r="WXA158" s="250"/>
      <c r="WXB158" s="250"/>
      <c r="WXC158" s="250"/>
      <c r="WXD158" s="250"/>
      <c r="WXE158" s="250"/>
      <c r="WXF158" s="250"/>
      <c r="WXG158" s="250"/>
      <c r="WXH158" s="250"/>
      <c r="WXI158" s="250"/>
      <c r="WXJ158" s="250"/>
      <c r="WXK158" s="250"/>
      <c r="WXL158" s="250"/>
      <c r="WXM158" s="250"/>
      <c r="WXN158" s="250"/>
      <c r="WXO158" s="250"/>
      <c r="WXP158" s="250"/>
      <c r="WXQ158" s="250"/>
      <c r="WXR158" s="250"/>
      <c r="WXS158" s="250"/>
      <c r="WXT158" s="250"/>
      <c r="WXU158" s="250"/>
      <c r="WXV158" s="250"/>
      <c r="WXW158" s="250"/>
      <c r="WXX158" s="250"/>
      <c r="WXY158" s="250"/>
      <c r="WXZ158" s="250"/>
      <c r="WYA158" s="250"/>
      <c r="WYB158" s="250"/>
      <c r="WYC158" s="250"/>
      <c r="WYD158" s="250"/>
      <c r="WYE158" s="250"/>
      <c r="WYF158" s="250"/>
      <c r="WYG158" s="250"/>
      <c r="WYH158" s="250"/>
      <c r="WYI158" s="250"/>
      <c r="WYJ158" s="250"/>
      <c r="WYK158" s="250"/>
      <c r="WYL158" s="250"/>
      <c r="WYM158" s="250"/>
      <c r="WYN158" s="250"/>
      <c r="WYO158" s="250"/>
      <c r="WYP158" s="250"/>
      <c r="WYQ158" s="250"/>
      <c r="WYR158" s="250"/>
      <c r="WYS158" s="250"/>
      <c r="WYT158" s="250"/>
      <c r="WYU158" s="250"/>
      <c r="WYV158" s="250"/>
      <c r="WYW158" s="250"/>
      <c r="WYX158" s="250"/>
      <c r="WYY158" s="250"/>
      <c r="WYZ158" s="250"/>
      <c r="WZA158" s="250"/>
      <c r="WZB158" s="250"/>
      <c r="WZC158" s="250"/>
      <c r="WZD158" s="250"/>
      <c r="WZE158" s="250"/>
      <c r="WZF158" s="250"/>
      <c r="WZG158" s="250"/>
      <c r="WZH158" s="250"/>
      <c r="WZI158" s="250"/>
      <c r="WZJ158" s="250"/>
      <c r="WZK158" s="250"/>
      <c r="WZL158" s="250"/>
      <c r="WZM158" s="250"/>
      <c r="WZN158" s="250"/>
      <c r="WZO158" s="250"/>
      <c r="WZP158" s="250"/>
      <c r="WZQ158" s="250"/>
      <c r="WZR158" s="250"/>
      <c r="WZS158" s="250"/>
      <c r="WZT158" s="250"/>
      <c r="WZU158" s="250"/>
      <c r="WZV158" s="250"/>
      <c r="WZW158" s="250"/>
      <c r="WZX158" s="250"/>
      <c r="WZY158" s="250"/>
      <c r="WZZ158" s="250"/>
      <c r="XAA158" s="250"/>
      <c r="XAB158" s="250"/>
      <c r="XAC158" s="250"/>
      <c r="XAD158" s="250"/>
      <c r="XAE158" s="250"/>
      <c r="XAF158" s="250"/>
      <c r="XAG158" s="250"/>
      <c r="XAH158" s="250"/>
      <c r="XAI158" s="250"/>
      <c r="XAJ158" s="250"/>
      <c r="XAK158" s="250"/>
      <c r="XAL158" s="250"/>
      <c r="XAM158" s="250"/>
      <c r="XAN158" s="250"/>
      <c r="XAO158" s="250"/>
      <c r="XAP158" s="250"/>
      <c r="XAQ158" s="250"/>
      <c r="XAR158" s="250"/>
      <c r="XAS158" s="250"/>
      <c r="XAT158" s="250"/>
      <c r="XAU158" s="250"/>
      <c r="XAV158" s="250"/>
      <c r="XAW158" s="250"/>
      <c r="XAX158" s="250"/>
      <c r="XAY158" s="250"/>
      <c r="XAZ158" s="250"/>
      <c r="XBA158" s="250"/>
      <c r="XBB158" s="250"/>
      <c r="XBC158" s="250"/>
      <c r="XBD158" s="250"/>
      <c r="XBE158" s="250"/>
      <c r="XBF158" s="250"/>
      <c r="XBG158" s="250"/>
      <c r="XBH158" s="250"/>
      <c r="XBI158" s="250"/>
      <c r="XBJ158" s="250"/>
      <c r="XBK158" s="250"/>
      <c r="XBL158" s="250"/>
      <c r="XBM158" s="250"/>
      <c r="XBN158" s="250"/>
      <c r="XBO158" s="250"/>
      <c r="XBP158" s="250"/>
      <c r="XBQ158" s="250"/>
      <c r="XBR158" s="250"/>
      <c r="XBS158" s="250"/>
      <c r="XBT158" s="250"/>
      <c r="XBU158" s="250"/>
      <c r="XBV158" s="250"/>
      <c r="XBW158" s="250"/>
      <c r="XBX158" s="250"/>
      <c r="XBY158" s="250"/>
      <c r="XBZ158" s="250"/>
      <c r="XCA158" s="250"/>
      <c r="XCB158" s="250"/>
      <c r="XCC158" s="250"/>
      <c r="XCD158" s="250"/>
      <c r="XCE158" s="250"/>
      <c r="XCF158" s="250"/>
      <c r="XCG158" s="250"/>
      <c r="XCH158" s="250"/>
      <c r="XCI158" s="250"/>
      <c r="XCJ158" s="250"/>
      <c r="XCK158" s="250"/>
      <c r="XCL158" s="250"/>
      <c r="XCM158" s="250"/>
      <c r="XCN158" s="250"/>
      <c r="XCO158" s="250"/>
      <c r="XCP158" s="250"/>
      <c r="XCQ158" s="250"/>
      <c r="XCR158" s="250"/>
      <c r="XCS158" s="250"/>
      <c r="XCT158" s="250"/>
      <c r="XCU158" s="250"/>
      <c r="XCV158" s="250"/>
      <c r="XCW158" s="250"/>
      <c r="XCX158" s="250"/>
      <c r="XCY158" s="250"/>
      <c r="XCZ158" s="250"/>
      <c r="XDA158" s="250"/>
      <c r="XDB158" s="250"/>
      <c r="XDC158" s="250"/>
      <c r="XDD158" s="250"/>
      <c r="XDE158" s="250"/>
      <c r="XDF158" s="250"/>
      <c r="XDG158" s="250"/>
      <c r="XDH158" s="250"/>
      <c r="XDI158" s="250"/>
      <c r="XDJ158" s="250"/>
      <c r="XDK158" s="250"/>
      <c r="XDL158" s="250"/>
      <c r="XDM158" s="250"/>
      <c r="XDN158" s="250"/>
      <c r="XDO158" s="250"/>
      <c r="XDP158" s="250"/>
      <c r="XDQ158" s="250"/>
      <c r="XDR158" s="250"/>
      <c r="XDS158" s="250"/>
      <c r="XDT158" s="250"/>
      <c r="XDU158" s="250"/>
      <c r="XDV158" s="250"/>
      <c r="XDW158" s="250"/>
      <c r="XDX158" s="250"/>
      <c r="XDY158" s="250"/>
      <c r="XDZ158" s="250"/>
      <c r="XEA158" s="250"/>
      <c r="XEB158" s="250"/>
      <c r="XEC158" s="250"/>
      <c r="XED158" s="250"/>
      <c r="XEE158" s="250"/>
      <c r="XEF158" s="250"/>
      <c r="XEG158" s="250"/>
      <c r="XEH158" s="250"/>
      <c r="XEI158" s="250"/>
      <c r="XEJ158" s="250"/>
      <c r="XEK158" s="250"/>
      <c r="XEL158" s="250"/>
      <c r="XEM158" s="250"/>
      <c r="XEN158" s="250"/>
      <c r="XEO158" s="250"/>
      <c r="XEP158" s="250"/>
      <c r="XEQ158" s="250"/>
      <c r="XER158" s="250"/>
      <c r="XES158" s="250"/>
      <c r="XET158" s="250"/>
      <c r="XEU158" s="250"/>
      <c r="XEV158" s="250"/>
      <c r="XEW158" s="250"/>
      <c r="XEX158" s="250"/>
      <c r="XEY158" s="250"/>
      <c r="XEZ158" s="250"/>
      <c r="XFA158" s="250"/>
      <c r="XFB158" s="250"/>
      <c r="XFC158" s="250"/>
    </row>
    <row r="159" spans="1:16383" ht="12" customHeight="1" x14ac:dyDescent="0.2">
      <c r="A159" s="229"/>
      <c r="B159" s="250"/>
      <c r="C159" s="303"/>
      <c r="D159" s="250"/>
      <c r="E159" s="250"/>
      <c r="F159" s="250"/>
      <c r="G159" s="250"/>
      <c r="H159" s="250"/>
      <c r="I159" s="250"/>
      <c r="J159" s="250"/>
      <c r="K159" s="250"/>
      <c r="L159" s="250"/>
      <c r="M159" s="319"/>
      <c r="N159" s="319"/>
      <c r="O159" s="319"/>
      <c r="P159" s="319"/>
      <c r="Q159" s="319"/>
      <c r="R159" s="319"/>
      <c r="S159" s="319"/>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EB159" s="250"/>
      <c r="EC159" s="250"/>
      <c r="ED159" s="250"/>
      <c r="EE159" s="250"/>
      <c r="EF159" s="250"/>
      <c r="EG159" s="250"/>
      <c r="EH159" s="250"/>
      <c r="EI159" s="250"/>
      <c r="EJ159" s="250"/>
      <c r="EK159" s="250"/>
      <c r="EL159" s="250"/>
      <c r="EM159" s="250"/>
      <c r="EN159" s="250"/>
      <c r="EO159" s="250"/>
      <c r="EP159" s="250"/>
      <c r="EQ159" s="250"/>
      <c r="ER159" s="250"/>
      <c r="ES159" s="250"/>
      <c r="ET159" s="250"/>
      <c r="EU159" s="250"/>
      <c r="EV159" s="250"/>
      <c r="EW159" s="250"/>
      <c r="EX159" s="250"/>
      <c r="EY159" s="250"/>
      <c r="EZ159" s="250"/>
      <c r="FA159" s="250"/>
      <c r="FB159" s="250"/>
      <c r="FC159" s="250"/>
      <c r="FD159" s="250"/>
      <c r="FE159" s="250"/>
      <c r="FF159" s="250"/>
      <c r="FG159" s="250"/>
      <c r="FH159" s="250"/>
      <c r="FI159" s="250"/>
      <c r="FJ159" s="250"/>
      <c r="FK159" s="250"/>
      <c r="FL159" s="250"/>
      <c r="FM159" s="250"/>
      <c r="FN159" s="250"/>
      <c r="FO159" s="250"/>
      <c r="FP159" s="250"/>
      <c r="FQ159" s="250"/>
      <c r="FR159" s="250"/>
      <c r="FS159" s="250"/>
      <c r="FT159" s="250"/>
      <c r="FU159" s="250"/>
      <c r="FV159" s="250"/>
      <c r="FW159" s="250"/>
      <c r="FX159" s="250"/>
      <c r="FY159" s="250"/>
      <c r="FZ159" s="250"/>
      <c r="GA159" s="250"/>
      <c r="GB159" s="250"/>
      <c r="GC159" s="250"/>
      <c r="GD159" s="250"/>
      <c r="GE159" s="250"/>
      <c r="GF159" s="250"/>
      <c r="GG159" s="250"/>
      <c r="GH159" s="250"/>
      <c r="GI159" s="250"/>
      <c r="GJ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HN159" s="250"/>
      <c r="HO159" s="250"/>
      <c r="HP159" s="250"/>
      <c r="HQ159" s="250"/>
      <c r="HR159" s="250"/>
      <c r="HS159" s="250"/>
      <c r="HT159" s="250"/>
      <c r="HU159" s="250"/>
      <c r="HV159" s="250"/>
      <c r="HW159" s="250"/>
      <c r="HX159" s="250"/>
      <c r="HY159" s="250"/>
      <c r="HZ159" s="250"/>
      <c r="IA159" s="250"/>
      <c r="IB159" s="250"/>
      <c r="IC159" s="250"/>
      <c r="ID159" s="250"/>
      <c r="IE159" s="250"/>
      <c r="IF159" s="250"/>
      <c r="IG159" s="250"/>
      <c r="IH159" s="250"/>
      <c r="II159" s="250"/>
      <c r="IJ159" s="250"/>
      <c r="IK159" s="250"/>
      <c r="IL159" s="250"/>
      <c r="IM159" s="250"/>
      <c r="IN159" s="250"/>
      <c r="IO159" s="250"/>
      <c r="IP159" s="250"/>
      <c r="IQ159" s="250"/>
      <c r="IR159" s="250"/>
      <c r="IS159" s="250"/>
      <c r="IT159" s="250"/>
      <c r="IU159" s="250"/>
      <c r="IV159" s="250"/>
      <c r="IW159" s="250"/>
      <c r="IX159" s="250"/>
      <c r="IY159" s="250"/>
      <c r="IZ159" s="250"/>
      <c r="JA159" s="250"/>
      <c r="JB159" s="250"/>
      <c r="JC159" s="250"/>
      <c r="JD159" s="250"/>
      <c r="JE159" s="250"/>
      <c r="JF159" s="250"/>
      <c r="JG159" s="250"/>
      <c r="JH159" s="250"/>
      <c r="JI159" s="250"/>
      <c r="JJ159" s="250"/>
      <c r="JK159" s="250"/>
      <c r="JL159" s="250"/>
      <c r="JM159" s="250"/>
      <c r="JN159" s="250"/>
      <c r="JO159" s="250"/>
      <c r="JP159" s="250"/>
      <c r="JQ159" s="250"/>
      <c r="JR159" s="250"/>
      <c r="JS159" s="250"/>
      <c r="JT159" s="250"/>
      <c r="JU159" s="250"/>
      <c r="JV159" s="250"/>
      <c r="JW159" s="250"/>
      <c r="JX159" s="250"/>
      <c r="JY159" s="250"/>
      <c r="JZ159" s="250"/>
      <c r="KA159" s="250"/>
      <c r="KB159" s="250"/>
      <c r="KC159" s="250"/>
      <c r="KD159" s="250"/>
      <c r="KE159" s="250"/>
      <c r="KF159" s="250"/>
      <c r="KG159" s="250"/>
      <c r="KH159" s="250"/>
      <c r="KI159" s="250"/>
      <c r="KJ159" s="250"/>
      <c r="KK159" s="250"/>
      <c r="KL159" s="250"/>
      <c r="KM159" s="250"/>
      <c r="KN159" s="250"/>
      <c r="KO159" s="250"/>
      <c r="KP159" s="250"/>
      <c r="KQ159" s="250"/>
      <c r="KR159" s="250"/>
      <c r="KS159" s="250"/>
      <c r="KT159" s="250"/>
      <c r="KU159" s="250"/>
      <c r="KV159" s="250"/>
      <c r="KW159" s="250"/>
      <c r="KX159" s="250"/>
      <c r="KY159" s="250"/>
      <c r="KZ159" s="250"/>
      <c r="LA159" s="250"/>
      <c r="LB159" s="250"/>
      <c r="LC159" s="250"/>
      <c r="LD159" s="250"/>
      <c r="LE159" s="250"/>
      <c r="LF159" s="250"/>
      <c r="LG159" s="250"/>
      <c r="LH159" s="250"/>
      <c r="LI159" s="250"/>
      <c r="LJ159" s="250"/>
      <c r="LK159" s="250"/>
      <c r="LL159" s="250"/>
      <c r="LM159" s="250"/>
      <c r="LN159" s="250"/>
      <c r="LO159" s="250"/>
      <c r="LP159" s="250"/>
      <c r="LQ159" s="250"/>
      <c r="LR159" s="250"/>
      <c r="LS159" s="250"/>
      <c r="LT159" s="250"/>
      <c r="LU159" s="250"/>
      <c r="LV159" s="250"/>
      <c r="LW159" s="250"/>
      <c r="LX159" s="250"/>
      <c r="LY159" s="250"/>
      <c r="LZ159" s="250"/>
      <c r="MA159" s="250"/>
      <c r="MB159" s="250"/>
      <c r="MC159" s="250"/>
      <c r="MD159" s="250"/>
      <c r="ME159" s="250"/>
      <c r="MF159" s="250"/>
      <c r="MG159" s="250"/>
      <c r="MH159" s="250"/>
      <c r="MI159" s="250"/>
      <c r="MJ159" s="250"/>
      <c r="MK159" s="250"/>
      <c r="ML159" s="250"/>
      <c r="MM159" s="250"/>
      <c r="MN159" s="250"/>
      <c r="MO159" s="250"/>
      <c r="MP159" s="250"/>
      <c r="MQ159" s="250"/>
      <c r="MR159" s="250"/>
      <c r="MS159" s="250"/>
      <c r="MT159" s="250"/>
      <c r="MU159" s="250"/>
      <c r="MV159" s="250"/>
      <c r="MW159" s="250"/>
      <c r="MX159" s="250"/>
      <c r="MY159" s="250"/>
      <c r="MZ159" s="250"/>
      <c r="NA159" s="250"/>
      <c r="NB159" s="250"/>
      <c r="NC159" s="250"/>
      <c r="ND159" s="250"/>
      <c r="NE159" s="250"/>
      <c r="NF159" s="250"/>
      <c r="NG159" s="250"/>
      <c r="NH159" s="250"/>
      <c r="NI159" s="250"/>
      <c r="NJ159" s="250"/>
      <c r="NK159" s="250"/>
      <c r="NL159" s="250"/>
      <c r="NM159" s="250"/>
      <c r="NN159" s="250"/>
      <c r="NO159" s="250"/>
      <c r="NP159" s="250"/>
      <c r="NQ159" s="250"/>
      <c r="NR159" s="250"/>
      <c r="NS159" s="250"/>
      <c r="NT159" s="250"/>
      <c r="NU159" s="250"/>
      <c r="NV159" s="250"/>
      <c r="NW159" s="250"/>
      <c r="NX159" s="250"/>
      <c r="NY159" s="250"/>
      <c r="NZ159" s="250"/>
      <c r="OA159" s="250"/>
      <c r="OB159" s="250"/>
      <c r="OC159" s="250"/>
      <c r="OD159" s="250"/>
      <c r="OE159" s="250"/>
      <c r="OF159" s="250"/>
      <c r="OG159" s="250"/>
      <c r="OH159" s="250"/>
      <c r="OI159" s="250"/>
      <c r="OJ159" s="250"/>
      <c r="OK159" s="250"/>
      <c r="OL159" s="250"/>
      <c r="OM159" s="250"/>
      <c r="ON159" s="250"/>
      <c r="OO159" s="250"/>
      <c r="OP159" s="250"/>
      <c r="OQ159" s="250"/>
      <c r="OR159" s="250"/>
      <c r="OS159" s="250"/>
      <c r="OT159" s="250"/>
      <c r="OU159" s="250"/>
      <c r="OV159" s="250"/>
      <c r="OW159" s="250"/>
      <c r="OX159" s="250"/>
      <c r="OY159" s="250"/>
      <c r="OZ159" s="250"/>
      <c r="PA159" s="250"/>
      <c r="PB159" s="250"/>
      <c r="PC159" s="250"/>
      <c r="PD159" s="250"/>
      <c r="PE159" s="250"/>
      <c r="PF159" s="250"/>
      <c r="PG159" s="250"/>
      <c r="PH159" s="250"/>
      <c r="PI159" s="250"/>
      <c r="PJ159" s="250"/>
      <c r="PK159" s="250"/>
      <c r="PL159" s="250"/>
      <c r="PM159" s="250"/>
      <c r="PN159" s="250"/>
      <c r="PO159" s="250"/>
      <c r="PP159" s="250"/>
      <c r="PQ159" s="250"/>
      <c r="PR159" s="250"/>
      <c r="PS159" s="250"/>
      <c r="PT159" s="250"/>
      <c r="PU159" s="250"/>
      <c r="PV159" s="250"/>
      <c r="PW159" s="250"/>
      <c r="PX159" s="250"/>
      <c r="PY159" s="250"/>
      <c r="PZ159" s="250"/>
      <c r="QA159" s="250"/>
      <c r="QB159" s="250"/>
      <c r="QC159" s="250"/>
      <c r="QD159" s="250"/>
      <c r="QE159" s="250"/>
      <c r="QF159" s="250"/>
      <c r="QG159" s="250"/>
      <c r="QH159" s="250"/>
      <c r="QI159" s="250"/>
      <c r="QJ159" s="250"/>
      <c r="QK159" s="250"/>
      <c r="QL159" s="250"/>
      <c r="QM159" s="250"/>
      <c r="QN159" s="250"/>
      <c r="QO159" s="250"/>
      <c r="QP159" s="250"/>
      <c r="QQ159" s="250"/>
      <c r="QR159" s="250"/>
      <c r="QS159" s="250"/>
      <c r="QT159" s="250"/>
      <c r="QU159" s="250"/>
      <c r="QV159" s="250"/>
      <c r="QW159" s="250"/>
      <c r="QX159" s="250"/>
      <c r="QY159" s="250"/>
      <c r="QZ159" s="250"/>
      <c r="RA159" s="250"/>
      <c r="RB159" s="250"/>
      <c r="RC159" s="250"/>
      <c r="RD159" s="250"/>
      <c r="RE159" s="250"/>
      <c r="RF159" s="250"/>
      <c r="RG159" s="250"/>
      <c r="RH159" s="250"/>
      <c r="RI159" s="250"/>
      <c r="RJ159" s="250"/>
      <c r="RK159" s="250"/>
      <c r="RL159" s="250"/>
      <c r="RM159" s="250"/>
      <c r="RN159" s="250"/>
      <c r="RO159" s="250"/>
      <c r="RP159" s="250"/>
      <c r="RQ159" s="250"/>
      <c r="RR159" s="250"/>
      <c r="RS159" s="250"/>
      <c r="RT159" s="250"/>
      <c r="RU159" s="250"/>
      <c r="RV159" s="250"/>
      <c r="RW159" s="250"/>
      <c r="RX159" s="250"/>
      <c r="RY159" s="250"/>
      <c r="RZ159" s="250"/>
      <c r="SA159" s="250"/>
      <c r="SB159" s="250"/>
      <c r="SC159" s="250"/>
      <c r="SD159" s="250"/>
      <c r="SE159" s="250"/>
      <c r="SF159" s="250"/>
      <c r="SG159" s="250"/>
      <c r="SH159" s="250"/>
      <c r="SI159" s="250"/>
      <c r="SJ159" s="250"/>
      <c r="SK159" s="250"/>
      <c r="SL159" s="250"/>
      <c r="SM159" s="250"/>
      <c r="SN159" s="250"/>
      <c r="SO159" s="250"/>
      <c r="SP159" s="250"/>
      <c r="SQ159" s="250"/>
      <c r="SR159" s="250"/>
      <c r="SS159" s="250"/>
      <c r="ST159" s="250"/>
      <c r="SU159" s="250"/>
      <c r="SV159" s="250"/>
      <c r="SW159" s="250"/>
      <c r="SX159" s="250"/>
      <c r="SY159" s="250"/>
      <c r="SZ159" s="250"/>
      <c r="TA159" s="250"/>
      <c r="TB159" s="250"/>
      <c r="TC159" s="250"/>
      <c r="TD159" s="250"/>
      <c r="TE159" s="250"/>
      <c r="TF159" s="250"/>
      <c r="TG159" s="250"/>
      <c r="TH159" s="250"/>
      <c r="TI159" s="250"/>
      <c r="TJ159" s="250"/>
      <c r="TK159" s="250"/>
      <c r="TL159" s="250"/>
      <c r="TM159" s="250"/>
      <c r="TN159" s="250"/>
      <c r="TO159" s="250"/>
      <c r="TP159" s="250"/>
      <c r="TQ159" s="250"/>
      <c r="TR159" s="250"/>
      <c r="TS159" s="250"/>
      <c r="TT159" s="250"/>
      <c r="TU159" s="250"/>
      <c r="TV159" s="250"/>
      <c r="TW159" s="250"/>
      <c r="TX159" s="250"/>
      <c r="TY159" s="250"/>
      <c r="TZ159" s="250"/>
      <c r="UA159" s="250"/>
      <c r="UB159" s="250"/>
      <c r="UC159" s="250"/>
      <c r="UD159" s="250"/>
      <c r="UE159" s="250"/>
      <c r="UF159" s="250"/>
      <c r="UG159" s="250"/>
      <c r="UH159" s="250"/>
      <c r="UI159" s="250"/>
      <c r="UJ159" s="250"/>
      <c r="UK159" s="250"/>
      <c r="UL159" s="250"/>
      <c r="UM159" s="250"/>
      <c r="UN159" s="250"/>
      <c r="UO159" s="250"/>
      <c r="UP159" s="250"/>
      <c r="UQ159" s="250"/>
      <c r="UR159" s="250"/>
      <c r="US159" s="250"/>
      <c r="UT159" s="250"/>
      <c r="UU159" s="250"/>
      <c r="UV159" s="250"/>
      <c r="UW159" s="250"/>
      <c r="UX159" s="250"/>
      <c r="UY159" s="250"/>
      <c r="UZ159" s="250"/>
      <c r="VA159" s="250"/>
      <c r="VB159" s="250"/>
      <c r="VC159" s="250"/>
      <c r="VD159" s="250"/>
      <c r="VE159" s="250"/>
      <c r="VF159" s="250"/>
      <c r="VG159" s="250"/>
      <c r="VH159" s="250"/>
      <c r="VI159" s="250"/>
      <c r="VJ159" s="250"/>
      <c r="VK159" s="250"/>
      <c r="VL159" s="250"/>
      <c r="VM159" s="250"/>
      <c r="VN159" s="250"/>
      <c r="VO159" s="250"/>
      <c r="VP159" s="250"/>
      <c r="VQ159" s="250"/>
      <c r="VR159" s="250"/>
      <c r="VS159" s="250"/>
      <c r="VT159" s="250"/>
      <c r="VU159" s="250"/>
      <c r="VV159" s="250"/>
      <c r="VW159" s="250"/>
      <c r="VX159" s="250"/>
      <c r="VY159" s="250"/>
      <c r="VZ159" s="250"/>
      <c r="WA159" s="250"/>
      <c r="WB159" s="250"/>
      <c r="WC159" s="250"/>
      <c r="WD159" s="250"/>
      <c r="WE159" s="250"/>
      <c r="WF159" s="250"/>
      <c r="WG159" s="250"/>
      <c r="WH159" s="250"/>
      <c r="WI159" s="250"/>
      <c r="WJ159" s="250"/>
      <c r="WK159" s="250"/>
      <c r="WL159" s="250"/>
      <c r="WM159" s="250"/>
      <c r="WN159" s="250"/>
      <c r="WO159" s="250"/>
      <c r="WP159" s="250"/>
      <c r="WQ159" s="250"/>
      <c r="WR159" s="250"/>
      <c r="WS159" s="250"/>
      <c r="WT159" s="250"/>
      <c r="WU159" s="250"/>
      <c r="WV159" s="250"/>
      <c r="WW159" s="250"/>
      <c r="WX159" s="250"/>
      <c r="WY159" s="250"/>
      <c r="WZ159" s="250"/>
      <c r="XA159" s="250"/>
      <c r="XB159" s="250"/>
      <c r="XC159" s="250"/>
      <c r="XD159" s="250"/>
      <c r="XE159" s="250"/>
      <c r="XF159" s="250"/>
      <c r="XG159" s="250"/>
      <c r="XH159" s="250"/>
      <c r="XI159" s="250"/>
      <c r="XJ159" s="250"/>
      <c r="XK159" s="250"/>
      <c r="XL159" s="250"/>
      <c r="XM159" s="250"/>
      <c r="XN159" s="250"/>
      <c r="XO159" s="250"/>
      <c r="XP159" s="250"/>
      <c r="XQ159" s="250"/>
      <c r="XR159" s="250"/>
      <c r="XS159" s="250"/>
      <c r="XT159" s="250"/>
      <c r="XU159" s="250"/>
      <c r="XV159" s="250"/>
      <c r="XW159" s="250"/>
      <c r="XX159" s="250"/>
      <c r="XY159" s="250"/>
      <c r="XZ159" s="250"/>
      <c r="YA159" s="250"/>
      <c r="YB159" s="250"/>
      <c r="YC159" s="250"/>
      <c r="YD159" s="250"/>
      <c r="YE159" s="250"/>
      <c r="YF159" s="250"/>
      <c r="YG159" s="250"/>
      <c r="YH159" s="250"/>
      <c r="YI159" s="250"/>
      <c r="YJ159" s="250"/>
      <c r="YK159" s="250"/>
      <c r="YL159" s="250"/>
      <c r="YM159" s="250"/>
      <c r="YN159" s="250"/>
      <c r="YO159" s="250"/>
      <c r="YP159" s="250"/>
      <c r="YQ159" s="250"/>
      <c r="YR159" s="250"/>
      <c r="YS159" s="250"/>
      <c r="YT159" s="250"/>
      <c r="YU159" s="250"/>
      <c r="YV159" s="250"/>
      <c r="YW159" s="250"/>
      <c r="YX159" s="250"/>
      <c r="YY159" s="250"/>
      <c r="YZ159" s="250"/>
      <c r="ZA159" s="250"/>
      <c r="ZB159" s="250"/>
      <c r="ZC159" s="250"/>
      <c r="ZD159" s="250"/>
      <c r="ZE159" s="250"/>
      <c r="ZF159" s="250"/>
      <c r="ZG159" s="250"/>
      <c r="ZH159" s="250"/>
      <c r="ZI159" s="250"/>
      <c r="ZJ159" s="250"/>
      <c r="ZK159" s="250"/>
      <c r="ZL159" s="250"/>
      <c r="ZM159" s="250"/>
      <c r="ZN159" s="250"/>
      <c r="ZO159" s="250"/>
      <c r="ZP159" s="250"/>
      <c r="ZQ159" s="250"/>
      <c r="ZR159" s="250"/>
      <c r="ZS159" s="250"/>
      <c r="ZT159" s="250"/>
      <c r="ZU159" s="250"/>
      <c r="ZV159" s="250"/>
      <c r="ZW159" s="250"/>
      <c r="ZX159" s="250"/>
      <c r="ZY159" s="250"/>
      <c r="ZZ159" s="250"/>
      <c r="AAA159" s="250"/>
      <c r="AAB159" s="250"/>
      <c r="AAC159" s="250"/>
      <c r="AAD159" s="250"/>
      <c r="AAE159" s="250"/>
      <c r="AAF159" s="250"/>
      <c r="AAG159" s="250"/>
      <c r="AAH159" s="250"/>
      <c r="AAI159" s="250"/>
      <c r="AAJ159" s="250"/>
      <c r="AAK159" s="250"/>
      <c r="AAL159" s="250"/>
      <c r="AAM159" s="250"/>
      <c r="AAN159" s="250"/>
      <c r="AAO159" s="250"/>
      <c r="AAP159" s="250"/>
      <c r="AAQ159" s="250"/>
      <c r="AAR159" s="250"/>
      <c r="AAS159" s="250"/>
      <c r="AAT159" s="250"/>
      <c r="AAU159" s="250"/>
      <c r="AAV159" s="250"/>
      <c r="AAW159" s="250"/>
      <c r="AAX159" s="250"/>
      <c r="AAY159" s="250"/>
      <c r="AAZ159" s="250"/>
      <c r="ABA159" s="250"/>
      <c r="ABB159" s="250"/>
      <c r="ABC159" s="250"/>
      <c r="ABD159" s="250"/>
      <c r="ABE159" s="250"/>
      <c r="ABF159" s="250"/>
      <c r="ABG159" s="250"/>
      <c r="ABH159" s="250"/>
      <c r="ABI159" s="250"/>
      <c r="ABJ159" s="250"/>
      <c r="ABK159" s="250"/>
      <c r="ABL159" s="250"/>
      <c r="ABM159" s="250"/>
      <c r="ABN159" s="250"/>
      <c r="ABO159" s="250"/>
      <c r="ABP159" s="250"/>
      <c r="ABQ159" s="250"/>
      <c r="ABR159" s="250"/>
      <c r="ABS159" s="250"/>
      <c r="ABT159" s="250"/>
      <c r="ABU159" s="250"/>
      <c r="ABV159" s="250"/>
      <c r="ABW159" s="250"/>
      <c r="ABX159" s="250"/>
      <c r="ABY159" s="250"/>
      <c r="ABZ159" s="250"/>
      <c r="ACA159" s="250"/>
      <c r="ACB159" s="250"/>
      <c r="ACC159" s="250"/>
      <c r="ACD159" s="250"/>
      <c r="ACE159" s="250"/>
      <c r="ACF159" s="250"/>
      <c r="ACG159" s="250"/>
      <c r="ACH159" s="250"/>
      <c r="ACI159" s="250"/>
      <c r="ACJ159" s="250"/>
      <c r="ACK159" s="250"/>
      <c r="ACL159" s="250"/>
      <c r="ACM159" s="250"/>
      <c r="ACN159" s="250"/>
      <c r="ACO159" s="250"/>
      <c r="ACP159" s="250"/>
      <c r="ACQ159" s="250"/>
      <c r="ACR159" s="250"/>
      <c r="ACS159" s="250"/>
      <c r="ACT159" s="250"/>
      <c r="ACU159" s="250"/>
      <c r="ACV159" s="250"/>
      <c r="ACW159" s="250"/>
      <c r="ACX159" s="250"/>
      <c r="ACY159" s="250"/>
      <c r="ACZ159" s="250"/>
      <c r="ADA159" s="250"/>
      <c r="ADB159" s="250"/>
      <c r="ADC159" s="250"/>
      <c r="ADD159" s="250"/>
      <c r="ADE159" s="250"/>
      <c r="ADF159" s="250"/>
      <c r="ADG159" s="250"/>
      <c r="ADH159" s="250"/>
      <c r="ADI159" s="250"/>
      <c r="ADJ159" s="250"/>
      <c r="ADK159" s="250"/>
      <c r="ADL159" s="250"/>
      <c r="ADM159" s="250"/>
      <c r="ADN159" s="250"/>
      <c r="ADO159" s="250"/>
      <c r="ADP159" s="250"/>
      <c r="ADQ159" s="250"/>
      <c r="ADR159" s="250"/>
      <c r="ADS159" s="250"/>
      <c r="ADT159" s="250"/>
      <c r="ADU159" s="250"/>
      <c r="ADV159" s="250"/>
      <c r="ADW159" s="250"/>
      <c r="ADX159" s="250"/>
      <c r="ADY159" s="250"/>
      <c r="ADZ159" s="250"/>
      <c r="AEA159" s="250"/>
      <c r="AEB159" s="250"/>
      <c r="AEC159" s="250"/>
      <c r="AED159" s="250"/>
      <c r="AEE159" s="250"/>
      <c r="AEF159" s="250"/>
      <c r="AEG159" s="250"/>
      <c r="AEH159" s="250"/>
      <c r="AEI159" s="250"/>
      <c r="AEJ159" s="250"/>
      <c r="AEK159" s="250"/>
      <c r="AEL159" s="250"/>
      <c r="AEM159" s="250"/>
      <c r="AEN159" s="250"/>
      <c r="AEO159" s="250"/>
      <c r="AEP159" s="250"/>
      <c r="AEQ159" s="250"/>
      <c r="AER159" s="250"/>
      <c r="AES159" s="250"/>
      <c r="AET159" s="250"/>
      <c r="AEU159" s="250"/>
      <c r="AEV159" s="250"/>
      <c r="AEW159" s="250"/>
      <c r="AEX159" s="250"/>
      <c r="AEY159" s="250"/>
      <c r="AEZ159" s="250"/>
      <c r="AFA159" s="250"/>
      <c r="AFB159" s="250"/>
      <c r="AFC159" s="250"/>
      <c r="AFD159" s="250"/>
      <c r="AFE159" s="250"/>
      <c r="AFF159" s="250"/>
      <c r="AFG159" s="250"/>
      <c r="AFH159" s="250"/>
      <c r="AFI159" s="250"/>
      <c r="AFJ159" s="250"/>
      <c r="AFK159" s="250"/>
      <c r="AFL159" s="250"/>
      <c r="AFM159" s="250"/>
      <c r="AFN159" s="250"/>
      <c r="AFO159" s="250"/>
      <c r="AFP159" s="250"/>
      <c r="AFQ159" s="250"/>
      <c r="AFR159" s="250"/>
      <c r="AFS159" s="250"/>
      <c r="AFT159" s="250"/>
      <c r="AFU159" s="250"/>
      <c r="AFV159" s="250"/>
      <c r="AFW159" s="250"/>
      <c r="AFX159" s="250"/>
      <c r="AFY159" s="250"/>
      <c r="AFZ159" s="250"/>
      <c r="AGA159" s="250"/>
      <c r="AGB159" s="250"/>
      <c r="AGC159" s="250"/>
      <c r="AGD159" s="250"/>
      <c r="AGE159" s="250"/>
      <c r="AGF159" s="250"/>
      <c r="AGG159" s="250"/>
      <c r="AGH159" s="250"/>
      <c r="AGI159" s="250"/>
      <c r="AGJ159" s="250"/>
      <c r="AGK159" s="250"/>
      <c r="AGL159" s="250"/>
      <c r="AGM159" s="250"/>
      <c r="AGN159" s="250"/>
      <c r="AGO159" s="250"/>
      <c r="AGP159" s="250"/>
      <c r="AGQ159" s="250"/>
      <c r="AGR159" s="250"/>
      <c r="AGS159" s="250"/>
      <c r="AGT159" s="250"/>
      <c r="AGU159" s="250"/>
      <c r="AGV159" s="250"/>
      <c r="AGW159" s="250"/>
      <c r="AGX159" s="250"/>
      <c r="AGY159" s="250"/>
      <c r="AGZ159" s="250"/>
      <c r="AHA159" s="250"/>
      <c r="AHB159" s="250"/>
      <c r="AHC159" s="250"/>
      <c r="AHD159" s="250"/>
      <c r="AHE159" s="250"/>
      <c r="AHF159" s="250"/>
      <c r="AHG159" s="250"/>
      <c r="AHH159" s="250"/>
      <c r="AHI159" s="250"/>
      <c r="AHJ159" s="250"/>
      <c r="AHK159" s="250"/>
      <c r="AHL159" s="250"/>
      <c r="AHM159" s="250"/>
      <c r="AHN159" s="250"/>
      <c r="AHO159" s="250"/>
      <c r="AHP159" s="250"/>
      <c r="AHQ159" s="250"/>
      <c r="AHR159" s="250"/>
      <c r="AHS159" s="250"/>
      <c r="AHT159" s="250"/>
      <c r="AHU159" s="250"/>
      <c r="AHV159" s="250"/>
      <c r="AHW159" s="250"/>
      <c r="AHX159" s="250"/>
      <c r="AHY159" s="250"/>
      <c r="AHZ159" s="250"/>
      <c r="AIA159" s="250"/>
      <c r="AIB159" s="250"/>
      <c r="AIC159" s="250"/>
      <c r="AID159" s="250"/>
      <c r="AIE159" s="250"/>
      <c r="AIF159" s="250"/>
      <c r="AIG159" s="250"/>
      <c r="AIH159" s="250"/>
      <c r="AII159" s="250"/>
      <c r="AIJ159" s="250"/>
      <c r="AIK159" s="250"/>
      <c r="AIL159" s="250"/>
      <c r="AIM159" s="250"/>
      <c r="AIN159" s="250"/>
      <c r="AIO159" s="250"/>
      <c r="AIP159" s="250"/>
      <c r="AIQ159" s="250"/>
      <c r="AIR159" s="250"/>
      <c r="AIS159" s="250"/>
      <c r="AIT159" s="250"/>
      <c r="AIU159" s="250"/>
      <c r="AIV159" s="250"/>
      <c r="AIW159" s="250"/>
      <c r="AIX159" s="250"/>
      <c r="AIY159" s="250"/>
      <c r="AIZ159" s="250"/>
      <c r="AJA159" s="250"/>
      <c r="AJB159" s="250"/>
      <c r="AJC159" s="250"/>
      <c r="AJD159" s="250"/>
      <c r="AJE159" s="250"/>
      <c r="AJF159" s="250"/>
      <c r="AJG159" s="250"/>
      <c r="AJH159" s="250"/>
      <c r="AJI159" s="250"/>
      <c r="AJJ159" s="250"/>
      <c r="AJK159" s="250"/>
      <c r="AJL159" s="250"/>
      <c r="AJM159" s="250"/>
      <c r="AJN159" s="250"/>
      <c r="AJO159" s="250"/>
      <c r="AJP159" s="250"/>
      <c r="AJQ159" s="250"/>
      <c r="AJR159" s="250"/>
      <c r="AJS159" s="250"/>
      <c r="AJT159" s="250"/>
      <c r="AJU159" s="250"/>
      <c r="AJV159" s="250"/>
      <c r="AJW159" s="250"/>
      <c r="AJX159" s="250"/>
      <c r="AJY159" s="250"/>
      <c r="AJZ159" s="250"/>
      <c r="AKA159" s="250"/>
      <c r="AKB159" s="250"/>
      <c r="AKC159" s="250"/>
      <c r="AKD159" s="250"/>
      <c r="AKE159" s="250"/>
      <c r="AKF159" s="250"/>
      <c r="AKG159" s="250"/>
      <c r="AKH159" s="250"/>
      <c r="AKI159" s="250"/>
      <c r="AKJ159" s="250"/>
      <c r="AKK159" s="250"/>
      <c r="AKL159" s="250"/>
      <c r="AKM159" s="250"/>
      <c r="AKN159" s="250"/>
      <c r="AKO159" s="250"/>
      <c r="AKP159" s="250"/>
      <c r="AKQ159" s="250"/>
      <c r="AKR159" s="250"/>
      <c r="AKS159" s="250"/>
      <c r="AKT159" s="250"/>
      <c r="AKU159" s="250"/>
      <c r="AKV159" s="250"/>
      <c r="AKW159" s="250"/>
      <c r="AKX159" s="250"/>
      <c r="AKY159" s="250"/>
      <c r="AKZ159" s="250"/>
      <c r="ALA159" s="250"/>
      <c r="ALB159" s="250"/>
      <c r="ALC159" s="250"/>
      <c r="ALD159" s="250"/>
      <c r="ALE159" s="250"/>
      <c r="ALF159" s="250"/>
      <c r="ALG159" s="250"/>
      <c r="ALH159" s="250"/>
      <c r="ALI159" s="250"/>
      <c r="ALJ159" s="250"/>
      <c r="ALK159" s="250"/>
      <c r="ALL159" s="250"/>
      <c r="ALM159" s="250"/>
      <c r="ALN159" s="250"/>
      <c r="ALO159" s="250"/>
      <c r="ALP159" s="250"/>
      <c r="ALQ159" s="250"/>
      <c r="ALR159" s="250"/>
      <c r="ALS159" s="250"/>
      <c r="ALT159" s="250"/>
      <c r="ALU159" s="250"/>
      <c r="ALV159" s="250"/>
      <c r="ALW159" s="250"/>
      <c r="ALX159" s="250"/>
      <c r="ALY159" s="250"/>
      <c r="ALZ159" s="250"/>
      <c r="AMA159" s="250"/>
      <c r="AMB159" s="250"/>
      <c r="AMC159" s="250"/>
      <c r="AMD159" s="250"/>
      <c r="AME159" s="250"/>
      <c r="AMF159" s="250"/>
      <c r="AMG159" s="250"/>
      <c r="AMH159" s="250"/>
      <c r="AMI159" s="250"/>
      <c r="AMJ159" s="250"/>
      <c r="AMK159" s="250"/>
      <c r="AML159" s="250"/>
      <c r="AMM159" s="250"/>
      <c r="AMN159" s="250"/>
      <c r="AMO159" s="250"/>
      <c r="AMP159" s="250"/>
      <c r="AMQ159" s="250"/>
      <c r="AMR159" s="250"/>
      <c r="AMS159" s="250"/>
      <c r="AMT159" s="250"/>
      <c r="AMU159" s="250"/>
      <c r="AMV159" s="250"/>
      <c r="AMW159" s="250"/>
      <c r="AMX159" s="250"/>
      <c r="AMY159" s="250"/>
      <c r="AMZ159" s="250"/>
      <c r="ANA159" s="250"/>
      <c r="ANB159" s="250"/>
      <c r="ANC159" s="250"/>
      <c r="AND159" s="250"/>
      <c r="ANE159" s="250"/>
      <c r="ANF159" s="250"/>
      <c r="ANG159" s="250"/>
      <c r="ANH159" s="250"/>
      <c r="ANI159" s="250"/>
      <c r="ANJ159" s="250"/>
      <c r="ANK159" s="250"/>
      <c r="ANL159" s="250"/>
      <c r="ANM159" s="250"/>
      <c r="ANN159" s="250"/>
      <c r="ANO159" s="250"/>
      <c r="ANP159" s="250"/>
      <c r="ANQ159" s="250"/>
      <c r="ANR159" s="250"/>
      <c r="ANS159" s="250"/>
      <c r="ANT159" s="250"/>
      <c r="ANU159" s="250"/>
      <c r="ANV159" s="250"/>
      <c r="ANW159" s="250"/>
      <c r="ANX159" s="250"/>
      <c r="ANY159" s="250"/>
      <c r="ANZ159" s="250"/>
      <c r="AOA159" s="250"/>
      <c r="AOB159" s="250"/>
      <c r="AOC159" s="250"/>
      <c r="AOD159" s="250"/>
      <c r="AOE159" s="250"/>
      <c r="AOF159" s="250"/>
      <c r="AOG159" s="250"/>
      <c r="AOH159" s="250"/>
      <c r="AOI159" s="250"/>
      <c r="AOJ159" s="250"/>
      <c r="AOK159" s="250"/>
      <c r="AOL159" s="250"/>
      <c r="AOM159" s="250"/>
      <c r="AON159" s="250"/>
      <c r="AOO159" s="250"/>
      <c r="AOP159" s="250"/>
      <c r="AOQ159" s="250"/>
      <c r="AOR159" s="250"/>
      <c r="AOS159" s="250"/>
      <c r="AOT159" s="250"/>
      <c r="AOU159" s="250"/>
      <c r="AOV159" s="250"/>
      <c r="AOW159" s="250"/>
      <c r="AOX159" s="250"/>
      <c r="AOY159" s="250"/>
      <c r="AOZ159" s="250"/>
      <c r="APA159" s="250"/>
      <c r="APB159" s="250"/>
      <c r="APC159" s="250"/>
      <c r="APD159" s="250"/>
      <c r="APE159" s="250"/>
      <c r="APF159" s="250"/>
      <c r="APG159" s="250"/>
      <c r="APH159" s="250"/>
      <c r="API159" s="250"/>
      <c r="APJ159" s="250"/>
      <c r="APK159" s="250"/>
      <c r="APL159" s="250"/>
      <c r="APM159" s="250"/>
      <c r="APN159" s="250"/>
      <c r="APO159" s="250"/>
      <c r="APP159" s="250"/>
      <c r="APQ159" s="250"/>
      <c r="APR159" s="250"/>
      <c r="APS159" s="250"/>
      <c r="APT159" s="250"/>
      <c r="APU159" s="250"/>
      <c r="APV159" s="250"/>
      <c r="APW159" s="250"/>
      <c r="APX159" s="250"/>
      <c r="APY159" s="250"/>
      <c r="APZ159" s="250"/>
      <c r="AQA159" s="250"/>
      <c r="AQB159" s="250"/>
      <c r="AQC159" s="250"/>
      <c r="AQD159" s="250"/>
      <c r="AQE159" s="250"/>
      <c r="AQF159" s="250"/>
      <c r="AQG159" s="250"/>
      <c r="AQH159" s="250"/>
      <c r="AQI159" s="250"/>
      <c r="AQJ159" s="250"/>
      <c r="AQK159" s="250"/>
      <c r="AQL159" s="250"/>
      <c r="AQM159" s="250"/>
      <c r="AQN159" s="250"/>
      <c r="AQO159" s="250"/>
      <c r="AQP159" s="250"/>
      <c r="AQQ159" s="250"/>
      <c r="AQR159" s="250"/>
      <c r="AQS159" s="250"/>
      <c r="AQT159" s="250"/>
      <c r="AQU159" s="250"/>
      <c r="AQV159" s="250"/>
      <c r="AQW159" s="250"/>
      <c r="AQX159" s="250"/>
      <c r="AQY159" s="250"/>
      <c r="AQZ159" s="250"/>
      <c r="ARA159" s="250"/>
      <c r="ARB159" s="250"/>
      <c r="ARC159" s="250"/>
      <c r="ARD159" s="250"/>
      <c r="ARE159" s="250"/>
      <c r="ARF159" s="250"/>
      <c r="ARG159" s="250"/>
      <c r="ARH159" s="250"/>
      <c r="ARI159" s="250"/>
      <c r="ARJ159" s="250"/>
      <c r="ARK159" s="250"/>
      <c r="ARL159" s="250"/>
      <c r="ARM159" s="250"/>
      <c r="ARN159" s="250"/>
      <c r="ARO159" s="250"/>
      <c r="ARP159" s="250"/>
      <c r="ARQ159" s="250"/>
      <c r="ARR159" s="250"/>
      <c r="ARS159" s="250"/>
      <c r="ART159" s="250"/>
      <c r="ARU159" s="250"/>
      <c r="ARV159" s="250"/>
      <c r="ARW159" s="250"/>
      <c r="ARX159" s="250"/>
      <c r="ARY159" s="250"/>
      <c r="ARZ159" s="250"/>
      <c r="ASA159" s="250"/>
      <c r="ASB159" s="250"/>
      <c r="ASC159" s="250"/>
      <c r="ASD159" s="250"/>
      <c r="ASE159" s="250"/>
      <c r="ASF159" s="250"/>
      <c r="ASG159" s="250"/>
      <c r="ASH159" s="250"/>
      <c r="ASI159" s="250"/>
      <c r="ASJ159" s="250"/>
      <c r="ASK159" s="250"/>
      <c r="ASL159" s="250"/>
      <c r="ASM159" s="250"/>
      <c r="ASN159" s="250"/>
      <c r="ASO159" s="250"/>
      <c r="ASP159" s="250"/>
      <c r="ASQ159" s="250"/>
      <c r="ASR159" s="250"/>
      <c r="ASS159" s="250"/>
      <c r="AST159" s="250"/>
      <c r="ASU159" s="250"/>
      <c r="ASV159" s="250"/>
      <c r="ASW159" s="250"/>
      <c r="ASX159" s="250"/>
      <c r="ASY159" s="250"/>
      <c r="ASZ159" s="250"/>
      <c r="ATA159" s="250"/>
      <c r="ATB159" s="250"/>
      <c r="ATC159" s="250"/>
      <c r="ATD159" s="250"/>
      <c r="ATE159" s="250"/>
      <c r="ATF159" s="250"/>
      <c r="ATG159" s="250"/>
      <c r="ATH159" s="250"/>
      <c r="ATI159" s="250"/>
      <c r="ATJ159" s="250"/>
      <c r="ATK159" s="250"/>
      <c r="ATL159" s="250"/>
      <c r="ATM159" s="250"/>
      <c r="ATN159" s="250"/>
      <c r="ATO159" s="250"/>
      <c r="ATP159" s="250"/>
      <c r="ATQ159" s="250"/>
      <c r="ATR159" s="250"/>
      <c r="ATS159" s="250"/>
      <c r="ATT159" s="250"/>
      <c r="ATU159" s="250"/>
      <c r="ATV159" s="250"/>
      <c r="ATW159" s="250"/>
      <c r="ATX159" s="250"/>
      <c r="ATY159" s="250"/>
      <c r="ATZ159" s="250"/>
      <c r="AUA159" s="250"/>
      <c r="AUB159" s="250"/>
      <c r="AUC159" s="250"/>
      <c r="AUD159" s="250"/>
      <c r="AUE159" s="250"/>
      <c r="AUF159" s="250"/>
      <c r="AUG159" s="250"/>
      <c r="AUH159" s="250"/>
      <c r="AUI159" s="250"/>
      <c r="AUJ159" s="250"/>
      <c r="AUK159" s="250"/>
      <c r="AUL159" s="250"/>
      <c r="AUM159" s="250"/>
      <c r="AUN159" s="250"/>
      <c r="AUO159" s="250"/>
      <c r="AUP159" s="250"/>
      <c r="AUQ159" s="250"/>
      <c r="AUR159" s="250"/>
      <c r="AUS159" s="250"/>
      <c r="AUT159" s="250"/>
      <c r="AUU159" s="250"/>
      <c r="AUV159" s="250"/>
      <c r="AUW159" s="250"/>
      <c r="AUX159" s="250"/>
      <c r="AUY159" s="250"/>
      <c r="AUZ159" s="250"/>
      <c r="AVA159" s="250"/>
      <c r="AVB159" s="250"/>
      <c r="AVC159" s="250"/>
      <c r="AVD159" s="250"/>
      <c r="AVE159" s="250"/>
      <c r="AVF159" s="250"/>
      <c r="AVG159" s="250"/>
      <c r="AVH159" s="250"/>
      <c r="AVI159" s="250"/>
      <c r="AVJ159" s="250"/>
      <c r="AVK159" s="250"/>
      <c r="AVL159" s="250"/>
      <c r="AVM159" s="250"/>
      <c r="AVN159" s="250"/>
      <c r="AVO159" s="250"/>
      <c r="AVP159" s="250"/>
      <c r="AVQ159" s="250"/>
      <c r="AVR159" s="250"/>
      <c r="AVS159" s="250"/>
      <c r="AVT159" s="250"/>
      <c r="AVU159" s="250"/>
      <c r="AVV159" s="250"/>
      <c r="AVW159" s="250"/>
      <c r="AVX159" s="250"/>
      <c r="AVY159" s="250"/>
      <c r="AVZ159" s="250"/>
      <c r="AWA159" s="250"/>
      <c r="AWB159" s="250"/>
      <c r="AWC159" s="250"/>
      <c r="AWD159" s="250"/>
      <c r="AWE159" s="250"/>
      <c r="AWF159" s="250"/>
      <c r="AWG159" s="250"/>
      <c r="AWH159" s="250"/>
      <c r="AWI159" s="250"/>
      <c r="AWJ159" s="250"/>
      <c r="AWK159" s="250"/>
      <c r="AWL159" s="250"/>
      <c r="AWM159" s="250"/>
      <c r="AWN159" s="250"/>
      <c r="AWO159" s="250"/>
      <c r="AWP159" s="250"/>
      <c r="AWQ159" s="250"/>
      <c r="AWR159" s="250"/>
      <c r="AWS159" s="250"/>
      <c r="AWT159" s="250"/>
      <c r="AWU159" s="250"/>
      <c r="AWV159" s="250"/>
      <c r="AWW159" s="250"/>
      <c r="AWX159" s="250"/>
      <c r="AWY159" s="250"/>
      <c r="AWZ159" s="250"/>
      <c r="AXA159" s="250"/>
      <c r="AXB159" s="250"/>
      <c r="AXC159" s="250"/>
      <c r="AXD159" s="250"/>
      <c r="AXE159" s="250"/>
      <c r="AXF159" s="250"/>
      <c r="AXG159" s="250"/>
      <c r="AXH159" s="250"/>
      <c r="AXI159" s="250"/>
      <c r="AXJ159" s="250"/>
      <c r="AXK159" s="250"/>
      <c r="AXL159" s="250"/>
      <c r="AXM159" s="250"/>
      <c r="AXN159" s="250"/>
      <c r="AXO159" s="250"/>
      <c r="AXP159" s="250"/>
      <c r="AXQ159" s="250"/>
      <c r="AXR159" s="250"/>
      <c r="AXS159" s="250"/>
      <c r="AXT159" s="250"/>
      <c r="AXU159" s="250"/>
      <c r="AXV159" s="250"/>
      <c r="AXW159" s="250"/>
      <c r="AXX159" s="250"/>
      <c r="AXY159" s="250"/>
      <c r="AXZ159" s="250"/>
      <c r="AYA159" s="250"/>
      <c r="AYB159" s="250"/>
      <c r="AYC159" s="250"/>
      <c r="AYD159" s="250"/>
      <c r="AYE159" s="250"/>
      <c r="AYF159" s="250"/>
      <c r="AYG159" s="250"/>
      <c r="AYH159" s="250"/>
      <c r="AYI159" s="250"/>
      <c r="AYJ159" s="250"/>
      <c r="AYK159" s="250"/>
      <c r="AYL159" s="250"/>
      <c r="AYM159" s="250"/>
      <c r="AYN159" s="250"/>
      <c r="AYO159" s="250"/>
      <c r="AYP159" s="250"/>
      <c r="AYQ159" s="250"/>
      <c r="AYR159" s="250"/>
      <c r="AYS159" s="250"/>
      <c r="AYT159" s="250"/>
      <c r="AYU159" s="250"/>
      <c r="AYV159" s="250"/>
      <c r="AYW159" s="250"/>
      <c r="AYX159" s="250"/>
      <c r="AYY159" s="250"/>
      <c r="AYZ159" s="250"/>
      <c r="AZA159" s="250"/>
      <c r="AZB159" s="250"/>
      <c r="AZC159" s="250"/>
      <c r="AZD159" s="250"/>
      <c r="AZE159" s="250"/>
      <c r="AZF159" s="250"/>
      <c r="AZG159" s="250"/>
      <c r="AZH159" s="250"/>
      <c r="AZI159" s="250"/>
      <c r="AZJ159" s="250"/>
      <c r="AZK159" s="250"/>
      <c r="AZL159" s="250"/>
      <c r="AZM159" s="250"/>
      <c r="AZN159" s="250"/>
      <c r="AZO159" s="250"/>
      <c r="AZP159" s="250"/>
      <c r="AZQ159" s="250"/>
      <c r="AZR159" s="250"/>
      <c r="AZS159" s="250"/>
      <c r="AZT159" s="250"/>
      <c r="AZU159" s="250"/>
      <c r="AZV159" s="250"/>
      <c r="AZW159" s="250"/>
      <c r="AZX159" s="250"/>
      <c r="AZY159" s="250"/>
      <c r="AZZ159" s="250"/>
      <c r="BAA159" s="250"/>
      <c r="BAB159" s="250"/>
      <c r="BAC159" s="250"/>
      <c r="BAD159" s="250"/>
      <c r="BAE159" s="250"/>
      <c r="BAF159" s="250"/>
      <c r="BAG159" s="250"/>
      <c r="BAH159" s="250"/>
      <c r="BAI159" s="250"/>
      <c r="BAJ159" s="250"/>
      <c r="BAK159" s="250"/>
      <c r="BAL159" s="250"/>
      <c r="BAM159" s="250"/>
      <c r="BAN159" s="250"/>
      <c r="BAO159" s="250"/>
      <c r="BAP159" s="250"/>
      <c r="BAQ159" s="250"/>
      <c r="BAR159" s="250"/>
      <c r="BAS159" s="250"/>
      <c r="BAT159" s="250"/>
      <c r="BAU159" s="250"/>
      <c r="BAV159" s="250"/>
      <c r="BAW159" s="250"/>
      <c r="BAX159" s="250"/>
      <c r="BAY159" s="250"/>
      <c r="BAZ159" s="250"/>
      <c r="BBA159" s="250"/>
      <c r="BBB159" s="250"/>
      <c r="BBC159" s="250"/>
      <c r="BBD159" s="250"/>
      <c r="BBE159" s="250"/>
      <c r="BBF159" s="250"/>
      <c r="BBG159" s="250"/>
      <c r="BBH159" s="250"/>
      <c r="BBI159" s="250"/>
      <c r="BBJ159" s="250"/>
      <c r="BBK159" s="250"/>
      <c r="BBL159" s="250"/>
      <c r="BBM159" s="250"/>
      <c r="BBN159" s="250"/>
      <c r="BBO159" s="250"/>
      <c r="BBP159" s="250"/>
      <c r="BBQ159" s="250"/>
      <c r="BBR159" s="250"/>
      <c r="BBS159" s="250"/>
      <c r="BBT159" s="250"/>
      <c r="BBU159" s="250"/>
      <c r="BBV159" s="250"/>
      <c r="BBW159" s="250"/>
      <c r="BBX159" s="250"/>
      <c r="BBY159" s="250"/>
      <c r="BBZ159" s="250"/>
      <c r="BCA159" s="250"/>
      <c r="BCB159" s="250"/>
      <c r="BCC159" s="250"/>
      <c r="BCD159" s="250"/>
      <c r="BCE159" s="250"/>
      <c r="BCF159" s="250"/>
      <c r="BCG159" s="250"/>
      <c r="BCH159" s="250"/>
      <c r="BCI159" s="250"/>
      <c r="BCJ159" s="250"/>
      <c r="BCK159" s="250"/>
      <c r="BCL159" s="250"/>
      <c r="BCM159" s="250"/>
      <c r="BCN159" s="250"/>
      <c r="BCO159" s="250"/>
      <c r="BCP159" s="250"/>
      <c r="BCQ159" s="250"/>
      <c r="BCR159" s="250"/>
      <c r="BCS159" s="250"/>
      <c r="BCT159" s="250"/>
      <c r="BCU159" s="250"/>
      <c r="BCV159" s="250"/>
      <c r="BCW159" s="250"/>
      <c r="BCX159" s="250"/>
      <c r="BCY159" s="250"/>
      <c r="BCZ159" s="250"/>
      <c r="BDA159" s="250"/>
      <c r="BDB159" s="250"/>
      <c r="BDC159" s="250"/>
      <c r="BDD159" s="250"/>
      <c r="BDE159" s="250"/>
      <c r="BDF159" s="250"/>
      <c r="BDG159" s="250"/>
      <c r="BDH159" s="250"/>
      <c r="BDI159" s="250"/>
      <c r="BDJ159" s="250"/>
      <c r="BDK159" s="250"/>
      <c r="BDL159" s="250"/>
      <c r="BDM159" s="250"/>
      <c r="BDN159" s="250"/>
      <c r="BDO159" s="250"/>
      <c r="BDP159" s="250"/>
      <c r="BDQ159" s="250"/>
      <c r="BDR159" s="250"/>
      <c r="BDS159" s="250"/>
      <c r="BDT159" s="250"/>
      <c r="BDU159" s="250"/>
      <c r="BDV159" s="250"/>
      <c r="BDW159" s="250"/>
      <c r="BDX159" s="250"/>
      <c r="BDY159" s="250"/>
      <c r="BDZ159" s="250"/>
      <c r="BEA159" s="250"/>
      <c r="BEB159" s="250"/>
      <c r="BEC159" s="250"/>
      <c r="BED159" s="250"/>
      <c r="BEE159" s="250"/>
      <c r="BEF159" s="250"/>
      <c r="BEG159" s="250"/>
      <c r="BEH159" s="250"/>
      <c r="BEI159" s="250"/>
      <c r="BEJ159" s="250"/>
      <c r="BEK159" s="250"/>
      <c r="BEL159" s="250"/>
      <c r="BEM159" s="250"/>
      <c r="BEN159" s="250"/>
      <c r="BEO159" s="250"/>
      <c r="BEP159" s="250"/>
      <c r="BEQ159" s="250"/>
      <c r="BER159" s="250"/>
      <c r="BES159" s="250"/>
      <c r="BET159" s="250"/>
      <c r="BEU159" s="250"/>
      <c r="BEV159" s="250"/>
      <c r="BEW159" s="250"/>
      <c r="BEX159" s="250"/>
      <c r="BEY159" s="250"/>
      <c r="BEZ159" s="250"/>
      <c r="BFA159" s="250"/>
      <c r="BFB159" s="250"/>
      <c r="BFC159" s="250"/>
      <c r="BFD159" s="250"/>
      <c r="BFE159" s="250"/>
      <c r="BFF159" s="250"/>
      <c r="BFG159" s="250"/>
      <c r="BFH159" s="250"/>
      <c r="BFI159" s="250"/>
      <c r="BFJ159" s="250"/>
      <c r="BFK159" s="250"/>
      <c r="BFL159" s="250"/>
      <c r="BFM159" s="250"/>
      <c r="BFN159" s="250"/>
      <c r="BFO159" s="250"/>
      <c r="BFP159" s="250"/>
      <c r="BFQ159" s="250"/>
      <c r="BFR159" s="250"/>
      <c r="BFS159" s="250"/>
      <c r="BFT159" s="250"/>
      <c r="BFU159" s="250"/>
      <c r="BFV159" s="250"/>
      <c r="BFW159" s="250"/>
      <c r="BFX159" s="250"/>
      <c r="BFY159" s="250"/>
      <c r="BFZ159" s="250"/>
      <c r="BGA159" s="250"/>
      <c r="BGB159" s="250"/>
      <c r="BGC159" s="250"/>
      <c r="BGD159" s="250"/>
      <c r="BGE159" s="250"/>
      <c r="BGF159" s="250"/>
      <c r="BGG159" s="250"/>
      <c r="BGH159" s="250"/>
      <c r="BGI159" s="250"/>
      <c r="BGJ159" s="250"/>
      <c r="BGK159" s="250"/>
      <c r="BGL159" s="250"/>
      <c r="BGM159" s="250"/>
      <c r="BGN159" s="250"/>
      <c r="BGO159" s="250"/>
      <c r="BGP159" s="250"/>
      <c r="BGQ159" s="250"/>
      <c r="BGR159" s="250"/>
      <c r="BGS159" s="250"/>
      <c r="BGT159" s="250"/>
      <c r="BGU159" s="250"/>
      <c r="BGV159" s="250"/>
      <c r="BGW159" s="250"/>
      <c r="BGX159" s="250"/>
      <c r="BGY159" s="250"/>
      <c r="BGZ159" s="250"/>
      <c r="BHA159" s="250"/>
      <c r="BHB159" s="250"/>
      <c r="BHC159" s="250"/>
      <c r="BHD159" s="250"/>
      <c r="BHE159" s="250"/>
      <c r="BHF159" s="250"/>
      <c r="BHG159" s="250"/>
      <c r="BHH159" s="250"/>
      <c r="BHI159" s="250"/>
      <c r="BHJ159" s="250"/>
      <c r="BHK159" s="250"/>
      <c r="BHL159" s="250"/>
      <c r="BHM159" s="250"/>
      <c r="BHN159" s="250"/>
      <c r="BHO159" s="250"/>
      <c r="BHP159" s="250"/>
      <c r="BHQ159" s="250"/>
      <c r="BHR159" s="250"/>
      <c r="BHS159" s="250"/>
      <c r="BHT159" s="250"/>
      <c r="BHU159" s="250"/>
      <c r="BHV159" s="250"/>
      <c r="BHW159" s="250"/>
      <c r="BHX159" s="250"/>
      <c r="BHY159" s="250"/>
      <c r="BHZ159" s="250"/>
      <c r="BIA159" s="250"/>
      <c r="BIB159" s="250"/>
      <c r="BIC159" s="250"/>
      <c r="BID159" s="250"/>
      <c r="BIE159" s="250"/>
      <c r="BIF159" s="250"/>
      <c r="BIG159" s="250"/>
      <c r="BIH159" s="250"/>
      <c r="BII159" s="250"/>
      <c r="BIJ159" s="250"/>
      <c r="BIK159" s="250"/>
      <c r="BIL159" s="250"/>
      <c r="BIM159" s="250"/>
      <c r="BIN159" s="250"/>
      <c r="BIO159" s="250"/>
      <c r="BIP159" s="250"/>
      <c r="BIQ159" s="250"/>
      <c r="BIR159" s="250"/>
      <c r="BIS159" s="250"/>
      <c r="BIT159" s="250"/>
      <c r="BIU159" s="250"/>
      <c r="BIV159" s="250"/>
      <c r="BIW159" s="250"/>
      <c r="BIX159" s="250"/>
      <c r="BIY159" s="250"/>
      <c r="BIZ159" s="250"/>
      <c r="BJA159" s="250"/>
      <c r="BJB159" s="250"/>
      <c r="BJC159" s="250"/>
      <c r="BJD159" s="250"/>
      <c r="BJE159" s="250"/>
      <c r="BJF159" s="250"/>
      <c r="BJG159" s="250"/>
      <c r="BJH159" s="250"/>
      <c r="BJI159" s="250"/>
      <c r="BJJ159" s="250"/>
      <c r="BJK159" s="250"/>
      <c r="BJL159" s="250"/>
      <c r="BJM159" s="250"/>
      <c r="BJN159" s="250"/>
      <c r="BJO159" s="250"/>
      <c r="BJP159" s="250"/>
      <c r="BJQ159" s="250"/>
      <c r="BJR159" s="250"/>
      <c r="BJS159" s="250"/>
      <c r="BJT159" s="250"/>
      <c r="BJU159" s="250"/>
      <c r="BJV159" s="250"/>
      <c r="BJW159" s="250"/>
      <c r="BJX159" s="250"/>
      <c r="BJY159" s="250"/>
      <c r="BJZ159" s="250"/>
      <c r="BKA159" s="250"/>
      <c r="BKB159" s="250"/>
      <c r="BKC159" s="250"/>
      <c r="BKD159" s="250"/>
      <c r="BKE159" s="250"/>
      <c r="BKF159" s="250"/>
      <c r="BKG159" s="250"/>
      <c r="BKH159" s="250"/>
      <c r="BKI159" s="250"/>
      <c r="BKJ159" s="250"/>
      <c r="BKK159" s="250"/>
      <c r="BKL159" s="250"/>
      <c r="BKM159" s="250"/>
      <c r="BKN159" s="250"/>
      <c r="BKO159" s="250"/>
      <c r="BKP159" s="250"/>
      <c r="BKQ159" s="250"/>
      <c r="BKR159" s="250"/>
      <c r="BKS159" s="250"/>
      <c r="BKT159" s="250"/>
      <c r="BKU159" s="250"/>
      <c r="BKV159" s="250"/>
      <c r="BKW159" s="250"/>
      <c r="BKX159" s="250"/>
      <c r="BKY159" s="250"/>
      <c r="BKZ159" s="250"/>
      <c r="BLA159" s="250"/>
      <c r="BLB159" s="250"/>
      <c r="BLC159" s="250"/>
      <c r="BLD159" s="250"/>
      <c r="BLE159" s="250"/>
      <c r="BLF159" s="250"/>
      <c r="BLG159" s="250"/>
      <c r="BLH159" s="250"/>
      <c r="BLI159" s="250"/>
      <c r="BLJ159" s="250"/>
      <c r="BLK159" s="250"/>
      <c r="BLL159" s="250"/>
      <c r="BLM159" s="250"/>
      <c r="BLN159" s="250"/>
      <c r="BLO159" s="250"/>
      <c r="BLP159" s="250"/>
      <c r="BLQ159" s="250"/>
      <c r="BLR159" s="250"/>
      <c r="BLS159" s="250"/>
      <c r="BLT159" s="250"/>
      <c r="BLU159" s="250"/>
      <c r="BLV159" s="250"/>
      <c r="BLW159" s="250"/>
      <c r="BLX159" s="250"/>
      <c r="BLY159" s="250"/>
      <c r="BLZ159" s="250"/>
      <c r="BMA159" s="250"/>
      <c r="BMB159" s="250"/>
      <c r="BMC159" s="250"/>
      <c r="BMD159" s="250"/>
      <c r="BME159" s="250"/>
      <c r="BMF159" s="250"/>
      <c r="BMG159" s="250"/>
      <c r="BMH159" s="250"/>
      <c r="BMI159" s="250"/>
      <c r="BMJ159" s="250"/>
      <c r="BMK159" s="250"/>
      <c r="BML159" s="250"/>
      <c r="BMM159" s="250"/>
      <c r="BMN159" s="250"/>
      <c r="BMO159" s="250"/>
      <c r="BMP159" s="250"/>
      <c r="BMQ159" s="250"/>
      <c r="BMR159" s="250"/>
      <c r="BMS159" s="250"/>
      <c r="BMT159" s="250"/>
      <c r="BMU159" s="250"/>
      <c r="BMV159" s="250"/>
      <c r="BMW159" s="250"/>
      <c r="BMX159" s="250"/>
      <c r="BMY159" s="250"/>
      <c r="BMZ159" s="250"/>
      <c r="BNA159" s="250"/>
      <c r="BNB159" s="250"/>
      <c r="BNC159" s="250"/>
      <c r="BND159" s="250"/>
      <c r="BNE159" s="250"/>
      <c r="BNF159" s="250"/>
      <c r="BNG159" s="250"/>
      <c r="BNH159" s="250"/>
      <c r="BNI159" s="250"/>
      <c r="BNJ159" s="250"/>
      <c r="BNK159" s="250"/>
      <c r="BNL159" s="250"/>
      <c r="BNM159" s="250"/>
      <c r="BNN159" s="250"/>
      <c r="BNO159" s="250"/>
      <c r="BNP159" s="250"/>
      <c r="BNQ159" s="250"/>
      <c r="BNR159" s="250"/>
      <c r="BNS159" s="250"/>
      <c r="BNT159" s="250"/>
      <c r="BNU159" s="250"/>
      <c r="BNV159" s="250"/>
      <c r="BNW159" s="250"/>
      <c r="BNX159" s="250"/>
      <c r="BNY159" s="250"/>
      <c r="BNZ159" s="250"/>
      <c r="BOA159" s="250"/>
      <c r="BOB159" s="250"/>
      <c r="BOC159" s="250"/>
      <c r="BOD159" s="250"/>
      <c r="BOE159" s="250"/>
      <c r="BOF159" s="250"/>
      <c r="BOG159" s="250"/>
      <c r="BOH159" s="250"/>
      <c r="BOI159" s="250"/>
      <c r="BOJ159" s="250"/>
      <c r="BOK159" s="250"/>
      <c r="BOL159" s="250"/>
      <c r="BOM159" s="250"/>
      <c r="BON159" s="250"/>
      <c r="BOO159" s="250"/>
      <c r="BOP159" s="250"/>
      <c r="BOQ159" s="250"/>
      <c r="BOR159" s="250"/>
      <c r="BOS159" s="250"/>
      <c r="BOT159" s="250"/>
      <c r="BOU159" s="250"/>
      <c r="BOV159" s="250"/>
      <c r="BOW159" s="250"/>
      <c r="BOX159" s="250"/>
      <c r="BOY159" s="250"/>
      <c r="BOZ159" s="250"/>
      <c r="BPA159" s="250"/>
      <c r="BPB159" s="250"/>
      <c r="BPC159" s="250"/>
      <c r="BPD159" s="250"/>
      <c r="BPE159" s="250"/>
      <c r="BPF159" s="250"/>
      <c r="BPG159" s="250"/>
      <c r="BPH159" s="250"/>
      <c r="BPI159" s="250"/>
      <c r="BPJ159" s="250"/>
      <c r="BPK159" s="250"/>
      <c r="BPL159" s="250"/>
      <c r="BPM159" s="250"/>
      <c r="BPN159" s="250"/>
      <c r="BPO159" s="250"/>
      <c r="BPP159" s="250"/>
      <c r="BPQ159" s="250"/>
      <c r="BPR159" s="250"/>
      <c r="BPS159" s="250"/>
      <c r="BPT159" s="250"/>
      <c r="BPU159" s="250"/>
      <c r="BPV159" s="250"/>
      <c r="BPW159" s="250"/>
      <c r="BPX159" s="250"/>
      <c r="BPY159" s="250"/>
      <c r="BPZ159" s="250"/>
      <c r="BQA159" s="250"/>
      <c r="BQB159" s="250"/>
      <c r="BQC159" s="250"/>
      <c r="BQD159" s="250"/>
      <c r="BQE159" s="250"/>
      <c r="BQF159" s="250"/>
      <c r="BQG159" s="250"/>
      <c r="BQH159" s="250"/>
      <c r="BQI159" s="250"/>
      <c r="BQJ159" s="250"/>
      <c r="BQK159" s="250"/>
      <c r="BQL159" s="250"/>
      <c r="BQM159" s="250"/>
      <c r="BQN159" s="250"/>
      <c r="BQO159" s="250"/>
      <c r="BQP159" s="250"/>
      <c r="BQQ159" s="250"/>
      <c r="BQR159" s="250"/>
      <c r="BQS159" s="250"/>
      <c r="BQT159" s="250"/>
      <c r="BQU159" s="250"/>
      <c r="BQV159" s="250"/>
      <c r="BQW159" s="250"/>
      <c r="BQX159" s="250"/>
      <c r="BQY159" s="250"/>
      <c r="BQZ159" s="250"/>
      <c r="BRA159" s="250"/>
      <c r="BRB159" s="250"/>
      <c r="BRC159" s="250"/>
      <c r="BRD159" s="250"/>
      <c r="BRE159" s="250"/>
      <c r="BRF159" s="250"/>
      <c r="BRG159" s="250"/>
      <c r="BRH159" s="250"/>
      <c r="BRI159" s="250"/>
      <c r="BRJ159" s="250"/>
      <c r="BRK159" s="250"/>
      <c r="BRL159" s="250"/>
      <c r="BRM159" s="250"/>
      <c r="BRN159" s="250"/>
      <c r="BRO159" s="250"/>
      <c r="BRP159" s="250"/>
      <c r="BRQ159" s="250"/>
      <c r="BRR159" s="250"/>
      <c r="BRS159" s="250"/>
      <c r="BRT159" s="250"/>
      <c r="BRU159" s="250"/>
      <c r="BRV159" s="250"/>
      <c r="BRW159" s="250"/>
      <c r="BRX159" s="250"/>
      <c r="BRY159" s="250"/>
      <c r="BRZ159" s="250"/>
      <c r="BSA159" s="250"/>
      <c r="BSB159" s="250"/>
      <c r="BSC159" s="250"/>
      <c r="BSD159" s="250"/>
      <c r="BSE159" s="250"/>
      <c r="BSF159" s="250"/>
      <c r="BSG159" s="250"/>
      <c r="BSH159" s="250"/>
      <c r="BSI159" s="250"/>
      <c r="BSJ159" s="250"/>
      <c r="BSK159" s="250"/>
      <c r="BSL159" s="250"/>
      <c r="BSM159" s="250"/>
      <c r="BSN159" s="250"/>
      <c r="BSO159" s="250"/>
      <c r="BSP159" s="250"/>
      <c r="BSQ159" s="250"/>
      <c r="BSR159" s="250"/>
      <c r="BSS159" s="250"/>
      <c r="BST159" s="250"/>
      <c r="BSU159" s="250"/>
      <c r="BSV159" s="250"/>
      <c r="BSW159" s="250"/>
      <c r="BSX159" s="250"/>
      <c r="BSY159" s="250"/>
      <c r="BSZ159" s="250"/>
      <c r="BTA159" s="250"/>
      <c r="BTB159" s="250"/>
      <c r="BTC159" s="250"/>
      <c r="BTD159" s="250"/>
      <c r="BTE159" s="250"/>
      <c r="BTF159" s="250"/>
      <c r="BTG159" s="250"/>
      <c r="BTH159" s="250"/>
      <c r="BTI159" s="250"/>
      <c r="BTJ159" s="250"/>
      <c r="BTK159" s="250"/>
      <c r="BTL159" s="250"/>
      <c r="BTM159" s="250"/>
      <c r="BTN159" s="250"/>
      <c r="BTO159" s="250"/>
      <c r="BTP159" s="250"/>
      <c r="BTQ159" s="250"/>
      <c r="BTR159" s="250"/>
      <c r="BTS159" s="250"/>
      <c r="BTT159" s="250"/>
      <c r="BTU159" s="250"/>
      <c r="BTV159" s="250"/>
      <c r="BTW159" s="250"/>
      <c r="BTX159" s="250"/>
      <c r="BTY159" s="250"/>
      <c r="BTZ159" s="250"/>
      <c r="BUA159" s="250"/>
      <c r="BUB159" s="250"/>
      <c r="BUC159" s="250"/>
      <c r="BUD159" s="250"/>
      <c r="BUE159" s="250"/>
      <c r="BUF159" s="250"/>
      <c r="BUG159" s="250"/>
      <c r="BUH159" s="250"/>
      <c r="BUI159" s="250"/>
      <c r="BUJ159" s="250"/>
      <c r="BUK159" s="250"/>
      <c r="BUL159" s="250"/>
      <c r="BUM159" s="250"/>
      <c r="BUN159" s="250"/>
      <c r="BUO159" s="250"/>
      <c r="BUP159" s="250"/>
      <c r="BUQ159" s="250"/>
      <c r="BUR159" s="250"/>
      <c r="BUS159" s="250"/>
      <c r="BUT159" s="250"/>
      <c r="BUU159" s="250"/>
      <c r="BUV159" s="250"/>
      <c r="BUW159" s="250"/>
      <c r="BUX159" s="250"/>
      <c r="BUY159" s="250"/>
      <c r="BUZ159" s="250"/>
      <c r="BVA159" s="250"/>
      <c r="BVB159" s="250"/>
      <c r="BVC159" s="250"/>
      <c r="BVD159" s="250"/>
      <c r="BVE159" s="250"/>
      <c r="BVF159" s="250"/>
      <c r="BVG159" s="250"/>
      <c r="BVH159" s="250"/>
      <c r="BVI159" s="250"/>
      <c r="BVJ159" s="250"/>
      <c r="BVK159" s="250"/>
      <c r="BVL159" s="250"/>
      <c r="BVM159" s="250"/>
      <c r="BVN159" s="250"/>
      <c r="BVO159" s="250"/>
      <c r="BVP159" s="250"/>
      <c r="BVQ159" s="250"/>
      <c r="BVR159" s="250"/>
      <c r="BVS159" s="250"/>
      <c r="BVT159" s="250"/>
      <c r="BVU159" s="250"/>
      <c r="BVV159" s="250"/>
      <c r="BVW159" s="250"/>
      <c r="BVX159" s="250"/>
      <c r="BVY159" s="250"/>
      <c r="BVZ159" s="250"/>
      <c r="BWA159" s="250"/>
      <c r="BWB159" s="250"/>
      <c r="BWC159" s="250"/>
      <c r="BWD159" s="250"/>
      <c r="BWE159" s="250"/>
      <c r="BWF159" s="250"/>
      <c r="BWG159" s="250"/>
      <c r="BWH159" s="250"/>
      <c r="BWI159" s="250"/>
      <c r="BWJ159" s="250"/>
      <c r="BWK159" s="250"/>
      <c r="BWL159" s="250"/>
      <c r="BWM159" s="250"/>
      <c r="BWN159" s="250"/>
      <c r="BWO159" s="250"/>
      <c r="BWP159" s="250"/>
      <c r="BWQ159" s="250"/>
      <c r="BWR159" s="250"/>
      <c r="BWS159" s="250"/>
      <c r="BWT159" s="250"/>
      <c r="BWU159" s="250"/>
      <c r="BWV159" s="250"/>
      <c r="BWW159" s="250"/>
      <c r="BWX159" s="250"/>
      <c r="BWY159" s="250"/>
      <c r="BWZ159" s="250"/>
      <c r="BXA159" s="250"/>
      <c r="BXB159" s="250"/>
      <c r="BXC159" s="250"/>
      <c r="BXD159" s="250"/>
      <c r="BXE159" s="250"/>
      <c r="BXF159" s="250"/>
      <c r="BXG159" s="250"/>
      <c r="BXH159" s="250"/>
      <c r="BXI159" s="250"/>
      <c r="BXJ159" s="250"/>
      <c r="BXK159" s="250"/>
      <c r="BXL159" s="250"/>
      <c r="BXM159" s="250"/>
      <c r="BXN159" s="250"/>
      <c r="BXO159" s="250"/>
      <c r="BXP159" s="250"/>
      <c r="BXQ159" s="250"/>
      <c r="BXR159" s="250"/>
      <c r="BXS159" s="250"/>
      <c r="BXT159" s="250"/>
      <c r="BXU159" s="250"/>
      <c r="BXV159" s="250"/>
      <c r="BXW159" s="250"/>
      <c r="BXX159" s="250"/>
      <c r="BXY159" s="250"/>
      <c r="BXZ159" s="250"/>
      <c r="BYA159" s="250"/>
      <c r="BYB159" s="250"/>
      <c r="BYC159" s="250"/>
      <c r="BYD159" s="250"/>
      <c r="BYE159" s="250"/>
      <c r="BYF159" s="250"/>
      <c r="BYG159" s="250"/>
      <c r="BYH159" s="250"/>
      <c r="BYI159" s="250"/>
      <c r="BYJ159" s="250"/>
      <c r="BYK159" s="250"/>
      <c r="BYL159" s="250"/>
      <c r="BYM159" s="250"/>
      <c r="BYN159" s="250"/>
      <c r="BYO159" s="250"/>
      <c r="BYP159" s="250"/>
      <c r="BYQ159" s="250"/>
      <c r="BYR159" s="250"/>
      <c r="BYS159" s="250"/>
      <c r="BYT159" s="250"/>
      <c r="BYU159" s="250"/>
      <c r="BYV159" s="250"/>
      <c r="BYW159" s="250"/>
      <c r="BYX159" s="250"/>
      <c r="BYY159" s="250"/>
      <c r="BYZ159" s="250"/>
      <c r="BZA159" s="250"/>
      <c r="BZB159" s="250"/>
      <c r="BZC159" s="250"/>
      <c r="BZD159" s="250"/>
      <c r="BZE159" s="250"/>
      <c r="BZF159" s="250"/>
      <c r="BZG159" s="250"/>
      <c r="BZH159" s="250"/>
      <c r="BZI159" s="250"/>
      <c r="BZJ159" s="250"/>
      <c r="BZK159" s="250"/>
      <c r="BZL159" s="250"/>
      <c r="BZM159" s="250"/>
      <c r="BZN159" s="250"/>
      <c r="BZO159" s="250"/>
      <c r="BZP159" s="250"/>
      <c r="BZQ159" s="250"/>
      <c r="BZR159" s="250"/>
      <c r="BZS159" s="250"/>
      <c r="BZT159" s="250"/>
      <c r="BZU159" s="250"/>
      <c r="BZV159" s="250"/>
      <c r="BZW159" s="250"/>
      <c r="BZX159" s="250"/>
      <c r="BZY159" s="250"/>
      <c r="BZZ159" s="250"/>
      <c r="CAA159" s="250"/>
      <c r="CAB159" s="250"/>
      <c r="CAC159" s="250"/>
      <c r="CAD159" s="250"/>
      <c r="CAE159" s="250"/>
      <c r="CAF159" s="250"/>
      <c r="CAG159" s="250"/>
      <c r="CAH159" s="250"/>
      <c r="CAI159" s="250"/>
      <c r="CAJ159" s="250"/>
      <c r="CAK159" s="250"/>
      <c r="CAL159" s="250"/>
      <c r="CAM159" s="250"/>
      <c r="CAN159" s="250"/>
      <c r="CAO159" s="250"/>
      <c r="CAP159" s="250"/>
      <c r="CAQ159" s="250"/>
      <c r="CAR159" s="250"/>
      <c r="CAS159" s="250"/>
      <c r="CAT159" s="250"/>
      <c r="CAU159" s="250"/>
      <c r="CAV159" s="250"/>
      <c r="CAW159" s="250"/>
      <c r="CAX159" s="250"/>
      <c r="CAY159" s="250"/>
      <c r="CAZ159" s="250"/>
      <c r="CBA159" s="250"/>
      <c r="CBB159" s="250"/>
      <c r="CBC159" s="250"/>
      <c r="CBD159" s="250"/>
      <c r="CBE159" s="250"/>
      <c r="CBF159" s="250"/>
      <c r="CBG159" s="250"/>
      <c r="CBH159" s="250"/>
      <c r="CBI159" s="250"/>
      <c r="CBJ159" s="250"/>
      <c r="CBK159" s="250"/>
      <c r="CBL159" s="250"/>
      <c r="CBM159" s="250"/>
      <c r="CBN159" s="250"/>
      <c r="CBO159" s="250"/>
      <c r="CBP159" s="250"/>
      <c r="CBQ159" s="250"/>
      <c r="CBR159" s="250"/>
      <c r="CBS159" s="250"/>
      <c r="CBT159" s="250"/>
      <c r="CBU159" s="250"/>
      <c r="CBV159" s="250"/>
      <c r="CBW159" s="250"/>
      <c r="CBX159" s="250"/>
      <c r="CBY159" s="250"/>
      <c r="CBZ159" s="250"/>
      <c r="CCA159" s="250"/>
      <c r="CCB159" s="250"/>
      <c r="CCC159" s="250"/>
      <c r="CCD159" s="250"/>
      <c r="CCE159" s="250"/>
      <c r="CCF159" s="250"/>
      <c r="CCG159" s="250"/>
      <c r="CCH159" s="250"/>
      <c r="CCI159" s="250"/>
      <c r="CCJ159" s="250"/>
      <c r="CCK159" s="250"/>
      <c r="CCL159" s="250"/>
      <c r="CCM159" s="250"/>
      <c r="CCN159" s="250"/>
      <c r="CCO159" s="250"/>
      <c r="CCP159" s="250"/>
      <c r="CCQ159" s="250"/>
      <c r="CCR159" s="250"/>
      <c r="CCS159" s="250"/>
      <c r="CCT159" s="250"/>
      <c r="CCU159" s="250"/>
      <c r="CCV159" s="250"/>
      <c r="CCW159" s="250"/>
      <c r="CCX159" s="250"/>
      <c r="CCY159" s="250"/>
      <c r="CCZ159" s="250"/>
      <c r="CDA159" s="250"/>
      <c r="CDB159" s="250"/>
      <c r="CDC159" s="250"/>
      <c r="CDD159" s="250"/>
      <c r="CDE159" s="250"/>
      <c r="CDF159" s="250"/>
      <c r="CDG159" s="250"/>
      <c r="CDH159" s="250"/>
      <c r="CDI159" s="250"/>
      <c r="CDJ159" s="250"/>
      <c r="CDK159" s="250"/>
      <c r="CDL159" s="250"/>
      <c r="CDM159" s="250"/>
      <c r="CDN159" s="250"/>
      <c r="CDO159" s="250"/>
      <c r="CDP159" s="250"/>
      <c r="CDQ159" s="250"/>
      <c r="CDR159" s="250"/>
      <c r="CDS159" s="250"/>
      <c r="CDT159" s="250"/>
      <c r="CDU159" s="250"/>
      <c r="CDV159" s="250"/>
      <c r="CDW159" s="250"/>
      <c r="CDX159" s="250"/>
      <c r="CDY159" s="250"/>
      <c r="CDZ159" s="250"/>
      <c r="CEA159" s="250"/>
      <c r="CEB159" s="250"/>
      <c r="CEC159" s="250"/>
      <c r="CED159" s="250"/>
      <c r="CEE159" s="250"/>
      <c r="CEF159" s="250"/>
      <c r="CEG159" s="250"/>
      <c r="CEH159" s="250"/>
      <c r="CEI159" s="250"/>
      <c r="CEJ159" s="250"/>
      <c r="CEK159" s="250"/>
      <c r="CEL159" s="250"/>
      <c r="CEM159" s="250"/>
      <c r="CEN159" s="250"/>
      <c r="CEO159" s="250"/>
      <c r="CEP159" s="250"/>
      <c r="CEQ159" s="250"/>
      <c r="CER159" s="250"/>
      <c r="CES159" s="250"/>
      <c r="CET159" s="250"/>
      <c r="CEU159" s="250"/>
      <c r="CEV159" s="250"/>
      <c r="CEW159" s="250"/>
      <c r="CEX159" s="250"/>
      <c r="CEY159" s="250"/>
      <c r="CEZ159" s="250"/>
      <c r="CFA159" s="250"/>
      <c r="CFB159" s="250"/>
      <c r="CFC159" s="250"/>
      <c r="CFD159" s="250"/>
      <c r="CFE159" s="250"/>
      <c r="CFF159" s="250"/>
      <c r="CFG159" s="250"/>
      <c r="CFH159" s="250"/>
      <c r="CFI159" s="250"/>
      <c r="CFJ159" s="250"/>
      <c r="CFK159" s="250"/>
      <c r="CFL159" s="250"/>
      <c r="CFM159" s="250"/>
      <c r="CFN159" s="250"/>
      <c r="CFO159" s="250"/>
      <c r="CFP159" s="250"/>
      <c r="CFQ159" s="250"/>
      <c r="CFR159" s="250"/>
      <c r="CFS159" s="250"/>
      <c r="CFT159" s="250"/>
      <c r="CFU159" s="250"/>
      <c r="CFV159" s="250"/>
      <c r="CFW159" s="250"/>
      <c r="CFX159" s="250"/>
      <c r="CFY159" s="250"/>
      <c r="CFZ159" s="250"/>
      <c r="CGA159" s="250"/>
      <c r="CGB159" s="250"/>
      <c r="CGC159" s="250"/>
      <c r="CGD159" s="250"/>
      <c r="CGE159" s="250"/>
      <c r="CGF159" s="250"/>
      <c r="CGG159" s="250"/>
      <c r="CGH159" s="250"/>
      <c r="CGI159" s="250"/>
      <c r="CGJ159" s="250"/>
      <c r="CGK159" s="250"/>
      <c r="CGL159" s="250"/>
      <c r="CGM159" s="250"/>
      <c r="CGN159" s="250"/>
      <c r="CGO159" s="250"/>
      <c r="CGP159" s="250"/>
      <c r="CGQ159" s="250"/>
      <c r="CGR159" s="250"/>
      <c r="CGS159" s="250"/>
      <c r="CGT159" s="250"/>
      <c r="CGU159" s="250"/>
      <c r="CGV159" s="250"/>
      <c r="CGW159" s="250"/>
      <c r="CGX159" s="250"/>
      <c r="CGY159" s="250"/>
      <c r="CGZ159" s="250"/>
      <c r="CHA159" s="250"/>
      <c r="CHB159" s="250"/>
      <c r="CHC159" s="250"/>
      <c r="CHD159" s="250"/>
      <c r="CHE159" s="250"/>
      <c r="CHF159" s="250"/>
      <c r="CHG159" s="250"/>
      <c r="CHH159" s="250"/>
      <c r="CHI159" s="250"/>
      <c r="CHJ159" s="250"/>
      <c r="CHK159" s="250"/>
      <c r="CHL159" s="250"/>
      <c r="CHM159" s="250"/>
      <c r="CHN159" s="250"/>
      <c r="CHO159" s="250"/>
      <c r="CHP159" s="250"/>
      <c r="CHQ159" s="250"/>
      <c r="CHR159" s="250"/>
      <c r="CHS159" s="250"/>
      <c r="CHT159" s="250"/>
      <c r="CHU159" s="250"/>
      <c r="CHV159" s="250"/>
      <c r="CHW159" s="250"/>
      <c r="CHX159" s="250"/>
      <c r="CHY159" s="250"/>
      <c r="CHZ159" s="250"/>
      <c r="CIA159" s="250"/>
      <c r="CIB159" s="250"/>
      <c r="CIC159" s="250"/>
      <c r="CID159" s="250"/>
      <c r="CIE159" s="250"/>
      <c r="CIF159" s="250"/>
      <c r="CIG159" s="250"/>
      <c r="CIH159" s="250"/>
      <c r="CII159" s="250"/>
      <c r="CIJ159" s="250"/>
      <c r="CIK159" s="250"/>
      <c r="CIL159" s="250"/>
      <c r="CIM159" s="250"/>
      <c r="CIN159" s="250"/>
      <c r="CIO159" s="250"/>
      <c r="CIP159" s="250"/>
      <c r="CIQ159" s="250"/>
      <c r="CIR159" s="250"/>
      <c r="CIS159" s="250"/>
      <c r="CIT159" s="250"/>
      <c r="CIU159" s="250"/>
      <c r="CIV159" s="250"/>
      <c r="CIW159" s="250"/>
      <c r="CIX159" s="250"/>
      <c r="CIY159" s="250"/>
      <c r="CIZ159" s="250"/>
      <c r="CJA159" s="250"/>
      <c r="CJB159" s="250"/>
      <c r="CJC159" s="250"/>
      <c r="CJD159" s="250"/>
      <c r="CJE159" s="250"/>
      <c r="CJF159" s="250"/>
      <c r="CJG159" s="250"/>
      <c r="CJH159" s="250"/>
      <c r="CJI159" s="250"/>
      <c r="CJJ159" s="250"/>
      <c r="CJK159" s="250"/>
      <c r="CJL159" s="250"/>
      <c r="CJM159" s="250"/>
      <c r="CJN159" s="250"/>
      <c r="CJO159" s="250"/>
      <c r="CJP159" s="250"/>
      <c r="CJQ159" s="250"/>
      <c r="CJR159" s="250"/>
      <c r="CJS159" s="250"/>
      <c r="CJT159" s="250"/>
      <c r="CJU159" s="250"/>
      <c r="CJV159" s="250"/>
      <c r="CJW159" s="250"/>
      <c r="CJX159" s="250"/>
      <c r="CJY159" s="250"/>
      <c r="CJZ159" s="250"/>
      <c r="CKA159" s="250"/>
      <c r="CKB159" s="250"/>
      <c r="CKC159" s="250"/>
      <c r="CKD159" s="250"/>
      <c r="CKE159" s="250"/>
      <c r="CKF159" s="250"/>
      <c r="CKG159" s="250"/>
      <c r="CKH159" s="250"/>
      <c r="CKI159" s="250"/>
      <c r="CKJ159" s="250"/>
      <c r="CKK159" s="250"/>
      <c r="CKL159" s="250"/>
      <c r="CKM159" s="250"/>
      <c r="CKN159" s="250"/>
      <c r="CKO159" s="250"/>
      <c r="CKP159" s="250"/>
      <c r="CKQ159" s="250"/>
      <c r="CKR159" s="250"/>
      <c r="CKS159" s="250"/>
      <c r="CKT159" s="250"/>
      <c r="CKU159" s="250"/>
      <c r="CKV159" s="250"/>
      <c r="CKW159" s="250"/>
      <c r="CKX159" s="250"/>
      <c r="CKY159" s="250"/>
      <c r="CKZ159" s="250"/>
      <c r="CLA159" s="250"/>
      <c r="CLB159" s="250"/>
      <c r="CLC159" s="250"/>
      <c r="CLD159" s="250"/>
      <c r="CLE159" s="250"/>
      <c r="CLF159" s="250"/>
      <c r="CLG159" s="250"/>
      <c r="CLH159" s="250"/>
      <c r="CLI159" s="250"/>
      <c r="CLJ159" s="250"/>
      <c r="CLK159" s="250"/>
      <c r="CLL159" s="250"/>
      <c r="CLM159" s="250"/>
      <c r="CLN159" s="250"/>
      <c r="CLO159" s="250"/>
      <c r="CLP159" s="250"/>
      <c r="CLQ159" s="250"/>
      <c r="CLR159" s="250"/>
      <c r="CLS159" s="250"/>
      <c r="CLT159" s="250"/>
      <c r="CLU159" s="250"/>
      <c r="CLV159" s="250"/>
      <c r="CLW159" s="250"/>
      <c r="CLX159" s="250"/>
      <c r="CLY159" s="250"/>
      <c r="CLZ159" s="250"/>
      <c r="CMA159" s="250"/>
      <c r="CMB159" s="250"/>
      <c r="CMC159" s="250"/>
      <c r="CMD159" s="250"/>
      <c r="CME159" s="250"/>
      <c r="CMF159" s="250"/>
      <c r="CMG159" s="250"/>
      <c r="CMH159" s="250"/>
      <c r="CMI159" s="250"/>
      <c r="CMJ159" s="250"/>
      <c r="CMK159" s="250"/>
      <c r="CML159" s="250"/>
      <c r="CMM159" s="250"/>
      <c r="CMN159" s="250"/>
      <c r="CMO159" s="250"/>
      <c r="CMP159" s="250"/>
      <c r="CMQ159" s="250"/>
      <c r="CMR159" s="250"/>
      <c r="CMS159" s="250"/>
      <c r="CMT159" s="250"/>
      <c r="CMU159" s="250"/>
      <c r="CMV159" s="250"/>
      <c r="CMW159" s="250"/>
      <c r="CMX159" s="250"/>
      <c r="CMY159" s="250"/>
      <c r="CMZ159" s="250"/>
      <c r="CNA159" s="250"/>
      <c r="CNB159" s="250"/>
      <c r="CNC159" s="250"/>
      <c r="CND159" s="250"/>
      <c r="CNE159" s="250"/>
      <c r="CNF159" s="250"/>
      <c r="CNG159" s="250"/>
      <c r="CNH159" s="250"/>
      <c r="CNI159" s="250"/>
      <c r="CNJ159" s="250"/>
      <c r="CNK159" s="250"/>
      <c r="CNL159" s="250"/>
      <c r="CNM159" s="250"/>
      <c r="CNN159" s="250"/>
      <c r="CNO159" s="250"/>
      <c r="CNP159" s="250"/>
      <c r="CNQ159" s="250"/>
      <c r="CNR159" s="250"/>
      <c r="CNS159" s="250"/>
      <c r="CNT159" s="250"/>
      <c r="CNU159" s="250"/>
      <c r="CNV159" s="250"/>
      <c r="CNW159" s="250"/>
      <c r="CNX159" s="250"/>
      <c r="CNY159" s="250"/>
      <c r="CNZ159" s="250"/>
      <c r="COA159" s="250"/>
      <c r="COB159" s="250"/>
      <c r="COC159" s="250"/>
      <c r="COD159" s="250"/>
      <c r="COE159" s="250"/>
      <c r="COF159" s="250"/>
      <c r="COG159" s="250"/>
      <c r="COH159" s="250"/>
      <c r="COI159" s="250"/>
      <c r="COJ159" s="250"/>
      <c r="COK159" s="250"/>
      <c r="COL159" s="250"/>
      <c r="COM159" s="250"/>
      <c r="CON159" s="250"/>
      <c r="COO159" s="250"/>
      <c r="COP159" s="250"/>
      <c r="COQ159" s="250"/>
      <c r="COR159" s="250"/>
      <c r="COS159" s="250"/>
      <c r="COT159" s="250"/>
      <c r="COU159" s="250"/>
      <c r="COV159" s="250"/>
      <c r="COW159" s="250"/>
      <c r="COX159" s="250"/>
      <c r="COY159" s="250"/>
      <c r="COZ159" s="250"/>
      <c r="CPA159" s="250"/>
      <c r="CPB159" s="250"/>
      <c r="CPC159" s="250"/>
      <c r="CPD159" s="250"/>
      <c r="CPE159" s="250"/>
      <c r="CPF159" s="250"/>
      <c r="CPG159" s="250"/>
      <c r="CPH159" s="250"/>
      <c r="CPI159" s="250"/>
      <c r="CPJ159" s="250"/>
      <c r="CPK159" s="250"/>
      <c r="CPL159" s="250"/>
      <c r="CPM159" s="250"/>
      <c r="CPN159" s="250"/>
      <c r="CPO159" s="250"/>
      <c r="CPP159" s="250"/>
      <c r="CPQ159" s="250"/>
      <c r="CPR159" s="250"/>
      <c r="CPS159" s="250"/>
      <c r="CPT159" s="250"/>
      <c r="CPU159" s="250"/>
      <c r="CPV159" s="250"/>
      <c r="CPW159" s="250"/>
      <c r="CPX159" s="250"/>
      <c r="CPY159" s="250"/>
      <c r="CPZ159" s="250"/>
      <c r="CQA159" s="250"/>
      <c r="CQB159" s="250"/>
      <c r="CQC159" s="250"/>
      <c r="CQD159" s="250"/>
      <c r="CQE159" s="250"/>
      <c r="CQF159" s="250"/>
      <c r="CQG159" s="250"/>
      <c r="CQH159" s="250"/>
      <c r="CQI159" s="250"/>
      <c r="CQJ159" s="250"/>
      <c r="CQK159" s="250"/>
      <c r="CQL159" s="250"/>
      <c r="CQM159" s="250"/>
      <c r="CQN159" s="250"/>
      <c r="CQO159" s="250"/>
      <c r="CQP159" s="250"/>
      <c r="CQQ159" s="250"/>
      <c r="CQR159" s="250"/>
      <c r="CQS159" s="250"/>
      <c r="CQT159" s="250"/>
      <c r="CQU159" s="250"/>
      <c r="CQV159" s="250"/>
      <c r="CQW159" s="250"/>
      <c r="CQX159" s="250"/>
      <c r="CQY159" s="250"/>
      <c r="CQZ159" s="250"/>
      <c r="CRA159" s="250"/>
      <c r="CRB159" s="250"/>
      <c r="CRC159" s="250"/>
      <c r="CRD159" s="250"/>
      <c r="CRE159" s="250"/>
      <c r="CRF159" s="250"/>
      <c r="CRG159" s="250"/>
      <c r="CRH159" s="250"/>
      <c r="CRI159" s="250"/>
      <c r="CRJ159" s="250"/>
      <c r="CRK159" s="250"/>
      <c r="CRL159" s="250"/>
      <c r="CRM159" s="250"/>
      <c r="CRN159" s="250"/>
      <c r="CRO159" s="250"/>
      <c r="CRP159" s="250"/>
      <c r="CRQ159" s="250"/>
      <c r="CRR159" s="250"/>
      <c r="CRS159" s="250"/>
      <c r="CRT159" s="250"/>
      <c r="CRU159" s="250"/>
      <c r="CRV159" s="250"/>
      <c r="CRW159" s="250"/>
      <c r="CRX159" s="250"/>
      <c r="CRY159" s="250"/>
      <c r="CRZ159" s="250"/>
      <c r="CSA159" s="250"/>
      <c r="CSB159" s="250"/>
      <c r="CSC159" s="250"/>
      <c r="CSD159" s="250"/>
      <c r="CSE159" s="250"/>
      <c r="CSF159" s="250"/>
      <c r="CSG159" s="250"/>
      <c r="CSH159" s="250"/>
      <c r="CSI159" s="250"/>
      <c r="CSJ159" s="250"/>
      <c r="CSK159" s="250"/>
      <c r="CSL159" s="250"/>
      <c r="CSM159" s="250"/>
      <c r="CSN159" s="250"/>
      <c r="CSO159" s="250"/>
      <c r="CSP159" s="250"/>
      <c r="CSQ159" s="250"/>
      <c r="CSR159" s="250"/>
      <c r="CSS159" s="250"/>
      <c r="CST159" s="250"/>
      <c r="CSU159" s="250"/>
      <c r="CSV159" s="250"/>
      <c r="CSW159" s="250"/>
      <c r="CSX159" s="250"/>
      <c r="CSY159" s="250"/>
      <c r="CSZ159" s="250"/>
      <c r="CTA159" s="250"/>
      <c r="CTB159" s="250"/>
      <c r="CTC159" s="250"/>
      <c r="CTD159" s="250"/>
      <c r="CTE159" s="250"/>
      <c r="CTF159" s="250"/>
      <c r="CTG159" s="250"/>
      <c r="CTH159" s="250"/>
      <c r="CTI159" s="250"/>
      <c r="CTJ159" s="250"/>
      <c r="CTK159" s="250"/>
      <c r="CTL159" s="250"/>
      <c r="CTM159" s="250"/>
      <c r="CTN159" s="250"/>
      <c r="CTO159" s="250"/>
      <c r="CTP159" s="250"/>
      <c r="CTQ159" s="250"/>
      <c r="CTR159" s="250"/>
      <c r="CTS159" s="250"/>
      <c r="CTT159" s="250"/>
      <c r="CTU159" s="250"/>
      <c r="CTV159" s="250"/>
      <c r="CTW159" s="250"/>
      <c r="CTX159" s="250"/>
      <c r="CTY159" s="250"/>
      <c r="CTZ159" s="250"/>
      <c r="CUA159" s="250"/>
      <c r="CUB159" s="250"/>
      <c r="CUC159" s="250"/>
      <c r="CUD159" s="250"/>
      <c r="CUE159" s="250"/>
      <c r="CUF159" s="250"/>
      <c r="CUG159" s="250"/>
      <c r="CUH159" s="250"/>
      <c r="CUI159" s="250"/>
      <c r="CUJ159" s="250"/>
      <c r="CUK159" s="250"/>
      <c r="CUL159" s="250"/>
      <c r="CUM159" s="250"/>
      <c r="CUN159" s="250"/>
      <c r="CUO159" s="250"/>
      <c r="CUP159" s="250"/>
      <c r="CUQ159" s="250"/>
      <c r="CUR159" s="250"/>
      <c r="CUS159" s="250"/>
      <c r="CUT159" s="250"/>
      <c r="CUU159" s="250"/>
      <c r="CUV159" s="250"/>
      <c r="CUW159" s="250"/>
      <c r="CUX159" s="250"/>
      <c r="CUY159" s="250"/>
      <c r="CUZ159" s="250"/>
      <c r="CVA159" s="250"/>
      <c r="CVB159" s="250"/>
      <c r="CVC159" s="250"/>
      <c r="CVD159" s="250"/>
      <c r="CVE159" s="250"/>
      <c r="CVF159" s="250"/>
      <c r="CVG159" s="250"/>
      <c r="CVH159" s="250"/>
      <c r="CVI159" s="250"/>
      <c r="CVJ159" s="250"/>
      <c r="CVK159" s="250"/>
      <c r="CVL159" s="250"/>
      <c r="CVM159" s="250"/>
      <c r="CVN159" s="250"/>
      <c r="CVO159" s="250"/>
      <c r="CVP159" s="250"/>
      <c r="CVQ159" s="250"/>
      <c r="CVR159" s="250"/>
      <c r="CVS159" s="250"/>
      <c r="CVT159" s="250"/>
      <c r="CVU159" s="250"/>
      <c r="CVV159" s="250"/>
      <c r="CVW159" s="250"/>
      <c r="CVX159" s="250"/>
      <c r="CVY159" s="250"/>
      <c r="CVZ159" s="250"/>
      <c r="CWA159" s="250"/>
      <c r="CWB159" s="250"/>
      <c r="CWC159" s="250"/>
      <c r="CWD159" s="250"/>
      <c r="CWE159" s="250"/>
      <c r="CWF159" s="250"/>
      <c r="CWG159" s="250"/>
      <c r="CWH159" s="250"/>
      <c r="CWI159" s="250"/>
      <c r="CWJ159" s="250"/>
      <c r="CWK159" s="250"/>
      <c r="CWL159" s="250"/>
      <c r="CWM159" s="250"/>
      <c r="CWN159" s="250"/>
      <c r="CWO159" s="250"/>
      <c r="CWP159" s="250"/>
      <c r="CWQ159" s="250"/>
      <c r="CWR159" s="250"/>
      <c r="CWS159" s="250"/>
      <c r="CWT159" s="250"/>
      <c r="CWU159" s="250"/>
      <c r="CWV159" s="250"/>
      <c r="CWW159" s="250"/>
      <c r="CWX159" s="250"/>
      <c r="CWY159" s="250"/>
      <c r="CWZ159" s="250"/>
      <c r="CXA159" s="250"/>
      <c r="CXB159" s="250"/>
      <c r="CXC159" s="250"/>
      <c r="CXD159" s="250"/>
      <c r="CXE159" s="250"/>
      <c r="CXF159" s="250"/>
      <c r="CXG159" s="250"/>
      <c r="CXH159" s="250"/>
      <c r="CXI159" s="250"/>
      <c r="CXJ159" s="250"/>
      <c r="CXK159" s="250"/>
      <c r="CXL159" s="250"/>
      <c r="CXM159" s="250"/>
      <c r="CXN159" s="250"/>
      <c r="CXO159" s="250"/>
      <c r="CXP159" s="250"/>
      <c r="CXQ159" s="250"/>
      <c r="CXR159" s="250"/>
      <c r="CXS159" s="250"/>
      <c r="CXT159" s="250"/>
      <c r="CXU159" s="250"/>
      <c r="CXV159" s="250"/>
      <c r="CXW159" s="250"/>
      <c r="CXX159" s="250"/>
      <c r="CXY159" s="250"/>
      <c r="CXZ159" s="250"/>
      <c r="CYA159" s="250"/>
      <c r="CYB159" s="250"/>
      <c r="CYC159" s="250"/>
      <c r="CYD159" s="250"/>
      <c r="CYE159" s="250"/>
      <c r="CYF159" s="250"/>
      <c r="CYG159" s="250"/>
      <c r="CYH159" s="250"/>
      <c r="CYI159" s="250"/>
      <c r="CYJ159" s="250"/>
      <c r="CYK159" s="250"/>
      <c r="CYL159" s="250"/>
      <c r="CYM159" s="250"/>
      <c r="CYN159" s="250"/>
      <c r="CYO159" s="250"/>
      <c r="CYP159" s="250"/>
      <c r="CYQ159" s="250"/>
      <c r="CYR159" s="250"/>
      <c r="CYS159" s="250"/>
      <c r="CYT159" s="250"/>
      <c r="CYU159" s="250"/>
      <c r="CYV159" s="250"/>
      <c r="CYW159" s="250"/>
      <c r="CYX159" s="250"/>
      <c r="CYY159" s="250"/>
      <c r="CYZ159" s="250"/>
      <c r="CZA159" s="250"/>
      <c r="CZB159" s="250"/>
      <c r="CZC159" s="250"/>
      <c r="CZD159" s="250"/>
      <c r="CZE159" s="250"/>
      <c r="CZF159" s="250"/>
      <c r="CZG159" s="250"/>
      <c r="CZH159" s="250"/>
      <c r="CZI159" s="250"/>
      <c r="CZJ159" s="250"/>
      <c r="CZK159" s="250"/>
      <c r="CZL159" s="250"/>
      <c r="CZM159" s="250"/>
      <c r="CZN159" s="250"/>
      <c r="CZO159" s="250"/>
      <c r="CZP159" s="250"/>
      <c r="CZQ159" s="250"/>
      <c r="CZR159" s="250"/>
      <c r="CZS159" s="250"/>
      <c r="CZT159" s="250"/>
      <c r="CZU159" s="250"/>
      <c r="CZV159" s="250"/>
      <c r="CZW159" s="250"/>
      <c r="CZX159" s="250"/>
      <c r="CZY159" s="250"/>
      <c r="CZZ159" s="250"/>
      <c r="DAA159" s="250"/>
      <c r="DAB159" s="250"/>
      <c r="DAC159" s="250"/>
      <c r="DAD159" s="250"/>
      <c r="DAE159" s="250"/>
      <c r="DAF159" s="250"/>
      <c r="DAG159" s="250"/>
      <c r="DAH159" s="250"/>
      <c r="DAI159" s="250"/>
      <c r="DAJ159" s="250"/>
      <c r="DAK159" s="250"/>
      <c r="DAL159" s="250"/>
      <c r="DAM159" s="250"/>
      <c r="DAN159" s="250"/>
      <c r="DAO159" s="250"/>
      <c r="DAP159" s="250"/>
      <c r="DAQ159" s="250"/>
      <c r="DAR159" s="250"/>
      <c r="DAS159" s="250"/>
      <c r="DAT159" s="250"/>
      <c r="DAU159" s="250"/>
      <c r="DAV159" s="250"/>
      <c r="DAW159" s="250"/>
      <c r="DAX159" s="250"/>
      <c r="DAY159" s="250"/>
      <c r="DAZ159" s="250"/>
      <c r="DBA159" s="250"/>
      <c r="DBB159" s="250"/>
      <c r="DBC159" s="250"/>
      <c r="DBD159" s="250"/>
      <c r="DBE159" s="250"/>
      <c r="DBF159" s="250"/>
      <c r="DBG159" s="250"/>
      <c r="DBH159" s="250"/>
      <c r="DBI159" s="250"/>
      <c r="DBJ159" s="250"/>
      <c r="DBK159" s="250"/>
      <c r="DBL159" s="250"/>
      <c r="DBM159" s="250"/>
      <c r="DBN159" s="250"/>
      <c r="DBO159" s="250"/>
      <c r="DBP159" s="250"/>
      <c r="DBQ159" s="250"/>
      <c r="DBR159" s="250"/>
      <c r="DBS159" s="250"/>
      <c r="DBT159" s="250"/>
      <c r="DBU159" s="250"/>
      <c r="DBV159" s="250"/>
      <c r="DBW159" s="250"/>
      <c r="DBX159" s="250"/>
      <c r="DBY159" s="250"/>
      <c r="DBZ159" s="250"/>
      <c r="DCA159" s="250"/>
      <c r="DCB159" s="250"/>
      <c r="DCC159" s="250"/>
      <c r="DCD159" s="250"/>
      <c r="DCE159" s="250"/>
      <c r="DCF159" s="250"/>
      <c r="DCG159" s="250"/>
      <c r="DCH159" s="250"/>
      <c r="DCI159" s="250"/>
      <c r="DCJ159" s="250"/>
      <c r="DCK159" s="250"/>
      <c r="DCL159" s="250"/>
      <c r="DCM159" s="250"/>
      <c r="DCN159" s="250"/>
      <c r="DCO159" s="250"/>
      <c r="DCP159" s="250"/>
      <c r="DCQ159" s="250"/>
      <c r="DCR159" s="250"/>
      <c r="DCS159" s="250"/>
      <c r="DCT159" s="250"/>
      <c r="DCU159" s="250"/>
      <c r="DCV159" s="250"/>
      <c r="DCW159" s="250"/>
      <c r="DCX159" s="250"/>
      <c r="DCY159" s="250"/>
      <c r="DCZ159" s="250"/>
      <c r="DDA159" s="250"/>
      <c r="DDB159" s="250"/>
      <c r="DDC159" s="250"/>
      <c r="DDD159" s="250"/>
      <c r="DDE159" s="250"/>
      <c r="DDF159" s="250"/>
      <c r="DDG159" s="250"/>
      <c r="DDH159" s="250"/>
      <c r="DDI159" s="250"/>
      <c r="DDJ159" s="250"/>
      <c r="DDK159" s="250"/>
      <c r="DDL159" s="250"/>
      <c r="DDM159" s="250"/>
      <c r="DDN159" s="250"/>
      <c r="DDO159" s="250"/>
      <c r="DDP159" s="250"/>
      <c r="DDQ159" s="250"/>
      <c r="DDR159" s="250"/>
      <c r="DDS159" s="250"/>
      <c r="DDT159" s="250"/>
      <c r="DDU159" s="250"/>
      <c r="DDV159" s="250"/>
      <c r="DDW159" s="250"/>
      <c r="DDX159" s="250"/>
      <c r="DDY159" s="250"/>
      <c r="DDZ159" s="250"/>
      <c r="DEA159" s="250"/>
      <c r="DEB159" s="250"/>
      <c r="DEC159" s="250"/>
      <c r="DED159" s="250"/>
      <c r="DEE159" s="250"/>
      <c r="DEF159" s="250"/>
      <c r="DEG159" s="250"/>
      <c r="DEH159" s="250"/>
      <c r="DEI159" s="250"/>
      <c r="DEJ159" s="250"/>
      <c r="DEK159" s="250"/>
      <c r="DEL159" s="250"/>
      <c r="DEM159" s="250"/>
      <c r="DEN159" s="250"/>
      <c r="DEO159" s="250"/>
      <c r="DEP159" s="250"/>
      <c r="DEQ159" s="250"/>
      <c r="DER159" s="250"/>
      <c r="DES159" s="250"/>
      <c r="DET159" s="250"/>
      <c r="DEU159" s="250"/>
      <c r="DEV159" s="250"/>
      <c r="DEW159" s="250"/>
      <c r="DEX159" s="250"/>
      <c r="DEY159" s="250"/>
      <c r="DEZ159" s="250"/>
      <c r="DFA159" s="250"/>
      <c r="DFB159" s="250"/>
      <c r="DFC159" s="250"/>
      <c r="DFD159" s="250"/>
      <c r="DFE159" s="250"/>
      <c r="DFF159" s="250"/>
      <c r="DFG159" s="250"/>
      <c r="DFH159" s="250"/>
      <c r="DFI159" s="250"/>
      <c r="DFJ159" s="250"/>
      <c r="DFK159" s="250"/>
      <c r="DFL159" s="250"/>
      <c r="DFM159" s="250"/>
      <c r="DFN159" s="250"/>
      <c r="DFO159" s="250"/>
      <c r="DFP159" s="250"/>
      <c r="DFQ159" s="250"/>
      <c r="DFR159" s="250"/>
      <c r="DFS159" s="250"/>
      <c r="DFT159" s="250"/>
      <c r="DFU159" s="250"/>
      <c r="DFV159" s="250"/>
      <c r="DFW159" s="250"/>
      <c r="DFX159" s="250"/>
      <c r="DFY159" s="250"/>
      <c r="DFZ159" s="250"/>
      <c r="DGA159" s="250"/>
      <c r="DGB159" s="250"/>
      <c r="DGC159" s="250"/>
      <c r="DGD159" s="250"/>
      <c r="DGE159" s="250"/>
      <c r="DGF159" s="250"/>
      <c r="DGG159" s="250"/>
      <c r="DGH159" s="250"/>
      <c r="DGI159" s="250"/>
      <c r="DGJ159" s="250"/>
      <c r="DGK159" s="250"/>
      <c r="DGL159" s="250"/>
      <c r="DGM159" s="250"/>
      <c r="DGN159" s="250"/>
      <c r="DGO159" s="250"/>
      <c r="DGP159" s="250"/>
      <c r="DGQ159" s="250"/>
      <c r="DGR159" s="250"/>
      <c r="DGS159" s="250"/>
      <c r="DGT159" s="250"/>
      <c r="DGU159" s="250"/>
      <c r="DGV159" s="250"/>
      <c r="DGW159" s="250"/>
      <c r="DGX159" s="250"/>
      <c r="DGY159" s="250"/>
      <c r="DGZ159" s="250"/>
      <c r="DHA159" s="250"/>
      <c r="DHB159" s="250"/>
      <c r="DHC159" s="250"/>
      <c r="DHD159" s="250"/>
      <c r="DHE159" s="250"/>
      <c r="DHF159" s="250"/>
      <c r="DHG159" s="250"/>
      <c r="DHH159" s="250"/>
      <c r="DHI159" s="250"/>
      <c r="DHJ159" s="250"/>
      <c r="DHK159" s="250"/>
      <c r="DHL159" s="250"/>
      <c r="DHM159" s="250"/>
      <c r="DHN159" s="250"/>
      <c r="DHO159" s="250"/>
      <c r="DHP159" s="250"/>
      <c r="DHQ159" s="250"/>
      <c r="DHR159" s="250"/>
      <c r="DHS159" s="250"/>
      <c r="DHT159" s="250"/>
      <c r="DHU159" s="250"/>
      <c r="DHV159" s="250"/>
      <c r="DHW159" s="250"/>
      <c r="DHX159" s="250"/>
      <c r="DHY159" s="250"/>
      <c r="DHZ159" s="250"/>
      <c r="DIA159" s="250"/>
      <c r="DIB159" s="250"/>
      <c r="DIC159" s="250"/>
      <c r="DID159" s="250"/>
      <c r="DIE159" s="250"/>
      <c r="DIF159" s="250"/>
      <c r="DIG159" s="250"/>
      <c r="DIH159" s="250"/>
      <c r="DII159" s="250"/>
      <c r="DIJ159" s="250"/>
      <c r="DIK159" s="250"/>
      <c r="DIL159" s="250"/>
      <c r="DIM159" s="250"/>
      <c r="DIN159" s="250"/>
      <c r="DIO159" s="250"/>
      <c r="DIP159" s="250"/>
      <c r="DIQ159" s="250"/>
      <c r="DIR159" s="250"/>
      <c r="DIS159" s="250"/>
      <c r="DIT159" s="250"/>
      <c r="DIU159" s="250"/>
      <c r="DIV159" s="250"/>
      <c r="DIW159" s="250"/>
      <c r="DIX159" s="250"/>
      <c r="DIY159" s="250"/>
      <c r="DIZ159" s="250"/>
      <c r="DJA159" s="250"/>
      <c r="DJB159" s="250"/>
      <c r="DJC159" s="250"/>
      <c r="DJD159" s="250"/>
      <c r="DJE159" s="250"/>
      <c r="DJF159" s="250"/>
      <c r="DJG159" s="250"/>
      <c r="DJH159" s="250"/>
      <c r="DJI159" s="250"/>
      <c r="DJJ159" s="250"/>
      <c r="DJK159" s="250"/>
      <c r="DJL159" s="250"/>
      <c r="DJM159" s="250"/>
      <c r="DJN159" s="250"/>
      <c r="DJO159" s="250"/>
      <c r="DJP159" s="250"/>
      <c r="DJQ159" s="250"/>
      <c r="DJR159" s="250"/>
      <c r="DJS159" s="250"/>
      <c r="DJT159" s="250"/>
      <c r="DJU159" s="250"/>
      <c r="DJV159" s="250"/>
      <c r="DJW159" s="250"/>
      <c r="DJX159" s="250"/>
      <c r="DJY159" s="250"/>
      <c r="DJZ159" s="250"/>
      <c r="DKA159" s="250"/>
      <c r="DKB159" s="250"/>
      <c r="DKC159" s="250"/>
      <c r="DKD159" s="250"/>
      <c r="DKE159" s="250"/>
      <c r="DKF159" s="250"/>
      <c r="DKG159" s="250"/>
      <c r="DKH159" s="250"/>
      <c r="DKI159" s="250"/>
      <c r="DKJ159" s="250"/>
      <c r="DKK159" s="250"/>
      <c r="DKL159" s="250"/>
      <c r="DKM159" s="250"/>
      <c r="DKN159" s="250"/>
      <c r="DKO159" s="250"/>
      <c r="DKP159" s="250"/>
      <c r="DKQ159" s="250"/>
      <c r="DKR159" s="250"/>
      <c r="DKS159" s="250"/>
      <c r="DKT159" s="250"/>
      <c r="DKU159" s="250"/>
      <c r="DKV159" s="250"/>
      <c r="DKW159" s="250"/>
      <c r="DKX159" s="250"/>
      <c r="DKY159" s="250"/>
      <c r="DKZ159" s="250"/>
      <c r="DLA159" s="250"/>
      <c r="DLB159" s="250"/>
      <c r="DLC159" s="250"/>
      <c r="DLD159" s="250"/>
      <c r="DLE159" s="250"/>
      <c r="DLF159" s="250"/>
      <c r="DLG159" s="250"/>
      <c r="DLH159" s="250"/>
      <c r="DLI159" s="250"/>
      <c r="DLJ159" s="250"/>
      <c r="DLK159" s="250"/>
      <c r="DLL159" s="250"/>
      <c r="DLM159" s="250"/>
      <c r="DLN159" s="250"/>
      <c r="DLO159" s="250"/>
      <c r="DLP159" s="250"/>
      <c r="DLQ159" s="250"/>
      <c r="DLR159" s="250"/>
      <c r="DLS159" s="250"/>
      <c r="DLT159" s="250"/>
      <c r="DLU159" s="250"/>
      <c r="DLV159" s="250"/>
      <c r="DLW159" s="250"/>
      <c r="DLX159" s="250"/>
      <c r="DLY159" s="250"/>
      <c r="DLZ159" s="250"/>
      <c r="DMA159" s="250"/>
      <c r="DMB159" s="250"/>
      <c r="DMC159" s="250"/>
      <c r="DMD159" s="250"/>
      <c r="DME159" s="250"/>
      <c r="DMF159" s="250"/>
      <c r="DMG159" s="250"/>
      <c r="DMH159" s="250"/>
      <c r="DMI159" s="250"/>
      <c r="DMJ159" s="250"/>
      <c r="DMK159" s="250"/>
      <c r="DML159" s="250"/>
      <c r="DMM159" s="250"/>
      <c r="DMN159" s="250"/>
      <c r="DMO159" s="250"/>
      <c r="DMP159" s="250"/>
      <c r="DMQ159" s="250"/>
      <c r="DMR159" s="250"/>
      <c r="DMS159" s="250"/>
      <c r="DMT159" s="250"/>
      <c r="DMU159" s="250"/>
      <c r="DMV159" s="250"/>
      <c r="DMW159" s="250"/>
      <c r="DMX159" s="250"/>
      <c r="DMY159" s="250"/>
      <c r="DMZ159" s="250"/>
      <c r="DNA159" s="250"/>
      <c r="DNB159" s="250"/>
      <c r="DNC159" s="250"/>
      <c r="DND159" s="250"/>
      <c r="DNE159" s="250"/>
      <c r="DNF159" s="250"/>
      <c r="DNG159" s="250"/>
      <c r="DNH159" s="250"/>
      <c r="DNI159" s="250"/>
      <c r="DNJ159" s="250"/>
      <c r="DNK159" s="250"/>
      <c r="DNL159" s="250"/>
      <c r="DNM159" s="250"/>
      <c r="DNN159" s="250"/>
      <c r="DNO159" s="250"/>
      <c r="DNP159" s="250"/>
      <c r="DNQ159" s="250"/>
      <c r="DNR159" s="250"/>
      <c r="DNS159" s="250"/>
      <c r="DNT159" s="250"/>
      <c r="DNU159" s="250"/>
      <c r="DNV159" s="250"/>
      <c r="DNW159" s="250"/>
      <c r="DNX159" s="250"/>
      <c r="DNY159" s="250"/>
      <c r="DNZ159" s="250"/>
      <c r="DOA159" s="250"/>
      <c r="DOB159" s="250"/>
      <c r="DOC159" s="250"/>
      <c r="DOD159" s="250"/>
      <c r="DOE159" s="250"/>
      <c r="DOF159" s="250"/>
      <c r="DOG159" s="250"/>
      <c r="DOH159" s="250"/>
      <c r="DOI159" s="250"/>
      <c r="DOJ159" s="250"/>
      <c r="DOK159" s="250"/>
      <c r="DOL159" s="250"/>
      <c r="DOM159" s="250"/>
      <c r="DON159" s="250"/>
      <c r="DOO159" s="250"/>
      <c r="DOP159" s="250"/>
      <c r="DOQ159" s="250"/>
      <c r="DOR159" s="250"/>
      <c r="DOS159" s="250"/>
      <c r="DOT159" s="250"/>
      <c r="DOU159" s="250"/>
      <c r="DOV159" s="250"/>
      <c r="DOW159" s="250"/>
      <c r="DOX159" s="250"/>
      <c r="DOY159" s="250"/>
      <c r="DOZ159" s="250"/>
      <c r="DPA159" s="250"/>
      <c r="DPB159" s="250"/>
      <c r="DPC159" s="250"/>
      <c r="DPD159" s="250"/>
      <c r="DPE159" s="250"/>
      <c r="DPF159" s="250"/>
      <c r="DPG159" s="250"/>
      <c r="DPH159" s="250"/>
      <c r="DPI159" s="250"/>
      <c r="DPJ159" s="250"/>
      <c r="DPK159" s="250"/>
      <c r="DPL159" s="250"/>
      <c r="DPM159" s="250"/>
      <c r="DPN159" s="250"/>
      <c r="DPO159" s="250"/>
      <c r="DPP159" s="250"/>
      <c r="DPQ159" s="250"/>
      <c r="DPR159" s="250"/>
      <c r="DPS159" s="250"/>
      <c r="DPT159" s="250"/>
      <c r="DPU159" s="250"/>
      <c r="DPV159" s="250"/>
      <c r="DPW159" s="250"/>
      <c r="DPX159" s="250"/>
      <c r="DPY159" s="250"/>
      <c r="DPZ159" s="250"/>
      <c r="DQA159" s="250"/>
      <c r="DQB159" s="250"/>
      <c r="DQC159" s="250"/>
      <c r="DQD159" s="250"/>
      <c r="DQE159" s="250"/>
      <c r="DQF159" s="250"/>
      <c r="DQG159" s="250"/>
      <c r="DQH159" s="250"/>
      <c r="DQI159" s="250"/>
      <c r="DQJ159" s="250"/>
      <c r="DQK159" s="250"/>
      <c r="DQL159" s="250"/>
      <c r="DQM159" s="250"/>
      <c r="DQN159" s="250"/>
      <c r="DQO159" s="250"/>
      <c r="DQP159" s="250"/>
      <c r="DQQ159" s="250"/>
      <c r="DQR159" s="250"/>
      <c r="DQS159" s="250"/>
      <c r="DQT159" s="250"/>
      <c r="DQU159" s="250"/>
      <c r="DQV159" s="250"/>
      <c r="DQW159" s="250"/>
      <c r="DQX159" s="250"/>
      <c r="DQY159" s="250"/>
      <c r="DQZ159" s="250"/>
      <c r="DRA159" s="250"/>
      <c r="DRB159" s="250"/>
      <c r="DRC159" s="250"/>
      <c r="DRD159" s="250"/>
      <c r="DRE159" s="250"/>
      <c r="DRF159" s="250"/>
      <c r="DRG159" s="250"/>
      <c r="DRH159" s="250"/>
      <c r="DRI159" s="250"/>
      <c r="DRJ159" s="250"/>
      <c r="DRK159" s="250"/>
      <c r="DRL159" s="250"/>
      <c r="DRM159" s="250"/>
      <c r="DRN159" s="250"/>
      <c r="DRO159" s="250"/>
      <c r="DRP159" s="250"/>
      <c r="DRQ159" s="250"/>
      <c r="DRR159" s="250"/>
      <c r="DRS159" s="250"/>
      <c r="DRT159" s="250"/>
      <c r="DRU159" s="250"/>
      <c r="DRV159" s="250"/>
      <c r="DRW159" s="250"/>
      <c r="DRX159" s="250"/>
      <c r="DRY159" s="250"/>
      <c r="DRZ159" s="250"/>
      <c r="DSA159" s="250"/>
      <c r="DSB159" s="250"/>
      <c r="DSC159" s="250"/>
      <c r="DSD159" s="250"/>
      <c r="DSE159" s="250"/>
      <c r="DSF159" s="250"/>
      <c r="DSG159" s="250"/>
      <c r="DSH159" s="250"/>
      <c r="DSI159" s="250"/>
      <c r="DSJ159" s="250"/>
      <c r="DSK159" s="250"/>
      <c r="DSL159" s="250"/>
      <c r="DSM159" s="250"/>
      <c r="DSN159" s="250"/>
      <c r="DSO159" s="250"/>
      <c r="DSP159" s="250"/>
      <c r="DSQ159" s="250"/>
      <c r="DSR159" s="250"/>
      <c r="DSS159" s="250"/>
      <c r="DST159" s="250"/>
      <c r="DSU159" s="250"/>
      <c r="DSV159" s="250"/>
      <c r="DSW159" s="250"/>
      <c r="DSX159" s="250"/>
      <c r="DSY159" s="250"/>
      <c r="DSZ159" s="250"/>
      <c r="DTA159" s="250"/>
      <c r="DTB159" s="250"/>
      <c r="DTC159" s="250"/>
      <c r="DTD159" s="250"/>
      <c r="DTE159" s="250"/>
      <c r="DTF159" s="250"/>
      <c r="DTG159" s="250"/>
      <c r="DTH159" s="250"/>
      <c r="DTI159" s="250"/>
      <c r="DTJ159" s="250"/>
      <c r="DTK159" s="250"/>
      <c r="DTL159" s="250"/>
      <c r="DTM159" s="250"/>
      <c r="DTN159" s="250"/>
      <c r="DTO159" s="250"/>
      <c r="DTP159" s="250"/>
      <c r="DTQ159" s="250"/>
      <c r="DTR159" s="250"/>
      <c r="DTS159" s="250"/>
      <c r="DTT159" s="250"/>
      <c r="DTU159" s="250"/>
      <c r="DTV159" s="250"/>
      <c r="DTW159" s="250"/>
      <c r="DTX159" s="250"/>
      <c r="DTY159" s="250"/>
      <c r="DTZ159" s="250"/>
      <c r="DUA159" s="250"/>
      <c r="DUB159" s="250"/>
      <c r="DUC159" s="250"/>
      <c r="DUD159" s="250"/>
      <c r="DUE159" s="250"/>
      <c r="DUF159" s="250"/>
      <c r="DUG159" s="250"/>
      <c r="DUH159" s="250"/>
      <c r="DUI159" s="250"/>
      <c r="DUJ159" s="250"/>
      <c r="DUK159" s="250"/>
      <c r="DUL159" s="250"/>
      <c r="DUM159" s="250"/>
      <c r="DUN159" s="250"/>
      <c r="DUO159" s="250"/>
      <c r="DUP159" s="250"/>
      <c r="DUQ159" s="250"/>
      <c r="DUR159" s="250"/>
      <c r="DUS159" s="250"/>
      <c r="DUT159" s="250"/>
      <c r="DUU159" s="250"/>
      <c r="DUV159" s="250"/>
      <c r="DUW159" s="250"/>
      <c r="DUX159" s="250"/>
      <c r="DUY159" s="250"/>
      <c r="DUZ159" s="250"/>
      <c r="DVA159" s="250"/>
      <c r="DVB159" s="250"/>
      <c r="DVC159" s="250"/>
      <c r="DVD159" s="250"/>
      <c r="DVE159" s="250"/>
      <c r="DVF159" s="250"/>
      <c r="DVG159" s="250"/>
      <c r="DVH159" s="250"/>
      <c r="DVI159" s="250"/>
      <c r="DVJ159" s="250"/>
      <c r="DVK159" s="250"/>
      <c r="DVL159" s="250"/>
      <c r="DVM159" s="250"/>
      <c r="DVN159" s="250"/>
      <c r="DVO159" s="250"/>
      <c r="DVP159" s="250"/>
      <c r="DVQ159" s="250"/>
      <c r="DVR159" s="250"/>
      <c r="DVS159" s="250"/>
      <c r="DVT159" s="250"/>
      <c r="DVU159" s="250"/>
      <c r="DVV159" s="250"/>
      <c r="DVW159" s="250"/>
      <c r="DVX159" s="250"/>
      <c r="DVY159" s="250"/>
      <c r="DVZ159" s="250"/>
      <c r="DWA159" s="250"/>
      <c r="DWB159" s="250"/>
      <c r="DWC159" s="250"/>
      <c r="DWD159" s="250"/>
      <c r="DWE159" s="250"/>
      <c r="DWF159" s="250"/>
      <c r="DWG159" s="250"/>
      <c r="DWH159" s="250"/>
      <c r="DWI159" s="250"/>
      <c r="DWJ159" s="250"/>
      <c r="DWK159" s="250"/>
      <c r="DWL159" s="250"/>
      <c r="DWM159" s="250"/>
      <c r="DWN159" s="250"/>
      <c r="DWO159" s="250"/>
      <c r="DWP159" s="250"/>
      <c r="DWQ159" s="250"/>
      <c r="DWR159" s="250"/>
      <c r="DWS159" s="250"/>
      <c r="DWT159" s="250"/>
      <c r="DWU159" s="250"/>
      <c r="DWV159" s="250"/>
      <c r="DWW159" s="250"/>
      <c r="DWX159" s="250"/>
      <c r="DWY159" s="250"/>
      <c r="DWZ159" s="250"/>
      <c r="DXA159" s="250"/>
      <c r="DXB159" s="250"/>
      <c r="DXC159" s="250"/>
      <c r="DXD159" s="250"/>
      <c r="DXE159" s="250"/>
      <c r="DXF159" s="250"/>
      <c r="DXG159" s="250"/>
      <c r="DXH159" s="250"/>
      <c r="DXI159" s="250"/>
      <c r="DXJ159" s="250"/>
      <c r="DXK159" s="250"/>
      <c r="DXL159" s="250"/>
      <c r="DXM159" s="250"/>
      <c r="DXN159" s="250"/>
      <c r="DXO159" s="250"/>
      <c r="DXP159" s="250"/>
      <c r="DXQ159" s="250"/>
      <c r="DXR159" s="250"/>
      <c r="DXS159" s="250"/>
      <c r="DXT159" s="250"/>
      <c r="DXU159" s="250"/>
      <c r="DXV159" s="250"/>
      <c r="DXW159" s="250"/>
      <c r="DXX159" s="250"/>
      <c r="DXY159" s="250"/>
      <c r="DXZ159" s="250"/>
      <c r="DYA159" s="250"/>
      <c r="DYB159" s="250"/>
      <c r="DYC159" s="250"/>
      <c r="DYD159" s="250"/>
      <c r="DYE159" s="250"/>
      <c r="DYF159" s="250"/>
      <c r="DYG159" s="250"/>
      <c r="DYH159" s="250"/>
      <c r="DYI159" s="250"/>
      <c r="DYJ159" s="250"/>
      <c r="DYK159" s="250"/>
      <c r="DYL159" s="250"/>
      <c r="DYM159" s="250"/>
      <c r="DYN159" s="250"/>
      <c r="DYO159" s="250"/>
      <c r="DYP159" s="250"/>
      <c r="DYQ159" s="250"/>
      <c r="DYR159" s="250"/>
      <c r="DYS159" s="250"/>
      <c r="DYT159" s="250"/>
      <c r="DYU159" s="250"/>
      <c r="DYV159" s="250"/>
      <c r="DYW159" s="250"/>
      <c r="DYX159" s="250"/>
      <c r="DYY159" s="250"/>
      <c r="DYZ159" s="250"/>
      <c r="DZA159" s="250"/>
      <c r="DZB159" s="250"/>
      <c r="DZC159" s="250"/>
      <c r="DZD159" s="250"/>
      <c r="DZE159" s="250"/>
      <c r="DZF159" s="250"/>
      <c r="DZG159" s="250"/>
      <c r="DZH159" s="250"/>
      <c r="DZI159" s="250"/>
      <c r="DZJ159" s="250"/>
      <c r="DZK159" s="250"/>
      <c r="DZL159" s="250"/>
      <c r="DZM159" s="250"/>
      <c r="DZN159" s="250"/>
      <c r="DZO159" s="250"/>
      <c r="DZP159" s="250"/>
      <c r="DZQ159" s="250"/>
      <c r="DZR159" s="250"/>
      <c r="DZS159" s="250"/>
      <c r="DZT159" s="250"/>
      <c r="DZU159" s="250"/>
      <c r="DZV159" s="250"/>
      <c r="DZW159" s="250"/>
      <c r="DZX159" s="250"/>
      <c r="DZY159" s="250"/>
      <c r="DZZ159" s="250"/>
      <c r="EAA159" s="250"/>
      <c r="EAB159" s="250"/>
      <c r="EAC159" s="250"/>
      <c r="EAD159" s="250"/>
      <c r="EAE159" s="250"/>
      <c r="EAF159" s="250"/>
      <c r="EAG159" s="250"/>
      <c r="EAH159" s="250"/>
      <c r="EAI159" s="250"/>
      <c r="EAJ159" s="250"/>
      <c r="EAK159" s="250"/>
      <c r="EAL159" s="250"/>
      <c r="EAM159" s="250"/>
      <c r="EAN159" s="250"/>
      <c r="EAO159" s="250"/>
      <c r="EAP159" s="250"/>
      <c r="EAQ159" s="250"/>
      <c r="EAR159" s="250"/>
      <c r="EAS159" s="250"/>
      <c r="EAT159" s="250"/>
      <c r="EAU159" s="250"/>
      <c r="EAV159" s="250"/>
      <c r="EAW159" s="250"/>
      <c r="EAX159" s="250"/>
      <c r="EAY159" s="250"/>
      <c r="EAZ159" s="250"/>
      <c r="EBA159" s="250"/>
      <c r="EBB159" s="250"/>
      <c r="EBC159" s="250"/>
      <c r="EBD159" s="250"/>
      <c r="EBE159" s="250"/>
      <c r="EBF159" s="250"/>
      <c r="EBG159" s="250"/>
      <c r="EBH159" s="250"/>
      <c r="EBI159" s="250"/>
      <c r="EBJ159" s="250"/>
      <c r="EBK159" s="250"/>
      <c r="EBL159" s="250"/>
      <c r="EBM159" s="250"/>
      <c r="EBN159" s="250"/>
      <c r="EBO159" s="250"/>
      <c r="EBP159" s="250"/>
      <c r="EBQ159" s="250"/>
      <c r="EBR159" s="250"/>
      <c r="EBS159" s="250"/>
      <c r="EBT159" s="250"/>
      <c r="EBU159" s="250"/>
      <c r="EBV159" s="250"/>
      <c r="EBW159" s="250"/>
      <c r="EBX159" s="250"/>
      <c r="EBY159" s="250"/>
      <c r="EBZ159" s="250"/>
      <c r="ECA159" s="250"/>
      <c r="ECB159" s="250"/>
      <c r="ECC159" s="250"/>
      <c r="ECD159" s="250"/>
      <c r="ECE159" s="250"/>
      <c r="ECF159" s="250"/>
      <c r="ECG159" s="250"/>
      <c r="ECH159" s="250"/>
      <c r="ECI159" s="250"/>
      <c r="ECJ159" s="250"/>
      <c r="ECK159" s="250"/>
      <c r="ECL159" s="250"/>
      <c r="ECM159" s="250"/>
      <c r="ECN159" s="250"/>
      <c r="ECO159" s="250"/>
      <c r="ECP159" s="250"/>
      <c r="ECQ159" s="250"/>
      <c r="ECR159" s="250"/>
      <c r="ECS159" s="250"/>
      <c r="ECT159" s="250"/>
      <c r="ECU159" s="250"/>
      <c r="ECV159" s="250"/>
      <c r="ECW159" s="250"/>
      <c r="ECX159" s="250"/>
      <c r="ECY159" s="250"/>
      <c r="ECZ159" s="250"/>
      <c r="EDA159" s="250"/>
      <c r="EDB159" s="250"/>
      <c r="EDC159" s="250"/>
      <c r="EDD159" s="250"/>
      <c r="EDE159" s="250"/>
      <c r="EDF159" s="250"/>
      <c r="EDG159" s="250"/>
      <c r="EDH159" s="250"/>
      <c r="EDI159" s="250"/>
      <c r="EDJ159" s="250"/>
      <c r="EDK159" s="250"/>
      <c r="EDL159" s="250"/>
      <c r="EDM159" s="250"/>
      <c r="EDN159" s="250"/>
      <c r="EDO159" s="250"/>
      <c r="EDP159" s="250"/>
      <c r="EDQ159" s="250"/>
      <c r="EDR159" s="250"/>
      <c r="EDS159" s="250"/>
      <c r="EDT159" s="250"/>
      <c r="EDU159" s="250"/>
      <c r="EDV159" s="250"/>
      <c r="EDW159" s="250"/>
      <c r="EDX159" s="250"/>
      <c r="EDY159" s="250"/>
      <c r="EDZ159" s="250"/>
      <c r="EEA159" s="250"/>
      <c r="EEB159" s="250"/>
      <c r="EEC159" s="250"/>
      <c r="EED159" s="250"/>
      <c r="EEE159" s="250"/>
      <c r="EEF159" s="250"/>
      <c r="EEG159" s="250"/>
      <c r="EEH159" s="250"/>
      <c r="EEI159" s="250"/>
      <c r="EEJ159" s="250"/>
      <c r="EEK159" s="250"/>
      <c r="EEL159" s="250"/>
      <c r="EEM159" s="250"/>
      <c r="EEN159" s="250"/>
      <c r="EEO159" s="250"/>
      <c r="EEP159" s="250"/>
      <c r="EEQ159" s="250"/>
      <c r="EER159" s="250"/>
      <c r="EES159" s="250"/>
      <c r="EET159" s="250"/>
      <c r="EEU159" s="250"/>
      <c r="EEV159" s="250"/>
      <c r="EEW159" s="250"/>
      <c r="EEX159" s="250"/>
      <c r="EEY159" s="250"/>
      <c r="EEZ159" s="250"/>
      <c r="EFA159" s="250"/>
      <c r="EFB159" s="250"/>
      <c r="EFC159" s="250"/>
      <c r="EFD159" s="250"/>
      <c r="EFE159" s="250"/>
      <c r="EFF159" s="250"/>
      <c r="EFG159" s="250"/>
      <c r="EFH159" s="250"/>
      <c r="EFI159" s="250"/>
      <c r="EFJ159" s="250"/>
      <c r="EFK159" s="250"/>
      <c r="EFL159" s="250"/>
      <c r="EFM159" s="250"/>
      <c r="EFN159" s="250"/>
      <c r="EFO159" s="250"/>
      <c r="EFP159" s="250"/>
      <c r="EFQ159" s="250"/>
      <c r="EFR159" s="250"/>
      <c r="EFS159" s="250"/>
      <c r="EFT159" s="250"/>
      <c r="EFU159" s="250"/>
      <c r="EFV159" s="250"/>
      <c r="EFW159" s="250"/>
      <c r="EFX159" s="250"/>
      <c r="EFY159" s="250"/>
      <c r="EFZ159" s="250"/>
      <c r="EGA159" s="250"/>
      <c r="EGB159" s="250"/>
      <c r="EGC159" s="250"/>
      <c r="EGD159" s="250"/>
      <c r="EGE159" s="250"/>
      <c r="EGF159" s="250"/>
      <c r="EGG159" s="250"/>
      <c r="EGH159" s="250"/>
      <c r="EGI159" s="250"/>
      <c r="EGJ159" s="250"/>
      <c r="EGK159" s="250"/>
      <c r="EGL159" s="250"/>
      <c r="EGM159" s="250"/>
      <c r="EGN159" s="250"/>
      <c r="EGO159" s="250"/>
      <c r="EGP159" s="250"/>
      <c r="EGQ159" s="250"/>
      <c r="EGR159" s="250"/>
      <c r="EGS159" s="250"/>
      <c r="EGT159" s="250"/>
      <c r="EGU159" s="250"/>
      <c r="EGV159" s="250"/>
      <c r="EGW159" s="250"/>
      <c r="EGX159" s="250"/>
      <c r="EGY159" s="250"/>
      <c r="EGZ159" s="250"/>
      <c r="EHA159" s="250"/>
      <c r="EHB159" s="250"/>
      <c r="EHC159" s="250"/>
      <c r="EHD159" s="250"/>
      <c r="EHE159" s="250"/>
      <c r="EHF159" s="250"/>
      <c r="EHG159" s="250"/>
      <c r="EHH159" s="250"/>
      <c r="EHI159" s="250"/>
      <c r="EHJ159" s="250"/>
      <c r="EHK159" s="250"/>
      <c r="EHL159" s="250"/>
      <c r="EHM159" s="250"/>
      <c r="EHN159" s="250"/>
      <c r="EHO159" s="250"/>
      <c r="EHP159" s="250"/>
      <c r="EHQ159" s="250"/>
      <c r="EHR159" s="250"/>
      <c r="EHS159" s="250"/>
      <c r="EHT159" s="250"/>
      <c r="EHU159" s="250"/>
      <c r="EHV159" s="250"/>
      <c r="EHW159" s="250"/>
      <c r="EHX159" s="250"/>
      <c r="EHY159" s="250"/>
      <c r="EHZ159" s="250"/>
      <c r="EIA159" s="250"/>
      <c r="EIB159" s="250"/>
      <c r="EIC159" s="250"/>
      <c r="EID159" s="250"/>
      <c r="EIE159" s="250"/>
      <c r="EIF159" s="250"/>
      <c r="EIG159" s="250"/>
      <c r="EIH159" s="250"/>
      <c r="EII159" s="250"/>
      <c r="EIJ159" s="250"/>
      <c r="EIK159" s="250"/>
      <c r="EIL159" s="250"/>
      <c r="EIM159" s="250"/>
      <c r="EIN159" s="250"/>
      <c r="EIO159" s="250"/>
      <c r="EIP159" s="250"/>
      <c r="EIQ159" s="250"/>
      <c r="EIR159" s="250"/>
      <c r="EIS159" s="250"/>
      <c r="EIT159" s="250"/>
      <c r="EIU159" s="250"/>
      <c r="EIV159" s="250"/>
      <c r="EIW159" s="250"/>
      <c r="EIX159" s="250"/>
      <c r="EIY159" s="250"/>
      <c r="EIZ159" s="250"/>
      <c r="EJA159" s="250"/>
      <c r="EJB159" s="250"/>
      <c r="EJC159" s="250"/>
      <c r="EJD159" s="250"/>
      <c r="EJE159" s="250"/>
      <c r="EJF159" s="250"/>
      <c r="EJG159" s="250"/>
      <c r="EJH159" s="250"/>
      <c r="EJI159" s="250"/>
      <c r="EJJ159" s="250"/>
      <c r="EJK159" s="250"/>
      <c r="EJL159" s="250"/>
      <c r="EJM159" s="250"/>
      <c r="EJN159" s="250"/>
      <c r="EJO159" s="250"/>
      <c r="EJP159" s="250"/>
      <c r="EJQ159" s="250"/>
      <c r="EJR159" s="250"/>
      <c r="EJS159" s="250"/>
      <c r="EJT159" s="250"/>
      <c r="EJU159" s="250"/>
      <c r="EJV159" s="250"/>
      <c r="EJW159" s="250"/>
      <c r="EJX159" s="250"/>
      <c r="EJY159" s="250"/>
      <c r="EJZ159" s="250"/>
      <c r="EKA159" s="250"/>
      <c r="EKB159" s="250"/>
      <c r="EKC159" s="250"/>
      <c r="EKD159" s="250"/>
      <c r="EKE159" s="250"/>
      <c r="EKF159" s="250"/>
      <c r="EKG159" s="250"/>
      <c r="EKH159" s="250"/>
      <c r="EKI159" s="250"/>
      <c r="EKJ159" s="250"/>
      <c r="EKK159" s="250"/>
      <c r="EKL159" s="250"/>
      <c r="EKM159" s="250"/>
      <c r="EKN159" s="250"/>
      <c r="EKO159" s="250"/>
      <c r="EKP159" s="250"/>
      <c r="EKQ159" s="250"/>
      <c r="EKR159" s="250"/>
      <c r="EKS159" s="250"/>
      <c r="EKT159" s="250"/>
      <c r="EKU159" s="250"/>
      <c r="EKV159" s="250"/>
      <c r="EKW159" s="250"/>
      <c r="EKX159" s="250"/>
      <c r="EKY159" s="250"/>
      <c r="EKZ159" s="250"/>
      <c r="ELA159" s="250"/>
      <c r="ELB159" s="250"/>
      <c r="ELC159" s="250"/>
      <c r="ELD159" s="250"/>
      <c r="ELE159" s="250"/>
      <c r="ELF159" s="250"/>
      <c r="ELG159" s="250"/>
      <c r="ELH159" s="250"/>
      <c r="ELI159" s="250"/>
      <c r="ELJ159" s="250"/>
      <c r="ELK159" s="250"/>
      <c r="ELL159" s="250"/>
      <c r="ELM159" s="250"/>
      <c r="ELN159" s="250"/>
      <c r="ELO159" s="250"/>
      <c r="ELP159" s="250"/>
      <c r="ELQ159" s="250"/>
      <c r="ELR159" s="250"/>
      <c r="ELS159" s="250"/>
      <c r="ELT159" s="250"/>
      <c r="ELU159" s="250"/>
      <c r="ELV159" s="250"/>
      <c r="ELW159" s="250"/>
      <c r="ELX159" s="250"/>
      <c r="ELY159" s="250"/>
      <c r="ELZ159" s="250"/>
      <c r="EMA159" s="250"/>
      <c r="EMB159" s="250"/>
      <c r="EMC159" s="250"/>
      <c r="EMD159" s="250"/>
      <c r="EME159" s="250"/>
      <c r="EMF159" s="250"/>
      <c r="EMG159" s="250"/>
      <c r="EMH159" s="250"/>
      <c r="EMI159" s="250"/>
      <c r="EMJ159" s="250"/>
      <c r="EMK159" s="250"/>
      <c r="EML159" s="250"/>
      <c r="EMM159" s="250"/>
      <c r="EMN159" s="250"/>
      <c r="EMO159" s="250"/>
      <c r="EMP159" s="250"/>
      <c r="EMQ159" s="250"/>
      <c r="EMR159" s="250"/>
      <c r="EMS159" s="250"/>
      <c r="EMT159" s="250"/>
      <c r="EMU159" s="250"/>
      <c r="EMV159" s="250"/>
      <c r="EMW159" s="250"/>
      <c r="EMX159" s="250"/>
      <c r="EMY159" s="250"/>
      <c r="EMZ159" s="250"/>
      <c r="ENA159" s="250"/>
      <c r="ENB159" s="250"/>
      <c r="ENC159" s="250"/>
      <c r="END159" s="250"/>
      <c r="ENE159" s="250"/>
      <c r="ENF159" s="250"/>
      <c r="ENG159" s="250"/>
      <c r="ENH159" s="250"/>
      <c r="ENI159" s="250"/>
      <c r="ENJ159" s="250"/>
      <c r="ENK159" s="250"/>
      <c r="ENL159" s="250"/>
      <c r="ENM159" s="250"/>
      <c r="ENN159" s="250"/>
      <c r="ENO159" s="250"/>
      <c r="ENP159" s="250"/>
      <c r="ENQ159" s="250"/>
      <c r="ENR159" s="250"/>
      <c r="ENS159" s="250"/>
      <c r="ENT159" s="250"/>
      <c r="ENU159" s="250"/>
      <c r="ENV159" s="250"/>
      <c r="ENW159" s="250"/>
      <c r="ENX159" s="250"/>
      <c r="ENY159" s="250"/>
      <c r="ENZ159" s="250"/>
      <c r="EOA159" s="250"/>
      <c r="EOB159" s="250"/>
      <c r="EOC159" s="250"/>
      <c r="EOD159" s="250"/>
      <c r="EOE159" s="250"/>
      <c r="EOF159" s="250"/>
      <c r="EOG159" s="250"/>
      <c r="EOH159" s="250"/>
      <c r="EOI159" s="250"/>
      <c r="EOJ159" s="250"/>
      <c r="EOK159" s="250"/>
      <c r="EOL159" s="250"/>
      <c r="EOM159" s="250"/>
      <c r="EON159" s="250"/>
      <c r="EOO159" s="250"/>
      <c r="EOP159" s="250"/>
      <c r="EOQ159" s="250"/>
      <c r="EOR159" s="250"/>
      <c r="EOS159" s="250"/>
      <c r="EOT159" s="250"/>
      <c r="EOU159" s="250"/>
      <c r="EOV159" s="250"/>
      <c r="EOW159" s="250"/>
      <c r="EOX159" s="250"/>
      <c r="EOY159" s="250"/>
      <c r="EOZ159" s="250"/>
      <c r="EPA159" s="250"/>
      <c r="EPB159" s="250"/>
      <c r="EPC159" s="250"/>
      <c r="EPD159" s="250"/>
      <c r="EPE159" s="250"/>
      <c r="EPF159" s="250"/>
      <c r="EPG159" s="250"/>
      <c r="EPH159" s="250"/>
      <c r="EPI159" s="250"/>
      <c r="EPJ159" s="250"/>
      <c r="EPK159" s="250"/>
      <c r="EPL159" s="250"/>
      <c r="EPM159" s="250"/>
      <c r="EPN159" s="250"/>
      <c r="EPO159" s="250"/>
      <c r="EPP159" s="250"/>
      <c r="EPQ159" s="250"/>
      <c r="EPR159" s="250"/>
      <c r="EPS159" s="250"/>
      <c r="EPT159" s="250"/>
      <c r="EPU159" s="250"/>
      <c r="EPV159" s="250"/>
      <c r="EPW159" s="250"/>
      <c r="EPX159" s="250"/>
      <c r="EPY159" s="250"/>
      <c r="EPZ159" s="250"/>
      <c r="EQA159" s="250"/>
      <c r="EQB159" s="250"/>
      <c r="EQC159" s="250"/>
      <c r="EQD159" s="250"/>
      <c r="EQE159" s="250"/>
      <c r="EQF159" s="250"/>
      <c r="EQG159" s="250"/>
      <c r="EQH159" s="250"/>
      <c r="EQI159" s="250"/>
      <c r="EQJ159" s="250"/>
      <c r="EQK159" s="250"/>
      <c r="EQL159" s="250"/>
      <c r="EQM159" s="250"/>
      <c r="EQN159" s="250"/>
      <c r="EQO159" s="250"/>
      <c r="EQP159" s="250"/>
      <c r="EQQ159" s="250"/>
      <c r="EQR159" s="250"/>
      <c r="EQS159" s="250"/>
      <c r="EQT159" s="250"/>
      <c r="EQU159" s="250"/>
      <c r="EQV159" s="250"/>
      <c r="EQW159" s="250"/>
      <c r="EQX159" s="250"/>
      <c r="EQY159" s="250"/>
      <c r="EQZ159" s="250"/>
      <c r="ERA159" s="250"/>
      <c r="ERB159" s="250"/>
      <c r="ERC159" s="250"/>
      <c r="ERD159" s="250"/>
      <c r="ERE159" s="250"/>
      <c r="ERF159" s="250"/>
      <c r="ERG159" s="250"/>
      <c r="ERH159" s="250"/>
      <c r="ERI159" s="250"/>
      <c r="ERJ159" s="250"/>
      <c r="ERK159" s="250"/>
      <c r="ERL159" s="250"/>
      <c r="ERM159" s="250"/>
      <c r="ERN159" s="250"/>
      <c r="ERO159" s="250"/>
      <c r="ERP159" s="250"/>
      <c r="ERQ159" s="250"/>
      <c r="ERR159" s="250"/>
      <c r="ERS159" s="250"/>
      <c r="ERT159" s="250"/>
      <c r="ERU159" s="250"/>
      <c r="ERV159" s="250"/>
      <c r="ERW159" s="250"/>
      <c r="ERX159" s="250"/>
      <c r="ERY159" s="250"/>
      <c r="ERZ159" s="250"/>
      <c r="ESA159" s="250"/>
      <c r="ESB159" s="250"/>
      <c r="ESC159" s="250"/>
      <c r="ESD159" s="250"/>
      <c r="ESE159" s="250"/>
      <c r="ESF159" s="250"/>
      <c r="ESG159" s="250"/>
      <c r="ESH159" s="250"/>
      <c r="ESI159" s="250"/>
      <c r="ESJ159" s="250"/>
      <c r="ESK159" s="250"/>
      <c r="ESL159" s="250"/>
      <c r="ESM159" s="250"/>
      <c r="ESN159" s="250"/>
      <c r="ESO159" s="250"/>
      <c r="ESP159" s="250"/>
      <c r="ESQ159" s="250"/>
      <c r="ESR159" s="250"/>
      <c r="ESS159" s="250"/>
      <c r="EST159" s="250"/>
      <c r="ESU159" s="250"/>
      <c r="ESV159" s="250"/>
      <c r="ESW159" s="250"/>
      <c r="ESX159" s="250"/>
      <c r="ESY159" s="250"/>
      <c r="ESZ159" s="250"/>
      <c r="ETA159" s="250"/>
      <c r="ETB159" s="250"/>
      <c r="ETC159" s="250"/>
      <c r="ETD159" s="250"/>
      <c r="ETE159" s="250"/>
      <c r="ETF159" s="250"/>
      <c r="ETG159" s="250"/>
      <c r="ETH159" s="250"/>
      <c r="ETI159" s="250"/>
      <c r="ETJ159" s="250"/>
      <c r="ETK159" s="250"/>
      <c r="ETL159" s="250"/>
      <c r="ETM159" s="250"/>
      <c r="ETN159" s="250"/>
      <c r="ETO159" s="250"/>
      <c r="ETP159" s="250"/>
      <c r="ETQ159" s="250"/>
      <c r="ETR159" s="250"/>
      <c r="ETS159" s="250"/>
      <c r="ETT159" s="250"/>
      <c r="ETU159" s="250"/>
      <c r="ETV159" s="250"/>
      <c r="ETW159" s="250"/>
      <c r="ETX159" s="250"/>
      <c r="ETY159" s="250"/>
      <c r="ETZ159" s="250"/>
      <c r="EUA159" s="250"/>
      <c r="EUB159" s="250"/>
      <c r="EUC159" s="250"/>
      <c r="EUD159" s="250"/>
      <c r="EUE159" s="250"/>
      <c r="EUF159" s="250"/>
      <c r="EUG159" s="250"/>
      <c r="EUH159" s="250"/>
      <c r="EUI159" s="250"/>
      <c r="EUJ159" s="250"/>
      <c r="EUK159" s="250"/>
      <c r="EUL159" s="250"/>
      <c r="EUM159" s="250"/>
      <c r="EUN159" s="250"/>
      <c r="EUO159" s="250"/>
      <c r="EUP159" s="250"/>
      <c r="EUQ159" s="250"/>
      <c r="EUR159" s="250"/>
      <c r="EUS159" s="250"/>
      <c r="EUT159" s="250"/>
      <c r="EUU159" s="250"/>
      <c r="EUV159" s="250"/>
      <c r="EUW159" s="250"/>
      <c r="EUX159" s="250"/>
      <c r="EUY159" s="250"/>
      <c r="EUZ159" s="250"/>
      <c r="EVA159" s="250"/>
      <c r="EVB159" s="250"/>
      <c r="EVC159" s="250"/>
      <c r="EVD159" s="250"/>
      <c r="EVE159" s="250"/>
      <c r="EVF159" s="250"/>
      <c r="EVG159" s="250"/>
      <c r="EVH159" s="250"/>
      <c r="EVI159" s="250"/>
      <c r="EVJ159" s="250"/>
      <c r="EVK159" s="250"/>
      <c r="EVL159" s="250"/>
      <c r="EVM159" s="250"/>
      <c r="EVN159" s="250"/>
      <c r="EVO159" s="250"/>
      <c r="EVP159" s="250"/>
      <c r="EVQ159" s="250"/>
      <c r="EVR159" s="250"/>
      <c r="EVS159" s="250"/>
      <c r="EVT159" s="250"/>
      <c r="EVU159" s="250"/>
      <c r="EVV159" s="250"/>
      <c r="EVW159" s="250"/>
      <c r="EVX159" s="250"/>
      <c r="EVY159" s="250"/>
      <c r="EVZ159" s="250"/>
      <c r="EWA159" s="250"/>
      <c r="EWB159" s="250"/>
      <c r="EWC159" s="250"/>
      <c r="EWD159" s="250"/>
      <c r="EWE159" s="250"/>
      <c r="EWF159" s="250"/>
      <c r="EWG159" s="250"/>
      <c r="EWH159" s="250"/>
      <c r="EWI159" s="250"/>
      <c r="EWJ159" s="250"/>
      <c r="EWK159" s="250"/>
      <c r="EWL159" s="250"/>
      <c r="EWM159" s="250"/>
      <c r="EWN159" s="250"/>
      <c r="EWO159" s="250"/>
      <c r="EWP159" s="250"/>
      <c r="EWQ159" s="250"/>
      <c r="EWR159" s="250"/>
      <c r="EWS159" s="250"/>
      <c r="EWT159" s="250"/>
      <c r="EWU159" s="250"/>
      <c r="EWV159" s="250"/>
      <c r="EWW159" s="250"/>
      <c r="EWX159" s="250"/>
      <c r="EWY159" s="250"/>
      <c r="EWZ159" s="250"/>
      <c r="EXA159" s="250"/>
      <c r="EXB159" s="250"/>
      <c r="EXC159" s="250"/>
      <c r="EXD159" s="250"/>
      <c r="EXE159" s="250"/>
      <c r="EXF159" s="250"/>
      <c r="EXG159" s="250"/>
      <c r="EXH159" s="250"/>
      <c r="EXI159" s="250"/>
      <c r="EXJ159" s="250"/>
      <c r="EXK159" s="250"/>
      <c r="EXL159" s="250"/>
      <c r="EXM159" s="250"/>
      <c r="EXN159" s="250"/>
      <c r="EXO159" s="250"/>
      <c r="EXP159" s="250"/>
      <c r="EXQ159" s="250"/>
      <c r="EXR159" s="250"/>
      <c r="EXS159" s="250"/>
      <c r="EXT159" s="250"/>
      <c r="EXU159" s="250"/>
      <c r="EXV159" s="250"/>
      <c r="EXW159" s="250"/>
      <c r="EXX159" s="250"/>
      <c r="EXY159" s="250"/>
      <c r="EXZ159" s="250"/>
      <c r="EYA159" s="250"/>
      <c r="EYB159" s="250"/>
      <c r="EYC159" s="250"/>
      <c r="EYD159" s="250"/>
      <c r="EYE159" s="250"/>
      <c r="EYF159" s="250"/>
      <c r="EYG159" s="250"/>
      <c r="EYH159" s="250"/>
      <c r="EYI159" s="250"/>
      <c r="EYJ159" s="250"/>
      <c r="EYK159" s="250"/>
      <c r="EYL159" s="250"/>
      <c r="EYM159" s="250"/>
      <c r="EYN159" s="250"/>
      <c r="EYO159" s="250"/>
      <c r="EYP159" s="250"/>
      <c r="EYQ159" s="250"/>
      <c r="EYR159" s="250"/>
      <c r="EYS159" s="250"/>
      <c r="EYT159" s="250"/>
      <c r="EYU159" s="250"/>
      <c r="EYV159" s="250"/>
      <c r="EYW159" s="250"/>
      <c r="EYX159" s="250"/>
      <c r="EYY159" s="250"/>
      <c r="EYZ159" s="250"/>
      <c r="EZA159" s="250"/>
      <c r="EZB159" s="250"/>
      <c r="EZC159" s="250"/>
      <c r="EZD159" s="250"/>
      <c r="EZE159" s="250"/>
      <c r="EZF159" s="250"/>
      <c r="EZG159" s="250"/>
      <c r="EZH159" s="250"/>
      <c r="EZI159" s="250"/>
      <c r="EZJ159" s="250"/>
      <c r="EZK159" s="250"/>
      <c r="EZL159" s="250"/>
      <c r="EZM159" s="250"/>
      <c r="EZN159" s="250"/>
      <c r="EZO159" s="250"/>
      <c r="EZP159" s="250"/>
      <c r="EZQ159" s="250"/>
      <c r="EZR159" s="250"/>
      <c r="EZS159" s="250"/>
      <c r="EZT159" s="250"/>
      <c r="EZU159" s="250"/>
      <c r="EZV159" s="250"/>
      <c r="EZW159" s="250"/>
      <c r="EZX159" s="250"/>
      <c r="EZY159" s="250"/>
      <c r="EZZ159" s="250"/>
      <c r="FAA159" s="250"/>
      <c r="FAB159" s="250"/>
      <c r="FAC159" s="250"/>
      <c r="FAD159" s="250"/>
      <c r="FAE159" s="250"/>
      <c r="FAF159" s="250"/>
      <c r="FAG159" s="250"/>
      <c r="FAH159" s="250"/>
      <c r="FAI159" s="250"/>
      <c r="FAJ159" s="250"/>
      <c r="FAK159" s="250"/>
      <c r="FAL159" s="250"/>
      <c r="FAM159" s="250"/>
      <c r="FAN159" s="250"/>
      <c r="FAO159" s="250"/>
      <c r="FAP159" s="250"/>
      <c r="FAQ159" s="250"/>
      <c r="FAR159" s="250"/>
      <c r="FAS159" s="250"/>
      <c r="FAT159" s="250"/>
      <c r="FAU159" s="250"/>
      <c r="FAV159" s="250"/>
      <c r="FAW159" s="250"/>
      <c r="FAX159" s="250"/>
      <c r="FAY159" s="250"/>
      <c r="FAZ159" s="250"/>
      <c r="FBA159" s="250"/>
      <c r="FBB159" s="250"/>
      <c r="FBC159" s="250"/>
      <c r="FBD159" s="250"/>
      <c r="FBE159" s="250"/>
      <c r="FBF159" s="250"/>
      <c r="FBG159" s="250"/>
      <c r="FBH159" s="250"/>
      <c r="FBI159" s="250"/>
      <c r="FBJ159" s="250"/>
      <c r="FBK159" s="250"/>
      <c r="FBL159" s="250"/>
      <c r="FBM159" s="250"/>
      <c r="FBN159" s="250"/>
      <c r="FBO159" s="250"/>
      <c r="FBP159" s="250"/>
      <c r="FBQ159" s="250"/>
      <c r="FBR159" s="250"/>
      <c r="FBS159" s="250"/>
      <c r="FBT159" s="250"/>
      <c r="FBU159" s="250"/>
      <c r="FBV159" s="250"/>
      <c r="FBW159" s="250"/>
      <c r="FBX159" s="250"/>
      <c r="FBY159" s="250"/>
      <c r="FBZ159" s="250"/>
      <c r="FCA159" s="250"/>
      <c r="FCB159" s="250"/>
      <c r="FCC159" s="250"/>
      <c r="FCD159" s="250"/>
      <c r="FCE159" s="250"/>
      <c r="FCF159" s="250"/>
      <c r="FCG159" s="250"/>
      <c r="FCH159" s="250"/>
      <c r="FCI159" s="250"/>
      <c r="FCJ159" s="250"/>
      <c r="FCK159" s="250"/>
      <c r="FCL159" s="250"/>
      <c r="FCM159" s="250"/>
      <c r="FCN159" s="250"/>
      <c r="FCO159" s="250"/>
      <c r="FCP159" s="250"/>
      <c r="FCQ159" s="250"/>
      <c r="FCR159" s="250"/>
      <c r="FCS159" s="250"/>
      <c r="FCT159" s="250"/>
      <c r="FCU159" s="250"/>
      <c r="FCV159" s="250"/>
      <c r="FCW159" s="250"/>
      <c r="FCX159" s="250"/>
      <c r="FCY159" s="250"/>
      <c r="FCZ159" s="250"/>
      <c r="FDA159" s="250"/>
      <c r="FDB159" s="250"/>
      <c r="FDC159" s="250"/>
      <c r="FDD159" s="250"/>
      <c r="FDE159" s="250"/>
      <c r="FDF159" s="250"/>
      <c r="FDG159" s="250"/>
      <c r="FDH159" s="250"/>
      <c r="FDI159" s="250"/>
      <c r="FDJ159" s="250"/>
      <c r="FDK159" s="250"/>
      <c r="FDL159" s="250"/>
      <c r="FDM159" s="250"/>
      <c r="FDN159" s="250"/>
      <c r="FDO159" s="250"/>
      <c r="FDP159" s="250"/>
      <c r="FDQ159" s="250"/>
      <c r="FDR159" s="250"/>
      <c r="FDS159" s="250"/>
      <c r="FDT159" s="250"/>
      <c r="FDU159" s="250"/>
      <c r="FDV159" s="250"/>
      <c r="FDW159" s="250"/>
      <c r="FDX159" s="250"/>
      <c r="FDY159" s="250"/>
      <c r="FDZ159" s="250"/>
      <c r="FEA159" s="250"/>
      <c r="FEB159" s="250"/>
      <c r="FEC159" s="250"/>
      <c r="FED159" s="250"/>
      <c r="FEE159" s="250"/>
      <c r="FEF159" s="250"/>
      <c r="FEG159" s="250"/>
      <c r="FEH159" s="250"/>
      <c r="FEI159" s="250"/>
      <c r="FEJ159" s="250"/>
      <c r="FEK159" s="250"/>
      <c r="FEL159" s="250"/>
      <c r="FEM159" s="250"/>
      <c r="FEN159" s="250"/>
      <c r="FEO159" s="250"/>
      <c r="FEP159" s="250"/>
      <c r="FEQ159" s="250"/>
      <c r="FER159" s="250"/>
      <c r="FES159" s="250"/>
      <c r="FET159" s="250"/>
      <c r="FEU159" s="250"/>
      <c r="FEV159" s="250"/>
      <c r="FEW159" s="250"/>
      <c r="FEX159" s="250"/>
      <c r="FEY159" s="250"/>
      <c r="FEZ159" s="250"/>
      <c r="FFA159" s="250"/>
      <c r="FFB159" s="250"/>
      <c r="FFC159" s="250"/>
      <c r="FFD159" s="250"/>
      <c r="FFE159" s="250"/>
      <c r="FFF159" s="250"/>
      <c r="FFG159" s="250"/>
      <c r="FFH159" s="250"/>
      <c r="FFI159" s="250"/>
      <c r="FFJ159" s="250"/>
      <c r="FFK159" s="250"/>
      <c r="FFL159" s="250"/>
      <c r="FFM159" s="250"/>
      <c r="FFN159" s="250"/>
      <c r="FFO159" s="250"/>
      <c r="FFP159" s="250"/>
      <c r="FFQ159" s="250"/>
      <c r="FFR159" s="250"/>
      <c r="FFS159" s="250"/>
      <c r="FFT159" s="250"/>
      <c r="FFU159" s="250"/>
      <c r="FFV159" s="250"/>
      <c r="FFW159" s="250"/>
      <c r="FFX159" s="250"/>
      <c r="FFY159" s="250"/>
      <c r="FFZ159" s="250"/>
      <c r="FGA159" s="250"/>
      <c r="FGB159" s="250"/>
      <c r="FGC159" s="250"/>
      <c r="FGD159" s="250"/>
      <c r="FGE159" s="250"/>
      <c r="FGF159" s="250"/>
      <c r="FGG159" s="250"/>
      <c r="FGH159" s="250"/>
      <c r="FGI159" s="250"/>
      <c r="FGJ159" s="250"/>
      <c r="FGK159" s="250"/>
      <c r="FGL159" s="250"/>
      <c r="FGM159" s="250"/>
      <c r="FGN159" s="250"/>
      <c r="FGO159" s="250"/>
      <c r="FGP159" s="250"/>
      <c r="FGQ159" s="250"/>
      <c r="FGR159" s="250"/>
      <c r="FGS159" s="250"/>
      <c r="FGT159" s="250"/>
      <c r="FGU159" s="250"/>
      <c r="FGV159" s="250"/>
      <c r="FGW159" s="250"/>
      <c r="FGX159" s="250"/>
      <c r="FGY159" s="250"/>
      <c r="FGZ159" s="250"/>
      <c r="FHA159" s="250"/>
      <c r="FHB159" s="250"/>
      <c r="FHC159" s="250"/>
      <c r="FHD159" s="250"/>
      <c r="FHE159" s="250"/>
      <c r="FHF159" s="250"/>
      <c r="FHG159" s="250"/>
      <c r="FHH159" s="250"/>
      <c r="FHI159" s="250"/>
      <c r="FHJ159" s="250"/>
      <c r="FHK159" s="250"/>
      <c r="FHL159" s="250"/>
      <c r="FHM159" s="250"/>
      <c r="FHN159" s="250"/>
      <c r="FHO159" s="250"/>
      <c r="FHP159" s="250"/>
      <c r="FHQ159" s="250"/>
      <c r="FHR159" s="250"/>
      <c r="FHS159" s="250"/>
      <c r="FHT159" s="250"/>
      <c r="FHU159" s="250"/>
      <c r="FHV159" s="250"/>
      <c r="FHW159" s="250"/>
      <c r="FHX159" s="250"/>
      <c r="FHY159" s="250"/>
      <c r="FHZ159" s="250"/>
      <c r="FIA159" s="250"/>
      <c r="FIB159" s="250"/>
      <c r="FIC159" s="250"/>
      <c r="FID159" s="250"/>
      <c r="FIE159" s="250"/>
      <c r="FIF159" s="250"/>
      <c r="FIG159" s="250"/>
      <c r="FIH159" s="250"/>
      <c r="FII159" s="250"/>
      <c r="FIJ159" s="250"/>
      <c r="FIK159" s="250"/>
      <c r="FIL159" s="250"/>
      <c r="FIM159" s="250"/>
      <c r="FIN159" s="250"/>
      <c r="FIO159" s="250"/>
      <c r="FIP159" s="250"/>
      <c r="FIQ159" s="250"/>
      <c r="FIR159" s="250"/>
      <c r="FIS159" s="250"/>
      <c r="FIT159" s="250"/>
      <c r="FIU159" s="250"/>
      <c r="FIV159" s="250"/>
      <c r="FIW159" s="250"/>
      <c r="FIX159" s="250"/>
      <c r="FIY159" s="250"/>
      <c r="FIZ159" s="250"/>
      <c r="FJA159" s="250"/>
      <c r="FJB159" s="250"/>
      <c r="FJC159" s="250"/>
      <c r="FJD159" s="250"/>
      <c r="FJE159" s="250"/>
      <c r="FJF159" s="250"/>
      <c r="FJG159" s="250"/>
      <c r="FJH159" s="250"/>
      <c r="FJI159" s="250"/>
      <c r="FJJ159" s="250"/>
      <c r="FJK159" s="250"/>
      <c r="FJL159" s="250"/>
      <c r="FJM159" s="250"/>
      <c r="FJN159" s="250"/>
      <c r="FJO159" s="250"/>
      <c r="FJP159" s="250"/>
      <c r="FJQ159" s="250"/>
      <c r="FJR159" s="250"/>
      <c r="FJS159" s="250"/>
      <c r="FJT159" s="250"/>
      <c r="FJU159" s="250"/>
      <c r="FJV159" s="250"/>
      <c r="FJW159" s="250"/>
      <c r="FJX159" s="250"/>
      <c r="FJY159" s="250"/>
      <c r="FJZ159" s="250"/>
      <c r="FKA159" s="250"/>
      <c r="FKB159" s="250"/>
      <c r="FKC159" s="250"/>
      <c r="FKD159" s="250"/>
      <c r="FKE159" s="250"/>
      <c r="FKF159" s="250"/>
      <c r="FKG159" s="250"/>
      <c r="FKH159" s="250"/>
      <c r="FKI159" s="250"/>
      <c r="FKJ159" s="250"/>
      <c r="FKK159" s="250"/>
      <c r="FKL159" s="250"/>
      <c r="FKM159" s="250"/>
      <c r="FKN159" s="250"/>
      <c r="FKO159" s="250"/>
      <c r="FKP159" s="250"/>
      <c r="FKQ159" s="250"/>
      <c r="FKR159" s="250"/>
      <c r="FKS159" s="250"/>
      <c r="FKT159" s="250"/>
      <c r="FKU159" s="250"/>
      <c r="FKV159" s="250"/>
      <c r="FKW159" s="250"/>
      <c r="FKX159" s="250"/>
      <c r="FKY159" s="250"/>
      <c r="FKZ159" s="250"/>
      <c r="FLA159" s="250"/>
      <c r="FLB159" s="250"/>
      <c r="FLC159" s="250"/>
      <c r="FLD159" s="250"/>
      <c r="FLE159" s="250"/>
      <c r="FLF159" s="250"/>
      <c r="FLG159" s="250"/>
      <c r="FLH159" s="250"/>
      <c r="FLI159" s="250"/>
      <c r="FLJ159" s="250"/>
      <c r="FLK159" s="250"/>
      <c r="FLL159" s="250"/>
      <c r="FLM159" s="250"/>
      <c r="FLN159" s="250"/>
      <c r="FLO159" s="250"/>
      <c r="FLP159" s="250"/>
      <c r="FLQ159" s="250"/>
      <c r="FLR159" s="250"/>
      <c r="FLS159" s="250"/>
      <c r="FLT159" s="250"/>
      <c r="FLU159" s="250"/>
      <c r="FLV159" s="250"/>
      <c r="FLW159" s="250"/>
      <c r="FLX159" s="250"/>
      <c r="FLY159" s="250"/>
      <c r="FLZ159" s="250"/>
      <c r="FMA159" s="250"/>
      <c r="FMB159" s="250"/>
      <c r="FMC159" s="250"/>
      <c r="FMD159" s="250"/>
      <c r="FME159" s="250"/>
      <c r="FMF159" s="250"/>
      <c r="FMG159" s="250"/>
      <c r="FMH159" s="250"/>
      <c r="FMI159" s="250"/>
      <c r="FMJ159" s="250"/>
      <c r="FMK159" s="250"/>
      <c r="FML159" s="250"/>
      <c r="FMM159" s="250"/>
      <c r="FMN159" s="250"/>
      <c r="FMO159" s="250"/>
      <c r="FMP159" s="250"/>
      <c r="FMQ159" s="250"/>
      <c r="FMR159" s="250"/>
      <c r="FMS159" s="250"/>
      <c r="FMT159" s="250"/>
      <c r="FMU159" s="250"/>
      <c r="FMV159" s="250"/>
      <c r="FMW159" s="250"/>
      <c r="FMX159" s="250"/>
      <c r="FMY159" s="250"/>
      <c r="FMZ159" s="250"/>
      <c r="FNA159" s="250"/>
      <c r="FNB159" s="250"/>
      <c r="FNC159" s="250"/>
      <c r="FND159" s="250"/>
      <c r="FNE159" s="250"/>
      <c r="FNF159" s="250"/>
      <c r="FNG159" s="250"/>
      <c r="FNH159" s="250"/>
      <c r="FNI159" s="250"/>
      <c r="FNJ159" s="250"/>
      <c r="FNK159" s="250"/>
      <c r="FNL159" s="250"/>
      <c r="FNM159" s="250"/>
      <c r="FNN159" s="250"/>
      <c r="FNO159" s="250"/>
      <c r="FNP159" s="250"/>
      <c r="FNQ159" s="250"/>
      <c r="FNR159" s="250"/>
      <c r="FNS159" s="250"/>
      <c r="FNT159" s="250"/>
      <c r="FNU159" s="250"/>
      <c r="FNV159" s="250"/>
      <c r="FNW159" s="250"/>
      <c r="FNX159" s="250"/>
      <c r="FNY159" s="250"/>
      <c r="FNZ159" s="250"/>
      <c r="FOA159" s="250"/>
      <c r="FOB159" s="250"/>
      <c r="FOC159" s="250"/>
      <c r="FOD159" s="250"/>
      <c r="FOE159" s="250"/>
      <c r="FOF159" s="250"/>
      <c r="FOG159" s="250"/>
      <c r="FOH159" s="250"/>
      <c r="FOI159" s="250"/>
      <c r="FOJ159" s="250"/>
      <c r="FOK159" s="250"/>
      <c r="FOL159" s="250"/>
      <c r="FOM159" s="250"/>
      <c r="FON159" s="250"/>
      <c r="FOO159" s="250"/>
      <c r="FOP159" s="250"/>
      <c r="FOQ159" s="250"/>
      <c r="FOR159" s="250"/>
      <c r="FOS159" s="250"/>
      <c r="FOT159" s="250"/>
      <c r="FOU159" s="250"/>
      <c r="FOV159" s="250"/>
      <c r="FOW159" s="250"/>
      <c r="FOX159" s="250"/>
      <c r="FOY159" s="250"/>
      <c r="FOZ159" s="250"/>
      <c r="FPA159" s="250"/>
      <c r="FPB159" s="250"/>
      <c r="FPC159" s="250"/>
      <c r="FPD159" s="250"/>
      <c r="FPE159" s="250"/>
      <c r="FPF159" s="250"/>
      <c r="FPG159" s="250"/>
      <c r="FPH159" s="250"/>
      <c r="FPI159" s="250"/>
      <c r="FPJ159" s="250"/>
      <c r="FPK159" s="250"/>
      <c r="FPL159" s="250"/>
      <c r="FPM159" s="250"/>
      <c r="FPN159" s="250"/>
      <c r="FPO159" s="250"/>
      <c r="FPP159" s="250"/>
      <c r="FPQ159" s="250"/>
      <c r="FPR159" s="250"/>
      <c r="FPS159" s="250"/>
      <c r="FPT159" s="250"/>
      <c r="FPU159" s="250"/>
      <c r="FPV159" s="250"/>
      <c r="FPW159" s="250"/>
      <c r="FPX159" s="250"/>
      <c r="FPY159" s="250"/>
      <c r="FPZ159" s="250"/>
      <c r="FQA159" s="250"/>
      <c r="FQB159" s="250"/>
      <c r="FQC159" s="250"/>
      <c r="FQD159" s="250"/>
      <c r="FQE159" s="250"/>
      <c r="FQF159" s="250"/>
      <c r="FQG159" s="250"/>
      <c r="FQH159" s="250"/>
      <c r="FQI159" s="250"/>
      <c r="FQJ159" s="250"/>
      <c r="FQK159" s="250"/>
      <c r="FQL159" s="250"/>
      <c r="FQM159" s="250"/>
      <c r="FQN159" s="250"/>
      <c r="FQO159" s="250"/>
      <c r="FQP159" s="250"/>
      <c r="FQQ159" s="250"/>
      <c r="FQR159" s="250"/>
      <c r="FQS159" s="250"/>
      <c r="FQT159" s="250"/>
      <c r="FQU159" s="250"/>
      <c r="FQV159" s="250"/>
      <c r="FQW159" s="250"/>
      <c r="FQX159" s="250"/>
      <c r="FQY159" s="250"/>
      <c r="FQZ159" s="250"/>
      <c r="FRA159" s="250"/>
      <c r="FRB159" s="250"/>
      <c r="FRC159" s="250"/>
      <c r="FRD159" s="250"/>
      <c r="FRE159" s="250"/>
      <c r="FRF159" s="250"/>
      <c r="FRG159" s="250"/>
      <c r="FRH159" s="250"/>
      <c r="FRI159" s="250"/>
      <c r="FRJ159" s="250"/>
      <c r="FRK159" s="250"/>
      <c r="FRL159" s="250"/>
      <c r="FRM159" s="250"/>
      <c r="FRN159" s="250"/>
      <c r="FRO159" s="250"/>
      <c r="FRP159" s="250"/>
      <c r="FRQ159" s="250"/>
      <c r="FRR159" s="250"/>
      <c r="FRS159" s="250"/>
      <c r="FRT159" s="250"/>
      <c r="FRU159" s="250"/>
      <c r="FRV159" s="250"/>
      <c r="FRW159" s="250"/>
      <c r="FRX159" s="250"/>
      <c r="FRY159" s="250"/>
      <c r="FRZ159" s="250"/>
      <c r="FSA159" s="250"/>
      <c r="FSB159" s="250"/>
      <c r="FSC159" s="250"/>
      <c r="FSD159" s="250"/>
      <c r="FSE159" s="250"/>
      <c r="FSF159" s="250"/>
      <c r="FSG159" s="250"/>
      <c r="FSH159" s="250"/>
      <c r="FSI159" s="250"/>
      <c r="FSJ159" s="250"/>
      <c r="FSK159" s="250"/>
      <c r="FSL159" s="250"/>
      <c r="FSM159" s="250"/>
      <c r="FSN159" s="250"/>
      <c r="FSO159" s="250"/>
      <c r="FSP159" s="250"/>
      <c r="FSQ159" s="250"/>
      <c r="FSR159" s="250"/>
      <c r="FSS159" s="250"/>
      <c r="FST159" s="250"/>
      <c r="FSU159" s="250"/>
      <c r="FSV159" s="250"/>
      <c r="FSW159" s="250"/>
      <c r="FSX159" s="250"/>
      <c r="FSY159" s="250"/>
      <c r="FSZ159" s="250"/>
      <c r="FTA159" s="250"/>
      <c r="FTB159" s="250"/>
      <c r="FTC159" s="250"/>
      <c r="FTD159" s="250"/>
      <c r="FTE159" s="250"/>
      <c r="FTF159" s="250"/>
      <c r="FTG159" s="250"/>
      <c r="FTH159" s="250"/>
      <c r="FTI159" s="250"/>
      <c r="FTJ159" s="250"/>
      <c r="FTK159" s="250"/>
      <c r="FTL159" s="250"/>
      <c r="FTM159" s="250"/>
      <c r="FTN159" s="250"/>
      <c r="FTO159" s="250"/>
      <c r="FTP159" s="250"/>
      <c r="FTQ159" s="250"/>
      <c r="FTR159" s="250"/>
      <c r="FTS159" s="250"/>
      <c r="FTT159" s="250"/>
      <c r="FTU159" s="250"/>
      <c r="FTV159" s="250"/>
      <c r="FTW159" s="250"/>
      <c r="FTX159" s="250"/>
      <c r="FTY159" s="250"/>
      <c r="FTZ159" s="250"/>
      <c r="FUA159" s="250"/>
      <c r="FUB159" s="250"/>
      <c r="FUC159" s="250"/>
      <c r="FUD159" s="250"/>
      <c r="FUE159" s="250"/>
      <c r="FUF159" s="250"/>
      <c r="FUG159" s="250"/>
      <c r="FUH159" s="250"/>
      <c r="FUI159" s="250"/>
      <c r="FUJ159" s="250"/>
      <c r="FUK159" s="250"/>
      <c r="FUL159" s="250"/>
      <c r="FUM159" s="250"/>
      <c r="FUN159" s="250"/>
      <c r="FUO159" s="250"/>
      <c r="FUP159" s="250"/>
      <c r="FUQ159" s="250"/>
      <c r="FUR159" s="250"/>
      <c r="FUS159" s="250"/>
      <c r="FUT159" s="250"/>
      <c r="FUU159" s="250"/>
      <c r="FUV159" s="250"/>
      <c r="FUW159" s="250"/>
      <c r="FUX159" s="250"/>
      <c r="FUY159" s="250"/>
      <c r="FUZ159" s="250"/>
      <c r="FVA159" s="250"/>
      <c r="FVB159" s="250"/>
      <c r="FVC159" s="250"/>
      <c r="FVD159" s="250"/>
      <c r="FVE159" s="250"/>
      <c r="FVF159" s="250"/>
      <c r="FVG159" s="250"/>
      <c r="FVH159" s="250"/>
      <c r="FVI159" s="250"/>
      <c r="FVJ159" s="250"/>
      <c r="FVK159" s="250"/>
      <c r="FVL159" s="250"/>
      <c r="FVM159" s="250"/>
      <c r="FVN159" s="250"/>
      <c r="FVO159" s="250"/>
      <c r="FVP159" s="250"/>
      <c r="FVQ159" s="250"/>
      <c r="FVR159" s="250"/>
      <c r="FVS159" s="250"/>
      <c r="FVT159" s="250"/>
      <c r="FVU159" s="250"/>
      <c r="FVV159" s="250"/>
      <c r="FVW159" s="250"/>
      <c r="FVX159" s="250"/>
      <c r="FVY159" s="250"/>
      <c r="FVZ159" s="250"/>
      <c r="FWA159" s="250"/>
      <c r="FWB159" s="250"/>
      <c r="FWC159" s="250"/>
      <c r="FWD159" s="250"/>
      <c r="FWE159" s="250"/>
      <c r="FWF159" s="250"/>
      <c r="FWG159" s="250"/>
      <c r="FWH159" s="250"/>
      <c r="FWI159" s="250"/>
      <c r="FWJ159" s="250"/>
      <c r="FWK159" s="250"/>
      <c r="FWL159" s="250"/>
      <c r="FWM159" s="250"/>
      <c r="FWN159" s="250"/>
      <c r="FWO159" s="250"/>
      <c r="FWP159" s="250"/>
      <c r="FWQ159" s="250"/>
      <c r="FWR159" s="250"/>
      <c r="FWS159" s="250"/>
      <c r="FWT159" s="250"/>
      <c r="FWU159" s="250"/>
      <c r="FWV159" s="250"/>
      <c r="FWW159" s="250"/>
      <c r="FWX159" s="250"/>
      <c r="FWY159" s="250"/>
      <c r="FWZ159" s="250"/>
      <c r="FXA159" s="250"/>
      <c r="FXB159" s="250"/>
      <c r="FXC159" s="250"/>
      <c r="FXD159" s="250"/>
      <c r="FXE159" s="250"/>
      <c r="FXF159" s="250"/>
      <c r="FXG159" s="250"/>
      <c r="FXH159" s="250"/>
      <c r="FXI159" s="250"/>
      <c r="FXJ159" s="250"/>
      <c r="FXK159" s="250"/>
      <c r="FXL159" s="250"/>
      <c r="FXM159" s="250"/>
      <c r="FXN159" s="250"/>
      <c r="FXO159" s="250"/>
      <c r="FXP159" s="250"/>
      <c r="FXQ159" s="250"/>
      <c r="FXR159" s="250"/>
      <c r="FXS159" s="250"/>
      <c r="FXT159" s="250"/>
      <c r="FXU159" s="250"/>
      <c r="FXV159" s="250"/>
      <c r="FXW159" s="250"/>
      <c r="FXX159" s="250"/>
      <c r="FXY159" s="250"/>
      <c r="FXZ159" s="250"/>
      <c r="FYA159" s="250"/>
      <c r="FYB159" s="250"/>
      <c r="FYC159" s="250"/>
      <c r="FYD159" s="250"/>
      <c r="FYE159" s="250"/>
      <c r="FYF159" s="250"/>
      <c r="FYG159" s="250"/>
      <c r="FYH159" s="250"/>
      <c r="FYI159" s="250"/>
      <c r="FYJ159" s="250"/>
      <c r="FYK159" s="250"/>
      <c r="FYL159" s="250"/>
      <c r="FYM159" s="250"/>
      <c r="FYN159" s="250"/>
      <c r="FYO159" s="250"/>
      <c r="FYP159" s="250"/>
      <c r="FYQ159" s="250"/>
      <c r="FYR159" s="250"/>
      <c r="FYS159" s="250"/>
      <c r="FYT159" s="250"/>
      <c r="FYU159" s="250"/>
      <c r="FYV159" s="250"/>
      <c r="FYW159" s="250"/>
      <c r="FYX159" s="250"/>
      <c r="FYY159" s="250"/>
      <c r="FYZ159" s="250"/>
      <c r="FZA159" s="250"/>
      <c r="FZB159" s="250"/>
      <c r="FZC159" s="250"/>
      <c r="FZD159" s="250"/>
      <c r="FZE159" s="250"/>
      <c r="FZF159" s="250"/>
      <c r="FZG159" s="250"/>
      <c r="FZH159" s="250"/>
      <c r="FZI159" s="250"/>
      <c r="FZJ159" s="250"/>
      <c r="FZK159" s="250"/>
      <c r="FZL159" s="250"/>
      <c r="FZM159" s="250"/>
      <c r="FZN159" s="250"/>
      <c r="FZO159" s="250"/>
      <c r="FZP159" s="250"/>
      <c r="FZQ159" s="250"/>
      <c r="FZR159" s="250"/>
      <c r="FZS159" s="250"/>
      <c r="FZT159" s="250"/>
      <c r="FZU159" s="250"/>
      <c r="FZV159" s="250"/>
      <c r="FZW159" s="250"/>
      <c r="FZX159" s="250"/>
      <c r="FZY159" s="250"/>
      <c r="FZZ159" s="250"/>
      <c r="GAA159" s="250"/>
      <c r="GAB159" s="250"/>
      <c r="GAC159" s="250"/>
      <c r="GAD159" s="250"/>
      <c r="GAE159" s="250"/>
      <c r="GAF159" s="250"/>
      <c r="GAG159" s="250"/>
      <c r="GAH159" s="250"/>
      <c r="GAI159" s="250"/>
      <c r="GAJ159" s="250"/>
      <c r="GAK159" s="250"/>
      <c r="GAL159" s="250"/>
      <c r="GAM159" s="250"/>
      <c r="GAN159" s="250"/>
      <c r="GAO159" s="250"/>
      <c r="GAP159" s="250"/>
      <c r="GAQ159" s="250"/>
      <c r="GAR159" s="250"/>
      <c r="GAS159" s="250"/>
      <c r="GAT159" s="250"/>
      <c r="GAU159" s="250"/>
      <c r="GAV159" s="250"/>
      <c r="GAW159" s="250"/>
      <c r="GAX159" s="250"/>
      <c r="GAY159" s="250"/>
      <c r="GAZ159" s="250"/>
      <c r="GBA159" s="250"/>
      <c r="GBB159" s="250"/>
      <c r="GBC159" s="250"/>
      <c r="GBD159" s="250"/>
      <c r="GBE159" s="250"/>
      <c r="GBF159" s="250"/>
      <c r="GBG159" s="250"/>
      <c r="GBH159" s="250"/>
      <c r="GBI159" s="250"/>
      <c r="GBJ159" s="250"/>
      <c r="GBK159" s="250"/>
      <c r="GBL159" s="250"/>
      <c r="GBM159" s="250"/>
      <c r="GBN159" s="250"/>
      <c r="GBO159" s="250"/>
      <c r="GBP159" s="250"/>
      <c r="GBQ159" s="250"/>
      <c r="GBR159" s="250"/>
      <c r="GBS159" s="250"/>
      <c r="GBT159" s="250"/>
      <c r="GBU159" s="250"/>
      <c r="GBV159" s="250"/>
      <c r="GBW159" s="250"/>
      <c r="GBX159" s="250"/>
      <c r="GBY159" s="250"/>
      <c r="GBZ159" s="250"/>
      <c r="GCA159" s="250"/>
      <c r="GCB159" s="250"/>
      <c r="GCC159" s="250"/>
      <c r="GCD159" s="250"/>
      <c r="GCE159" s="250"/>
      <c r="GCF159" s="250"/>
      <c r="GCG159" s="250"/>
      <c r="GCH159" s="250"/>
      <c r="GCI159" s="250"/>
      <c r="GCJ159" s="250"/>
      <c r="GCK159" s="250"/>
      <c r="GCL159" s="250"/>
      <c r="GCM159" s="250"/>
      <c r="GCN159" s="250"/>
      <c r="GCO159" s="250"/>
      <c r="GCP159" s="250"/>
      <c r="GCQ159" s="250"/>
      <c r="GCR159" s="250"/>
      <c r="GCS159" s="250"/>
      <c r="GCT159" s="250"/>
      <c r="GCU159" s="250"/>
      <c r="GCV159" s="250"/>
      <c r="GCW159" s="250"/>
      <c r="GCX159" s="250"/>
      <c r="GCY159" s="250"/>
      <c r="GCZ159" s="250"/>
      <c r="GDA159" s="250"/>
      <c r="GDB159" s="250"/>
      <c r="GDC159" s="250"/>
      <c r="GDD159" s="250"/>
      <c r="GDE159" s="250"/>
      <c r="GDF159" s="250"/>
      <c r="GDG159" s="250"/>
      <c r="GDH159" s="250"/>
      <c r="GDI159" s="250"/>
      <c r="GDJ159" s="250"/>
      <c r="GDK159" s="250"/>
      <c r="GDL159" s="250"/>
      <c r="GDM159" s="250"/>
      <c r="GDN159" s="250"/>
      <c r="GDO159" s="250"/>
      <c r="GDP159" s="250"/>
      <c r="GDQ159" s="250"/>
      <c r="GDR159" s="250"/>
      <c r="GDS159" s="250"/>
      <c r="GDT159" s="250"/>
      <c r="GDU159" s="250"/>
      <c r="GDV159" s="250"/>
      <c r="GDW159" s="250"/>
      <c r="GDX159" s="250"/>
      <c r="GDY159" s="250"/>
      <c r="GDZ159" s="250"/>
      <c r="GEA159" s="250"/>
      <c r="GEB159" s="250"/>
      <c r="GEC159" s="250"/>
      <c r="GED159" s="250"/>
      <c r="GEE159" s="250"/>
      <c r="GEF159" s="250"/>
      <c r="GEG159" s="250"/>
      <c r="GEH159" s="250"/>
      <c r="GEI159" s="250"/>
      <c r="GEJ159" s="250"/>
      <c r="GEK159" s="250"/>
      <c r="GEL159" s="250"/>
      <c r="GEM159" s="250"/>
      <c r="GEN159" s="250"/>
      <c r="GEO159" s="250"/>
      <c r="GEP159" s="250"/>
      <c r="GEQ159" s="250"/>
      <c r="GER159" s="250"/>
      <c r="GES159" s="250"/>
      <c r="GET159" s="250"/>
      <c r="GEU159" s="250"/>
      <c r="GEV159" s="250"/>
      <c r="GEW159" s="250"/>
      <c r="GEX159" s="250"/>
      <c r="GEY159" s="250"/>
      <c r="GEZ159" s="250"/>
      <c r="GFA159" s="250"/>
      <c r="GFB159" s="250"/>
      <c r="GFC159" s="250"/>
      <c r="GFD159" s="250"/>
      <c r="GFE159" s="250"/>
      <c r="GFF159" s="250"/>
      <c r="GFG159" s="250"/>
      <c r="GFH159" s="250"/>
      <c r="GFI159" s="250"/>
      <c r="GFJ159" s="250"/>
      <c r="GFK159" s="250"/>
      <c r="GFL159" s="250"/>
      <c r="GFM159" s="250"/>
      <c r="GFN159" s="250"/>
      <c r="GFO159" s="250"/>
      <c r="GFP159" s="250"/>
      <c r="GFQ159" s="250"/>
      <c r="GFR159" s="250"/>
      <c r="GFS159" s="250"/>
      <c r="GFT159" s="250"/>
      <c r="GFU159" s="250"/>
      <c r="GFV159" s="250"/>
      <c r="GFW159" s="250"/>
      <c r="GFX159" s="250"/>
      <c r="GFY159" s="250"/>
      <c r="GFZ159" s="250"/>
      <c r="GGA159" s="250"/>
      <c r="GGB159" s="250"/>
      <c r="GGC159" s="250"/>
      <c r="GGD159" s="250"/>
      <c r="GGE159" s="250"/>
      <c r="GGF159" s="250"/>
      <c r="GGG159" s="250"/>
      <c r="GGH159" s="250"/>
      <c r="GGI159" s="250"/>
      <c r="GGJ159" s="250"/>
      <c r="GGK159" s="250"/>
      <c r="GGL159" s="250"/>
      <c r="GGM159" s="250"/>
      <c r="GGN159" s="250"/>
      <c r="GGO159" s="250"/>
      <c r="GGP159" s="250"/>
      <c r="GGQ159" s="250"/>
      <c r="GGR159" s="250"/>
      <c r="GGS159" s="250"/>
      <c r="GGT159" s="250"/>
      <c r="GGU159" s="250"/>
      <c r="GGV159" s="250"/>
      <c r="GGW159" s="250"/>
      <c r="GGX159" s="250"/>
      <c r="GGY159" s="250"/>
      <c r="GGZ159" s="250"/>
      <c r="GHA159" s="250"/>
      <c r="GHB159" s="250"/>
      <c r="GHC159" s="250"/>
      <c r="GHD159" s="250"/>
      <c r="GHE159" s="250"/>
      <c r="GHF159" s="250"/>
      <c r="GHG159" s="250"/>
      <c r="GHH159" s="250"/>
      <c r="GHI159" s="250"/>
      <c r="GHJ159" s="250"/>
      <c r="GHK159" s="250"/>
      <c r="GHL159" s="250"/>
      <c r="GHM159" s="250"/>
      <c r="GHN159" s="250"/>
      <c r="GHO159" s="250"/>
      <c r="GHP159" s="250"/>
      <c r="GHQ159" s="250"/>
      <c r="GHR159" s="250"/>
      <c r="GHS159" s="250"/>
      <c r="GHT159" s="250"/>
      <c r="GHU159" s="250"/>
      <c r="GHV159" s="250"/>
      <c r="GHW159" s="250"/>
      <c r="GHX159" s="250"/>
      <c r="GHY159" s="250"/>
      <c r="GHZ159" s="250"/>
      <c r="GIA159" s="250"/>
      <c r="GIB159" s="250"/>
      <c r="GIC159" s="250"/>
      <c r="GID159" s="250"/>
      <c r="GIE159" s="250"/>
      <c r="GIF159" s="250"/>
      <c r="GIG159" s="250"/>
      <c r="GIH159" s="250"/>
      <c r="GII159" s="250"/>
      <c r="GIJ159" s="250"/>
      <c r="GIK159" s="250"/>
      <c r="GIL159" s="250"/>
      <c r="GIM159" s="250"/>
      <c r="GIN159" s="250"/>
      <c r="GIO159" s="250"/>
      <c r="GIP159" s="250"/>
      <c r="GIQ159" s="250"/>
      <c r="GIR159" s="250"/>
      <c r="GIS159" s="250"/>
      <c r="GIT159" s="250"/>
      <c r="GIU159" s="250"/>
      <c r="GIV159" s="250"/>
      <c r="GIW159" s="250"/>
      <c r="GIX159" s="250"/>
      <c r="GIY159" s="250"/>
      <c r="GIZ159" s="250"/>
      <c r="GJA159" s="250"/>
      <c r="GJB159" s="250"/>
      <c r="GJC159" s="250"/>
      <c r="GJD159" s="250"/>
      <c r="GJE159" s="250"/>
      <c r="GJF159" s="250"/>
      <c r="GJG159" s="250"/>
      <c r="GJH159" s="250"/>
      <c r="GJI159" s="250"/>
      <c r="GJJ159" s="250"/>
      <c r="GJK159" s="250"/>
      <c r="GJL159" s="250"/>
      <c r="GJM159" s="250"/>
      <c r="GJN159" s="250"/>
      <c r="GJO159" s="250"/>
      <c r="GJP159" s="250"/>
      <c r="GJQ159" s="250"/>
      <c r="GJR159" s="250"/>
      <c r="GJS159" s="250"/>
      <c r="GJT159" s="250"/>
      <c r="GJU159" s="250"/>
      <c r="GJV159" s="250"/>
      <c r="GJW159" s="250"/>
      <c r="GJX159" s="250"/>
      <c r="GJY159" s="250"/>
      <c r="GJZ159" s="250"/>
      <c r="GKA159" s="250"/>
      <c r="GKB159" s="250"/>
      <c r="GKC159" s="250"/>
      <c r="GKD159" s="250"/>
      <c r="GKE159" s="250"/>
      <c r="GKF159" s="250"/>
      <c r="GKG159" s="250"/>
      <c r="GKH159" s="250"/>
      <c r="GKI159" s="250"/>
      <c r="GKJ159" s="250"/>
      <c r="GKK159" s="250"/>
      <c r="GKL159" s="250"/>
      <c r="GKM159" s="250"/>
      <c r="GKN159" s="250"/>
      <c r="GKO159" s="250"/>
      <c r="GKP159" s="250"/>
      <c r="GKQ159" s="250"/>
      <c r="GKR159" s="250"/>
      <c r="GKS159" s="250"/>
      <c r="GKT159" s="250"/>
      <c r="GKU159" s="250"/>
      <c r="GKV159" s="250"/>
      <c r="GKW159" s="250"/>
      <c r="GKX159" s="250"/>
      <c r="GKY159" s="250"/>
      <c r="GKZ159" s="250"/>
      <c r="GLA159" s="250"/>
      <c r="GLB159" s="250"/>
      <c r="GLC159" s="250"/>
      <c r="GLD159" s="250"/>
      <c r="GLE159" s="250"/>
      <c r="GLF159" s="250"/>
      <c r="GLG159" s="250"/>
      <c r="GLH159" s="250"/>
      <c r="GLI159" s="250"/>
      <c r="GLJ159" s="250"/>
      <c r="GLK159" s="250"/>
      <c r="GLL159" s="250"/>
      <c r="GLM159" s="250"/>
      <c r="GLN159" s="250"/>
      <c r="GLO159" s="250"/>
      <c r="GLP159" s="250"/>
      <c r="GLQ159" s="250"/>
      <c r="GLR159" s="250"/>
      <c r="GLS159" s="250"/>
      <c r="GLT159" s="250"/>
      <c r="GLU159" s="250"/>
      <c r="GLV159" s="250"/>
      <c r="GLW159" s="250"/>
      <c r="GLX159" s="250"/>
      <c r="GLY159" s="250"/>
      <c r="GLZ159" s="250"/>
      <c r="GMA159" s="250"/>
      <c r="GMB159" s="250"/>
      <c r="GMC159" s="250"/>
      <c r="GMD159" s="250"/>
      <c r="GME159" s="250"/>
      <c r="GMF159" s="250"/>
      <c r="GMG159" s="250"/>
      <c r="GMH159" s="250"/>
      <c r="GMI159" s="250"/>
      <c r="GMJ159" s="250"/>
      <c r="GMK159" s="250"/>
      <c r="GML159" s="250"/>
      <c r="GMM159" s="250"/>
      <c r="GMN159" s="250"/>
      <c r="GMO159" s="250"/>
      <c r="GMP159" s="250"/>
      <c r="GMQ159" s="250"/>
      <c r="GMR159" s="250"/>
      <c r="GMS159" s="250"/>
      <c r="GMT159" s="250"/>
      <c r="GMU159" s="250"/>
      <c r="GMV159" s="250"/>
      <c r="GMW159" s="250"/>
      <c r="GMX159" s="250"/>
      <c r="GMY159" s="250"/>
      <c r="GMZ159" s="250"/>
      <c r="GNA159" s="250"/>
      <c r="GNB159" s="250"/>
      <c r="GNC159" s="250"/>
      <c r="GND159" s="250"/>
      <c r="GNE159" s="250"/>
      <c r="GNF159" s="250"/>
      <c r="GNG159" s="250"/>
      <c r="GNH159" s="250"/>
      <c r="GNI159" s="250"/>
      <c r="GNJ159" s="250"/>
      <c r="GNK159" s="250"/>
      <c r="GNL159" s="250"/>
      <c r="GNM159" s="250"/>
      <c r="GNN159" s="250"/>
      <c r="GNO159" s="250"/>
      <c r="GNP159" s="250"/>
      <c r="GNQ159" s="250"/>
      <c r="GNR159" s="250"/>
      <c r="GNS159" s="250"/>
      <c r="GNT159" s="250"/>
      <c r="GNU159" s="250"/>
      <c r="GNV159" s="250"/>
      <c r="GNW159" s="250"/>
      <c r="GNX159" s="250"/>
      <c r="GNY159" s="250"/>
      <c r="GNZ159" s="250"/>
      <c r="GOA159" s="250"/>
      <c r="GOB159" s="250"/>
      <c r="GOC159" s="250"/>
      <c r="GOD159" s="250"/>
      <c r="GOE159" s="250"/>
      <c r="GOF159" s="250"/>
      <c r="GOG159" s="250"/>
      <c r="GOH159" s="250"/>
      <c r="GOI159" s="250"/>
      <c r="GOJ159" s="250"/>
      <c r="GOK159" s="250"/>
      <c r="GOL159" s="250"/>
      <c r="GOM159" s="250"/>
      <c r="GON159" s="250"/>
      <c r="GOO159" s="250"/>
      <c r="GOP159" s="250"/>
      <c r="GOQ159" s="250"/>
      <c r="GOR159" s="250"/>
      <c r="GOS159" s="250"/>
      <c r="GOT159" s="250"/>
      <c r="GOU159" s="250"/>
      <c r="GOV159" s="250"/>
      <c r="GOW159" s="250"/>
      <c r="GOX159" s="250"/>
      <c r="GOY159" s="250"/>
      <c r="GOZ159" s="250"/>
      <c r="GPA159" s="250"/>
      <c r="GPB159" s="250"/>
      <c r="GPC159" s="250"/>
      <c r="GPD159" s="250"/>
      <c r="GPE159" s="250"/>
      <c r="GPF159" s="250"/>
      <c r="GPG159" s="250"/>
      <c r="GPH159" s="250"/>
      <c r="GPI159" s="250"/>
      <c r="GPJ159" s="250"/>
      <c r="GPK159" s="250"/>
      <c r="GPL159" s="250"/>
      <c r="GPM159" s="250"/>
      <c r="GPN159" s="250"/>
      <c r="GPO159" s="250"/>
      <c r="GPP159" s="250"/>
      <c r="GPQ159" s="250"/>
      <c r="GPR159" s="250"/>
      <c r="GPS159" s="250"/>
      <c r="GPT159" s="250"/>
      <c r="GPU159" s="250"/>
      <c r="GPV159" s="250"/>
      <c r="GPW159" s="250"/>
      <c r="GPX159" s="250"/>
      <c r="GPY159" s="250"/>
      <c r="GPZ159" s="250"/>
      <c r="GQA159" s="250"/>
      <c r="GQB159" s="250"/>
      <c r="GQC159" s="250"/>
      <c r="GQD159" s="250"/>
      <c r="GQE159" s="250"/>
      <c r="GQF159" s="250"/>
      <c r="GQG159" s="250"/>
      <c r="GQH159" s="250"/>
      <c r="GQI159" s="250"/>
      <c r="GQJ159" s="250"/>
      <c r="GQK159" s="250"/>
      <c r="GQL159" s="250"/>
      <c r="GQM159" s="250"/>
      <c r="GQN159" s="250"/>
      <c r="GQO159" s="250"/>
      <c r="GQP159" s="250"/>
      <c r="GQQ159" s="250"/>
      <c r="GQR159" s="250"/>
      <c r="GQS159" s="250"/>
      <c r="GQT159" s="250"/>
      <c r="GQU159" s="250"/>
      <c r="GQV159" s="250"/>
      <c r="GQW159" s="250"/>
      <c r="GQX159" s="250"/>
      <c r="GQY159" s="250"/>
      <c r="GQZ159" s="250"/>
      <c r="GRA159" s="250"/>
      <c r="GRB159" s="250"/>
      <c r="GRC159" s="250"/>
      <c r="GRD159" s="250"/>
      <c r="GRE159" s="250"/>
      <c r="GRF159" s="250"/>
      <c r="GRG159" s="250"/>
      <c r="GRH159" s="250"/>
      <c r="GRI159" s="250"/>
      <c r="GRJ159" s="250"/>
      <c r="GRK159" s="250"/>
      <c r="GRL159" s="250"/>
      <c r="GRM159" s="250"/>
      <c r="GRN159" s="250"/>
      <c r="GRO159" s="250"/>
      <c r="GRP159" s="250"/>
      <c r="GRQ159" s="250"/>
      <c r="GRR159" s="250"/>
      <c r="GRS159" s="250"/>
      <c r="GRT159" s="250"/>
      <c r="GRU159" s="250"/>
      <c r="GRV159" s="250"/>
      <c r="GRW159" s="250"/>
      <c r="GRX159" s="250"/>
      <c r="GRY159" s="250"/>
      <c r="GRZ159" s="250"/>
      <c r="GSA159" s="250"/>
      <c r="GSB159" s="250"/>
      <c r="GSC159" s="250"/>
      <c r="GSD159" s="250"/>
      <c r="GSE159" s="250"/>
      <c r="GSF159" s="250"/>
      <c r="GSG159" s="250"/>
      <c r="GSH159" s="250"/>
      <c r="GSI159" s="250"/>
      <c r="GSJ159" s="250"/>
      <c r="GSK159" s="250"/>
      <c r="GSL159" s="250"/>
      <c r="GSM159" s="250"/>
      <c r="GSN159" s="250"/>
      <c r="GSO159" s="250"/>
      <c r="GSP159" s="250"/>
      <c r="GSQ159" s="250"/>
      <c r="GSR159" s="250"/>
      <c r="GSS159" s="250"/>
      <c r="GST159" s="250"/>
      <c r="GSU159" s="250"/>
      <c r="GSV159" s="250"/>
      <c r="GSW159" s="250"/>
      <c r="GSX159" s="250"/>
      <c r="GSY159" s="250"/>
      <c r="GSZ159" s="250"/>
      <c r="GTA159" s="250"/>
      <c r="GTB159" s="250"/>
      <c r="GTC159" s="250"/>
      <c r="GTD159" s="250"/>
      <c r="GTE159" s="250"/>
      <c r="GTF159" s="250"/>
      <c r="GTG159" s="250"/>
      <c r="GTH159" s="250"/>
      <c r="GTI159" s="250"/>
      <c r="GTJ159" s="250"/>
      <c r="GTK159" s="250"/>
      <c r="GTL159" s="250"/>
      <c r="GTM159" s="250"/>
      <c r="GTN159" s="250"/>
      <c r="GTO159" s="250"/>
      <c r="GTP159" s="250"/>
      <c r="GTQ159" s="250"/>
      <c r="GTR159" s="250"/>
      <c r="GTS159" s="250"/>
      <c r="GTT159" s="250"/>
      <c r="GTU159" s="250"/>
      <c r="GTV159" s="250"/>
      <c r="GTW159" s="250"/>
      <c r="GTX159" s="250"/>
      <c r="GTY159" s="250"/>
      <c r="GTZ159" s="250"/>
      <c r="GUA159" s="250"/>
      <c r="GUB159" s="250"/>
      <c r="GUC159" s="250"/>
      <c r="GUD159" s="250"/>
      <c r="GUE159" s="250"/>
      <c r="GUF159" s="250"/>
      <c r="GUG159" s="250"/>
      <c r="GUH159" s="250"/>
      <c r="GUI159" s="250"/>
      <c r="GUJ159" s="250"/>
      <c r="GUK159" s="250"/>
      <c r="GUL159" s="250"/>
      <c r="GUM159" s="250"/>
      <c r="GUN159" s="250"/>
      <c r="GUO159" s="250"/>
      <c r="GUP159" s="250"/>
      <c r="GUQ159" s="250"/>
      <c r="GUR159" s="250"/>
      <c r="GUS159" s="250"/>
      <c r="GUT159" s="250"/>
      <c r="GUU159" s="250"/>
      <c r="GUV159" s="250"/>
      <c r="GUW159" s="250"/>
      <c r="GUX159" s="250"/>
      <c r="GUY159" s="250"/>
      <c r="GUZ159" s="250"/>
      <c r="GVA159" s="250"/>
      <c r="GVB159" s="250"/>
      <c r="GVC159" s="250"/>
      <c r="GVD159" s="250"/>
      <c r="GVE159" s="250"/>
      <c r="GVF159" s="250"/>
      <c r="GVG159" s="250"/>
      <c r="GVH159" s="250"/>
      <c r="GVI159" s="250"/>
      <c r="GVJ159" s="250"/>
      <c r="GVK159" s="250"/>
      <c r="GVL159" s="250"/>
      <c r="GVM159" s="250"/>
      <c r="GVN159" s="250"/>
      <c r="GVO159" s="250"/>
      <c r="GVP159" s="250"/>
      <c r="GVQ159" s="250"/>
      <c r="GVR159" s="250"/>
      <c r="GVS159" s="250"/>
      <c r="GVT159" s="250"/>
      <c r="GVU159" s="250"/>
      <c r="GVV159" s="250"/>
      <c r="GVW159" s="250"/>
      <c r="GVX159" s="250"/>
      <c r="GVY159" s="250"/>
      <c r="GVZ159" s="250"/>
      <c r="GWA159" s="250"/>
      <c r="GWB159" s="250"/>
      <c r="GWC159" s="250"/>
      <c r="GWD159" s="250"/>
      <c r="GWE159" s="250"/>
      <c r="GWF159" s="250"/>
      <c r="GWG159" s="250"/>
      <c r="GWH159" s="250"/>
      <c r="GWI159" s="250"/>
      <c r="GWJ159" s="250"/>
      <c r="GWK159" s="250"/>
      <c r="GWL159" s="250"/>
      <c r="GWM159" s="250"/>
      <c r="GWN159" s="250"/>
      <c r="GWO159" s="250"/>
      <c r="GWP159" s="250"/>
      <c r="GWQ159" s="250"/>
      <c r="GWR159" s="250"/>
      <c r="GWS159" s="250"/>
      <c r="GWT159" s="250"/>
      <c r="GWU159" s="250"/>
      <c r="GWV159" s="250"/>
      <c r="GWW159" s="250"/>
      <c r="GWX159" s="250"/>
      <c r="GWY159" s="250"/>
      <c r="GWZ159" s="250"/>
      <c r="GXA159" s="250"/>
      <c r="GXB159" s="250"/>
      <c r="GXC159" s="250"/>
      <c r="GXD159" s="250"/>
      <c r="GXE159" s="250"/>
      <c r="GXF159" s="250"/>
      <c r="GXG159" s="250"/>
      <c r="GXH159" s="250"/>
      <c r="GXI159" s="250"/>
      <c r="GXJ159" s="250"/>
      <c r="GXK159" s="250"/>
      <c r="GXL159" s="250"/>
      <c r="GXM159" s="250"/>
      <c r="GXN159" s="250"/>
      <c r="GXO159" s="250"/>
      <c r="GXP159" s="250"/>
      <c r="GXQ159" s="250"/>
      <c r="GXR159" s="250"/>
      <c r="GXS159" s="250"/>
      <c r="GXT159" s="250"/>
      <c r="GXU159" s="250"/>
      <c r="GXV159" s="250"/>
      <c r="GXW159" s="250"/>
      <c r="GXX159" s="250"/>
      <c r="GXY159" s="250"/>
      <c r="GXZ159" s="250"/>
      <c r="GYA159" s="250"/>
      <c r="GYB159" s="250"/>
      <c r="GYC159" s="250"/>
      <c r="GYD159" s="250"/>
      <c r="GYE159" s="250"/>
      <c r="GYF159" s="250"/>
      <c r="GYG159" s="250"/>
      <c r="GYH159" s="250"/>
      <c r="GYI159" s="250"/>
      <c r="GYJ159" s="250"/>
      <c r="GYK159" s="250"/>
      <c r="GYL159" s="250"/>
      <c r="GYM159" s="250"/>
      <c r="GYN159" s="250"/>
      <c r="GYO159" s="250"/>
      <c r="GYP159" s="250"/>
      <c r="GYQ159" s="250"/>
      <c r="GYR159" s="250"/>
      <c r="GYS159" s="250"/>
      <c r="GYT159" s="250"/>
      <c r="GYU159" s="250"/>
      <c r="GYV159" s="250"/>
      <c r="GYW159" s="250"/>
      <c r="GYX159" s="250"/>
      <c r="GYY159" s="250"/>
      <c r="GYZ159" s="250"/>
      <c r="GZA159" s="250"/>
      <c r="GZB159" s="250"/>
      <c r="GZC159" s="250"/>
      <c r="GZD159" s="250"/>
      <c r="GZE159" s="250"/>
      <c r="GZF159" s="250"/>
      <c r="GZG159" s="250"/>
      <c r="GZH159" s="250"/>
      <c r="GZI159" s="250"/>
      <c r="GZJ159" s="250"/>
      <c r="GZK159" s="250"/>
      <c r="GZL159" s="250"/>
      <c r="GZM159" s="250"/>
      <c r="GZN159" s="250"/>
      <c r="GZO159" s="250"/>
      <c r="GZP159" s="250"/>
      <c r="GZQ159" s="250"/>
      <c r="GZR159" s="250"/>
      <c r="GZS159" s="250"/>
      <c r="GZT159" s="250"/>
      <c r="GZU159" s="250"/>
      <c r="GZV159" s="250"/>
      <c r="GZW159" s="250"/>
      <c r="GZX159" s="250"/>
      <c r="GZY159" s="250"/>
      <c r="GZZ159" s="250"/>
      <c r="HAA159" s="250"/>
      <c r="HAB159" s="250"/>
      <c r="HAC159" s="250"/>
      <c r="HAD159" s="250"/>
      <c r="HAE159" s="250"/>
      <c r="HAF159" s="250"/>
      <c r="HAG159" s="250"/>
      <c r="HAH159" s="250"/>
      <c r="HAI159" s="250"/>
      <c r="HAJ159" s="250"/>
      <c r="HAK159" s="250"/>
      <c r="HAL159" s="250"/>
      <c r="HAM159" s="250"/>
      <c r="HAN159" s="250"/>
      <c r="HAO159" s="250"/>
      <c r="HAP159" s="250"/>
      <c r="HAQ159" s="250"/>
      <c r="HAR159" s="250"/>
      <c r="HAS159" s="250"/>
      <c r="HAT159" s="250"/>
      <c r="HAU159" s="250"/>
      <c r="HAV159" s="250"/>
      <c r="HAW159" s="250"/>
      <c r="HAX159" s="250"/>
      <c r="HAY159" s="250"/>
      <c r="HAZ159" s="250"/>
      <c r="HBA159" s="250"/>
      <c r="HBB159" s="250"/>
      <c r="HBC159" s="250"/>
      <c r="HBD159" s="250"/>
      <c r="HBE159" s="250"/>
      <c r="HBF159" s="250"/>
      <c r="HBG159" s="250"/>
      <c r="HBH159" s="250"/>
      <c r="HBI159" s="250"/>
      <c r="HBJ159" s="250"/>
      <c r="HBK159" s="250"/>
      <c r="HBL159" s="250"/>
      <c r="HBM159" s="250"/>
      <c r="HBN159" s="250"/>
      <c r="HBO159" s="250"/>
      <c r="HBP159" s="250"/>
      <c r="HBQ159" s="250"/>
      <c r="HBR159" s="250"/>
      <c r="HBS159" s="250"/>
      <c r="HBT159" s="250"/>
      <c r="HBU159" s="250"/>
      <c r="HBV159" s="250"/>
      <c r="HBW159" s="250"/>
      <c r="HBX159" s="250"/>
      <c r="HBY159" s="250"/>
      <c r="HBZ159" s="250"/>
      <c r="HCA159" s="250"/>
      <c r="HCB159" s="250"/>
      <c r="HCC159" s="250"/>
      <c r="HCD159" s="250"/>
      <c r="HCE159" s="250"/>
      <c r="HCF159" s="250"/>
      <c r="HCG159" s="250"/>
      <c r="HCH159" s="250"/>
      <c r="HCI159" s="250"/>
      <c r="HCJ159" s="250"/>
      <c r="HCK159" s="250"/>
      <c r="HCL159" s="250"/>
      <c r="HCM159" s="250"/>
      <c r="HCN159" s="250"/>
      <c r="HCO159" s="250"/>
      <c r="HCP159" s="250"/>
      <c r="HCQ159" s="250"/>
      <c r="HCR159" s="250"/>
      <c r="HCS159" s="250"/>
      <c r="HCT159" s="250"/>
      <c r="HCU159" s="250"/>
      <c r="HCV159" s="250"/>
      <c r="HCW159" s="250"/>
      <c r="HCX159" s="250"/>
      <c r="HCY159" s="250"/>
      <c r="HCZ159" s="250"/>
      <c r="HDA159" s="250"/>
      <c r="HDB159" s="250"/>
      <c r="HDC159" s="250"/>
      <c r="HDD159" s="250"/>
      <c r="HDE159" s="250"/>
      <c r="HDF159" s="250"/>
      <c r="HDG159" s="250"/>
      <c r="HDH159" s="250"/>
      <c r="HDI159" s="250"/>
      <c r="HDJ159" s="250"/>
      <c r="HDK159" s="250"/>
      <c r="HDL159" s="250"/>
      <c r="HDM159" s="250"/>
      <c r="HDN159" s="250"/>
      <c r="HDO159" s="250"/>
      <c r="HDP159" s="250"/>
      <c r="HDQ159" s="250"/>
      <c r="HDR159" s="250"/>
      <c r="HDS159" s="250"/>
      <c r="HDT159" s="250"/>
      <c r="HDU159" s="250"/>
      <c r="HDV159" s="250"/>
      <c r="HDW159" s="250"/>
      <c r="HDX159" s="250"/>
      <c r="HDY159" s="250"/>
      <c r="HDZ159" s="250"/>
      <c r="HEA159" s="250"/>
      <c r="HEB159" s="250"/>
      <c r="HEC159" s="250"/>
      <c r="HED159" s="250"/>
      <c r="HEE159" s="250"/>
      <c r="HEF159" s="250"/>
      <c r="HEG159" s="250"/>
      <c r="HEH159" s="250"/>
      <c r="HEI159" s="250"/>
      <c r="HEJ159" s="250"/>
      <c r="HEK159" s="250"/>
      <c r="HEL159" s="250"/>
      <c r="HEM159" s="250"/>
      <c r="HEN159" s="250"/>
      <c r="HEO159" s="250"/>
      <c r="HEP159" s="250"/>
      <c r="HEQ159" s="250"/>
      <c r="HER159" s="250"/>
      <c r="HES159" s="250"/>
      <c r="HET159" s="250"/>
      <c r="HEU159" s="250"/>
      <c r="HEV159" s="250"/>
      <c r="HEW159" s="250"/>
      <c r="HEX159" s="250"/>
      <c r="HEY159" s="250"/>
      <c r="HEZ159" s="250"/>
      <c r="HFA159" s="250"/>
      <c r="HFB159" s="250"/>
      <c r="HFC159" s="250"/>
      <c r="HFD159" s="250"/>
      <c r="HFE159" s="250"/>
      <c r="HFF159" s="250"/>
      <c r="HFG159" s="250"/>
      <c r="HFH159" s="250"/>
      <c r="HFI159" s="250"/>
      <c r="HFJ159" s="250"/>
      <c r="HFK159" s="250"/>
      <c r="HFL159" s="250"/>
      <c r="HFM159" s="250"/>
      <c r="HFN159" s="250"/>
      <c r="HFO159" s="250"/>
      <c r="HFP159" s="250"/>
      <c r="HFQ159" s="250"/>
      <c r="HFR159" s="250"/>
      <c r="HFS159" s="250"/>
      <c r="HFT159" s="250"/>
      <c r="HFU159" s="250"/>
      <c r="HFV159" s="250"/>
      <c r="HFW159" s="250"/>
      <c r="HFX159" s="250"/>
      <c r="HFY159" s="250"/>
      <c r="HFZ159" s="250"/>
      <c r="HGA159" s="250"/>
      <c r="HGB159" s="250"/>
      <c r="HGC159" s="250"/>
      <c r="HGD159" s="250"/>
      <c r="HGE159" s="250"/>
      <c r="HGF159" s="250"/>
      <c r="HGG159" s="250"/>
      <c r="HGH159" s="250"/>
      <c r="HGI159" s="250"/>
      <c r="HGJ159" s="250"/>
      <c r="HGK159" s="250"/>
      <c r="HGL159" s="250"/>
      <c r="HGM159" s="250"/>
      <c r="HGN159" s="250"/>
      <c r="HGO159" s="250"/>
      <c r="HGP159" s="250"/>
      <c r="HGQ159" s="250"/>
      <c r="HGR159" s="250"/>
      <c r="HGS159" s="250"/>
      <c r="HGT159" s="250"/>
      <c r="HGU159" s="250"/>
      <c r="HGV159" s="250"/>
      <c r="HGW159" s="250"/>
      <c r="HGX159" s="250"/>
      <c r="HGY159" s="250"/>
      <c r="HGZ159" s="250"/>
      <c r="HHA159" s="250"/>
      <c r="HHB159" s="250"/>
      <c r="HHC159" s="250"/>
      <c r="HHD159" s="250"/>
      <c r="HHE159" s="250"/>
      <c r="HHF159" s="250"/>
      <c r="HHG159" s="250"/>
      <c r="HHH159" s="250"/>
      <c r="HHI159" s="250"/>
      <c r="HHJ159" s="250"/>
      <c r="HHK159" s="250"/>
      <c r="HHL159" s="250"/>
      <c r="HHM159" s="250"/>
      <c r="HHN159" s="250"/>
      <c r="HHO159" s="250"/>
      <c r="HHP159" s="250"/>
      <c r="HHQ159" s="250"/>
      <c r="HHR159" s="250"/>
      <c r="HHS159" s="250"/>
      <c r="HHT159" s="250"/>
      <c r="HHU159" s="250"/>
      <c r="HHV159" s="250"/>
      <c r="HHW159" s="250"/>
      <c r="HHX159" s="250"/>
      <c r="HHY159" s="250"/>
      <c r="HHZ159" s="250"/>
      <c r="HIA159" s="250"/>
      <c r="HIB159" s="250"/>
      <c r="HIC159" s="250"/>
      <c r="HID159" s="250"/>
      <c r="HIE159" s="250"/>
      <c r="HIF159" s="250"/>
      <c r="HIG159" s="250"/>
      <c r="HIH159" s="250"/>
      <c r="HII159" s="250"/>
      <c r="HIJ159" s="250"/>
      <c r="HIK159" s="250"/>
      <c r="HIL159" s="250"/>
      <c r="HIM159" s="250"/>
      <c r="HIN159" s="250"/>
      <c r="HIO159" s="250"/>
      <c r="HIP159" s="250"/>
      <c r="HIQ159" s="250"/>
      <c r="HIR159" s="250"/>
      <c r="HIS159" s="250"/>
      <c r="HIT159" s="250"/>
      <c r="HIU159" s="250"/>
      <c r="HIV159" s="250"/>
      <c r="HIW159" s="250"/>
      <c r="HIX159" s="250"/>
      <c r="HIY159" s="250"/>
      <c r="HIZ159" s="250"/>
      <c r="HJA159" s="250"/>
      <c r="HJB159" s="250"/>
      <c r="HJC159" s="250"/>
      <c r="HJD159" s="250"/>
      <c r="HJE159" s="250"/>
      <c r="HJF159" s="250"/>
      <c r="HJG159" s="250"/>
      <c r="HJH159" s="250"/>
      <c r="HJI159" s="250"/>
      <c r="HJJ159" s="250"/>
      <c r="HJK159" s="250"/>
      <c r="HJL159" s="250"/>
      <c r="HJM159" s="250"/>
      <c r="HJN159" s="250"/>
      <c r="HJO159" s="250"/>
      <c r="HJP159" s="250"/>
      <c r="HJQ159" s="250"/>
      <c r="HJR159" s="250"/>
      <c r="HJS159" s="250"/>
      <c r="HJT159" s="250"/>
      <c r="HJU159" s="250"/>
      <c r="HJV159" s="250"/>
      <c r="HJW159" s="250"/>
      <c r="HJX159" s="250"/>
      <c r="HJY159" s="250"/>
      <c r="HJZ159" s="250"/>
      <c r="HKA159" s="250"/>
      <c r="HKB159" s="250"/>
      <c r="HKC159" s="250"/>
      <c r="HKD159" s="250"/>
      <c r="HKE159" s="250"/>
      <c r="HKF159" s="250"/>
      <c r="HKG159" s="250"/>
      <c r="HKH159" s="250"/>
      <c r="HKI159" s="250"/>
      <c r="HKJ159" s="250"/>
      <c r="HKK159" s="250"/>
      <c r="HKL159" s="250"/>
      <c r="HKM159" s="250"/>
      <c r="HKN159" s="250"/>
      <c r="HKO159" s="250"/>
      <c r="HKP159" s="250"/>
      <c r="HKQ159" s="250"/>
      <c r="HKR159" s="250"/>
      <c r="HKS159" s="250"/>
      <c r="HKT159" s="250"/>
      <c r="HKU159" s="250"/>
      <c r="HKV159" s="250"/>
      <c r="HKW159" s="250"/>
      <c r="HKX159" s="250"/>
      <c r="HKY159" s="250"/>
      <c r="HKZ159" s="250"/>
      <c r="HLA159" s="250"/>
      <c r="HLB159" s="250"/>
      <c r="HLC159" s="250"/>
      <c r="HLD159" s="250"/>
      <c r="HLE159" s="250"/>
      <c r="HLF159" s="250"/>
      <c r="HLG159" s="250"/>
      <c r="HLH159" s="250"/>
      <c r="HLI159" s="250"/>
      <c r="HLJ159" s="250"/>
      <c r="HLK159" s="250"/>
      <c r="HLL159" s="250"/>
      <c r="HLM159" s="250"/>
      <c r="HLN159" s="250"/>
      <c r="HLO159" s="250"/>
      <c r="HLP159" s="250"/>
      <c r="HLQ159" s="250"/>
      <c r="HLR159" s="250"/>
      <c r="HLS159" s="250"/>
      <c r="HLT159" s="250"/>
      <c r="HLU159" s="250"/>
      <c r="HLV159" s="250"/>
      <c r="HLW159" s="250"/>
      <c r="HLX159" s="250"/>
      <c r="HLY159" s="250"/>
      <c r="HLZ159" s="250"/>
      <c r="HMA159" s="250"/>
      <c r="HMB159" s="250"/>
      <c r="HMC159" s="250"/>
      <c r="HMD159" s="250"/>
      <c r="HME159" s="250"/>
      <c r="HMF159" s="250"/>
      <c r="HMG159" s="250"/>
      <c r="HMH159" s="250"/>
      <c r="HMI159" s="250"/>
      <c r="HMJ159" s="250"/>
      <c r="HMK159" s="250"/>
      <c r="HML159" s="250"/>
      <c r="HMM159" s="250"/>
      <c r="HMN159" s="250"/>
      <c r="HMO159" s="250"/>
      <c r="HMP159" s="250"/>
      <c r="HMQ159" s="250"/>
      <c r="HMR159" s="250"/>
      <c r="HMS159" s="250"/>
      <c r="HMT159" s="250"/>
      <c r="HMU159" s="250"/>
      <c r="HMV159" s="250"/>
      <c r="HMW159" s="250"/>
      <c r="HMX159" s="250"/>
      <c r="HMY159" s="250"/>
      <c r="HMZ159" s="250"/>
      <c r="HNA159" s="250"/>
      <c r="HNB159" s="250"/>
      <c r="HNC159" s="250"/>
      <c r="HND159" s="250"/>
      <c r="HNE159" s="250"/>
      <c r="HNF159" s="250"/>
      <c r="HNG159" s="250"/>
      <c r="HNH159" s="250"/>
      <c r="HNI159" s="250"/>
      <c r="HNJ159" s="250"/>
      <c r="HNK159" s="250"/>
      <c r="HNL159" s="250"/>
      <c r="HNM159" s="250"/>
      <c r="HNN159" s="250"/>
      <c r="HNO159" s="250"/>
      <c r="HNP159" s="250"/>
      <c r="HNQ159" s="250"/>
      <c r="HNR159" s="250"/>
      <c r="HNS159" s="250"/>
      <c r="HNT159" s="250"/>
      <c r="HNU159" s="250"/>
      <c r="HNV159" s="250"/>
      <c r="HNW159" s="250"/>
      <c r="HNX159" s="250"/>
      <c r="HNY159" s="250"/>
      <c r="HNZ159" s="250"/>
      <c r="HOA159" s="250"/>
      <c r="HOB159" s="250"/>
      <c r="HOC159" s="250"/>
      <c r="HOD159" s="250"/>
      <c r="HOE159" s="250"/>
      <c r="HOF159" s="250"/>
      <c r="HOG159" s="250"/>
      <c r="HOH159" s="250"/>
      <c r="HOI159" s="250"/>
      <c r="HOJ159" s="250"/>
      <c r="HOK159" s="250"/>
      <c r="HOL159" s="250"/>
      <c r="HOM159" s="250"/>
      <c r="HON159" s="250"/>
      <c r="HOO159" s="250"/>
      <c r="HOP159" s="250"/>
      <c r="HOQ159" s="250"/>
      <c r="HOR159" s="250"/>
      <c r="HOS159" s="250"/>
      <c r="HOT159" s="250"/>
      <c r="HOU159" s="250"/>
      <c r="HOV159" s="250"/>
      <c r="HOW159" s="250"/>
      <c r="HOX159" s="250"/>
      <c r="HOY159" s="250"/>
      <c r="HOZ159" s="250"/>
      <c r="HPA159" s="250"/>
      <c r="HPB159" s="250"/>
      <c r="HPC159" s="250"/>
      <c r="HPD159" s="250"/>
      <c r="HPE159" s="250"/>
      <c r="HPF159" s="250"/>
      <c r="HPG159" s="250"/>
      <c r="HPH159" s="250"/>
      <c r="HPI159" s="250"/>
      <c r="HPJ159" s="250"/>
      <c r="HPK159" s="250"/>
      <c r="HPL159" s="250"/>
      <c r="HPM159" s="250"/>
      <c r="HPN159" s="250"/>
      <c r="HPO159" s="250"/>
      <c r="HPP159" s="250"/>
      <c r="HPQ159" s="250"/>
      <c r="HPR159" s="250"/>
      <c r="HPS159" s="250"/>
      <c r="HPT159" s="250"/>
      <c r="HPU159" s="250"/>
      <c r="HPV159" s="250"/>
      <c r="HPW159" s="250"/>
      <c r="HPX159" s="250"/>
      <c r="HPY159" s="250"/>
      <c r="HPZ159" s="250"/>
      <c r="HQA159" s="250"/>
      <c r="HQB159" s="250"/>
      <c r="HQC159" s="250"/>
      <c r="HQD159" s="250"/>
      <c r="HQE159" s="250"/>
      <c r="HQF159" s="250"/>
      <c r="HQG159" s="250"/>
      <c r="HQH159" s="250"/>
      <c r="HQI159" s="250"/>
      <c r="HQJ159" s="250"/>
      <c r="HQK159" s="250"/>
      <c r="HQL159" s="250"/>
      <c r="HQM159" s="250"/>
      <c r="HQN159" s="250"/>
      <c r="HQO159" s="250"/>
      <c r="HQP159" s="250"/>
      <c r="HQQ159" s="250"/>
      <c r="HQR159" s="250"/>
      <c r="HQS159" s="250"/>
      <c r="HQT159" s="250"/>
      <c r="HQU159" s="250"/>
      <c r="HQV159" s="250"/>
      <c r="HQW159" s="250"/>
      <c r="HQX159" s="250"/>
      <c r="HQY159" s="250"/>
      <c r="HQZ159" s="250"/>
      <c r="HRA159" s="250"/>
      <c r="HRB159" s="250"/>
      <c r="HRC159" s="250"/>
      <c r="HRD159" s="250"/>
      <c r="HRE159" s="250"/>
      <c r="HRF159" s="250"/>
      <c r="HRG159" s="250"/>
      <c r="HRH159" s="250"/>
      <c r="HRI159" s="250"/>
      <c r="HRJ159" s="250"/>
      <c r="HRK159" s="250"/>
      <c r="HRL159" s="250"/>
      <c r="HRM159" s="250"/>
      <c r="HRN159" s="250"/>
      <c r="HRO159" s="250"/>
      <c r="HRP159" s="250"/>
      <c r="HRQ159" s="250"/>
      <c r="HRR159" s="250"/>
      <c r="HRS159" s="250"/>
      <c r="HRT159" s="250"/>
      <c r="HRU159" s="250"/>
      <c r="HRV159" s="250"/>
      <c r="HRW159" s="250"/>
      <c r="HRX159" s="250"/>
      <c r="HRY159" s="250"/>
      <c r="HRZ159" s="250"/>
      <c r="HSA159" s="250"/>
      <c r="HSB159" s="250"/>
      <c r="HSC159" s="250"/>
      <c r="HSD159" s="250"/>
      <c r="HSE159" s="250"/>
      <c r="HSF159" s="250"/>
      <c r="HSG159" s="250"/>
      <c r="HSH159" s="250"/>
      <c r="HSI159" s="250"/>
      <c r="HSJ159" s="250"/>
      <c r="HSK159" s="250"/>
      <c r="HSL159" s="250"/>
      <c r="HSM159" s="250"/>
      <c r="HSN159" s="250"/>
      <c r="HSO159" s="250"/>
      <c r="HSP159" s="250"/>
      <c r="HSQ159" s="250"/>
      <c r="HSR159" s="250"/>
      <c r="HSS159" s="250"/>
      <c r="HST159" s="250"/>
      <c r="HSU159" s="250"/>
      <c r="HSV159" s="250"/>
      <c r="HSW159" s="250"/>
      <c r="HSX159" s="250"/>
      <c r="HSY159" s="250"/>
      <c r="HSZ159" s="250"/>
      <c r="HTA159" s="250"/>
      <c r="HTB159" s="250"/>
      <c r="HTC159" s="250"/>
      <c r="HTD159" s="250"/>
      <c r="HTE159" s="250"/>
      <c r="HTF159" s="250"/>
      <c r="HTG159" s="250"/>
      <c r="HTH159" s="250"/>
      <c r="HTI159" s="250"/>
      <c r="HTJ159" s="250"/>
      <c r="HTK159" s="250"/>
      <c r="HTL159" s="250"/>
      <c r="HTM159" s="250"/>
      <c r="HTN159" s="250"/>
      <c r="HTO159" s="250"/>
      <c r="HTP159" s="250"/>
      <c r="HTQ159" s="250"/>
      <c r="HTR159" s="250"/>
      <c r="HTS159" s="250"/>
      <c r="HTT159" s="250"/>
      <c r="HTU159" s="250"/>
      <c r="HTV159" s="250"/>
      <c r="HTW159" s="250"/>
      <c r="HTX159" s="250"/>
      <c r="HTY159" s="250"/>
      <c r="HTZ159" s="250"/>
      <c r="HUA159" s="250"/>
      <c r="HUB159" s="250"/>
      <c r="HUC159" s="250"/>
      <c r="HUD159" s="250"/>
      <c r="HUE159" s="250"/>
      <c r="HUF159" s="250"/>
      <c r="HUG159" s="250"/>
      <c r="HUH159" s="250"/>
      <c r="HUI159" s="250"/>
      <c r="HUJ159" s="250"/>
      <c r="HUK159" s="250"/>
      <c r="HUL159" s="250"/>
      <c r="HUM159" s="250"/>
      <c r="HUN159" s="250"/>
      <c r="HUO159" s="250"/>
      <c r="HUP159" s="250"/>
      <c r="HUQ159" s="250"/>
      <c r="HUR159" s="250"/>
      <c r="HUS159" s="250"/>
      <c r="HUT159" s="250"/>
      <c r="HUU159" s="250"/>
      <c r="HUV159" s="250"/>
      <c r="HUW159" s="250"/>
      <c r="HUX159" s="250"/>
      <c r="HUY159" s="250"/>
      <c r="HUZ159" s="250"/>
      <c r="HVA159" s="250"/>
      <c r="HVB159" s="250"/>
      <c r="HVC159" s="250"/>
      <c r="HVD159" s="250"/>
      <c r="HVE159" s="250"/>
      <c r="HVF159" s="250"/>
      <c r="HVG159" s="250"/>
      <c r="HVH159" s="250"/>
      <c r="HVI159" s="250"/>
      <c r="HVJ159" s="250"/>
      <c r="HVK159" s="250"/>
      <c r="HVL159" s="250"/>
      <c r="HVM159" s="250"/>
      <c r="HVN159" s="250"/>
      <c r="HVO159" s="250"/>
      <c r="HVP159" s="250"/>
      <c r="HVQ159" s="250"/>
      <c r="HVR159" s="250"/>
      <c r="HVS159" s="250"/>
      <c r="HVT159" s="250"/>
      <c r="HVU159" s="250"/>
      <c r="HVV159" s="250"/>
      <c r="HVW159" s="250"/>
      <c r="HVX159" s="250"/>
      <c r="HVY159" s="250"/>
      <c r="HVZ159" s="250"/>
      <c r="HWA159" s="250"/>
      <c r="HWB159" s="250"/>
      <c r="HWC159" s="250"/>
      <c r="HWD159" s="250"/>
      <c r="HWE159" s="250"/>
      <c r="HWF159" s="250"/>
      <c r="HWG159" s="250"/>
      <c r="HWH159" s="250"/>
      <c r="HWI159" s="250"/>
      <c r="HWJ159" s="250"/>
      <c r="HWK159" s="250"/>
      <c r="HWL159" s="250"/>
      <c r="HWM159" s="250"/>
      <c r="HWN159" s="250"/>
      <c r="HWO159" s="250"/>
      <c r="HWP159" s="250"/>
      <c r="HWQ159" s="250"/>
      <c r="HWR159" s="250"/>
      <c r="HWS159" s="250"/>
      <c r="HWT159" s="250"/>
      <c r="HWU159" s="250"/>
      <c r="HWV159" s="250"/>
      <c r="HWW159" s="250"/>
      <c r="HWX159" s="250"/>
      <c r="HWY159" s="250"/>
      <c r="HWZ159" s="250"/>
      <c r="HXA159" s="250"/>
      <c r="HXB159" s="250"/>
      <c r="HXC159" s="250"/>
      <c r="HXD159" s="250"/>
      <c r="HXE159" s="250"/>
      <c r="HXF159" s="250"/>
      <c r="HXG159" s="250"/>
      <c r="HXH159" s="250"/>
      <c r="HXI159" s="250"/>
      <c r="HXJ159" s="250"/>
      <c r="HXK159" s="250"/>
      <c r="HXL159" s="250"/>
      <c r="HXM159" s="250"/>
      <c r="HXN159" s="250"/>
      <c r="HXO159" s="250"/>
      <c r="HXP159" s="250"/>
      <c r="HXQ159" s="250"/>
      <c r="HXR159" s="250"/>
      <c r="HXS159" s="250"/>
      <c r="HXT159" s="250"/>
      <c r="HXU159" s="250"/>
      <c r="HXV159" s="250"/>
      <c r="HXW159" s="250"/>
      <c r="HXX159" s="250"/>
      <c r="HXY159" s="250"/>
      <c r="HXZ159" s="250"/>
      <c r="HYA159" s="250"/>
      <c r="HYB159" s="250"/>
      <c r="HYC159" s="250"/>
      <c r="HYD159" s="250"/>
      <c r="HYE159" s="250"/>
      <c r="HYF159" s="250"/>
      <c r="HYG159" s="250"/>
      <c r="HYH159" s="250"/>
      <c r="HYI159" s="250"/>
      <c r="HYJ159" s="250"/>
      <c r="HYK159" s="250"/>
      <c r="HYL159" s="250"/>
      <c r="HYM159" s="250"/>
      <c r="HYN159" s="250"/>
      <c r="HYO159" s="250"/>
      <c r="HYP159" s="250"/>
      <c r="HYQ159" s="250"/>
      <c r="HYR159" s="250"/>
      <c r="HYS159" s="250"/>
      <c r="HYT159" s="250"/>
      <c r="HYU159" s="250"/>
      <c r="HYV159" s="250"/>
      <c r="HYW159" s="250"/>
      <c r="HYX159" s="250"/>
      <c r="HYY159" s="250"/>
      <c r="HYZ159" s="250"/>
      <c r="HZA159" s="250"/>
      <c r="HZB159" s="250"/>
      <c r="HZC159" s="250"/>
      <c r="HZD159" s="250"/>
      <c r="HZE159" s="250"/>
      <c r="HZF159" s="250"/>
      <c r="HZG159" s="250"/>
      <c r="HZH159" s="250"/>
      <c r="HZI159" s="250"/>
      <c r="HZJ159" s="250"/>
      <c r="HZK159" s="250"/>
      <c r="HZL159" s="250"/>
      <c r="HZM159" s="250"/>
      <c r="HZN159" s="250"/>
      <c r="HZO159" s="250"/>
      <c r="HZP159" s="250"/>
      <c r="HZQ159" s="250"/>
      <c r="HZR159" s="250"/>
      <c r="HZS159" s="250"/>
      <c r="HZT159" s="250"/>
      <c r="HZU159" s="250"/>
      <c r="HZV159" s="250"/>
      <c r="HZW159" s="250"/>
      <c r="HZX159" s="250"/>
      <c r="HZY159" s="250"/>
      <c r="HZZ159" s="250"/>
      <c r="IAA159" s="250"/>
      <c r="IAB159" s="250"/>
      <c r="IAC159" s="250"/>
      <c r="IAD159" s="250"/>
      <c r="IAE159" s="250"/>
      <c r="IAF159" s="250"/>
      <c r="IAG159" s="250"/>
      <c r="IAH159" s="250"/>
      <c r="IAI159" s="250"/>
      <c r="IAJ159" s="250"/>
      <c r="IAK159" s="250"/>
      <c r="IAL159" s="250"/>
      <c r="IAM159" s="250"/>
      <c r="IAN159" s="250"/>
      <c r="IAO159" s="250"/>
      <c r="IAP159" s="250"/>
      <c r="IAQ159" s="250"/>
      <c r="IAR159" s="250"/>
      <c r="IAS159" s="250"/>
      <c r="IAT159" s="250"/>
      <c r="IAU159" s="250"/>
      <c r="IAV159" s="250"/>
      <c r="IAW159" s="250"/>
      <c r="IAX159" s="250"/>
      <c r="IAY159" s="250"/>
      <c r="IAZ159" s="250"/>
      <c r="IBA159" s="250"/>
      <c r="IBB159" s="250"/>
      <c r="IBC159" s="250"/>
      <c r="IBD159" s="250"/>
      <c r="IBE159" s="250"/>
      <c r="IBF159" s="250"/>
      <c r="IBG159" s="250"/>
      <c r="IBH159" s="250"/>
      <c r="IBI159" s="250"/>
      <c r="IBJ159" s="250"/>
      <c r="IBK159" s="250"/>
      <c r="IBL159" s="250"/>
      <c r="IBM159" s="250"/>
      <c r="IBN159" s="250"/>
      <c r="IBO159" s="250"/>
      <c r="IBP159" s="250"/>
      <c r="IBQ159" s="250"/>
      <c r="IBR159" s="250"/>
      <c r="IBS159" s="250"/>
      <c r="IBT159" s="250"/>
      <c r="IBU159" s="250"/>
      <c r="IBV159" s="250"/>
      <c r="IBW159" s="250"/>
      <c r="IBX159" s="250"/>
      <c r="IBY159" s="250"/>
      <c r="IBZ159" s="250"/>
      <c r="ICA159" s="250"/>
      <c r="ICB159" s="250"/>
      <c r="ICC159" s="250"/>
      <c r="ICD159" s="250"/>
      <c r="ICE159" s="250"/>
      <c r="ICF159" s="250"/>
      <c r="ICG159" s="250"/>
      <c r="ICH159" s="250"/>
      <c r="ICI159" s="250"/>
      <c r="ICJ159" s="250"/>
      <c r="ICK159" s="250"/>
      <c r="ICL159" s="250"/>
      <c r="ICM159" s="250"/>
      <c r="ICN159" s="250"/>
      <c r="ICO159" s="250"/>
      <c r="ICP159" s="250"/>
      <c r="ICQ159" s="250"/>
      <c r="ICR159" s="250"/>
      <c r="ICS159" s="250"/>
      <c r="ICT159" s="250"/>
      <c r="ICU159" s="250"/>
      <c r="ICV159" s="250"/>
      <c r="ICW159" s="250"/>
      <c r="ICX159" s="250"/>
      <c r="ICY159" s="250"/>
      <c r="ICZ159" s="250"/>
      <c r="IDA159" s="250"/>
      <c r="IDB159" s="250"/>
      <c r="IDC159" s="250"/>
      <c r="IDD159" s="250"/>
      <c r="IDE159" s="250"/>
      <c r="IDF159" s="250"/>
      <c r="IDG159" s="250"/>
      <c r="IDH159" s="250"/>
      <c r="IDI159" s="250"/>
      <c r="IDJ159" s="250"/>
      <c r="IDK159" s="250"/>
      <c r="IDL159" s="250"/>
      <c r="IDM159" s="250"/>
      <c r="IDN159" s="250"/>
      <c r="IDO159" s="250"/>
      <c r="IDP159" s="250"/>
      <c r="IDQ159" s="250"/>
      <c r="IDR159" s="250"/>
      <c r="IDS159" s="250"/>
      <c r="IDT159" s="250"/>
      <c r="IDU159" s="250"/>
      <c r="IDV159" s="250"/>
      <c r="IDW159" s="250"/>
      <c r="IDX159" s="250"/>
      <c r="IDY159" s="250"/>
      <c r="IDZ159" s="250"/>
      <c r="IEA159" s="250"/>
      <c r="IEB159" s="250"/>
      <c r="IEC159" s="250"/>
      <c r="IED159" s="250"/>
      <c r="IEE159" s="250"/>
      <c r="IEF159" s="250"/>
      <c r="IEG159" s="250"/>
      <c r="IEH159" s="250"/>
      <c r="IEI159" s="250"/>
      <c r="IEJ159" s="250"/>
      <c r="IEK159" s="250"/>
      <c r="IEL159" s="250"/>
      <c r="IEM159" s="250"/>
      <c r="IEN159" s="250"/>
      <c r="IEO159" s="250"/>
      <c r="IEP159" s="250"/>
      <c r="IEQ159" s="250"/>
      <c r="IER159" s="250"/>
      <c r="IES159" s="250"/>
      <c r="IET159" s="250"/>
      <c r="IEU159" s="250"/>
      <c r="IEV159" s="250"/>
      <c r="IEW159" s="250"/>
      <c r="IEX159" s="250"/>
      <c r="IEY159" s="250"/>
      <c r="IEZ159" s="250"/>
      <c r="IFA159" s="250"/>
      <c r="IFB159" s="250"/>
      <c r="IFC159" s="250"/>
      <c r="IFD159" s="250"/>
      <c r="IFE159" s="250"/>
      <c r="IFF159" s="250"/>
      <c r="IFG159" s="250"/>
      <c r="IFH159" s="250"/>
      <c r="IFI159" s="250"/>
      <c r="IFJ159" s="250"/>
      <c r="IFK159" s="250"/>
      <c r="IFL159" s="250"/>
      <c r="IFM159" s="250"/>
      <c r="IFN159" s="250"/>
      <c r="IFO159" s="250"/>
      <c r="IFP159" s="250"/>
      <c r="IFQ159" s="250"/>
      <c r="IFR159" s="250"/>
      <c r="IFS159" s="250"/>
      <c r="IFT159" s="250"/>
      <c r="IFU159" s="250"/>
      <c r="IFV159" s="250"/>
      <c r="IFW159" s="250"/>
      <c r="IFX159" s="250"/>
      <c r="IFY159" s="250"/>
      <c r="IFZ159" s="250"/>
      <c r="IGA159" s="250"/>
      <c r="IGB159" s="250"/>
      <c r="IGC159" s="250"/>
      <c r="IGD159" s="250"/>
      <c r="IGE159" s="250"/>
      <c r="IGF159" s="250"/>
      <c r="IGG159" s="250"/>
      <c r="IGH159" s="250"/>
      <c r="IGI159" s="250"/>
      <c r="IGJ159" s="250"/>
      <c r="IGK159" s="250"/>
      <c r="IGL159" s="250"/>
      <c r="IGM159" s="250"/>
      <c r="IGN159" s="250"/>
      <c r="IGO159" s="250"/>
      <c r="IGP159" s="250"/>
      <c r="IGQ159" s="250"/>
      <c r="IGR159" s="250"/>
      <c r="IGS159" s="250"/>
      <c r="IGT159" s="250"/>
      <c r="IGU159" s="250"/>
      <c r="IGV159" s="250"/>
      <c r="IGW159" s="250"/>
      <c r="IGX159" s="250"/>
      <c r="IGY159" s="250"/>
      <c r="IGZ159" s="250"/>
      <c r="IHA159" s="250"/>
      <c r="IHB159" s="250"/>
      <c r="IHC159" s="250"/>
      <c r="IHD159" s="250"/>
      <c r="IHE159" s="250"/>
      <c r="IHF159" s="250"/>
      <c r="IHG159" s="250"/>
      <c r="IHH159" s="250"/>
      <c r="IHI159" s="250"/>
      <c r="IHJ159" s="250"/>
      <c r="IHK159" s="250"/>
      <c r="IHL159" s="250"/>
      <c r="IHM159" s="250"/>
      <c r="IHN159" s="250"/>
      <c r="IHO159" s="250"/>
      <c r="IHP159" s="250"/>
      <c r="IHQ159" s="250"/>
      <c r="IHR159" s="250"/>
      <c r="IHS159" s="250"/>
      <c r="IHT159" s="250"/>
      <c r="IHU159" s="250"/>
      <c r="IHV159" s="250"/>
      <c r="IHW159" s="250"/>
      <c r="IHX159" s="250"/>
      <c r="IHY159" s="250"/>
      <c r="IHZ159" s="250"/>
      <c r="IIA159" s="250"/>
      <c r="IIB159" s="250"/>
      <c r="IIC159" s="250"/>
      <c r="IID159" s="250"/>
      <c r="IIE159" s="250"/>
      <c r="IIF159" s="250"/>
      <c r="IIG159" s="250"/>
      <c r="IIH159" s="250"/>
      <c r="III159" s="250"/>
      <c r="IIJ159" s="250"/>
      <c r="IIK159" s="250"/>
      <c r="IIL159" s="250"/>
      <c r="IIM159" s="250"/>
      <c r="IIN159" s="250"/>
      <c r="IIO159" s="250"/>
      <c r="IIP159" s="250"/>
      <c r="IIQ159" s="250"/>
      <c r="IIR159" s="250"/>
      <c r="IIS159" s="250"/>
      <c r="IIT159" s="250"/>
      <c r="IIU159" s="250"/>
      <c r="IIV159" s="250"/>
      <c r="IIW159" s="250"/>
      <c r="IIX159" s="250"/>
      <c r="IIY159" s="250"/>
      <c r="IIZ159" s="250"/>
      <c r="IJA159" s="250"/>
      <c r="IJB159" s="250"/>
      <c r="IJC159" s="250"/>
      <c r="IJD159" s="250"/>
      <c r="IJE159" s="250"/>
      <c r="IJF159" s="250"/>
      <c r="IJG159" s="250"/>
      <c r="IJH159" s="250"/>
      <c r="IJI159" s="250"/>
      <c r="IJJ159" s="250"/>
      <c r="IJK159" s="250"/>
      <c r="IJL159" s="250"/>
      <c r="IJM159" s="250"/>
      <c r="IJN159" s="250"/>
      <c r="IJO159" s="250"/>
      <c r="IJP159" s="250"/>
      <c r="IJQ159" s="250"/>
      <c r="IJR159" s="250"/>
      <c r="IJS159" s="250"/>
      <c r="IJT159" s="250"/>
      <c r="IJU159" s="250"/>
      <c r="IJV159" s="250"/>
      <c r="IJW159" s="250"/>
      <c r="IJX159" s="250"/>
      <c r="IJY159" s="250"/>
      <c r="IJZ159" s="250"/>
      <c r="IKA159" s="250"/>
      <c r="IKB159" s="250"/>
      <c r="IKC159" s="250"/>
      <c r="IKD159" s="250"/>
      <c r="IKE159" s="250"/>
      <c r="IKF159" s="250"/>
      <c r="IKG159" s="250"/>
      <c r="IKH159" s="250"/>
      <c r="IKI159" s="250"/>
      <c r="IKJ159" s="250"/>
      <c r="IKK159" s="250"/>
      <c r="IKL159" s="250"/>
      <c r="IKM159" s="250"/>
      <c r="IKN159" s="250"/>
      <c r="IKO159" s="250"/>
      <c r="IKP159" s="250"/>
      <c r="IKQ159" s="250"/>
      <c r="IKR159" s="250"/>
      <c r="IKS159" s="250"/>
      <c r="IKT159" s="250"/>
      <c r="IKU159" s="250"/>
      <c r="IKV159" s="250"/>
      <c r="IKW159" s="250"/>
      <c r="IKX159" s="250"/>
      <c r="IKY159" s="250"/>
      <c r="IKZ159" s="250"/>
      <c r="ILA159" s="250"/>
      <c r="ILB159" s="250"/>
      <c r="ILC159" s="250"/>
      <c r="ILD159" s="250"/>
      <c r="ILE159" s="250"/>
      <c r="ILF159" s="250"/>
      <c r="ILG159" s="250"/>
      <c r="ILH159" s="250"/>
      <c r="ILI159" s="250"/>
      <c r="ILJ159" s="250"/>
      <c r="ILK159" s="250"/>
      <c r="ILL159" s="250"/>
      <c r="ILM159" s="250"/>
      <c r="ILN159" s="250"/>
      <c r="ILO159" s="250"/>
      <c r="ILP159" s="250"/>
      <c r="ILQ159" s="250"/>
      <c r="ILR159" s="250"/>
      <c r="ILS159" s="250"/>
      <c r="ILT159" s="250"/>
      <c r="ILU159" s="250"/>
      <c r="ILV159" s="250"/>
      <c r="ILW159" s="250"/>
      <c r="ILX159" s="250"/>
      <c r="ILY159" s="250"/>
      <c r="ILZ159" s="250"/>
      <c r="IMA159" s="250"/>
      <c r="IMB159" s="250"/>
      <c r="IMC159" s="250"/>
      <c r="IMD159" s="250"/>
      <c r="IME159" s="250"/>
      <c r="IMF159" s="250"/>
      <c r="IMG159" s="250"/>
      <c r="IMH159" s="250"/>
      <c r="IMI159" s="250"/>
      <c r="IMJ159" s="250"/>
      <c r="IMK159" s="250"/>
      <c r="IML159" s="250"/>
      <c r="IMM159" s="250"/>
      <c r="IMN159" s="250"/>
      <c r="IMO159" s="250"/>
      <c r="IMP159" s="250"/>
      <c r="IMQ159" s="250"/>
      <c r="IMR159" s="250"/>
      <c r="IMS159" s="250"/>
      <c r="IMT159" s="250"/>
      <c r="IMU159" s="250"/>
      <c r="IMV159" s="250"/>
      <c r="IMW159" s="250"/>
      <c r="IMX159" s="250"/>
      <c r="IMY159" s="250"/>
      <c r="IMZ159" s="250"/>
      <c r="INA159" s="250"/>
      <c r="INB159" s="250"/>
      <c r="INC159" s="250"/>
      <c r="IND159" s="250"/>
      <c r="INE159" s="250"/>
      <c r="INF159" s="250"/>
      <c r="ING159" s="250"/>
      <c r="INH159" s="250"/>
      <c r="INI159" s="250"/>
      <c r="INJ159" s="250"/>
      <c r="INK159" s="250"/>
      <c r="INL159" s="250"/>
      <c r="INM159" s="250"/>
      <c r="INN159" s="250"/>
      <c r="INO159" s="250"/>
      <c r="INP159" s="250"/>
      <c r="INQ159" s="250"/>
      <c r="INR159" s="250"/>
      <c r="INS159" s="250"/>
      <c r="INT159" s="250"/>
      <c r="INU159" s="250"/>
      <c r="INV159" s="250"/>
      <c r="INW159" s="250"/>
      <c r="INX159" s="250"/>
      <c r="INY159" s="250"/>
      <c r="INZ159" s="250"/>
      <c r="IOA159" s="250"/>
      <c r="IOB159" s="250"/>
      <c r="IOC159" s="250"/>
      <c r="IOD159" s="250"/>
      <c r="IOE159" s="250"/>
      <c r="IOF159" s="250"/>
      <c r="IOG159" s="250"/>
      <c r="IOH159" s="250"/>
      <c r="IOI159" s="250"/>
      <c r="IOJ159" s="250"/>
      <c r="IOK159" s="250"/>
      <c r="IOL159" s="250"/>
      <c r="IOM159" s="250"/>
      <c r="ION159" s="250"/>
      <c r="IOO159" s="250"/>
      <c r="IOP159" s="250"/>
      <c r="IOQ159" s="250"/>
      <c r="IOR159" s="250"/>
      <c r="IOS159" s="250"/>
      <c r="IOT159" s="250"/>
      <c r="IOU159" s="250"/>
      <c r="IOV159" s="250"/>
      <c r="IOW159" s="250"/>
      <c r="IOX159" s="250"/>
      <c r="IOY159" s="250"/>
      <c r="IOZ159" s="250"/>
      <c r="IPA159" s="250"/>
      <c r="IPB159" s="250"/>
      <c r="IPC159" s="250"/>
      <c r="IPD159" s="250"/>
      <c r="IPE159" s="250"/>
      <c r="IPF159" s="250"/>
      <c r="IPG159" s="250"/>
      <c r="IPH159" s="250"/>
      <c r="IPI159" s="250"/>
      <c r="IPJ159" s="250"/>
      <c r="IPK159" s="250"/>
      <c r="IPL159" s="250"/>
      <c r="IPM159" s="250"/>
      <c r="IPN159" s="250"/>
      <c r="IPO159" s="250"/>
      <c r="IPP159" s="250"/>
      <c r="IPQ159" s="250"/>
      <c r="IPR159" s="250"/>
      <c r="IPS159" s="250"/>
      <c r="IPT159" s="250"/>
      <c r="IPU159" s="250"/>
      <c r="IPV159" s="250"/>
      <c r="IPW159" s="250"/>
      <c r="IPX159" s="250"/>
      <c r="IPY159" s="250"/>
      <c r="IPZ159" s="250"/>
      <c r="IQA159" s="250"/>
      <c r="IQB159" s="250"/>
      <c r="IQC159" s="250"/>
      <c r="IQD159" s="250"/>
      <c r="IQE159" s="250"/>
      <c r="IQF159" s="250"/>
      <c r="IQG159" s="250"/>
      <c r="IQH159" s="250"/>
      <c r="IQI159" s="250"/>
      <c r="IQJ159" s="250"/>
      <c r="IQK159" s="250"/>
      <c r="IQL159" s="250"/>
      <c r="IQM159" s="250"/>
      <c r="IQN159" s="250"/>
      <c r="IQO159" s="250"/>
      <c r="IQP159" s="250"/>
      <c r="IQQ159" s="250"/>
      <c r="IQR159" s="250"/>
      <c r="IQS159" s="250"/>
      <c r="IQT159" s="250"/>
      <c r="IQU159" s="250"/>
      <c r="IQV159" s="250"/>
      <c r="IQW159" s="250"/>
      <c r="IQX159" s="250"/>
      <c r="IQY159" s="250"/>
      <c r="IQZ159" s="250"/>
      <c r="IRA159" s="250"/>
      <c r="IRB159" s="250"/>
      <c r="IRC159" s="250"/>
      <c r="IRD159" s="250"/>
      <c r="IRE159" s="250"/>
      <c r="IRF159" s="250"/>
      <c r="IRG159" s="250"/>
      <c r="IRH159" s="250"/>
      <c r="IRI159" s="250"/>
      <c r="IRJ159" s="250"/>
      <c r="IRK159" s="250"/>
      <c r="IRL159" s="250"/>
      <c r="IRM159" s="250"/>
      <c r="IRN159" s="250"/>
      <c r="IRO159" s="250"/>
      <c r="IRP159" s="250"/>
      <c r="IRQ159" s="250"/>
      <c r="IRR159" s="250"/>
      <c r="IRS159" s="250"/>
      <c r="IRT159" s="250"/>
      <c r="IRU159" s="250"/>
      <c r="IRV159" s="250"/>
      <c r="IRW159" s="250"/>
      <c r="IRX159" s="250"/>
      <c r="IRY159" s="250"/>
      <c r="IRZ159" s="250"/>
      <c r="ISA159" s="250"/>
      <c r="ISB159" s="250"/>
      <c r="ISC159" s="250"/>
      <c r="ISD159" s="250"/>
      <c r="ISE159" s="250"/>
      <c r="ISF159" s="250"/>
      <c r="ISG159" s="250"/>
      <c r="ISH159" s="250"/>
      <c r="ISI159" s="250"/>
      <c r="ISJ159" s="250"/>
      <c r="ISK159" s="250"/>
      <c r="ISL159" s="250"/>
      <c r="ISM159" s="250"/>
      <c r="ISN159" s="250"/>
      <c r="ISO159" s="250"/>
      <c r="ISP159" s="250"/>
      <c r="ISQ159" s="250"/>
      <c r="ISR159" s="250"/>
      <c r="ISS159" s="250"/>
      <c r="IST159" s="250"/>
      <c r="ISU159" s="250"/>
      <c r="ISV159" s="250"/>
      <c r="ISW159" s="250"/>
      <c r="ISX159" s="250"/>
      <c r="ISY159" s="250"/>
      <c r="ISZ159" s="250"/>
      <c r="ITA159" s="250"/>
      <c r="ITB159" s="250"/>
      <c r="ITC159" s="250"/>
      <c r="ITD159" s="250"/>
      <c r="ITE159" s="250"/>
      <c r="ITF159" s="250"/>
      <c r="ITG159" s="250"/>
      <c r="ITH159" s="250"/>
      <c r="ITI159" s="250"/>
      <c r="ITJ159" s="250"/>
      <c r="ITK159" s="250"/>
      <c r="ITL159" s="250"/>
      <c r="ITM159" s="250"/>
      <c r="ITN159" s="250"/>
      <c r="ITO159" s="250"/>
      <c r="ITP159" s="250"/>
      <c r="ITQ159" s="250"/>
      <c r="ITR159" s="250"/>
      <c r="ITS159" s="250"/>
      <c r="ITT159" s="250"/>
      <c r="ITU159" s="250"/>
      <c r="ITV159" s="250"/>
      <c r="ITW159" s="250"/>
      <c r="ITX159" s="250"/>
      <c r="ITY159" s="250"/>
      <c r="ITZ159" s="250"/>
      <c r="IUA159" s="250"/>
      <c r="IUB159" s="250"/>
      <c r="IUC159" s="250"/>
      <c r="IUD159" s="250"/>
      <c r="IUE159" s="250"/>
      <c r="IUF159" s="250"/>
      <c r="IUG159" s="250"/>
      <c r="IUH159" s="250"/>
      <c r="IUI159" s="250"/>
      <c r="IUJ159" s="250"/>
      <c r="IUK159" s="250"/>
      <c r="IUL159" s="250"/>
      <c r="IUM159" s="250"/>
      <c r="IUN159" s="250"/>
      <c r="IUO159" s="250"/>
      <c r="IUP159" s="250"/>
      <c r="IUQ159" s="250"/>
      <c r="IUR159" s="250"/>
      <c r="IUS159" s="250"/>
      <c r="IUT159" s="250"/>
      <c r="IUU159" s="250"/>
      <c r="IUV159" s="250"/>
      <c r="IUW159" s="250"/>
      <c r="IUX159" s="250"/>
      <c r="IUY159" s="250"/>
      <c r="IUZ159" s="250"/>
      <c r="IVA159" s="250"/>
      <c r="IVB159" s="250"/>
      <c r="IVC159" s="250"/>
      <c r="IVD159" s="250"/>
      <c r="IVE159" s="250"/>
      <c r="IVF159" s="250"/>
      <c r="IVG159" s="250"/>
      <c r="IVH159" s="250"/>
      <c r="IVI159" s="250"/>
      <c r="IVJ159" s="250"/>
      <c r="IVK159" s="250"/>
      <c r="IVL159" s="250"/>
      <c r="IVM159" s="250"/>
      <c r="IVN159" s="250"/>
      <c r="IVO159" s="250"/>
      <c r="IVP159" s="250"/>
      <c r="IVQ159" s="250"/>
      <c r="IVR159" s="250"/>
      <c r="IVS159" s="250"/>
      <c r="IVT159" s="250"/>
      <c r="IVU159" s="250"/>
      <c r="IVV159" s="250"/>
      <c r="IVW159" s="250"/>
      <c r="IVX159" s="250"/>
      <c r="IVY159" s="250"/>
      <c r="IVZ159" s="250"/>
      <c r="IWA159" s="250"/>
      <c r="IWB159" s="250"/>
      <c r="IWC159" s="250"/>
      <c r="IWD159" s="250"/>
      <c r="IWE159" s="250"/>
      <c r="IWF159" s="250"/>
      <c r="IWG159" s="250"/>
      <c r="IWH159" s="250"/>
      <c r="IWI159" s="250"/>
      <c r="IWJ159" s="250"/>
      <c r="IWK159" s="250"/>
      <c r="IWL159" s="250"/>
      <c r="IWM159" s="250"/>
      <c r="IWN159" s="250"/>
      <c r="IWO159" s="250"/>
      <c r="IWP159" s="250"/>
      <c r="IWQ159" s="250"/>
      <c r="IWR159" s="250"/>
      <c r="IWS159" s="250"/>
      <c r="IWT159" s="250"/>
      <c r="IWU159" s="250"/>
      <c r="IWV159" s="250"/>
      <c r="IWW159" s="250"/>
      <c r="IWX159" s="250"/>
      <c r="IWY159" s="250"/>
      <c r="IWZ159" s="250"/>
      <c r="IXA159" s="250"/>
      <c r="IXB159" s="250"/>
      <c r="IXC159" s="250"/>
      <c r="IXD159" s="250"/>
      <c r="IXE159" s="250"/>
      <c r="IXF159" s="250"/>
      <c r="IXG159" s="250"/>
      <c r="IXH159" s="250"/>
      <c r="IXI159" s="250"/>
      <c r="IXJ159" s="250"/>
      <c r="IXK159" s="250"/>
      <c r="IXL159" s="250"/>
      <c r="IXM159" s="250"/>
      <c r="IXN159" s="250"/>
      <c r="IXO159" s="250"/>
      <c r="IXP159" s="250"/>
      <c r="IXQ159" s="250"/>
      <c r="IXR159" s="250"/>
      <c r="IXS159" s="250"/>
      <c r="IXT159" s="250"/>
      <c r="IXU159" s="250"/>
      <c r="IXV159" s="250"/>
      <c r="IXW159" s="250"/>
      <c r="IXX159" s="250"/>
      <c r="IXY159" s="250"/>
      <c r="IXZ159" s="250"/>
      <c r="IYA159" s="250"/>
      <c r="IYB159" s="250"/>
      <c r="IYC159" s="250"/>
      <c r="IYD159" s="250"/>
      <c r="IYE159" s="250"/>
      <c r="IYF159" s="250"/>
      <c r="IYG159" s="250"/>
      <c r="IYH159" s="250"/>
      <c r="IYI159" s="250"/>
      <c r="IYJ159" s="250"/>
      <c r="IYK159" s="250"/>
      <c r="IYL159" s="250"/>
      <c r="IYM159" s="250"/>
      <c r="IYN159" s="250"/>
      <c r="IYO159" s="250"/>
      <c r="IYP159" s="250"/>
      <c r="IYQ159" s="250"/>
      <c r="IYR159" s="250"/>
      <c r="IYS159" s="250"/>
      <c r="IYT159" s="250"/>
      <c r="IYU159" s="250"/>
      <c r="IYV159" s="250"/>
      <c r="IYW159" s="250"/>
      <c r="IYX159" s="250"/>
      <c r="IYY159" s="250"/>
      <c r="IYZ159" s="250"/>
      <c r="IZA159" s="250"/>
      <c r="IZB159" s="250"/>
      <c r="IZC159" s="250"/>
      <c r="IZD159" s="250"/>
      <c r="IZE159" s="250"/>
      <c r="IZF159" s="250"/>
      <c r="IZG159" s="250"/>
      <c r="IZH159" s="250"/>
      <c r="IZI159" s="250"/>
      <c r="IZJ159" s="250"/>
      <c r="IZK159" s="250"/>
      <c r="IZL159" s="250"/>
      <c r="IZM159" s="250"/>
      <c r="IZN159" s="250"/>
      <c r="IZO159" s="250"/>
      <c r="IZP159" s="250"/>
      <c r="IZQ159" s="250"/>
      <c r="IZR159" s="250"/>
      <c r="IZS159" s="250"/>
      <c r="IZT159" s="250"/>
      <c r="IZU159" s="250"/>
      <c r="IZV159" s="250"/>
      <c r="IZW159" s="250"/>
      <c r="IZX159" s="250"/>
      <c r="IZY159" s="250"/>
      <c r="IZZ159" s="250"/>
      <c r="JAA159" s="250"/>
      <c r="JAB159" s="250"/>
      <c r="JAC159" s="250"/>
      <c r="JAD159" s="250"/>
      <c r="JAE159" s="250"/>
      <c r="JAF159" s="250"/>
      <c r="JAG159" s="250"/>
      <c r="JAH159" s="250"/>
      <c r="JAI159" s="250"/>
      <c r="JAJ159" s="250"/>
      <c r="JAK159" s="250"/>
      <c r="JAL159" s="250"/>
      <c r="JAM159" s="250"/>
      <c r="JAN159" s="250"/>
      <c r="JAO159" s="250"/>
      <c r="JAP159" s="250"/>
      <c r="JAQ159" s="250"/>
      <c r="JAR159" s="250"/>
      <c r="JAS159" s="250"/>
      <c r="JAT159" s="250"/>
      <c r="JAU159" s="250"/>
      <c r="JAV159" s="250"/>
      <c r="JAW159" s="250"/>
      <c r="JAX159" s="250"/>
      <c r="JAY159" s="250"/>
      <c r="JAZ159" s="250"/>
      <c r="JBA159" s="250"/>
      <c r="JBB159" s="250"/>
      <c r="JBC159" s="250"/>
      <c r="JBD159" s="250"/>
      <c r="JBE159" s="250"/>
      <c r="JBF159" s="250"/>
      <c r="JBG159" s="250"/>
      <c r="JBH159" s="250"/>
      <c r="JBI159" s="250"/>
      <c r="JBJ159" s="250"/>
      <c r="JBK159" s="250"/>
      <c r="JBL159" s="250"/>
      <c r="JBM159" s="250"/>
      <c r="JBN159" s="250"/>
      <c r="JBO159" s="250"/>
      <c r="JBP159" s="250"/>
      <c r="JBQ159" s="250"/>
      <c r="JBR159" s="250"/>
      <c r="JBS159" s="250"/>
      <c r="JBT159" s="250"/>
      <c r="JBU159" s="250"/>
      <c r="JBV159" s="250"/>
      <c r="JBW159" s="250"/>
      <c r="JBX159" s="250"/>
      <c r="JBY159" s="250"/>
      <c r="JBZ159" s="250"/>
      <c r="JCA159" s="250"/>
      <c r="JCB159" s="250"/>
      <c r="JCC159" s="250"/>
      <c r="JCD159" s="250"/>
      <c r="JCE159" s="250"/>
      <c r="JCF159" s="250"/>
      <c r="JCG159" s="250"/>
      <c r="JCH159" s="250"/>
      <c r="JCI159" s="250"/>
      <c r="JCJ159" s="250"/>
      <c r="JCK159" s="250"/>
      <c r="JCL159" s="250"/>
      <c r="JCM159" s="250"/>
      <c r="JCN159" s="250"/>
      <c r="JCO159" s="250"/>
      <c r="JCP159" s="250"/>
      <c r="JCQ159" s="250"/>
      <c r="JCR159" s="250"/>
      <c r="JCS159" s="250"/>
      <c r="JCT159" s="250"/>
      <c r="JCU159" s="250"/>
      <c r="JCV159" s="250"/>
      <c r="JCW159" s="250"/>
      <c r="JCX159" s="250"/>
      <c r="JCY159" s="250"/>
      <c r="JCZ159" s="250"/>
      <c r="JDA159" s="250"/>
      <c r="JDB159" s="250"/>
      <c r="JDC159" s="250"/>
      <c r="JDD159" s="250"/>
      <c r="JDE159" s="250"/>
      <c r="JDF159" s="250"/>
      <c r="JDG159" s="250"/>
      <c r="JDH159" s="250"/>
      <c r="JDI159" s="250"/>
      <c r="JDJ159" s="250"/>
      <c r="JDK159" s="250"/>
      <c r="JDL159" s="250"/>
      <c r="JDM159" s="250"/>
      <c r="JDN159" s="250"/>
      <c r="JDO159" s="250"/>
      <c r="JDP159" s="250"/>
      <c r="JDQ159" s="250"/>
      <c r="JDR159" s="250"/>
      <c r="JDS159" s="250"/>
      <c r="JDT159" s="250"/>
      <c r="JDU159" s="250"/>
      <c r="JDV159" s="250"/>
      <c r="JDW159" s="250"/>
      <c r="JDX159" s="250"/>
      <c r="JDY159" s="250"/>
      <c r="JDZ159" s="250"/>
      <c r="JEA159" s="250"/>
      <c r="JEB159" s="250"/>
      <c r="JEC159" s="250"/>
      <c r="JED159" s="250"/>
      <c r="JEE159" s="250"/>
      <c r="JEF159" s="250"/>
      <c r="JEG159" s="250"/>
      <c r="JEH159" s="250"/>
      <c r="JEI159" s="250"/>
      <c r="JEJ159" s="250"/>
      <c r="JEK159" s="250"/>
      <c r="JEL159" s="250"/>
      <c r="JEM159" s="250"/>
      <c r="JEN159" s="250"/>
      <c r="JEO159" s="250"/>
      <c r="JEP159" s="250"/>
      <c r="JEQ159" s="250"/>
      <c r="JER159" s="250"/>
      <c r="JES159" s="250"/>
      <c r="JET159" s="250"/>
      <c r="JEU159" s="250"/>
      <c r="JEV159" s="250"/>
      <c r="JEW159" s="250"/>
      <c r="JEX159" s="250"/>
      <c r="JEY159" s="250"/>
      <c r="JEZ159" s="250"/>
      <c r="JFA159" s="250"/>
      <c r="JFB159" s="250"/>
      <c r="JFC159" s="250"/>
      <c r="JFD159" s="250"/>
      <c r="JFE159" s="250"/>
      <c r="JFF159" s="250"/>
      <c r="JFG159" s="250"/>
      <c r="JFH159" s="250"/>
      <c r="JFI159" s="250"/>
      <c r="JFJ159" s="250"/>
      <c r="JFK159" s="250"/>
      <c r="JFL159" s="250"/>
      <c r="JFM159" s="250"/>
      <c r="JFN159" s="250"/>
      <c r="JFO159" s="250"/>
      <c r="JFP159" s="250"/>
      <c r="JFQ159" s="250"/>
      <c r="JFR159" s="250"/>
      <c r="JFS159" s="250"/>
      <c r="JFT159" s="250"/>
      <c r="JFU159" s="250"/>
      <c r="JFV159" s="250"/>
      <c r="JFW159" s="250"/>
      <c r="JFX159" s="250"/>
      <c r="JFY159" s="250"/>
      <c r="JFZ159" s="250"/>
      <c r="JGA159" s="250"/>
      <c r="JGB159" s="250"/>
      <c r="JGC159" s="250"/>
      <c r="JGD159" s="250"/>
      <c r="JGE159" s="250"/>
      <c r="JGF159" s="250"/>
      <c r="JGG159" s="250"/>
      <c r="JGH159" s="250"/>
      <c r="JGI159" s="250"/>
      <c r="JGJ159" s="250"/>
      <c r="JGK159" s="250"/>
      <c r="JGL159" s="250"/>
      <c r="JGM159" s="250"/>
      <c r="JGN159" s="250"/>
      <c r="JGO159" s="250"/>
      <c r="JGP159" s="250"/>
      <c r="JGQ159" s="250"/>
      <c r="JGR159" s="250"/>
      <c r="JGS159" s="250"/>
      <c r="JGT159" s="250"/>
      <c r="JGU159" s="250"/>
      <c r="JGV159" s="250"/>
      <c r="JGW159" s="250"/>
      <c r="JGX159" s="250"/>
      <c r="JGY159" s="250"/>
      <c r="JGZ159" s="250"/>
      <c r="JHA159" s="250"/>
      <c r="JHB159" s="250"/>
      <c r="JHC159" s="250"/>
      <c r="JHD159" s="250"/>
      <c r="JHE159" s="250"/>
      <c r="JHF159" s="250"/>
      <c r="JHG159" s="250"/>
      <c r="JHH159" s="250"/>
      <c r="JHI159" s="250"/>
      <c r="JHJ159" s="250"/>
      <c r="JHK159" s="250"/>
      <c r="JHL159" s="250"/>
      <c r="JHM159" s="250"/>
      <c r="JHN159" s="250"/>
      <c r="JHO159" s="250"/>
      <c r="JHP159" s="250"/>
      <c r="JHQ159" s="250"/>
      <c r="JHR159" s="250"/>
      <c r="JHS159" s="250"/>
      <c r="JHT159" s="250"/>
      <c r="JHU159" s="250"/>
      <c r="JHV159" s="250"/>
      <c r="JHW159" s="250"/>
      <c r="JHX159" s="250"/>
      <c r="JHY159" s="250"/>
      <c r="JHZ159" s="250"/>
      <c r="JIA159" s="250"/>
      <c r="JIB159" s="250"/>
      <c r="JIC159" s="250"/>
      <c r="JID159" s="250"/>
      <c r="JIE159" s="250"/>
      <c r="JIF159" s="250"/>
      <c r="JIG159" s="250"/>
      <c r="JIH159" s="250"/>
      <c r="JII159" s="250"/>
      <c r="JIJ159" s="250"/>
      <c r="JIK159" s="250"/>
      <c r="JIL159" s="250"/>
      <c r="JIM159" s="250"/>
      <c r="JIN159" s="250"/>
      <c r="JIO159" s="250"/>
      <c r="JIP159" s="250"/>
      <c r="JIQ159" s="250"/>
      <c r="JIR159" s="250"/>
      <c r="JIS159" s="250"/>
      <c r="JIT159" s="250"/>
      <c r="JIU159" s="250"/>
      <c r="JIV159" s="250"/>
      <c r="JIW159" s="250"/>
      <c r="JIX159" s="250"/>
      <c r="JIY159" s="250"/>
      <c r="JIZ159" s="250"/>
      <c r="JJA159" s="250"/>
      <c r="JJB159" s="250"/>
      <c r="JJC159" s="250"/>
      <c r="JJD159" s="250"/>
      <c r="JJE159" s="250"/>
      <c r="JJF159" s="250"/>
      <c r="JJG159" s="250"/>
      <c r="JJH159" s="250"/>
      <c r="JJI159" s="250"/>
      <c r="JJJ159" s="250"/>
      <c r="JJK159" s="250"/>
      <c r="JJL159" s="250"/>
      <c r="JJM159" s="250"/>
      <c r="JJN159" s="250"/>
      <c r="JJO159" s="250"/>
      <c r="JJP159" s="250"/>
      <c r="JJQ159" s="250"/>
      <c r="JJR159" s="250"/>
      <c r="JJS159" s="250"/>
      <c r="JJT159" s="250"/>
      <c r="JJU159" s="250"/>
      <c r="JJV159" s="250"/>
      <c r="JJW159" s="250"/>
      <c r="JJX159" s="250"/>
      <c r="JJY159" s="250"/>
      <c r="JJZ159" s="250"/>
      <c r="JKA159" s="250"/>
      <c r="JKB159" s="250"/>
      <c r="JKC159" s="250"/>
      <c r="JKD159" s="250"/>
      <c r="JKE159" s="250"/>
      <c r="JKF159" s="250"/>
      <c r="JKG159" s="250"/>
      <c r="JKH159" s="250"/>
      <c r="JKI159" s="250"/>
      <c r="JKJ159" s="250"/>
      <c r="JKK159" s="250"/>
      <c r="JKL159" s="250"/>
      <c r="JKM159" s="250"/>
      <c r="JKN159" s="250"/>
      <c r="JKO159" s="250"/>
      <c r="JKP159" s="250"/>
      <c r="JKQ159" s="250"/>
      <c r="JKR159" s="250"/>
      <c r="JKS159" s="250"/>
      <c r="JKT159" s="250"/>
      <c r="JKU159" s="250"/>
      <c r="JKV159" s="250"/>
      <c r="JKW159" s="250"/>
      <c r="JKX159" s="250"/>
      <c r="JKY159" s="250"/>
      <c r="JKZ159" s="250"/>
      <c r="JLA159" s="250"/>
      <c r="JLB159" s="250"/>
      <c r="JLC159" s="250"/>
      <c r="JLD159" s="250"/>
      <c r="JLE159" s="250"/>
      <c r="JLF159" s="250"/>
      <c r="JLG159" s="250"/>
      <c r="JLH159" s="250"/>
      <c r="JLI159" s="250"/>
      <c r="JLJ159" s="250"/>
      <c r="JLK159" s="250"/>
      <c r="JLL159" s="250"/>
      <c r="JLM159" s="250"/>
      <c r="JLN159" s="250"/>
      <c r="JLO159" s="250"/>
      <c r="JLP159" s="250"/>
      <c r="JLQ159" s="250"/>
      <c r="JLR159" s="250"/>
      <c r="JLS159" s="250"/>
      <c r="JLT159" s="250"/>
      <c r="JLU159" s="250"/>
      <c r="JLV159" s="250"/>
      <c r="JLW159" s="250"/>
      <c r="JLX159" s="250"/>
      <c r="JLY159" s="250"/>
      <c r="JLZ159" s="250"/>
      <c r="JMA159" s="250"/>
      <c r="JMB159" s="250"/>
      <c r="JMC159" s="250"/>
      <c r="JMD159" s="250"/>
      <c r="JME159" s="250"/>
      <c r="JMF159" s="250"/>
      <c r="JMG159" s="250"/>
      <c r="JMH159" s="250"/>
      <c r="JMI159" s="250"/>
      <c r="JMJ159" s="250"/>
      <c r="JMK159" s="250"/>
      <c r="JML159" s="250"/>
      <c r="JMM159" s="250"/>
      <c r="JMN159" s="250"/>
      <c r="JMO159" s="250"/>
      <c r="JMP159" s="250"/>
      <c r="JMQ159" s="250"/>
      <c r="JMR159" s="250"/>
      <c r="JMS159" s="250"/>
      <c r="JMT159" s="250"/>
      <c r="JMU159" s="250"/>
      <c r="JMV159" s="250"/>
      <c r="JMW159" s="250"/>
      <c r="JMX159" s="250"/>
      <c r="JMY159" s="250"/>
      <c r="JMZ159" s="250"/>
      <c r="JNA159" s="250"/>
      <c r="JNB159" s="250"/>
      <c r="JNC159" s="250"/>
      <c r="JND159" s="250"/>
      <c r="JNE159" s="250"/>
      <c r="JNF159" s="250"/>
      <c r="JNG159" s="250"/>
      <c r="JNH159" s="250"/>
      <c r="JNI159" s="250"/>
      <c r="JNJ159" s="250"/>
      <c r="JNK159" s="250"/>
      <c r="JNL159" s="250"/>
      <c r="JNM159" s="250"/>
      <c r="JNN159" s="250"/>
      <c r="JNO159" s="250"/>
      <c r="JNP159" s="250"/>
      <c r="JNQ159" s="250"/>
      <c r="JNR159" s="250"/>
      <c r="JNS159" s="250"/>
      <c r="JNT159" s="250"/>
      <c r="JNU159" s="250"/>
      <c r="JNV159" s="250"/>
      <c r="JNW159" s="250"/>
      <c r="JNX159" s="250"/>
      <c r="JNY159" s="250"/>
      <c r="JNZ159" s="250"/>
      <c r="JOA159" s="250"/>
      <c r="JOB159" s="250"/>
      <c r="JOC159" s="250"/>
      <c r="JOD159" s="250"/>
      <c r="JOE159" s="250"/>
      <c r="JOF159" s="250"/>
      <c r="JOG159" s="250"/>
      <c r="JOH159" s="250"/>
      <c r="JOI159" s="250"/>
      <c r="JOJ159" s="250"/>
      <c r="JOK159" s="250"/>
      <c r="JOL159" s="250"/>
      <c r="JOM159" s="250"/>
      <c r="JON159" s="250"/>
      <c r="JOO159" s="250"/>
      <c r="JOP159" s="250"/>
      <c r="JOQ159" s="250"/>
      <c r="JOR159" s="250"/>
      <c r="JOS159" s="250"/>
      <c r="JOT159" s="250"/>
      <c r="JOU159" s="250"/>
      <c r="JOV159" s="250"/>
      <c r="JOW159" s="250"/>
      <c r="JOX159" s="250"/>
      <c r="JOY159" s="250"/>
      <c r="JOZ159" s="250"/>
      <c r="JPA159" s="250"/>
      <c r="JPB159" s="250"/>
      <c r="JPC159" s="250"/>
      <c r="JPD159" s="250"/>
      <c r="JPE159" s="250"/>
      <c r="JPF159" s="250"/>
      <c r="JPG159" s="250"/>
      <c r="JPH159" s="250"/>
      <c r="JPI159" s="250"/>
      <c r="JPJ159" s="250"/>
      <c r="JPK159" s="250"/>
      <c r="JPL159" s="250"/>
      <c r="JPM159" s="250"/>
      <c r="JPN159" s="250"/>
      <c r="JPO159" s="250"/>
      <c r="JPP159" s="250"/>
      <c r="JPQ159" s="250"/>
      <c r="JPR159" s="250"/>
      <c r="JPS159" s="250"/>
      <c r="JPT159" s="250"/>
      <c r="JPU159" s="250"/>
      <c r="JPV159" s="250"/>
      <c r="JPW159" s="250"/>
      <c r="JPX159" s="250"/>
      <c r="JPY159" s="250"/>
      <c r="JPZ159" s="250"/>
      <c r="JQA159" s="250"/>
      <c r="JQB159" s="250"/>
      <c r="JQC159" s="250"/>
      <c r="JQD159" s="250"/>
      <c r="JQE159" s="250"/>
      <c r="JQF159" s="250"/>
      <c r="JQG159" s="250"/>
      <c r="JQH159" s="250"/>
      <c r="JQI159" s="250"/>
      <c r="JQJ159" s="250"/>
      <c r="JQK159" s="250"/>
      <c r="JQL159" s="250"/>
      <c r="JQM159" s="250"/>
      <c r="JQN159" s="250"/>
      <c r="JQO159" s="250"/>
      <c r="JQP159" s="250"/>
      <c r="JQQ159" s="250"/>
      <c r="JQR159" s="250"/>
      <c r="JQS159" s="250"/>
      <c r="JQT159" s="250"/>
      <c r="JQU159" s="250"/>
      <c r="JQV159" s="250"/>
      <c r="JQW159" s="250"/>
      <c r="JQX159" s="250"/>
      <c r="JQY159" s="250"/>
      <c r="JQZ159" s="250"/>
      <c r="JRA159" s="250"/>
      <c r="JRB159" s="250"/>
      <c r="JRC159" s="250"/>
      <c r="JRD159" s="250"/>
      <c r="JRE159" s="250"/>
      <c r="JRF159" s="250"/>
      <c r="JRG159" s="250"/>
      <c r="JRH159" s="250"/>
      <c r="JRI159" s="250"/>
      <c r="JRJ159" s="250"/>
      <c r="JRK159" s="250"/>
      <c r="JRL159" s="250"/>
      <c r="JRM159" s="250"/>
      <c r="JRN159" s="250"/>
      <c r="JRO159" s="250"/>
      <c r="JRP159" s="250"/>
      <c r="JRQ159" s="250"/>
      <c r="JRR159" s="250"/>
      <c r="JRS159" s="250"/>
      <c r="JRT159" s="250"/>
      <c r="JRU159" s="250"/>
      <c r="JRV159" s="250"/>
      <c r="JRW159" s="250"/>
      <c r="JRX159" s="250"/>
      <c r="JRY159" s="250"/>
      <c r="JRZ159" s="250"/>
      <c r="JSA159" s="250"/>
      <c r="JSB159" s="250"/>
      <c r="JSC159" s="250"/>
      <c r="JSD159" s="250"/>
      <c r="JSE159" s="250"/>
      <c r="JSF159" s="250"/>
      <c r="JSG159" s="250"/>
      <c r="JSH159" s="250"/>
      <c r="JSI159" s="250"/>
      <c r="JSJ159" s="250"/>
      <c r="JSK159" s="250"/>
      <c r="JSL159" s="250"/>
      <c r="JSM159" s="250"/>
      <c r="JSN159" s="250"/>
      <c r="JSO159" s="250"/>
      <c r="JSP159" s="250"/>
      <c r="JSQ159" s="250"/>
      <c r="JSR159" s="250"/>
      <c r="JSS159" s="250"/>
      <c r="JST159" s="250"/>
      <c r="JSU159" s="250"/>
      <c r="JSV159" s="250"/>
      <c r="JSW159" s="250"/>
      <c r="JSX159" s="250"/>
      <c r="JSY159" s="250"/>
      <c r="JSZ159" s="250"/>
      <c r="JTA159" s="250"/>
      <c r="JTB159" s="250"/>
      <c r="JTC159" s="250"/>
      <c r="JTD159" s="250"/>
      <c r="JTE159" s="250"/>
      <c r="JTF159" s="250"/>
      <c r="JTG159" s="250"/>
      <c r="JTH159" s="250"/>
      <c r="JTI159" s="250"/>
      <c r="JTJ159" s="250"/>
      <c r="JTK159" s="250"/>
      <c r="JTL159" s="250"/>
      <c r="JTM159" s="250"/>
      <c r="JTN159" s="250"/>
      <c r="JTO159" s="250"/>
      <c r="JTP159" s="250"/>
      <c r="JTQ159" s="250"/>
      <c r="JTR159" s="250"/>
      <c r="JTS159" s="250"/>
      <c r="JTT159" s="250"/>
      <c r="JTU159" s="250"/>
      <c r="JTV159" s="250"/>
      <c r="JTW159" s="250"/>
      <c r="JTX159" s="250"/>
      <c r="JTY159" s="250"/>
      <c r="JTZ159" s="250"/>
      <c r="JUA159" s="250"/>
      <c r="JUB159" s="250"/>
      <c r="JUC159" s="250"/>
      <c r="JUD159" s="250"/>
      <c r="JUE159" s="250"/>
      <c r="JUF159" s="250"/>
      <c r="JUG159" s="250"/>
      <c r="JUH159" s="250"/>
      <c r="JUI159" s="250"/>
      <c r="JUJ159" s="250"/>
      <c r="JUK159" s="250"/>
      <c r="JUL159" s="250"/>
      <c r="JUM159" s="250"/>
      <c r="JUN159" s="250"/>
      <c r="JUO159" s="250"/>
      <c r="JUP159" s="250"/>
      <c r="JUQ159" s="250"/>
      <c r="JUR159" s="250"/>
      <c r="JUS159" s="250"/>
      <c r="JUT159" s="250"/>
      <c r="JUU159" s="250"/>
      <c r="JUV159" s="250"/>
      <c r="JUW159" s="250"/>
      <c r="JUX159" s="250"/>
      <c r="JUY159" s="250"/>
      <c r="JUZ159" s="250"/>
      <c r="JVA159" s="250"/>
      <c r="JVB159" s="250"/>
      <c r="JVC159" s="250"/>
      <c r="JVD159" s="250"/>
      <c r="JVE159" s="250"/>
      <c r="JVF159" s="250"/>
      <c r="JVG159" s="250"/>
      <c r="JVH159" s="250"/>
      <c r="JVI159" s="250"/>
      <c r="JVJ159" s="250"/>
      <c r="JVK159" s="250"/>
      <c r="JVL159" s="250"/>
      <c r="JVM159" s="250"/>
      <c r="JVN159" s="250"/>
      <c r="JVO159" s="250"/>
      <c r="JVP159" s="250"/>
      <c r="JVQ159" s="250"/>
      <c r="JVR159" s="250"/>
      <c r="JVS159" s="250"/>
      <c r="JVT159" s="250"/>
      <c r="JVU159" s="250"/>
      <c r="JVV159" s="250"/>
      <c r="JVW159" s="250"/>
      <c r="JVX159" s="250"/>
      <c r="JVY159" s="250"/>
      <c r="JVZ159" s="250"/>
      <c r="JWA159" s="250"/>
      <c r="JWB159" s="250"/>
      <c r="JWC159" s="250"/>
      <c r="JWD159" s="250"/>
      <c r="JWE159" s="250"/>
      <c r="JWF159" s="250"/>
      <c r="JWG159" s="250"/>
      <c r="JWH159" s="250"/>
      <c r="JWI159" s="250"/>
      <c r="JWJ159" s="250"/>
      <c r="JWK159" s="250"/>
      <c r="JWL159" s="250"/>
      <c r="JWM159" s="250"/>
      <c r="JWN159" s="250"/>
      <c r="JWO159" s="250"/>
      <c r="JWP159" s="250"/>
      <c r="JWQ159" s="250"/>
      <c r="JWR159" s="250"/>
      <c r="JWS159" s="250"/>
      <c r="JWT159" s="250"/>
      <c r="JWU159" s="250"/>
      <c r="JWV159" s="250"/>
      <c r="JWW159" s="250"/>
      <c r="JWX159" s="250"/>
      <c r="JWY159" s="250"/>
      <c r="JWZ159" s="250"/>
      <c r="JXA159" s="250"/>
      <c r="JXB159" s="250"/>
      <c r="JXC159" s="250"/>
      <c r="JXD159" s="250"/>
      <c r="JXE159" s="250"/>
      <c r="JXF159" s="250"/>
      <c r="JXG159" s="250"/>
      <c r="JXH159" s="250"/>
      <c r="JXI159" s="250"/>
      <c r="JXJ159" s="250"/>
      <c r="JXK159" s="250"/>
      <c r="JXL159" s="250"/>
      <c r="JXM159" s="250"/>
      <c r="JXN159" s="250"/>
      <c r="JXO159" s="250"/>
      <c r="JXP159" s="250"/>
      <c r="JXQ159" s="250"/>
      <c r="JXR159" s="250"/>
      <c r="JXS159" s="250"/>
      <c r="JXT159" s="250"/>
      <c r="JXU159" s="250"/>
      <c r="JXV159" s="250"/>
      <c r="JXW159" s="250"/>
      <c r="JXX159" s="250"/>
      <c r="JXY159" s="250"/>
      <c r="JXZ159" s="250"/>
      <c r="JYA159" s="250"/>
      <c r="JYB159" s="250"/>
      <c r="JYC159" s="250"/>
      <c r="JYD159" s="250"/>
      <c r="JYE159" s="250"/>
      <c r="JYF159" s="250"/>
      <c r="JYG159" s="250"/>
      <c r="JYH159" s="250"/>
      <c r="JYI159" s="250"/>
      <c r="JYJ159" s="250"/>
      <c r="JYK159" s="250"/>
      <c r="JYL159" s="250"/>
      <c r="JYM159" s="250"/>
      <c r="JYN159" s="250"/>
      <c r="JYO159" s="250"/>
      <c r="JYP159" s="250"/>
      <c r="JYQ159" s="250"/>
      <c r="JYR159" s="250"/>
      <c r="JYS159" s="250"/>
      <c r="JYT159" s="250"/>
      <c r="JYU159" s="250"/>
      <c r="JYV159" s="250"/>
      <c r="JYW159" s="250"/>
      <c r="JYX159" s="250"/>
      <c r="JYY159" s="250"/>
      <c r="JYZ159" s="250"/>
      <c r="JZA159" s="250"/>
      <c r="JZB159" s="250"/>
      <c r="JZC159" s="250"/>
      <c r="JZD159" s="250"/>
      <c r="JZE159" s="250"/>
      <c r="JZF159" s="250"/>
      <c r="JZG159" s="250"/>
      <c r="JZH159" s="250"/>
      <c r="JZI159" s="250"/>
      <c r="JZJ159" s="250"/>
      <c r="JZK159" s="250"/>
      <c r="JZL159" s="250"/>
      <c r="JZM159" s="250"/>
      <c r="JZN159" s="250"/>
      <c r="JZO159" s="250"/>
      <c r="JZP159" s="250"/>
      <c r="JZQ159" s="250"/>
      <c r="JZR159" s="250"/>
      <c r="JZS159" s="250"/>
      <c r="JZT159" s="250"/>
      <c r="JZU159" s="250"/>
      <c r="JZV159" s="250"/>
      <c r="JZW159" s="250"/>
      <c r="JZX159" s="250"/>
      <c r="JZY159" s="250"/>
      <c r="JZZ159" s="250"/>
      <c r="KAA159" s="250"/>
      <c r="KAB159" s="250"/>
      <c r="KAC159" s="250"/>
      <c r="KAD159" s="250"/>
      <c r="KAE159" s="250"/>
      <c r="KAF159" s="250"/>
      <c r="KAG159" s="250"/>
      <c r="KAH159" s="250"/>
      <c r="KAI159" s="250"/>
      <c r="KAJ159" s="250"/>
      <c r="KAK159" s="250"/>
      <c r="KAL159" s="250"/>
      <c r="KAM159" s="250"/>
      <c r="KAN159" s="250"/>
      <c r="KAO159" s="250"/>
      <c r="KAP159" s="250"/>
      <c r="KAQ159" s="250"/>
      <c r="KAR159" s="250"/>
      <c r="KAS159" s="250"/>
      <c r="KAT159" s="250"/>
      <c r="KAU159" s="250"/>
      <c r="KAV159" s="250"/>
      <c r="KAW159" s="250"/>
      <c r="KAX159" s="250"/>
      <c r="KAY159" s="250"/>
      <c r="KAZ159" s="250"/>
      <c r="KBA159" s="250"/>
      <c r="KBB159" s="250"/>
      <c r="KBC159" s="250"/>
      <c r="KBD159" s="250"/>
      <c r="KBE159" s="250"/>
      <c r="KBF159" s="250"/>
      <c r="KBG159" s="250"/>
      <c r="KBH159" s="250"/>
      <c r="KBI159" s="250"/>
      <c r="KBJ159" s="250"/>
      <c r="KBK159" s="250"/>
      <c r="KBL159" s="250"/>
      <c r="KBM159" s="250"/>
      <c r="KBN159" s="250"/>
      <c r="KBO159" s="250"/>
      <c r="KBP159" s="250"/>
      <c r="KBQ159" s="250"/>
      <c r="KBR159" s="250"/>
      <c r="KBS159" s="250"/>
      <c r="KBT159" s="250"/>
      <c r="KBU159" s="250"/>
      <c r="KBV159" s="250"/>
      <c r="KBW159" s="250"/>
      <c r="KBX159" s="250"/>
      <c r="KBY159" s="250"/>
      <c r="KBZ159" s="250"/>
      <c r="KCA159" s="250"/>
      <c r="KCB159" s="250"/>
      <c r="KCC159" s="250"/>
      <c r="KCD159" s="250"/>
      <c r="KCE159" s="250"/>
      <c r="KCF159" s="250"/>
      <c r="KCG159" s="250"/>
      <c r="KCH159" s="250"/>
      <c r="KCI159" s="250"/>
      <c r="KCJ159" s="250"/>
      <c r="KCK159" s="250"/>
      <c r="KCL159" s="250"/>
      <c r="KCM159" s="250"/>
      <c r="KCN159" s="250"/>
      <c r="KCO159" s="250"/>
      <c r="KCP159" s="250"/>
      <c r="KCQ159" s="250"/>
      <c r="KCR159" s="250"/>
      <c r="KCS159" s="250"/>
      <c r="KCT159" s="250"/>
      <c r="KCU159" s="250"/>
      <c r="KCV159" s="250"/>
      <c r="KCW159" s="250"/>
      <c r="KCX159" s="250"/>
      <c r="KCY159" s="250"/>
      <c r="KCZ159" s="250"/>
      <c r="KDA159" s="250"/>
      <c r="KDB159" s="250"/>
      <c r="KDC159" s="250"/>
      <c r="KDD159" s="250"/>
      <c r="KDE159" s="250"/>
      <c r="KDF159" s="250"/>
      <c r="KDG159" s="250"/>
      <c r="KDH159" s="250"/>
      <c r="KDI159" s="250"/>
      <c r="KDJ159" s="250"/>
      <c r="KDK159" s="250"/>
      <c r="KDL159" s="250"/>
      <c r="KDM159" s="250"/>
      <c r="KDN159" s="250"/>
      <c r="KDO159" s="250"/>
      <c r="KDP159" s="250"/>
      <c r="KDQ159" s="250"/>
      <c r="KDR159" s="250"/>
      <c r="KDS159" s="250"/>
      <c r="KDT159" s="250"/>
      <c r="KDU159" s="250"/>
      <c r="KDV159" s="250"/>
      <c r="KDW159" s="250"/>
      <c r="KDX159" s="250"/>
      <c r="KDY159" s="250"/>
      <c r="KDZ159" s="250"/>
      <c r="KEA159" s="250"/>
      <c r="KEB159" s="250"/>
      <c r="KEC159" s="250"/>
      <c r="KED159" s="250"/>
      <c r="KEE159" s="250"/>
      <c r="KEF159" s="250"/>
      <c r="KEG159" s="250"/>
      <c r="KEH159" s="250"/>
      <c r="KEI159" s="250"/>
      <c r="KEJ159" s="250"/>
      <c r="KEK159" s="250"/>
      <c r="KEL159" s="250"/>
      <c r="KEM159" s="250"/>
      <c r="KEN159" s="250"/>
      <c r="KEO159" s="250"/>
      <c r="KEP159" s="250"/>
      <c r="KEQ159" s="250"/>
      <c r="KER159" s="250"/>
      <c r="KES159" s="250"/>
      <c r="KET159" s="250"/>
      <c r="KEU159" s="250"/>
      <c r="KEV159" s="250"/>
      <c r="KEW159" s="250"/>
      <c r="KEX159" s="250"/>
      <c r="KEY159" s="250"/>
      <c r="KEZ159" s="250"/>
      <c r="KFA159" s="250"/>
      <c r="KFB159" s="250"/>
      <c r="KFC159" s="250"/>
      <c r="KFD159" s="250"/>
      <c r="KFE159" s="250"/>
      <c r="KFF159" s="250"/>
      <c r="KFG159" s="250"/>
      <c r="KFH159" s="250"/>
      <c r="KFI159" s="250"/>
      <c r="KFJ159" s="250"/>
      <c r="KFK159" s="250"/>
      <c r="KFL159" s="250"/>
      <c r="KFM159" s="250"/>
      <c r="KFN159" s="250"/>
      <c r="KFO159" s="250"/>
      <c r="KFP159" s="250"/>
      <c r="KFQ159" s="250"/>
      <c r="KFR159" s="250"/>
      <c r="KFS159" s="250"/>
      <c r="KFT159" s="250"/>
      <c r="KFU159" s="250"/>
      <c r="KFV159" s="250"/>
      <c r="KFW159" s="250"/>
      <c r="KFX159" s="250"/>
      <c r="KFY159" s="250"/>
      <c r="KFZ159" s="250"/>
      <c r="KGA159" s="250"/>
      <c r="KGB159" s="250"/>
      <c r="KGC159" s="250"/>
      <c r="KGD159" s="250"/>
      <c r="KGE159" s="250"/>
      <c r="KGF159" s="250"/>
      <c r="KGG159" s="250"/>
      <c r="KGH159" s="250"/>
      <c r="KGI159" s="250"/>
      <c r="KGJ159" s="250"/>
      <c r="KGK159" s="250"/>
      <c r="KGL159" s="250"/>
      <c r="KGM159" s="250"/>
      <c r="KGN159" s="250"/>
      <c r="KGO159" s="250"/>
      <c r="KGP159" s="250"/>
      <c r="KGQ159" s="250"/>
      <c r="KGR159" s="250"/>
      <c r="KGS159" s="250"/>
      <c r="KGT159" s="250"/>
      <c r="KGU159" s="250"/>
      <c r="KGV159" s="250"/>
      <c r="KGW159" s="250"/>
      <c r="KGX159" s="250"/>
      <c r="KGY159" s="250"/>
      <c r="KGZ159" s="250"/>
      <c r="KHA159" s="250"/>
      <c r="KHB159" s="250"/>
      <c r="KHC159" s="250"/>
      <c r="KHD159" s="250"/>
      <c r="KHE159" s="250"/>
      <c r="KHF159" s="250"/>
      <c r="KHG159" s="250"/>
      <c r="KHH159" s="250"/>
      <c r="KHI159" s="250"/>
      <c r="KHJ159" s="250"/>
      <c r="KHK159" s="250"/>
      <c r="KHL159" s="250"/>
      <c r="KHM159" s="250"/>
      <c r="KHN159" s="250"/>
      <c r="KHO159" s="250"/>
      <c r="KHP159" s="250"/>
      <c r="KHQ159" s="250"/>
      <c r="KHR159" s="250"/>
      <c r="KHS159" s="250"/>
      <c r="KHT159" s="250"/>
      <c r="KHU159" s="250"/>
      <c r="KHV159" s="250"/>
      <c r="KHW159" s="250"/>
      <c r="KHX159" s="250"/>
      <c r="KHY159" s="250"/>
      <c r="KHZ159" s="250"/>
      <c r="KIA159" s="250"/>
      <c r="KIB159" s="250"/>
      <c r="KIC159" s="250"/>
      <c r="KID159" s="250"/>
      <c r="KIE159" s="250"/>
      <c r="KIF159" s="250"/>
      <c r="KIG159" s="250"/>
      <c r="KIH159" s="250"/>
      <c r="KII159" s="250"/>
      <c r="KIJ159" s="250"/>
      <c r="KIK159" s="250"/>
      <c r="KIL159" s="250"/>
      <c r="KIM159" s="250"/>
      <c r="KIN159" s="250"/>
      <c r="KIO159" s="250"/>
      <c r="KIP159" s="250"/>
      <c r="KIQ159" s="250"/>
      <c r="KIR159" s="250"/>
      <c r="KIS159" s="250"/>
      <c r="KIT159" s="250"/>
      <c r="KIU159" s="250"/>
      <c r="KIV159" s="250"/>
      <c r="KIW159" s="250"/>
      <c r="KIX159" s="250"/>
      <c r="KIY159" s="250"/>
      <c r="KIZ159" s="250"/>
      <c r="KJA159" s="250"/>
      <c r="KJB159" s="250"/>
      <c r="KJC159" s="250"/>
      <c r="KJD159" s="250"/>
      <c r="KJE159" s="250"/>
      <c r="KJF159" s="250"/>
      <c r="KJG159" s="250"/>
      <c r="KJH159" s="250"/>
      <c r="KJI159" s="250"/>
      <c r="KJJ159" s="250"/>
      <c r="KJK159" s="250"/>
      <c r="KJL159" s="250"/>
      <c r="KJM159" s="250"/>
      <c r="KJN159" s="250"/>
      <c r="KJO159" s="250"/>
      <c r="KJP159" s="250"/>
      <c r="KJQ159" s="250"/>
      <c r="KJR159" s="250"/>
      <c r="KJS159" s="250"/>
      <c r="KJT159" s="250"/>
      <c r="KJU159" s="250"/>
      <c r="KJV159" s="250"/>
      <c r="KJW159" s="250"/>
      <c r="KJX159" s="250"/>
      <c r="KJY159" s="250"/>
      <c r="KJZ159" s="250"/>
      <c r="KKA159" s="250"/>
      <c r="KKB159" s="250"/>
      <c r="KKC159" s="250"/>
      <c r="KKD159" s="250"/>
      <c r="KKE159" s="250"/>
      <c r="KKF159" s="250"/>
      <c r="KKG159" s="250"/>
      <c r="KKH159" s="250"/>
      <c r="KKI159" s="250"/>
      <c r="KKJ159" s="250"/>
      <c r="KKK159" s="250"/>
      <c r="KKL159" s="250"/>
      <c r="KKM159" s="250"/>
      <c r="KKN159" s="250"/>
      <c r="KKO159" s="250"/>
      <c r="KKP159" s="250"/>
      <c r="KKQ159" s="250"/>
      <c r="KKR159" s="250"/>
      <c r="KKS159" s="250"/>
      <c r="KKT159" s="250"/>
      <c r="KKU159" s="250"/>
      <c r="KKV159" s="250"/>
      <c r="KKW159" s="250"/>
      <c r="KKX159" s="250"/>
      <c r="KKY159" s="250"/>
      <c r="KKZ159" s="250"/>
      <c r="KLA159" s="250"/>
      <c r="KLB159" s="250"/>
      <c r="KLC159" s="250"/>
      <c r="KLD159" s="250"/>
      <c r="KLE159" s="250"/>
      <c r="KLF159" s="250"/>
      <c r="KLG159" s="250"/>
      <c r="KLH159" s="250"/>
      <c r="KLI159" s="250"/>
      <c r="KLJ159" s="250"/>
      <c r="KLK159" s="250"/>
      <c r="KLL159" s="250"/>
      <c r="KLM159" s="250"/>
      <c r="KLN159" s="250"/>
      <c r="KLO159" s="250"/>
      <c r="KLP159" s="250"/>
      <c r="KLQ159" s="250"/>
      <c r="KLR159" s="250"/>
      <c r="KLS159" s="250"/>
      <c r="KLT159" s="250"/>
      <c r="KLU159" s="250"/>
      <c r="KLV159" s="250"/>
      <c r="KLW159" s="250"/>
      <c r="KLX159" s="250"/>
      <c r="KLY159" s="250"/>
      <c r="KLZ159" s="250"/>
      <c r="KMA159" s="250"/>
      <c r="KMB159" s="250"/>
      <c r="KMC159" s="250"/>
      <c r="KMD159" s="250"/>
      <c r="KME159" s="250"/>
      <c r="KMF159" s="250"/>
      <c r="KMG159" s="250"/>
      <c r="KMH159" s="250"/>
      <c r="KMI159" s="250"/>
      <c r="KMJ159" s="250"/>
      <c r="KMK159" s="250"/>
      <c r="KML159" s="250"/>
      <c r="KMM159" s="250"/>
      <c r="KMN159" s="250"/>
      <c r="KMO159" s="250"/>
      <c r="KMP159" s="250"/>
      <c r="KMQ159" s="250"/>
      <c r="KMR159" s="250"/>
      <c r="KMS159" s="250"/>
      <c r="KMT159" s="250"/>
      <c r="KMU159" s="250"/>
      <c r="KMV159" s="250"/>
      <c r="KMW159" s="250"/>
      <c r="KMX159" s="250"/>
      <c r="KMY159" s="250"/>
      <c r="KMZ159" s="250"/>
      <c r="KNA159" s="250"/>
      <c r="KNB159" s="250"/>
      <c r="KNC159" s="250"/>
      <c r="KND159" s="250"/>
      <c r="KNE159" s="250"/>
      <c r="KNF159" s="250"/>
      <c r="KNG159" s="250"/>
      <c r="KNH159" s="250"/>
      <c r="KNI159" s="250"/>
      <c r="KNJ159" s="250"/>
      <c r="KNK159" s="250"/>
      <c r="KNL159" s="250"/>
      <c r="KNM159" s="250"/>
      <c r="KNN159" s="250"/>
      <c r="KNO159" s="250"/>
      <c r="KNP159" s="250"/>
      <c r="KNQ159" s="250"/>
      <c r="KNR159" s="250"/>
      <c r="KNS159" s="250"/>
      <c r="KNT159" s="250"/>
      <c r="KNU159" s="250"/>
      <c r="KNV159" s="250"/>
      <c r="KNW159" s="250"/>
      <c r="KNX159" s="250"/>
      <c r="KNY159" s="250"/>
      <c r="KNZ159" s="250"/>
      <c r="KOA159" s="250"/>
      <c r="KOB159" s="250"/>
      <c r="KOC159" s="250"/>
      <c r="KOD159" s="250"/>
      <c r="KOE159" s="250"/>
      <c r="KOF159" s="250"/>
      <c r="KOG159" s="250"/>
      <c r="KOH159" s="250"/>
      <c r="KOI159" s="250"/>
      <c r="KOJ159" s="250"/>
      <c r="KOK159" s="250"/>
      <c r="KOL159" s="250"/>
      <c r="KOM159" s="250"/>
      <c r="KON159" s="250"/>
      <c r="KOO159" s="250"/>
      <c r="KOP159" s="250"/>
      <c r="KOQ159" s="250"/>
      <c r="KOR159" s="250"/>
      <c r="KOS159" s="250"/>
      <c r="KOT159" s="250"/>
      <c r="KOU159" s="250"/>
      <c r="KOV159" s="250"/>
      <c r="KOW159" s="250"/>
      <c r="KOX159" s="250"/>
      <c r="KOY159" s="250"/>
      <c r="KOZ159" s="250"/>
      <c r="KPA159" s="250"/>
      <c r="KPB159" s="250"/>
      <c r="KPC159" s="250"/>
      <c r="KPD159" s="250"/>
      <c r="KPE159" s="250"/>
      <c r="KPF159" s="250"/>
      <c r="KPG159" s="250"/>
      <c r="KPH159" s="250"/>
      <c r="KPI159" s="250"/>
      <c r="KPJ159" s="250"/>
      <c r="KPK159" s="250"/>
      <c r="KPL159" s="250"/>
      <c r="KPM159" s="250"/>
      <c r="KPN159" s="250"/>
      <c r="KPO159" s="250"/>
      <c r="KPP159" s="250"/>
      <c r="KPQ159" s="250"/>
      <c r="KPR159" s="250"/>
      <c r="KPS159" s="250"/>
      <c r="KPT159" s="250"/>
      <c r="KPU159" s="250"/>
      <c r="KPV159" s="250"/>
      <c r="KPW159" s="250"/>
      <c r="KPX159" s="250"/>
      <c r="KPY159" s="250"/>
      <c r="KPZ159" s="250"/>
      <c r="KQA159" s="250"/>
      <c r="KQB159" s="250"/>
      <c r="KQC159" s="250"/>
      <c r="KQD159" s="250"/>
      <c r="KQE159" s="250"/>
      <c r="KQF159" s="250"/>
      <c r="KQG159" s="250"/>
      <c r="KQH159" s="250"/>
      <c r="KQI159" s="250"/>
      <c r="KQJ159" s="250"/>
      <c r="KQK159" s="250"/>
      <c r="KQL159" s="250"/>
      <c r="KQM159" s="250"/>
      <c r="KQN159" s="250"/>
      <c r="KQO159" s="250"/>
      <c r="KQP159" s="250"/>
      <c r="KQQ159" s="250"/>
      <c r="KQR159" s="250"/>
      <c r="KQS159" s="250"/>
      <c r="KQT159" s="250"/>
      <c r="KQU159" s="250"/>
      <c r="KQV159" s="250"/>
      <c r="KQW159" s="250"/>
      <c r="KQX159" s="250"/>
      <c r="KQY159" s="250"/>
      <c r="KQZ159" s="250"/>
      <c r="KRA159" s="250"/>
      <c r="KRB159" s="250"/>
      <c r="KRC159" s="250"/>
      <c r="KRD159" s="250"/>
      <c r="KRE159" s="250"/>
      <c r="KRF159" s="250"/>
      <c r="KRG159" s="250"/>
      <c r="KRH159" s="250"/>
      <c r="KRI159" s="250"/>
      <c r="KRJ159" s="250"/>
      <c r="KRK159" s="250"/>
      <c r="KRL159" s="250"/>
      <c r="KRM159" s="250"/>
      <c r="KRN159" s="250"/>
      <c r="KRO159" s="250"/>
      <c r="KRP159" s="250"/>
      <c r="KRQ159" s="250"/>
      <c r="KRR159" s="250"/>
      <c r="KRS159" s="250"/>
      <c r="KRT159" s="250"/>
      <c r="KRU159" s="250"/>
      <c r="KRV159" s="250"/>
      <c r="KRW159" s="250"/>
      <c r="KRX159" s="250"/>
      <c r="KRY159" s="250"/>
      <c r="KRZ159" s="250"/>
      <c r="KSA159" s="250"/>
      <c r="KSB159" s="250"/>
      <c r="KSC159" s="250"/>
      <c r="KSD159" s="250"/>
      <c r="KSE159" s="250"/>
      <c r="KSF159" s="250"/>
      <c r="KSG159" s="250"/>
      <c r="KSH159" s="250"/>
      <c r="KSI159" s="250"/>
      <c r="KSJ159" s="250"/>
      <c r="KSK159" s="250"/>
      <c r="KSL159" s="250"/>
      <c r="KSM159" s="250"/>
      <c r="KSN159" s="250"/>
      <c r="KSO159" s="250"/>
      <c r="KSP159" s="250"/>
      <c r="KSQ159" s="250"/>
      <c r="KSR159" s="250"/>
      <c r="KSS159" s="250"/>
      <c r="KST159" s="250"/>
      <c r="KSU159" s="250"/>
      <c r="KSV159" s="250"/>
      <c r="KSW159" s="250"/>
      <c r="KSX159" s="250"/>
      <c r="KSY159" s="250"/>
      <c r="KSZ159" s="250"/>
      <c r="KTA159" s="250"/>
      <c r="KTB159" s="250"/>
      <c r="KTC159" s="250"/>
      <c r="KTD159" s="250"/>
      <c r="KTE159" s="250"/>
      <c r="KTF159" s="250"/>
      <c r="KTG159" s="250"/>
      <c r="KTH159" s="250"/>
      <c r="KTI159" s="250"/>
      <c r="KTJ159" s="250"/>
      <c r="KTK159" s="250"/>
      <c r="KTL159" s="250"/>
      <c r="KTM159" s="250"/>
      <c r="KTN159" s="250"/>
      <c r="KTO159" s="250"/>
      <c r="KTP159" s="250"/>
      <c r="KTQ159" s="250"/>
      <c r="KTR159" s="250"/>
      <c r="KTS159" s="250"/>
      <c r="KTT159" s="250"/>
      <c r="KTU159" s="250"/>
      <c r="KTV159" s="250"/>
      <c r="KTW159" s="250"/>
      <c r="KTX159" s="250"/>
      <c r="KTY159" s="250"/>
      <c r="KTZ159" s="250"/>
      <c r="KUA159" s="250"/>
      <c r="KUB159" s="250"/>
      <c r="KUC159" s="250"/>
      <c r="KUD159" s="250"/>
      <c r="KUE159" s="250"/>
      <c r="KUF159" s="250"/>
      <c r="KUG159" s="250"/>
      <c r="KUH159" s="250"/>
      <c r="KUI159" s="250"/>
      <c r="KUJ159" s="250"/>
      <c r="KUK159" s="250"/>
      <c r="KUL159" s="250"/>
      <c r="KUM159" s="250"/>
      <c r="KUN159" s="250"/>
      <c r="KUO159" s="250"/>
      <c r="KUP159" s="250"/>
      <c r="KUQ159" s="250"/>
      <c r="KUR159" s="250"/>
      <c r="KUS159" s="250"/>
      <c r="KUT159" s="250"/>
      <c r="KUU159" s="250"/>
      <c r="KUV159" s="250"/>
      <c r="KUW159" s="250"/>
      <c r="KUX159" s="250"/>
      <c r="KUY159" s="250"/>
      <c r="KUZ159" s="250"/>
      <c r="KVA159" s="250"/>
      <c r="KVB159" s="250"/>
      <c r="KVC159" s="250"/>
      <c r="KVD159" s="250"/>
      <c r="KVE159" s="250"/>
      <c r="KVF159" s="250"/>
      <c r="KVG159" s="250"/>
      <c r="KVH159" s="250"/>
      <c r="KVI159" s="250"/>
      <c r="KVJ159" s="250"/>
      <c r="KVK159" s="250"/>
      <c r="KVL159" s="250"/>
      <c r="KVM159" s="250"/>
      <c r="KVN159" s="250"/>
      <c r="KVO159" s="250"/>
      <c r="KVP159" s="250"/>
      <c r="KVQ159" s="250"/>
      <c r="KVR159" s="250"/>
      <c r="KVS159" s="250"/>
      <c r="KVT159" s="250"/>
      <c r="KVU159" s="250"/>
      <c r="KVV159" s="250"/>
      <c r="KVW159" s="250"/>
      <c r="KVX159" s="250"/>
      <c r="KVY159" s="250"/>
      <c r="KVZ159" s="250"/>
      <c r="KWA159" s="250"/>
      <c r="KWB159" s="250"/>
      <c r="KWC159" s="250"/>
      <c r="KWD159" s="250"/>
      <c r="KWE159" s="250"/>
      <c r="KWF159" s="250"/>
      <c r="KWG159" s="250"/>
      <c r="KWH159" s="250"/>
      <c r="KWI159" s="250"/>
      <c r="KWJ159" s="250"/>
      <c r="KWK159" s="250"/>
      <c r="KWL159" s="250"/>
      <c r="KWM159" s="250"/>
      <c r="KWN159" s="250"/>
      <c r="KWO159" s="250"/>
      <c r="KWP159" s="250"/>
      <c r="KWQ159" s="250"/>
      <c r="KWR159" s="250"/>
      <c r="KWS159" s="250"/>
      <c r="KWT159" s="250"/>
      <c r="KWU159" s="250"/>
      <c r="KWV159" s="250"/>
      <c r="KWW159" s="250"/>
      <c r="KWX159" s="250"/>
      <c r="KWY159" s="250"/>
      <c r="KWZ159" s="250"/>
      <c r="KXA159" s="250"/>
      <c r="KXB159" s="250"/>
      <c r="KXC159" s="250"/>
      <c r="KXD159" s="250"/>
      <c r="KXE159" s="250"/>
      <c r="KXF159" s="250"/>
      <c r="KXG159" s="250"/>
      <c r="KXH159" s="250"/>
      <c r="KXI159" s="250"/>
      <c r="KXJ159" s="250"/>
      <c r="KXK159" s="250"/>
      <c r="KXL159" s="250"/>
      <c r="KXM159" s="250"/>
      <c r="KXN159" s="250"/>
      <c r="KXO159" s="250"/>
      <c r="KXP159" s="250"/>
      <c r="KXQ159" s="250"/>
      <c r="KXR159" s="250"/>
      <c r="KXS159" s="250"/>
      <c r="KXT159" s="250"/>
      <c r="KXU159" s="250"/>
      <c r="KXV159" s="250"/>
      <c r="KXW159" s="250"/>
      <c r="KXX159" s="250"/>
      <c r="KXY159" s="250"/>
      <c r="KXZ159" s="250"/>
      <c r="KYA159" s="250"/>
      <c r="KYB159" s="250"/>
      <c r="KYC159" s="250"/>
      <c r="KYD159" s="250"/>
      <c r="KYE159" s="250"/>
      <c r="KYF159" s="250"/>
      <c r="KYG159" s="250"/>
      <c r="KYH159" s="250"/>
      <c r="KYI159" s="250"/>
      <c r="KYJ159" s="250"/>
      <c r="KYK159" s="250"/>
      <c r="KYL159" s="250"/>
      <c r="KYM159" s="250"/>
      <c r="KYN159" s="250"/>
      <c r="KYO159" s="250"/>
      <c r="KYP159" s="250"/>
      <c r="KYQ159" s="250"/>
      <c r="KYR159" s="250"/>
      <c r="KYS159" s="250"/>
      <c r="KYT159" s="250"/>
      <c r="KYU159" s="250"/>
      <c r="KYV159" s="250"/>
      <c r="KYW159" s="250"/>
      <c r="KYX159" s="250"/>
      <c r="KYY159" s="250"/>
      <c r="KYZ159" s="250"/>
      <c r="KZA159" s="250"/>
      <c r="KZB159" s="250"/>
      <c r="KZC159" s="250"/>
      <c r="KZD159" s="250"/>
      <c r="KZE159" s="250"/>
      <c r="KZF159" s="250"/>
      <c r="KZG159" s="250"/>
      <c r="KZH159" s="250"/>
      <c r="KZI159" s="250"/>
      <c r="KZJ159" s="250"/>
      <c r="KZK159" s="250"/>
      <c r="KZL159" s="250"/>
      <c r="KZM159" s="250"/>
      <c r="KZN159" s="250"/>
      <c r="KZO159" s="250"/>
      <c r="KZP159" s="250"/>
      <c r="KZQ159" s="250"/>
      <c r="KZR159" s="250"/>
      <c r="KZS159" s="250"/>
      <c r="KZT159" s="250"/>
      <c r="KZU159" s="250"/>
      <c r="KZV159" s="250"/>
      <c r="KZW159" s="250"/>
      <c r="KZX159" s="250"/>
      <c r="KZY159" s="250"/>
      <c r="KZZ159" s="250"/>
      <c r="LAA159" s="250"/>
      <c r="LAB159" s="250"/>
      <c r="LAC159" s="250"/>
      <c r="LAD159" s="250"/>
      <c r="LAE159" s="250"/>
      <c r="LAF159" s="250"/>
      <c r="LAG159" s="250"/>
      <c r="LAH159" s="250"/>
      <c r="LAI159" s="250"/>
      <c r="LAJ159" s="250"/>
      <c r="LAK159" s="250"/>
      <c r="LAL159" s="250"/>
      <c r="LAM159" s="250"/>
      <c r="LAN159" s="250"/>
      <c r="LAO159" s="250"/>
      <c r="LAP159" s="250"/>
      <c r="LAQ159" s="250"/>
      <c r="LAR159" s="250"/>
      <c r="LAS159" s="250"/>
      <c r="LAT159" s="250"/>
      <c r="LAU159" s="250"/>
      <c r="LAV159" s="250"/>
      <c r="LAW159" s="250"/>
      <c r="LAX159" s="250"/>
      <c r="LAY159" s="250"/>
      <c r="LAZ159" s="250"/>
      <c r="LBA159" s="250"/>
      <c r="LBB159" s="250"/>
      <c r="LBC159" s="250"/>
      <c r="LBD159" s="250"/>
      <c r="LBE159" s="250"/>
      <c r="LBF159" s="250"/>
      <c r="LBG159" s="250"/>
      <c r="LBH159" s="250"/>
      <c r="LBI159" s="250"/>
      <c r="LBJ159" s="250"/>
      <c r="LBK159" s="250"/>
      <c r="LBL159" s="250"/>
      <c r="LBM159" s="250"/>
      <c r="LBN159" s="250"/>
      <c r="LBO159" s="250"/>
      <c r="LBP159" s="250"/>
      <c r="LBQ159" s="250"/>
      <c r="LBR159" s="250"/>
      <c r="LBS159" s="250"/>
      <c r="LBT159" s="250"/>
      <c r="LBU159" s="250"/>
      <c r="LBV159" s="250"/>
      <c r="LBW159" s="250"/>
      <c r="LBX159" s="250"/>
      <c r="LBY159" s="250"/>
      <c r="LBZ159" s="250"/>
      <c r="LCA159" s="250"/>
      <c r="LCB159" s="250"/>
      <c r="LCC159" s="250"/>
      <c r="LCD159" s="250"/>
      <c r="LCE159" s="250"/>
      <c r="LCF159" s="250"/>
      <c r="LCG159" s="250"/>
      <c r="LCH159" s="250"/>
      <c r="LCI159" s="250"/>
      <c r="LCJ159" s="250"/>
      <c r="LCK159" s="250"/>
      <c r="LCL159" s="250"/>
      <c r="LCM159" s="250"/>
      <c r="LCN159" s="250"/>
      <c r="LCO159" s="250"/>
      <c r="LCP159" s="250"/>
      <c r="LCQ159" s="250"/>
      <c r="LCR159" s="250"/>
      <c r="LCS159" s="250"/>
      <c r="LCT159" s="250"/>
      <c r="LCU159" s="250"/>
      <c r="LCV159" s="250"/>
      <c r="LCW159" s="250"/>
      <c r="LCX159" s="250"/>
      <c r="LCY159" s="250"/>
      <c r="LCZ159" s="250"/>
      <c r="LDA159" s="250"/>
      <c r="LDB159" s="250"/>
      <c r="LDC159" s="250"/>
      <c r="LDD159" s="250"/>
      <c r="LDE159" s="250"/>
      <c r="LDF159" s="250"/>
      <c r="LDG159" s="250"/>
      <c r="LDH159" s="250"/>
      <c r="LDI159" s="250"/>
      <c r="LDJ159" s="250"/>
      <c r="LDK159" s="250"/>
      <c r="LDL159" s="250"/>
      <c r="LDM159" s="250"/>
      <c r="LDN159" s="250"/>
      <c r="LDO159" s="250"/>
      <c r="LDP159" s="250"/>
      <c r="LDQ159" s="250"/>
      <c r="LDR159" s="250"/>
      <c r="LDS159" s="250"/>
      <c r="LDT159" s="250"/>
      <c r="LDU159" s="250"/>
      <c r="LDV159" s="250"/>
      <c r="LDW159" s="250"/>
      <c r="LDX159" s="250"/>
      <c r="LDY159" s="250"/>
      <c r="LDZ159" s="250"/>
      <c r="LEA159" s="250"/>
      <c r="LEB159" s="250"/>
      <c r="LEC159" s="250"/>
      <c r="LED159" s="250"/>
      <c r="LEE159" s="250"/>
      <c r="LEF159" s="250"/>
      <c r="LEG159" s="250"/>
      <c r="LEH159" s="250"/>
      <c r="LEI159" s="250"/>
      <c r="LEJ159" s="250"/>
      <c r="LEK159" s="250"/>
      <c r="LEL159" s="250"/>
      <c r="LEM159" s="250"/>
      <c r="LEN159" s="250"/>
      <c r="LEO159" s="250"/>
      <c r="LEP159" s="250"/>
      <c r="LEQ159" s="250"/>
      <c r="LER159" s="250"/>
      <c r="LES159" s="250"/>
      <c r="LET159" s="250"/>
      <c r="LEU159" s="250"/>
      <c r="LEV159" s="250"/>
      <c r="LEW159" s="250"/>
      <c r="LEX159" s="250"/>
      <c r="LEY159" s="250"/>
      <c r="LEZ159" s="250"/>
      <c r="LFA159" s="250"/>
      <c r="LFB159" s="250"/>
      <c r="LFC159" s="250"/>
      <c r="LFD159" s="250"/>
      <c r="LFE159" s="250"/>
      <c r="LFF159" s="250"/>
      <c r="LFG159" s="250"/>
      <c r="LFH159" s="250"/>
      <c r="LFI159" s="250"/>
      <c r="LFJ159" s="250"/>
      <c r="LFK159" s="250"/>
      <c r="LFL159" s="250"/>
      <c r="LFM159" s="250"/>
      <c r="LFN159" s="250"/>
      <c r="LFO159" s="250"/>
      <c r="LFP159" s="250"/>
      <c r="LFQ159" s="250"/>
      <c r="LFR159" s="250"/>
      <c r="LFS159" s="250"/>
      <c r="LFT159" s="250"/>
      <c r="LFU159" s="250"/>
      <c r="LFV159" s="250"/>
      <c r="LFW159" s="250"/>
      <c r="LFX159" s="250"/>
      <c r="LFY159" s="250"/>
      <c r="LFZ159" s="250"/>
      <c r="LGA159" s="250"/>
      <c r="LGB159" s="250"/>
      <c r="LGC159" s="250"/>
      <c r="LGD159" s="250"/>
      <c r="LGE159" s="250"/>
      <c r="LGF159" s="250"/>
      <c r="LGG159" s="250"/>
      <c r="LGH159" s="250"/>
      <c r="LGI159" s="250"/>
      <c r="LGJ159" s="250"/>
      <c r="LGK159" s="250"/>
      <c r="LGL159" s="250"/>
      <c r="LGM159" s="250"/>
      <c r="LGN159" s="250"/>
      <c r="LGO159" s="250"/>
      <c r="LGP159" s="250"/>
      <c r="LGQ159" s="250"/>
      <c r="LGR159" s="250"/>
      <c r="LGS159" s="250"/>
      <c r="LGT159" s="250"/>
      <c r="LGU159" s="250"/>
      <c r="LGV159" s="250"/>
      <c r="LGW159" s="250"/>
      <c r="LGX159" s="250"/>
      <c r="LGY159" s="250"/>
      <c r="LGZ159" s="250"/>
      <c r="LHA159" s="250"/>
      <c r="LHB159" s="250"/>
      <c r="LHC159" s="250"/>
      <c r="LHD159" s="250"/>
      <c r="LHE159" s="250"/>
      <c r="LHF159" s="250"/>
      <c r="LHG159" s="250"/>
      <c r="LHH159" s="250"/>
      <c r="LHI159" s="250"/>
      <c r="LHJ159" s="250"/>
      <c r="LHK159" s="250"/>
      <c r="LHL159" s="250"/>
      <c r="LHM159" s="250"/>
      <c r="LHN159" s="250"/>
      <c r="LHO159" s="250"/>
      <c r="LHP159" s="250"/>
      <c r="LHQ159" s="250"/>
      <c r="LHR159" s="250"/>
      <c r="LHS159" s="250"/>
      <c r="LHT159" s="250"/>
      <c r="LHU159" s="250"/>
      <c r="LHV159" s="250"/>
      <c r="LHW159" s="250"/>
      <c r="LHX159" s="250"/>
      <c r="LHY159" s="250"/>
      <c r="LHZ159" s="250"/>
      <c r="LIA159" s="250"/>
      <c r="LIB159" s="250"/>
      <c r="LIC159" s="250"/>
      <c r="LID159" s="250"/>
      <c r="LIE159" s="250"/>
      <c r="LIF159" s="250"/>
      <c r="LIG159" s="250"/>
      <c r="LIH159" s="250"/>
      <c r="LII159" s="250"/>
      <c r="LIJ159" s="250"/>
      <c r="LIK159" s="250"/>
      <c r="LIL159" s="250"/>
      <c r="LIM159" s="250"/>
      <c r="LIN159" s="250"/>
      <c r="LIO159" s="250"/>
      <c r="LIP159" s="250"/>
      <c r="LIQ159" s="250"/>
      <c r="LIR159" s="250"/>
      <c r="LIS159" s="250"/>
      <c r="LIT159" s="250"/>
      <c r="LIU159" s="250"/>
      <c r="LIV159" s="250"/>
      <c r="LIW159" s="250"/>
      <c r="LIX159" s="250"/>
      <c r="LIY159" s="250"/>
      <c r="LIZ159" s="250"/>
      <c r="LJA159" s="250"/>
      <c r="LJB159" s="250"/>
      <c r="LJC159" s="250"/>
      <c r="LJD159" s="250"/>
      <c r="LJE159" s="250"/>
      <c r="LJF159" s="250"/>
      <c r="LJG159" s="250"/>
      <c r="LJH159" s="250"/>
      <c r="LJI159" s="250"/>
      <c r="LJJ159" s="250"/>
      <c r="LJK159" s="250"/>
      <c r="LJL159" s="250"/>
      <c r="LJM159" s="250"/>
      <c r="LJN159" s="250"/>
      <c r="LJO159" s="250"/>
      <c r="LJP159" s="250"/>
      <c r="LJQ159" s="250"/>
      <c r="LJR159" s="250"/>
      <c r="LJS159" s="250"/>
      <c r="LJT159" s="250"/>
      <c r="LJU159" s="250"/>
      <c r="LJV159" s="250"/>
      <c r="LJW159" s="250"/>
      <c r="LJX159" s="250"/>
      <c r="LJY159" s="250"/>
      <c r="LJZ159" s="250"/>
      <c r="LKA159" s="250"/>
      <c r="LKB159" s="250"/>
      <c r="LKC159" s="250"/>
      <c r="LKD159" s="250"/>
      <c r="LKE159" s="250"/>
      <c r="LKF159" s="250"/>
      <c r="LKG159" s="250"/>
      <c r="LKH159" s="250"/>
      <c r="LKI159" s="250"/>
      <c r="LKJ159" s="250"/>
      <c r="LKK159" s="250"/>
      <c r="LKL159" s="250"/>
      <c r="LKM159" s="250"/>
      <c r="LKN159" s="250"/>
      <c r="LKO159" s="250"/>
      <c r="LKP159" s="250"/>
      <c r="LKQ159" s="250"/>
      <c r="LKR159" s="250"/>
      <c r="LKS159" s="250"/>
      <c r="LKT159" s="250"/>
      <c r="LKU159" s="250"/>
      <c r="LKV159" s="250"/>
      <c r="LKW159" s="250"/>
      <c r="LKX159" s="250"/>
      <c r="LKY159" s="250"/>
      <c r="LKZ159" s="250"/>
      <c r="LLA159" s="250"/>
      <c r="LLB159" s="250"/>
      <c r="LLC159" s="250"/>
      <c r="LLD159" s="250"/>
      <c r="LLE159" s="250"/>
      <c r="LLF159" s="250"/>
      <c r="LLG159" s="250"/>
      <c r="LLH159" s="250"/>
      <c r="LLI159" s="250"/>
      <c r="LLJ159" s="250"/>
      <c r="LLK159" s="250"/>
      <c r="LLL159" s="250"/>
      <c r="LLM159" s="250"/>
      <c r="LLN159" s="250"/>
      <c r="LLO159" s="250"/>
      <c r="LLP159" s="250"/>
      <c r="LLQ159" s="250"/>
      <c r="LLR159" s="250"/>
      <c r="LLS159" s="250"/>
      <c r="LLT159" s="250"/>
      <c r="LLU159" s="250"/>
      <c r="LLV159" s="250"/>
      <c r="LLW159" s="250"/>
      <c r="LLX159" s="250"/>
      <c r="LLY159" s="250"/>
      <c r="LLZ159" s="250"/>
      <c r="LMA159" s="250"/>
      <c r="LMB159" s="250"/>
      <c r="LMC159" s="250"/>
      <c r="LMD159" s="250"/>
      <c r="LME159" s="250"/>
      <c r="LMF159" s="250"/>
      <c r="LMG159" s="250"/>
      <c r="LMH159" s="250"/>
      <c r="LMI159" s="250"/>
      <c r="LMJ159" s="250"/>
      <c r="LMK159" s="250"/>
      <c r="LML159" s="250"/>
      <c r="LMM159" s="250"/>
      <c r="LMN159" s="250"/>
      <c r="LMO159" s="250"/>
      <c r="LMP159" s="250"/>
      <c r="LMQ159" s="250"/>
      <c r="LMR159" s="250"/>
      <c r="LMS159" s="250"/>
      <c r="LMT159" s="250"/>
      <c r="LMU159" s="250"/>
      <c r="LMV159" s="250"/>
      <c r="LMW159" s="250"/>
      <c r="LMX159" s="250"/>
      <c r="LMY159" s="250"/>
      <c r="LMZ159" s="250"/>
      <c r="LNA159" s="250"/>
      <c r="LNB159" s="250"/>
      <c r="LNC159" s="250"/>
      <c r="LND159" s="250"/>
      <c r="LNE159" s="250"/>
      <c r="LNF159" s="250"/>
      <c r="LNG159" s="250"/>
      <c r="LNH159" s="250"/>
      <c r="LNI159" s="250"/>
      <c r="LNJ159" s="250"/>
      <c r="LNK159" s="250"/>
      <c r="LNL159" s="250"/>
      <c r="LNM159" s="250"/>
      <c r="LNN159" s="250"/>
      <c r="LNO159" s="250"/>
      <c r="LNP159" s="250"/>
      <c r="LNQ159" s="250"/>
      <c r="LNR159" s="250"/>
      <c r="LNS159" s="250"/>
      <c r="LNT159" s="250"/>
      <c r="LNU159" s="250"/>
      <c r="LNV159" s="250"/>
      <c r="LNW159" s="250"/>
      <c r="LNX159" s="250"/>
      <c r="LNY159" s="250"/>
      <c r="LNZ159" s="250"/>
      <c r="LOA159" s="250"/>
      <c r="LOB159" s="250"/>
      <c r="LOC159" s="250"/>
      <c r="LOD159" s="250"/>
      <c r="LOE159" s="250"/>
      <c r="LOF159" s="250"/>
      <c r="LOG159" s="250"/>
      <c r="LOH159" s="250"/>
      <c r="LOI159" s="250"/>
      <c r="LOJ159" s="250"/>
      <c r="LOK159" s="250"/>
      <c r="LOL159" s="250"/>
      <c r="LOM159" s="250"/>
      <c r="LON159" s="250"/>
      <c r="LOO159" s="250"/>
      <c r="LOP159" s="250"/>
      <c r="LOQ159" s="250"/>
      <c r="LOR159" s="250"/>
      <c r="LOS159" s="250"/>
      <c r="LOT159" s="250"/>
      <c r="LOU159" s="250"/>
      <c r="LOV159" s="250"/>
      <c r="LOW159" s="250"/>
      <c r="LOX159" s="250"/>
      <c r="LOY159" s="250"/>
      <c r="LOZ159" s="250"/>
      <c r="LPA159" s="250"/>
      <c r="LPB159" s="250"/>
      <c r="LPC159" s="250"/>
      <c r="LPD159" s="250"/>
      <c r="LPE159" s="250"/>
      <c r="LPF159" s="250"/>
      <c r="LPG159" s="250"/>
      <c r="LPH159" s="250"/>
      <c r="LPI159" s="250"/>
      <c r="LPJ159" s="250"/>
      <c r="LPK159" s="250"/>
      <c r="LPL159" s="250"/>
      <c r="LPM159" s="250"/>
      <c r="LPN159" s="250"/>
      <c r="LPO159" s="250"/>
      <c r="LPP159" s="250"/>
      <c r="LPQ159" s="250"/>
      <c r="LPR159" s="250"/>
      <c r="LPS159" s="250"/>
      <c r="LPT159" s="250"/>
      <c r="LPU159" s="250"/>
      <c r="LPV159" s="250"/>
      <c r="LPW159" s="250"/>
      <c r="LPX159" s="250"/>
      <c r="LPY159" s="250"/>
      <c r="LPZ159" s="250"/>
      <c r="LQA159" s="250"/>
      <c r="LQB159" s="250"/>
      <c r="LQC159" s="250"/>
      <c r="LQD159" s="250"/>
      <c r="LQE159" s="250"/>
      <c r="LQF159" s="250"/>
      <c r="LQG159" s="250"/>
      <c r="LQH159" s="250"/>
      <c r="LQI159" s="250"/>
      <c r="LQJ159" s="250"/>
      <c r="LQK159" s="250"/>
      <c r="LQL159" s="250"/>
      <c r="LQM159" s="250"/>
      <c r="LQN159" s="250"/>
      <c r="LQO159" s="250"/>
      <c r="LQP159" s="250"/>
      <c r="LQQ159" s="250"/>
      <c r="LQR159" s="250"/>
      <c r="LQS159" s="250"/>
      <c r="LQT159" s="250"/>
      <c r="LQU159" s="250"/>
      <c r="LQV159" s="250"/>
      <c r="LQW159" s="250"/>
      <c r="LQX159" s="250"/>
      <c r="LQY159" s="250"/>
      <c r="LQZ159" s="250"/>
      <c r="LRA159" s="250"/>
      <c r="LRB159" s="250"/>
      <c r="LRC159" s="250"/>
      <c r="LRD159" s="250"/>
      <c r="LRE159" s="250"/>
      <c r="LRF159" s="250"/>
      <c r="LRG159" s="250"/>
      <c r="LRH159" s="250"/>
      <c r="LRI159" s="250"/>
      <c r="LRJ159" s="250"/>
      <c r="LRK159" s="250"/>
      <c r="LRL159" s="250"/>
      <c r="LRM159" s="250"/>
      <c r="LRN159" s="250"/>
      <c r="LRO159" s="250"/>
      <c r="LRP159" s="250"/>
      <c r="LRQ159" s="250"/>
      <c r="LRR159" s="250"/>
      <c r="LRS159" s="250"/>
      <c r="LRT159" s="250"/>
      <c r="LRU159" s="250"/>
      <c r="LRV159" s="250"/>
      <c r="LRW159" s="250"/>
      <c r="LRX159" s="250"/>
      <c r="LRY159" s="250"/>
      <c r="LRZ159" s="250"/>
      <c r="LSA159" s="250"/>
      <c r="LSB159" s="250"/>
      <c r="LSC159" s="250"/>
      <c r="LSD159" s="250"/>
      <c r="LSE159" s="250"/>
      <c r="LSF159" s="250"/>
      <c r="LSG159" s="250"/>
      <c r="LSH159" s="250"/>
      <c r="LSI159" s="250"/>
      <c r="LSJ159" s="250"/>
      <c r="LSK159" s="250"/>
      <c r="LSL159" s="250"/>
      <c r="LSM159" s="250"/>
      <c r="LSN159" s="250"/>
      <c r="LSO159" s="250"/>
      <c r="LSP159" s="250"/>
      <c r="LSQ159" s="250"/>
      <c r="LSR159" s="250"/>
      <c r="LSS159" s="250"/>
      <c r="LST159" s="250"/>
      <c r="LSU159" s="250"/>
      <c r="LSV159" s="250"/>
      <c r="LSW159" s="250"/>
      <c r="LSX159" s="250"/>
      <c r="LSY159" s="250"/>
      <c r="LSZ159" s="250"/>
      <c r="LTA159" s="250"/>
      <c r="LTB159" s="250"/>
      <c r="LTC159" s="250"/>
      <c r="LTD159" s="250"/>
      <c r="LTE159" s="250"/>
      <c r="LTF159" s="250"/>
      <c r="LTG159" s="250"/>
      <c r="LTH159" s="250"/>
      <c r="LTI159" s="250"/>
      <c r="LTJ159" s="250"/>
      <c r="LTK159" s="250"/>
      <c r="LTL159" s="250"/>
      <c r="LTM159" s="250"/>
      <c r="LTN159" s="250"/>
      <c r="LTO159" s="250"/>
      <c r="LTP159" s="250"/>
      <c r="LTQ159" s="250"/>
      <c r="LTR159" s="250"/>
      <c r="LTS159" s="250"/>
      <c r="LTT159" s="250"/>
      <c r="LTU159" s="250"/>
      <c r="LTV159" s="250"/>
      <c r="LTW159" s="250"/>
      <c r="LTX159" s="250"/>
      <c r="LTY159" s="250"/>
      <c r="LTZ159" s="250"/>
      <c r="LUA159" s="250"/>
      <c r="LUB159" s="250"/>
      <c r="LUC159" s="250"/>
      <c r="LUD159" s="250"/>
      <c r="LUE159" s="250"/>
      <c r="LUF159" s="250"/>
      <c r="LUG159" s="250"/>
      <c r="LUH159" s="250"/>
      <c r="LUI159" s="250"/>
      <c r="LUJ159" s="250"/>
      <c r="LUK159" s="250"/>
      <c r="LUL159" s="250"/>
      <c r="LUM159" s="250"/>
      <c r="LUN159" s="250"/>
      <c r="LUO159" s="250"/>
      <c r="LUP159" s="250"/>
      <c r="LUQ159" s="250"/>
      <c r="LUR159" s="250"/>
      <c r="LUS159" s="250"/>
      <c r="LUT159" s="250"/>
      <c r="LUU159" s="250"/>
      <c r="LUV159" s="250"/>
      <c r="LUW159" s="250"/>
      <c r="LUX159" s="250"/>
      <c r="LUY159" s="250"/>
      <c r="LUZ159" s="250"/>
      <c r="LVA159" s="250"/>
      <c r="LVB159" s="250"/>
      <c r="LVC159" s="250"/>
      <c r="LVD159" s="250"/>
      <c r="LVE159" s="250"/>
      <c r="LVF159" s="250"/>
      <c r="LVG159" s="250"/>
      <c r="LVH159" s="250"/>
      <c r="LVI159" s="250"/>
      <c r="LVJ159" s="250"/>
      <c r="LVK159" s="250"/>
      <c r="LVL159" s="250"/>
      <c r="LVM159" s="250"/>
      <c r="LVN159" s="250"/>
      <c r="LVO159" s="250"/>
      <c r="LVP159" s="250"/>
      <c r="LVQ159" s="250"/>
      <c r="LVR159" s="250"/>
      <c r="LVS159" s="250"/>
      <c r="LVT159" s="250"/>
      <c r="LVU159" s="250"/>
      <c r="LVV159" s="250"/>
      <c r="LVW159" s="250"/>
      <c r="LVX159" s="250"/>
      <c r="LVY159" s="250"/>
      <c r="LVZ159" s="250"/>
      <c r="LWA159" s="250"/>
      <c r="LWB159" s="250"/>
      <c r="LWC159" s="250"/>
      <c r="LWD159" s="250"/>
      <c r="LWE159" s="250"/>
      <c r="LWF159" s="250"/>
      <c r="LWG159" s="250"/>
      <c r="LWH159" s="250"/>
      <c r="LWI159" s="250"/>
      <c r="LWJ159" s="250"/>
      <c r="LWK159" s="250"/>
      <c r="LWL159" s="250"/>
      <c r="LWM159" s="250"/>
      <c r="LWN159" s="250"/>
      <c r="LWO159" s="250"/>
      <c r="LWP159" s="250"/>
      <c r="LWQ159" s="250"/>
      <c r="LWR159" s="250"/>
      <c r="LWS159" s="250"/>
      <c r="LWT159" s="250"/>
      <c r="LWU159" s="250"/>
      <c r="LWV159" s="250"/>
      <c r="LWW159" s="250"/>
      <c r="LWX159" s="250"/>
      <c r="LWY159" s="250"/>
      <c r="LWZ159" s="250"/>
      <c r="LXA159" s="250"/>
      <c r="LXB159" s="250"/>
      <c r="LXC159" s="250"/>
      <c r="LXD159" s="250"/>
      <c r="LXE159" s="250"/>
      <c r="LXF159" s="250"/>
      <c r="LXG159" s="250"/>
      <c r="LXH159" s="250"/>
      <c r="LXI159" s="250"/>
      <c r="LXJ159" s="250"/>
      <c r="LXK159" s="250"/>
      <c r="LXL159" s="250"/>
      <c r="LXM159" s="250"/>
      <c r="LXN159" s="250"/>
      <c r="LXO159" s="250"/>
      <c r="LXP159" s="250"/>
      <c r="LXQ159" s="250"/>
      <c r="LXR159" s="250"/>
      <c r="LXS159" s="250"/>
      <c r="LXT159" s="250"/>
      <c r="LXU159" s="250"/>
      <c r="LXV159" s="250"/>
      <c r="LXW159" s="250"/>
      <c r="LXX159" s="250"/>
      <c r="LXY159" s="250"/>
      <c r="LXZ159" s="250"/>
      <c r="LYA159" s="250"/>
      <c r="LYB159" s="250"/>
      <c r="LYC159" s="250"/>
      <c r="LYD159" s="250"/>
      <c r="LYE159" s="250"/>
      <c r="LYF159" s="250"/>
      <c r="LYG159" s="250"/>
      <c r="LYH159" s="250"/>
      <c r="LYI159" s="250"/>
      <c r="LYJ159" s="250"/>
      <c r="LYK159" s="250"/>
      <c r="LYL159" s="250"/>
      <c r="LYM159" s="250"/>
      <c r="LYN159" s="250"/>
      <c r="LYO159" s="250"/>
      <c r="LYP159" s="250"/>
      <c r="LYQ159" s="250"/>
      <c r="LYR159" s="250"/>
      <c r="LYS159" s="250"/>
      <c r="LYT159" s="250"/>
      <c r="LYU159" s="250"/>
      <c r="LYV159" s="250"/>
      <c r="LYW159" s="250"/>
      <c r="LYX159" s="250"/>
      <c r="LYY159" s="250"/>
      <c r="LYZ159" s="250"/>
      <c r="LZA159" s="250"/>
      <c r="LZB159" s="250"/>
      <c r="LZC159" s="250"/>
      <c r="LZD159" s="250"/>
      <c r="LZE159" s="250"/>
      <c r="LZF159" s="250"/>
      <c r="LZG159" s="250"/>
      <c r="LZH159" s="250"/>
      <c r="LZI159" s="250"/>
      <c r="LZJ159" s="250"/>
      <c r="LZK159" s="250"/>
      <c r="LZL159" s="250"/>
      <c r="LZM159" s="250"/>
      <c r="LZN159" s="250"/>
      <c r="LZO159" s="250"/>
      <c r="LZP159" s="250"/>
      <c r="LZQ159" s="250"/>
      <c r="LZR159" s="250"/>
      <c r="LZS159" s="250"/>
      <c r="LZT159" s="250"/>
      <c r="LZU159" s="250"/>
      <c r="LZV159" s="250"/>
      <c r="LZW159" s="250"/>
      <c r="LZX159" s="250"/>
      <c r="LZY159" s="250"/>
      <c r="LZZ159" s="250"/>
      <c r="MAA159" s="250"/>
      <c r="MAB159" s="250"/>
      <c r="MAC159" s="250"/>
      <c r="MAD159" s="250"/>
      <c r="MAE159" s="250"/>
      <c r="MAF159" s="250"/>
      <c r="MAG159" s="250"/>
      <c r="MAH159" s="250"/>
      <c r="MAI159" s="250"/>
      <c r="MAJ159" s="250"/>
      <c r="MAK159" s="250"/>
      <c r="MAL159" s="250"/>
      <c r="MAM159" s="250"/>
      <c r="MAN159" s="250"/>
      <c r="MAO159" s="250"/>
      <c r="MAP159" s="250"/>
      <c r="MAQ159" s="250"/>
      <c r="MAR159" s="250"/>
      <c r="MAS159" s="250"/>
      <c r="MAT159" s="250"/>
      <c r="MAU159" s="250"/>
      <c r="MAV159" s="250"/>
      <c r="MAW159" s="250"/>
      <c r="MAX159" s="250"/>
      <c r="MAY159" s="250"/>
      <c r="MAZ159" s="250"/>
      <c r="MBA159" s="250"/>
      <c r="MBB159" s="250"/>
      <c r="MBC159" s="250"/>
      <c r="MBD159" s="250"/>
      <c r="MBE159" s="250"/>
      <c r="MBF159" s="250"/>
      <c r="MBG159" s="250"/>
      <c r="MBH159" s="250"/>
      <c r="MBI159" s="250"/>
      <c r="MBJ159" s="250"/>
      <c r="MBK159" s="250"/>
      <c r="MBL159" s="250"/>
      <c r="MBM159" s="250"/>
      <c r="MBN159" s="250"/>
      <c r="MBO159" s="250"/>
      <c r="MBP159" s="250"/>
      <c r="MBQ159" s="250"/>
      <c r="MBR159" s="250"/>
      <c r="MBS159" s="250"/>
      <c r="MBT159" s="250"/>
      <c r="MBU159" s="250"/>
      <c r="MBV159" s="250"/>
      <c r="MBW159" s="250"/>
      <c r="MBX159" s="250"/>
      <c r="MBY159" s="250"/>
      <c r="MBZ159" s="250"/>
      <c r="MCA159" s="250"/>
      <c r="MCB159" s="250"/>
      <c r="MCC159" s="250"/>
      <c r="MCD159" s="250"/>
      <c r="MCE159" s="250"/>
      <c r="MCF159" s="250"/>
      <c r="MCG159" s="250"/>
      <c r="MCH159" s="250"/>
      <c r="MCI159" s="250"/>
      <c r="MCJ159" s="250"/>
      <c r="MCK159" s="250"/>
      <c r="MCL159" s="250"/>
      <c r="MCM159" s="250"/>
      <c r="MCN159" s="250"/>
      <c r="MCO159" s="250"/>
      <c r="MCP159" s="250"/>
      <c r="MCQ159" s="250"/>
      <c r="MCR159" s="250"/>
      <c r="MCS159" s="250"/>
      <c r="MCT159" s="250"/>
      <c r="MCU159" s="250"/>
      <c r="MCV159" s="250"/>
      <c r="MCW159" s="250"/>
      <c r="MCX159" s="250"/>
      <c r="MCY159" s="250"/>
      <c r="MCZ159" s="250"/>
      <c r="MDA159" s="250"/>
      <c r="MDB159" s="250"/>
      <c r="MDC159" s="250"/>
      <c r="MDD159" s="250"/>
      <c r="MDE159" s="250"/>
      <c r="MDF159" s="250"/>
      <c r="MDG159" s="250"/>
      <c r="MDH159" s="250"/>
      <c r="MDI159" s="250"/>
      <c r="MDJ159" s="250"/>
      <c r="MDK159" s="250"/>
      <c r="MDL159" s="250"/>
      <c r="MDM159" s="250"/>
      <c r="MDN159" s="250"/>
      <c r="MDO159" s="250"/>
      <c r="MDP159" s="250"/>
      <c r="MDQ159" s="250"/>
      <c r="MDR159" s="250"/>
      <c r="MDS159" s="250"/>
      <c r="MDT159" s="250"/>
      <c r="MDU159" s="250"/>
      <c r="MDV159" s="250"/>
      <c r="MDW159" s="250"/>
      <c r="MDX159" s="250"/>
      <c r="MDY159" s="250"/>
      <c r="MDZ159" s="250"/>
      <c r="MEA159" s="250"/>
      <c r="MEB159" s="250"/>
      <c r="MEC159" s="250"/>
      <c r="MED159" s="250"/>
      <c r="MEE159" s="250"/>
      <c r="MEF159" s="250"/>
      <c r="MEG159" s="250"/>
      <c r="MEH159" s="250"/>
      <c r="MEI159" s="250"/>
      <c r="MEJ159" s="250"/>
      <c r="MEK159" s="250"/>
      <c r="MEL159" s="250"/>
      <c r="MEM159" s="250"/>
      <c r="MEN159" s="250"/>
      <c r="MEO159" s="250"/>
      <c r="MEP159" s="250"/>
      <c r="MEQ159" s="250"/>
      <c r="MER159" s="250"/>
      <c r="MES159" s="250"/>
      <c r="MET159" s="250"/>
      <c r="MEU159" s="250"/>
      <c r="MEV159" s="250"/>
      <c r="MEW159" s="250"/>
      <c r="MEX159" s="250"/>
      <c r="MEY159" s="250"/>
      <c r="MEZ159" s="250"/>
      <c r="MFA159" s="250"/>
      <c r="MFB159" s="250"/>
      <c r="MFC159" s="250"/>
      <c r="MFD159" s="250"/>
      <c r="MFE159" s="250"/>
      <c r="MFF159" s="250"/>
      <c r="MFG159" s="250"/>
      <c r="MFH159" s="250"/>
      <c r="MFI159" s="250"/>
      <c r="MFJ159" s="250"/>
      <c r="MFK159" s="250"/>
      <c r="MFL159" s="250"/>
      <c r="MFM159" s="250"/>
      <c r="MFN159" s="250"/>
      <c r="MFO159" s="250"/>
      <c r="MFP159" s="250"/>
      <c r="MFQ159" s="250"/>
      <c r="MFR159" s="250"/>
      <c r="MFS159" s="250"/>
      <c r="MFT159" s="250"/>
      <c r="MFU159" s="250"/>
      <c r="MFV159" s="250"/>
      <c r="MFW159" s="250"/>
      <c r="MFX159" s="250"/>
      <c r="MFY159" s="250"/>
      <c r="MFZ159" s="250"/>
      <c r="MGA159" s="250"/>
      <c r="MGB159" s="250"/>
      <c r="MGC159" s="250"/>
      <c r="MGD159" s="250"/>
      <c r="MGE159" s="250"/>
      <c r="MGF159" s="250"/>
      <c r="MGG159" s="250"/>
      <c r="MGH159" s="250"/>
      <c r="MGI159" s="250"/>
      <c r="MGJ159" s="250"/>
      <c r="MGK159" s="250"/>
      <c r="MGL159" s="250"/>
      <c r="MGM159" s="250"/>
      <c r="MGN159" s="250"/>
      <c r="MGO159" s="250"/>
      <c r="MGP159" s="250"/>
      <c r="MGQ159" s="250"/>
      <c r="MGR159" s="250"/>
      <c r="MGS159" s="250"/>
      <c r="MGT159" s="250"/>
      <c r="MGU159" s="250"/>
      <c r="MGV159" s="250"/>
      <c r="MGW159" s="250"/>
      <c r="MGX159" s="250"/>
      <c r="MGY159" s="250"/>
      <c r="MGZ159" s="250"/>
      <c r="MHA159" s="250"/>
      <c r="MHB159" s="250"/>
      <c r="MHC159" s="250"/>
      <c r="MHD159" s="250"/>
      <c r="MHE159" s="250"/>
      <c r="MHF159" s="250"/>
      <c r="MHG159" s="250"/>
      <c r="MHH159" s="250"/>
      <c r="MHI159" s="250"/>
      <c r="MHJ159" s="250"/>
      <c r="MHK159" s="250"/>
      <c r="MHL159" s="250"/>
      <c r="MHM159" s="250"/>
      <c r="MHN159" s="250"/>
      <c r="MHO159" s="250"/>
      <c r="MHP159" s="250"/>
      <c r="MHQ159" s="250"/>
      <c r="MHR159" s="250"/>
      <c r="MHS159" s="250"/>
      <c r="MHT159" s="250"/>
      <c r="MHU159" s="250"/>
      <c r="MHV159" s="250"/>
      <c r="MHW159" s="250"/>
      <c r="MHX159" s="250"/>
      <c r="MHY159" s="250"/>
      <c r="MHZ159" s="250"/>
      <c r="MIA159" s="250"/>
      <c r="MIB159" s="250"/>
      <c r="MIC159" s="250"/>
      <c r="MID159" s="250"/>
      <c r="MIE159" s="250"/>
      <c r="MIF159" s="250"/>
      <c r="MIG159" s="250"/>
      <c r="MIH159" s="250"/>
      <c r="MII159" s="250"/>
      <c r="MIJ159" s="250"/>
      <c r="MIK159" s="250"/>
      <c r="MIL159" s="250"/>
      <c r="MIM159" s="250"/>
      <c r="MIN159" s="250"/>
      <c r="MIO159" s="250"/>
      <c r="MIP159" s="250"/>
      <c r="MIQ159" s="250"/>
      <c r="MIR159" s="250"/>
      <c r="MIS159" s="250"/>
      <c r="MIT159" s="250"/>
      <c r="MIU159" s="250"/>
      <c r="MIV159" s="250"/>
      <c r="MIW159" s="250"/>
      <c r="MIX159" s="250"/>
      <c r="MIY159" s="250"/>
      <c r="MIZ159" s="250"/>
      <c r="MJA159" s="250"/>
      <c r="MJB159" s="250"/>
      <c r="MJC159" s="250"/>
      <c r="MJD159" s="250"/>
      <c r="MJE159" s="250"/>
      <c r="MJF159" s="250"/>
      <c r="MJG159" s="250"/>
      <c r="MJH159" s="250"/>
      <c r="MJI159" s="250"/>
      <c r="MJJ159" s="250"/>
      <c r="MJK159" s="250"/>
      <c r="MJL159" s="250"/>
      <c r="MJM159" s="250"/>
      <c r="MJN159" s="250"/>
      <c r="MJO159" s="250"/>
      <c r="MJP159" s="250"/>
      <c r="MJQ159" s="250"/>
      <c r="MJR159" s="250"/>
      <c r="MJS159" s="250"/>
      <c r="MJT159" s="250"/>
      <c r="MJU159" s="250"/>
      <c r="MJV159" s="250"/>
      <c r="MJW159" s="250"/>
      <c r="MJX159" s="250"/>
      <c r="MJY159" s="250"/>
      <c r="MJZ159" s="250"/>
      <c r="MKA159" s="250"/>
      <c r="MKB159" s="250"/>
      <c r="MKC159" s="250"/>
      <c r="MKD159" s="250"/>
      <c r="MKE159" s="250"/>
      <c r="MKF159" s="250"/>
      <c r="MKG159" s="250"/>
      <c r="MKH159" s="250"/>
      <c r="MKI159" s="250"/>
      <c r="MKJ159" s="250"/>
      <c r="MKK159" s="250"/>
      <c r="MKL159" s="250"/>
      <c r="MKM159" s="250"/>
      <c r="MKN159" s="250"/>
      <c r="MKO159" s="250"/>
      <c r="MKP159" s="250"/>
      <c r="MKQ159" s="250"/>
      <c r="MKR159" s="250"/>
      <c r="MKS159" s="250"/>
      <c r="MKT159" s="250"/>
      <c r="MKU159" s="250"/>
      <c r="MKV159" s="250"/>
      <c r="MKW159" s="250"/>
      <c r="MKX159" s="250"/>
      <c r="MKY159" s="250"/>
      <c r="MKZ159" s="250"/>
      <c r="MLA159" s="250"/>
      <c r="MLB159" s="250"/>
      <c r="MLC159" s="250"/>
      <c r="MLD159" s="250"/>
      <c r="MLE159" s="250"/>
      <c r="MLF159" s="250"/>
      <c r="MLG159" s="250"/>
      <c r="MLH159" s="250"/>
      <c r="MLI159" s="250"/>
      <c r="MLJ159" s="250"/>
      <c r="MLK159" s="250"/>
      <c r="MLL159" s="250"/>
      <c r="MLM159" s="250"/>
      <c r="MLN159" s="250"/>
      <c r="MLO159" s="250"/>
      <c r="MLP159" s="250"/>
      <c r="MLQ159" s="250"/>
      <c r="MLR159" s="250"/>
      <c r="MLS159" s="250"/>
      <c r="MLT159" s="250"/>
      <c r="MLU159" s="250"/>
      <c r="MLV159" s="250"/>
      <c r="MLW159" s="250"/>
      <c r="MLX159" s="250"/>
      <c r="MLY159" s="250"/>
      <c r="MLZ159" s="250"/>
      <c r="MMA159" s="250"/>
      <c r="MMB159" s="250"/>
      <c r="MMC159" s="250"/>
      <c r="MMD159" s="250"/>
      <c r="MME159" s="250"/>
      <c r="MMF159" s="250"/>
      <c r="MMG159" s="250"/>
      <c r="MMH159" s="250"/>
      <c r="MMI159" s="250"/>
      <c r="MMJ159" s="250"/>
      <c r="MMK159" s="250"/>
      <c r="MML159" s="250"/>
      <c r="MMM159" s="250"/>
      <c r="MMN159" s="250"/>
      <c r="MMO159" s="250"/>
      <c r="MMP159" s="250"/>
      <c r="MMQ159" s="250"/>
      <c r="MMR159" s="250"/>
      <c r="MMS159" s="250"/>
      <c r="MMT159" s="250"/>
      <c r="MMU159" s="250"/>
      <c r="MMV159" s="250"/>
      <c r="MMW159" s="250"/>
      <c r="MMX159" s="250"/>
      <c r="MMY159" s="250"/>
      <c r="MMZ159" s="250"/>
      <c r="MNA159" s="250"/>
      <c r="MNB159" s="250"/>
      <c r="MNC159" s="250"/>
      <c r="MND159" s="250"/>
      <c r="MNE159" s="250"/>
      <c r="MNF159" s="250"/>
      <c r="MNG159" s="250"/>
      <c r="MNH159" s="250"/>
      <c r="MNI159" s="250"/>
      <c r="MNJ159" s="250"/>
      <c r="MNK159" s="250"/>
      <c r="MNL159" s="250"/>
      <c r="MNM159" s="250"/>
      <c r="MNN159" s="250"/>
      <c r="MNO159" s="250"/>
      <c r="MNP159" s="250"/>
      <c r="MNQ159" s="250"/>
      <c r="MNR159" s="250"/>
      <c r="MNS159" s="250"/>
      <c r="MNT159" s="250"/>
      <c r="MNU159" s="250"/>
      <c r="MNV159" s="250"/>
      <c r="MNW159" s="250"/>
      <c r="MNX159" s="250"/>
      <c r="MNY159" s="250"/>
      <c r="MNZ159" s="250"/>
      <c r="MOA159" s="250"/>
      <c r="MOB159" s="250"/>
      <c r="MOC159" s="250"/>
      <c r="MOD159" s="250"/>
      <c r="MOE159" s="250"/>
      <c r="MOF159" s="250"/>
      <c r="MOG159" s="250"/>
      <c r="MOH159" s="250"/>
      <c r="MOI159" s="250"/>
      <c r="MOJ159" s="250"/>
      <c r="MOK159" s="250"/>
      <c r="MOL159" s="250"/>
      <c r="MOM159" s="250"/>
      <c r="MON159" s="250"/>
      <c r="MOO159" s="250"/>
      <c r="MOP159" s="250"/>
      <c r="MOQ159" s="250"/>
      <c r="MOR159" s="250"/>
      <c r="MOS159" s="250"/>
      <c r="MOT159" s="250"/>
      <c r="MOU159" s="250"/>
      <c r="MOV159" s="250"/>
      <c r="MOW159" s="250"/>
      <c r="MOX159" s="250"/>
      <c r="MOY159" s="250"/>
      <c r="MOZ159" s="250"/>
      <c r="MPA159" s="250"/>
      <c r="MPB159" s="250"/>
      <c r="MPC159" s="250"/>
      <c r="MPD159" s="250"/>
      <c r="MPE159" s="250"/>
      <c r="MPF159" s="250"/>
      <c r="MPG159" s="250"/>
      <c r="MPH159" s="250"/>
      <c r="MPI159" s="250"/>
      <c r="MPJ159" s="250"/>
      <c r="MPK159" s="250"/>
      <c r="MPL159" s="250"/>
      <c r="MPM159" s="250"/>
      <c r="MPN159" s="250"/>
      <c r="MPO159" s="250"/>
      <c r="MPP159" s="250"/>
      <c r="MPQ159" s="250"/>
      <c r="MPR159" s="250"/>
      <c r="MPS159" s="250"/>
      <c r="MPT159" s="250"/>
      <c r="MPU159" s="250"/>
      <c r="MPV159" s="250"/>
      <c r="MPW159" s="250"/>
      <c r="MPX159" s="250"/>
      <c r="MPY159" s="250"/>
      <c r="MPZ159" s="250"/>
      <c r="MQA159" s="250"/>
      <c r="MQB159" s="250"/>
      <c r="MQC159" s="250"/>
      <c r="MQD159" s="250"/>
      <c r="MQE159" s="250"/>
      <c r="MQF159" s="250"/>
      <c r="MQG159" s="250"/>
      <c r="MQH159" s="250"/>
      <c r="MQI159" s="250"/>
      <c r="MQJ159" s="250"/>
      <c r="MQK159" s="250"/>
      <c r="MQL159" s="250"/>
      <c r="MQM159" s="250"/>
      <c r="MQN159" s="250"/>
      <c r="MQO159" s="250"/>
      <c r="MQP159" s="250"/>
      <c r="MQQ159" s="250"/>
      <c r="MQR159" s="250"/>
      <c r="MQS159" s="250"/>
      <c r="MQT159" s="250"/>
      <c r="MQU159" s="250"/>
      <c r="MQV159" s="250"/>
      <c r="MQW159" s="250"/>
      <c r="MQX159" s="250"/>
      <c r="MQY159" s="250"/>
      <c r="MQZ159" s="250"/>
      <c r="MRA159" s="250"/>
      <c r="MRB159" s="250"/>
      <c r="MRC159" s="250"/>
      <c r="MRD159" s="250"/>
      <c r="MRE159" s="250"/>
      <c r="MRF159" s="250"/>
      <c r="MRG159" s="250"/>
      <c r="MRH159" s="250"/>
      <c r="MRI159" s="250"/>
      <c r="MRJ159" s="250"/>
      <c r="MRK159" s="250"/>
      <c r="MRL159" s="250"/>
      <c r="MRM159" s="250"/>
      <c r="MRN159" s="250"/>
      <c r="MRO159" s="250"/>
      <c r="MRP159" s="250"/>
      <c r="MRQ159" s="250"/>
      <c r="MRR159" s="250"/>
      <c r="MRS159" s="250"/>
      <c r="MRT159" s="250"/>
      <c r="MRU159" s="250"/>
      <c r="MRV159" s="250"/>
      <c r="MRW159" s="250"/>
      <c r="MRX159" s="250"/>
      <c r="MRY159" s="250"/>
      <c r="MRZ159" s="250"/>
      <c r="MSA159" s="250"/>
      <c r="MSB159" s="250"/>
      <c r="MSC159" s="250"/>
      <c r="MSD159" s="250"/>
      <c r="MSE159" s="250"/>
      <c r="MSF159" s="250"/>
      <c r="MSG159" s="250"/>
      <c r="MSH159" s="250"/>
      <c r="MSI159" s="250"/>
      <c r="MSJ159" s="250"/>
      <c r="MSK159" s="250"/>
      <c r="MSL159" s="250"/>
      <c r="MSM159" s="250"/>
      <c r="MSN159" s="250"/>
      <c r="MSO159" s="250"/>
      <c r="MSP159" s="250"/>
      <c r="MSQ159" s="250"/>
      <c r="MSR159" s="250"/>
      <c r="MSS159" s="250"/>
      <c r="MST159" s="250"/>
      <c r="MSU159" s="250"/>
      <c r="MSV159" s="250"/>
      <c r="MSW159" s="250"/>
      <c r="MSX159" s="250"/>
      <c r="MSY159" s="250"/>
      <c r="MSZ159" s="250"/>
      <c r="MTA159" s="250"/>
      <c r="MTB159" s="250"/>
      <c r="MTC159" s="250"/>
      <c r="MTD159" s="250"/>
      <c r="MTE159" s="250"/>
      <c r="MTF159" s="250"/>
      <c r="MTG159" s="250"/>
      <c r="MTH159" s="250"/>
      <c r="MTI159" s="250"/>
      <c r="MTJ159" s="250"/>
      <c r="MTK159" s="250"/>
      <c r="MTL159" s="250"/>
      <c r="MTM159" s="250"/>
      <c r="MTN159" s="250"/>
      <c r="MTO159" s="250"/>
      <c r="MTP159" s="250"/>
      <c r="MTQ159" s="250"/>
      <c r="MTR159" s="250"/>
      <c r="MTS159" s="250"/>
      <c r="MTT159" s="250"/>
      <c r="MTU159" s="250"/>
      <c r="MTV159" s="250"/>
      <c r="MTW159" s="250"/>
      <c r="MTX159" s="250"/>
      <c r="MTY159" s="250"/>
      <c r="MTZ159" s="250"/>
      <c r="MUA159" s="250"/>
      <c r="MUB159" s="250"/>
      <c r="MUC159" s="250"/>
      <c r="MUD159" s="250"/>
      <c r="MUE159" s="250"/>
      <c r="MUF159" s="250"/>
      <c r="MUG159" s="250"/>
      <c r="MUH159" s="250"/>
      <c r="MUI159" s="250"/>
      <c r="MUJ159" s="250"/>
      <c r="MUK159" s="250"/>
      <c r="MUL159" s="250"/>
      <c r="MUM159" s="250"/>
      <c r="MUN159" s="250"/>
      <c r="MUO159" s="250"/>
      <c r="MUP159" s="250"/>
      <c r="MUQ159" s="250"/>
      <c r="MUR159" s="250"/>
      <c r="MUS159" s="250"/>
      <c r="MUT159" s="250"/>
      <c r="MUU159" s="250"/>
      <c r="MUV159" s="250"/>
      <c r="MUW159" s="250"/>
      <c r="MUX159" s="250"/>
      <c r="MUY159" s="250"/>
      <c r="MUZ159" s="250"/>
      <c r="MVA159" s="250"/>
      <c r="MVB159" s="250"/>
      <c r="MVC159" s="250"/>
      <c r="MVD159" s="250"/>
      <c r="MVE159" s="250"/>
      <c r="MVF159" s="250"/>
      <c r="MVG159" s="250"/>
      <c r="MVH159" s="250"/>
      <c r="MVI159" s="250"/>
      <c r="MVJ159" s="250"/>
      <c r="MVK159" s="250"/>
      <c r="MVL159" s="250"/>
      <c r="MVM159" s="250"/>
      <c r="MVN159" s="250"/>
      <c r="MVO159" s="250"/>
      <c r="MVP159" s="250"/>
      <c r="MVQ159" s="250"/>
      <c r="MVR159" s="250"/>
      <c r="MVS159" s="250"/>
      <c r="MVT159" s="250"/>
      <c r="MVU159" s="250"/>
      <c r="MVV159" s="250"/>
      <c r="MVW159" s="250"/>
      <c r="MVX159" s="250"/>
      <c r="MVY159" s="250"/>
      <c r="MVZ159" s="250"/>
      <c r="MWA159" s="250"/>
      <c r="MWB159" s="250"/>
      <c r="MWC159" s="250"/>
      <c r="MWD159" s="250"/>
      <c r="MWE159" s="250"/>
      <c r="MWF159" s="250"/>
      <c r="MWG159" s="250"/>
      <c r="MWH159" s="250"/>
      <c r="MWI159" s="250"/>
      <c r="MWJ159" s="250"/>
      <c r="MWK159" s="250"/>
      <c r="MWL159" s="250"/>
      <c r="MWM159" s="250"/>
      <c r="MWN159" s="250"/>
      <c r="MWO159" s="250"/>
      <c r="MWP159" s="250"/>
      <c r="MWQ159" s="250"/>
      <c r="MWR159" s="250"/>
      <c r="MWS159" s="250"/>
      <c r="MWT159" s="250"/>
      <c r="MWU159" s="250"/>
      <c r="MWV159" s="250"/>
      <c r="MWW159" s="250"/>
      <c r="MWX159" s="250"/>
      <c r="MWY159" s="250"/>
      <c r="MWZ159" s="250"/>
      <c r="MXA159" s="250"/>
      <c r="MXB159" s="250"/>
      <c r="MXC159" s="250"/>
      <c r="MXD159" s="250"/>
      <c r="MXE159" s="250"/>
      <c r="MXF159" s="250"/>
      <c r="MXG159" s="250"/>
      <c r="MXH159" s="250"/>
      <c r="MXI159" s="250"/>
      <c r="MXJ159" s="250"/>
      <c r="MXK159" s="250"/>
      <c r="MXL159" s="250"/>
      <c r="MXM159" s="250"/>
      <c r="MXN159" s="250"/>
      <c r="MXO159" s="250"/>
      <c r="MXP159" s="250"/>
      <c r="MXQ159" s="250"/>
      <c r="MXR159" s="250"/>
      <c r="MXS159" s="250"/>
      <c r="MXT159" s="250"/>
      <c r="MXU159" s="250"/>
      <c r="MXV159" s="250"/>
      <c r="MXW159" s="250"/>
      <c r="MXX159" s="250"/>
      <c r="MXY159" s="250"/>
      <c r="MXZ159" s="250"/>
      <c r="MYA159" s="250"/>
      <c r="MYB159" s="250"/>
      <c r="MYC159" s="250"/>
      <c r="MYD159" s="250"/>
      <c r="MYE159" s="250"/>
      <c r="MYF159" s="250"/>
      <c r="MYG159" s="250"/>
      <c r="MYH159" s="250"/>
      <c r="MYI159" s="250"/>
      <c r="MYJ159" s="250"/>
      <c r="MYK159" s="250"/>
      <c r="MYL159" s="250"/>
      <c r="MYM159" s="250"/>
      <c r="MYN159" s="250"/>
      <c r="MYO159" s="250"/>
      <c r="MYP159" s="250"/>
      <c r="MYQ159" s="250"/>
      <c r="MYR159" s="250"/>
      <c r="MYS159" s="250"/>
      <c r="MYT159" s="250"/>
      <c r="MYU159" s="250"/>
      <c r="MYV159" s="250"/>
      <c r="MYW159" s="250"/>
      <c r="MYX159" s="250"/>
      <c r="MYY159" s="250"/>
      <c r="MYZ159" s="250"/>
      <c r="MZA159" s="250"/>
      <c r="MZB159" s="250"/>
      <c r="MZC159" s="250"/>
      <c r="MZD159" s="250"/>
      <c r="MZE159" s="250"/>
      <c r="MZF159" s="250"/>
      <c r="MZG159" s="250"/>
      <c r="MZH159" s="250"/>
      <c r="MZI159" s="250"/>
      <c r="MZJ159" s="250"/>
      <c r="MZK159" s="250"/>
      <c r="MZL159" s="250"/>
      <c r="MZM159" s="250"/>
      <c r="MZN159" s="250"/>
      <c r="MZO159" s="250"/>
      <c r="MZP159" s="250"/>
      <c r="MZQ159" s="250"/>
      <c r="MZR159" s="250"/>
      <c r="MZS159" s="250"/>
      <c r="MZT159" s="250"/>
      <c r="MZU159" s="250"/>
      <c r="MZV159" s="250"/>
      <c r="MZW159" s="250"/>
      <c r="MZX159" s="250"/>
      <c r="MZY159" s="250"/>
      <c r="MZZ159" s="250"/>
      <c r="NAA159" s="250"/>
      <c r="NAB159" s="250"/>
      <c r="NAC159" s="250"/>
      <c r="NAD159" s="250"/>
      <c r="NAE159" s="250"/>
      <c r="NAF159" s="250"/>
      <c r="NAG159" s="250"/>
      <c r="NAH159" s="250"/>
      <c r="NAI159" s="250"/>
      <c r="NAJ159" s="250"/>
      <c r="NAK159" s="250"/>
      <c r="NAL159" s="250"/>
      <c r="NAM159" s="250"/>
      <c r="NAN159" s="250"/>
      <c r="NAO159" s="250"/>
      <c r="NAP159" s="250"/>
      <c r="NAQ159" s="250"/>
      <c r="NAR159" s="250"/>
      <c r="NAS159" s="250"/>
      <c r="NAT159" s="250"/>
      <c r="NAU159" s="250"/>
      <c r="NAV159" s="250"/>
      <c r="NAW159" s="250"/>
      <c r="NAX159" s="250"/>
      <c r="NAY159" s="250"/>
      <c r="NAZ159" s="250"/>
      <c r="NBA159" s="250"/>
      <c r="NBB159" s="250"/>
      <c r="NBC159" s="250"/>
      <c r="NBD159" s="250"/>
      <c r="NBE159" s="250"/>
      <c r="NBF159" s="250"/>
      <c r="NBG159" s="250"/>
      <c r="NBH159" s="250"/>
      <c r="NBI159" s="250"/>
      <c r="NBJ159" s="250"/>
      <c r="NBK159" s="250"/>
      <c r="NBL159" s="250"/>
      <c r="NBM159" s="250"/>
      <c r="NBN159" s="250"/>
      <c r="NBO159" s="250"/>
      <c r="NBP159" s="250"/>
      <c r="NBQ159" s="250"/>
      <c r="NBR159" s="250"/>
      <c r="NBS159" s="250"/>
      <c r="NBT159" s="250"/>
      <c r="NBU159" s="250"/>
      <c r="NBV159" s="250"/>
      <c r="NBW159" s="250"/>
      <c r="NBX159" s="250"/>
      <c r="NBY159" s="250"/>
      <c r="NBZ159" s="250"/>
      <c r="NCA159" s="250"/>
      <c r="NCB159" s="250"/>
      <c r="NCC159" s="250"/>
      <c r="NCD159" s="250"/>
      <c r="NCE159" s="250"/>
      <c r="NCF159" s="250"/>
      <c r="NCG159" s="250"/>
      <c r="NCH159" s="250"/>
      <c r="NCI159" s="250"/>
      <c r="NCJ159" s="250"/>
      <c r="NCK159" s="250"/>
      <c r="NCL159" s="250"/>
      <c r="NCM159" s="250"/>
      <c r="NCN159" s="250"/>
      <c r="NCO159" s="250"/>
      <c r="NCP159" s="250"/>
      <c r="NCQ159" s="250"/>
      <c r="NCR159" s="250"/>
      <c r="NCS159" s="250"/>
      <c r="NCT159" s="250"/>
      <c r="NCU159" s="250"/>
      <c r="NCV159" s="250"/>
      <c r="NCW159" s="250"/>
      <c r="NCX159" s="250"/>
      <c r="NCY159" s="250"/>
      <c r="NCZ159" s="250"/>
      <c r="NDA159" s="250"/>
      <c r="NDB159" s="250"/>
      <c r="NDC159" s="250"/>
      <c r="NDD159" s="250"/>
      <c r="NDE159" s="250"/>
      <c r="NDF159" s="250"/>
      <c r="NDG159" s="250"/>
      <c r="NDH159" s="250"/>
      <c r="NDI159" s="250"/>
      <c r="NDJ159" s="250"/>
      <c r="NDK159" s="250"/>
      <c r="NDL159" s="250"/>
      <c r="NDM159" s="250"/>
      <c r="NDN159" s="250"/>
      <c r="NDO159" s="250"/>
      <c r="NDP159" s="250"/>
      <c r="NDQ159" s="250"/>
      <c r="NDR159" s="250"/>
      <c r="NDS159" s="250"/>
      <c r="NDT159" s="250"/>
      <c r="NDU159" s="250"/>
      <c r="NDV159" s="250"/>
      <c r="NDW159" s="250"/>
      <c r="NDX159" s="250"/>
      <c r="NDY159" s="250"/>
      <c r="NDZ159" s="250"/>
      <c r="NEA159" s="250"/>
      <c r="NEB159" s="250"/>
      <c r="NEC159" s="250"/>
      <c r="NED159" s="250"/>
      <c r="NEE159" s="250"/>
      <c r="NEF159" s="250"/>
      <c r="NEG159" s="250"/>
      <c r="NEH159" s="250"/>
      <c r="NEI159" s="250"/>
      <c r="NEJ159" s="250"/>
      <c r="NEK159" s="250"/>
      <c r="NEL159" s="250"/>
      <c r="NEM159" s="250"/>
      <c r="NEN159" s="250"/>
      <c r="NEO159" s="250"/>
      <c r="NEP159" s="250"/>
      <c r="NEQ159" s="250"/>
      <c r="NER159" s="250"/>
      <c r="NES159" s="250"/>
      <c r="NET159" s="250"/>
      <c r="NEU159" s="250"/>
      <c r="NEV159" s="250"/>
      <c r="NEW159" s="250"/>
      <c r="NEX159" s="250"/>
      <c r="NEY159" s="250"/>
      <c r="NEZ159" s="250"/>
      <c r="NFA159" s="250"/>
      <c r="NFB159" s="250"/>
      <c r="NFC159" s="250"/>
      <c r="NFD159" s="250"/>
      <c r="NFE159" s="250"/>
      <c r="NFF159" s="250"/>
      <c r="NFG159" s="250"/>
      <c r="NFH159" s="250"/>
      <c r="NFI159" s="250"/>
      <c r="NFJ159" s="250"/>
      <c r="NFK159" s="250"/>
      <c r="NFL159" s="250"/>
      <c r="NFM159" s="250"/>
      <c r="NFN159" s="250"/>
      <c r="NFO159" s="250"/>
      <c r="NFP159" s="250"/>
      <c r="NFQ159" s="250"/>
      <c r="NFR159" s="250"/>
      <c r="NFS159" s="250"/>
      <c r="NFT159" s="250"/>
      <c r="NFU159" s="250"/>
      <c r="NFV159" s="250"/>
      <c r="NFW159" s="250"/>
      <c r="NFX159" s="250"/>
      <c r="NFY159" s="250"/>
      <c r="NFZ159" s="250"/>
      <c r="NGA159" s="250"/>
      <c r="NGB159" s="250"/>
      <c r="NGC159" s="250"/>
      <c r="NGD159" s="250"/>
      <c r="NGE159" s="250"/>
      <c r="NGF159" s="250"/>
      <c r="NGG159" s="250"/>
      <c r="NGH159" s="250"/>
      <c r="NGI159" s="250"/>
      <c r="NGJ159" s="250"/>
      <c r="NGK159" s="250"/>
      <c r="NGL159" s="250"/>
      <c r="NGM159" s="250"/>
      <c r="NGN159" s="250"/>
      <c r="NGO159" s="250"/>
      <c r="NGP159" s="250"/>
      <c r="NGQ159" s="250"/>
      <c r="NGR159" s="250"/>
      <c r="NGS159" s="250"/>
      <c r="NGT159" s="250"/>
      <c r="NGU159" s="250"/>
      <c r="NGV159" s="250"/>
      <c r="NGW159" s="250"/>
      <c r="NGX159" s="250"/>
      <c r="NGY159" s="250"/>
      <c r="NGZ159" s="250"/>
      <c r="NHA159" s="250"/>
      <c r="NHB159" s="250"/>
      <c r="NHC159" s="250"/>
      <c r="NHD159" s="250"/>
      <c r="NHE159" s="250"/>
      <c r="NHF159" s="250"/>
      <c r="NHG159" s="250"/>
      <c r="NHH159" s="250"/>
      <c r="NHI159" s="250"/>
      <c r="NHJ159" s="250"/>
      <c r="NHK159" s="250"/>
      <c r="NHL159" s="250"/>
      <c r="NHM159" s="250"/>
      <c r="NHN159" s="250"/>
      <c r="NHO159" s="250"/>
      <c r="NHP159" s="250"/>
      <c r="NHQ159" s="250"/>
      <c r="NHR159" s="250"/>
      <c r="NHS159" s="250"/>
      <c r="NHT159" s="250"/>
      <c r="NHU159" s="250"/>
      <c r="NHV159" s="250"/>
      <c r="NHW159" s="250"/>
      <c r="NHX159" s="250"/>
      <c r="NHY159" s="250"/>
      <c r="NHZ159" s="250"/>
      <c r="NIA159" s="250"/>
      <c r="NIB159" s="250"/>
      <c r="NIC159" s="250"/>
      <c r="NID159" s="250"/>
      <c r="NIE159" s="250"/>
      <c r="NIF159" s="250"/>
      <c r="NIG159" s="250"/>
      <c r="NIH159" s="250"/>
      <c r="NII159" s="250"/>
      <c r="NIJ159" s="250"/>
      <c r="NIK159" s="250"/>
      <c r="NIL159" s="250"/>
      <c r="NIM159" s="250"/>
      <c r="NIN159" s="250"/>
      <c r="NIO159" s="250"/>
      <c r="NIP159" s="250"/>
      <c r="NIQ159" s="250"/>
      <c r="NIR159" s="250"/>
      <c r="NIS159" s="250"/>
      <c r="NIT159" s="250"/>
      <c r="NIU159" s="250"/>
      <c r="NIV159" s="250"/>
      <c r="NIW159" s="250"/>
      <c r="NIX159" s="250"/>
      <c r="NIY159" s="250"/>
      <c r="NIZ159" s="250"/>
      <c r="NJA159" s="250"/>
      <c r="NJB159" s="250"/>
      <c r="NJC159" s="250"/>
      <c r="NJD159" s="250"/>
      <c r="NJE159" s="250"/>
      <c r="NJF159" s="250"/>
      <c r="NJG159" s="250"/>
      <c r="NJH159" s="250"/>
      <c r="NJI159" s="250"/>
      <c r="NJJ159" s="250"/>
      <c r="NJK159" s="250"/>
      <c r="NJL159" s="250"/>
      <c r="NJM159" s="250"/>
      <c r="NJN159" s="250"/>
      <c r="NJO159" s="250"/>
      <c r="NJP159" s="250"/>
      <c r="NJQ159" s="250"/>
      <c r="NJR159" s="250"/>
      <c r="NJS159" s="250"/>
      <c r="NJT159" s="250"/>
      <c r="NJU159" s="250"/>
      <c r="NJV159" s="250"/>
      <c r="NJW159" s="250"/>
      <c r="NJX159" s="250"/>
      <c r="NJY159" s="250"/>
      <c r="NJZ159" s="250"/>
      <c r="NKA159" s="250"/>
      <c r="NKB159" s="250"/>
      <c r="NKC159" s="250"/>
      <c r="NKD159" s="250"/>
      <c r="NKE159" s="250"/>
      <c r="NKF159" s="250"/>
      <c r="NKG159" s="250"/>
      <c r="NKH159" s="250"/>
      <c r="NKI159" s="250"/>
      <c r="NKJ159" s="250"/>
      <c r="NKK159" s="250"/>
      <c r="NKL159" s="250"/>
      <c r="NKM159" s="250"/>
      <c r="NKN159" s="250"/>
      <c r="NKO159" s="250"/>
      <c r="NKP159" s="250"/>
      <c r="NKQ159" s="250"/>
      <c r="NKR159" s="250"/>
      <c r="NKS159" s="250"/>
      <c r="NKT159" s="250"/>
      <c r="NKU159" s="250"/>
      <c r="NKV159" s="250"/>
      <c r="NKW159" s="250"/>
      <c r="NKX159" s="250"/>
      <c r="NKY159" s="250"/>
      <c r="NKZ159" s="250"/>
      <c r="NLA159" s="250"/>
      <c r="NLB159" s="250"/>
      <c r="NLC159" s="250"/>
      <c r="NLD159" s="250"/>
      <c r="NLE159" s="250"/>
      <c r="NLF159" s="250"/>
      <c r="NLG159" s="250"/>
      <c r="NLH159" s="250"/>
      <c r="NLI159" s="250"/>
      <c r="NLJ159" s="250"/>
      <c r="NLK159" s="250"/>
      <c r="NLL159" s="250"/>
      <c r="NLM159" s="250"/>
      <c r="NLN159" s="250"/>
      <c r="NLO159" s="250"/>
      <c r="NLP159" s="250"/>
      <c r="NLQ159" s="250"/>
      <c r="NLR159" s="250"/>
      <c r="NLS159" s="250"/>
      <c r="NLT159" s="250"/>
      <c r="NLU159" s="250"/>
      <c r="NLV159" s="250"/>
      <c r="NLW159" s="250"/>
      <c r="NLX159" s="250"/>
      <c r="NLY159" s="250"/>
      <c r="NLZ159" s="250"/>
      <c r="NMA159" s="250"/>
      <c r="NMB159" s="250"/>
      <c r="NMC159" s="250"/>
      <c r="NMD159" s="250"/>
      <c r="NME159" s="250"/>
      <c r="NMF159" s="250"/>
      <c r="NMG159" s="250"/>
      <c r="NMH159" s="250"/>
      <c r="NMI159" s="250"/>
      <c r="NMJ159" s="250"/>
      <c r="NMK159" s="250"/>
      <c r="NML159" s="250"/>
      <c r="NMM159" s="250"/>
      <c r="NMN159" s="250"/>
      <c r="NMO159" s="250"/>
      <c r="NMP159" s="250"/>
      <c r="NMQ159" s="250"/>
      <c r="NMR159" s="250"/>
      <c r="NMS159" s="250"/>
      <c r="NMT159" s="250"/>
      <c r="NMU159" s="250"/>
      <c r="NMV159" s="250"/>
      <c r="NMW159" s="250"/>
      <c r="NMX159" s="250"/>
      <c r="NMY159" s="250"/>
      <c r="NMZ159" s="250"/>
      <c r="NNA159" s="250"/>
      <c r="NNB159" s="250"/>
      <c r="NNC159" s="250"/>
      <c r="NND159" s="250"/>
      <c r="NNE159" s="250"/>
      <c r="NNF159" s="250"/>
      <c r="NNG159" s="250"/>
      <c r="NNH159" s="250"/>
      <c r="NNI159" s="250"/>
      <c r="NNJ159" s="250"/>
      <c r="NNK159" s="250"/>
      <c r="NNL159" s="250"/>
      <c r="NNM159" s="250"/>
      <c r="NNN159" s="250"/>
      <c r="NNO159" s="250"/>
      <c r="NNP159" s="250"/>
      <c r="NNQ159" s="250"/>
      <c r="NNR159" s="250"/>
      <c r="NNS159" s="250"/>
      <c r="NNT159" s="250"/>
      <c r="NNU159" s="250"/>
      <c r="NNV159" s="250"/>
      <c r="NNW159" s="250"/>
      <c r="NNX159" s="250"/>
      <c r="NNY159" s="250"/>
      <c r="NNZ159" s="250"/>
      <c r="NOA159" s="250"/>
      <c r="NOB159" s="250"/>
      <c r="NOC159" s="250"/>
      <c r="NOD159" s="250"/>
      <c r="NOE159" s="250"/>
      <c r="NOF159" s="250"/>
      <c r="NOG159" s="250"/>
      <c r="NOH159" s="250"/>
      <c r="NOI159" s="250"/>
      <c r="NOJ159" s="250"/>
      <c r="NOK159" s="250"/>
      <c r="NOL159" s="250"/>
      <c r="NOM159" s="250"/>
      <c r="NON159" s="250"/>
      <c r="NOO159" s="250"/>
      <c r="NOP159" s="250"/>
      <c r="NOQ159" s="250"/>
      <c r="NOR159" s="250"/>
      <c r="NOS159" s="250"/>
      <c r="NOT159" s="250"/>
      <c r="NOU159" s="250"/>
      <c r="NOV159" s="250"/>
      <c r="NOW159" s="250"/>
      <c r="NOX159" s="250"/>
      <c r="NOY159" s="250"/>
      <c r="NOZ159" s="250"/>
      <c r="NPA159" s="250"/>
      <c r="NPB159" s="250"/>
      <c r="NPC159" s="250"/>
      <c r="NPD159" s="250"/>
      <c r="NPE159" s="250"/>
      <c r="NPF159" s="250"/>
      <c r="NPG159" s="250"/>
      <c r="NPH159" s="250"/>
      <c r="NPI159" s="250"/>
      <c r="NPJ159" s="250"/>
      <c r="NPK159" s="250"/>
      <c r="NPL159" s="250"/>
      <c r="NPM159" s="250"/>
      <c r="NPN159" s="250"/>
      <c r="NPO159" s="250"/>
      <c r="NPP159" s="250"/>
      <c r="NPQ159" s="250"/>
      <c r="NPR159" s="250"/>
      <c r="NPS159" s="250"/>
      <c r="NPT159" s="250"/>
      <c r="NPU159" s="250"/>
      <c r="NPV159" s="250"/>
      <c r="NPW159" s="250"/>
      <c r="NPX159" s="250"/>
      <c r="NPY159" s="250"/>
      <c r="NPZ159" s="250"/>
      <c r="NQA159" s="250"/>
      <c r="NQB159" s="250"/>
      <c r="NQC159" s="250"/>
      <c r="NQD159" s="250"/>
      <c r="NQE159" s="250"/>
      <c r="NQF159" s="250"/>
      <c r="NQG159" s="250"/>
      <c r="NQH159" s="250"/>
      <c r="NQI159" s="250"/>
      <c r="NQJ159" s="250"/>
      <c r="NQK159" s="250"/>
      <c r="NQL159" s="250"/>
      <c r="NQM159" s="250"/>
      <c r="NQN159" s="250"/>
      <c r="NQO159" s="250"/>
      <c r="NQP159" s="250"/>
      <c r="NQQ159" s="250"/>
      <c r="NQR159" s="250"/>
      <c r="NQS159" s="250"/>
      <c r="NQT159" s="250"/>
      <c r="NQU159" s="250"/>
      <c r="NQV159" s="250"/>
      <c r="NQW159" s="250"/>
      <c r="NQX159" s="250"/>
      <c r="NQY159" s="250"/>
      <c r="NQZ159" s="250"/>
      <c r="NRA159" s="250"/>
      <c r="NRB159" s="250"/>
      <c r="NRC159" s="250"/>
      <c r="NRD159" s="250"/>
      <c r="NRE159" s="250"/>
      <c r="NRF159" s="250"/>
      <c r="NRG159" s="250"/>
      <c r="NRH159" s="250"/>
      <c r="NRI159" s="250"/>
      <c r="NRJ159" s="250"/>
      <c r="NRK159" s="250"/>
      <c r="NRL159" s="250"/>
      <c r="NRM159" s="250"/>
      <c r="NRN159" s="250"/>
      <c r="NRO159" s="250"/>
      <c r="NRP159" s="250"/>
      <c r="NRQ159" s="250"/>
      <c r="NRR159" s="250"/>
      <c r="NRS159" s="250"/>
      <c r="NRT159" s="250"/>
      <c r="NRU159" s="250"/>
      <c r="NRV159" s="250"/>
      <c r="NRW159" s="250"/>
      <c r="NRX159" s="250"/>
      <c r="NRY159" s="250"/>
      <c r="NRZ159" s="250"/>
      <c r="NSA159" s="250"/>
      <c r="NSB159" s="250"/>
      <c r="NSC159" s="250"/>
      <c r="NSD159" s="250"/>
      <c r="NSE159" s="250"/>
      <c r="NSF159" s="250"/>
      <c r="NSG159" s="250"/>
      <c r="NSH159" s="250"/>
      <c r="NSI159" s="250"/>
      <c r="NSJ159" s="250"/>
      <c r="NSK159" s="250"/>
      <c r="NSL159" s="250"/>
      <c r="NSM159" s="250"/>
      <c r="NSN159" s="250"/>
      <c r="NSO159" s="250"/>
      <c r="NSP159" s="250"/>
      <c r="NSQ159" s="250"/>
      <c r="NSR159" s="250"/>
      <c r="NSS159" s="250"/>
      <c r="NST159" s="250"/>
      <c r="NSU159" s="250"/>
      <c r="NSV159" s="250"/>
      <c r="NSW159" s="250"/>
      <c r="NSX159" s="250"/>
      <c r="NSY159" s="250"/>
      <c r="NSZ159" s="250"/>
      <c r="NTA159" s="250"/>
      <c r="NTB159" s="250"/>
      <c r="NTC159" s="250"/>
      <c r="NTD159" s="250"/>
      <c r="NTE159" s="250"/>
      <c r="NTF159" s="250"/>
      <c r="NTG159" s="250"/>
      <c r="NTH159" s="250"/>
      <c r="NTI159" s="250"/>
      <c r="NTJ159" s="250"/>
      <c r="NTK159" s="250"/>
      <c r="NTL159" s="250"/>
      <c r="NTM159" s="250"/>
      <c r="NTN159" s="250"/>
      <c r="NTO159" s="250"/>
      <c r="NTP159" s="250"/>
      <c r="NTQ159" s="250"/>
      <c r="NTR159" s="250"/>
      <c r="NTS159" s="250"/>
      <c r="NTT159" s="250"/>
      <c r="NTU159" s="250"/>
      <c r="NTV159" s="250"/>
      <c r="NTW159" s="250"/>
      <c r="NTX159" s="250"/>
      <c r="NTY159" s="250"/>
      <c r="NTZ159" s="250"/>
      <c r="NUA159" s="250"/>
      <c r="NUB159" s="250"/>
      <c r="NUC159" s="250"/>
      <c r="NUD159" s="250"/>
      <c r="NUE159" s="250"/>
      <c r="NUF159" s="250"/>
      <c r="NUG159" s="250"/>
      <c r="NUH159" s="250"/>
      <c r="NUI159" s="250"/>
      <c r="NUJ159" s="250"/>
      <c r="NUK159" s="250"/>
      <c r="NUL159" s="250"/>
      <c r="NUM159" s="250"/>
      <c r="NUN159" s="250"/>
      <c r="NUO159" s="250"/>
      <c r="NUP159" s="250"/>
      <c r="NUQ159" s="250"/>
      <c r="NUR159" s="250"/>
      <c r="NUS159" s="250"/>
      <c r="NUT159" s="250"/>
      <c r="NUU159" s="250"/>
      <c r="NUV159" s="250"/>
      <c r="NUW159" s="250"/>
      <c r="NUX159" s="250"/>
      <c r="NUY159" s="250"/>
      <c r="NUZ159" s="250"/>
      <c r="NVA159" s="250"/>
      <c r="NVB159" s="250"/>
      <c r="NVC159" s="250"/>
      <c r="NVD159" s="250"/>
      <c r="NVE159" s="250"/>
      <c r="NVF159" s="250"/>
      <c r="NVG159" s="250"/>
      <c r="NVH159" s="250"/>
      <c r="NVI159" s="250"/>
      <c r="NVJ159" s="250"/>
      <c r="NVK159" s="250"/>
      <c r="NVL159" s="250"/>
      <c r="NVM159" s="250"/>
      <c r="NVN159" s="250"/>
      <c r="NVO159" s="250"/>
      <c r="NVP159" s="250"/>
      <c r="NVQ159" s="250"/>
      <c r="NVR159" s="250"/>
      <c r="NVS159" s="250"/>
      <c r="NVT159" s="250"/>
      <c r="NVU159" s="250"/>
      <c r="NVV159" s="250"/>
      <c r="NVW159" s="250"/>
      <c r="NVX159" s="250"/>
      <c r="NVY159" s="250"/>
      <c r="NVZ159" s="250"/>
      <c r="NWA159" s="250"/>
      <c r="NWB159" s="250"/>
      <c r="NWC159" s="250"/>
      <c r="NWD159" s="250"/>
      <c r="NWE159" s="250"/>
      <c r="NWF159" s="250"/>
      <c r="NWG159" s="250"/>
      <c r="NWH159" s="250"/>
      <c r="NWI159" s="250"/>
      <c r="NWJ159" s="250"/>
      <c r="NWK159" s="250"/>
      <c r="NWL159" s="250"/>
      <c r="NWM159" s="250"/>
      <c r="NWN159" s="250"/>
      <c r="NWO159" s="250"/>
      <c r="NWP159" s="250"/>
      <c r="NWQ159" s="250"/>
      <c r="NWR159" s="250"/>
      <c r="NWS159" s="250"/>
      <c r="NWT159" s="250"/>
      <c r="NWU159" s="250"/>
      <c r="NWV159" s="250"/>
      <c r="NWW159" s="250"/>
      <c r="NWX159" s="250"/>
      <c r="NWY159" s="250"/>
      <c r="NWZ159" s="250"/>
      <c r="NXA159" s="250"/>
      <c r="NXB159" s="250"/>
      <c r="NXC159" s="250"/>
      <c r="NXD159" s="250"/>
      <c r="NXE159" s="250"/>
      <c r="NXF159" s="250"/>
      <c r="NXG159" s="250"/>
      <c r="NXH159" s="250"/>
      <c r="NXI159" s="250"/>
      <c r="NXJ159" s="250"/>
      <c r="NXK159" s="250"/>
      <c r="NXL159" s="250"/>
      <c r="NXM159" s="250"/>
      <c r="NXN159" s="250"/>
      <c r="NXO159" s="250"/>
      <c r="NXP159" s="250"/>
      <c r="NXQ159" s="250"/>
      <c r="NXR159" s="250"/>
      <c r="NXS159" s="250"/>
      <c r="NXT159" s="250"/>
      <c r="NXU159" s="250"/>
      <c r="NXV159" s="250"/>
      <c r="NXW159" s="250"/>
      <c r="NXX159" s="250"/>
      <c r="NXY159" s="250"/>
      <c r="NXZ159" s="250"/>
      <c r="NYA159" s="250"/>
      <c r="NYB159" s="250"/>
      <c r="NYC159" s="250"/>
      <c r="NYD159" s="250"/>
      <c r="NYE159" s="250"/>
      <c r="NYF159" s="250"/>
      <c r="NYG159" s="250"/>
      <c r="NYH159" s="250"/>
      <c r="NYI159" s="250"/>
      <c r="NYJ159" s="250"/>
      <c r="NYK159" s="250"/>
      <c r="NYL159" s="250"/>
      <c r="NYM159" s="250"/>
      <c r="NYN159" s="250"/>
      <c r="NYO159" s="250"/>
      <c r="NYP159" s="250"/>
      <c r="NYQ159" s="250"/>
      <c r="NYR159" s="250"/>
      <c r="NYS159" s="250"/>
      <c r="NYT159" s="250"/>
      <c r="NYU159" s="250"/>
      <c r="NYV159" s="250"/>
      <c r="NYW159" s="250"/>
      <c r="NYX159" s="250"/>
      <c r="NYY159" s="250"/>
      <c r="NYZ159" s="250"/>
      <c r="NZA159" s="250"/>
      <c r="NZB159" s="250"/>
      <c r="NZC159" s="250"/>
      <c r="NZD159" s="250"/>
      <c r="NZE159" s="250"/>
      <c r="NZF159" s="250"/>
      <c r="NZG159" s="250"/>
      <c r="NZH159" s="250"/>
      <c r="NZI159" s="250"/>
      <c r="NZJ159" s="250"/>
      <c r="NZK159" s="250"/>
      <c r="NZL159" s="250"/>
      <c r="NZM159" s="250"/>
      <c r="NZN159" s="250"/>
      <c r="NZO159" s="250"/>
      <c r="NZP159" s="250"/>
      <c r="NZQ159" s="250"/>
      <c r="NZR159" s="250"/>
      <c r="NZS159" s="250"/>
      <c r="NZT159" s="250"/>
      <c r="NZU159" s="250"/>
      <c r="NZV159" s="250"/>
      <c r="NZW159" s="250"/>
      <c r="NZX159" s="250"/>
      <c r="NZY159" s="250"/>
      <c r="NZZ159" s="250"/>
      <c r="OAA159" s="250"/>
      <c r="OAB159" s="250"/>
      <c r="OAC159" s="250"/>
      <c r="OAD159" s="250"/>
      <c r="OAE159" s="250"/>
      <c r="OAF159" s="250"/>
      <c r="OAG159" s="250"/>
      <c r="OAH159" s="250"/>
      <c r="OAI159" s="250"/>
      <c r="OAJ159" s="250"/>
      <c r="OAK159" s="250"/>
      <c r="OAL159" s="250"/>
      <c r="OAM159" s="250"/>
      <c r="OAN159" s="250"/>
      <c r="OAO159" s="250"/>
      <c r="OAP159" s="250"/>
      <c r="OAQ159" s="250"/>
      <c r="OAR159" s="250"/>
      <c r="OAS159" s="250"/>
      <c r="OAT159" s="250"/>
      <c r="OAU159" s="250"/>
      <c r="OAV159" s="250"/>
      <c r="OAW159" s="250"/>
      <c r="OAX159" s="250"/>
      <c r="OAY159" s="250"/>
      <c r="OAZ159" s="250"/>
      <c r="OBA159" s="250"/>
      <c r="OBB159" s="250"/>
      <c r="OBC159" s="250"/>
      <c r="OBD159" s="250"/>
      <c r="OBE159" s="250"/>
      <c r="OBF159" s="250"/>
      <c r="OBG159" s="250"/>
      <c r="OBH159" s="250"/>
      <c r="OBI159" s="250"/>
      <c r="OBJ159" s="250"/>
      <c r="OBK159" s="250"/>
      <c r="OBL159" s="250"/>
      <c r="OBM159" s="250"/>
      <c r="OBN159" s="250"/>
      <c r="OBO159" s="250"/>
      <c r="OBP159" s="250"/>
      <c r="OBQ159" s="250"/>
      <c r="OBR159" s="250"/>
      <c r="OBS159" s="250"/>
      <c r="OBT159" s="250"/>
      <c r="OBU159" s="250"/>
      <c r="OBV159" s="250"/>
      <c r="OBW159" s="250"/>
      <c r="OBX159" s="250"/>
      <c r="OBY159" s="250"/>
      <c r="OBZ159" s="250"/>
      <c r="OCA159" s="250"/>
      <c r="OCB159" s="250"/>
      <c r="OCC159" s="250"/>
      <c r="OCD159" s="250"/>
      <c r="OCE159" s="250"/>
      <c r="OCF159" s="250"/>
      <c r="OCG159" s="250"/>
      <c r="OCH159" s="250"/>
      <c r="OCI159" s="250"/>
      <c r="OCJ159" s="250"/>
      <c r="OCK159" s="250"/>
      <c r="OCL159" s="250"/>
      <c r="OCM159" s="250"/>
      <c r="OCN159" s="250"/>
      <c r="OCO159" s="250"/>
      <c r="OCP159" s="250"/>
      <c r="OCQ159" s="250"/>
      <c r="OCR159" s="250"/>
      <c r="OCS159" s="250"/>
      <c r="OCT159" s="250"/>
      <c r="OCU159" s="250"/>
      <c r="OCV159" s="250"/>
      <c r="OCW159" s="250"/>
      <c r="OCX159" s="250"/>
      <c r="OCY159" s="250"/>
      <c r="OCZ159" s="250"/>
      <c r="ODA159" s="250"/>
      <c r="ODB159" s="250"/>
      <c r="ODC159" s="250"/>
      <c r="ODD159" s="250"/>
      <c r="ODE159" s="250"/>
      <c r="ODF159" s="250"/>
      <c r="ODG159" s="250"/>
      <c r="ODH159" s="250"/>
      <c r="ODI159" s="250"/>
      <c r="ODJ159" s="250"/>
      <c r="ODK159" s="250"/>
      <c r="ODL159" s="250"/>
      <c r="ODM159" s="250"/>
      <c r="ODN159" s="250"/>
      <c r="ODO159" s="250"/>
      <c r="ODP159" s="250"/>
      <c r="ODQ159" s="250"/>
      <c r="ODR159" s="250"/>
      <c r="ODS159" s="250"/>
      <c r="ODT159" s="250"/>
      <c r="ODU159" s="250"/>
      <c r="ODV159" s="250"/>
      <c r="ODW159" s="250"/>
      <c r="ODX159" s="250"/>
      <c r="ODY159" s="250"/>
      <c r="ODZ159" s="250"/>
      <c r="OEA159" s="250"/>
      <c r="OEB159" s="250"/>
      <c r="OEC159" s="250"/>
      <c r="OED159" s="250"/>
      <c r="OEE159" s="250"/>
      <c r="OEF159" s="250"/>
      <c r="OEG159" s="250"/>
      <c r="OEH159" s="250"/>
      <c r="OEI159" s="250"/>
      <c r="OEJ159" s="250"/>
      <c r="OEK159" s="250"/>
      <c r="OEL159" s="250"/>
      <c r="OEM159" s="250"/>
      <c r="OEN159" s="250"/>
      <c r="OEO159" s="250"/>
      <c r="OEP159" s="250"/>
      <c r="OEQ159" s="250"/>
      <c r="OER159" s="250"/>
      <c r="OES159" s="250"/>
      <c r="OET159" s="250"/>
      <c r="OEU159" s="250"/>
      <c r="OEV159" s="250"/>
      <c r="OEW159" s="250"/>
      <c r="OEX159" s="250"/>
      <c r="OEY159" s="250"/>
      <c r="OEZ159" s="250"/>
      <c r="OFA159" s="250"/>
      <c r="OFB159" s="250"/>
      <c r="OFC159" s="250"/>
      <c r="OFD159" s="250"/>
      <c r="OFE159" s="250"/>
      <c r="OFF159" s="250"/>
      <c r="OFG159" s="250"/>
      <c r="OFH159" s="250"/>
      <c r="OFI159" s="250"/>
      <c r="OFJ159" s="250"/>
      <c r="OFK159" s="250"/>
      <c r="OFL159" s="250"/>
      <c r="OFM159" s="250"/>
      <c r="OFN159" s="250"/>
      <c r="OFO159" s="250"/>
      <c r="OFP159" s="250"/>
      <c r="OFQ159" s="250"/>
      <c r="OFR159" s="250"/>
      <c r="OFS159" s="250"/>
      <c r="OFT159" s="250"/>
      <c r="OFU159" s="250"/>
      <c r="OFV159" s="250"/>
      <c r="OFW159" s="250"/>
      <c r="OFX159" s="250"/>
      <c r="OFY159" s="250"/>
      <c r="OFZ159" s="250"/>
      <c r="OGA159" s="250"/>
      <c r="OGB159" s="250"/>
      <c r="OGC159" s="250"/>
      <c r="OGD159" s="250"/>
      <c r="OGE159" s="250"/>
      <c r="OGF159" s="250"/>
      <c r="OGG159" s="250"/>
      <c r="OGH159" s="250"/>
      <c r="OGI159" s="250"/>
      <c r="OGJ159" s="250"/>
      <c r="OGK159" s="250"/>
      <c r="OGL159" s="250"/>
      <c r="OGM159" s="250"/>
      <c r="OGN159" s="250"/>
      <c r="OGO159" s="250"/>
      <c r="OGP159" s="250"/>
      <c r="OGQ159" s="250"/>
      <c r="OGR159" s="250"/>
      <c r="OGS159" s="250"/>
      <c r="OGT159" s="250"/>
      <c r="OGU159" s="250"/>
      <c r="OGV159" s="250"/>
      <c r="OGW159" s="250"/>
      <c r="OGX159" s="250"/>
      <c r="OGY159" s="250"/>
      <c r="OGZ159" s="250"/>
      <c r="OHA159" s="250"/>
      <c r="OHB159" s="250"/>
      <c r="OHC159" s="250"/>
      <c r="OHD159" s="250"/>
      <c r="OHE159" s="250"/>
      <c r="OHF159" s="250"/>
      <c r="OHG159" s="250"/>
      <c r="OHH159" s="250"/>
      <c r="OHI159" s="250"/>
      <c r="OHJ159" s="250"/>
      <c r="OHK159" s="250"/>
      <c r="OHL159" s="250"/>
      <c r="OHM159" s="250"/>
      <c r="OHN159" s="250"/>
      <c r="OHO159" s="250"/>
      <c r="OHP159" s="250"/>
      <c r="OHQ159" s="250"/>
      <c r="OHR159" s="250"/>
      <c r="OHS159" s="250"/>
      <c r="OHT159" s="250"/>
      <c r="OHU159" s="250"/>
      <c r="OHV159" s="250"/>
      <c r="OHW159" s="250"/>
      <c r="OHX159" s="250"/>
      <c r="OHY159" s="250"/>
      <c r="OHZ159" s="250"/>
      <c r="OIA159" s="250"/>
      <c r="OIB159" s="250"/>
      <c r="OIC159" s="250"/>
      <c r="OID159" s="250"/>
      <c r="OIE159" s="250"/>
      <c r="OIF159" s="250"/>
      <c r="OIG159" s="250"/>
      <c r="OIH159" s="250"/>
      <c r="OII159" s="250"/>
      <c r="OIJ159" s="250"/>
      <c r="OIK159" s="250"/>
      <c r="OIL159" s="250"/>
      <c r="OIM159" s="250"/>
      <c r="OIN159" s="250"/>
      <c r="OIO159" s="250"/>
      <c r="OIP159" s="250"/>
      <c r="OIQ159" s="250"/>
      <c r="OIR159" s="250"/>
      <c r="OIS159" s="250"/>
      <c r="OIT159" s="250"/>
      <c r="OIU159" s="250"/>
      <c r="OIV159" s="250"/>
      <c r="OIW159" s="250"/>
      <c r="OIX159" s="250"/>
      <c r="OIY159" s="250"/>
      <c r="OIZ159" s="250"/>
      <c r="OJA159" s="250"/>
      <c r="OJB159" s="250"/>
      <c r="OJC159" s="250"/>
      <c r="OJD159" s="250"/>
      <c r="OJE159" s="250"/>
      <c r="OJF159" s="250"/>
      <c r="OJG159" s="250"/>
      <c r="OJH159" s="250"/>
      <c r="OJI159" s="250"/>
      <c r="OJJ159" s="250"/>
      <c r="OJK159" s="250"/>
      <c r="OJL159" s="250"/>
      <c r="OJM159" s="250"/>
      <c r="OJN159" s="250"/>
      <c r="OJO159" s="250"/>
      <c r="OJP159" s="250"/>
      <c r="OJQ159" s="250"/>
      <c r="OJR159" s="250"/>
      <c r="OJS159" s="250"/>
      <c r="OJT159" s="250"/>
      <c r="OJU159" s="250"/>
      <c r="OJV159" s="250"/>
      <c r="OJW159" s="250"/>
      <c r="OJX159" s="250"/>
      <c r="OJY159" s="250"/>
      <c r="OJZ159" s="250"/>
      <c r="OKA159" s="250"/>
      <c r="OKB159" s="250"/>
      <c r="OKC159" s="250"/>
      <c r="OKD159" s="250"/>
      <c r="OKE159" s="250"/>
      <c r="OKF159" s="250"/>
      <c r="OKG159" s="250"/>
      <c r="OKH159" s="250"/>
      <c r="OKI159" s="250"/>
      <c r="OKJ159" s="250"/>
      <c r="OKK159" s="250"/>
      <c r="OKL159" s="250"/>
      <c r="OKM159" s="250"/>
      <c r="OKN159" s="250"/>
      <c r="OKO159" s="250"/>
      <c r="OKP159" s="250"/>
      <c r="OKQ159" s="250"/>
      <c r="OKR159" s="250"/>
      <c r="OKS159" s="250"/>
      <c r="OKT159" s="250"/>
      <c r="OKU159" s="250"/>
      <c r="OKV159" s="250"/>
      <c r="OKW159" s="250"/>
      <c r="OKX159" s="250"/>
      <c r="OKY159" s="250"/>
      <c r="OKZ159" s="250"/>
      <c r="OLA159" s="250"/>
      <c r="OLB159" s="250"/>
      <c r="OLC159" s="250"/>
      <c r="OLD159" s="250"/>
      <c r="OLE159" s="250"/>
      <c r="OLF159" s="250"/>
      <c r="OLG159" s="250"/>
      <c r="OLH159" s="250"/>
      <c r="OLI159" s="250"/>
      <c r="OLJ159" s="250"/>
      <c r="OLK159" s="250"/>
      <c r="OLL159" s="250"/>
      <c r="OLM159" s="250"/>
      <c r="OLN159" s="250"/>
      <c r="OLO159" s="250"/>
      <c r="OLP159" s="250"/>
      <c r="OLQ159" s="250"/>
      <c r="OLR159" s="250"/>
      <c r="OLS159" s="250"/>
      <c r="OLT159" s="250"/>
      <c r="OLU159" s="250"/>
      <c r="OLV159" s="250"/>
      <c r="OLW159" s="250"/>
      <c r="OLX159" s="250"/>
      <c r="OLY159" s="250"/>
      <c r="OLZ159" s="250"/>
      <c r="OMA159" s="250"/>
      <c r="OMB159" s="250"/>
      <c r="OMC159" s="250"/>
      <c r="OMD159" s="250"/>
      <c r="OME159" s="250"/>
      <c r="OMF159" s="250"/>
      <c r="OMG159" s="250"/>
      <c r="OMH159" s="250"/>
      <c r="OMI159" s="250"/>
      <c r="OMJ159" s="250"/>
      <c r="OMK159" s="250"/>
      <c r="OML159" s="250"/>
      <c r="OMM159" s="250"/>
      <c r="OMN159" s="250"/>
      <c r="OMO159" s="250"/>
      <c r="OMP159" s="250"/>
      <c r="OMQ159" s="250"/>
      <c r="OMR159" s="250"/>
      <c r="OMS159" s="250"/>
      <c r="OMT159" s="250"/>
      <c r="OMU159" s="250"/>
      <c r="OMV159" s="250"/>
      <c r="OMW159" s="250"/>
      <c r="OMX159" s="250"/>
      <c r="OMY159" s="250"/>
      <c r="OMZ159" s="250"/>
      <c r="ONA159" s="250"/>
      <c r="ONB159" s="250"/>
      <c r="ONC159" s="250"/>
      <c r="OND159" s="250"/>
      <c r="ONE159" s="250"/>
      <c r="ONF159" s="250"/>
      <c r="ONG159" s="250"/>
      <c r="ONH159" s="250"/>
      <c r="ONI159" s="250"/>
      <c r="ONJ159" s="250"/>
      <c r="ONK159" s="250"/>
      <c r="ONL159" s="250"/>
      <c r="ONM159" s="250"/>
      <c r="ONN159" s="250"/>
      <c r="ONO159" s="250"/>
      <c r="ONP159" s="250"/>
      <c r="ONQ159" s="250"/>
      <c r="ONR159" s="250"/>
      <c r="ONS159" s="250"/>
      <c r="ONT159" s="250"/>
      <c r="ONU159" s="250"/>
      <c r="ONV159" s="250"/>
      <c r="ONW159" s="250"/>
      <c r="ONX159" s="250"/>
      <c r="ONY159" s="250"/>
      <c r="ONZ159" s="250"/>
      <c r="OOA159" s="250"/>
      <c r="OOB159" s="250"/>
      <c r="OOC159" s="250"/>
      <c r="OOD159" s="250"/>
      <c r="OOE159" s="250"/>
      <c r="OOF159" s="250"/>
      <c r="OOG159" s="250"/>
      <c r="OOH159" s="250"/>
      <c r="OOI159" s="250"/>
      <c r="OOJ159" s="250"/>
      <c r="OOK159" s="250"/>
      <c r="OOL159" s="250"/>
      <c r="OOM159" s="250"/>
      <c r="OON159" s="250"/>
      <c r="OOO159" s="250"/>
      <c r="OOP159" s="250"/>
      <c r="OOQ159" s="250"/>
      <c r="OOR159" s="250"/>
      <c r="OOS159" s="250"/>
      <c r="OOT159" s="250"/>
      <c r="OOU159" s="250"/>
      <c r="OOV159" s="250"/>
      <c r="OOW159" s="250"/>
      <c r="OOX159" s="250"/>
      <c r="OOY159" s="250"/>
      <c r="OOZ159" s="250"/>
      <c r="OPA159" s="250"/>
      <c r="OPB159" s="250"/>
      <c r="OPC159" s="250"/>
      <c r="OPD159" s="250"/>
      <c r="OPE159" s="250"/>
      <c r="OPF159" s="250"/>
      <c r="OPG159" s="250"/>
      <c r="OPH159" s="250"/>
      <c r="OPI159" s="250"/>
      <c r="OPJ159" s="250"/>
      <c r="OPK159" s="250"/>
      <c r="OPL159" s="250"/>
      <c r="OPM159" s="250"/>
      <c r="OPN159" s="250"/>
      <c r="OPO159" s="250"/>
      <c r="OPP159" s="250"/>
      <c r="OPQ159" s="250"/>
      <c r="OPR159" s="250"/>
      <c r="OPS159" s="250"/>
      <c r="OPT159" s="250"/>
      <c r="OPU159" s="250"/>
      <c r="OPV159" s="250"/>
      <c r="OPW159" s="250"/>
      <c r="OPX159" s="250"/>
      <c r="OPY159" s="250"/>
      <c r="OPZ159" s="250"/>
      <c r="OQA159" s="250"/>
      <c r="OQB159" s="250"/>
      <c r="OQC159" s="250"/>
      <c r="OQD159" s="250"/>
      <c r="OQE159" s="250"/>
      <c r="OQF159" s="250"/>
      <c r="OQG159" s="250"/>
      <c r="OQH159" s="250"/>
      <c r="OQI159" s="250"/>
      <c r="OQJ159" s="250"/>
      <c r="OQK159" s="250"/>
      <c r="OQL159" s="250"/>
      <c r="OQM159" s="250"/>
      <c r="OQN159" s="250"/>
      <c r="OQO159" s="250"/>
      <c r="OQP159" s="250"/>
      <c r="OQQ159" s="250"/>
      <c r="OQR159" s="250"/>
      <c r="OQS159" s="250"/>
      <c r="OQT159" s="250"/>
      <c r="OQU159" s="250"/>
      <c r="OQV159" s="250"/>
      <c r="OQW159" s="250"/>
      <c r="OQX159" s="250"/>
      <c r="OQY159" s="250"/>
      <c r="OQZ159" s="250"/>
      <c r="ORA159" s="250"/>
      <c r="ORB159" s="250"/>
      <c r="ORC159" s="250"/>
      <c r="ORD159" s="250"/>
      <c r="ORE159" s="250"/>
      <c r="ORF159" s="250"/>
      <c r="ORG159" s="250"/>
      <c r="ORH159" s="250"/>
      <c r="ORI159" s="250"/>
      <c r="ORJ159" s="250"/>
      <c r="ORK159" s="250"/>
      <c r="ORL159" s="250"/>
      <c r="ORM159" s="250"/>
      <c r="ORN159" s="250"/>
      <c r="ORO159" s="250"/>
      <c r="ORP159" s="250"/>
      <c r="ORQ159" s="250"/>
      <c r="ORR159" s="250"/>
      <c r="ORS159" s="250"/>
      <c r="ORT159" s="250"/>
      <c r="ORU159" s="250"/>
      <c r="ORV159" s="250"/>
      <c r="ORW159" s="250"/>
      <c r="ORX159" s="250"/>
      <c r="ORY159" s="250"/>
      <c r="ORZ159" s="250"/>
      <c r="OSA159" s="250"/>
      <c r="OSB159" s="250"/>
      <c r="OSC159" s="250"/>
      <c r="OSD159" s="250"/>
      <c r="OSE159" s="250"/>
      <c r="OSF159" s="250"/>
      <c r="OSG159" s="250"/>
      <c r="OSH159" s="250"/>
      <c r="OSI159" s="250"/>
      <c r="OSJ159" s="250"/>
      <c r="OSK159" s="250"/>
      <c r="OSL159" s="250"/>
      <c r="OSM159" s="250"/>
      <c r="OSN159" s="250"/>
      <c r="OSO159" s="250"/>
      <c r="OSP159" s="250"/>
      <c r="OSQ159" s="250"/>
      <c r="OSR159" s="250"/>
      <c r="OSS159" s="250"/>
      <c r="OST159" s="250"/>
      <c r="OSU159" s="250"/>
      <c r="OSV159" s="250"/>
      <c r="OSW159" s="250"/>
      <c r="OSX159" s="250"/>
      <c r="OSY159" s="250"/>
      <c r="OSZ159" s="250"/>
      <c r="OTA159" s="250"/>
      <c r="OTB159" s="250"/>
      <c r="OTC159" s="250"/>
      <c r="OTD159" s="250"/>
      <c r="OTE159" s="250"/>
      <c r="OTF159" s="250"/>
      <c r="OTG159" s="250"/>
      <c r="OTH159" s="250"/>
      <c r="OTI159" s="250"/>
      <c r="OTJ159" s="250"/>
      <c r="OTK159" s="250"/>
      <c r="OTL159" s="250"/>
      <c r="OTM159" s="250"/>
      <c r="OTN159" s="250"/>
      <c r="OTO159" s="250"/>
      <c r="OTP159" s="250"/>
      <c r="OTQ159" s="250"/>
      <c r="OTR159" s="250"/>
      <c r="OTS159" s="250"/>
      <c r="OTT159" s="250"/>
      <c r="OTU159" s="250"/>
      <c r="OTV159" s="250"/>
      <c r="OTW159" s="250"/>
      <c r="OTX159" s="250"/>
      <c r="OTY159" s="250"/>
      <c r="OTZ159" s="250"/>
      <c r="OUA159" s="250"/>
      <c r="OUB159" s="250"/>
      <c r="OUC159" s="250"/>
      <c r="OUD159" s="250"/>
      <c r="OUE159" s="250"/>
      <c r="OUF159" s="250"/>
      <c r="OUG159" s="250"/>
      <c r="OUH159" s="250"/>
      <c r="OUI159" s="250"/>
      <c r="OUJ159" s="250"/>
      <c r="OUK159" s="250"/>
      <c r="OUL159" s="250"/>
      <c r="OUM159" s="250"/>
      <c r="OUN159" s="250"/>
      <c r="OUO159" s="250"/>
      <c r="OUP159" s="250"/>
      <c r="OUQ159" s="250"/>
      <c r="OUR159" s="250"/>
      <c r="OUS159" s="250"/>
      <c r="OUT159" s="250"/>
      <c r="OUU159" s="250"/>
      <c r="OUV159" s="250"/>
      <c r="OUW159" s="250"/>
      <c r="OUX159" s="250"/>
      <c r="OUY159" s="250"/>
      <c r="OUZ159" s="250"/>
      <c r="OVA159" s="250"/>
      <c r="OVB159" s="250"/>
      <c r="OVC159" s="250"/>
      <c r="OVD159" s="250"/>
      <c r="OVE159" s="250"/>
      <c r="OVF159" s="250"/>
      <c r="OVG159" s="250"/>
      <c r="OVH159" s="250"/>
      <c r="OVI159" s="250"/>
      <c r="OVJ159" s="250"/>
      <c r="OVK159" s="250"/>
      <c r="OVL159" s="250"/>
      <c r="OVM159" s="250"/>
      <c r="OVN159" s="250"/>
      <c r="OVO159" s="250"/>
      <c r="OVP159" s="250"/>
      <c r="OVQ159" s="250"/>
      <c r="OVR159" s="250"/>
      <c r="OVS159" s="250"/>
      <c r="OVT159" s="250"/>
      <c r="OVU159" s="250"/>
      <c r="OVV159" s="250"/>
      <c r="OVW159" s="250"/>
      <c r="OVX159" s="250"/>
      <c r="OVY159" s="250"/>
      <c r="OVZ159" s="250"/>
      <c r="OWA159" s="250"/>
      <c r="OWB159" s="250"/>
      <c r="OWC159" s="250"/>
      <c r="OWD159" s="250"/>
      <c r="OWE159" s="250"/>
      <c r="OWF159" s="250"/>
      <c r="OWG159" s="250"/>
      <c r="OWH159" s="250"/>
      <c r="OWI159" s="250"/>
      <c r="OWJ159" s="250"/>
      <c r="OWK159" s="250"/>
      <c r="OWL159" s="250"/>
      <c r="OWM159" s="250"/>
      <c r="OWN159" s="250"/>
      <c r="OWO159" s="250"/>
      <c r="OWP159" s="250"/>
      <c r="OWQ159" s="250"/>
      <c r="OWR159" s="250"/>
      <c r="OWS159" s="250"/>
      <c r="OWT159" s="250"/>
      <c r="OWU159" s="250"/>
      <c r="OWV159" s="250"/>
      <c r="OWW159" s="250"/>
      <c r="OWX159" s="250"/>
      <c r="OWY159" s="250"/>
      <c r="OWZ159" s="250"/>
      <c r="OXA159" s="250"/>
      <c r="OXB159" s="250"/>
      <c r="OXC159" s="250"/>
      <c r="OXD159" s="250"/>
      <c r="OXE159" s="250"/>
      <c r="OXF159" s="250"/>
      <c r="OXG159" s="250"/>
      <c r="OXH159" s="250"/>
      <c r="OXI159" s="250"/>
      <c r="OXJ159" s="250"/>
      <c r="OXK159" s="250"/>
      <c r="OXL159" s="250"/>
      <c r="OXM159" s="250"/>
      <c r="OXN159" s="250"/>
      <c r="OXO159" s="250"/>
      <c r="OXP159" s="250"/>
      <c r="OXQ159" s="250"/>
      <c r="OXR159" s="250"/>
      <c r="OXS159" s="250"/>
      <c r="OXT159" s="250"/>
      <c r="OXU159" s="250"/>
      <c r="OXV159" s="250"/>
      <c r="OXW159" s="250"/>
      <c r="OXX159" s="250"/>
      <c r="OXY159" s="250"/>
      <c r="OXZ159" s="250"/>
      <c r="OYA159" s="250"/>
      <c r="OYB159" s="250"/>
      <c r="OYC159" s="250"/>
      <c r="OYD159" s="250"/>
      <c r="OYE159" s="250"/>
      <c r="OYF159" s="250"/>
      <c r="OYG159" s="250"/>
      <c r="OYH159" s="250"/>
      <c r="OYI159" s="250"/>
      <c r="OYJ159" s="250"/>
      <c r="OYK159" s="250"/>
      <c r="OYL159" s="250"/>
      <c r="OYM159" s="250"/>
      <c r="OYN159" s="250"/>
      <c r="OYO159" s="250"/>
      <c r="OYP159" s="250"/>
      <c r="OYQ159" s="250"/>
      <c r="OYR159" s="250"/>
      <c r="OYS159" s="250"/>
      <c r="OYT159" s="250"/>
      <c r="OYU159" s="250"/>
      <c r="OYV159" s="250"/>
      <c r="OYW159" s="250"/>
      <c r="OYX159" s="250"/>
      <c r="OYY159" s="250"/>
      <c r="OYZ159" s="250"/>
      <c r="OZA159" s="250"/>
      <c r="OZB159" s="250"/>
      <c r="OZC159" s="250"/>
      <c r="OZD159" s="250"/>
      <c r="OZE159" s="250"/>
      <c r="OZF159" s="250"/>
      <c r="OZG159" s="250"/>
      <c r="OZH159" s="250"/>
      <c r="OZI159" s="250"/>
      <c r="OZJ159" s="250"/>
      <c r="OZK159" s="250"/>
      <c r="OZL159" s="250"/>
      <c r="OZM159" s="250"/>
      <c r="OZN159" s="250"/>
      <c r="OZO159" s="250"/>
      <c r="OZP159" s="250"/>
      <c r="OZQ159" s="250"/>
      <c r="OZR159" s="250"/>
      <c r="OZS159" s="250"/>
      <c r="OZT159" s="250"/>
      <c r="OZU159" s="250"/>
      <c r="OZV159" s="250"/>
      <c r="OZW159" s="250"/>
      <c r="OZX159" s="250"/>
      <c r="OZY159" s="250"/>
      <c r="OZZ159" s="250"/>
      <c r="PAA159" s="250"/>
      <c r="PAB159" s="250"/>
      <c r="PAC159" s="250"/>
      <c r="PAD159" s="250"/>
      <c r="PAE159" s="250"/>
      <c r="PAF159" s="250"/>
      <c r="PAG159" s="250"/>
      <c r="PAH159" s="250"/>
      <c r="PAI159" s="250"/>
      <c r="PAJ159" s="250"/>
      <c r="PAK159" s="250"/>
      <c r="PAL159" s="250"/>
      <c r="PAM159" s="250"/>
      <c r="PAN159" s="250"/>
      <c r="PAO159" s="250"/>
      <c r="PAP159" s="250"/>
      <c r="PAQ159" s="250"/>
      <c r="PAR159" s="250"/>
      <c r="PAS159" s="250"/>
      <c r="PAT159" s="250"/>
      <c r="PAU159" s="250"/>
      <c r="PAV159" s="250"/>
      <c r="PAW159" s="250"/>
      <c r="PAX159" s="250"/>
      <c r="PAY159" s="250"/>
      <c r="PAZ159" s="250"/>
      <c r="PBA159" s="250"/>
      <c r="PBB159" s="250"/>
      <c r="PBC159" s="250"/>
      <c r="PBD159" s="250"/>
      <c r="PBE159" s="250"/>
      <c r="PBF159" s="250"/>
      <c r="PBG159" s="250"/>
      <c r="PBH159" s="250"/>
      <c r="PBI159" s="250"/>
      <c r="PBJ159" s="250"/>
      <c r="PBK159" s="250"/>
      <c r="PBL159" s="250"/>
      <c r="PBM159" s="250"/>
      <c r="PBN159" s="250"/>
      <c r="PBO159" s="250"/>
      <c r="PBP159" s="250"/>
      <c r="PBQ159" s="250"/>
      <c r="PBR159" s="250"/>
      <c r="PBS159" s="250"/>
      <c r="PBT159" s="250"/>
      <c r="PBU159" s="250"/>
      <c r="PBV159" s="250"/>
      <c r="PBW159" s="250"/>
      <c r="PBX159" s="250"/>
      <c r="PBY159" s="250"/>
      <c r="PBZ159" s="250"/>
      <c r="PCA159" s="250"/>
      <c r="PCB159" s="250"/>
      <c r="PCC159" s="250"/>
      <c r="PCD159" s="250"/>
      <c r="PCE159" s="250"/>
      <c r="PCF159" s="250"/>
      <c r="PCG159" s="250"/>
      <c r="PCH159" s="250"/>
      <c r="PCI159" s="250"/>
      <c r="PCJ159" s="250"/>
      <c r="PCK159" s="250"/>
      <c r="PCL159" s="250"/>
      <c r="PCM159" s="250"/>
      <c r="PCN159" s="250"/>
      <c r="PCO159" s="250"/>
      <c r="PCP159" s="250"/>
      <c r="PCQ159" s="250"/>
      <c r="PCR159" s="250"/>
      <c r="PCS159" s="250"/>
      <c r="PCT159" s="250"/>
      <c r="PCU159" s="250"/>
      <c r="PCV159" s="250"/>
      <c r="PCW159" s="250"/>
      <c r="PCX159" s="250"/>
      <c r="PCY159" s="250"/>
      <c r="PCZ159" s="250"/>
      <c r="PDA159" s="250"/>
      <c r="PDB159" s="250"/>
      <c r="PDC159" s="250"/>
      <c r="PDD159" s="250"/>
      <c r="PDE159" s="250"/>
      <c r="PDF159" s="250"/>
      <c r="PDG159" s="250"/>
      <c r="PDH159" s="250"/>
      <c r="PDI159" s="250"/>
      <c r="PDJ159" s="250"/>
      <c r="PDK159" s="250"/>
      <c r="PDL159" s="250"/>
      <c r="PDM159" s="250"/>
      <c r="PDN159" s="250"/>
      <c r="PDO159" s="250"/>
      <c r="PDP159" s="250"/>
      <c r="PDQ159" s="250"/>
      <c r="PDR159" s="250"/>
      <c r="PDS159" s="250"/>
      <c r="PDT159" s="250"/>
      <c r="PDU159" s="250"/>
      <c r="PDV159" s="250"/>
      <c r="PDW159" s="250"/>
      <c r="PDX159" s="250"/>
      <c r="PDY159" s="250"/>
      <c r="PDZ159" s="250"/>
      <c r="PEA159" s="250"/>
      <c r="PEB159" s="250"/>
      <c r="PEC159" s="250"/>
      <c r="PED159" s="250"/>
      <c r="PEE159" s="250"/>
      <c r="PEF159" s="250"/>
      <c r="PEG159" s="250"/>
      <c r="PEH159" s="250"/>
      <c r="PEI159" s="250"/>
      <c r="PEJ159" s="250"/>
      <c r="PEK159" s="250"/>
      <c r="PEL159" s="250"/>
      <c r="PEM159" s="250"/>
      <c r="PEN159" s="250"/>
      <c r="PEO159" s="250"/>
      <c r="PEP159" s="250"/>
      <c r="PEQ159" s="250"/>
      <c r="PER159" s="250"/>
      <c r="PES159" s="250"/>
      <c r="PET159" s="250"/>
      <c r="PEU159" s="250"/>
      <c r="PEV159" s="250"/>
      <c r="PEW159" s="250"/>
      <c r="PEX159" s="250"/>
      <c r="PEY159" s="250"/>
      <c r="PEZ159" s="250"/>
      <c r="PFA159" s="250"/>
      <c r="PFB159" s="250"/>
      <c r="PFC159" s="250"/>
      <c r="PFD159" s="250"/>
      <c r="PFE159" s="250"/>
      <c r="PFF159" s="250"/>
      <c r="PFG159" s="250"/>
      <c r="PFH159" s="250"/>
      <c r="PFI159" s="250"/>
      <c r="PFJ159" s="250"/>
      <c r="PFK159" s="250"/>
      <c r="PFL159" s="250"/>
      <c r="PFM159" s="250"/>
      <c r="PFN159" s="250"/>
      <c r="PFO159" s="250"/>
      <c r="PFP159" s="250"/>
      <c r="PFQ159" s="250"/>
      <c r="PFR159" s="250"/>
      <c r="PFS159" s="250"/>
      <c r="PFT159" s="250"/>
      <c r="PFU159" s="250"/>
      <c r="PFV159" s="250"/>
      <c r="PFW159" s="250"/>
      <c r="PFX159" s="250"/>
      <c r="PFY159" s="250"/>
      <c r="PFZ159" s="250"/>
      <c r="PGA159" s="250"/>
      <c r="PGB159" s="250"/>
      <c r="PGC159" s="250"/>
      <c r="PGD159" s="250"/>
      <c r="PGE159" s="250"/>
      <c r="PGF159" s="250"/>
      <c r="PGG159" s="250"/>
      <c r="PGH159" s="250"/>
      <c r="PGI159" s="250"/>
      <c r="PGJ159" s="250"/>
      <c r="PGK159" s="250"/>
      <c r="PGL159" s="250"/>
      <c r="PGM159" s="250"/>
      <c r="PGN159" s="250"/>
      <c r="PGO159" s="250"/>
      <c r="PGP159" s="250"/>
      <c r="PGQ159" s="250"/>
      <c r="PGR159" s="250"/>
      <c r="PGS159" s="250"/>
      <c r="PGT159" s="250"/>
      <c r="PGU159" s="250"/>
      <c r="PGV159" s="250"/>
      <c r="PGW159" s="250"/>
      <c r="PGX159" s="250"/>
      <c r="PGY159" s="250"/>
      <c r="PGZ159" s="250"/>
      <c r="PHA159" s="250"/>
      <c r="PHB159" s="250"/>
      <c r="PHC159" s="250"/>
      <c r="PHD159" s="250"/>
      <c r="PHE159" s="250"/>
      <c r="PHF159" s="250"/>
      <c r="PHG159" s="250"/>
      <c r="PHH159" s="250"/>
      <c r="PHI159" s="250"/>
      <c r="PHJ159" s="250"/>
      <c r="PHK159" s="250"/>
      <c r="PHL159" s="250"/>
      <c r="PHM159" s="250"/>
      <c r="PHN159" s="250"/>
      <c r="PHO159" s="250"/>
      <c r="PHP159" s="250"/>
      <c r="PHQ159" s="250"/>
      <c r="PHR159" s="250"/>
      <c r="PHS159" s="250"/>
      <c r="PHT159" s="250"/>
      <c r="PHU159" s="250"/>
      <c r="PHV159" s="250"/>
      <c r="PHW159" s="250"/>
      <c r="PHX159" s="250"/>
      <c r="PHY159" s="250"/>
      <c r="PHZ159" s="250"/>
      <c r="PIA159" s="250"/>
      <c r="PIB159" s="250"/>
      <c r="PIC159" s="250"/>
      <c r="PID159" s="250"/>
      <c r="PIE159" s="250"/>
      <c r="PIF159" s="250"/>
      <c r="PIG159" s="250"/>
      <c r="PIH159" s="250"/>
      <c r="PII159" s="250"/>
      <c r="PIJ159" s="250"/>
      <c r="PIK159" s="250"/>
      <c r="PIL159" s="250"/>
      <c r="PIM159" s="250"/>
      <c r="PIN159" s="250"/>
      <c r="PIO159" s="250"/>
      <c r="PIP159" s="250"/>
      <c r="PIQ159" s="250"/>
      <c r="PIR159" s="250"/>
      <c r="PIS159" s="250"/>
      <c r="PIT159" s="250"/>
      <c r="PIU159" s="250"/>
      <c r="PIV159" s="250"/>
      <c r="PIW159" s="250"/>
      <c r="PIX159" s="250"/>
      <c r="PIY159" s="250"/>
      <c r="PIZ159" s="250"/>
      <c r="PJA159" s="250"/>
      <c r="PJB159" s="250"/>
      <c r="PJC159" s="250"/>
      <c r="PJD159" s="250"/>
      <c r="PJE159" s="250"/>
      <c r="PJF159" s="250"/>
      <c r="PJG159" s="250"/>
      <c r="PJH159" s="250"/>
      <c r="PJI159" s="250"/>
      <c r="PJJ159" s="250"/>
      <c r="PJK159" s="250"/>
      <c r="PJL159" s="250"/>
      <c r="PJM159" s="250"/>
      <c r="PJN159" s="250"/>
      <c r="PJO159" s="250"/>
      <c r="PJP159" s="250"/>
      <c r="PJQ159" s="250"/>
      <c r="PJR159" s="250"/>
      <c r="PJS159" s="250"/>
      <c r="PJT159" s="250"/>
      <c r="PJU159" s="250"/>
      <c r="PJV159" s="250"/>
      <c r="PJW159" s="250"/>
      <c r="PJX159" s="250"/>
      <c r="PJY159" s="250"/>
      <c r="PJZ159" s="250"/>
      <c r="PKA159" s="250"/>
      <c r="PKB159" s="250"/>
      <c r="PKC159" s="250"/>
      <c r="PKD159" s="250"/>
      <c r="PKE159" s="250"/>
      <c r="PKF159" s="250"/>
      <c r="PKG159" s="250"/>
      <c r="PKH159" s="250"/>
      <c r="PKI159" s="250"/>
      <c r="PKJ159" s="250"/>
      <c r="PKK159" s="250"/>
      <c r="PKL159" s="250"/>
      <c r="PKM159" s="250"/>
      <c r="PKN159" s="250"/>
      <c r="PKO159" s="250"/>
      <c r="PKP159" s="250"/>
      <c r="PKQ159" s="250"/>
      <c r="PKR159" s="250"/>
      <c r="PKS159" s="250"/>
      <c r="PKT159" s="250"/>
      <c r="PKU159" s="250"/>
      <c r="PKV159" s="250"/>
      <c r="PKW159" s="250"/>
      <c r="PKX159" s="250"/>
      <c r="PKY159" s="250"/>
      <c r="PKZ159" s="250"/>
      <c r="PLA159" s="250"/>
      <c r="PLB159" s="250"/>
      <c r="PLC159" s="250"/>
      <c r="PLD159" s="250"/>
      <c r="PLE159" s="250"/>
      <c r="PLF159" s="250"/>
      <c r="PLG159" s="250"/>
      <c r="PLH159" s="250"/>
      <c r="PLI159" s="250"/>
      <c r="PLJ159" s="250"/>
      <c r="PLK159" s="250"/>
      <c r="PLL159" s="250"/>
      <c r="PLM159" s="250"/>
      <c r="PLN159" s="250"/>
      <c r="PLO159" s="250"/>
      <c r="PLP159" s="250"/>
      <c r="PLQ159" s="250"/>
      <c r="PLR159" s="250"/>
      <c r="PLS159" s="250"/>
      <c r="PLT159" s="250"/>
      <c r="PLU159" s="250"/>
      <c r="PLV159" s="250"/>
      <c r="PLW159" s="250"/>
      <c r="PLX159" s="250"/>
      <c r="PLY159" s="250"/>
      <c r="PLZ159" s="250"/>
      <c r="PMA159" s="250"/>
      <c r="PMB159" s="250"/>
      <c r="PMC159" s="250"/>
      <c r="PMD159" s="250"/>
      <c r="PME159" s="250"/>
      <c r="PMF159" s="250"/>
      <c r="PMG159" s="250"/>
      <c r="PMH159" s="250"/>
      <c r="PMI159" s="250"/>
      <c r="PMJ159" s="250"/>
      <c r="PMK159" s="250"/>
      <c r="PML159" s="250"/>
      <c r="PMM159" s="250"/>
      <c r="PMN159" s="250"/>
      <c r="PMO159" s="250"/>
      <c r="PMP159" s="250"/>
      <c r="PMQ159" s="250"/>
      <c r="PMR159" s="250"/>
      <c r="PMS159" s="250"/>
      <c r="PMT159" s="250"/>
      <c r="PMU159" s="250"/>
      <c r="PMV159" s="250"/>
      <c r="PMW159" s="250"/>
      <c r="PMX159" s="250"/>
      <c r="PMY159" s="250"/>
      <c r="PMZ159" s="250"/>
      <c r="PNA159" s="250"/>
      <c r="PNB159" s="250"/>
      <c r="PNC159" s="250"/>
      <c r="PND159" s="250"/>
      <c r="PNE159" s="250"/>
      <c r="PNF159" s="250"/>
      <c r="PNG159" s="250"/>
      <c r="PNH159" s="250"/>
      <c r="PNI159" s="250"/>
      <c r="PNJ159" s="250"/>
      <c r="PNK159" s="250"/>
      <c r="PNL159" s="250"/>
      <c r="PNM159" s="250"/>
      <c r="PNN159" s="250"/>
      <c r="PNO159" s="250"/>
      <c r="PNP159" s="250"/>
      <c r="PNQ159" s="250"/>
      <c r="PNR159" s="250"/>
      <c r="PNS159" s="250"/>
      <c r="PNT159" s="250"/>
      <c r="PNU159" s="250"/>
      <c r="PNV159" s="250"/>
      <c r="PNW159" s="250"/>
      <c r="PNX159" s="250"/>
      <c r="PNY159" s="250"/>
      <c r="PNZ159" s="250"/>
      <c r="POA159" s="250"/>
      <c r="POB159" s="250"/>
      <c r="POC159" s="250"/>
      <c r="POD159" s="250"/>
      <c r="POE159" s="250"/>
      <c r="POF159" s="250"/>
      <c r="POG159" s="250"/>
      <c r="POH159" s="250"/>
      <c r="POI159" s="250"/>
      <c r="POJ159" s="250"/>
      <c r="POK159" s="250"/>
      <c r="POL159" s="250"/>
      <c r="POM159" s="250"/>
      <c r="PON159" s="250"/>
      <c r="POO159" s="250"/>
      <c r="POP159" s="250"/>
      <c r="POQ159" s="250"/>
      <c r="POR159" s="250"/>
      <c r="POS159" s="250"/>
      <c r="POT159" s="250"/>
      <c r="POU159" s="250"/>
      <c r="POV159" s="250"/>
      <c r="POW159" s="250"/>
      <c r="POX159" s="250"/>
      <c r="POY159" s="250"/>
      <c r="POZ159" s="250"/>
      <c r="PPA159" s="250"/>
      <c r="PPB159" s="250"/>
      <c r="PPC159" s="250"/>
      <c r="PPD159" s="250"/>
      <c r="PPE159" s="250"/>
      <c r="PPF159" s="250"/>
      <c r="PPG159" s="250"/>
      <c r="PPH159" s="250"/>
      <c r="PPI159" s="250"/>
      <c r="PPJ159" s="250"/>
      <c r="PPK159" s="250"/>
      <c r="PPL159" s="250"/>
      <c r="PPM159" s="250"/>
      <c r="PPN159" s="250"/>
      <c r="PPO159" s="250"/>
      <c r="PPP159" s="250"/>
      <c r="PPQ159" s="250"/>
      <c r="PPR159" s="250"/>
      <c r="PPS159" s="250"/>
      <c r="PPT159" s="250"/>
      <c r="PPU159" s="250"/>
      <c r="PPV159" s="250"/>
      <c r="PPW159" s="250"/>
      <c r="PPX159" s="250"/>
      <c r="PPY159" s="250"/>
      <c r="PPZ159" s="250"/>
      <c r="PQA159" s="250"/>
      <c r="PQB159" s="250"/>
      <c r="PQC159" s="250"/>
      <c r="PQD159" s="250"/>
      <c r="PQE159" s="250"/>
      <c r="PQF159" s="250"/>
      <c r="PQG159" s="250"/>
      <c r="PQH159" s="250"/>
      <c r="PQI159" s="250"/>
      <c r="PQJ159" s="250"/>
      <c r="PQK159" s="250"/>
      <c r="PQL159" s="250"/>
      <c r="PQM159" s="250"/>
      <c r="PQN159" s="250"/>
      <c r="PQO159" s="250"/>
      <c r="PQP159" s="250"/>
      <c r="PQQ159" s="250"/>
      <c r="PQR159" s="250"/>
      <c r="PQS159" s="250"/>
      <c r="PQT159" s="250"/>
      <c r="PQU159" s="250"/>
      <c r="PQV159" s="250"/>
      <c r="PQW159" s="250"/>
      <c r="PQX159" s="250"/>
      <c r="PQY159" s="250"/>
      <c r="PQZ159" s="250"/>
      <c r="PRA159" s="250"/>
      <c r="PRB159" s="250"/>
      <c r="PRC159" s="250"/>
      <c r="PRD159" s="250"/>
      <c r="PRE159" s="250"/>
      <c r="PRF159" s="250"/>
      <c r="PRG159" s="250"/>
      <c r="PRH159" s="250"/>
      <c r="PRI159" s="250"/>
      <c r="PRJ159" s="250"/>
      <c r="PRK159" s="250"/>
      <c r="PRL159" s="250"/>
      <c r="PRM159" s="250"/>
      <c r="PRN159" s="250"/>
      <c r="PRO159" s="250"/>
      <c r="PRP159" s="250"/>
      <c r="PRQ159" s="250"/>
      <c r="PRR159" s="250"/>
      <c r="PRS159" s="250"/>
      <c r="PRT159" s="250"/>
      <c r="PRU159" s="250"/>
      <c r="PRV159" s="250"/>
      <c r="PRW159" s="250"/>
      <c r="PRX159" s="250"/>
      <c r="PRY159" s="250"/>
      <c r="PRZ159" s="250"/>
      <c r="PSA159" s="250"/>
      <c r="PSB159" s="250"/>
      <c r="PSC159" s="250"/>
      <c r="PSD159" s="250"/>
      <c r="PSE159" s="250"/>
      <c r="PSF159" s="250"/>
      <c r="PSG159" s="250"/>
      <c r="PSH159" s="250"/>
      <c r="PSI159" s="250"/>
      <c r="PSJ159" s="250"/>
      <c r="PSK159" s="250"/>
      <c r="PSL159" s="250"/>
      <c r="PSM159" s="250"/>
      <c r="PSN159" s="250"/>
      <c r="PSO159" s="250"/>
      <c r="PSP159" s="250"/>
      <c r="PSQ159" s="250"/>
      <c r="PSR159" s="250"/>
      <c r="PSS159" s="250"/>
      <c r="PST159" s="250"/>
      <c r="PSU159" s="250"/>
      <c r="PSV159" s="250"/>
      <c r="PSW159" s="250"/>
      <c r="PSX159" s="250"/>
      <c r="PSY159" s="250"/>
      <c r="PSZ159" s="250"/>
      <c r="PTA159" s="250"/>
      <c r="PTB159" s="250"/>
      <c r="PTC159" s="250"/>
      <c r="PTD159" s="250"/>
      <c r="PTE159" s="250"/>
      <c r="PTF159" s="250"/>
      <c r="PTG159" s="250"/>
      <c r="PTH159" s="250"/>
      <c r="PTI159" s="250"/>
      <c r="PTJ159" s="250"/>
      <c r="PTK159" s="250"/>
      <c r="PTL159" s="250"/>
      <c r="PTM159" s="250"/>
      <c r="PTN159" s="250"/>
      <c r="PTO159" s="250"/>
      <c r="PTP159" s="250"/>
      <c r="PTQ159" s="250"/>
      <c r="PTR159" s="250"/>
      <c r="PTS159" s="250"/>
      <c r="PTT159" s="250"/>
      <c r="PTU159" s="250"/>
      <c r="PTV159" s="250"/>
      <c r="PTW159" s="250"/>
      <c r="PTX159" s="250"/>
      <c r="PTY159" s="250"/>
      <c r="PTZ159" s="250"/>
      <c r="PUA159" s="250"/>
      <c r="PUB159" s="250"/>
      <c r="PUC159" s="250"/>
      <c r="PUD159" s="250"/>
      <c r="PUE159" s="250"/>
      <c r="PUF159" s="250"/>
      <c r="PUG159" s="250"/>
      <c r="PUH159" s="250"/>
      <c r="PUI159" s="250"/>
      <c r="PUJ159" s="250"/>
      <c r="PUK159" s="250"/>
      <c r="PUL159" s="250"/>
      <c r="PUM159" s="250"/>
      <c r="PUN159" s="250"/>
      <c r="PUO159" s="250"/>
      <c r="PUP159" s="250"/>
      <c r="PUQ159" s="250"/>
      <c r="PUR159" s="250"/>
      <c r="PUS159" s="250"/>
      <c r="PUT159" s="250"/>
      <c r="PUU159" s="250"/>
      <c r="PUV159" s="250"/>
      <c r="PUW159" s="250"/>
      <c r="PUX159" s="250"/>
      <c r="PUY159" s="250"/>
      <c r="PUZ159" s="250"/>
      <c r="PVA159" s="250"/>
      <c r="PVB159" s="250"/>
      <c r="PVC159" s="250"/>
      <c r="PVD159" s="250"/>
      <c r="PVE159" s="250"/>
      <c r="PVF159" s="250"/>
      <c r="PVG159" s="250"/>
      <c r="PVH159" s="250"/>
      <c r="PVI159" s="250"/>
      <c r="PVJ159" s="250"/>
      <c r="PVK159" s="250"/>
      <c r="PVL159" s="250"/>
      <c r="PVM159" s="250"/>
      <c r="PVN159" s="250"/>
      <c r="PVO159" s="250"/>
      <c r="PVP159" s="250"/>
      <c r="PVQ159" s="250"/>
      <c r="PVR159" s="250"/>
      <c r="PVS159" s="250"/>
      <c r="PVT159" s="250"/>
      <c r="PVU159" s="250"/>
      <c r="PVV159" s="250"/>
      <c r="PVW159" s="250"/>
      <c r="PVX159" s="250"/>
      <c r="PVY159" s="250"/>
      <c r="PVZ159" s="250"/>
      <c r="PWA159" s="250"/>
      <c r="PWB159" s="250"/>
      <c r="PWC159" s="250"/>
      <c r="PWD159" s="250"/>
      <c r="PWE159" s="250"/>
      <c r="PWF159" s="250"/>
      <c r="PWG159" s="250"/>
      <c r="PWH159" s="250"/>
      <c r="PWI159" s="250"/>
      <c r="PWJ159" s="250"/>
      <c r="PWK159" s="250"/>
      <c r="PWL159" s="250"/>
      <c r="PWM159" s="250"/>
      <c r="PWN159" s="250"/>
      <c r="PWO159" s="250"/>
      <c r="PWP159" s="250"/>
      <c r="PWQ159" s="250"/>
      <c r="PWR159" s="250"/>
      <c r="PWS159" s="250"/>
      <c r="PWT159" s="250"/>
      <c r="PWU159" s="250"/>
      <c r="PWV159" s="250"/>
      <c r="PWW159" s="250"/>
      <c r="PWX159" s="250"/>
      <c r="PWY159" s="250"/>
      <c r="PWZ159" s="250"/>
      <c r="PXA159" s="250"/>
      <c r="PXB159" s="250"/>
      <c r="PXC159" s="250"/>
      <c r="PXD159" s="250"/>
      <c r="PXE159" s="250"/>
      <c r="PXF159" s="250"/>
      <c r="PXG159" s="250"/>
      <c r="PXH159" s="250"/>
      <c r="PXI159" s="250"/>
      <c r="PXJ159" s="250"/>
      <c r="PXK159" s="250"/>
      <c r="PXL159" s="250"/>
      <c r="PXM159" s="250"/>
      <c r="PXN159" s="250"/>
      <c r="PXO159" s="250"/>
      <c r="PXP159" s="250"/>
      <c r="PXQ159" s="250"/>
      <c r="PXR159" s="250"/>
      <c r="PXS159" s="250"/>
      <c r="PXT159" s="250"/>
      <c r="PXU159" s="250"/>
      <c r="PXV159" s="250"/>
      <c r="PXW159" s="250"/>
      <c r="PXX159" s="250"/>
      <c r="PXY159" s="250"/>
      <c r="PXZ159" s="250"/>
      <c r="PYA159" s="250"/>
      <c r="PYB159" s="250"/>
      <c r="PYC159" s="250"/>
      <c r="PYD159" s="250"/>
      <c r="PYE159" s="250"/>
      <c r="PYF159" s="250"/>
      <c r="PYG159" s="250"/>
      <c r="PYH159" s="250"/>
      <c r="PYI159" s="250"/>
      <c r="PYJ159" s="250"/>
      <c r="PYK159" s="250"/>
      <c r="PYL159" s="250"/>
      <c r="PYM159" s="250"/>
      <c r="PYN159" s="250"/>
      <c r="PYO159" s="250"/>
      <c r="PYP159" s="250"/>
      <c r="PYQ159" s="250"/>
      <c r="PYR159" s="250"/>
      <c r="PYS159" s="250"/>
      <c r="PYT159" s="250"/>
      <c r="PYU159" s="250"/>
      <c r="PYV159" s="250"/>
      <c r="PYW159" s="250"/>
      <c r="PYX159" s="250"/>
      <c r="PYY159" s="250"/>
      <c r="PYZ159" s="250"/>
      <c r="PZA159" s="250"/>
      <c r="PZB159" s="250"/>
      <c r="PZC159" s="250"/>
      <c r="PZD159" s="250"/>
      <c r="PZE159" s="250"/>
      <c r="PZF159" s="250"/>
      <c r="PZG159" s="250"/>
      <c r="PZH159" s="250"/>
      <c r="PZI159" s="250"/>
      <c r="PZJ159" s="250"/>
      <c r="PZK159" s="250"/>
      <c r="PZL159" s="250"/>
      <c r="PZM159" s="250"/>
      <c r="PZN159" s="250"/>
      <c r="PZO159" s="250"/>
      <c r="PZP159" s="250"/>
      <c r="PZQ159" s="250"/>
      <c r="PZR159" s="250"/>
      <c r="PZS159" s="250"/>
      <c r="PZT159" s="250"/>
      <c r="PZU159" s="250"/>
      <c r="PZV159" s="250"/>
      <c r="PZW159" s="250"/>
      <c r="PZX159" s="250"/>
      <c r="PZY159" s="250"/>
      <c r="PZZ159" s="250"/>
      <c r="QAA159" s="250"/>
      <c r="QAB159" s="250"/>
      <c r="QAC159" s="250"/>
      <c r="QAD159" s="250"/>
      <c r="QAE159" s="250"/>
      <c r="QAF159" s="250"/>
      <c r="QAG159" s="250"/>
      <c r="QAH159" s="250"/>
      <c r="QAI159" s="250"/>
      <c r="QAJ159" s="250"/>
      <c r="QAK159" s="250"/>
      <c r="QAL159" s="250"/>
      <c r="QAM159" s="250"/>
      <c r="QAN159" s="250"/>
      <c r="QAO159" s="250"/>
      <c r="QAP159" s="250"/>
      <c r="QAQ159" s="250"/>
      <c r="QAR159" s="250"/>
      <c r="QAS159" s="250"/>
      <c r="QAT159" s="250"/>
      <c r="QAU159" s="250"/>
      <c r="QAV159" s="250"/>
      <c r="QAW159" s="250"/>
      <c r="QAX159" s="250"/>
      <c r="QAY159" s="250"/>
      <c r="QAZ159" s="250"/>
      <c r="QBA159" s="250"/>
      <c r="QBB159" s="250"/>
      <c r="QBC159" s="250"/>
      <c r="QBD159" s="250"/>
      <c r="QBE159" s="250"/>
      <c r="QBF159" s="250"/>
      <c r="QBG159" s="250"/>
      <c r="QBH159" s="250"/>
      <c r="QBI159" s="250"/>
      <c r="QBJ159" s="250"/>
      <c r="QBK159" s="250"/>
      <c r="QBL159" s="250"/>
      <c r="QBM159" s="250"/>
      <c r="QBN159" s="250"/>
      <c r="QBO159" s="250"/>
      <c r="QBP159" s="250"/>
      <c r="QBQ159" s="250"/>
      <c r="QBR159" s="250"/>
      <c r="QBS159" s="250"/>
      <c r="QBT159" s="250"/>
      <c r="QBU159" s="250"/>
      <c r="QBV159" s="250"/>
      <c r="QBW159" s="250"/>
      <c r="QBX159" s="250"/>
      <c r="QBY159" s="250"/>
      <c r="QBZ159" s="250"/>
      <c r="QCA159" s="250"/>
      <c r="QCB159" s="250"/>
      <c r="QCC159" s="250"/>
      <c r="QCD159" s="250"/>
      <c r="QCE159" s="250"/>
      <c r="QCF159" s="250"/>
      <c r="QCG159" s="250"/>
      <c r="QCH159" s="250"/>
      <c r="QCI159" s="250"/>
      <c r="QCJ159" s="250"/>
      <c r="QCK159" s="250"/>
      <c r="QCL159" s="250"/>
      <c r="QCM159" s="250"/>
      <c r="QCN159" s="250"/>
      <c r="QCO159" s="250"/>
      <c r="QCP159" s="250"/>
      <c r="QCQ159" s="250"/>
      <c r="QCR159" s="250"/>
      <c r="QCS159" s="250"/>
      <c r="QCT159" s="250"/>
      <c r="QCU159" s="250"/>
      <c r="QCV159" s="250"/>
      <c r="QCW159" s="250"/>
      <c r="QCX159" s="250"/>
      <c r="QCY159" s="250"/>
      <c r="QCZ159" s="250"/>
      <c r="QDA159" s="250"/>
      <c r="QDB159" s="250"/>
      <c r="QDC159" s="250"/>
      <c r="QDD159" s="250"/>
      <c r="QDE159" s="250"/>
      <c r="QDF159" s="250"/>
      <c r="QDG159" s="250"/>
      <c r="QDH159" s="250"/>
      <c r="QDI159" s="250"/>
      <c r="QDJ159" s="250"/>
      <c r="QDK159" s="250"/>
      <c r="QDL159" s="250"/>
      <c r="QDM159" s="250"/>
      <c r="QDN159" s="250"/>
      <c r="QDO159" s="250"/>
      <c r="QDP159" s="250"/>
      <c r="QDQ159" s="250"/>
      <c r="QDR159" s="250"/>
      <c r="QDS159" s="250"/>
      <c r="QDT159" s="250"/>
      <c r="QDU159" s="250"/>
      <c r="QDV159" s="250"/>
      <c r="QDW159" s="250"/>
      <c r="QDX159" s="250"/>
      <c r="QDY159" s="250"/>
      <c r="QDZ159" s="250"/>
      <c r="QEA159" s="250"/>
      <c r="QEB159" s="250"/>
      <c r="QEC159" s="250"/>
      <c r="QED159" s="250"/>
      <c r="QEE159" s="250"/>
      <c r="QEF159" s="250"/>
      <c r="QEG159" s="250"/>
      <c r="QEH159" s="250"/>
      <c r="QEI159" s="250"/>
      <c r="QEJ159" s="250"/>
      <c r="QEK159" s="250"/>
      <c r="QEL159" s="250"/>
      <c r="QEM159" s="250"/>
      <c r="QEN159" s="250"/>
      <c r="QEO159" s="250"/>
      <c r="QEP159" s="250"/>
      <c r="QEQ159" s="250"/>
      <c r="QER159" s="250"/>
      <c r="QES159" s="250"/>
      <c r="QET159" s="250"/>
      <c r="QEU159" s="250"/>
      <c r="QEV159" s="250"/>
      <c r="QEW159" s="250"/>
      <c r="QEX159" s="250"/>
      <c r="QEY159" s="250"/>
      <c r="QEZ159" s="250"/>
      <c r="QFA159" s="250"/>
      <c r="QFB159" s="250"/>
      <c r="QFC159" s="250"/>
      <c r="QFD159" s="250"/>
      <c r="QFE159" s="250"/>
      <c r="QFF159" s="250"/>
      <c r="QFG159" s="250"/>
      <c r="QFH159" s="250"/>
      <c r="QFI159" s="250"/>
      <c r="QFJ159" s="250"/>
      <c r="QFK159" s="250"/>
      <c r="QFL159" s="250"/>
      <c r="QFM159" s="250"/>
      <c r="QFN159" s="250"/>
      <c r="QFO159" s="250"/>
      <c r="QFP159" s="250"/>
      <c r="QFQ159" s="250"/>
      <c r="QFR159" s="250"/>
      <c r="QFS159" s="250"/>
      <c r="QFT159" s="250"/>
      <c r="QFU159" s="250"/>
      <c r="QFV159" s="250"/>
      <c r="QFW159" s="250"/>
      <c r="QFX159" s="250"/>
      <c r="QFY159" s="250"/>
      <c r="QFZ159" s="250"/>
      <c r="QGA159" s="250"/>
      <c r="QGB159" s="250"/>
      <c r="QGC159" s="250"/>
      <c r="QGD159" s="250"/>
      <c r="QGE159" s="250"/>
      <c r="QGF159" s="250"/>
      <c r="QGG159" s="250"/>
      <c r="QGH159" s="250"/>
      <c r="QGI159" s="250"/>
      <c r="QGJ159" s="250"/>
      <c r="QGK159" s="250"/>
      <c r="QGL159" s="250"/>
      <c r="QGM159" s="250"/>
      <c r="QGN159" s="250"/>
      <c r="QGO159" s="250"/>
      <c r="QGP159" s="250"/>
      <c r="QGQ159" s="250"/>
      <c r="QGR159" s="250"/>
      <c r="QGS159" s="250"/>
      <c r="QGT159" s="250"/>
      <c r="QGU159" s="250"/>
      <c r="QGV159" s="250"/>
      <c r="QGW159" s="250"/>
      <c r="QGX159" s="250"/>
      <c r="QGY159" s="250"/>
      <c r="QGZ159" s="250"/>
      <c r="QHA159" s="250"/>
      <c r="QHB159" s="250"/>
      <c r="QHC159" s="250"/>
      <c r="QHD159" s="250"/>
      <c r="QHE159" s="250"/>
      <c r="QHF159" s="250"/>
      <c r="QHG159" s="250"/>
      <c r="QHH159" s="250"/>
      <c r="QHI159" s="250"/>
      <c r="QHJ159" s="250"/>
      <c r="QHK159" s="250"/>
      <c r="QHL159" s="250"/>
      <c r="QHM159" s="250"/>
      <c r="QHN159" s="250"/>
      <c r="QHO159" s="250"/>
      <c r="QHP159" s="250"/>
      <c r="QHQ159" s="250"/>
      <c r="QHR159" s="250"/>
      <c r="QHS159" s="250"/>
      <c r="QHT159" s="250"/>
      <c r="QHU159" s="250"/>
      <c r="QHV159" s="250"/>
      <c r="QHW159" s="250"/>
      <c r="QHX159" s="250"/>
      <c r="QHY159" s="250"/>
      <c r="QHZ159" s="250"/>
      <c r="QIA159" s="250"/>
      <c r="QIB159" s="250"/>
      <c r="QIC159" s="250"/>
      <c r="QID159" s="250"/>
      <c r="QIE159" s="250"/>
      <c r="QIF159" s="250"/>
      <c r="QIG159" s="250"/>
      <c r="QIH159" s="250"/>
      <c r="QII159" s="250"/>
      <c r="QIJ159" s="250"/>
      <c r="QIK159" s="250"/>
      <c r="QIL159" s="250"/>
      <c r="QIM159" s="250"/>
      <c r="QIN159" s="250"/>
      <c r="QIO159" s="250"/>
      <c r="QIP159" s="250"/>
      <c r="QIQ159" s="250"/>
      <c r="QIR159" s="250"/>
      <c r="QIS159" s="250"/>
      <c r="QIT159" s="250"/>
      <c r="QIU159" s="250"/>
      <c r="QIV159" s="250"/>
      <c r="QIW159" s="250"/>
      <c r="QIX159" s="250"/>
      <c r="QIY159" s="250"/>
      <c r="QIZ159" s="250"/>
      <c r="QJA159" s="250"/>
      <c r="QJB159" s="250"/>
      <c r="QJC159" s="250"/>
      <c r="QJD159" s="250"/>
      <c r="QJE159" s="250"/>
      <c r="QJF159" s="250"/>
      <c r="QJG159" s="250"/>
      <c r="QJH159" s="250"/>
      <c r="QJI159" s="250"/>
      <c r="QJJ159" s="250"/>
      <c r="QJK159" s="250"/>
      <c r="QJL159" s="250"/>
      <c r="QJM159" s="250"/>
      <c r="QJN159" s="250"/>
      <c r="QJO159" s="250"/>
      <c r="QJP159" s="250"/>
      <c r="QJQ159" s="250"/>
      <c r="QJR159" s="250"/>
      <c r="QJS159" s="250"/>
      <c r="QJT159" s="250"/>
      <c r="QJU159" s="250"/>
      <c r="QJV159" s="250"/>
      <c r="QJW159" s="250"/>
      <c r="QJX159" s="250"/>
      <c r="QJY159" s="250"/>
      <c r="QJZ159" s="250"/>
      <c r="QKA159" s="250"/>
      <c r="QKB159" s="250"/>
      <c r="QKC159" s="250"/>
      <c r="QKD159" s="250"/>
      <c r="QKE159" s="250"/>
      <c r="QKF159" s="250"/>
      <c r="QKG159" s="250"/>
      <c r="QKH159" s="250"/>
      <c r="QKI159" s="250"/>
      <c r="QKJ159" s="250"/>
      <c r="QKK159" s="250"/>
      <c r="QKL159" s="250"/>
      <c r="QKM159" s="250"/>
      <c r="QKN159" s="250"/>
      <c r="QKO159" s="250"/>
      <c r="QKP159" s="250"/>
      <c r="QKQ159" s="250"/>
      <c r="QKR159" s="250"/>
      <c r="QKS159" s="250"/>
      <c r="QKT159" s="250"/>
      <c r="QKU159" s="250"/>
      <c r="QKV159" s="250"/>
      <c r="QKW159" s="250"/>
      <c r="QKX159" s="250"/>
      <c r="QKY159" s="250"/>
      <c r="QKZ159" s="250"/>
      <c r="QLA159" s="250"/>
      <c r="QLB159" s="250"/>
      <c r="QLC159" s="250"/>
      <c r="QLD159" s="250"/>
      <c r="QLE159" s="250"/>
      <c r="QLF159" s="250"/>
      <c r="QLG159" s="250"/>
      <c r="QLH159" s="250"/>
      <c r="QLI159" s="250"/>
      <c r="QLJ159" s="250"/>
      <c r="QLK159" s="250"/>
      <c r="QLL159" s="250"/>
      <c r="QLM159" s="250"/>
      <c r="QLN159" s="250"/>
      <c r="QLO159" s="250"/>
      <c r="QLP159" s="250"/>
      <c r="QLQ159" s="250"/>
      <c r="QLR159" s="250"/>
      <c r="QLS159" s="250"/>
      <c r="QLT159" s="250"/>
      <c r="QLU159" s="250"/>
      <c r="QLV159" s="250"/>
      <c r="QLW159" s="250"/>
      <c r="QLX159" s="250"/>
      <c r="QLY159" s="250"/>
      <c r="QLZ159" s="250"/>
      <c r="QMA159" s="250"/>
      <c r="QMB159" s="250"/>
      <c r="QMC159" s="250"/>
      <c r="QMD159" s="250"/>
      <c r="QME159" s="250"/>
      <c r="QMF159" s="250"/>
      <c r="QMG159" s="250"/>
      <c r="QMH159" s="250"/>
      <c r="QMI159" s="250"/>
      <c r="QMJ159" s="250"/>
      <c r="QMK159" s="250"/>
      <c r="QML159" s="250"/>
      <c r="QMM159" s="250"/>
      <c r="QMN159" s="250"/>
      <c r="QMO159" s="250"/>
      <c r="QMP159" s="250"/>
      <c r="QMQ159" s="250"/>
      <c r="QMR159" s="250"/>
      <c r="QMS159" s="250"/>
      <c r="QMT159" s="250"/>
      <c r="QMU159" s="250"/>
      <c r="QMV159" s="250"/>
      <c r="QMW159" s="250"/>
      <c r="QMX159" s="250"/>
      <c r="QMY159" s="250"/>
      <c r="QMZ159" s="250"/>
      <c r="QNA159" s="250"/>
      <c r="QNB159" s="250"/>
      <c r="QNC159" s="250"/>
      <c r="QND159" s="250"/>
      <c r="QNE159" s="250"/>
      <c r="QNF159" s="250"/>
      <c r="QNG159" s="250"/>
      <c r="QNH159" s="250"/>
      <c r="QNI159" s="250"/>
      <c r="QNJ159" s="250"/>
      <c r="QNK159" s="250"/>
      <c r="QNL159" s="250"/>
      <c r="QNM159" s="250"/>
      <c r="QNN159" s="250"/>
      <c r="QNO159" s="250"/>
      <c r="QNP159" s="250"/>
      <c r="QNQ159" s="250"/>
      <c r="QNR159" s="250"/>
      <c r="QNS159" s="250"/>
      <c r="QNT159" s="250"/>
      <c r="QNU159" s="250"/>
      <c r="QNV159" s="250"/>
      <c r="QNW159" s="250"/>
      <c r="QNX159" s="250"/>
      <c r="QNY159" s="250"/>
      <c r="QNZ159" s="250"/>
      <c r="QOA159" s="250"/>
      <c r="QOB159" s="250"/>
      <c r="QOC159" s="250"/>
      <c r="QOD159" s="250"/>
      <c r="QOE159" s="250"/>
      <c r="QOF159" s="250"/>
      <c r="QOG159" s="250"/>
      <c r="QOH159" s="250"/>
      <c r="QOI159" s="250"/>
      <c r="QOJ159" s="250"/>
      <c r="QOK159" s="250"/>
      <c r="QOL159" s="250"/>
      <c r="QOM159" s="250"/>
      <c r="QON159" s="250"/>
      <c r="QOO159" s="250"/>
      <c r="QOP159" s="250"/>
      <c r="QOQ159" s="250"/>
      <c r="QOR159" s="250"/>
      <c r="QOS159" s="250"/>
      <c r="QOT159" s="250"/>
      <c r="QOU159" s="250"/>
      <c r="QOV159" s="250"/>
      <c r="QOW159" s="250"/>
      <c r="QOX159" s="250"/>
      <c r="QOY159" s="250"/>
      <c r="QOZ159" s="250"/>
      <c r="QPA159" s="250"/>
      <c r="QPB159" s="250"/>
      <c r="QPC159" s="250"/>
      <c r="QPD159" s="250"/>
      <c r="QPE159" s="250"/>
      <c r="QPF159" s="250"/>
      <c r="QPG159" s="250"/>
      <c r="QPH159" s="250"/>
      <c r="QPI159" s="250"/>
      <c r="QPJ159" s="250"/>
      <c r="QPK159" s="250"/>
      <c r="QPL159" s="250"/>
      <c r="QPM159" s="250"/>
      <c r="QPN159" s="250"/>
      <c r="QPO159" s="250"/>
      <c r="QPP159" s="250"/>
      <c r="QPQ159" s="250"/>
      <c r="QPR159" s="250"/>
      <c r="QPS159" s="250"/>
      <c r="QPT159" s="250"/>
      <c r="QPU159" s="250"/>
      <c r="QPV159" s="250"/>
      <c r="QPW159" s="250"/>
      <c r="QPX159" s="250"/>
      <c r="QPY159" s="250"/>
      <c r="QPZ159" s="250"/>
      <c r="QQA159" s="250"/>
      <c r="QQB159" s="250"/>
      <c r="QQC159" s="250"/>
      <c r="QQD159" s="250"/>
      <c r="QQE159" s="250"/>
      <c r="QQF159" s="250"/>
      <c r="QQG159" s="250"/>
      <c r="QQH159" s="250"/>
      <c r="QQI159" s="250"/>
      <c r="QQJ159" s="250"/>
      <c r="QQK159" s="250"/>
      <c r="QQL159" s="250"/>
      <c r="QQM159" s="250"/>
      <c r="QQN159" s="250"/>
      <c r="QQO159" s="250"/>
      <c r="QQP159" s="250"/>
      <c r="QQQ159" s="250"/>
      <c r="QQR159" s="250"/>
      <c r="QQS159" s="250"/>
      <c r="QQT159" s="250"/>
      <c r="QQU159" s="250"/>
      <c r="QQV159" s="250"/>
      <c r="QQW159" s="250"/>
      <c r="QQX159" s="250"/>
      <c r="QQY159" s="250"/>
      <c r="QQZ159" s="250"/>
      <c r="QRA159" s="250"/>
      <c r="QRB159" s="250"/>
      <c r="QRC159" s="250"/>
      <c r="QRD159" s="250"/>
      <c r="QRE159" s="250"/>
      <c r="QRF159" s="250"/>
      <c r="QRG159" s="250"/>
      <c r="QRH159" s="250"/>
      <c r="QRI159" s="250"/>
      <c r="QRJ159" s="250"/>
      <c r="QRK159" s="250"/>
      <c r="QRL159" s="250"/>
      <c r="QRM159" s="250"/>
      <c r="QRN159" s="250"/>
      <c r="QRO159" s="250"/>
      <c r="QRP159" s="250"/>
      <c r="QRQ159" s="250"/>
      <c r="QRR159" s="250"/>
      <c r="QRS159" s="250"/>
      <c r="QRT159" s="250"/>
      <c r="QRU159" s="250"/>
      <c r="QRV159" s="250"/>
      <c r="QRW159" s="250"/>
      <c r="QRX159" s="250"/>
      <c r="QRY159" s="250"/>
      <c r="QRZ159" s="250"/>
      <c r="QSA159" s="250"/>
      <c r="QSB159" s="250"/>
      <c r="QSC159" s="250"/>
      <c r="QSD159" s="250"/>
      <c r="QSE159" s="250"/>
      <c r="QSF159" s="250"/>
      <c r="QSG159" s="250"/>
      <c r="QSH159" s="250"/>
      <c r="QSI159" s="250"/>
      <c r="QSJ159" s="250"/>
      <c r="QSK159" s="250"/>
      <c r="QSL159" s="250"/>
      <c r="QSM159" s="250"/>
      <c r="QSN159" s="250"/>
      <c r="QSO159" s="250"/>
      <c r="QSP159" s="250"/>
      <c r="QSQ159" s="250"/>
      <c r="QSR159" s="250"/>
      <c r="QSS159" s="250"/>
      <c r="QST159" s="250"/>
      <c r="QSU159" s="250"/>
      <c r="QSV159" s="250"/>
      <c r="QSW159" s="250"/>
      <c r="QSX159" s="250"/>
      <c r="QSY159" s="250"/>
      <c r="QSZ159" s="250"/>
      <c r="QTA159" s="250"/>
      <c r="QTB159" s="250"/>
      <c r="QTC159" s="250"/>
      <c r="QTD159" s="250"/>
      <c r="QTE159" s="250"/>
      <c r="QTF159" s="250"/>
      <c r="QTG159" s="250"/>
      <c r="QTH159" s="250"/>
      <c r="QTI159" s="250"/>
      <c r="QTJ159" s="250"/>
      <c r="QTK159" s="250"/>
      <c r="QTL159" s="250"/>
      <c r="QTM159" s="250"/>
      <c r="QTN159" s="250"/>
      <c r="QTO159" s="250"/>
      <c r="QTP159" s="250"/>
      <c r="QTQ159" s="250"/>
      <c r="QTR159" s="250"/>
      <c r="QTS159" s="250"/>
      <c r="QTT159" s="250"/>
      <c r="QTU159" s="250"/>
      <c r="QTV159" s="250"/>
      <c r="QTW159" s="250"/>
      <c r="QTX159" s="250"/>
      <c r="QTY159" s="250"/>
      <c r="QTZ159" s="250"/>
      <c r="QUA159" s="250"/>
      <c r="QUB159" s="250"/>
      <c r="QUC159" s="250"/>
      <c r="QUD159" s="250"/>
      <c r="QUE159" s="250"/>
      <c r="QUF159" s="250"/>
      <c r="QUG159" s="250"/>
      <c r="QUH159" s="250"/>
      <c r="QUI159" s="250"/>
      <c r="QUJ159" s="250"/>
      <c r="QUK159" s="250"/>
      <c r="QUL159" s="250"/>
      <c r="QUM159" s="250"/>
      <c r="QUN159" s="250"/>
      <c r="QUO159" s="250"/>
      <c r="QUP159" s="250"/>
      <c r="QUQ159" s="250"/>
      <c r="QUR159" s="250"/>
      <c r="QUS159" s="250"/>
      <c r="QUT159" s="250"/>
      <c r="QUU159" s="250"/>
      <c r="QUV159" s="250"/>
      <c r="QUW159" s="250"/>
      <c r="QUX159" s="250"/>
      <c r="QUY159" s="250"/>
      <c r="QUZ159" s="250"/>
      <c r="QVA159" s="250"/>
      <c r="QVB159" s="250"/>
      <c r="QVC159" s="250"/>
      <c r="QVD159" s="250"/>
      <c r="QVE159" s="250"/>
      <c r="QVF159" s="250"/>
      <c r="QVG159" s="250"/>
      <c r="QVH159" s="250"/>
      <c r="QVI159" s="250"/>
      <c r="QVJ159" s="250"/>
      <c r="QVK159" s="250"/>
      <c r="QVL159" s="250"/>
      <c r="QVM159" s="250"/>
      <c r="QVN159" s="250"/>
      <c r="QVO159" s="250"/>
      <c r="QVP159" s="250"/>
      <c r="QVQ159" s="250"/>
      <c r="QVR159" s="250"/>
      <c r="QVS159" s="250"/>
      <c r="QVT159" s="250"/>
      <c r="QVU159" s="250"/>
      <c r="QVV159" s="250"/>
      <c r="QVW159" s="250"/>
      <c r="QVX159" s="250"/>
      <c r="QVY159" s="250"/>
      <c r="QVZ159" s="250"/>
      <c r="QWA159" s="250"/>
      <c r="QWB159" s="250"/>
      <c r="QWC159" s="250"/>
      <c r="QWD159" s="250"/>
      <c r="QWE159" s="250"/>
      <c r="QWF159" s="250"/>
      <c r="QWG159" s="250"/>
      <c r="QWH159" s="250"/>
      <c r="QWI159" s="250"/>
      <c r="QWJ159" s="250"/>
      <c r="QWK159" s="250"/>
      <c r="QWL159" s="250"/>
      <c r="QWM159" s="250"/>
      <c r="QWN159" s="250"/>
      <c r="QWO159" s="250"/>
      <c r="QWP159" s="250"/>
      <c r="QWQ159" s="250"/>
      <c r="QWR159" s="250"/>
      <c r="QWS159" s="250"/>
      <c r="QWT159" s="250"/>
      <c r="QWU159" s="250"/>
      <c r="QWV159" s="250"/>
      <c r="QWW159" s="250"/>
      <c r="QWX159" s="250"/>
      <c r="QWY159" s="250"/>
      <c r="QWZ159" s="250"/>
      <c r="QXA159" s="250"/>
      <c r="QXB159" s="250"/>
      <c r="QXC159" s="250"/>
      <c r="QXD159" s="250"/>
      <c r="QXE159" s="250"/>
      <c r="QXF159" s="250"/>
      <c r="QXG159" s="250"/>
      <c r="QXH159" s="250"/>
      <c r="QXI159" s="250"/>
      <c r="QXJ159" s="250"/>
      <c r="QXK159" s="250"/>
      <c r="QXL159" s="250"/>
      <c r="QXM159" s="250"/>
      <c r="QXN159" s="250"/>
      <c r="QXO159" s="250"/>
      <c r="QXP159" s="250"/>
      <c r="QXQ159" s="250"/>
      <c r="QXR159" s="250"/>
      <c r="QXS159" s="250"/>
      <c r="QXT159" s="250"/>
      <c r="QXU159" s="250"/>
      <c r="QXV159" s="250"/>
      <c r="QXW159" s="250"/>
      <c r="QXX159" s="250"/>
      <c r="QXY159" s="250"/>
      <c r="QXZ159" s="250"/>
      <c r="QYA159" s="250"/>
      <c r="QYB159" s="250"/>
      <c r="QYC159" s="250"/>
      <c r="QYD159" s="250"/>
      <c r="QYE159" s="250"/>
      <c r="QYF159" s="250"/>
      <c r="QYG159" s="250"/>
      <c r="QYH159" s="250"/>
      <c r="QYI159" s="250"/>
      <c r="QYJ159" s="250"/>
      <c r="QYK159" s="250"/>
      <c r="QYL159" s="250"/>
      <c r="QYM159" s="250"/>
      <c r="QYN159" s="250"/>
      <c r="QYO159" s="250"/>
      <c r="QYP159" s="250"/>
      <c r="QYQ159" s="250"/>
      <c r="QYR159" s="250"/>
      <c r="QYS159" s="250"/>
      <c r="QYT159" s="250"/>
      <c r="QYU159" s="250"/>
      <c r="QYV159" s="250"/>
      <c r="QYW159" s="250"/>
      <c r="QYX159" s="250"/>
      <c r="QYY159" s="250"/>
      <c r="QYZ159" s="250"/>
      <c r="QZA159" s="250"/>
      <c r="QZB159" s="250"/>
      <c r="QZC159" s="250"/>
      <c r="QZD159" s="250"/>
      <c r="QZE159" s="250"/>
      <c r="QZF159" s="250"/>
      <c r="QZG159" s="250"/>
      <c r="QZH159" s="250"/>
      <c r="QZI159" s="250"/>
      <c r="QZJ159" s="250"/>
      <c r="QZK159" s="250"/>
      <c r="QZL159" s="250"/>
      <c r="QZM159" s="250"/>
      <c r="QZN159" s="250"/>
      <c r="QZO159" s="250"/>
      <c r="QZP159" s="250"/>
      <c r="QZQ159" s="250"/>
      <c r="QZR159" s="250"/>
      <c r="QZS159" s="250"/>
      <c r="QZT159" s="250"/>
      <c r="QZU159" s="250"/>
      <c r="QZV159" s="250"/>
      <c r="QZW159" s="250"/>
      <c r="QZX159" s="250"/>
      <c r="QZY159" s="250"/>
      <c r="QZZ159" s="250"/>
      <c r="RAA159" s="250"/>
      <c r="RAB159" s="250"/>
      <c r="RAC159" s="250"/>
      <c r="RAD159" s="250"/>
      <c r="RAE159" s="250"/>
      <c r="RAF159" s="250"/>
      <c r="RAG159" s="250"/>
      <c r="RAH159" s="250"/>
      <c r="RAI159" s="250"/>
      <c r="RAJ159" s="250"/>
      <c r="RAK159" s="250"/>
      <c r="RAL159" s="250"/>
      <c r="RAM159" s="250"/>
      <c r="RAN159" s="250"/>
      <c r="RAO159" s="250"/>
      <c r="RAP159" s="250"/>
      <c r="RAQ159" s="250"/>
      <c r="RAR159" s="250"/>
      <c r="RAS159" s="250"/>
      <c r="RAT159" s="250"/>
      <c r="RAU159" s="250"/>
      <c r="RAV159" s="250"/>
      <c r="RAW159" s="250"/>
      <c r="RAX159" s="250"/>
      <c r="RAY159" s="250"/>
      <c r="RAZ159" s="250"/>
      <c r="RBA159" s="250"/>
      <c r="RBB159" s="250"/>
      <c r="RBC159" s="250"/>
      <c r="RBD159" s="250"/>
      <c r="RBE159" s="250"/>
      <c r="RBF159" s="250"/>
      <c r="RBG159" s="250"/>
      <c r="RBH159" s="250"/>
      <c r="RBI159" s="250"/>
      <c r="RBJ159" s="250"/>
      <c r="RBK159" s="250"/>
      <c r="RBL159" s="250"/>
      <c r="RBM159" s="250"/>
      <c r="RBN159" s="250"/>
      <c r="RBO159" s="250"/>
      <c r="RBP159" s="250"/>
      <c r="RBQ159" s="250"/>
      <c r="RBR159" s="250"/>
      <c r="RBS159" s="250"/>
      <c r="RBT159" s="250"/>
      <c r="RBU159" s="250"/>
      <c r="RBV159" s="250"/>
      <c r="RBW159" s="250"/>
      <c r="RBX159" s="250"/>
      <c r="RBY159" s="250"/>
      <c r="RBZ159" s="250"/>
      <c r="RCA159" s="250"/>
      <c r="RCB159" s="250"/>
      <c r="RCC159" s="250"/>
      <c r="RCD159" s="250"/>
      <c r="RCE159" s="250"/>
      <c r="RCF159" s="250"/>
      <c r="RCG159" s="250"/>
      <c r="RCH159" s="250"/>
      <c r="RCI159" s="250"/>
      <c r="RCJ159" s="250"/>
      <c r="RCK159" s="250"/>
      <c r="RCL159" s="250"/>
      <c r="RCM159" s="250"/>
      <c r="RCN159" s="250"/>
      <c r="RCO159" s="250"/>
      <c r="RCP159" s="250"/>
      <c r="RCQ159" s="250"/>
      <c r="RCR159" s="250"/>
      <c r="RCS159" s="250"/>
      <c r="RCT159" s="250"/>
      <c r="RCU159" s="250"/>
      <c r="RCV159" s="250"/>
      <c r="RCW159" s="250"/>
      <c r="RCX159" s="250"/>
      <c r="RCY159" s="250"/>
      <c r="RCZ159" s="250"/>
      <c r="RDA159" s="250"/>
      <c r="RDB159" s="250"/>
      <c r="RDC159" s="250"/>
      <c r="RDD159" s="250"/>
      <c r="RDE159" s="250"/>
      <c r="RDF159" s="250"/>
      <c r="RDG159" s="250"/>
      <c r="RDH159" s="250"/>
      <c r="RDI159" s="250"/>
      <c r="RDJ159" s="250"/>
      <c r="RDK159" s="250"/>
      <c r="RDL159" s="250"/>
      <c r="RDM159" s="250"/>
      <c r="RDN159" s="250"/>
      <c r="RDO159" s="250"/>
      <c r="RDP159" s="250"/>
      <c r="RDQ159" s="250"/>
      <c r="RDR159" s="250"/>
      <c r="RDS159" s="250"/>
      <c r="RDT159" s="250"/>
      <c r="RDU159" s="250"/>
      <c r="RDV159" s="250"/>
      <c r="RDW159" s="250"/>
      <c r="RDX159" s="250"/>
      <c r="RDY159" s="250"/>
      <c r="RDZ159" s="250"/>
      <c r="REA159" s="250"/>
      <c r="REB159" s="250"/>
      <c r="REC159" s="250"/>
      <c r="RED159" s="250"/>
      <c r="REE159" s="250"/>
      <c r="REF159" s="250"/>
      <c r="REG159" s="250"/>
      <c r="REH159" s="250"/>
      <c r="REI159" s="250"/>
      <c r="REJ159" s="250"/>
      <c r="REK159" s="250"/>
      <c r="REL159" s="250"/>
      <c r="REM159" s="250"/>
      <c r="REN159" s="250"/>
      <c r="REO159" s="250"/>
      <c r="REP159" s="250"/>
      <c r="REQ159" s="250"/>
      <c r="RER159" s="250"/>
      <c r="RES159" s="250"/>
      <c r="RET159" s="250"/>
      <c r="REU159" s="250"/>
      <c r="REV159" s="250"/>
      <c r="REW159" s="250"/>
      <c r="REX159" s="250"/>
      <c r="REY159" s="250"/>
      <c r="REZ159" s="250"/>
      <c r="RFA159" s="250"/>
      <c r="RFB159" s="250"/>
      <c r="RFC159" s="250"/>
      <c r="RFD159" s="250"/>
      <c r="RFE159" s="250"/>
      <c r="RFF159" s="250"/>
      <c r="RFG159" s="250"/>
      <c r="RFH159" s="250"/>
      <c r="RFI159" s="250"/>
      <c r="RFJ159" s="250"/>
      <c r="RFK159" s="250"/>
      <c r="RFL159" s="250"/>
      <c r="RFM159" s="250"/>
      <c r="RFN159" s="250"/>
      <c r="RFO159" s="250"/>
      <c r="RFP159" s="250"/>
      <c r="RFQ159" s="250"/>
      <c r="RFR159" s="250"/>
      <c r="RFS159" s="250"/>
      <c r="RFT159" s="250"/>
      <c r="RFU159" s="250"/>
      <c r="RFV159" s="250"/>
      <c r="RFW159" s="250"/>
      <c r="RFX159" s="250"/>
      <c r="RFY159" s="250"/>
      <c r="RFZ159" s="250"/>
      <c r="RGA159" s="250"/>
      <c r="RGB159" s="250"/>
      <c r="RGC159" s="250"/>
      <c r="RGD159" s="250"/>
      <c r="RGE159" s="250"/>
      <c r="RGF159" s="250"/>
      <c r="RGG159" s="250"/>
      <c r="RGH159" s="250"/>
      <c r="RGI159" s="250"/>
      <c r="RGJ159" s="250"/>
      <c r="RGK159" s="250"/>
      <c r="RGL159" s="250"/>
      <c r="RGM159" s="250"/>
      <c r="RGN159" s="250"/>
      <c r="RGO159" s="250"/>
      <c r="RGP159" s="250"/>
      <c r="RGQ159" s="250"/>
      <c r="RGR159" s="250"/>
      <c r="RGS159" s="250"/>
      <c r="RGT159" s="250"/>
      <c r="RGU159" s="250"/>
      <c r="RGV159" s="250"/>
      <c r="RGW159" s="250"/>
      <c r="RGX159" s="250"/>
      <c r="RGY159" s="250"/>
      <c r="RGZ159" s="250"/>
      <c r="RHA159" s="250"/>
      <c r="RHB159" s="250"/>
      <c r="RHC159" s="250"/>
      <c r="RHD159" s="250"/>
      <c r="RHE159" s="250"/>
      <c r="RHF159" s="250"/>
      <c r="RHG159" s="250"/>
      <c r="RHH159" s="250"/>
      <c r="RHI159" s="250"/>
      <c r="RHJ159" s="250"/>
      <c r="RHK159" s="250"/>
      <c r="RHL159" s="250"/>
      <c r="RHM159" s="250"/>
      <c r="RHN159" s="250"/>
      <c r="RHO159" s="250"/>
      <c r="RHP159" s="250"/>
      <c r="RHQ159" s="250"/>
      <c r="RHR159" s="250"/>
      <c r="RHS159" s="250"/>
      <c r="RHT159" s="250"/>
      <c r="RHU159" s="250"/>
      <c r="RHV159" s="250"/>
      <c r="RHW159" s="250"/>
      <c r="RHX159" s="250"/>
      <c r="RHY159" s="250"/>
      <c r="RHZ159" s="250"/>
      <c r="RIA159" s="250"/>
      <c r="RIB159" s="250"/>
      <c r="RIC159" s="250"/>
      <c r="RID159" s="250"/>
      <c r="RIE159" s="250"/>
      <c r="RIF159" s="250"/>
      <c r="RIG159" s="250"/>
      <c r="RIH159" s="250"/>
      <c r="RII159" s="250"/>
      <c r="RIJ159" s="250"/>
      <c r="RIK159" s="250"/>
      <c r="RIL159" s="250"/>
      <c r="RIM159" s="250"/>
      <c r="RIN159" s="250"/>
      <c r="RIO159" s="250"/>
      <c r="RIP159" s="250"/>
      <c r="RIQ159" s="250"/>
      <c r="RIR159" s="250"/>
      <c r="RIS159" s="250"/>
      <c r="RIT159" s="250"/>
      <c r="RIU159" s="250"/>
      <c r="RIV159" s="250"/>
      <c r="RIW159" s="250"/>
      <c r="RIX159" s="250"/>
      <c r="RIY159" s="250"/>
      <c r="RIZ159" s="250"/>
      <c r="RJA159" s="250"/>
      <c r="RJB159" s="250"/>
      <c r="RJC159" s="250"/>
      <c r="RJD159" s="250"/>
      <c r="RJE159" s="250"/>
      <c r="RJF159" s="250"/>
      <c r="RJG159" s="250"/>
      <c r="RJH159" s="250"/>
      <c r="RJI159" s="250"/>
      <c r="RJJ159" s="250"/>
      <c r="RJK159" s="250"/>
      <c r="RJL159" s="250"/>
      <c r="RJM159" s="250"/>
      <c r="RJN159" s="250"/>
      <c r="RJO159" s="250"/>
      <c r="RJP159" s="250"/>
      <c r="RJQ159" s="250"/>
      <c r="RJR159" s="250"/>
      <c r="RJS159" s="250"/>
      <c r="RJT159" s="250"/>
      <c r="RJU159" s="250"/>
      <c r="RJV159" s="250"/>
      <c r="RJW159" s="250"/>
      <c r="RJX159" s="250"/>
      <c r="RJY159" s="250"/>
      <c r="RJZ159" s="250"/>
      <c r="RKA159" s="250"/>
      <c r="RKB159" s="250"/>
      <c r="RKC159" s="250"/>
      <c r="RKD159" s="250"/>
      <c r="RKE159" s="250"/>
      <c r="RKF159" s="250"/>
      <c r="RKG159" s="250"/>
      <c r="RKH159" s="250"/>
      <c r="RKI159" s="250"/>
      <c r="RKJ159" s="250"/>
      <c r="RKK159" s="250"/>
      <c r="RKL159" s="250"/>
      <c r="RKM159" s="250"/>
      <c r="RKN159" s="250"/>
      <c r="RKO159" s="250"/>
      <c r="RKP159" s="250"/>
      <c r="RKQ159" s="250"/>
      <c r="RKR159" s="250"/>
      <c r="RKS159" s="250"/>
      <c r="RKT159" s="250"/>
      <c r="RKU159" s="250"/>
      <c r="RKV159" s="250"/>
      <c r="RKW159" s="250"/>
      <c r="RKX159" s="250"/>
      <c r="RKY159" s="250"/>
      <c r="RKZ159" s="250"/>
      <c r="RLA159" s="250"/>
      <c r="RLB159" s="250"/>
      <c r="RLC159" s="250"/>
      <c r="RLD159" s="250"/>
      <c r="RLE159" s="250"/>
      <c r="RLF159" s="250"/>
      <c r="RLG159" s="250"/>
      <c r="RLH159" s="250"/>
      <c r="RLI159" s="250"/>
      <c r="RLJ159" s="250"/>
      <c r="RLK159" s="250"/>
      <c r="RLL159" s="250"/>
      <c r="RLM159" s="250"/>
      <c r="RLN159" s="250"/>
      <c r="RLO159" s="250"/>
      <c r="RLP159" s="250"/>
      <c r="RLQ159" s="250"/>
      <c r="RLR159" s="250"/>
      <c r="RLS159" s="250"/>
      <c r="RLT159" s="250"/>
      <c r="RLU159" s="250"/>
      <c r="RLV159" s="250"/>
      <c r="RLW159" s="250"/>
      <c r="RLX159" s="250"/>
      <c r="RLY159" s="250"/>
      <c r="RLZ159" s="250"/>
      <c r="RMA159" s="250"/>
      <c r="RMB159" s="250"/>
      <c r="RMC159" s="250"/>
      <c r="RMD159" s="250"/>
      <c r="RME159" s="250"/>
      <c r="RMF159" s="250"/>
      <c r="RMG159" s="250"/>
      <c r="RMH159" s="250"/>
      <c r="RMI159" s="250"/>
      <c r="RMJ159" s="250"/>
      <c r="RMK159" s="250"/>
      <c r="RML159" s="250"/>
      <c r="RMM159" s="250"/>
      <c r="RMN159" s="250"/>
      <c r="RMO159" s="250"/>
      <c r="RMP159" s="250"/>
      <c r="RMQ159" s="250"/>
      <c r="RMR159" s="250"/>
      <c r="RMS159" s="250"/>
      <c r="RMT159" s="250"/>
      <c r="RMU159" s="250"/>
      <c r="RMV159" s="250"/>
      <c r="RMW159" s="250"/>
      <c r="RMX159" s="250"/>
      <c r="RMY159" s="250"/>
      <c r="RMZ159" s="250"/>
      <c r="RNA159" s="250"/>
      <c r="RNB159" s="250"/>
      <c r="RNC159" s="250"/>
      <c r="RND159" s="250"/>
      <c r="RNE159" s="250"/>
      <c r="RNF159" s="250"/>
      <c r="RNG159" s="250"/>
      <c r="RNH159" s="250"/>
      <c r="RNI159" s="250"/>
      <c r="RNJ159" s="250"/>
      <c r="RNK159" s="250"/>
      <c r="RNL159" s="250"/>
      <c r="RNM159" s="250"/>
      <c r="RNN159" s="250"/>
      <c r="RNO159" s="250"/>
      <c r="RNP159" s="250"/>
      <c r="RNQ159" s="250"/>
      <c r="RNR159" s="250"/>
      <c r="RNS159" s="250"/>
      <c r="RNT159" s="250"/>
      <c r="RNU159" s="250"/>
      <c r="RNV159" s="250"/>
      <c r="RNW159" s="250"/>
      <c r="RNX159" s="250"/>
      <c r="RNY159" s="250"/>
      <c r="RNZ159" s="250"/>
      <c r="ROA159" s="250"/>
      <c r="ROB159" s="250"/>
      <c r="ROC159" s="250"/>
      <c r="ROD159" s="250"/>
      <c r="ROE159" s="250"/>
      <c r="ROF159" s="250"/>
      <c r="ROG159" s="250"/>
      <c r="ROH159" s="250"/>
      <c r="ROI159" s="250"/>
      <c r="ROJ159" s="250"/>
      <c r="ROK159" s="250"/>
      <c r="ROL159" s="250"/>
      <c r="ROM159" s="250"/>
      <c r="RON159" s="250"/>
      <c r="ROO159" s="250"/>
      <c r="ROP159" s="250"/>
      <c r="ROQ159" s="250"/>
      <c r="ROR159" s="250"/>
      <c r="ROS159" s="250"/>
      <c r="ROT159" s="250"/>
      <c r="ROU159" s="250"/>
      <c r="ROV159" s="250"/>
      <c r="ROW159" s="250"/>
      <c r="ROX159" s="250"/>
      <c r="ROY159" s="250"/>
      <c r="ROZ159" s="250"/>
      <c r="RPA159" s="250"/>
      <c r="RPB159" s="250"/>
      <c r="RPC159" s="250"/>
      <c r="RPD159" s="250"/>
      <c r="RPE159" s="250"/>
      <c r="RPF159" s="250"/>
      <c r="RPG159" s="250"/>
      <c r="RPH159" s="250"/>
      <c r="RPI159" s="250"/>
      <c r="RPJ159" s="250"/>
      <c r="RPK159" s="250"/>
      <c r="RPL159" s="250"/>
      <c r="RPM159" s="250"/>
      <c r="RPN159" s="250"/>
      <c r="RPO159" s="250"/>
      <c r="RPP159" s="250"/>
      <c r="RPQ159" s="250"/>
      <c r="RPR159" s="250"/>
      <c r="RPS159" s="250"/>
      <c r="RPT159" s="250"/>
      <c r="RPU159" s="250"/>
      <c r="RPV159" s="250"/>
      <c r="RPW159" s="250"/>
      <c r="RPX159" s="250"/>
      <c r="RPY159" s="250"/>
      <c r="RPZ159" s="250"/>
      <c r="RQA159" s="250"/>
      <c r="RQB159" s="250"/>
      <c r="RQC159" s="250"/>
      <c r="RQD159" s="250"/>
      <c r="RQE159" s="250"/>
      <c r="RQF159" s="250"/>
      <c r="RQG159" s="250"/>
      <c r="RQH159" s="250"/>
      <c r="RQI159" s="250"/>
      <c r="RQJ159" s="250"/>
      <c r="RQK159" s="250"/>
      <c r="RQL159" s="250"/>
      <c r="RQM159" s="250"/>
      <c r="RQN159" s="250"/>
      <c r="RQO159" s="250"/>
      <c r="RQP159" s="250"/>
      <c r="RQQ159" s="250"/>
      <c r="RQR159" s="250"/>
      <c r="RQS159" s="250"/>
      <c r="RQT159" s="250"/>
      <c r="RQU159" s="250"/>
      <c r="RQV159" s="250"/>
      <c r="RQW159" s="250"/>
      <c r="RQX159" s="250"/>
      <c r="RQY159" s="250"/>
      <c r="RQZ159" s="250"/>
      <c r="RRA159" s="250"/>
      <c r="RRB159" s="250"/>
      <c r="RRC159" s="250"/>
      <c r="RRD159" s="250"/>
      <c r="RRE159" s="250"/>
      <c r="RRF159" s="250"/>
      <c r="RRG159" s="250"/>
      <c r="RRH159" s="250"/>
      <c r="RRI159" s="250"/>
      <c r="RRJ159" s="250"/>
      <c r="RRK159" s="250"/>
      <c r="RRL159" s="250"/>
      <c r="RRM159" s="250"/>
      <c r="RRN159" s="250"/>
      <c r="RRO159" s="250"/>
      <c r="RRP159" s="250"/>
      <c r="RRQ159" s="250"/>
      <c r="RRR159" s="250"/>
      <c r="RRS159" s="250"/>
      <c r="RRT159" s="250"/>
      <c r="RRU159" s="250"/>
      <c r="RRV159" s="250"/>
      <c r="RRW159" s="250"/>
      <c r="RRX159" s="250"/>
      <c r="RRY159" s="250"/>
      <c r="RRZ159" s="250"/>
      <c r="RSA159" s="250"/>
      <c r="RSB159" s="250"/>
      <c r="RSC159" s="250"/>
      <c r="RSD159" s="250"/>
      <c r="RSE159" s="250"/>
      <c r="RSF159" s="250"/>
      <c r="RSG159" s="250"/>
      <c r="RSH159" s="250"/>
      <c r="RSI159" s="250"/>
      <c r="RSJ159" s="250"/>
      <c r="RSK159" s="250"/>
      <c r="RSL159" s="250"/>
      <c r="RSM159" s="250"/>
      <c r="RSN159" s="250"/>
      <c r="RSO159" s="250"/>
      <c r="RSP159" s="250"/>
      <c r="RSQ159" s="250"/>
      <c r="RSR159" s="250"/>
      <c r="RSS159" s="250"/>
      <c r="RST159" s="250"/>
      <c r="RSU159" s="250"/>
      <c r="RSV159" s="250"/>
      <c r="RSW159" s="250"/>
      <c r="RSX159" s="250"/>
      <c r="RSY159" s="250"/>
      <c r="RSZ159" s="250"/>
      <c r="RTA159" s="250"/>
      <c r="RTB159" s="250"/>
      <c r="RTC159" s="250"/>
      <c r="RTD159" s="250"/>
      <c r="RTE159" s="250"/>
      <c r="RTF159" s="250"/>
      <c r="RTG159" s="250"/>
      <c r="RTH159" s="250"/>
      <c r="RTI159" s="250"/>
      <c r="RTJ159" s="250"/>
      <c r="RTK159" s="250"/>
      <c r="RTL159" s="250"/>
      <c r="RTM159" s="250"/>
      <c r="RTN159" s="250"/>
      <c r="RTO159" s="250"/>
      <c r="RTP159" s="250"/>
      <c r="RTQ159" s="250"/>
      <c r="RTR159" s="250"/>
      <c r="RTS159" s="250"/>
      <c r="RTT159" s="250"/>
      <c r="RTU159" s="250"/>
      <c r="RTV159" s="250"/>
      <c r="RTW159" s="250"/>
      <c r="RTX159" s="250"/>
      <c r="RTY159" s="250"/>
      <c r="RTZ159" s="250"/>
      <c r="RUA159" s="250"/>
      <c r="RUB159" s="250"/>
      <c r="RUC159" s="250"/>
      <c r="RUD159" s="250"/>
      <c r="RUE159" s="250"/>
      <c r="RUF159" s="250"/>
      <c r="RUG159" s="250"/>
      <c r="RUH159" s="250"/>
      <c r="RUI159" s="250"/>
      <c r="RUJ159" s="250"/>
      <c r="RUK159" s="250"/>
      <c r="RUL159" s="250"/>
      <c r="RUM159" s="250"/>
      <c r="RUN159" s="250"/>
      <c r="RUO159" s="250"/>
      <c r="RUP159" s="250"/>
      <c r="RUQ159" s="250"/>
      <c r="RUR159" s="250"/>
      <c r="RUS159" s="250"/>
      <c r="RUT159" s="250"/>
      <c r="RUU159" s="250"/>
      <c r="RUV159" s="250"/>
      <c r="RUW159" s="250"/>
      <c r="RUX159" s="250"/>
      <c r="RUY159" s="250"/>
      <c r="RUZ159" s="250"/>
      <c r="RVA159" s="250"/>
      <c r="RVB159" s="250"/>
      <c r="RVC159" s="250"/>
      <c r="RVD159" s="250"/>
      <c r="RVE159" s="250"/>
      <c r="RVF159" s="250"/>
      <c r="RVG159" s="250"/>
      <c r="RVH159" s="250"/>
      <c r="RVI159" s="250"/>
      <c r="RVJ159" s="250"/>
      <c r="RVK159" s="250"/>
      <c r="RVL159" s="250"/>
      <c r="RVM159" s="250"/>
      <c r="RVN159" s="250"/>
      <c r="RVO159" s="250"/>
      <c r="RVP159" s="250"/>
      <c r="RVQ159" s="250"/>
      <c r="RVR159" s="250"/>
      <c r="RVS159" s="250"/>
      <c r="RVT159" s="250"/>
      <c r="RVU159" s="250"/>
      <c r="RVV159" s="250"/>
      <c r="RVW159" s="250"/>
      <c r="RVX159" s="250"/>
      <c r="RVY159" s="250"/>
      <c r="RVZ159" s="250"/>
      <c r="RWA159" s="250"/>
      <c r="RWB159" s="250"/>
      <c r="RWC159" s="250"/>
      <c r="RWD159" s="250"/>
      <c r="RWE159" s="250"/>
      <c r="RWF159" s="250"/>
      <c r="RWG159" s="250"/>
      <c r="RWH159" s="250"/>
      <c r="RWI159" s="250"/>
      <c r="RWJ159" s="250"/>
      <c r="RWK159" s="250"/>
      <c r="RWL159" s="250"/>
      <c r="RWM159" s="250"/>
      <c r="RWN159" s="250"/>
      <c r="RWO159" s="250"/>
      <c r="RWP159" s="250"/>
      <c r="RWQ159" s="250"/>
      <c r="RWR159" s="250"/>
      <c r="RWS159" s="250"/>
      <c r="RWT159" s="250"/>
      <c r="RWU159" s="250"/>
      <c r="RWV159" s="250"/>
      <c r="RWW159" s="250"/>
      <c r="RWX159" s="250"/>
      <c r="RWY159" s="250"/>
      <c r="RWZ159" s="250"/>
      <c r="RXA159" s="250"/>
      <c r="RXB159" s="250"/>
      <c r="RXC159" s="250"/>
      <c r="RXD159" s="250"/>
      <c r="RXE159" s="250"/>
      <c r="RXF159" s="250"/>
      <c r="RXG159" s="250"/>
      <c r="RXH159" s="250"/>
      <c r="RXI159" s="250"/>
      <c r="RXJ159" s="250"/>
      <c r="RXK159" s="250"/>
      <c r="RXL159" s="250"/>
      <c r="RXM159" s="250"/>
      <c r="RXN159" s="250"/>
      <c r="RXO159" s="250"/>
      <c r="RXP159" s="250"/>
      <c r="RXQ159" s="250"/>
      <c r="RXR159" s="250"/>
      <c r="RXS159" s="250"/>
      <c r="RXT159" s="250"/>
      <c r="RXU159" s="250"/>
      <c r="RXV159" s="250"/>
      <c r="RXW159" s="250"/>
      <c r="RXX159" s="250"/>
      <c r="RXY159" s="250"/>
      <c r="RXZ159" s="250"/>
      <c r="RYA159" s="250"/>
      <c r="RYB159" s="250"/>
      <c r="RYC159" s="250"/>
      <c r="RYD159" s="250"/>
      <c r="RYE159" s="250"/>
      <c r="RYF159" s="250"/>
      <c r="RYG159" s="250"/>
      <c r="RYH159" s="250"/>
      <c r="RYI159" s="250"/>
      <c r="RYJ159" s="250"/>
      <c r="RYK159" s="250"/>
      <c r="RYL159" s="250"/>
      <c r="RYM159" s="250"/>
      <c r="RYN159" s="250"/>
      <c r="RYO159" s="250"/>
      <c r="RYP159" s="250"/>
      <c r="RYQ159" s="250"/>
      <c r="RYR159" s="250"/>
      <c r="RYS159" s="250"/>
      <c r="RYT159" s="250"/>
      <c r="RYU159" s="250"/>
      <c r="RYV159" s="250"/>
      <c r="RYW159" s="250"/>
      <c r="RYX159" s="250"/>
      <c r="RYY159" s="250"/>
      <c r="RYZ159" s="250"/>
      <c r="RZA159" s="250"/>
      <c r="RZB159" s="250"/>
      <c r="RZC159" s="250"/>
      <c r="RZD159" s="250"/>
      <c r="RZE159" s="250"/>
      <c r="RZF159" s="250"/>
      <c r="RZG159" s="250"/>
      <c r="RZH159" s="250"/>
      <c r="RZI159" s="250"/>
      <c r="RZJ159" s="250"/>
      <c r="RZK159" s="250"/>
      <c r="RZL159" s="250"/>
      <c r="RZM159" s="250"/>
      <c r="RZN159" s="250"/>
      <c r="RZO159" s="250"/>
      <c r="RZP159" s="250"/>
      <c r="RZQ159" s="250"/>
      <c r="RZR159" s="250"/>
      <c r="RZS159" s="250"/>
      <c r="RZT159" s="250"/>
      <c r="RZU159" s="250"/>
      <c r="RZV159" s="250"/>
      <c r="RZW159" s="250"/>
      <c r="RZX159" s="250"/>
      <c r="RZY159" s="250"/>
      <c r="RZZ159" s="250"/>
      <c r="SAA159" s="250"/>
      <c r="SAB159" s="250"/>
      <c r="SAC159" s="250"/>
      <c r="SAD159" s="250"/>
      <c r="SAE159" s="250"/>
      <c r="SAF159" s="250"/>
      <c r="SAG159" s="250"/>
      <c r="SAH159" s="250"/>
      <c r="SAI159" s="250"/>
      <c r="SAJ159" s="250"/>
      <c r="SAK159" s="250"/>
      <c r="SAL159" s="250"/>
      <c r="SAM159" s="250"/>
      <c r="SAN159" s="250"/>
      <c r="SAO159" s="250"/>
      <c r="SAP159" s="250"/>
      <c r="SAQ159" s="250"/>
      <c r="SAR159" s="250"/>
      <c r="SAS159" s="250"/>
      <c r="SAT159" s="250"/>
      <c r="SAU159" s="250"/>
      <c r="SAV159" s="250"/>
      <c r="SAW159" s="250"/>
      <c r="SAX159" s="250"/>
      <c r="SAY159" s="250"/>
      <c r="SAZ159" s="250"/>
      <c r="SBA159" s="250"/>
      <c r="SBB159" s="250"/>
      <c r="SBC159" s="250"/>
      <c r="SBD159" s="250"/>
      <c r="SBE159" s="250"/>
      <c r="SBF159" s="250"/>
      <c r="SBG159" s="250"/>
      <c r="SBH159" s="250"/>
      <c r="SBI159" s="250"/>
      <c r="SBJ159" s="250"/>
      <c r="SBK159" s="250"/>
      <c r="SBL159" s="250"/>
      <c r="SBM159" s="250"/>
      <c r="SBN159" s="250"/>
      <c r="SBO159" s="250"/>
      <c r="SBP159" s="250"/>
      <c r="SBQ159" s="250"/>
      <c r="SBR159" s="250"/>
      <c r="SBS159" s="250"/>
      <c r="SBT159" s="250"/>
      <c r="SBU159" s="250"/>
      <c r="SBV159" s="250"/>
      <c r="SBW159" s="250"/>
      <c r="SBX159" s="250"/>
      <c r="SBY159" s="250"/>
      <c r="SBZ159" s="250"/>
      <c r="SCA159" s="250"/>
      <c r="SCB159" s="250"/>
      <c r="SCC159" s="250"/>
      <c r="SCD159" s="250"/>
      <c r="SCE159" s="250"/>
      <c r="SCF159" s="250"/>
      <c r="SCG159" s="250"/>
      <c r="SCH159" s="250"/>
      <c r="SCI159" s="250"/>
      <c r="SCJ159" s="250"/>
      <c r="SCK159" s="250"/>
      <c r="SCL159" s="250"/>
      <c r="SCM159" s="250"/>
      <c r="SCN159" s="250"/>
      <c r="SCO159" s="250"/>
      <c r="SCP159" s="250"/>
      <c r="SCQ159" s="250"/>
      <c r="SCR159" s="250"/>
      <c r="SCS159" s="250"/>
      <c r="SCT159" s="250"/>
      <c r="SCU159" s="250"/>
      <c r="SCV159" s="250"/>
      <c r="SCW159" s="250"/>
      <c r="SCX159" s="250"/>
      <c r="SCY159" s="250"/>
      <c r="SCZ159" s="250"/>
      <c r="SDA159" s="250"/>
      <c r="SDB159" s="250"/>
      <c r="SDC159" s="250"/>
      <c r="SDD159" s="250"/>
      <c r="SDE159" s="250"/>
      <c r="SDF159" s="250"/>
      <c r="SDG159" s="250"/>
      <c r="SDH159" s="250"/>
      <c r="SDI159" s="250"/>
      <c r="SDJ159" s="250"/>
      <c r="SDK159" s="250"/>
      <c r="SDL159" s="250"/>
      <c r="SDM159" s="250"/>
      <c r="SDN159" s="250"/>
      <c r="SDO159" s="250"/>
      <c r="SDP159" s="250"/>
      <c r="SDQ159" s="250"/>
      <c r="SDR159" s="250"/>
      <c r="SDS159" s="250"/>
      <c r="SDT159" s="250"/>
      <c r="SDU159" s="250"/>
      <c r="SDV159" s="250"/>
      <c r="SDW159" s="250"/>
      <c r="SDX159" s="250"/>
      <c r="SDY159" s="250"/>
      <c r="SDZ159" s="250"/>
      <c r="SEA159" s="250"/>
      <c r="SEB159" s="250"/>
      <c r="SEC159" s="250"/>
      <c r="SED159" s="250"/>
      <c r="SEE159" s="250"/>
      <c r="SEF159" s="250"/>
      <c r="SEG159" s="250"/>
      <c r="SEH159" s="250"/>
      <c r="SEI159" s="250"/>
      <c r="SEJ159" s="250"/>
      <c r="SEK159" s="250"/>
      <c r="SEL159" s="250"/>
      <c r="SEM159" s="250"/>
      <c r="SEN159" s="250"/>
      <c r="SEO159" s="250"/>
      <c r="SEP159" s="250"/>
      <c r="SEQ159" s="250"/>
      <c r="SER159" s="250"/>
      <c r="SES159" s="250"/>
      <c r="SET159" s="250"/>
      <c r="SEU159" s="250"/>
      <c r="SEV159" s="250"/>
      <c r="SEW159" s="250"/>
      <c r="SEX159" s="250"/>
      <c r="SEY159" s="250"/>
      <c r="SEZ159" s="250"/>
      <c r="SFA159" s="250"/>
      <c r="SFB159" s="250"/>
      <c r="SFC159" s="250"/>
      <c r="SFD159" s="250"/>
      <c r="SFE159" s="250"/>
      <c r="SFF159" s="250"/>
      <c r="SFG159" s="250"/>
      <c r="SFH159" s="250"/>
      <c r="SFI159" s="250"/>
      <c r="SFJ159" s="250"/>
      <c r="SFK159" s="250"/>
      <c r="SFL159" s="250"/>
      <c r="SFM159" s="250"/>
      <c r="SFN159" s="250"/>
      <c r="SFO159" s="250"/>
      <c r="SFP159" s="250"/>
      <c r="SFQ159" s="250"/>
      <c r="SFR159" s="250"/>
      <c r="SFS159" s="250"/>
      <c r="SFT159" s="250"/>
      <c r="SFU159" s="250"/>
      <c r="SFV159" s="250"/>
      <c r="SFW159" s="250"/>
      <c r="SFX159" s="250"/>
      <c r="SFY159" s="250"/>
      <c r="SFZ159" s="250"/>
      <c r="SGA159" s="250"/>
      <c r="SGB159" s="250"/>
      <c r="SGC159" s="250"/>
      <c r="SGD159" s="250"/>
      <c r="SGE159" s="250"/>
      <c r="SGF159" s="250"/>
      <c r="SGG159" s="250"/>
      <c r="SGH159" s="250"/>
      <c r="SGI159" s="250"/>
      <c r="SGJ159" s="250"/>
      <c r="SGK159" s="250"/>
      <c r="SGL159" s="250"/>
      <c r="SGM159" s="250"/>
      <c r="SGN159" s="250"/>
      <c r="SGO159" s="250"/>
      <c r="SGP159" s="250"/>
      <c r="SGQ159" s="250"/>
      <c r="SGR159" s="250"/>
      <c r="SGS159" s="250"/>
      <c r="SGT159" s="250"/>
      <c r="SGU159" s="250"/>
      <c r="SGV159" s="250"/>
      <c r="SGW159" s="250"/>
      <c r="SGX159" s="250"/>
      <c r="SGY159" s="250"/>
      <c r="SGZ159" s="250"/>
      <c r="SHA159" s="250"/>
      <c r="SHB159" s="250"/>
      <c r="SHC159" s="250"/>
      <c r="SHD159" s="250"/>
      <c r="SHE159" s="250"/>
      <c r="SHF159" s="250"/>
      <c r="SHG159" s="250"/>
      <c r="SHH159" s="250"/>
      <c r="SHI159" s="250"/>
      <c r="SHJ159" s="250"/>
      <c r="SHK159" s="250"/>
      <c r="SHL159" s="250"/>
      <c r="SHM159" s="250"/>
      <c r="SHN159" s="250"/>
      <c r="SHO159" s="250"/>
      <c r="SHP159" s="250"/>
      <c r="SHQ159" s="250"/>
      <c r="SHR159" s="250"/>
      <c r="SHS159" s="250"/>
      <c r="SHT159" s="250"/>
      <c r="SHU159" s="250"/>
      <c r="SHV159" s="250"/>
      <c r="SHW159" s="250"/>
      <c r="SHX159" s="250"/>
      <c r="SHY159" s="250"/>
      <c r="SHZ159" s="250"/>
      <c r="SIA159" s="250"/>
      <c r="SIB159" s="250"/>
      <c r="SIC159" s="250"/>
      <c r="SID159" s="250"/>
      <c r="SIE159" s="250"/>
      <c r="SIF159" s="250"/>
      <c r="SIG159" s="250"/>
      <c r="SIH159" s="250"/>
      <c r="SII159" s="250"/>
      <c r="SIJ159" s="250"/>
      <c r="SIK159" s="250"/>
      <c r="SIL159" s="250"/>
      <c r="SIM159" s="250"/>
      <c r="SIN159" s="250"/>
      <c r="SIO159" s="250"/>
      <c r="SIP159" s="250"/>
      <c r="SIQ159" s="250"/>
      <c r="SIR159" s="250"/>
      <c r="SIS159" s="250"/>
      <c r="SIT159" s="250"/>
      <c r="SIU159" s="250"/>
      <c r="SIV159" s="250"/>
      <c r="SIW159" s="250"/>
      <c r="SIX159" s="250"/>
      <c r="SIY159" s="250"/>
      <c r="SIZ159" s="250"/>
      <c r="SJA159" s="250"/>
      <c r="SJB159" s="250"/>
      <c r="SJC159" s="250"/>
      <c r="SJD159" s="250"/>
      <c r="SJE159" s="250"/>
      <c r="SJF159" s="250"/>
      <c r="SJG159" s="250"/>
      <c r="SJH159" s="250"/>
      <c r="SJI159" s="250"/>
      <c r="SJJ159" s="250"/>
      <c r="SJK159" s="250"/>
      <c r="SJL159" s="250"/>
      <c r="SJM159" s="250"/>
      <c r="SJN159" s="250"/>
      <c r="SJO159" s="250"/>
      <c r="SJP159" s="250"/>
      <c r="SJQ159" s="250"/>
      <c r="SJR159" s="250"/>
      <c r="SJS159" s="250"/>
      <c r="SJT159" s="250"/>
      <c r="SJU159" s="250"/>
      <c r="SJV159" s="250"/>
      <c r="SJW159" s="250"/>
      <c r="SJX159" s="250"/>
      <c r="SJY159" s="250"/>
      <c r="SJZ159" s="250"/>
      <c r="SKA159" s="250"/>
      <c r="SKB159" s="250"/>
      <c r="SKC159" s="250"/>
      <c r="SKD159" s="250"/>
      <c r="SKE159" s="250"/>
      <c r="SKF159" s="250"/>
      <c r="SKG159" s="250"/>
      <c r="SKH159" s="250"/>
      <c r="SKI159" s="250"/>
      <c r="SKJ159" s="250"/>
      <c r="SKK159" s="250"/>
      <c r="SKL159" s="250"/>
      <c r="SKM159" s="250"/>
      <c r="SKN159" s="250"/>
      <c r="SKO159" s="250"/>
      <c r="SKP159" s="250"/>
      <c r="SKQ159" s="250"/>
      <c r="SKR159" s="250"/>
      <c r="SKS159" s="250"/>
      <c r="SKT159" s="250"/>
      <c r="SKU159" s="250"/>
      <c r="SKV159" s="250"/>
      <c r="SKW159" s="250"/>
      <c r="SKX159" s="250"/>
      <c r="SKY159" s="250"/>
      <c r="SKZ159" s="250"/>
      <c r="SLA159" s="250"/>
      <c r="SLB159" s="250"/>
      <c r="SLC159" s="250"/>
      <c r="SLD159" s="250"/>
      <c r="SLE159" s="250"/>
      <c r="SLF159" s="250"/>
      <c r="SLG159" s="250"/>
      <c r="SLH159" s="250"/>
      <c r="SLI159" s="250"/>
      <c r="SLJ159" s="250"/>
      <c r="SLK159" s="250"/>
      <c r="SLL159" s="250"/>
      <c r="SLM159" s="250"/>
      <c r="SLN159" s="250"/>
      <c r="SLO159" s="250"/>
      <c r="SLP159" s="250"/>
      <c r="SLQ159" s="250"/>
      <c r="SLR159" s="250"/>
      <c r="SLS159" s="250"/>
      <c r="SLT159" s="250"/>
      <c r="SLU159" s="250"/>
      <c r="SLV159" s="250"/>
      <c r="SLW159" s="250"/>
      <c r="SLX159" s="250"/>
      <c r="SLY159" s="250"/>
      <c r="SLZ159" s="250"/>
      <c r="SMA159" s="250"/>
      <c r="SMB159" s="250"/>
      <c r="SMC159" s="250"/>
      <c r="SMD159" s="250"/>
      <c r="SME159" s="250"/>
      <c r="SMF159" s="250"/>
      <c r="SMG159" s="250"/>
      <c r="SMH159" s="250"/>
      <c r="SMI159" s="250"/>
      <c r="SMJ159" s="250"/>
      <c r="SMK159" s="250"/>
      <c r="SML159" s="250"/>
      <c r="SMM159" s="250"/>
      <c r="SMN159" s="250"/>
      <c r="SMO159" s="250"/>
      <c r="SMP159" s="250"/>
      <c r="SMQ159" s="250"/>
      <c r="SMR159" s="250"/>
      <c r="SMS159" s="250"/>
      <c r="SMT159" s="250"/>
      <c r="SMU159" s="250"/>
      <c r="SMV159" s="250"/>
      <c r="SMW159" s="250"/>
      <c r="SMX159" s="250"/>
      <c r="SMY159" s="250"/>
      <c r="SMZ159" s="250"/>
      <c r="SNA159" s="250"/>
      <c r="SNB159" s="250"/>
      <c r="SNC159" s="250"/>
      <c r="SND159" s="250"/>
      <c r="SNE159" s="250"/>
      <c r="SNF159" s="250"/>
      <c r="SNG159" s="250"/>
      <c r="SNH159" s="250"/>
      <c r="SNI159" s="250"/>
      <c r="SNJ159" s="250"/>
      <c r="SNK159" s="250"/>
      <c r="SNL159" s="250"/>
      <c r="SNM159" s="250"/>
      <c r="SNN159" s="250"/>
      <c r="SNO159" s="250"/>
      <c r="SNP159" s="250"/>
      <c r="SNQ159" s="250"/>
      <c r="SNR159" s="250"/>
      <c r="SNS159" s="250"/>
      <c r="SNT159" s="250"/>
      <c r="SNU159" s="250"/>
      <c r="SNV159" s="250"/>
      <c r="SNW159" s="250"/>
      <c r="SNX159" s="250"/>
      <c r="SNY159" s="250"/>
      <c r="SNZ159" s="250"/>
      <c r="SOA159" s="250"/>
      <c r="SOB159" s="250"/>
      <c r="SOC159" s="250"/>
      <c r="SOD159" s="250"/>
      <c r="SOE159" s="250"/>
      <c r="SOF159" s="250"/>
      <c r="SOG159" s="250"/>
      <c r="SOH159" s="250"/>
      <c r="SOI159" s="250"/>
      <c r="SOJ159" s="250"/>
      <c r="SOK159" s="250"/>
      <c r="SOL159" s="250"/>
      <c r="SOM159" s="250"/>
      <c r="SON159" s="250"/>
      <c r="SOO159" s="250"/>
      <c r="SOP159" s="250"/>
      <c r="SOQ159" s="250"/>
      <c r="SOR159" s="250"/>
      <c r="SOS159" s="250"/>
      <c r="SOT159" s="250"/>
      <c r="SOU159" s="250"/>
      <c r="SOV159" s="250"/>
      <c r="SOW159" s="250"/>
      <c r="SOX159" s="250"/>
      <c r="SOY159" s="250"/>
      <c r="SOZ159" s="250"/>
      <c r="SPA159" s="250"/>
      <c r="SPB159" s="250"/>
      <c r="SPC159" s="250"/>
      <c r="SPD159" s="250"/>
      <c r="SPE159" s="250"/>
      <c r="SPF159" s="250"/>
      <c r="SPG159" s="250"/>
      <c r="SPH159" s="250"/>
      <c r="SPI159" s="250"/>
      <c r="SPJ159" s="250"/>
      <c r="SPK159" s="250"/>
      <c r="SPL159" s="250"/>
      <c r="SPM159" s="250"/>
      <c r="SPN159" s="250"/>
      <c r="SPO159" s="250"/>
      <c r="SPP159" s="250"/>
      <c r="SPQ159" s="250"/>
      <c r="SPR159" s="250"/>
      <c r="SPS159" s="250"/>
      <c r="SPT159" s="250"/>
      <c r="SPU159" s="250"/>
      <c r="SPV159" s="250"/>
      <c r="SPW159" s="250"/>
      <c r="SPX159" s="250"/>
      <c r="SPY159" s="250"/>
      <c r="SPZ159" s="250"/>
      <c r="SQA159" s="250"/>
      <c r="SQB159" s="250"/>
      <c r="SQC159" s="250"/>
      <c r="SQD159" s="250"/>
      <c r="SQE159" s="250"/>
      <c r="SQF159" s="250"/>
      <c r="SQG159" s="250"/>
      <c r="SQH159" s="250"/>
      <c r="SQI159" s="250"/>
      <c r="SQJ159" s="250"/>
      <c r="SQK159" s="250"/>
      <c r="SQL159" s="250"/>
      <c r="SQM159" s="250"/>
      <c r="SQN159" s="250"/>
      <c r="SQO159" s="250"/>
      <c r="SQP159" s="250"/>
      <c r="SQQ159" s="250"/>
      <c r="SQR159" s="250"/>
      <c r="SQS159" s="250"/>
      <c r="SQT159" s="250"/>
      <c r="SQU159" s="250"/>
      <c r="SQV159" s="250"/>
      <c r="SQW159" s="250"/>
      <c r="SQX159" s="250"/>
      <c r="SQY159" s="250"/>
      <c r="SQZ159" s="250"/>
      <c r="SRA159" s="250"/>
      <c r="SRB159" s="250"/>
      <c r="SRC159" s="250"/>
      <c r="SRD159" s="250"/>
      <c r="SRE159" s="250"/>
      <c r="SRF159" s="250"/>
      <c r="SRG159" s="250"/>
      <c r="SRH159" s="250"/>
      <c r="SRI159" s="250"/>
      <c r="SRJ159" s="250"/>
      <c r="SRK159" s="250"/>
      <c r="SRL159" s="250"/>
      <c r="SRM159" s="250"/>
      <c r="SRN159" s="250"/>
      <c r="SRO159" s="250"/>
      <c r="SRP159" s="250"/>
      <c r="SRQ159" s="250"/>
      <c r="SRR159" s="250"/>
      <c r="SRS159" s="250"/>
      <c r="SRT159" s="250"/>
      <c r="SRU159" s="250"/>
      <c r="SRV159" s="250"/>
      <c r="SRW159" s="250"/>
      <c r="SRX159" s="250"/>
      <c r="SRY159" s="250"/>
      <c r="SRZ159" s="250"/>
      <c r="SSA159" s="250"/>
      <c r="SSB159" s="250"/>
      <c r="SSC159" s="250"/>
      <c r="SSD159" s="250"/>
      <c r="SSE159" s="250"/>
      <c r="SSF159" s="250"/>
      <c r="SSG159" s="250"/>
      <c r="SSH159" s="250"/>
      <c r="SSI159" s="250"/>
      <c r="SSJ159" s="250"/>
      <c r="SSK159" s="250"/>
      <c r="SSL159" s="250"/>
      <c r="SSM159" s="250"/>
      <c r="SSN159" s="250"/>
      <c r="SSO159" s="250"/>
      <c r="SSP159" s="250"/>
      <c r="SSQ159" s="250"/>
      <c r="SSR159" s="250"/>
      <c r="SSS159" s="250"/>
      <c r="SST159" s="250"/>
      <c r="SSU159" s="250"/>
      <c r="SSV159" s="250"/>
      <c r="SSW159" s="250"/>
      <c r="SSX159" s="250"/>
      <c r="SSY159" s="250"/>
      <c r="SSZ159" s="250"/>
      <c r="STA159" s="250"/>
      <c r="STB159" s="250"/>
      <c r="STC159" s="250"/>
      <c r="STD159" s="250"/>
      <c r="STE159" s="250"/>
      <c r="STF159" s="250"/>
      <c r="STG159" s="250"/>
      <c r="STH159" s="250"/>
      <c r="STI159" s="250"/>
      <c r="STJ159" s="250"/>
      <c r="STK159" s="250"/>
      <c r="STL159" s="250"/>
      <c r="STM159" s="250"/>
      <c r="STN159" s="250"/>
      <c r="STO159" s="250"/>
      <c r="STP159" s="250"/>
      <c r="STQ159" s="250"/>
      <c r="STR159" s="250"/>
      <c r="STS159" s="250"/>
      <c r="STT159" s="250"/>
      <c r="STU159" s="250"/>
      <c r="STV159" s="250"/>
      <c r="STW159" s="250"/>
      <c r="STX159" s="250"/>
      <c r="STY159" s="250"/>
      <c r="STZ159" s="250"/>
      <c r="SUA159" s="250"/>
      <c r="SUB159" s="250"/>
      <c r="SUC159" s="250"/>
      <c r="SUD159" s="250"/>
      <c r="SUE159" s="250"/>
      <c r="SUF159" s="250"/>
      <c r="SUG159" s="250"/>
      <c r="SUH159" s="250"/>
      <c r="SUI159" s="250"/>
      <c r="SUJ159" s="250"/>
      <c r="SUK159" s="250"/>
      <c r="SUL159" s="250"/>
      <c r="SUM159" s="250"/>
      <c r="SUN159" s="250"/>
      <c r="SUO159" s="250"/>
      <c r="SUP159" s="250"/>
      <c r="SUQ159" s="250"/>
      <c r="SUR159" s="250"/>
      <c r="SUS159" s="250"/>
      <c r="SUT159" s="250"/>
      <c r="SUU159" s="250"/>
      <c r="SUV159" s="250"/>
      <c r="SUW159" s="250"/>
      <c r="SUX159" s="250"/>
      <c r="SUY159" s="250"/>
      <c r="SUZ159" s="250"/>
      <c r="SVA159" s="250"/>
      <c r="SVB159" s="250"/>
      <c r="SVC159" s="250"/>
      <c r="SVD159" s="250"/>
      <c r="SVE159" s="250"/>
      <c r="SVF159" s="250"/>
      <c r="SVG159" s="250"/>
      <c r="SVH159" s="250"/>
      <c r="SVI159" s="250"/>
      <c r="SVJ159" s="250"/>
      <c r="SVK159" s="250"/>
      <c r="SVL159" s="250"/>
      <c r="SVM159" s="250"/>
      <c r="SVN159" s="250"/>
      <c r="SVO159" s="250"/>
      <c r="SVP159" s="250"/>
      <c r="SVQ159" s="250"/>
      <c r="SVR159" s="250"/>
      <c r="SVS159" s="250"/>
      <c r="SVT159" s="250"/>
      <c r="SVU159" s="250"/>
      <c r="SVV159" s="250"/>
      <c r="SVW159" s="250"/>
      <c r="SVX159" s="250"/>
      <c r="SVY159" s="250"/>
      <c r="SVZ159" s="250"/>
      <c r="SWA159" s="250"/>
      <c r="SWB159" s="250"/>
      <c r="SWC159" s="250"/>
      <c r="SWD159" s="250"/>
      <c r="SWE159" s="250"/>
      <c r="SWF159" s="250"/>
      <c r="SWG159" s="250"/>
      <c r="SWH159" s="250"/>
      <c r="SWI159" s="250"/>
      <c r="SWJ159" s="250"/>
      <c r="SWK159" s="250"/>
      <c r="SWL159" s="250"/>
      <c r="SWM159" s="250"/>
      <c r="SWN159" s="250"/>
      <c r="SWO159" s="250"/>
      <c r="SWP159" s="250"/>
      <c r="SWQ159" s="250"/>
      <c r="SWR159" s="250"/>
      <c r="SWS159" s="250"/>
      <c r="SWT159" s="250"/>
      <c r="SWU159" s="250"/>
      <c r="SWV159" s="250"/>
      <c r="SWW159" s="250"/>
      <c r="SWX159" s="250"/>
      <c r="SWY159" s="250"/>
      <c r="SWZ159" s="250"/>
      <c r="SXA159" s="250"/>
      <c r="SXB159" s="250"/>
      <c r="SXC159" s="250"/>
      <c r="SXD159" s="250"/>
      <c r="SXE159" s="250"/>
      <c r="SXF159" s="250"/>
      <c r="SXG159" s="250"/>
      <c r="SXH159" s="250"/>
      <c r="SXI159" s="250"/>
      <c r="SXJ159" s="250"/>
      <c r="SXK159" s="250"/>
      <c r="SXL159" s="250"/>
      <c r="SXM159" s="250"/>
      <c r="SXN159" s="250"/>
      <c r="SXO159" s="250"/>
      <c r="SXP159" s="250"/>
      <c r="SXQ159" s="250"/>
      <c r="SXR159" s="250"/>
      <c r="SXS159" s="250"/>
      <c r="SXT159" s="250"/>
      <c r="SXU159" s="250"/>
      <c r="SXV159" s="250"/>
      <c r="SXW159" s="250"/>
      <c r="SXX159" s="250"/>
      <c r="SXY159" s="250"/>
      <c r="SXZ159" s="250"/>
      <c r="SYA159" s="250"/>
      <c r="SYB159" s="250"/>
      <c r="SYC159" s="250"/>
      <c r="SYD159" s="250"/>
      <c r="SYE159" s="250"/>
      <c r="SYF159" s="250"/>
      <c r="SYG159" s="250"/>
      <c r="SYH159" s="250"/>
      <c r="SYI159" s="250"/>
      <c r="SYJ159" s="250"/>
      <c r="SYK159" s="250"/>
      <c r="SYL159" s="250"/>
      <c r="SYM159" s="250"/>
      <c r="SYN159" s="250"/>
      <c r="SYO159" s="250"/>
      <c r="SYP159" s="250"/>
      <c r="SYQ159" s="250"/>
      <c r="SYR159" s="250"/>
      <c r="SYS159" s="250"/>
      <c r="SYT159" s="250"/>
      <c r="SYU159" s="250"/>
      <c r="SYV159" s="250"/>
      <c r="SYW159" s="250"/>
      <c r="SYX159" s="250"/>
      <c r="SYY159" s="250"/>
      <c r="SYZ159" s="250"/>
      <c r="SZA159" s="250"/>
      <c r="SZB159" s="250"/>
      <c r="SZC159" s="250"/>
      <c r="SZD159" s="250"/>
      <c r="SZE159" s="250"/>
      <c r="SZF159" s="250"/>
      <c r="SZG159" s="250"/>
      <c r="SZH159" s="250"/>
      <c r="SZI159" s="250"/>
      <c r="SZJ159" s="250"/>
      <c r="SZK159" s="250"/>
      <c r="SZL159" s="250"/>
      <c r="SZM159" s="250"/>
      <c r="SZN159" s="250"/>
      <c r="SZO159" s="250"/>
      <c r="SZP159" s="250"/>
      <c r="SZQ159" s="250"/>
      <c r="SZR159" s="250"/>
      <c r="SZS159" s="250"/>
      <c r="SZT159" s="250"/>
      <c r="SZU159" s="250"/>
      <c r="SZV159" s="250"/>
      <c r="SZW159" s="250"/>
      <c r="SZX159" s="250"/>
      <c r="SZY159" s="250"/>
      <c r="SZZ159" s="250"/>
      <c r="TAA159" s="250"/>
      <c r="TAB159" s="250"/>
      <c r="TAC159" s="250"/>
      <c r="TAD159" s="250"/>
      <c r="TAE159" s="250"/>
      <c r="TAF159" s="250"/>
      <c r="TAG159" s="250"/>
      <c r="TAH159" s="250"/>
      <c r="TAI159" s="250"/>
      <c r="TAJ159" s="250"/>
      <c r="TAK159" s="250"/>
      <c r="TAL159" s="250"/>
      <c r="TAM159" s="250"/>
      <c r="TAN159" s="250"/>
      <c r="TAO159" s="250"/>
      <c r="TAP159" s="250"/>
      <c r="TAQ159" s="250"/>
      <c r="TAR159" s="250"/>
      <c r="TAS159" s="250"/>
      <c r="TAT159" s="250"/>
      <c r="TAU159" s="250"/>
      <c r="TAV159" s="250"/>
      <c r="TAW159" s="250"/>
      <c r="TAX159" s="250"/>
      <c r="TAY159" s="250"/>
      <c r="TAZ159" s="250"/>
      <c r="TBA159" s="250"/>
      <c r="TBB159" s="250"/>
      <c r="TBC159" s="250"/>
      <c r="TBD159" s="250"/>
      <c r="TBE159" s="250"/>
      <c r="TBF159" s="250"/>
      <c r="TBG159" s="250"/>
      <c r="TBH159" s="250"/>
      <c r="TBI159" s="250"/>
      <c r="TBJ159" s="250"/>
      <c r="TBK159" s="250"/>
      <c r="TBL159" s="250"/>
      <c r="TBM159" s="250"/>
      <c r="TBN159" s="250"/>
      <c r="TBO159" s="250"/>
      <c r="TBP159" s="250"/>
      <c r="TBQ159" s="250"/>
      <c r="TBR159" s="250"/>
      <c r="TBS159" s="250"/>
      <c r="TBT159" s="250"/>
      <c r="TBU159" s="250"/>
      <c r="TBV159" s="250"/>
      <c r="TBW159" s="250"/>
      <c r="TBX159" s="250"/>
      <c r="TBY159" s="250"/>
      <c r="TBZ159" s="250"/>
      <c r="TCA159" s="250"/>
      <c r="TCB159" s="250"/>
      <c r="TCC159" s="250"/>
      <c r="TCD159" s="250"/>
      <c r="TCE159" s="250"/>
      <c r="TCF159" s="250"/>
      <c r="TCG159" s="250"/>
      <c r="TCH159" s="250"/>
      <c r="TCI159" s="250"/>
      <c r="TCJ159" s="250"/>
      <c r="TCK159" s="250"/>
      <c r="TCL159" s="250"/>
      <c r="TCM159" s="250"/>
      <c r="TCN159" s="250"/>
      <c r="TCO159" s="250"/>
      <c r="TCP159" s="250"/>
      <c r="TCQ159" s="250"/>
      <c r="TCR159" s="250"/>
      <c r="TCS159" s="250"/>
      <c r="TCT159" s="250"/>
      <c r="TCU159" s="250"/>
      <c r="TCV159" s="250"/>
      <c r="TCW159" s="250"/>
      <c r="TCX159" s="250"/>
      <c r="TCY159" s="250"/>
      <c r="TCZ159" s="250"/>
      <c r="TDA159" s="250"/>
      <c r="TDB159" s="250"/>
      <c r="TDC159" s="250"/>
      <c r="TDD159" s="250"/>
      <c r="TDE159" s="250"/>
      <c r="TDF159" s="250"/>
      <c r="TDG159" s="250"/>
      <c r="TDH159" s="250"/>
      <c r="TDI159" s="250"/>
      <c r="TDJ159" s="250"/>
      <c r="TDK159" s="250"/>
      <c r="TDL159" s="250"/>
      <c r="TDM159" s="250"/>
      <c r="TDN159" s="250"/>
      <c r="TDO159" s="250"/>
      <c r="TDP159" s="250"/>
      <c r="TDQ159" s="250"/>
      <c r="TDR159" s="250"/>
      <c r="TDS159" s="250"/>
      <c r="TDT159" s="250"/>
      <c r="TDU159" s="250"/>
      <c r="TDV159" s="250"/>
      <c r="TDW159" s="250"/>
      <c r="TDX159" s="250"/>
      <c r="TDY159" s="250"/>
      <c r="TDZ159" s="250"/>
      <c r="TEA159" s="250"/>
      <c r="TEB159" s="250"/>
      <c r="TEC159" s="250"/>
      <c r="TED159" s="250"/>
      <c r="TEE159" s="250"/>
      <c r="TEF159" s="250"/>
      <c r="TEG159" s="250"/>
      <c r="TEH159" s="250"/>
      <c r="TEI159" s="250"/>
      <c r="TEJ159" s="250"/>
      <c r="TEK159" s="250"/>
      <c r="TEL159" s="250"/>
      <c r="TEM159" s="250"/>
      <c r="TEN159" s="250"/>
      <c r="TEO159" s="250"/>
      <c r="TEP159" s="250"/>
      <c r="TEQ159" s="250"/>
      <c r="TER159" s="250"/>
      <c r="TES159" s="250"/>
      <c r="TET159" s="250"/>
      <c r="TEU159" s="250"/>
      <c r="TEV159" s="250"/>
      <c r="TEW159" s="250"/>
      <c r="TEX159" s="250"/>
      <c r="TEY159" s="250"/>
      <c r="TEZ159" s="250"/>
      <c r="TFA159" s="250"/>
      <c r="TFB159" s="250"/>
      <c r="TFC159" s="250"/>
      <c r="TFD159" s="250"/>
      <c r="TFE159" s="250"/>
      <c r="TFF159" s="250"/>
      <c r="TFG159" s="250"/>
      <c r="TFH159" s="250"/>
      <c r="TFI159" s="250"/>
      <c r="TFJ159" s="250"/>
      <c r="TFK159" s="250"/>
      <c r="TFL159" s="250"/>
      <c r="TFM159" s="250"/>
      <c r="TFN159" s="250"/>
      <c r="TFO159" s="250"/>
      <c r="TFP159" s="250"/>
      <c r="TFQ159" s="250"/>
      <c r="TFR159" s="250"/>
      <c r="TFS159" s="250"/>
      <c r="TFT159" s="250"/>
      <c r="TFU159" s="250"/>
      <c r="TFV159" s="250"/>
      <c r="TFW159" s="250"/>
      <c r="TFX159" s="250"/>
      <c r="TFY159" s="250"/>
      <c r="TFZ159" s="250"/>
      <c r="TGA159" s="250"/>
      <c r="TGB159" s="250"/>
      <c r="TGC159" s="250"/>
      <c r="TGD159" s="250"/>
      <c r="TGE159" s="250"/>
      <c r="TGF159" s="250"/>
      <c r="TGG159" s="250"/>
      <c r="TGH159" s="250"/>
      <c r="TGI159" s="250"/>
      <c r="TGJ159" s="250"/>
      <c r="TGK159" s="250"/>
      <c r="TGL159" s="250"/>
      <c r="TGM159" s="250"/>
      <c r="TGN159" s="250"/>
      <c r="TGO159" s="250"/>
      <c r="TGP159" s="250"/>
      <c r="TGQ159" s="250"/>
      <c r="TGR159" s="250"/>
      <c r="TGS159" s="250"/>
      <c r="TGT159" s="250"/>
      <c r="TGU159" s="250"/>
      <c r="TGV159" s="250"/>
      <c r="TGW159" s="250"/>
      <c r="TGX159" s="250"/>
      <c r="TGY159" s="250"/>
      <c r="TGZ159" s="250"/>
      <c r="THA159" s="250"/>
      <c r="THB159" s="250"/>
      <c r="THC159" s="250"/>
      <c r="THD159" s="250"/>
      <c r="THE159" s="250"/>
      <c r="THF159" s="250"/>
      <c r="THG159" s="250"/>
      <c r="THH159" s="250"/>
      <c r="THI159" s="250"/>
      <c r="THJ159" s="250"/>
      <c r="THK159" s="250"/>
      <c r="THL159" s="250"/>
      <c r="THM159" s="250"/>
      <c r="THN159" s="250"/>
      <c r="THO159" s="250"/>
      <c r="THP159" s="250"/>
      <c r="THQ159" s="250"/>
      <c r="THR159" s="250"/>
      <c r="THS159" s="250"/>
      <c r="THT159" s="250"/>
      <c r="THU159" s="250"/>
      <c r="THV159" s="250"/>
      <c r="THW159" s="250"/>
      <c r="THX159" s="250"/>
      <c r="THY159" s="250"/>
      <c r="THZ159" s="250"/>
      <c r="TIA159" s="250"/>
      <c r="TIB159" s="250"/>
      <c r="TIC159" s="250"/>
      <c r="TID159" s="250"/>
      <c r="TIE159" s="250"/>
      <c r="TIF159" s="250"/>
      <c r="TIG159" s="250"/>
      <c r="TIH159" s="250"/>
      <c r="TII159" s="250"/>
      <c r="TIJ159" s="250"/>
      <c r="TIK159" s="250"/>
      <c r="TIL159" s="250"/>
      <c r="TIM159" s="250"/>
      <c r="TIN159" s="250"/>
      <c r="TIO159" s="250"/>
      <c r="TIP159" s="250"/>
      <c r="TIQ159" s="250"/>
      <c r="TIR159" s="250"/>
      <c r="TIS159" s="250"/>
      <c r="TIT159" s="250"/>
      <c r="TIU159" s="250"/>
      <c r="TIV159" s="250"/>
      <c r="TIW159" s="250"/>
      <c r="TIX159" s="250"/>
      <c r="TIY159" s="250"/>
      <c r="TIZ159" s="250"/>
      <c r="TJA159" s="250"/>
      <c r="TJB159" s="250"/>
      <c r="TJC159" s="250"/>
      <c r="TJD159" s="250"/>
      <c r="TJE159" s="250"/>
      <c r="TJF159" s="250"/>
      <c r="TJG159" s="250"/>
      <c r="TJH159" s="250"/>
      <c r="TJI159" s="250"/>
      <c r="TJJ159" s="250"/>
      <c r="TJK159" s="250"/>
      <c r="TJL159" s="250"/>
      <c r="TJM159" s="250"/>
      <c r="TJN159" s="250"/>
      <c r="TJO159" s="250"/>
      <c r="TJP159" s="250"/>
      <c r="TJQ159" s="250"/>
      <c r="TJR159" s="250"/>
      <c r="TJS159" s="250"/>
      <c r="TJT159" s="250"/>
      <c r="TJU159" s="250"/>
      <c r="TJV159" s="250"/>
      <c r="TJW159" s="250"/>
      <c r="TJX159" s="250"/>
      <c r="TJY159" s="250"/>
      <c r="TJZ159" s="250"/>
      <c r="TKA159" s="250"/>
      <c r="TKB159" s="250"/>
      <c r="TKC159" s="250"/>
      <c r="TKD159" s="250"/>
      <c r="TKE159" s="250"/>
      <c r="TKF159" s="250"/>
      <c r="TKG159" s="250"/>
      <c r="TKH159" s="250"/>
      <c r="TKI159" s="250"/>
      <c r="TKJ159" s="250"/>
      <c r="TKK159" s="250"/>
      <c r="TKL159" s="250"/>
      <c r="TKM159" s="250"/>
      <c r="TKN159" s="250"/>
      <c r="TKO159" s="250"/>
      <c r="TKP159" s="250"/>
      <c r="TKQ159" s="250"/>
      <c r="TKR159" s="250"/>
      <c r="TKS159" s="250"/>
      <c r="TKT159" s="250"/>
      <c r="TKU159" s="250"/>
      <c r="TKV159" s="250"/>
      <c r="TKW159" s="250"/>
      <c r="TKX159" s="250"/>
      <c r="TKY159" s="250"/>
      <c r="TKZ159" s="250"/>
      <c r="TLA159" s="250"/>
      <c r="TLB159" s="250"/>
      <c r="TLC159" s="250"/>
      <c r="TLD159" s="250"/>
      <c r="TLE159" s="250"/>
      <c r="TLF159" s="250"/>
      <c r="TLG159" s="250"/>
      <c r="TLH159" s="250"/>
      <c r="TLI159" s="250"/>
      <c r="TLJ159" s="250"/>
      <c r="TLK159" s="250"/>
      <c r="TLL159" s="250"/>
      <c r="TLM159" s="250"/>
      <c r="TLN159" s="250"/>
      <c r="TLO159" s="250"/>
      <c r="TLP159" s="250"/>
      <c r="TLQ159" s="250"/>
      <c r="TLR159" s="250"/>
      <c r="TLS159" s="250"/>
      <c r="TLT159" s="250"/>
      <c r="TLU159" s="250"/>
      <c r="TLV159" s="250"/>
      <c r="TLW159" s="250"/>
      <c r="TLX159" s="250"/>
      <c r="TLY159" s="250"/>
      <c r="TLZ159" s="250"/>
      <c r="TMA159" s="250"/>
      <c r="TMB159" s="250"/>
      <c r="TMC159" s="250"/>
      <c r="TMD159" s="250"/>
      <c r="TME159" s="250"/>
      <c r="TMF159" s="250"/>
      <c r="TMG159" s="250"/>
      <c r="TMH159" s="250"/>
      <c r="TMI159" s="250"/>
      <c r="TMJ159" s="250"/>
      <c r="TMK159" s="250"/>
      <c r="TML159" s="250"/>
      <c r="TMM159" s="250"/>
      <c r="TMN159" s="250"/>
      <c r="TMO159" s="250"/>
      <c r="TMP159" s="250"/>
      <c r="TMQ159" s="250"/>
      <c r="TMR159" s="250"/>
      <c r="TMS159" s="250"/>
      <c r="TMT159" s="250"/>
      <c r="TMU159" s="250"/>
      <c r="TMV159" s="250"/>
      <c r="TMW159" s="250"/>
      <c r="TMX159" s="250"/>
      <c r="TMY159" s="250"/>
      <c r="TMZ159" s="250"/>
      <c r="TNA159" s="250"/>
      <c r="TNB159" s="250"/>
      <c r="TNC159" s="250"/>
      <c r="TND159" s="250"/>
      <c r="TNE159" s="250"/>
      <c r="TNF159" s="250"/>
      <c r="TNG159" s="250"/>
      <c r="TNH159" s="250"/>
      <c r="TNI159" s="250"/>
      <c r="TNJ159" s="250"/>
      <c r="TNK159" s="250"/>
      <c r="TNL159" s="250"/>
      <c r="TNM159" s="250"/>
      <c r="TNN159" s="250"/>
      <c r="TNO159" s="250"/>
      <c r="TNP159" s="250"/>
      <c r="TNQ159" s="250"/>
      <c r="TNR159" s="250"/>
      <c r="TNS159" s="250"/>
      <c r="TNT159" s="250"/>
      <c r="TNU159" s="250"/>
      <c r="TNV159" s="250"/>
      <c r="TNW159" s="250"/>
      <c r="TNX159" s="250"/>
      <c r="TNY159" s="250"/>
      <c r="TNZ159" s="250"/>
      <c r="TOA159" s="250"/>
      <c r="TOB159" s="250"/>
      <c r="TOC159" s="250"/>
      <c r="TOD159" s="250"/>
      <c r="TOE159" s="250"/>
      <c r="TOF159" s="250"/>
      <c r="TOG159" s="250"/>
      <c r="TOH159" s="250"/>
      <c r="TOI159" s="250"/>
      <c r="TOJ159" s="250"/>
      <c r="TOK159" s="250"/>
      <c r="TOL159" s="250"/>
      <c r="TOM159" s="250"/>
      <c r="TON159" s="250"/>
      <c r="TOO159" s="250"/>
      <c r="TOP159" s="250"/>
      <c r="TOQ159" s="250"/>
      <c r="TOR159" s="250"/>
      <c r="TOS159" s="250"/>
      <c r="TOT159" s="250"/>
      <c r="TOU159" s="250"/>
      <c r="TOV159" s="250"/>
      <c r="TOW159" s="250"/>
      <c r="TOX159" s="250"/>
      <c r="TOY159" s="250"/>
      <c r="TOZ159" s="250"/>
      <c r="TPA159" s="250"/>
      <c r="TPB159" s="250"/>
      <c r="TPC159" s="250"/>
      <c r="TPD159" s="250"/>
      <c r="TPE159" s="250"/>
      <c r="TPF159" s="250"/>
      <c r="TPG159" s="250"/>
      <c r="TPH159" s="250"/>
      <c r="TPI159" s="250"/>
      <c r="TPJ159" s="250"/>
      <c r="TPK159" s="250"/>
      <c r="TPL159" s="250"/>
      <c r="TPM159" s="250"/>
      <c r="TPN159" s="250"/>
      <c r="TPO159" s="250"/>
      <c r="TPP159" s="250"/>
      <c r="TPQ159" s="250"/>
      <c r="TPR159" s="250"/>
      <c r="TPS159" s="250"/>
      <c r="TPT159" s="250"/>
      <c r="TPU159" s="250"/>
      <c r="TPV159" s="250"/>
      <c r="TPW159" s="250"/>
      <c r="TPX159" s="250"/>
      <c r="TPY159" s="250"/>
      <c r="TPZ159" s="250"/>
      <c r="TQA159" s="250"/>
      <c r="TQB159" s="250"/>
      <c r="TQC159" s="250"/>
      <c r="TQD159" s="250"/>
      <c r="TQE159" s="250"/>
      <c r="TQF159" s="250"/>
      <c r="TQG159" s="250"/>
      <c r="TQH159" s="250"/>
      <c r="TQI159" s="250"/>
      <c r="TQJ159" s="250"/>
      <c r="TQK159" s="250"/>
      <c r="TQL159" s="250"/>
      <c r="TQM159" s="250"/>
      <c r="TQN159" s="250"/>
      <c r="TQO159" s="250"/>
      <c r="TQP159" s="250"/>
      <c r="TQQ159" s="250"/>
      <c r="TQR159" s="250"/>
      <c r="TQS159" s="250"/>
      <c r="TQT159" s="250"/>
      <c r="TQU159" s="250"/>
      <c r="TQV159" s="250"/>
      <c r="TQW159" s="250"/>
      <c r="TQX159" s="250"/>
      <c r="TQY159" s="250"/>
      <c r="TQZ159" s="250"/>
      <c r="TRA159" s="250"/>
      <c r="TRB159" s="250"/>
      <c r="TRC159" s="250"/>
      <c r="TRD159" s="250"/>
      <c r="TRE159" s="250"/>
      <c r="TRF159" s="250"/>
      <c r="TRG159" s="250"/>
      <c r="TRH159" s="250"/>
      <c r="TRI159" s="250"/>
      <c r="TRJ159" s="250"/>
      <c r="TRK159" s="250"/>
      <c r="TRL159" s="250"/>
      <c r="TRM159" s="250"/>
      <c r="TRN159" s="250"/>
      <c r="TRO159" s="250"/>
      <c r="TRP159" s="250"/>
      <c r="TRQ159" s="250"/>
      <c r="TRR159" s="250"/>
      <c r="TRS159" s="250"/>
      <c r="TRT159" s="250"/>
      <c r="TRU159" s="250"/>
      <c r="TRV159" s="250"/>
      <c r="TRW159" s="250"/>
      <c r="TRX159" s="250"/>
      <c r="TRY159" s="250"/>
      <c r="TRZ159" s="250"/>
      <c r="TSA159" s="250"/>
      <c r="TSB159" s="250"/>
      <c r="TSC159" s="250"/>
      <c r="TSD159" s="250"/>
      <c r="TSE159" s="250"/>
      <c r="TSF159" s="250"/>
      <c r="TSG159" s="250"/>
      <c r="TSH159" s="250"/>
      <c r="TSI159" s="250"/>
      <c r="TSJ159" s="250"/>
      <c r="TSK159" s="250"/>
      <c r="TSL159" s="250"/>
      <c r="TSM159" s="250"/>
      <c r="TSN159" s="250"/>
      <c r="TSO159" s="250"/>
      <c r="TSP159" s="250"/>
      <c r="TSQ159" s="250"/>
      <c r="TSR159" s="250"/>
      <c r="TSS159" s="250"/>
      <c r="TST159" s="250"/>
      <c r="TSU159" s="250"/>
      <c r="TSV159" s="250"/>
      <c r="TSW159" s="250"/>
      <c r="TSX159" s="250"/>
      <c r="TSY159" s="250"/>
      <c r="TSZ159" s="250"/>
      <c r="TTA159" s="250"/>
      <c r="TTB159" s="250"/>
      <c r="TTC159" s="250"/>
      <c r="TTD159" s="250"/>
      <c r="TTE159" s="250"/>
      <c r="TTF159" s="250"/>
      <c r="TTG159" s="250"/>
      <c r="TTH159" s="250"/>
      <c r="TTI159" s="250"/>
      <c r="TTJ159" s="250"/>
      <c r="TTK159" s="250"/>
      <c r="TTL159" s="250"/>
      <c r="TTM159" s="250"/>
      <c r="TTN159" s="250"/>
      <c r="TTO159" s="250"/>
      <c r="TTP159" s="250"/>
      <c r="TTQ159" s="250"/>
      <c r="TTR159" s="250"/>
      <c r="TTS159" s="250"/>
      <c r="TTT159" s="250"/>
      <c r="TTU159" s="250"/>
      <c r="TTV159" s="250"/>
      <c r="TTW159" s="250"/>
      <c r="TTX159" s="250"/>
      <c r="TTY159" s="250"/>
      <c r="TTZ159" s="250"/>
      <c r="TUA159" s="250"/>
      <c r="TUB159" s="250"/>
      <c r="TUC159" s="250"/>
      <c r="TUD159" s="250"/>
      <c r="TUE159" s="250"/>
      <c r="TUF159" s="250"/>
      <c r="TUG159" s="250"/>
      <c r="TUH159" s="250"/>
      <c r="TUI159" s="250"/>
      <c r="TUJ159" s="250"/>
      <c r="TUK159" s="250"/>
      <c r="TUL159" s="250"/>
      <c r="TUM159" s="250"/>
      <c r="TUN159" s="250"/>
      <c r="TUO159" s="250"/>
      <c r="TUP159" s="250"/>
      <c r="TUQ159" s="250"/>
      <c r="TUR159" s="250"/>
      <c r="TUS159" s="250"/>
      <c r="TUT159" s="250"/>
      <c r="TUU159" s="250"/>
      <c r="TUV159" s="250"/>
      <c r="TUW159" s="250"/>
      <c r="TUX159" s="250"/>
      <c r="TUY159" s="250"/>
      <c r="TUZ159" s="250"/>
      <c r="TVA159" s="250"/>
      <c r="TVB159" s="250"/>
      <c r="TVC159" s="250"/>
      <c r="TVD159" s="250"/>
      <c r="TVE159" s="250"/>
      <c r="TVF159" s="250"/>
      <c r="TVG159" s="250"/>
      <c r="TVH159" s="250"/>
      <c r="TVI159" s="250"/>
      <c r="TVJ159" s="250"/>
      <c r="TVK159" s="250"/>
      <c r="TVL159" s="250"/>
      <c r="TVM159" s="250"/>
      <c r="TVN159" s="250"/>
      <c r="TVO159" s="250"/>
      <c r="TVP159" s="250"/>
      <c r="TVQ159" s="250"/>
      <c r="TVR159" s="250"/>
      <c r="TVS159" s="250"/>
      <c r="TVT159" s="250"/>
      <c r="TVU159" s="250"/>
      <c r="TVV159" s="250"/>
      <c r="TVW159" s="250"/>
      <c r="TVX159" s="250"/>
      <c r="TVY159" s="250"/>
      <c r="TVZ159" s="250"/>
      <c r="TWA159" s="250"/>
      <c r="TWB159" s="250"/>
      <c r="TWC159" s="250"/>
      <c r="TWD159" s="250"/>
      <c r="TWE159" s="250"/>
      <c r="TWF159" s="250"/>
      <c r="TWG159" s="250"/>
      <c r="TWH159" s="250"/>
      <c r="TWI159" s="250"/>
      <c r="TWJ159" s="250"/>
      <c r="TWK159" s="250"/>
      <c r="TWL159" s="250"/>
      <c r="TWM159" s="250"/>
      <c r="TWN159" s="250"/>
      <c r="TWO159" s="250"/>
      <c r="TWP159" s="250"/>
      <c r="TWQ159" s="250"/>
      <c r="TWR159" s="250"/>
      <c r="TWS159" s="250"/>
      <c r="TWT159" s="250"/>
      <c r="TWU159" s="250"/>
      <c r="TWV159" s="250"/>
      <c r="TWW159" s="250"/>
      <c r="TWX159" s="250"/>
      <c r="TWY159" s="250"/>
      <c r="TWZ159" s="250"/>
      <c r="TXA159" s="250"/>
      <c r="TXB159" s="250"/>
      <c r="TXC159" s="250"/>
      <c r="TXD159" s="250"/>
      <c r="TXE159" s="250"/>
      <c r="TXF159" s="250"/>
      <c r="TXG159" s="250"/>
      <c r="TXH159" s="250"/>
      <c r="TXI159" s="250"/>
      <c r="TXJ159" s="250"/>
      <c r="TXK159" s="250"/>
      <c r="TXL159" s="250"/>
      <c r="TXM159" s="250"/>
      <c r="TXN159" s="250"/>
      <c r="TXO159" s="250"/>
      <c r="TXP159" s="250"/>
      <c r="TXQ159" s="250"/>
      <c r="TXR159" s="250"/>
      <c r="TXS159" s="250"/>
      <c r="TXT159" s="250"/>
      <c r="TXU159" s="250"/>
      <c r="TXV159" s="250"/>
      <c r="TXW159" s="250"/>
      <c r="TXX159" s="250"/>
      <c r="TXY159" s="250"/>
      <c r="TXZ159" s="250"/>
      <c r="TYA159" s="250"/>
      <c r="TYB159" s="250"/>
      <c r="TYC159" s="250"/>
      <c r="TYD159" s="250"/>
      <c r="TYE159" s="250"/>
      <c r="TYF159" s="250"/>
      <c r="TYG159" s="250"/>
      <c r="TYH159" s="250"/>
      <c r="TYI159" s="250"/>
      <c r="TYJ159" s="250"/>
      <c r="TYK159" s="250"/>
      <c r="TYL159" s="250"/>
      <c r="TYM159" s="250"/>
      <c r="TYN159" s="250"/>
      <c r="TYO159" s="250"/>
      <c r="TYP159" s="250"/>
      <c r="TYQ159" s="250"/>
      <c r="TYR159" s="250"/>
      <c r="TYS159" s="250"/>
      <c r="TYT159" s="250"/>
      <c r="TYU159" s="250"/>
      <c r="TYV159" s="250"/>
      <c r="TYW159" s="250"/>
      <c r="TYX159" s="250"/>
      <c r="TYY159" s="250"/>
      <c r="TYZ159" s="250"/>
      <c r="TZA159" s="250"/>
      <c r="TZB159" s="250"/>
      <c r="TZC159" s="250"/>
      <c r="TZD159" s="250"/>
      <c r="TZE159" s="250"/>
      <c r="TZF159" s="250"/>
      <c r="TZG159" s="250"/>
      <c r="TZH159" s="250"/>
      <c r="TZI159" s="250"/>
      <c r="TZJ159" s="250"/>
      <c r="TZK159" s="250"/>
      <c r="TZL159" s="250"/>
      <c r="TZM159" s="250"/>
      <c r="TZN159" s="250"/>
      <c r="TZO159" s="250"/>
      <c r="TZP159" s="250"/>
      <c r="TZQ159" s="250"/>
      <c r="TZR159" s="250"/>
      <c r="TZS159" s="250"/>
      <c r="TZT159" s="250"/>
      <c r="TZU159" s="250"/>
      <c r="TZV159" s="250"/>
      <c r="TZW159" s="250"/>
      <c r="TZX159" s="250"/>
      <c r="TZY159" s="250"/>
      <c r="TZZ159" s="250"/>
      <c r="UAA159" s="250"/>
      <c r="UAB159" s="250"/>
      <c r="UAC159" s="250"/>
      <c r="UAD159" s="250"/>
      <c r="UAE159" s="250"/>
      <c r="UAF159" s="250"/>
      <c r="UAG159" s="250"/>
      <c r="UAH159" s="250"/>
      <c r="UAI159" s="250"/>
      <c r="UAJ159" s="250"/>
      <c r="UAK159" s="250"/>
      <c r="UAL159" s="250"/>
      <c r="UAM159" s="250"/>
      <c r="UAN159" s="250"/>
      <c r="UAO159" s="250"/>
      <c r="UAP159" s="250"/>
      <c r="UAQ159" s="250"/>
      <c r="UAR159" s="250"/>
      <c r="UAS159" s="250"/>
      <c r="UAT159" s="250"/>
      <c r="UAU159" s="250"/>
      <c r="UAV159" s="250"/>
      <c r="UAW159" s="250"/>
      <c r="UAX159" s="250"/>
      <c r="UAY159" s="250"/>
      <c r="UAZ159" s="250"/>
      <c r="UBA159" s="250"/>
      <c r="UBB159" s="250"/>
      <c r="UBC159" s="250"/>
      <c r="UBD159" s="250"/>
      <c r="UBE159" s="250"/>
      <c r="UBF159" s="250"/>
      <c r="UBG159" s="250"/>
      <c r="UBH159" s="250"/>
      <c r="UBI159" s="250"/>
      <c r="UBJ159" s="250"/>
      <c r="UBK159" s="250"/>
      <c r="UBL159" s="250"/>
      <c r="UBM159" s="250"/>
      <c r="UBN159" s="250"/>
      <c r="UBO159" s="250"/>
      <c r="UBP159" s="250"/>
      <c r="UBQ159" s="250"/>
      <c r="UBR159" s="250"/>
      <c r="UBS159" s="250"/>
      <c r="UBT159" s="250"/>
      <c r="UBU159" s="250"/>
      <c r="UBV159" s="250"/>
      <c r="UBW159" s="250"/>
      <c r="UBX159" s="250"/>
      <c r="UBY159" s="250"/>
      <c r="UBZ159" s="250"/>
      <c r="UCA159" s="250"/>
      <c r="UCB159" s="250"/>
      <c r="UCC159" s="250"/>
      <c r="UCD159" s="250"/>
      <c r="UCE159" s="250"/>
      <c r="UCF159" s="250"/>
      <c r="UCG159" s="250"/>
      <c r="UCH159" s="250"/>
      <c r="UCI159" s="250"/>
      <c r="UCJ159" s="250"/>
      <c r="UCK159" s="250"/>
      <c r="UCL159" s="250"/>
      <c r="UCM159" s="250"/>
      <c r="UCN159" s="250"/>
      <c r="UCO159" s="250"/>
      <c r="UCP159" s="250"/>
      <c r="UCQ159" s="250"/>
      <c r="UCR159" s="250"/>
      <c r="UCS159" s="250"/>
      <c r="UCT159" s="250"/>
      <c r="UCU159" s="250"/>
      <c r="UCV159" s="250"/>
      <c r="UCW159" s="250"/>
      <c r="UCX159" s="250"/>
      <c r="UCY159" s="250"/>
      <c r="UCZ159" s="250"/>
      <c r="UDA159" s="250"/>
      <c r="UDB159" s="250"/>
      <c r="UDC159" s="250"/>
      <c r="UDD159" s="250"/>
      <c r="UDE159" s="250"/>
      <c r="UDF159" s="250"/>
      <c r="UDG159" s="250"/>
      <c r="UDH159" s="250"/>
      <c r="UDI159" s="250"/>
      <c r="UDJ159" s="250"/>
      <c r="UDK159" s="250"/>
      <c r="UDL159" s="250"/>
      <c r="UDM159" s="250"/>
      <c r="UDN159" s="250"/>
      <c r="UDO159" s="250"/>
      <c r="UDP159" s="250"/>
      <c r="UDQ159" s="250"/>
      <c r="UDR159" s="250"/>
      <c r="UDS159" s="250"/>
      <c r="UDT159" s="250"/>
      <c r="UDU159" s="250"/>
      <c r="UDV159" s="250"/>
      <c r="UDW159" s="250"/>
      <c r="UDX159" s="250"/>
      <c r="UDY159" s="250"/>
      <c r="UDZ159" s="250"/>
      <c r="UEA159" s="250"/>
      <c r="UEB159" s="250"/>
      <c r="UEC159" s="250"/>
      <c r="UED159" s="250"/>
      <c r="UEE159" s="250"/>
      <c r="UEF159" s="250"/>
      <c r="UEG159" s="250"/>
      <c r="UEH159" s="250"/>
      <c r="UEI159" s="250"/>
      <c r="UEJ159" s="250"/>
      <c r="UEK159" s="250"/>
      <c r="UEL159" s="250"/>
      <c r="UEM159" s="250"/>
      <c r="UEN159" s="250"/>
      <c r="UEO159" s="250"/>
      <c r="UEP159" s="250"/>
      <c r="UEQ159" s="250"/>
      <c r="UER159" s="250"/>
      <c r="UES159" s="250"/>
      <c r="UET159" s="250"/>
      <c r="UEU159" s="250"/>
      <c r="UEV159" s="250"/>
      <c r="UEW159" s="250"/>
      <c r="UEX159" s="250"/>
      <c r="UEY159" s="250"/>
      <c r="UEZ159" s="250"/>
      <c r="UFA159" s="250"/>
      <c r="UFB159" s="250"/>
      <c r="UFC159" s="250"/>
      <c r="UFD159" s="250"/>
      <c r="UFE159" s="250"/>
      <c r="UFF159" s="250"/>
      <c r="UFG159" s="250"/>
      <c r="UFH159" s="250"/>
      <c r="UFI159" s="250"/>
      <c r="UFJ159" s="250"/>
      <c r="UFK159" s="250"/>
      <c r="UFL159" s="250"/>
      <c r="UFM159" s="250"/>
      <c r="UFN159" s="250"/>
      <c r="UFO159" s="250"/>
      <c r="UFP159" s="250"/>
      <c r="UFQ159" s="250"/>
      <c r="UFR159" s="250"/>
      <c r="UFS159" s="250"/>
      <c r="UFT159" s="250"/>
      <c r="UFU159" s="250"/>
      <c r="UFV159" s="250"/>
      <c r="UFW159" s="250"/>
      <c r="UFX159" s="250"/>
      <c r="UFY159" s="250"/>
      <c r="UFZ159" s="250"/>
      <c r="UGA159" s="250"/>
      <c r="UGB159" s="250"/>
      <c r="UGC159" s="250"/>
      <c r="UGD159" s="250"/>
      <c r="UGE159" s="250"/>
      <c r="UGF159" s="250"/>
      <c r="UGG159" s="250"/>
      <c r="UGH159" s="250"/>
      <c r="UGI159" s="250"/>
      <c r="UGJ159" s="250"/>
      <c r="UGK159" s="250"/>
      <c r="UGL159" s="250"/>
      <c r="UGM159" s="250"/>
      <c r="UGN159" s="250"/>
      <c r="UGO159" s="250"/>
      <c r="UGP159" s="250"/>
      <c r="UGQ159" s="250"/>
      <c r="UGR159" s="250"/>
      <c r="UGS159" s="250"/>
      <c r="UGT159" s="250"/>
      <c r="UGU159" s="250"/>
      <c r="UGV159" s="250"/>
      <c r="UGW159" s="250"/>
      <c r="UGX159" s="250"/>
      <c r="UGY159" s="250"/>
      <c r="UGZ159" s="250"/>
      <c r="UHA159" s="250"/>
      <c r="UHB159" s="250"/>
      <c r="UHC159" s="250"/>
      <c r="UHD159" s="250"/>
      <c r="UHE159" s="250"/>
      <c r="UHF159" s="250"/>
      <c r="UHG159" s="250"/>
      <c r="UHH159" s="250"/>
      <c r="UHI159" s="250"/>
      <c r="UHJ159" s="250"/>
      <c r="UHK159" s="250"/>
      <c r="UHL159" s="250"/>
      <c r="UHM159" s="250"/>
      <c r="UHN159" s="250"/>
      <c r="UHO159" s="250"/>
      <c r="UHP159" s="250"/>
      <c r="UHQ159" s="250"/>
      <c r="UHR159" s="250"/>
      <c r="UHS159" s="250"/>
      <c r="UHT159" s="250"/>
      <c r="UHU159" s="250"/>
      <c r="UHV159" s="250"/>
      <c r="UHW159" s="250"/>
      <c r="UHX159" s="250"/>
      <c r="UHY159" s="250"/>
      <c r="UHZ159" s="250"/>
      <c r="UIA159" s="250"/>
      <c r="UIB159" s="250"/>
      <c r="UIC159" s="250"/>
      <c r="UID159" s="250"/>
      <c r="UIE159" s="250"/>
      <c r="UIF159" s="250"/>
      <c r="UIG159" s="250"/>
      <c r="UIH159" s="250"/>
      <c r="UII159" s="250"/>
      <c r="UIJ159" s="250"/>
      <c r="UIK159" s="250"/>
      <c r="UIL159" s="250"/>
      <c r="UIM159" s="250"/>
      <c r="UIN159" s="250"/>
      <c r="UIO159" s="250"/>
      <c r="UIP159" s="250"/>
      <c r="UIQ159" s="250"/>
      <c r="UIR159" s="250"/>
      <c r="UIS159" s="250"/>
      <c r="UIT159" s="250"/>
      <c r="UIU159" s="250"/>
      <c r="UIV159" s="250"/>
      <c r="UIW159" s="250"/>
      <c r="UIX159" s="250"/>
      <c r="UIY159" s="250"/>
      <c r="UIZ159" s="250"/>
      <c r="UJA159" s="250"/>
      <c r="UJB159" s="250"/>
      <c r="UJC159" s="250"/>
      <c r="UJD159" s="250"/>
      <c r="UJE159" s="250"/>
      <c r="UJF159" s="250"/>
      <c r="UJG159" s="250"/>
      <c r="UJH159" s="250"/>
      <c r="UJI159" s="250"/>
      <c r="UJJ159" s="250"/>
      <c r="UJK159" s="250"/>
      <c r="UJL159" s="250"/>
      <c r="UJM159" s="250"/>
      <c r="UJN159" s="250"/>
      <c r="UJO159" s="250"/>
      <c r="UJP159" s="250"/>
      <c r="UJQ159" s="250"/>
      <c r="UJR159" s="250"/>
      <c r="UJS159" s="250"/>
      <c r="UJT159" s="250"/>
      <c r="UJU159" s="250"/>
      <c r="UJV159" s="250"/>
      <c r="UJW159" s="250"/>
      <c r="UJX159" s="250"/>
      <c r="UJY159" s="250"/>
      <c r="UJZ159" s="250"/>
      <c r="UKA159" s="250"/>
      <c r="UKB159" s="250"/>
      <c r="UKC159" s="250"/>
      <c r="UKD159" s="250"/>
      <c r="UKE159" s="250"/>
      <c r="UKF159" s="250"/>
      <c r="UKG159" s="250"/>
      <c r="UKH159" s="250"/>
      <c r="UKI159" s="250"/>
      <c r="UKJ159" s="250"/>
      <c r="UKK159" s="250"/>
      <c r="UKL159" s="250"/>
      <c r="UKM159" s="250"/>
      <c r="UKN159" s="250"/>
      <c r="UKO159" s="250"/>
      <c r="UKP159" s="250"/>
      <c r="UKQ159" s="250"/>
      <c r="UKR159" s="250"/>
      <c r="UKS159" s="250"/>
      <c r="UKT159" s="250"/>
      <c r="UKU159" s="250"/>
      <c r="UKV159" s="250"/>
      <c r="UKW159" s="250"/>
      <c r="UKX159" s="250"/>
      <c r="UKY159" s="250"/>
      <c r="UKZ159" s="250"/>
      <c r="ULA159" s="250"/>
      <c r="ULB159" s="250"/>
      <c r="ULC159" s="250"/>
      <c r="ULD159" s="250"/>
      <c r="ULE159" s="250"/>
      <c r="ULF159" s="250"/>
      <c r="ULG159" s="250"/>
      <c r="ULH159" s="250"/>
      <c r="ULI159" s="250"/>
      <c r="ULJ159" s="250"/>
      <c r="ULK159" s="250"/>
      <c r="ULL159" s="250"/>
      <c r="ULM159" s="250"/>
      <c r="ULN159" s="250"/>
      <c r="ULO159" s="250"/>
      <c r="ULP159" s="250"/>
      <c r="ULQ159" s="250"/>
      <c r="ULR159" s="250"/>
      <c r="ULS159" s="250"/>
      <c r="ULT159" s="250"/>
      <c r="ULU159" s="250"/>
      <c r="ULV159" s="250"/>
      <c r="ULW159" s="250"/>
      <c r="ULX159" s="250"/>
      <c r="ULY159" s="250"/>
      <c r="ULZ159" s="250"/>
      <c r="UMA159" s="250"/>
      <c r="UMB159" s="250"/>
      <c r="UMC159" s="250"/>
      <c r="UMD159" s="250"/>
      <c r="UME159" s="250"/>
      <c r="UMF159" s="250"/>
      <c r="UMG159" s="250"/>
      <c r="UMH159" s="250"/>
      <c r="UMI159" s="250"/>
      <c r="UMJ159" s="250"/>
      <c r="UMK159" s="250"/>
      <c r="UML159" s="250"/>
      <c r="UMM159" s="250"/>
      <c r="UMN159" s="250"/>
      <c r="UMO159" s="250"/>
      <c r="UMP159" s="250"/>
      <c r="UMQ159" s="250"/>
      <c r="UMR159" s="250"/>
      <c r="UMS159" s="250"/>
      <c r="UMT159" s="250"/>
      <c r="UMU159" s="250"/>
      <c r="UMV159" s="250"/>
      <c r="UMW159" s="250"/>
      <c r="UMX159" s="250"/>
      <c r="UMY159" s="250"/>
      <c r="UMZ159" s="250"/>
      <c r="UNA159" s="250"/>
      <c r="UNB159" s="250"/>
      <c r="UNC159" s="250"/>
      <c r="UND159" s="250"/>
      <c r="UNE159" s="250"/>
      <c r="UNF159" s="250"/>
      <c r="UNG159" s="250"/>
      <c r="UNH159" s="250"/>
      <c r="UNI159" s="250"/>
      <c r="UNJ159" s="250"/>
      <c r="UNK159" s="250"/>
      <c r="UNL159" s="250"/>
      <c r="UNM159" s="250"/>
      <c r="UNN159" s="250"/>
      <c r="UNO159" s="250"/>
      <c r="UNP159" s="250"/>
      <c r="UNQ159" s="250"/>
      <c r="UNR159" s="250"/>
      <c r="UNS159" s="250"/>
      <c r="UNT159" s="250"/>
      <c r="UNU159" s="250"/>
      <c r="UNV159" s="250"/>
      <c r="UNW159" s="250"/>
      <c r="UNX159" s="250"/>
      <c r="UNY159" s="250"/>
      <c r="UNZ159" s="250"/>
      <c r="UOA159" s="250"/>
      <c r="UOB159" s="250"/>
      <c r="UOC159" s="250"/>
      <c r="UOD159" s="250"/>
      <c r="UOE159" s="250"/>
      <c r="UOF159" s="250"/>
      <c r="UOG159" s="250"/>
      <c r="UOH159" s="250"/>
      <c r="UOI159" s="250"/>
      <c r="UOJ159" s="250"/>
      <c r="UOK159" s="250"/>
      <c r="UOL159" s="250"/>
      <c r="UOM159" s="250"/>
      <c r="UON159" s="250"/>
      <c r="UOO159" s="250"/>
      <c r="UOP159" s="250"/>
      <c r="UOQ159" s="250"/>
      <c r="UOR159" s="250"/>
      <c r="UOS159" s="250"/>
      <c r="UOT159" s="250"/>
      <c r="UOU159" s="250"/>
      <c r="UOV159" s="250"/>
      <c r="UOW159" s="250"/>
      <c r="UOX159" s="250"/>
      <c r="UOY159" s="250"/>
      <c r="UOZ159" s="250"/>
      <c r="UPA159" s="250"/>
      <c r="UPB159" s="250"/>
      <c r="UPC159" s="250"/>
      <c r="UPD159" s="250"/>
      <c r="UPE159" s="250"/>
      <c r="UPF159" s="250"/>
      <c r="UPG159" s="250"/>
      <c r="UPH159" s="250"/>
      <c r="UPI159" s="250"/>
      <c r="UPJ159" s="250"/>
      <c r="UPK159" s="250"/>
      <c r="UPL159" s="250"/>
      <c r="UPM159" s="250"/>
      <c r="UPN159" s="250"/>
      <c r="UPO159" s="250"/>
      <c r="UPP159" s="250"/>
      <c r="UPQ159" s="250"/>
      <c r="UPR159" s="250"/>
      <c r="UPS159" s="250"/>
      <c r="UPT159" s="250"/>
      <c r="UPU159" s="250"/>
      <c r="UPV159" s="250"/>
      <c r="UPW159" s="250"/>
      <c r="UPX159" s="250"/>
      <c r="UPY159" s="250"/>
      <c r="UPZ159" s="250"/>
      <c r="UQA159" s="250"/>
      <c r="UQB159" s="250"/>
      <c r="UQC159" s="250"/>
      <c r="UQD159" s="250"/>
      <c r="UQE159" s="250"/>
      <c r="UQF159" s="250"/>
      <c r="UQG159" s="250"/>
      <c r="UQH159" s="250"/>
      <c r="UQI159" s="250"/>
      <c r="UQJ159" s="250"/>
      <c r="UQK159" s="250"/>
      <c r="UQL159" s="250"/>
      <c r="UQM159" s="250"/>
      <c r="UQN159" s="250"/>
      <c r="UQO159" s="250"/>
      <c r="UQP159" s="250"/>
      <c r="UQQ159" s="250"/>
      <c r="UQR159" s="250"/>
      <c r="UQS159" s="250"/>
      <c r="UQT159" s="250"/>
      <c r="UQU159" s="250"/>
      <c r="UQV159" s="250"/>
      <c r="UQW159" s="250"/>
      <c r="UQX159" s="250"/>
      <c r="UQY159" s="250"/>
      <c r="UQZ159" s="250"/>
      <c r="URA159" s="250"/>
      <c r="URB159" s="250"/>
      <c r="URC159" s="250"/>
      <c r="URD159" s="250"/>
      <c r="URE159" s="250"/>
      <c r="URF159" s="250"/>
      <c r="URG159" s="250"/>
      <c r="URH159" s="250"/>
      <c r="URI159" s="250"/>
      <c r="URJ159" s="250"/>
      <c r="URK159" s="250"/>
      <c r="URL159" s="250"/>
      <c r="URM159" s="250"/>
      <c r="URN159" s="250"/>
      <c r="URO159" s="250"/>
      <c r="URP159" s="250"/>
      <c r="URQ159" s="250"/>
      <c r="URR159" s="250"/>
      <c r="URS159" s="250"/>
      <c r="URT159" s="250"/>
      <c r="URU159" s="250"/>
      <c r="URV159" s="250"/>
      <c r="URW159" s="250"/>
      <c r="URX159" s="250"/>
      <c r="URY159" s="250"/>
      <c r="URZ159" s="250"/>
      <c r="USA159" s="250"/>
      <c r="USB159" s="250"/>
      <c r="USC159" s="250"/>
      <c r="USD159" s="250"/>
      <c r="USE159" s="250"/>
      <c r="USF159" s="250"/>
      <c r="USG159" s="250"/>
      <c r="USH159" s="250"/>
      <c r="USI159" s="250"/>
      <c r="USJ159" s="250"/>
      <c r="USK159" s="250"/>
      <c r="USL159" s="250"/>
      <c r="USM159" s="250"/>
      <c r="USN159" s="250"/>
      <c r="USO159" s="250"/>
      <c r="USP159" s="250"/>
      <c r="USQ159" s="250"/>
      <c r="USR159" s="250"/>
      <c r="USS159" s="250"/>
      <c r="UST159" s="250"/>
      <c r="USU159" s="250"/>
      <c r="USV159" s="250"/>
      <c r="USW159" s="250"/>
      <c r="USX159" s="250"/>
      <c r="USY159" s="250"/>
      <c r="USZ159" s="250"/>
      <c r="UTA159" s="250"/>
      <c r="UTB159" s="250"/>
      <c r="UTC159" s="250"/>
      <c r="UTD159" s="250"/>
      <c r="UTE159" s="250"/>
      <c r="UTF159" s="250"/>
      <c r="UTG159" s="250"/>
      <c r="UTH159" s="250"/>
      <c r="UTI159" s="250"/>
      <c r="UTJ159" s="250"/>
      <c r="UTK159" s="250"/>
      <c r="UTL159" s="250"/>
      <c r="UTM159" s="250"/>
      <c r="UTN159" s="250"/>
      <c r="UTO159" s="250"/>
      <c r="UTP159" s="250"/>
      <c r="UTQ159" s="250"/>
      <c r="UTR159" s="250"/>
      <c r="UTS159" s="250"/>
      <c r="UTT159" s="250"/>
      <c r="UTU159" s="250"/>
      <c r="UTV159" s="250"/>
      <c r="UTW159" s="250"/>
      <c r="UTX159" s="250"/>
      <c r="UTY159" s="250"/>
      <c r="UTZ159" s="250"/>
      <c r="UUA159" s="250"/>
      <c r="UUB159" s="250"/>
      <c r="UUC159" s="250"/>
      <c r="UUD159" s="250"/>
      <c r="UUE159" s="250"/>
      <c r="UUF159" s="250"/>
      <c r="UUG159" s="250"/>
      <c r="UUH159" s="250"/>
      <c r="UUI159" s="250"/>
      <c r="UUJ159" s="250"/>
      <c r="UUK159" s="250"/>
      <c r="UUL159" s="250"/>
      <c r="UUM159" s="250"/>
      <c r="UUN159" s="250"/>
      <c r="UUO159" s="250"/>
      <c r="UUP159" s="250"/>
      <c r="UUQ159" s="250"/>
      <c r="UUR159" s="250"/>
      <c r="UUS159" s="250"/>
      <c r="UUT159" s="250"/>
      <c r="UUU159" s="250"/>
      <c r="UUV159" s="250"/>
      <c r="UUW159" s="250"/>
      <c r="UUX159" s="250"/>
      <c r="UUY159" s="250"/>
      <c r="UUZ159" s="250"/>
      <c r="UVA159" s="250"/>
      <c r="UVB159" s="250"/>
      <c r="UVC159" s="250"/>
      <c r="UVD159" s="250"/>
      <c r="UVE159" s="250"/>
      <c r="UVF159" s="250"/>
      <c r="UVG159" s="250"/>
      <c r="UVH159" s="250"/>
      <c r="UVI159" s="250"/>
      <c r="UVJ159" s="250"/>
      <c r="UVK159" s="250"/>
      <c r="UVL159" s="250"/>
      <c r="UVM159" s="250"/>
      <c r="UVN159" s="250"/>
      <c r="UVO159" s="250"/>
      <c r="UVP159" s="250"/>
      <c r="UVQ159" s="250"/>
      <c r="UVR159" s="250"/>
      <c r="UVS159" s="250"/>
      <c r="UVT159" s="250"/>
      <c r="UVU159" s="250"/>
      <c r="UVV159" s="250"/>
      <c r="UVW159" s="250"/>
      <c r="UVX159" s="250"/>
      <c r="UVY159" s="250"/>
      <c r="UVZ159" s="250"/>
      <c r="UWA159" s="250"/>
      <c r="UWB159" s="250"/>
      <c r="UWC159" s="250"/>
      <c r="UWD159" s="250"/>
      <c r="UWE159" s="250"/>
      <c r="UWF159" s="250"/>
      <c r="UWG159" s="250"/>
      <c r="UWH159" s="250"/>
      <c r="UWI159" s="250"/>
      <c r="UWJ159" s="250"/>
      <c r="UWK159" s="250"/>
      <c r="UWL159" s="250"/>
      <c r="UWM159" s="250"/>
      <c r="UWN159" s="250"/>
      <c r="UWO159" s="250"/>
      <c r="UWP159" s="250"/>
      <c r="UWQ159" s="250"/>
      <c r="UWR159" s="250"/>
      <c r="UWS159" s="250"/>
      <c r="UWT159" s="250"/>
      <c r="UWU159" s="250"/>
      <c r="UWV159" s="250"/>
      <c r="UWW159" s="250"/>
      <c r="UWX159" s="250"/>
      <c r="UWY159" s="250"/>
      <c r="UWZ159" s="250"/>
      <c r="UXA159" s="250"/>
      <c r="UXB159" s="250"/>
      <c r="UXC159" s="250"/>
      <c r="UXD159" s="250"/>
      <c r="UXE159" s="250"/>
      <c r="UXF159" s="250"/>
      <c r="UXG159" s="250"/>
      <c r="UXH159" s="250"/>
      <c r="UXI159" s="250"/>
      <c r="UXJ159" s="250"/>
      <c r="UXK159" s="250"/>
      <c r="UXL159" s="250"/>
      <c r="UXM159" s="250"/>
      <c r="UXN159" s="250"/>
      <c r="UXO159" s="250"/>
      <c r="UXP159" s="250"/>
      <c r="UXQ159" s="250"/>
      <c r="UXR159" s="250"/>
      <c r="UXS159" s="250"/>
      <c r="UXT159" s="250"/>
      <c r="UXU159" s="250"/>
      <c r="UXV159" s="250"/>
      <c r="UXW159" s="250"/>
      <c r="UXX159" s="250"/>
      <c r="UXY159" s="250"/>
      <c r="UXZ159" s="250"/>
      <c r="UYA159" s="250"/>
      <c r="UYB159" s="250"/>
      <c r="UYC159" s="250"/>
      <c r="UYD159" s="250"/>
      <c r="UYE159" s="250"/>
      <c r="UYF159" s="250"/>
      <c r="UYG159" s="250"/>
      <c r="UYH159" s="250"/>
      <c r="UYI159" s="250"/>
      <c r="UYJ159" s="250"/>
      <c r="UYK159" s="250"/>
      <c r="UYL159" s="250"/>
      <c r="UYM159" s="250"/>
      <c r="UYN159" s="250"/>
      <c r="UYO159" s="250"/>
      <c r="UYP159" s="250"/>
      <c r="UYQ159" s="250"/>
      <c r="UYR159" s="250"/>
      <c r="UYS159" s="250"/>
      <c r="UYT159" s="250"/>
      <c r="UYU159" s="250"/>
      <c r="UYV159" s="250"/>
      <c r="UYW159" s="250"/>
      <c r="UYX159" s="250"/>
      <c r="UYY159" s="250"/>
      <c r="UYZ159" s="250"/>
      <c r="UZA159" s="250"/>
      <c r="UZB159" s="250"/>
      <c r="UZC159" s="250"/>
      <c r="UZD159" s="250"/>
      <c r="UZE159" s="250"/>
      <c r="UZF159" s="250"/>
      <c r="UZG159" s="250"/>
      <c r="UZH159" s="250"/>
      <c r="UZI159" s="250"/>
      <c r="UZJ159" s="250"/>
      <c r="UZK159" s="250"/>
      <c r="UZL159" s="250"/>
      <c r="UZM159" s="250"/>
      <c r="UZN159" s="250"/>
      <c r="UZO159" s="250"/>
      <c r="UZP159" s="250"/>
      <c r="UZQ159" s="250"/>
      <c r="UZR159" s="250"/>
      <c r="UZS159" s="250"/>
      <c r="UZT159" s="250"/>
      <c r="UZU159" s="250"/>
      <c r="UZV159" s="250"/>
      <c r="UZW159" s="250"/>
      <c r="UZX159" s="250"/>
      <c r="UZY159" s="250"/>
      <c r="UZZ159" s="250"/>
      <c r="VAA159" s="250"/>
      <c r="VAB159" s="250"/>
      <c r="VAC159" s="250"/>
      <c r="VAD159" s="250"/>
      <c r="VAE159" s="250"/>
      <c r="VAF159" s="250"/>
      <c r="VAG159" s="250"/>
      <c r="VAH159" s="250"/>
      <c r="VAI159" s="250"/>
      <c r="VAJ159" s="250"/>
      <c r="VAK159" s="250"/>
      <c r="VAL159" s="250"/>
      <c r="VAM159" s="250"/>
      <c r="VAN159" s="250"/>
      <c r="VAO159" s="250"/>
      <c r="VAP159" s="250"/>
      <c r="VAQ159" s="250"/>
      <c r="VAR159" s="250"/>
      <c r="VAS159" s="250"/>
      <c r="VAT159" s="250"/>
      <c r="VAU159" s="250"/>
      <c r="VAV159" s="250"/>
      <c r="VAW159" s="250"/>
      <c r="VAX159" s="250"/>
      <c r="VAY159" s="250"/>
      <c r="VAZ159" s="250"/>
      <c r="VBA159" s="250"/>
      <c r="VBB159" s="250"/>
      <c r="VBC159" s="250"/>
      <c r="VBD159" s="250"/>
      <c r="VBE159" s="250"/>
      <c r="VBF159" s="250"/>
      <c r="VBG159" s="250"/>
      <c r="VBH159" s="250"/>
      <c r="VBI159" s="250"/>
      <c r="VBJ159" s="250"/>
      <c r="VBK159" s="250"/>
      <c r="VBL159" s="250"/>
      <c r="VBM159" s="250"/>
      <c r="VBN159" s="250"/>
      <c r="VBO159" s="250"/>
      <c r="VBP159" s="250"/>
      <c r="VBQ159" s="250"/>
      <c r="VBR159" s="250"/>
      <c r="VBS159" s="250"/>
      <c r="VBT159" s="250"/>
      <c r="VBU159" s="250"/>
      <c r="VBV159" s="250"/>
      <c r="VBW159" s="250"/>
      <c r="VBX159" s="250"/>
      <c r="VBY159" s="250"/>
      <c r="VBZ159" s="250"/>
      <c r="VCA159" s="250"/>
      <c r="VCB159" s="250"/>
      <c r="VCC159" s="250"/>
      <c r="VCD159" s="250"/>
      <c r="VCE159" s="250"/>
      <c r="VCF159" s="250"/>
      <c r="VCG159" s="250"/>
      <c r="VCH159" s="250"/>
      <c r="VCI159" s="250"/>
      <c r="VCJ159" s="250"/>
      <c r="VCK159" s="250"/>
      <c r="VCL159" s="250"/>
      <c r="VCM159" s="250"/>
      <c r="VCN159" s="250"/>
      <c r="VCO159" s="250"/>
      <c r="VCP159" s="250"/>
      <c r="VCQ159" s="250"/>
      <c r="VCR159" s="250"/>
      <c r="VCS159" s="250"/>
      <c r="VCT159" s="250"/>
      <c r="VCU159" s="250"/>
      <c r="VCV159" s="250"/>
      <c r="VCW159" s="250"/>
      <c r="VCX159" s="250"/>
      <c r="VCY159" s="250"/>
      <c r="VCZ159" s="250"/>
      <c r="VDA159" s="250"/>
      <c r="VDB159" s="250"/>
      <c r="VDC159" s="250"/>
      <c r="VDD159" s="250"/>
      <c r="VDE159" s="250"/>
      <c r="VDF159" s="250"/>
      <c r="VDG159" s="250"/>
      <c r="VDH159" s="250"/>
      <c r="VDI159" s="250"/>
      <c r="VDJ159" s="250"/>
      <c r="VDK159" s="250"/>
      <c r="VDL159" s="250"/>
      <c r="VDM159" s="250"/>
      <c r="VDN159" s="250"/>
      <c r="VDO159" s="250"/>
      <c r="VDP159" s="250"/>
      <c r="VDQ159" s="250"/>
      <c r="VDR159" s="250"/>
      <c r="VDS159" s="250"/>
      <c r="VDT159" s="250"/>
      <c r="VDU159" s="250"/>
      <c r="VDV159" s="250"/>
      <c r="VDW159" s="250"/>
      <c r="VDX159" s="250"/>
      <c r="VDY159" s="250"/>
      <c r="VDZ159" s="250"/>
      <c r="VEA159" s="250"/>
      <c r="VEB159" s="250"/>
      <c r="VEC159" s="250"/>
      <c r="VED159" s="250"/>
      <c r="VEE159" s="250"/>
      <c r="VEF159" s="250"/>
      <c r="VEG159" s="250"/>
      <c r="VEH159" s="250"/>
      <c r="VEI159" s="250"/>
      <c r="VEJ159" s="250"/>
      <c r="VEK159" s="250"/>
      <c r="VEL159" s="250"/>
      <c r="VEM159" s="250"/>
      <c r="VEN159" s="250"/>
      <c r="VEO159" s="250"/>
      <c r="VEP159" s="250"/>
      <c r="VEQ159" s="250"/>
      <c r="VER159" s="250"/>
      <c r="VES159" s="250"/>
      <c r="VET159" s="250"/>
      <c r="VEU159" s="250"/>
      <c r="VEV159" s="250"/>
      <c r="VEW159" s="250"/>
      <c r="VEX159" s="250"/>
      <c r="VEY159" s="250"/>
      <c r="VEZ159" s="250"/>
      <c r="VFA159" s="250"/>
      <c r="VFB159" s="250"/>
      <c r="VFC159" s="250"/>
      <c r="VFD159" s="250"/>
      <c r="VFE159" s="250"/>
      <c r="VFF159" s="250"/>
      <c r="VFG159" s="250"/>
      <c r="VFH159" s="250"/>
      <c r="VFI159" s="250"/>
      <c r="VFJ159" s="250"/>
      <c r="VFK159" s="250"/>
      <c r="VFL159" s="250"/>
      <c r="VFM159" s="250"/>
      <c r="VFN159" s="250"/>
      <c r="VFO159" s="250"/>
      <c r="VFP159" s="250"/>
      <c r="VFQ159" s="250"/>
      <c r="VFR159" s="250"/>
      <c r="VFS159" s="250"/>
      <c r="VFT159" s="250"/>
      <c r="VFU159" s="250"/>
      <c r="VFV159" s="250"/>
      <c r="VFW159" s="250"/>
      <c r="VFX159" s="250"/>
      <c r="VFY159" s="250"/>
      <c r="VFZ159" s="250"/>
      <c r="VGA159" s="250"/>
      <c r="VGB159" s="250"/>
      <c r="VGC159" s="250"/>
      <c r="VGD159" s="250"/>
      <c r="VGE159" s="250"/>
      <c r="VGF159" s="250"/>
      <c r="VGG159" s="250"/>
      <c r="VGH159" s="250"/>
      <c r="VGI159" s="250"/>
      <c r="VGJ159" s="250"/>
      <c r="VGK159" s="250"/>
      <c r="VGL159" s="250"/>
      <c r="VGM159" s="250"/>
      <c r="VGN159" s="250"/>
      <c r="VGO159" s="250"/>
      <c r="VGP159" s="250"/>
      <c r="VGQ159" s="250"/>
      <c r="VGR159" s="250"/>
      <c r="VGS159" s="250"/>
      <c r="VGT159" s="250"/>
      <c r="VGU159" s="250"/>
      <c r="VGV159" s="250"/>
      <c r="VGW159" s="250"/>
      <c r="VGX159" s="250"/>
      <c r="VGY159" s="250"/>
      <c r="VGZ159" s="250"/>
      <c r="VHA159" s="250"/>
      <c r="VHB159" s="250"/>
      <c r="VHC159" s="250"/>
      <c r="VHD159" s="250"/>
      <c r="VHE159" s="250"/>
      <c r="VHF159" s="250"/>
      <c r="VHG159" s="250"/>
      <c r="VHH159" s="250"/>
      <c r="VHI159" s="250"/>
      <c r="VHJ159" s="250"/>
      <c r="VHK159" s="250"/>
      <c r="VHL159" s="250"/>
      <c r="VHM159" s="250"/>
      <c r="VHN159" s="250"/>
      <c r="VHO159" s="250"/>
      <c r="VHP159" s="250"/>
      <c r="VHQ159" s="250"/>
      <c r="VHR159" s="250"/>
      <c r="VHS159" s="250"/>
      <c r="VHT159" s="250"/>
      <c r="VHU159" s="250"/>
      <c r="VHV159" s="250"/>
      <c r="VHW159" s="250"/>
      <c r="VHX159" s="250"/>
      <c r="VHY159" s="250"/>
      <c r="VHZ159" s="250"/>
      <c r="VIA159" s="250"/>
      <c r="VIB159" s="250"/>
      <c r="VIC159" s="250"/>
      <c r="VID159" s="250"/>
      <c r="VIE159" s="250"/>
      <c r="VIF159" s="250"/>
      <c r="VIG159" s="250"/>
      <c r="VIH159" s="250"/>
      <c r="VII159" s="250"/>
      <c r="VIJ159" s="250"/>
      <c r="VIK159" s="250"/>
      <c r="VIL159" s="250"/>
      <c r="VIM159" s="250"/>
      <c r="VIN159" s="250"/>
      <c r="VIO159" s="250"/>
      <c r="VIP159" s="250"/>
      <c r="VIQ159" s="250"/>
      <c r="VIR159" s="250"/>
      <c r="VIS159" s="250"/>
      <c r="VIT159" s="250"/>
      <c r="VIU159" s="250"/>
      <c r="VIV159" s="250"/>
      <c r="VIW159" s="250"/>
      <c r="VIX159" s="250"/>
      <c r="VIY159" s="250"/>
      <c r="VIZ159" s="250"/>
      <c r="VJA159" s="250"/>
      <c r="VJB159" s="250"/>
      <c r="VJC159" s="250"/>
      <c r="VJD159" s="250"/>
      <c r="VJE159" s="250"/>
      <c r="VJF159" s="250"/>
      <c r="VJG159" s="250"/>
      <c r="VJH159" s="250"/>
      <c r="VJI159" s="250"/>
      <c r="VJJ159" s="250"/>
      <c r="VJK159" s="250"/>
      <c r="VJL159" s="250"/>
      <c r="VJM159" s="250"/>
      <c r="VJN159" s="250"/>
      <c r="VJO159" s="250"/>
      <c r="VJP159" s="250"/>
      <c r="VJQ159" s="250"/>
      <c r="VJR159" s="250"/>
      <c r="VJS159" s="250"/>
      <c r="VJT159" s="250"/>
      <c r="VJU159" s="250"/>
      <c r="VJV159" s="250"/>
      <c r="VJW159" s="250"/>
      <c r="VJX159" s="250"/>
      <c r="VJY159" s="250"/>
      <c r="VJZ159" s="250"/>
      <c r="VKA159" s="250"/>
      <c r="VKB159" s="250"/>
      <c r="VKC159" s="250"/>
      <c r="VKD159" s="250"/>
      <c r="VKE159" s="250"/>
      <c r="VKF159" s="250"/>
      <c r="VKG159" s="250"/>
      <c r="VKH159" s="250"/>
      <c r="VKI159" s="250"/>
      <c r="VKJ159" s="250"/>
      <c r="VKK159" s="250"/>
      <c r="VKL159" s="250"/>
      <c r="VKM159" s="250"/>
      <c r="VKN159" s="250"/>
      <c r="VKO159" s="250"/>
      <c r="VKP159" s="250"/>
      <c r="VKQ159" s="250"/>
      <c r="VKR159" s="250"/>
      <c r="VKS159" s="250"/>
      <c r="VKT159" s="250"/>
      <c r="VKU159" s="250"/>
      <c r="VKV159" s="250"/>
      <c r="VKW159" s="250"/>
      <c r="VKX159" s="250"/>
      <c r="VKY159" s="250"/>
      <c r="VKZ159" s="250"/>
      <c r="VLA159" s="250"/>
      <c r="VLB159" s="250"/>
      <c r="VLC159" s="250"/>
      <c r="VLD159" s="250"/>
      <c r="VLE159" s="250"/>
      <c r="VLF159" s="250"/>
      <c r="VLG159" s="250"/>
      <c r="VLH159" s="250"/>
      <c r="VLI159" s="250"/>
      <c r="VLJ159" s="250"/>
      <c r="VLK159" s="250"/>
      <c r="VLL159" s="250"/>
      <c r="VLM159" s="250"/>
      <c r="VLN159" s="250"/>
      <c r="VLO159" s="250"/>
      <c r="VLP159" s="250"/>
      <c r="VLQ159" s="250"/>
      <c r="VLR159" s="250"/>
      <c r="VLS159" s="250"/>
      <c r="VLT159" s="250"/>
      <c r="VLU159" s="250"/>
      <c r="VLV159" s="250"/>
      <c r="VLW159" s="250"/>
      <c r="VLX159" s="250"/>
      <c r="VLY159" s="250"/>
      <c r="VLZ159" s="250"/>
      <c r="VMA159" s="250"/>
      <c r="VMB159" s="250"/>
      <c r="VMC159" s="250"/>
      <c r="VMD159" s="250"/>
      <c r="VME159" s="250"/>
      <c r="VMF159" s="250"/>
      <c r="VMG159" s="250"/>
      <c r="VMH159" s="250"/>
      <c r="VMI159" s="250"/>
      <c r="VMJ159" s="250"/>
      <c r="VMK159" s="250"/>
      <c r="VML159" s="250"/>
      <c r="VMM159" s="250"/>
      <c r="VMN159" s="250"/>
      <c r="VMO159" s="250"/>
      <c r="VMP159" s="250"/>
      <c r="VMQ159" s="250"/>
      <c r="VMR159" s="250"/>
      <c r="VMS159" s="250"/>
      <c r="VMT159" s="250"/>
      <c r="VMU159" s="250"/>
      <c r="VMV159" s="250"/>
      <c r="VMW159" s="250"/>
      <c r="VMX159" s="250"/>
      <c r="VMY159" s="250"/>
      <c r="VMZ159" s="250"/>
      <c r="VNA159" s="250"/>
      <c r="VNB159" s="250"/>
      <c r="VNC159" s="250"/>
      <c r="VND159" s="250"/>
      <c r="VNE159" s="250"/>
      <c r="VNF159" s="250"/>
      <c r="VNG159" s="250"/>
      <c r="VNH159" s="250"/>
      <c r="VNI159" s="250"/>
      <c r="VNJ159" s="250"/>
      <c r="VNK159" s="250"/>
      <c r="VNL159" s="250"/>
      <c r="VNM159" s="250"/>
      <c r="VNN159" s="250"/>
      <c r="VNO159" s="250"/>
      <c r="VNP159" s="250"/>
      <c r="VNQ159" s="250"/>
      <c r="VNR159" s="250"/>
      <c r="VNS159" s="250"/>
      <c r="VNT159" s="250"/>
      <c r="VNU159" s="250"/>
      <c r="VNV159" s="250"/>
      <c r="VNW159" s="250"/>
      <c r="VNX159" s="250"/>
      <c r="VNY159" s="250"/>
      <c r="VNZ159" s="250"/>
      <c r="VOA159" s="250"/>
      <c r="VOB159" s="250"/>
      <c r="VOC159" s="250"/>
      <c r="VOD159" s="250"/>
      <c r="VOE159" s="250"/>
      <c r="VOF159" s="250"/>
      <c r="VOG159" s="250"/>
      <c r="VOH159" s="250"/>
      <c r="VOI159" s="250"/>
      <c r="VOJ159" s="250"/>
      <c r="VOK159" s="250"/>
      <c r="VOL159" s="250"/>
      <c r="VOM159" s="250"/>
      <c r="VON159" s="250"/>
      <c r="VOO159" s="250"/>
      <c r="VOP159" s="250"/>
      <c r="VOQ159" s="250"/>
      <c r="VOR159" s="250"/>
      <c r="VOS159" s="250"/>
      <c r="VOT159" s="250"/>
      <c r="VOU159" s="250"/>
      <c r="VOV159" s="250"/>
      <c r="VOW159" s="250"/>
      <c r="VOX159" s="250"/>
      <c r="VOY159" s="250"/>
      <c r="VOZ159" s="250"/>
      <c r="VPA159" s="250"/>
      <c r="VPB159" s="250"/>
      <c r="VPC159" s="250"/>
      <c r="VPD159" s="250"/>
      <c r="VPE159" s="250"/>
      <c r="VPF159" s="250"/>
      <c r="VPG159" s="250"/>
      <c r="VPH159" s="250"/>
      <c r="VPI159" s="250"/>
      <c r="VPJ159" s="250"/>
      <c r="VPK159" s="250"/>
      <c r="VPL159" s="250"/>
      <c r="VPM159" s="250"/>
      <c r="VPN159" s="250"/>
      <c r="VPO159" s="250"/>
      <c r="VPP159" s="250"/>
      <c r="VPQ159" s="250"/>
      <c r="VPR159" s="250"/>
      <c r="VPS159" s="250"/>
      <c r="VPT159" s="250"/>
      <c r="VPU159" s="250"/>
      <c r="VPV159" s="250"/>
      <c r="VPW159" s="250"/>
      <c r="VPX159" s="250"/>
      <c r="VPY159" s="250"/>
      <c r="VPZ159" s="250"/>
      <c r="VQA159" s="250"/>
      <c r="VQB159" s="250"/>
      <c r="VQC159" s="250"/>
      <c r="VQD159" s="250"/>
      <c r="VQE159" s="250"/>
      <c r="VQF159" s="250"/>
      <c r="VQG159" s="250"/>
      <c r="VQH159" s="250"/>
      <c r="VQI159" s="250"/>
      <c r="VQJ159" s="250"/>
      <c r="VQK159" s="250"/>
      <c r="VQL159" s="250"/>
      <c r="VQM159" s="250"/>
      <c r="VQN159" s="250"/>
      <c r="VQO159" s="250"/>
      <c r="VQP159" s="250"/>
      <c r="VQQ159" s="250"/>
      <c r="VQR159" s="250"/>
      <c r="VQS159" s="250"/>
      <c r="VQT159" s="250"/>
      <c r="VQU159" s="250"/>
      <c r="VQV159" s="250"/>
      <c r="VQW159" s="250"/>
      <c r="VQX159" s="250"/>
      <c r="VQY159" s="250"/>
      <c r="VQZ159" s="250"/>
      <c r="VRA159" s="250"/>
      <c r="VRB159" s="250"/>
      <c r="VRC159" s="250"/>
      <c r="VRD159" s="250"/>
      <c r="VRE159" s="250"/>
      <c r="VRF159" s="250"/>
      <c r="VRG159" s="250"/>
      <c r="VRH159" s="250"/>
      <c r="VRI159" s="250"/>
      <c r="VRJ159" s="250"/>
      <c r="VRK159" s="250"/>
      <c r="VRL159" s="250"/>
      <c r="VRM159" s="250"/>
      <c r="VRN159" s="250"/>
      <c r="VRO159" s="250"/>
      <c r="VRP159" s="250"/>
      <c r="VRQ159" s="250"/>
      <c r="VRR159" s="250"/>
      <c r="VRS159" s="250"/>
      <c r="VRT159" s="250"/>
      <c r="VRU159" s="250"/>
      <c r="VRV159" s="250"/>
      <c r="VRW159" s="250"/>
      <c r="VRX159" s="250"/>
      <c r="VRY159" s="250"/>
      <c r="VRZ159" s="250"/>
      <c r="VSA159" s="250"/>
      <c r="VSB159" s="250"/>
      <c r="VSC159" s="250"/>
      <c r="VSD159" s="250"/>
      <c r="VSE159" s="250"/>
      <c r="VSF159" s="250"/>
      <c r="VSG159" s="250"/>
      <c r="VSH159" s="250"/>
      <c r="VSI159" s="250"/>
      <c r="VSJ159" s="250"/>
      <c r="VSK159" s="250"/>
      <c r="VSL159" s="250"/>
      <c r="VSM159" s="250"/>
      <c r="VSN159" s="250"/>
      <c r="VSO159" s="250"/>
      <c r="VSP159" s="250"/>
      <c r="VSQ159" s="250"/>
      <c r="VSR159" s="250"/>
      <c r="VSS159" s="250"/>
      <c r="VST159" s="250"/>
      <c r="VSU159" s="250"/>
      <c r="VSV159" s="250"/>
      <c r="VSW159" s="250"/>
      <c r="VSX159" s="250"/>
      <c r="VSY159" s="250"/>
      <c r="VSZ159" s="250"/>
      <c r="VTA159" s="250"/>
      <c r="VTB159" s="250"/>
      <c r="VTC159" s="250"/>
      <c r="VTD159" s="250"/>
      <c r="VTE159" s="250"/>
      <c r="VTF159" s="250"/>
      <c r="VTG159" s="250"/>
      <c r="VTH159" s="250"/>
      <c r="VTI159" s="250"/>
      <c r="VTJ159" s="250"/>
      <c r="VTK159" s="250"/>
      <c r="VTL159" s="250"/>
      <c r="VTM159" s="250"/>
      <c r="VTN159" s="250"/>
      <c r="VTO159" s="250"/>
      <c r="VTP159" s="250"/>
      <c r="VTQ159" s="250"/>
      <c r="VTR159" s="250"/>
      <c r="VTS159" s="250"/>
      <c r="VTT159" s="250"/>
      <c r="VTU159" s="250"/>
      <c r="VTV159" s="250"/>
      <c r="VTW159" s="250"/>
      <c r="VTX159" s="250"/>
      <c r="VTY159" s="250"/>
      <c r="VTZ159" s="250"/>
      <c r="VUA159" s="250"/>
      <c r="VUB159" s="250"/>
      <c r="VUC159" s="250"/>
      <c r="VUD159" s="250"/>
      <c r="VUE159" s="250"/>
      <c r="VUF159" s="250"/>
      <c r="VUG159" s="250"/>
      <c r="VUH159" s="250"/>
      <c r="VUI159" s="250"/>
      <c r="VUJ159" s="250"/>
      <c r="VUK159" s="250"/>
      <c r="VUL159" s="250"/>
      <c r="VUM159" s="250"/>
      <c r="VUN159" s="250"/>
      <c r="VUO159" s="250"/>
      <c r="VUP159" s="250"/>
      <c r="VUQ159" s="250"/>
      <c r="VUR159" s="250"/>
      <c r="VUS159" s="250"/>
      <c r="VUT159" s="250"/>
      <c r="VUU159" s="250"/>
      <c r="VUV159" s="250"/>
      <c r="VUW159" s="250"/>
      <c r="VUX159" s="250"/>
      <c r="VUY159" s="250"/>
      <c r="VUZ159" s="250"/>
      <c r="VVA159" s="250"/>
      <c r="VVB159" s="250"/>
      <c r="VVC159" s="250"/>
      <c r="VVD159" s="250"/>
      <c r="VVE159" s="250"/>
      <c r="VVF159" s="250"/>
      <c r="VVG159" s="250"/>
      <c r="VVH159" s="250"/>
      <c r="VVI159" s="250"/>
      <c r="VVJ159" s="250"/>
      <c r="VVK159" s="250"/>
      <c r="VVL159" s="250"/>
      <c r="VVM159" s="250"/>
      <c r="VVN159" s="250"/>
      <c r="VVO159" s="250"/>
      <c r="VVP159" s="250"/>
      <c r="VVQ159" s="250"/>
      <c r="VVR159" s="250"/>
      <c r="VVS159" s="250"/>
      <c r="VVT159" s="250"/>
      <c r="VVU159" s="250"/>
      <c r="VVV159" s="250"/>
      <c r="VVW159" s="250"/>
      <c r="VVX159" s="250"/>
      <c r="VVY159" s="250"/>
      <c r="VVZ159" s="250"/>
      <c r="VWA159" s="250"/>
      <c r="VWB159" s="250"/>
      <c r="VWC159" s="250"/>
      <c r="VWD159" s="250"/>
      <c r="VWE159" s="250"/>
      <c r="VWF159" s="250"/>
      <c r="VWG159" s="250"/>
      <c r="VWH159" s="250"/>
      <c r="VWI159" s="250"/>
      <c r="VWJ159" s="250"/>
      <c r="VWK159" s="250"/>
      <c r="VWL159" s="250"/>
      <c r="VWM159" s="250"/>
      <c r="VWN159" s="250"/>
      <c r="VWO159" s="250"/>
      <c r="VWP159" s="250"/>
      <c r="VWQ159" s="250"/>
      <c r="VWR159" s="250"/>
      <c r="VWS159" s="250"/>
      <c r="VWT159" s="250"/>
      <c r="VWU159" s="250"/>
      <c r="VWV159" s="250"/>
      <c r="VWW159" s="250"/>
      <c r="VWX159" s="250"/>
      <c r="VWY159" s="250"/>
      <c r="VWZ159" s="250"/>
      <c r="VXA159" s="250"/>
      <c r="VXB159" s="250"/>
      <c r="VXC159" s="250"/>
      <c r="VXD159" s="250"/>
      <c r="VXE159" s="250"/>
      <c r="VXF159" s="250"/>
      <c r="VXG159" s="250"/>
      <c r="VXH159" s="250"/>
      <c r="VXI159" s="250"/>
      <c r="VXJ159" s="250"/>
      <c r="VXK159" s="250"/>
      <c r="VXL159" s="250"/>
      <c r="VXM159" s="250"/>
      <c r="VXN159" s="250"/>
      <c r="VXO159" s="250"/>
      <c r="VXP159" s="250"/>
      <c r="VXQ159" s="250"/>
      <c r="VXR159" s="250"/>
      <c r="VXS159" s="250"/>
      <c r="VXT159" s="250"/>
      <c r="VXU159" s="250"/>
      <c r="VXV159" s="250"/>
      <c r="VXW159" s="250"/>
      <c r="VXX159" s="250"/>
      <c r="VXY159" s="250"/>
      <c r="VXZ159" s="250"/>
      <c r="VYA159" s="250"/>
      <c r="VYB159" s="250"/>
      <c r="VYC159" s="250"/>
      <c r="VYD159" s="250"/>
      <c r="VYE159" s="250"/>
      <c r="VYF159" s="250"/>
      <c r="VYG159" s="250"/>
      <c r="VYH159" s="250"/>
      <c r="VYI159" s="250"/>
      <c r="VYJ159" s="250"/>
      <c r="VYK159" s="250"/>
      <c r="VYL159" s="250"/>
      <c r="VYM159" s="250"/>
      <c r="VYN159" s="250"/>
      <c r="VYO159" s="250"/>
      <c r="VYP159" s="250"/>
      <c r="VYQ159" s="250"/>
      <c r="VYR159" s="250"/>
      <c r="VYS159" s="250"/>
      <c r="VYT159" s="250"/>
      <c r="VYU159" s="250"/>
      <c r="VYV159" s="250"/>
      <c r="VYW159" s="250"/>
      <c r="VYX159" s="250"/>
      <c r="VYY159" s="250"/>
      <c r="VYZ159" s="250"/>
      <c r="VZA159" s="250"/>
      <c r="VZB159" s="250"/>
      <c r="VZC159" s="250"/>
      <c r="VZD159" s="250"/>
      <c r="VZE159" s="250"/>
      <c r="VZF159" s="250"/>
      <c r="VZG159" s="250"/>
      <c r="VZH159" s="250"/>
      <c r="VZI159" s="250"/>
      <c r="VZJ159" s="250"/>
      <c r="VZK159" s="250"/>
      <c r="VZL159" s="250"/>
      <c r="VZM159" s="250"/>
      <c r="VZN159" s="250"/>
      <c r="VZO159" s="250"/>
      <c r="VZP159" s="250"/>
      <c r="VZQ159" s="250"/>
      <c r="VZR159" s="250"/>
      <c r="VZS159" s="250"/>
      <c r="VZT159" s="250"/>
      <c r="VZU159" s="250"/>
      <c r="VZV159" s="250"/>
      <c r="VZW159" s="250"/>
      <c r="VZX159" s="250"/>
      <c r="VZY159" s="250"/>
      <c r="VZZ159" s="250"/>
      <c r="WAA159" s="250"/>
      <c r="WAB159" s="250"/>
      <c r="WAC159" s="250"/>
      <c r="WAD159" s="250"/>
      <c r="WAE159" s="250"/>
      <c r="WAF159" s="250"/>
      <c r="WAG159" s="250"/>
      <c r="WAH159" s="250"/>
      <c r="WAI159" s="250"/>
      <c r="WAJ159" s="250"/>
      <c r="WAK159" s="250"/>
      <c r="WAL159" s="250"/>
      <c r="WAM159" s="250"/>
      <c r="WAN159" s="250"/>
      <c r="WAO159" s="250"/>
      <c r="WAP159" s="250"/>
      <c r="WAQ159" s="250"/>
      <c r="WAR159" s="250"/>
      <c r="WAS159" s="250"/>
      <c r="WAT159" s="250"/>
      <c r="WAU159" s="250"/>
      <c r="WAV159" s="250"/>
      <c r="WAW159" s="250"/>
      <c r="WAX159" s="250"/>
      <c r="WAY159" s="250"/>
      <c r="WAZ159" s="250"/>
      <c r="WBA159" s="250"/>
      <c r="WBB159" s="250"/>
      <c r="WBC159" s="250"/>
      <c r="WBD159" s="250"/>
      <c r="WBE159" s="250"/>
      <c r="WBF159" s="250"/>
      <c r="WBG159" s="250"/>
      <c r="WBH159" s="250"/>
      <c r="WBI159" s="250"/>
      <c r="WBJ159" s="250"/>
      <c r="WBK159" s="250"/>
      <c r="WBL159" s="250"/>
      <c r="WBM159" s="250"/>
      <c r="WBN159" s="250"/>
      <c r="WBO159" s="250"/>
      <c r="WBP159" s="250"/>
      <c r="WBQ159" s="250"/>
      <c r="WBR159" s="250"/>
      <c r="WBS159" s="250"/>
      <c r="WBT159" s="250"/>
      <c r="WBU159" s="250"/>
      <c r="WBV159" s="250"/>
      <c r="WBW159" s="250"/>
      <c r="WBX159" s="250"/>
      <c r="WBY159" s="250"/>
      <c r="WBZ159" s="250"/>
      <c r="WCA159" s="250"/>
      <c r="WCB159" s="250"/>
      <c r="WCC159" s="250"/>
      <c r="WCD159" s="250"/>
      <c r="WCE159" s="250"/>
      <c r="WCF159" s="250"/>
      <c r="WCG159" s="250"/>
      <c r="WCH159" s="250"/>
      <c r="WCI159" s="250"/>
      <c r="WCJ159" s="250"/>
      <c r="WCK159" s="250"/>
      <c r="WCL159" s="250"/>
      <c r="WCM159" s="250"/>
      <c r="WCN159" s="250"/>
      <c r="WCO159" s="250"/>
      <c r="WCP159" s="250"/>
      <c r="WCQ159" s="250"/>
      <c r="WCR159" s="250"/>
      <c r="WCS159" s="250"/>
      <c r="WCT159" s="250"/>
      <c r="WCU159" s="250"/>
      <c r="WCV159" s="250"/>
      <c r="WCW159" s="250"/>
      <c r="WCX159" s="250"/>
      <c r="WCY159" s="250"/>
      <c r="WCZ159" s="250"/>
      <c r="WDA159" s="250"/>
      <c r="WDB159" s="250"/>
      <c r="WDC159" s="250"/>
      <c r="WDD159" s="250"/>
      <c r="WDE159" s="250"/>
      <c r="WDF159" s="250"/>
      <c r="WDG159" s="250"/>
      <c r="WDH159" s="250"/>
      <c r="WDI159" s="250"/>
      <c r="WDJ159" s="250"/>
      <c r="WDK159" s="250"/>
      <c r="WDL159" s="250"/>
      <c r="WDM159" s="250"/>
      <c r="WDN159" s="250"/>
      <c r="WDO159" s="250"/>
      <c r="WDP159" s="250"/>
      <c r="WDQ159" s="250"/>
      <c r="WDR159" s="250"/>
      <c r="WDS159" s="250"/>
      <c r="WDT159" s="250"/>
      <c r="WDU159" s="250"/>
      <c r="WDV159" s="250"/>
      <c r="WDW159" s="250"/>
      <c r="WDX159" s="250"/>
      <c r="WDY159" s="250"/>
      <c r="WDZ159" s="250"/>
      <c r="WEA159" s="250"/>
      <c r="WEB159" s="250"/>
      <c r="WEC159" s="250"/>
      <c r="WED159" s="250"/>
      <c r="WEE159" s="250"/>
      <c r="WEF159" s="250"/>
      <c r="WEG159" s="250"/>
      <c r="WEH159" s="250"/>
      <c r="WEI159" s="250"/>
      <c r="WEJ159" s="250"/>
      <c r="WEK159" s="250"/>
      <c r="WEL159" s="250"/>
      <c r="WEM159" s="250"/>
      <c r="WEN159" s="250"/>
      <c r="WEO159" s="250"/>
      <c r="WEP159" s="250"/>
      <c r="WEQ159" s="250"/>
      <c r="WER159" s="250"/>
      <c r="WES159" s="250"/>
      <c r="WET159" s="250"/>
      <c r="WEU159" s="250"/>
      <c r="WEV159" s="250"/>
      <c r="WEW159" s="250"/>
      <c r="WEX159" s="250"/>
      <c r="WEY159" s="250"/>
      <c r="WEZ159" s="250"/>
      <c r="WFA159" s="250"/>
      <c r="WFB159" s="250"/>
      <c r="WFC159" s="250"/>
      <c r="WFD159" s="250"/>
      <c r="WFE159" s="250"/>
      <c r="WFF159" s="250"/>
      <c r="WFG159" s="250"/>
      <c r="WFH159" s="250"/>
      <c r="WFI159" s="250"/>
      <c r="WFJ159" s="250"/>
      <c r="WFK159" s="250"/>
      <c r="WFL159" s="250"/>
      <c r="WFM159" s="250"/>
      <c r="WFN159" s="250"/>
      <c r="WFO159" s="250"/>
      <c r="WFP159" s="250"/>
      <c r="WFQ159" s="250"/>
      <c r="WFR159" s="250"/>
      <c r="WFS159" s="250"/>
      <c r="WFT159" s="250"/>
      <c r="WFU159" s="250"/>
      <c r="WFV159" s="250"/>
      <c r="WFW159" s="250"/>
      <c r="WFX159" s="250"/>
      <c r="WFY159" s="250"/>
      <c r="WFZ159" s="250"/>
      <c r="WGA159" s="250"/>
      <c r="WGB159" s="250"/>
      <c r="WGC159" s="250"/>
      <c r="WGD159" s="250"/>
      <c r="WGE159" s="250"/>
      <c r="WGF159" s="250"/>
      <c r="WGG159" s="250"/>
      <c r="WGH159" s="250"/>
      <c r="WGI159" s="250"/>
      <c r="WGJ159" s="250"/>
      <c r="WGK159" s="250"/>
      <c r="WGL159" s="250"/>
      <c r="WGM159" s="250"/>
      <c r="WGN159" s="250"/>
      <c r="WGO159" s="250"/>
      <c r="WGP159" s="250"/>
      <c r="WGQ159" s="250"/>
      <c r="WGR159" s="250"/>
      <c r="WGS159" s="250"/>
      <c r="WGT159" s="250"/>
      <c r="WGU159" s="250"/>
      <c r="WGV159" s="250"/>
      <c r="WGW159" s="250"/>
      <c r="WGX159" s="250"/>
      <c r="WGY159" s="250"/>
      <c r="WGZ159" s="250"/>
      <c r="WHA159" s="250"/>
      <c r="WHB159" s="250"/>
      <c r="WHC159" s="250"/>
      <c r="WHD159" s="250"/>
      <c r="WHE159" s="250"/>
      <c r="WHF159" s="250"/>
      <c r="WHG159" s="250"/>
      <c r="WHH159" s="250"/>
      <c r="WHI159" s="250"/>
      <c r="WHJ159" s="250"/>
      <c r="WHK159" s="250"/>
      <c r="WHL159" s="250"/>
      <c r="WHM159" s="250"/>
      <c r="WHN159" s="250"/>
      <c r="WHO159" s="250"/>
      <c r="WHP159" s="250"/>
      <c r="WHQ159" s="250"/>
      <c r="WHR159" s="250"/>
      <c r="WHS159" s="250"/>
      <c r="WHT159" s="250"/>
      <c r="WHU159" s="250"/>
      <c r="WHV159" s="250"/>
      <c r="WHW159" s="250"/>
      <c r="WHX159" s="250"/>
      <c r="WHY159" s="250"/>
      <c r="WHZ159" s="250"/>
      <c r="WIA159" s="250"/>
      <c r="WIB159" s="250"/>
      <c r="WIC159" s="250"/>
      <c r="WID159" s="250"/>
      <c r="WIE159" s="250"/>
      <c r="WIF159" s="250"/>
      <c r="WIG159" s="250"/>
      <c r="WIH159" s="250"/>
      <c r="WII159" s="250"/>
      <c r="WIJ159" s="250"/>
      <c r="WIK159" s="250"/>
      <c r="WIL159" s="250"/>
      <c r="WIM159" s="250"/>
      <c r="WIN159" s="250"/>
      <c r="WIO159" s="250"/>
      <c r="WIP159" s="250"/>
      <c r="WIQ159" s="250"/>
      <c r="WIR159" s="250"/>
      <c r="WIS159" s="250"/>
      <c r="WIT159" s="250"/>
      <c r="WIU159" s="250"/>
      <c r="WIV159" s="250"/>
      <c r="WIW159" s="250"/>
      <c r="WIX159" s="250"/>
      <c r="WIY159" s="250"/>
      <c r="WIZ159" s="250"/>
      <c r="WJA159" s="250"/>
      <c r="WJB159" s="250"/>
      <c r="WJC159" s="250"/>
      <c r="WJD159" s="250"/>
      <c r="WJE159" s="250"/>
      <c r="WJF159" s="250"/>
      <c r="WJG159" s="250"/>
      <c r="WJH159" s="250"/>
      <c r="WJI159" s="250"/>
      <c r="WJJ159" s="250"/>
      <c r="WJK159" s="250"/>
      <c r="WJL159" s="250"/>
      <c r="WJM159" s="250"/>
      <c r="WJN159" s="250"/>
      <c r="WJO159" s="250"/>
      <c r="WJP159" s="250"/>
      <c r="WJQ159" s="250"/>
      <c r="WJR159" s="250"/>
      <c r="WJS159" s="250"/>
      <c r="WJT159" s="250"/>
      <c r="WJU159" s="250"/>
      <c r="WJV159" s="250"/>
      <c r="WJW159" s="250"/>
      <c r="WJX159" s="250"/>
      <c r="WJY159" s="250"/>
      <c r="WJZ159" s="250"/>
      <c r="WKA159" s="250"/>
      <c r="WKB159" s="250"/>
      <c r="WKC159" s="250"/>
      <c r="WKD159" s="250"/>
      <c r="WKE159" s="250"/>
      <c r="WKF159" s="250"/>
      <c r="WKG159" s="250"/>
      <c r="WKH159" s="250"/>
      <c r="WKI159" s="250"/>
      <c r="WKJ159" s="250"/>
      <c r="WKK159" s="250"/>
      <c r="WKL159" s="250"/>
      <c r="WKM159" s="250"/>
      <c r="WKN159" s="250"/>
      <c r="WKO159" s="250"/>
      <c r="WKP159" s="250"/>
      <c r="WKQ159" s="250"/>
      <c r="WKR159" s="250"/>
      <c r="WKS159" s="250"/>
      <c r="WKT159" s="250"/>
      <c r="WKU159" s="250"/>
      <c r="WKV159" s="250"/>
      <c r="WKW159" s="250"/>
      <c r="WKX159" s="250"/>
      <c r="WKY159" s="250"/>
      <c r="WKZ159" s="250"/>
      <c r="WLA159" s="250"/>
      <c r="WLB159" s="250"/>
      <c r="WLC159" s="250"/>
      <c r="WLD159" s="250"/>
      <c r="WLE159" s="250"/>
      <c r="WLF159" s="250"/>
      <c r="WLG159" s="250"/>
      <c r="WLH159" s="250"/>
      <c r="WLI159" s="250"/>
      <c r="WLJ159" s="250"/>
      <c r="WLK159" s="250"/>
      <c r="WLL159" s="250"/>
      <c r="WLM159" s="250"/>
      <c r="WLN159" s="250"/>
      <c r="WLO159" s="250"/>
      <c r="WLP159" s="250"/>
      <c r="WLQ159" s="250"/>
      <c r="WLR159" s="250"/>
      <c r="WLS159" s="250"/>
      <c r="WLT159" s="250"/>
      <c r="WLU159" s="250"/>
      <c r="WLV159" s="250"/>
      <c r="WLW159" s="250"/>
      <c r="WLX159" s="250"/>
      <c r="WLY159" s="250"/>
      <c r="WLZ159" s="250"/>
      <c r="WMA159" s="250"/>
      <c r="WMB159" s="250"/>
      <c r="WMC159" s="250"/>
      <c r="WMD159" s="250"/>
      <c r="WME159" s="250"/>
      <c r="WMF159" s="250"/>
      <c r="WMG159" s="250"/>
      <c r="WMH159" s="250"/>
      <c r="WMI159" s="250"/>
      <c r="WMJ159" s="250"/>
      <c r="WMK159" s="250"/>
      <c r="WML159" s="250"/>
      <c r="WMM159" s="250"/>
      <c r="WMN159" s="250"/>
      <c r="WMO159" s="250"/>
      <c r="WMP159" s="250"/>
      <c r="WMQ159" s="250"/>
      <c r="WMR159" s="250"/>
      <c r="WMS159" s="250"/>
      <c r="WMT159" s="250"/>
      <c r="WMU159" s="250"/>
      <c r="WMV159" s="250"/>
      <c r="WMW159" s="250"/>
      <c r="WMX159" s="250"/>
      <c r="WMY159" s="250"/>
      <c r="WMZ159" s="250"/>
      <c r="WNA159" s="250"/>
      <c r="WNB159" s="250"/>
      <c r="WNC159" s="250"/>
      <c r="WND159" s="250"/>
      <c r="WNE159" s="250"/>
      <c r="WNF159" s="250"/>
      <c r="WNG159" s="250"/>
      <c r="WNH159" s="250"/>
      <c r="WNI159" s="250"/>
      <c r="WNJ159" s="250"/>
      <c r="WNK159" s="250"/>
      <c r="WNL159" s="250"/>
      <c r="WNM159" s="250"/>
      <c r="WNN159" s="250"/>
      <c r="WNO159" s="250"/>
      <c r="WNP159" s="250"/>
      <c r="WNQ159" s="250"/>
      <c r="WNR159" s="250"/>
      <c r="WNS159" s="250"/>
      <c r="WNT159" s="250"/>
      <c r="WNU159" s="250"/>
      <c r="WNV159" s="250"/>
      <c r="WNW159" s="250"/>
      <c r="WNX159" s="250"/>
      <c r="WNY159" s="250"/>
      <c r="WNZ159" s="250"/>
      <c r="WOA159" s="250"/>
      <c r="WOB159" s="250"/>
      <c r="WOC159" s="250"/>
      <c r="WOD159" s="250"/>
      <c r="WOE159" s="250"/>
      <c r="WOF159" s="250"/>
      <c r="WOG159" s="250"/>
      <c r="WOH159" s="250"/>
      <c r="WOI159" s="250"/>
      <c r="WOJ159" s="250"/>
      <c r="WOK159" s="250"/>
      <c r="WOL159" s="250"/>
      <c r="WOM159" s="250"/>
      <c r="WON159" s="250"/>
      <c r="WOO159" s="250"/>
      <c r="WOP159" s="250"/>
      <c r="WOQ159" s="250"/>
      <c r="WOR159" s="250"/>
      <c r="WOS159" s="250"/>
      <c r="WOT159" s="250"/>
      <c r="WOU159" s="250"/>
      <c r="WOV159" s="250"/>
      <c r="WOW159" s="250"/>
      <c r="WOX159" s="250"/>
      <c r="WOY159" s="250"/>
      <c r="WOZ159" s="250"/>
      <c r="WPA159" s="250"/>
      <c r="WPB159" s="250"/>
      <c r="WPC159" s="250"/>
      <c r="WPD159" s="250"/>
      <c r="WPE159" s="250"/>
      <c r="WPF159" s="250"/>
      <c r="WPG159" s="250"/>
      <c r="WPH159" s="250"/>
      <c r="WPI159" s="250"/>
      <c r="WPJ159" s="250"/>
      <c r="WPK159" s="250"/>
      <c r="WPL159" s="250"/>
      <c r="WPM159" s="250"/>
      <c r="WPN159" s="250"/>
      <c r="WPO159" s="250"/>
      <c r="WPP159" s="250"/>
      <c r="WPQ159" s="250"/>
      <c r="WPR159" s="250"/>
      <c r="WPS159" s="250"/>
      <c r="WPT159" s="250"/>
      <c r="WPU159" s="250"/>
      <c r="WPV159" s="250"/>
      <c r="WPW159" s="250"/>
      <c r="WPX159" s="250"/>
      <c r="WPY159" s="250"/>
      <c r="WPZ159" s="250"/>
      <c r="WQA159" s="250"/>
      <c r="WQB159" s="250"/>
      <c r="WQC159" s="250"/>
      <c r="WQD159" s="250"/>
      <c r="WQE159" s="250"/>
      <c r="WQF159" s="250"/>
      <c r="WQG159" s="250"/>
      <c r="WQH159" s="250"/>
      <c r="WQI159" s="250"/>
      <c r="WQJ159" s="250"/>
      <c r="WQK159" s="250"/>
      <c r="WQL159" s="250"/>
      <c r="WQM159" s="250"/>
      <c r="WQN159" s="250"/>
      <c r="WQO159" s="250"/>
      <c r="WQP159" s="250"/>
      <c r="WQQ159" s="250"/>
      <c r="WQR159" s="250"/>
      <c r="WQS159" s="250"/>
      <c r="WQT159" s="250"/>
      <c r="WQU159" s="250"/>
      <c r="WQV159" s="250"/>
      <c r="WQW159" s="250"/>
      <c r="WQX159" s="250"/>
      <c r="WQY159" s="250"/>
      <c r="WQZ159" s="250"/>
      <c r="WRA159" s="250"/>
      <c r="WRB159" s="250"/>
      <c r="WRC159" s="250"/>
      <c r="WRD159" s="250"/>
      <c r="WRE159" s="250"/>
      <c r="WRF159" s="250"/>
      <c r="WRG159" s="250"/>
      <c r="WRH159" s="250"/>
      <c r="WRI159" s="250"/>
      <c r="WRJ159" s="250"/>
      <c r="WRK159" s="250"/>
      <c r="WRL159" s="250"/>
      <c r="WRM159" s="250"/>
      <c r="WRN159" s="250"/>
      <c r="WRO159" s="250"/>
      <c r="WRP159" s="250"/>
      <c r="WRQ159" s="250"/>
      <c r="WRR159" s="250"/>
      <c r="WRS159" s="250"/>
      <c r="WRT159" s="250"/>
      <c r="WRU159" s="250"/>
      <c r="WRV159" s="250"/>
      <c r="WRW159" s="250"/>
      <c r="WRX159" s="250"/>
      <c r="WRY159" s="250"/>
      <c r="WRZ159" s="250"/>
      <c r="WSA159" s="250"/>
      <c r="WSB159" s="250"/>
      <c r="WSC159" s="250"/>
      <c r="WSD159" s="250"/>
      <c r="WSE159" s="250"/>
      <c r="WSF159" s="250"/>
      <c r="WSG159" s="250"/>
      <c r="WSH159" s="250"/>
      <c r="WSI159" s="250"/>
      <c r="WSJ159" s="250"/>
      <c r="WSK159" s="250"/>
      <c r="WSL159" s="250"/>
      <c r="WSM159" s="250"/>
      <c r="WSN159" s="250"/>
      <c r="WSO159" s="250"/>
      <c r="WSP159" s="250"/>
      <c r="WSQ159" s="250"/>
      <c r="WSR159" s="250"/>
      <c r="WSS159" s="250"/>
      <c r="WST159" s="250"/>
      <c r="WSU159" s="250"/>
      <c r="WSV159" s="250"/>
      <c r="WSW159" s="250"/>
      <c r="WSX159" s="250"/>
      <c r="WSY159" s="250"/>
      <c r="WSZ159" s="250"/>
      <c r="WTA159" s="250"/>
      <c r="WTB159" s="250"/>
      <c r="WTC159" s="250"/>
      <c r="WTD159" s="250"/>
      <c r="WTE159" s="250"/>
      <c r="WTF159" s="250"/>
      <c r="WTG159" s="250"/>
      <c r="WTH159" s="250"/>
      <c r="WTI159" s="250"/>
      <c r="WTJ159" s="250"/>
      <c r="WTK159" s="250"/>
      <c r="WTL159" s="250"/>
      <c r="WTM159" s="250"/>
      <c r="WTN159" s="250"/>
      <c r="WTO159" s="250"/>
      <c r="WTP159" s="250"/>
      <c r="WTQ159" s="250"/>
      <c r="WTR159" s="250"/>
      <c r="WTS159" s="250"/>
      <c r="WTT159" s="250"/>
      <c r="WTU159" s="250"/>
      <c r="WTV159" s="250"/>
      <c r="WTW159" s="250"/>
      <c r="WTX159" s="250"/>
      <c r="WTY159" s="250"/>
      <c r="WTZ159" s="250"/>
      <c r="WUA159" s="250"/>
      <c r="WUB159" s="250"/>
      <c r="WUC159" s="250"/>
      <c r="WUD159" s="250"/>
      <c r="WUE159" s="250"/>
      <c r="WUF159" s="250"/>
      <c r="WUG159" s="250"/>
      <c r="WUH159" s="250"/>
      <c r="WUI159" s="250"/>
      <c r="WUJ159" s="250"/>
      <c r="WUK159" s="250"/>
      <c r="WUL159" s="250"/>
      <c r="WUM159" s="250"/>
      <c r="WUN159" s="250"/>
      <c r="WUO159" s="250"/>
      <c r="WUP159" s="250"/>
      <c r="WUQ159" s="250"/>
      <c r="WUR159" s="250"/>
      <c r="WUS159" s="250"/>
      <c r="WUT159" s="250"/>
      <c r="WUU159" s="250"/>
      <c r="WUV159" s="250"/>
      <c r="WUW159" s="250"/>
      <c r="WUX159" s="250"/>
      <c r="WUY159" s="250"/>
      <c r="WUZ159" s="250"/>
      <c r="WVA159" s="250"/>
      <c r="WVB159" s="250"/>
      <c r="WVC159" s="250"/>
      <c r="WVD159" s="250"/>
      <c r="WVE159" s="250"/>
      <c r="WVF159" s="250"/>
      <c r="WVG159" s="250"/>
      <c r="WVH159" s="250"/>
      <c r="WVI159" s="250"/>
      <c r="WVJ159" s="250"/>
      <c r="WVK159" s="250"/>
      <c r="WVL159" s="250"/>
      <c r="WVM159" s="250"/>
      <c r="WVN159" s="250"/>
      <c r="WVO159" s="250"/>
      <c r="WVP159" s="250"/>
      <c r="WVQ159" s="250"/>
      <c r="WVR159" s="250"/>
      <c r="WVS159" s="250"/>
      <c r="WVT159" s="250"/>
      <c r="WVU159" s="250"/>
      <c r="WVV159" s="250"/>
      <c r="WVW159" s="250"/>
      <c r="WVX159" s="250"/>
      <c r="WVY159" s="250"/>
      <c r="WVZ159" s="250"/>
      <c r="WWA159" s="250"/>
      <c r="WWB159" s="250"/>
      <c r="WWC159" s="250"/>
      <c r="WWD159" s="250"/>
      <c r="WWE159" s="250"/>
      <c r="WWF159" s="250"/>
      <c r="WWG159" s="250"/>
      <c r="WWH159" s="250"/>
      <c r="WWI159" s="250"/>
      <c r="WWJ159" s="250"/>
      <c r="WWK159" s="250"/>
      <c r="WWL159" s="250"/>
      <c r="WWM159" s="250"/>
      <c r="WWN159" s="250"/>
      <c r="WWO159" s="250"/>
      <c r="WWP159" s="250"/>
      <c r="WWQ159" s="250"/>
      <c r="WWR159" s="250"/>
      <c r="WWS159" s="250"/>
      <c r="WWT159" s="250"/>
      <c r="WWU159" s="250"/>
      <c r="WWV159" s="250"/>
      <c r="WWW159" s="250"/>
      <c r="WWX159" s="250"/>
      <c r="WWY159" s="250"/>
      <c r="WWZ159" s="250"/>
      <c r="WXA159" s="250"/>
      <c r="WXB159" s="250"/>
      <c r="WXC159" s="250"/>
      <c r="WXD159" s="250"/>
      <c r="WXE159" s="250"/>
      <c r="WXF159" s="250"/>
      <c r="WXG159" s="250"/>
      <c r="WXH159" s="250"/>
      <c r="WXI159" s="250"/>
      <c r="WXJ159" s="250"/>
      <c r="WXK159" s="250"/>
      <c r="WXL159" s="250"/>
      <c r="WXM159" s="250"/>
      <c r="WXN159" s="250"/>
      <c r="WXO159" s="250"/>
      <c r="WXP159" s="250"/>
      <c r="WXQ159" s="250"/>
      <c r="WXR159" s="250"/>
      <c r="WXS159" s="250"/>
      <c r="WXT159" s="250"/>
      <c r="WXU159" s="250"/>
      <c r="WXV159" s="250"/>
      <c r="WXW159" s="250"/>
      <c r="WXX159" s="250"/>
      <c r="WXY159" s="250"/>
      <c r="WXZ159" s="250"/>
      <c r="WYA159" s="250"/>
      <c r="WYB159" s="250"/>
      <c r="WYC159" s="250"/>
      <c r="WYD159" s="250"/>
      <c r="WYE159" s="250"/>
      <c r="WYF159" s="250"/>
      <c r="WYG159" s="250"/>
      <c r="WYH159" s="250"/>
      <c r="WYI159" s="250"/>
      <c r="WYJ159" s="250"/>
      <c r="WYK159" s="250"/>
      <c r="WYL159" s="250"/>
      <c r="WYM159" s="250"/>
      <c r="WYN159" s="250"/>
      <c r="WYO159" s="250"/>
      <c r="WYP159" s="250"/>
      <c r="WYQ159" s="250"/>
      <c r="WYR159" s="250"/>
      <c r="WYS159" s="250"/>
      <c r="WYT159" s="250"/>
      <c r="WYU159" s="250"/>
      <c r="WYV159" s="250"/>
      <c r="WYW159" s="250"/>
      <c r="WYX159" s="250"/>
      <c r="WYY159" s="250"/>
      <c r="WYZ159" s="250"/>
      <c r="WZA159" s="250"/>
      <c r="WZB159" s="250"/>
      <c r="WZC159" s="250"/>
      <c r="WZD159" s="250"/>
      <c r="WZE159" s="250"/>
      <c r="WZF159" s="250"/>
      <c r="WZG159" s="250"/>
      <c r="WZH159" s="250"/>
      <c r="WZI159" s="250"/>
      <c r="WZJ159" s="250"/>
      <c r="WZK159" s="250"/>
      <c r="WZL159" s="250"/>
      <c r="WZM159" s="250"/>
      <c r="WZN159" s="250"/>
      <c r="WZO159" s="250"/>
      <c r="WZP159" s="250"/>
      <c r="WZQ159" s="250"/>
      <c r="WZR159" s="250"/>
      <c r="WZS159" s="250"/>
      <c r="WZT159" s="250"/>
      <c r="WZU159" s="250"/>
      <c r="WZV159" s="250"/>
      <c r="WZW159" s="250"/>
      <c r="WZX159" s="250"/>
      <c r="WZY159" s="250"/>
      <c r="WZZ159" s="250"/>
      <c r="XAA159" s="250"/>
      <c r="XAB159" s="250"/>
      <c r="XAC159" s="250"/>
      <c r="XAD159" s="250"/>
      <c r="XAE159" s="250"/>
      <c r="XAF159" s="250"/>
      <c r="XAG159" s="250"/>
      <c r="XAH159" s="250"/>
      <c r="XAI159" s="250"/>
      <c r="XAJ159" s="250"/>
      <c r="XAK159" s="250"/>
      <c r="XAL159" s="250"/>
      <c r="XAM159" s="250"/>
      <c r="XAN159" s="250"/>
      <c r="XAO159" s="250"/>
      <c r="XAP159" s="250"/>
      <c r="XAQ159" s="250"/>
      <c r="XAR159" s="250"/>
      <c r="XAS159" s="250"/>
      <c r="XAT159" s="250"/>
      <c r="XAU159" s="250"/>
      <c r="XAV159" s="250"/>
      <c r="XAW159" s="250"/>
      <c r="XAX159" s="250"/>
      <c r="XAY159" s="250"/>
      <c r="XAZ159" s="250"/>
      <c r="XBA159" s="250"/>
      <c r="XBB159" s="250"/>
      <c r="XBC159" s="250"/>
      <c r="XBD159" s="250"/>
      <c r="XBE159" s="250"/>
      <c r="XBF159" s="250"/>
      <c r="XBG159" s="250"/>
      <c r="XBH159" s="250"/>
      <c r="XBI159" s="250"/>
      <c r="XBJ159" s="250"/>
      <c r="XBK159" s="250"/>
      <c r="XBL159" s="250"/>
      <c r="XBM159" s="250"/>
      <c r="XBN159" s="250"/>
      <c r="XBO159" s="250"/>
      <c r="XBP159" s="250"/>
      <c r="XBQ159" s="250"/>
      <c r="XBR159" s="250"/>
      <c r="XBS159" s="250"/>
      <c r="XBT159" s="250"/>
      <c r="XBU159" s="250"/>
      <c r="XBV159" s="250"/>
      <c r="XBW159" s="250"/>
      <c r="XBX159" s="250"/>
      <c r="XBY159" s="250"/>
      <c r="XBZ159" s="250"/>
      <c r="XCA159" s="250"/>
      <c r="XCB159" s="250"/>
      <c r="XCC159" s="250"/>
      <c r="XCD159" s="250"/>
      <c r="XCE159" s="250"/>
      <c r="XCF159" s="250"/>
      <c r="XCG159" s="250"/>
      <c r="XCH159" s="250"/>
      <c r="XCI159" s="250"/>
      <c r="XCJ159" s="250"/>
      <c r="XCK159" s="250"/>
      <c r="XCL159" s="250"/>
      <c r="XCM159" s="250"/>
      <c r="XCN159" s="250"/>
      <c r="XCO159" s="250"/>
      <c r="XCP159" s="250"/>
      <c r="XCQ159" s="250"/>
      <c r="XCR159" s="250"/>
      <c r="XCS159" s="250"/>
      <c r="XCT159" s="250"/>
      <c r="XCU159" s="250"/>
      <c r="XCV159" s="250"/>
      <c r="XCW159" s="250"/>
      <c r="XCX159" s="250"/>
      <c r="XCY159" s="250"/>
      <c r="XCZ159" s="250"/>
      <c r="XDA159" s="250"/>
      <c r="XDB159" s="250"/>
      <c r="XDC159" s="250"/>
      <c r="XDD159" s="250"/>
      <c r="XDE159" s="250"/>
      <c r="XDF159" s="250"/>
      <c r="XDG159" s="250"/>
      <c r="XDH159" s="250"/>
      <c r="XDI159" s="250"/>
      <c r="XDJ159" s="250"/>
      <c r="XDK159" s="250"/>
      <c r="XDL159" s="250"/>
      <c r="XDM159" s="250"/>
      <c r="XDN159" s="250"/>
      <c r="XDO159" s="250"/>
      <c r="XDP159" s="250"/>
      <c r="XDQ159" s="250"/>
      <c r="XDR159" s="250"/>
      <c r="XDS159" s="250"/>
      <c r="XDT159" s="250"/>
      <c r="XDU159" s="250"/>
      <c r="XDV159" s="250"/>
      <c r="XDW159" s="250"/>
      <c r="XDX159" s="250"/>
      <c r="XDY159" s="250"/>
      <c r="XDZ159" s="250"/>
      <c r="XEA159" s="250"/>
      <c r="XEB159" s="250"/>
      <c r="XEC159" s="250"/>
      <c r="XED159" s="250"/>
      <c r="XEE159" s="250"/>
      <c r="XEF159" s="250"/>
      <c r="XEG159" s="250"/>
      <c r="XEH159" s="250"/>
      <c r="XEI159" s="250"/>
      <c r="XEJ159" s="250"/>
      <c r="XEK159" s="250"/>
      <c r="XEL159" s="250"/>
      <c r="XEM159" s="250"/>
      <c r="XEN159" s="250"/>
      <c r="XEO159" s="250"/>
      <c r="XEP159" s="250"/>
      <c r="XEQ159" s="250"/>
      <c r="XER159" s="250"/>
      <c r="XES159" s="250"/>
      <c r="XET159" s="250"/>
      <c r="XEU159" s="250"/>
      <c r="XEV159" s="250"/>
      <c r="XEW159" s="250"/>
      <c r="XEX159" s="250"/>
      <c r="XEY159" s="250"/>
      <c r="XEZ159" s="250"/>
      <c r="XFA159" s="250"/>
      <c r="XFB159" s="250"/>
      <c r="XFC159" s="250"/>
    </row>
    <row r="160" spans="1:16383" ht="12" customHeight="1" x14ac:dyDescent="0.2">
      <c r="A160" s="229"/>
      <c r="B160" s="232" t="s">
        <v>67</v>
      </c>
      <c r="C160" s="303" t="s">
        <v>191</v>
      </c>
      <c r="H160" s="229"/>
      <c r="I160" s="229"/>
      <c r="J160" s="229"/>
      <c r="K160" s="229"/>
      <c r="M160" s="229">
        <f t="shared" ref="M160:S160" si="35">YEAR(M$4)</f>
        <v>2020</v>
      </c>
      <c r="N160" s="229">
        <f t="shared" si="35"/>
        <v>2021</v>
      </c>
      <c r="O160" s="229">
        <f t="shared" si="35"/>
        <v>2022</v>
      </c>
      <c r="P160" s="229">
        <f t="shared" si="35"/>
        <v>2023</v>
      </c>
      <c r="Q160" s="229">
        <f t="shared" si="35"/>
        <v>2024</v>
      </c>
      <c r="R160" s="229">
        <f t="shared" si="35"/>
        <v>2025</v>
      </c>
      <c r="S160" s="229">
        <f t="shared" si="35"/>
        <v>2026</v>
      </c>
      <c r="T160" s="229"/>
      <c r="U160" s="229"/>
      <c r="V160" s="229"/>
      <c r="W160" s="229"/>
    </row>
    <row r="161" spans="1:16383" ht="12" customHeight="1" x14ac:dyDescent="0.2">
      <c r="A161" s="229"/>
      <c r="C161" s="303"/>
      <c r="H161" s="229"/>
      <c r="I161" s="229"/>
      <c r="J161" s="229"/>
      <c r="K161" s="229"/>
      <c r="T161" s="229"/>
      <c r="U161" s="229"/>
      <c r="V161" s="229"/>
      <c r="W161" s="229"/>
    </row>
    <row r="162" spans="1:16383" ht="12" customHeight="1" x14ac:dyDescent="0.2">
      <c r="A162" s="229"/>
      <c r="B162" s="316" t="s">
        <v>410</v>
      </c>
      <c r="C162" s="320"/>
      <c r="D162" s="320"/>
      <c r="E162" s="320"/>
      <c r="F162" s="320"/>
      <c r="G162" s="320"/>
      <c r="H162" s="320"/>
      <c r="I162" s="320"/>
      <c r="J162" s="320"/>
      <c r="K162" s="320"/>
      <c r="L162" s="320"/>
      <c r="M162" s="320"/>
      <c r="N162" s="321"/>
      <c r="O162" s="320"/>
      <c r="P162" s="320"/>
      <c r="Q162" s="320"/>
      <c r="R162" s="320"/>
      <c r="S162" s="320"/>
      <c r="T162" s="320"/>
      <c r="U162" s="265"/>
      <c r="V162" s="265"/>
      <c r="W162" s="265"/>
      <c r="X162" s="265"/>
    </row>
    <row r="163" spans="1:16383" ht="12" customHeight="1" x14ac:dyDescent="0.2">
      <c r="A163" s="229"/>
      <c r="B163" s="322">
        <v>2020</v>
      </c>
      <c r="C163" s="303" t="s">
        <v>191</v>
      </c>
      <c r="D163" s="320"/>
      <c r="E163" s="320"/>
      <c r="F163" s="320"/>
      <c r="G163" s="320"/>
      <c r="H163" s="320"/>
      <c r="I163" s="320"/>
      <c r="J163" s="320"/>
      <c r="K163" s="323"/>
      <c r="L163" s="230"/>
      <c r="M163" s="324">
        <f>FV(M$158/12,$D$157, ,-1)</f>
        <v>1.0176281014918811</v>
      </c>
      <c r="N163" s="325">
        <f>FV(N$158/12,12, ,-M163)</f>
        <v>1.0538220322941403</v>
      </c>
      <c r="O163" s="325">
        <f t="shared" ref="O163:S167" si="36">FV(O$158/12,12, ,-N163)</f>
        <v>1.0913032709301731</v>
      </c>
      <c r="P163" s="325">
        <f t="shared" si="36"/>
        <v>1.1301176030171303</v>
      </c>
      <c r="Q163" s="325">
        <f t="shared" si="36"/>
        <v>1.1703124426270535</v>
      </c>
      <c r="R163" s="325">
        <f t="shared" si="36"/>
        <v>1.2119368902060537</v>
      </c>
      <c r="S163" s="325">
        <f t="shared" si="36"/>
        <v>1.2550417925534982</v>
      </c>
      <c r="T163" s="323"/>
      <c r="U163" s="265"/>
      <c r="V163" s="265"/>
      <c r="W163" s="265"/>
      <c r="X163" s="265"/>
    </row>
    <row r="164" spans="1:16383" ht="12" customHeight="1" x14ac:dyDescent="0.2">
      <c r="A164" s="229"/>
      <c r="B164" s="322">
        <v>2021</v>
      </c>
      <c r="C164" s="303" t="s">
        <v>191</v>
      </c>
      <c r="D164" s="320"/>
      <c r="E164" s="320"/>
      <c r="F164" s="320"/>
      <c r="G164" s="320"/>
      <c r="H164" s="320"/>
      <c r="I164" s="320"/>
      <c r="J164" s="320"/>
      <c r="K164" s="323"/>
      <c r="L164" s="230"/>
      <c r="M164" s="326"/>
      <c r="N164" s="324">
        <f>FV(N$158/12,$D$157, ,-1)</f>
        <v>1.0176281014918811</v>
      </c>
      <c r="O164" s="325">
        <f>FV(O$158/12,12, ,-N164)</f>
        <v>1.0538220322941403</v>
      </c>
      <c r="P164" s="325">
        <f t="shared" si="36"/>
        <v>1.0913032709301731</v>
      </c>
      <c r="Q164" s="325">
        <f t="shared" si="36"/>
        <v>1.1301176030171303</v>
      </c>
      <c r="R164" s="325">
        <f t="shared" si="36"/>
        <v>1.1703124426270535</v>
      </c>
      <c r="S164" s="325">
        <f t="shared" si="36"/>
        <v>1.2119368902060537</v>
      </c>
      <c r="T164" s="323"/>
      <c r="U164" s="265"/>
      <c r="V164" s="265"/>
      <c r="W164" s="265"/>
      <c r="X164" s="265"/>
    </row>
    <row r="165" spans="1:16383" ht="12" customHeight="1" x14ac:dyDescent="0.2">
      <c r="A165" s="229"/>
      <c r="B165" s="322">
        <v>2022</v>
      </c>
      <c r="C165" s="303" t="s">
        <v>191</v>
      </c>
      <c r="D165" s="320"/>
      <c r="E165" s="320"/>
      <c r="F165" s="320"/>
      <c r="G165" s="320"/>
      <c r="H165" s="320"/>
      <c r="I165" s="320"/>
      <c r="J165" s="320"/>
      <c r="K165" s="323"/>
      <c r="L165" s="230"/>
      <c r="M165" s="326"/>
      <c r="N165" s="326"/>
      <c r="O165" s="324">
        <f>FV(O$158/12,$D$157, ,-1)</f>
        <v>1.0176281014918811</v>
      </c>
      <c r="P165" s="325">
        <f>FV(P$158/12,12, ,-O165)</f>
        <v>1.0538220322941403</v>
      </c>
      <c r="Q165" s="325">
        <f t="shared" si="36"/>
        <v>1.0913032709301731</v>
      </c>
      <c r="R165" s="325">
        <f t="shared" si="36"/>
        <v>1.1301176030171303</v>
      </c>
      <c r="S165" s="325">
        <f t="shared" si="36"/>
        <v>1.1703124426270535</v>
      </c>
      <c r="T165" s="323"/>
      <c r="U165" s="265"/>
      <c r="V165" s="265"/>
      <c r="W165" s="265"/>
      <c r="X165" s="265"/>
    </row>
    <row r="166" spans="1:16383" ht="12" customHeight="1" x14ac:dyDescent="0.2">
      <c r="A166" s="229"/>
      <c r="B166" s="322">
        <v>2023</v>
      </c>
      <c r="C166" s="303" t="s">
        <v>191</v>
      </c>
      <c r="D166" s="320"/>
      <c r="E166" s="320"/>
      <c r="F166" s="320"/>
      <c r="G166" s="320"/>
      <c r="H166" s="320"/>
      <c r="I166" s="320"/>
      <c r="J166" s="320"/>
      <c r="K166" s="323"/>
      <c r="L166" s="230"/>
      <c r="M166" s="326"/>
      <c r="N166" s="327"/>
      <c r="O166" s="326"/>
      <c r="P166" s="324">
        <f>FV(P$158/12,$D$157, ,-1)</f>
        <v>1.0176281014918811</v>
      </c>
      <c r="Q166" s="325">
        <f>FV(Q$158/12,12, ,-P166)</f>
        <v>1.0538220322941403</v>
      </c>
      <c r="R166" s="325">
        <f t="shared" si="36"/>
        <v>1.0913032709301731</v>
      </c>
      <c r="S166" s="325">
        <f t="shared" si="36"/>
        <v>1.1301176030171303</v>
      </c>
      <c r="T166" s="323"/>
      <c r="U166" s="265"/>
      <c r="V166" s="265"/>
      <c r="W166" s="265"/>
      <c r="X166" s="265"/>
    </row>
    <row r="167" spans="1:16383" ht="12" customHeight="1" x14ac:dyDescent="0.2">
      <c r="A167" s="229"/>
      <c r="B167" s="322">
        <v>2024</v>
      </c>
      <c r="C167" s="303" t="s">
        <v>191</v>
      </c>
      <c r="D167" s="320"/>
      <c r="E167" s="320"/>
      <c r="F167" s="320"/>
      <c r="G167" s="320"/>
      <c r="H167" s="320"/>
      <c r="I167" s="320"/>
      <c r="J167" s="320"/>
      <c r="K167" s="323"/>
      <c r="L167" s="230"/>
      <c r="M167" s="326"/>
      <c r="N167" s="326"/>
      <c r="O167" s="326"/>
      <c r="P167" s="326"/>
      <c r="Q167" s="324">
        <f>FV(Q$158/12,$D$157, ,-1)</f>
        <v>1.0176281014918811</v>
      </c>
      <c r="R167" s="325">
        <f>FV(R$158/12,12, ,-Q167)</f>
        <v>1.0538220322941403</v>
      </c>
      <c r="S167" s="325">
        <f t="shared" si="36"/>
        <v>1.0913032709301731</v>
      </c>
      <c r="T167" s="323"/>
      <c r="U167" s="265"/>
      <c r="V167" s="265"/>
      <c r="W167" s="265"/>
      <c r="X167" s="265"/>
    </row>
    <row r="168" spans="1:16383" ht="12" customHeight="1" x14ac:dyDescent="0.2">
      <c r="A168" s="229"/>
      <c r="B168" s="322">
        <v>2025</v>
      </c>
      <c r="C168" s="303" t="s">
        <v>191</v>
      </c>
      <c r="D168" s="320"/>
      <c r="E168" s="320"/>
      <c r="F168" s="320"/>
      <c r="G168" s="320"/>
      <c r="H168" s="320"/>
      <c r="I168" s="320"/>
      <c r="J168" s="320"/>
      <c r="K168" s="323"/>
      <c r="L168" s="230"/>
      <c r="M168" s="326"/>
      <c r="N168" s="326"/>
      <c r="O168" s="326"/>
      <c r="P168" s="326"/>
      <c r="Q168" s="326"/>
      <c r="R168" s="324">
        <f>FV(R$158/12,$D$157, ,-1)</f>
        <v>1.0176281014918811</v>
      </c>
      <c r="S168" s="325">
        <f>FV(S$158/12,12, ,-R168)</f>
        <v>1.0538220322941403</v>
      </c>
      <c r="T168" s="323"/>
      <c r="U168" s="265"/>
      <c r="V168" s="265"/>
      <c r="W168" s="265"/>
      <c r="X168" s="265"/>
    </row>
    <row r="169" spans="1:16383" ht="12" customHeight="1" x14ac:dyDescent="0.2">
      <c r="A169" s="229"/>
      <c r="B169" s="322">
        <v>2026</v>
      </c>
      <c r="C169" s="303" t="s">
        <v>191</v>
      </c>
      <c r="D169" s="320"/>
      <c r="E169" s="320"/>
      <c r="F169" s="320"/>
      <c r="G169" s="320"/>
      <c r="H169" s="320"/>
      <c r="I169" s="320"/>
      <c r="J169" s="320"/>
      <c r="K169" s="323"/>
      <c r="L169" s="230"/>
      <c r="M169" s="326"/>
      <c r="N169" s="326"/>
      <c r="O169" s="326"/>
      <c r="P169" s="326"/>
      <c r="Q169" s="326"/>
      <c r="R169" s="326"/>
      <c r="S169" s="324">
        <f>FV(S$158/12,$D$157, ,-1)</f>
        <v>1.0176281014918811</v>
      </c>
      <c r="T169" s="323"/>
      <c r="U169" s="265"/>
      <c r="V169" s="265"/>
      <c r="W169" s="265"/>
      <c r="X169" s="265"/>
    </row>
    <row r="170" spans="1:16383" ht="12" customHeight="1" x14ac:dyDescent="0.2">
      <c r="A170" s="229"/>
      <c r="B170" s="322">
        <v>2027</v>
      </c>
      <c r="C170" s="303" t="s">
        <v>191</v>
      </c>
      <c r="D170" s="320"/>
      <c r="E170" s="320"/>
      <c r="F170" s="320"/>
      <c r="G170" s="320"/>
      <c r="H170" s="320"/>
      <c r="I170" s="320"/>
      <c r="J170" s="320"/>
      <c r="K170" s="323"/>
      <c r="L170" s="230"/>
      <c r="M170" s="326"/>
      <c r="N170" s="326"/>
      <c r="O170" s="326"/>
      <c r="P170" s="326"/>
      <c r="Q170" s="326"/>
      <c r="R170" s="326"/>
      <c r="S170" s="325"/>
    </row>
    <row r="171" spans="1:16383" ht="12" customHeight="1" x14ac:dyDescent="0.2">
      <c r="A171" s="229"/>
    </row>
    <row r="172" spans="1:16383" s="229" customFormat="1" ht="12" customHeight="1" x14ac:dyDescent="0.2">
      <c r="B172" s="287" t="s">
        <v>411</v>
      </c>
      <c r="C172" s="314"/>
      <c r="D172" s="315"/>
      <c r="E172" s="314"/>
      <c r="F172" s="242"/>
      <c r="G172" s="302"/>
      <c r="H172" s="302"/>
      <c r="I172" s="302"/>
      <c r="J172" s="302"/>
      <c r="K172" s="242"/>
      <c r="L172" s="242"/>
      <c r="M172" s="242"/>
      <c r="N172" s="242"/>
      <c r="O172" s="242"/>
      <c r="P172" s="242"/>
      <c r="Q172" s="242"/>
      <c r="R172" s="242"/>
      <c r="S172" s="242"/>
    </row>
    <row r="173" spans="1:16383" ht="12" customHeight="1" x14ac:dyDescent="0.2">
      <c r="A173" s="229"/>
      <c r="B173" s="250"/>
      <c r="C173" s="250"/>
      <c r="D173" s="250"/>
      <c r="E173" s="250"/>
      <c r="F173" s="250"/>
      <c r="G173" s="250"/>
      <c r="H173" s="250"/>
      <c r="I173" s="250"/>
      <c r="J173" s="250"/>
      <c r="K173" s="250"/>
      <c r="L173" s="250"/>
      <c r="M173" s="250"/>
      <c r="N173" s="250"/>
      <c r="O173" s="250"/>
      <c r="P173" s="250"/>
      <c r="Q173" s="250"/>
      <c r="R173" s="250"/>
      <c r="S173" s="250"/>
      <c r="T173" s="250"/>
      <c r="U173" s="265"/>
      <c r="V173" s="265"/>
      <c r="W173" s="265"/>
      <c r="X173" s="265"/>
    </row>
    <row r="174" spans="1:16383" ht="12" customHeight="1" x14ac:dyDescent="0.2">
      <c r="A174" s="229"/>
      <c r="B174" s="316" t="s">
        <v>14</v>
      </c>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c r="DY174" s="250"/>
      <c r="DZ174" s="250"/>
      <c r="EA174" s="250"/>
      <c r="EB174" s="250"/>
      <c r="EC174" s="250"/>
      <c r="ED174" s="250"/>
      <c r="EE174" s="250"/>
      <c r="EF174" s="250"/>
      <c r="EG174" s="250"/>
      <c r="EH174" s="250"/>
      <c r="EI174" s="250"/>
      <c r="EJ174" s="250"/>
      <c r="EK174" s="250"/>
      <c r="EL174" s="250"/>
      <c r="EM174" s="250"/>
      <c r="EN174" s="250"/>
      <c r="EO174" s="250"/>
      <c r="EP174" s="250"/>
      <c r="EQ174" s="250"/>
      <c r="ER174" s="250"/>
      <c r="ES174" s="250"/>
      <c r="ET174" s="250"/>
      <c r="EU174" s="250"/>
      <c r="EV174" s="250"/>
      <c r="EW174" s="250"/>
      <c r="EX174" s="250"/>
      <c r="EY174" s="250"/>
      <c r="EZ174" s="250"/>
      <c r="FA174" s="250"/>
      <c r="FB174" s="250"/>
      <c r="FC174" s="250"/>
      <c r="FD174" s="250"/>
      <c r="FE174" s="250"/>
      <c r="FF174" s="250"/>
      <c r="FG174" s="250"/>
      <c r="FH174" s="250"/>
      <c r="FI174" s="250"/>
      <c r="FJ174" s="250"/>
      <c r="FK174" s="250"/>
      <c r="FL174" s="250"/>
      <c r="FM174" s="250"/>
      <c r="FN174" s="250"/>
      <c r="FO174" s="250"/>
      <c r="FP174" s="250"/>
      <c r="FQ174" s="250"/>
      <c r="FR174" s="250"/>
      <c r="FS174" s="250"/>
      <c r="FT174" s="250"/>
      <c r="FU174" s="250"/>
      <c r="FV174" s="250"/>
      <c r="FW174" s="250"/>
      <c r="FX174" s="250"/>
      <c r="FY174" s="250"/>
      <c r="FZ174" s="250"/>
      <c r="GA174" s="250"/>
      <c r="GB174" s="250"/>
      <c r="GC174" s="250"/>
      <c r="GD174" s="250"/>
      <c r="GE174" s="250"/>
      <c r="GF174" s="250"/>
      <c r="GG174" s="250"/>
      <c r="GH174" s="250"/>
      <c r="GI174" s="250"/>
      <c r="GJ174" s="250"/>
      <c r="GK174" s="250"/>
      <c r="GL174" s="250"/>
      <c r="GM174" s="250"/>
      <c r="GN174" s="250"/>
      <c r="GO174" s="250"/>
      <c r="GP174" s="250"/>
      <c r="GQ174" s="250"/>
      <c r="GR174" s="250"/>
      <c r="GS174" s="250"/>
      <c r="GT174" s="250"/>
      <c r="GU174" s="250"/>
      <c r="GV174" s="250"/>
      <c r="GW174" s="250"/>
      <c r="GX174" s="250"/>
      <c r="GY174" s="250"/>
      <c r="GZ174" s="250"/>
      <c r="HA174" s="250"/>
      <c r="HB174" s="250"/>
      <c r="HC174" s="250"/>
      <c r="HD174" s="250"/>
      <c r="HE174" s="250"/>
      <c r="HF174" s="250"/>
      <c r="HG174" s="250"/>
      <c r="HH174" s="250"/>
      <c r="HI174" s="250"/>
      <c r="HJ174" s="250"/>
      <c r="HK174" s="250"/>
      <c r="HL174" s="250"/>
      <c r="HM174" s="250"/>
      <c r="HN174" s="250"/>
      <c r="HO174" s="250"/>
      <c r="HP174" s="250"/>
      <c r="HQ174" s="250"/>
      <c r="HR174" s="250"/>
      <c r="HS174" s="250"/>
      <c r="HT174" s="250"/>
      <c r="HU174" s="250"/>
      <c r="HV174" s="250"/>
      <c r="HW174" s="250"/>
      <c r="HX174" s="250"/>
      <c r="HY174" s="250"/>
      <c r="HZ174" s="250"/>
      <c r="IA174" s="250"/>
      <c r="IB174" s="250"/>
      <c r="IC174" s="250"/>
      <c r="ID174" s="250"/>
      <c r="IE174" s="250"/>
      <c r="IF174" s="250"/>
      <c r="IG174" s="250"/>
      <c r="IH174" s="250"/>
      <c r="II174" s="250"/>
      <c r="IJ174" s="250"/>
      <c r="IK174" s="250"/>
      <c r="IL174" s="250"/>
      <c r="IM174" s="250"/>
      <c r="IN174" s="250"/>
      <c r="IO174" s="250"/>
      <c r="IP174" s="250"/>
      <c r="IQ174" s="250"/>
      <c r="IR174" s="250"/>
      <c r="IS174" s="250"/>
      <c r="IT174" s="250"/>
      <c r="IU174" s="250"/>
      <c r="IV174" s="250"/>
      <c r="IW174" s="250"/>
      <c r="IX174" s="250"/>
      <c r="IY174" s="250"/>
      <c r="IZ174" s="250"/>
      <c r="JA174" s="250"/>
      <c r="JB174" s="250"/>
      <c r="JC174" s="250"/>
      <c r="JD174" s="250"/>
      <c r="JE174" s="250"/>
      <c r="JF174" s="250"/>
      <c r="JG174" s="250"/>
      <c r="JH174" s="250"/>
      <c r="JI174" s="250"/>
      <c r="JJ174" s="250"/>
      <c r="JK174" s="250"/>
      <c r="JL174" s="250"/>
      <c r="JM174" s="250"/>
      <c r="JN174" s="250"/>
      <c r="JO174" s="250"/>
      <c r="JP174" s="250"/>
      <c r="JQ174" s="250"/>
      <c r="JR174" s="250"/>
      <c r="JS174" s="250"/>
      <c r="JT174" s="250"/>
      <c r="JU174" s="250"/>
      <c r="JV174" s="250"/>
      <c r="JW174" s="250"/>
      <c r="JX174" s="250"/>
      <c r="JY174" s="250"/>
      <c r="JZ174" s="250"/>
      <c r="KA174" s="250"/>
      <c r="KB174" s="250"/>
      <c r="KC174" s="250"/>
      <c r="KD174" s="250"/>
      <c r="KE174" s="250"/>
      <c r="KF174" s="250"/>
      <c r="KG174" s="250"/>
      <c r="KH174" s="250"/>
      <c r="KI174" s="250"/>
      <c r="KJ174" s="250"/>
      <c r="KK174" s="250"/>
      <c r="KL174" s="250"/>
      <c r="KM174" s="250"/>
      <c r="KN174" s="250"/>
      <c r="KO174" s="250"/>
      <c r="KP174" s="250"/>
      <c r="KQ174" s="250"/>
      <c r="KR174" s="250"/>
      <c r="KS174" s="250"/>
      <c r="KT174" s="250"/>
      <c r="KU174" s="250"/>
      <c r="KV174" s="250"/>
      <c r="KW174" s="250"/>
      <c r="KX174" s="250"/>
      <c r="KY174" s="250"/>
      <c r="KZ174" s="250"/>
      <c r="LA174" s="250"/>
      <c r="LB174" s="250"/>
      <c r="LC174" s="250"/>
      <c r="LD174" s="250"/>
      <c r="LE174" s="250"/>
      <c r="LF174" s="250"/>
      <c r="LG174" s="250"/>
      <c r="LH174" s="250"/>
      <c r="LI174" s="250"/>
      <c r="LJ174" s="250"/>
      <c r="LK174" s="250"/>
      <c r="LL174" s="250"/>
      <c r="LM174" s="250"/>
      <c r="LN174" s="250"/>
      <c r="LO174" s="250"/>
      <c r="LP174" s="250"/>
      <c r="LQ174" s="250"/>
      <c r="LR174" s="250"/>
      <c r="LS174" s="250"/>
      <c r="LT174" s="250"/>
      <c r="LU174" s="250"/>
      <c r="LV174" s="250"/>
      <c r="LW174" s="250"/>
      <c r="LX174" s="250"/>
      <c r="LY174" s="250"/>
      <c r="LZ174" s="250"/>
      <c r="MA174" s="250"/>
      <c r="MB174" s="250"/>
      <c r="MC174" s="250"/>
      <c r="MD174" s="250"/>
      <c r="ME174" s="250"/>
      <c r="MF174" s="250"/>
      <c r="MG174" s="250"/>
      <c r="MH174" s="250"/>
      <c r="MI174" s="250"/>
      <c r="MJ174" s="250"/>
      <c r="MK174" s="250"/>
      <c r="ML174" s="250"/>
      <c r="MM174" s="250"/>
      <c r="MN174" s="250"/>
      <c r="MO174" s="250"/>
      <c r="MP174" s="250"/>
      <c r="MQ174" s="250"/>
      <c r="MR174" s="250"/>
      <c r="MS174" s="250"/>
      <c r="MT174" s="250"/>
      <c r="MU174" s="250"/>
      <c r="MV174" s="250"/>
      <c r="MW174" s="250"/>
      <c r="MX174" s="250"/>
      <c r="MY174" s="250"/>
      <c r="MZ174" s="250"/>
      <c r="NA174" s="250"/>
      <c r="NB174" s="250"/>
      <c r="NC174" s="250"/>
      <c r="ND174" s="250"/>
      <c r="NE174" s="250"/>
      <c r="NF174" s="250"/>
      <c r="NG174" s="250"/>
      <c r="NH174" s="250"/>
      <c r="NI174" s="250"/>
      <c r="NJ174" s="250"/>
      <c r="NK174" s="250"/>
      <c r="NL174" s="250"/>
      <c r="NM174" s="250"/>
      <c r="NN174" s="250"/>
      <c r="NO174" s="250"/>
      <c r="NP174" s="250"/>
      <c r="NQ174" s="250"/>
      <c r="NR174" s="250"/>
      <c r="NS174" s="250"/>
      <c r="NT174" s="250"/>
      <c r="NU174" s="250"/>
      <c r="NV174" s="250"/>
      <c r="NW174" s="250"/>
      <c r="NX174" s="250"/>
      <c r="NY174" s="250"/>
      <c r="NZ174" s="250"/>
      <c r="OA174" s="250"/>
      <c r="OB174" s="250"/>
      <c r="OC174" s="250"/>
      <c r="OD174" s="250"/>
      <c r="OE174" s="250"/>
      <c r="OF174" s="250"/>
      <c r="OG174" s="250"/>
      <c r="OH174" s="250"/>
      <c r="OI174" s="250"/>
      <c r="OJ174" s="250"/>
      <c r="OK174" s="250"/>
      <c r="OL174" s="250"/>
      <c r="OM174" s="250"/>
      <c r="ON174" s="250"/>
      <c r="OO174" s="250"/>
      <c r="OP174" s="250"/>
      <c r="OQ174" s="250"/>
      <c r="OR174" s="250"/>
      <c r="OS174" s="250"/>
      <c r="OT174" s="250"/>
      <c r="OU174" s="250"/>
      <c r="OV174" s="250"/>
      <c r="OW174" s="250"/>
      <c r="OX174" s="250"/>
      <c r="OY174" s="250"/>
      <c r="OZ174" s="250"/>
      <c r="PA174" s="250"/>
      <c r="PB174" s="250"/>
      <c r="PC174" s="250"/>
      <c r="PD174" s="250"/>
      <c r="PE174" s="250"/>
      <c r="PF174" s="250"/>
      <c r="PG174" s="250"/>
      <c r="PH174" s="250"/>
      <c r="PI174" s="250"/>
      <c r="PJ174" s="250"/>
      <c r="PK174" s="250"/>
      <c r="PL174" s="250"/>
      <c r="PM174" s="250"/>
      <c r="PN174" s="250"/>
      <c r="PO174" s="250"/>
      <c r="PP174" s="250"/>
      <c r="PQ174" s="250"/>
      <c r="PR174" s="250"/>
      <c r="PS174" s="250"/>
      <c r="PT174" s="250"/>
      <c r="PU174" s="250"/>
      <c r="PV174" s="250"/>
      <c r="PW174" s="250"/>
      <c r="PX174" s="250"/>
      <c r="PY174" s="250"/>
      <c r="PZ174" s="250"/>
      <c r="QA174" s="250"/>
      <c r="QB174" s="250"/>
      <c r="QC174" s="250"/>
      <c r="QD174" s="250"/>
      <c r="QE174" s="250"/>
      <c r="QF174" s="250"/>
      <c r="QG174" s="250"/>
      <c r="QH174" s="250"/>
      <c r="QI174" s="250"/>
      <c r="QJ174" s="250"/>
      <c r="QK174" s="250"/>
      <c r="QL174" s="250"/>
      <c r="QM174" s="250"/>
      <c r="QN174" s="250"/>
      <c r="QO174" s="250"/>
      <c r="QP174" s="250"/>
      <c r="QQ174" s="250"/>
      <c r="QR174" s="250"/>
      <c r="QS174" s="250"/>
      <c r="QT174" s="250"/>
      <c r="QU174" s="250"/>
      <c r="QV174" s="250"/>
      <c r="QW174" s="250"/>
      <c r="QX174" s="250"/>
      <c r="QY174" s="250"/>
      <c r="QZ174" s="250"/>
      <c r="RA174" s="250"/>
      <c r="RB174" s="250"/>
      <c r="RC174" s="250"/>
      <c r="RD174" s="250"/>
      <c r="RE174" s="250"/>
      <c r="RF174" s="250"/>
      <c r="RG174" s="250"/>
      <c r="RH174" s="250"/>
      <c r="RI174" s="250"/>
      <c r="RJ174" s="250"/>
      <c r="RK174" s="250"/>
      <c r="RL174" s="250"/>
      <c r="RM174" s="250"/>
      <c r="RN174" s="250"/>
      <c r="RO174" s="250"/>
      <c r="RP174" s="250"/>
      <c r="RQ174" s="250"/>
      <c r="RR174" s="250"/>
      <c r="RS174" s="250"/>
      <c r="RT174" s="250"/>
      <c r="RU174" s="250"/>
      <c r="RV174" s="250"/>
      <c r="RW174" s="250"/>
      <c r="RX174" s="250"/>
      <c r="RY174" s="250"/>
      <c r="RZ174" s="250"/>
      <c r="SA174" s="250"/>
      <c r="SB174" s="250"/>
      <c r="SC174" s="250"/>
      <c r="SD174" s="250"/>
      <c r="SE174" s="250"/>
      <c r="SF174" s="250"/>
      <c r="SG174" s="250"/>
      <c r="SH174" s="250"/>
      <c r="SI174" s="250"/>
      <c r="SJ174" s="250"/>
      <c r="SK174" s="250"/>
      <c r="SL174" s="250"/>
      <c r="SM174" s="250"/>
      <c r="SN174" s="250"/>
      <c r="SO174" s="250"/>
      <c r="SP174" s="250"/>
      <c r="SQ174" s="250"/>
      <c r="SR174" s="250"/>
      <c r="SS174" s="250"/>
      <c r="ST174" s="250"/>
      <c r="SU174" s="250"/>
      <c r="SV174" s="250"/>
      <c r="SW174" s="250"/>
      <c r="SX174" s="250"/>
      <c r="SY174" s="250"/>
      <c r="SZ174" s="250"/>
      <c r="TA174" s="250"/>
      <c r="TB174" s="250"/>
      <c r="TC174" s="250"/>
      <c r="TD174" s="250"/>
      <c r="TE174" s="250"/>
      <c r="TF174" s="250"/>
      <c r="TG174" s="250"/>
      <c r="TH174" s="250"/>
      <c r="TI174" s="250"/>
      <c r="TJ174" s="250"/>
      <c r="TK174" s="250"/>
      <c r="TL174" s="250"/>
      <c r="TM174" s="250"/>
      <c r="TN174" s="250"/>
      <c r="TO174" s="250"/>
      <c r="TP174" s="250"/>
      <c r="TQ174" s="250"/>
      <c r="TR174" s="250"/>
      <c r="TS174" s="250"/>
      <c r="TT174" s="250"/>
      <c r="TU174" s="250"/>
      <c r="TV174" s="250"/>
      <c r="TW174" s="250"/>
      <c r="TX174" s="250"/>
      <c r="TY174" s="250"/>
      <c r="TZ174" s="250"/>
      <c r="UA174" s="250"/>
      <c r="UB174" s="250"/>
      <c r="UC174" s="250"/>
      <c r="UD174" s="250"/>
      <c r="UE174" s="250"/>
      <c r="UF174" s="250"/>
      <c r="UG174" s="250"/>
      <c r="UH174" s="250"/>
      <c r="UI174" s="250"/>
      <c r="UJ174" s="250"/>
      <c r="UK174" s="250"/>
      <c r="UL174" s="250"/>
      <c r="UM174" s="250"/>
      <c r="UN174" s="250"/>
      <c r="UO174" s="250"/>
      <c r="UP174" s="250"/>
      <c r="UQ174" s="250"/>
      <c r="UR174" s="250"/>
      <c r="US174" s="250"/>
      <c r="UT174" s="250"/>
      <c r="UU174" s="250"/>
      <c r="UV174" s="250"/>
      <c r="UW174" s="250"/>
      <c r="UX174" s="250"/>
      <c r="UY174" s="250"/>
      <c r="UZ174" s="250"/>
      <c r="VA174" s="250"/>
      <c r="VB174" s="250"/>
      <c r="VC174" s="250"/>
      <c r="VD174" s="250"/>
      <c r="VE174" s="250"/>
      <c r="VF174" s="250"/>
      <c r="VG174" s="250"/>
      <c r="VH174" s="250"/>
      <c r="VI174" s="250"/>
      <c r="VJ174" s="250"/>
      <c r="VK174" s="250"/>
      <c r="VL174" s="250"/>
      <c r="VM174" s="250"/>
      <c r="VN174" s="250"/>
      <c r="VO174" s="250"/>
      <c r="VP174" s="250"/>
      <c r="VQ174" s="250"/>
      <c r="VR174" s="250"/>
      <c r="VS174" s="250"/>
      <c r="VT174" s="250"/>
      <c r="VU174" s="250"/>
      <c r="VV174" s="250"/>
      <c r="VW174" s="250"/>
      <c r="VX174" s="250"/>
      <c r="VY174" s="250"/>
      <c r="VZ174" s="250"/>
      <c r="WA174" s="250"/>
      <c r="WB174" s="250"/>
      <c r="WC174" s="250"/>
      <c r="WD174" s="250"/>
      <c r="WE174" s="250"/>
      <c r="WF174" s="250"/>
      <c r="WG174" s="250"/>
      <c r="WH174" s="250"/>
      <c r="WI174" s="250"/>
      <c r="WJ174" s="250"/>
      <c r="WK174" s="250"/>
      <c r="WL174" s="250"/>
      <c r="WM174" s="250"/>
      <c r="WN174" s="250"/>
      <c r="WO174" s="250"/>
      <c r="WP174" s="250"/>
      <c r="WQ174" s="250"/>
      <c r="WR174" s="250"/>
      <c r="WS174" s="250"/>
      <c r="WT174" s="250"/>
      <c r="WU174" s="250"/>
      <c r="WV174" s="250"/>
      <c r="WW174" s="250"/>
      <c r="WX174" s="250"/>
      <c r="WY174" s="250"/>
      <c r="WZ174" s="250"/>
      <c r="XA174" s="250"/>
      <c r="XB174" s="250"/>
      <c r="XC174" s="250"/>
      <c r="XD174" s="250"/>
      <c r="XE174" s="250"/>
      <c r="XF174" s="250"/>
      <c r="XG174" s="250"/>
      <c r="XH174" s="250"/>
      <c r="XI174" s="250"/>
      <c r="XJ174" s="250"/>
      <c r="XK174" s="250"/>
      <c r="XL174" s="250"/>
      <c r="XM174" s="250"/>
      <c r="XN174" s="250"/>
      <c r="XO174" s="250"/>
      <c r="XP174" s="250"/>
      <c r="XQ174" s="250"/>
      <c r="XR174" s="250"/>
      <c r="XS174" s="250"/>
      <c r="XT174" s="250"/>
      <c r="XU174" s="250"/>
      <c r="XV174" s="250"/>
      <c r="XW174" s="250"/>
      <c r="XX174" s="250"/>
      <c r="XY174" s="250"/>
      <c r="XZ174" s="250"/>
      <c r="YA174" s="250"/>
      <c r="YB174" s="250"/>
      <c r="YC174" s="250"/>
      <c r="YD174" s="250"/>
      <c r="YE174" s="250"/>
      <c r="YF174" s="250"/>
      <c r="YG174" s="250"/>
      <c r="YH174" s="250"/>
      <c r="YI174" s="250"/>
      <c r="YJ174" s="250"/>
      <c r="YK174" s="250"/>
      <c r="YL174" s="250"/>
      <c r="YM174" s="250"/>
      <c r="YN174" s="250"/>
      <c r="YO174" s="250"/>
      <c r="YP174" s="250"/>
      <c r="YQ174" s="250"/>
      <c r="YR174" s="250"/>
      <c r="YS174" s="250"/>
      <c r="YT174" s="250"/>
      <c r="YU174" s="250"/>
      <c r="YV174" s="250"/>
      <c r="YW174" s="250"/>
      <c r="YX174" s="250"/>
      <c r="YY174" s="250"/>
      <c r="YZ174" s="250"/>
      <c r="ZA174" s="250"/>
      <c r="ZB174" s="250"/>
      <c r="ZC174" s="250"/>
      <c r="ZD174" s="250"/>
      <c r="ZE174" s="250"/>
      <c r="ZF174" s="250"/>
      <c r="ZG174" s="250"/>
      <c r="ZH174" s="250"/>
      <c r="ZI174" s="250"/>
      <c r="ZJ174" s="250"/>
      <c r="ZK174" s="250"/>
      <c r="ZL174" s="250"/>
      <c r="ZM174" s="250"/>
      <c r="ZN174" s="250"/>
      <c r="ZO174" s="250"/>
      <c r="ZP174" s="250"/>
      <c r="ZQ174" s="250"/>
      <c r="ZR174" s="250"/>
      <c r="ZS174" s="250"/>
      <c r="ZT174" s="250"/>
      <c r="ZU174" s="250"/>
      <c r="ZV174" s="250"/>
      <c r="ZW174" s="250"/>
      <c r="ZX174" s="250"/>
      <c r="ZY174" s="250"/>
      <c r="ZZ174" s="250"/>
      <c r="AAA174" s="250"/>
      <c r="AAB174" s="250"/>
      <c r="AAC174" s="250"/>
      <c r="AAD174" s="250"/>
      <c r="AAE174" s="250"/>
      <c r="AAF174" s="250"/>
      <c r="AAG174" s="250"/>
      <c r="AAH174" s="250"/>
      <c r="AAI174" s="250"/>
      <c r="AAJ174" s="250"/>
      <c r="AAK174" s="250"/>
      <c r="AAL174" s="250"/>
      <c r="AAM174" s="250"/>
      <c r="AAN174" s="250"/>
      <c r="AAO174" s="250"/>
      <c r="AAP174" s="250"/>
      <c r="AAQ174" s="250"/>
      <c r="AAR174" s="250"/>
      <c r="AAS174" s="250"/>
      <c r="AAT174" s="250"/>
      <c r="AAU174" s="250"/>
      <c r="AAV174" s="250"/>
      <c r="AAW174" s="250"/>
      <c r="AAX174" s="250"/>
      <c r="AAY174" s="250"/>
      <c r="AAZ174" s="250"/>
      <c r="ABA174" s="250"/>
      <c r="ABB174" s="250"/>
      <c r="ABC174" s="250"/>
      <c r="ABD174" s="250"/>
      <c r="ABE174" s="250"/>
      <c r="ABF174" s="250"/>
      <c r="ABG174" s="250"/>
      <c r="ABH174" s="250"/>
      <c r="ABI174" s="250"/>
      <c r="ABJ174" s="250"/>
      <c r="ABK174" s="250"/>
      <c r="ABL174" s="250"/>
      <c r="ABM174" s="250"/>
      <c r="ABN174" s="250"/>
      <c r="ABO174" s="250"/>
      <c r="ABP174" s="250"/>
      <c r="ABQ174" s="250"/>
      <c r="ABR174" s="250"/>
      <c r="ABS174" s="250"/>
      <c r="ABT174" s="250"/>
      <c r="ABU174" s="250"/>
      <c r="ABV174" s="250"/>
      <c r="ABW174" s="250"/>
      <c r="ABX174" s="250"/>
      <c r="ABY174" s="250"/>
      <c r="ABZ174" s="250"/>
      <c r="ACA174" s="250"/>
      <c r="ACB174" s="250"/>
      <c r="ACC174" s="250"/>
      <c r="ACD174" s="250"/>
      <c r="ACE174" s="250"/>
      <c r="ACF174" s="250"/>
      <c r="ACG174" s="250"/>
      <c r="ACH174" s="250"/>
      <c r="ACI174" s="250"/>
      <c r="ACJ174" s="250"/>
      <c r="ACK174" s="250"/>
      <c r="ACL174" s="250"/>
      <c r="ACM174" s="250"/>
      <c r="ACN174" s="250"/>
      <c r="ACO174" s="250"/>
      <c r="ACP174" s="250"/>
      <c r="ACQ174" s="250"/>
      <c r="ACR174" s="250"/>
      <c r="ACS174" s="250"/>
      <c r="ACT174" s="250"/>
      <c r="ACU174" s="250"/>
      <c r="ACV174" s="250"/>
      <c r="ACW174" s="250"/>
      <c r="ACX174" s="250"/>
      <c r="ACY174" s="250"/>
      <c r="ACZ174" s="250"/>
      <c r="ADA174" s="250"/>
      <c r="ADB174" s="250"/>
      <c r="ADC174" s="250"/>
      <c r="ADD174" s="250"/>
      <c r="ADE174" s="250"/>
      <c r="ADF174" s="250"/>
      <c r="ADG174" s="250"/>
      <c r="ADH174" s="250"/>
      <c r="ADI174" s="250"/>
      <c r="ADJ174" s="250"/>
      <c r="ADK174" s="250"/>
      <c r="ADL174" s="250"/>
      <c r="ADM174" s="250"/>
      <c r="ADN174" s="250"/>
      <c r="ADO174" s="250"/>
      <c r="ADP174" s="250"/>
      <c r="ADQ174" s="250"/>
      <c r="ADR174" s="250"/>
      <c r="ADS174" s="250"/>
      <c r="ADT174" s="250"/>
      <c r="ADU174" s="250"/>
      <c r="ADV174" s="250"/>
      <c r="ADW174" s="250"/>
      <c r="ADX174" s="250"/>
      <c r="ADY174" s="250"/>
      <c r="ADZ174" s="250"/>
      <c r="AEA174" s="250"/>
      <c r="AEB174" s="250"/>
      <c r="AEC174" s="250"/>
      <c r="AED174" s="250"/>
      <c r="AEE174" s="250"/>
      <c r="AEF174" s="250"/>
      <c r="AEG174" s="250"/>
      <c r="AEH174" s="250"/>
      <c r="AEI174" s="250"/>
      <c r="AEJ174" s="250"/>
      <c r="AEK174" s="250"/>
      <c r="AEL174" s="250"/>
      <c r="AEM174" s="250"/>
      <c r="AEN174" s="250"/>
      <c r="AEO174" s="250"/>
      <c r="AEP174" s="250"/>
      <c r="AEQ174" s="250"/>
      <c r="AER174" s="250"/>
      <c r="AES174" s="250"/>
      <c r="AET174" s="250"/>
      <c r="AEU174" s="250"/>
      <c r="AEV174" s="250"/>
      <c r="AEW174" s="250"/>
      <c r="AEX174" s="250"/>
      <c r="AEY174" s="250"/>
      <c r="AEZ174" s="250"/>
      <c r="AFA174" s="250"/>
      <c r="AFB174" s="250"/>
      <c r="AFC174" s="250"/>
      <c r="AFD174" s="250"/>
      <c r="AFE174" s="250"/>
      <c r="AFF174" s="250"/>
      <c r="AFG174" s="250"/>
      <c r="AFH174" s="250"/>
      <c r="AFI174" s="250"/>
      <c r="AFJ174" s="250"/>
      <c r="AFK174" s="250"/>
      <c r="AFL174" s="250"/>
      <c r="AFM174" s="250"/>
      <c r="AFN174" s="250"/>
      <c r="AFO174" s="250"/>
      <c r="AFP174" s="250"/>
      <c r="AFQ174" s="250"/>
      <c r="AFR174" s="250"/>
      <c r="AFS174" s="250"/>
      <c r="AFT174" s="250"/>
      <c r="AFU174" s="250"/>
      <c r="AFV174" s="250"/>
      <c r="AFW174" s="250"/>
      <c r="AFX174" s="250"/>
      <c r="AFY174" s="250"/>
      <c r="AFZ174" s="250"/>
      <c r="AGA174" s="250"/>
      <c r="AGB174" s="250"/>
      <c r="AGC174" s="250"/>
      <c r="AGD174" s="250"/>
      <c r="AGE174" s="250"/>
      <c r="AGF174" s="250"/>
      <c r="AGG174" s="250"/>
      <c r="AGH174" s="250"/>
      <c r="AGI174" s="250"/>
      <c r="AGJ174" s="250"/>
      <c r="AGK174" s="250"/>
      <c r="AGL174" s="250"/>
      <c r="AGM174" s="250"/>
      <c r="AGN174" s="250"/>
      <c r="AGO174" s="250"/>
      <c r="AGP174" s="250"/>
      <c r="AGQ174" s="250"/>
      <c r="AGR174" s="250"/>
      <c r="AGS174" s="250"/>
      <c r="AGT174" s="250"/>
      <c r="AGU174" s="250"/>
      <c r="AGV174" s="250"/>
      <c r="AGW174" s="250"/>
      <c r="AGX174" s="250"/>
      <c r="AGY174" s="250"/>
      <c r="AGZ174" s="250"/>
      <c r="AHA174" s="250"/>
      <c r="AHB174" s="250"/>
      <c r="AHC174" s="250"/>
      <c r="AHD174" s="250"/>
      <c r="AHE174" s="250"/>
      <c r="AHF174" s="250"/>
      <c r="AHG174" s="250"/>
      <c r="AHH174" s="250"/>
      <c r="AHI174" s="250"/>
      <c r="AHJ174" s="250"/>
      <c r="AHK174" s="250"/>
      <c r="AHL174" s="250"/>
      <c r="AHM174" s="250"/>
      <c r="AHN174" s="250"/>
      <c r="AHO174" s="250"/>
      <c r="AHP174" s="250"/>
      <c r="AHQ174" s="250"/>
      <c r="AHR174" s="250"/>
      <c r="AHS174" s="250"/>
      <c r="AHT174" s="250"/>
      <c r="AHU174" s="250"/>
      <c r="AHV174" s="250"/>
      <c r="AHW174" s="250"/>
      <c r="AHX174" s="250"/>
      <c r="AHY174" s="250"/>
      <c r="AHZ174" s="250"/>
      <c r="AIA174" s="250"/>
      <c r="AIB174" s="250"/>
      <c r="AIC174" s="250"/>
      <c r="AID174" s="250"/>
      <c r="AIE174" s="250"/>
      <c r="AIF174" s="250"/>
      <c r="AIG174" s="250"/>
      <c r="AIH174" s="250"/>
      <c r="AII174" s="250"/>
      <c r="AIJ174" s="250"/>
      <c r="AIK174" s="250"/>
      <c r="AIL174" s="250"/>
      <c r="AIM174" s="250"/>
      <c r="AIN174" s="250"/>
      <c r="AIO174" s="250"/>
      <c r="AIP174" s="250"/>
      <c r="AIQ174" s="250"/>
      <c r="AIR174" s="250"/>
      <c r="AIS174" s="250"/>
      <c r="AIT174" s="250"/>
      <c r="AIU174" s="250"/>
      <c r="AIV174" s="250"/>
      <c r="AIW174" s="250"/>
      <c r="AIX174" s="250"/>
      <c r="AIY174" s="250"/>
      <c r="AIZ174" s="250"/>
      <c r="AJA174" s="250"/>
      <c r="AJB174" s="250"/>
      <c r="AJC174" s="250"/>
      <c r="AJD174" s="250"/>
      <c r="AJE174" s="250"/>
      <c r="AJF174" s="250"/>
      <c r="AJG174" s="250"/>
      <c r="AJH174" s="250"/>
      <c r="AJI174" s="250"/>
      <c r="AJJ174" s="250"/>
      <c r="AJK174" s="250"/>
      <c r="AJL174" s="250"/>
      <c r="AJM174" s="250"/>
      <c r="AJN174" s="250"/>
      <c r="AJO174" s="250"/>
      <c r="AJP174" s="250"/>
      <c r="AJQ174" s="250"/>
      <c r="AJR174" s="250"/>
      <c r="AJS174" s="250"/>
      <c r="AJT174" s="250"/>
      <c r="AJU174" s="250"/>
      <c r="AJV174" s="250"/>
      <c r="AJW174" s="250"/>
      <c r="AJX174" s="250"/>
      <c r="AJY174" s="250"/>
      <c r="AJZ174" s="250"/>
      <c r="AKA174" s="250"/>
      <c r="AKB174" s="250"/>
      <c r="AKC174" s="250"/>
      <c r="AKD174" s="250"/>
      <c r="AKE174" s="250"/>
      <c r="AKF174" s="250"/>
      <c r="AKG174" s="250"/>
      <c r="AKH174" s="250"/>
      <c r="AKI174" s="250"/>
      <c r="AKJ174" s="250"/>
      <c r="AKK174" s="250"/>
      <c r="AKL174" s="250"/>
      <c r="AKM174" s="250"/>
      <c r="AKN174" s="250"/>
      <c r="AKO174" s="250"/>
      <c r="AKP174" s="250"/>
      <c r="AKQ174" s="250"/>
      <c r="AKR174" s="250"/>
      <c r="AKS174" s="250"/>
      <c r="AKT174" s="250"/>
      <c r="AKU174" s="250"/>
      <c r="AKV174" s="250"/>
      <c r="AKW174" s="250"/>
      <c r="AKX174" s="250"/>
      <c r="AKY174" s="250"/>
      <c r="AKZ174" s="250"/>
      <c r="ALA174" s="250"/>
      <c r="ALB174" s="250"/>
      <c r="ALC174" s="250"/>
      <c r="ALD174" s="250"/>
      <c r="ALE174" s="250"/>
      <c r="ALF174" s="250"/>
      <c r="ALG174" s="250"/>
      <c r="ALH174" s="250"/>
      <c r="ALI174" s="250"/>
      <c r="ALJ174" s="250"/>
      <c r="ALK174" s="250"/>
      <c r="ALL174" s="250"/>
      <c r="ALM174" s="250"/>
      <c r="ALN174" s="250"/>
      <c r="ALO174" s="250"/>
      <c r="ALP174" s="250"/>
      <c r="ALQ174" s="250"/>
      <c r="ALR174" s="250"/>
      <c r="ALS174" s="250"/>
      <c r="ALT174" s="250"/>
      <c r="ALU174" s="250"/>
      <c r="ALV174" s="250"/>
      <c r="ALW174" s="250"/>
      <c r="ALX174" s="250"/>
      <c r="ALY174" s="250"/>
      <c r="ALZ174" s="250"/>
      <c r="AMA174" s="250"/>
      <c r="AMB174" s="250"/>
      <c r="AMC174" s="250"/>
      <c r="AMD174" s="250"/>
      <c r="AME174" s="250"/>
      <c r="AMF174" s="250"/>
      <c r="AMG174" s="250"/>
      <c r="AMH174" s="250"/>
      <c r="AMI174" s="250"/>
      <c r="AMJ174" s="250"/>
      <c r="AMK174" s="250"/>
      <c r="AML174" s="250"/>
      <c r="AMM174" s="250"/>
      <c r="AMN174" s="250"/>
      <c r="AMO174" s="250"/>
      <c r="AMP174" s="250"/>
      <c r="AMQ174" s="250"/>
      <c r="AMR174" s="250"/>
      <c r="AMS174" s="250"/>
      <c r="AMT174" s="250"/>
      <c r="AMU174" s="250"/>
      <c r="AMV174" s="250"/>
      <c r="AMW174" s="250"/>
      <c r="AMX174" s="250"/>
      <c r="AMY174" s="250"/>
      <c r="AMZ174" s="250"/>
      <c r="ANA174" s="250"/>
      <c r="ANB174" s="250"/>
      <c r="ANC174" s="250"/>
      <c r="AND174" s="250"/>
      <c r="ANE174" s="250"/>
      <c r="ANF174" s="250"/>
      <c r="ANG174" s="250"/>
      <c r="ANH174" s="250"/>
      <c r="ANI174" s="250"/>
      <c r="ANJ174" s="250"/>
      <c r="ANK174" s="250"/>
      <c r="ANL174" s="250"/>
      <c r="ANM174" s="250"/>
      <c r="ANN174" s="250"/>
      <c r="ANO174" s="250"/>
      <c r="ANP174" s="250"/>
      <c r="ANQ174" s="250"/>
      <c r="ANR174" s="250"/>
      <c r="ANS174" s="250"/>
      <c r="ANT174" s="250"/>
      <c r="ANU174" s="250"/>
      <c r="ANV174" s="250"/>
      <c r="ANW174" s="250"/>
      <c r="ANX174" s="250"/>
      <c r="ANY174" s="250"/>
      <c r="ANZ174" s="250"/>
      <c r="AOA174" s="250"/>
      <c r="AOB174" s="250"/>
      <c r="AOC174" s="250"/>
      <c r="AOD174" s="250"/>
      <c r="AOE174" s="250"/>
      <c r="AOF174" s="250"/>
      <c r="AOG174" s="250"/>
      <c r="AOH174" s="250"/>
      <c r="AOI174" s="250"/>
      <c r="AOJ174" s="250"/>
      <c r="AOK174" s="250"/>
      <c r="AOL174" s="250"/>
      <c r="AOM174" s="250"/>
      <c r="AON174" s="250"/>
      <c r="AOO174" s="250"/>
      <c r="AOP174" s="250"/>
      <c r="AOQ174" s="250"/>
      <c r="AOR174" s="250"/>
      <c r="AOS174" s="250"/>
      <c r="AOT174" s="250"/>
      <c r="AOU174" s="250"/>
      <c r="AOV174" s="250"/>
      <c r="AOW174" s="250"/>
      <c r="AOX174" s="250"/>
      <c r="AOY174" s="250"/>
      <c r="AOZ174" s="250"/>
      <c r="APA174" s="250"/>
      <c r="APB174" s="250"/>
      <c r="APC174" s="250"/>
      <c r="APD174" s="250"/>
      <c r="APE174" s="250"/>
      <c r="APF174" s="250"/>
      <c r="APG174" s="250"/>
      <c r="APH174" s="250"/>
      <c r="API174" s="250"/>
      <c r="APJ174" s="250"/>
      <c r="APK174" s="250"/>
      <c r="APL174" s="250"/>
      <c r="APM174" s="250"/>
      <c r="APN174" s="250"/>
      <c r="APO174" s="250"/>
      <c r="APP174" s="250"/>
      <c r="APQ174" s="250"/>
      <c r="APR174" s="250"/>
      <c r="APS174" s="250"/>
      <c r="APT174" s="250"/>
      <c r="APU174" s="250"/>
      <c r="APV174" s="250"/>
      <c r="APW174" s="250"/>
      <c r="APX174" s="250"/>
      <c r="APY174" s="250"/>
      <c r="APZ174" s="250"/>
      <c r="AQA174" s="250"/>
      <c r="AQB174" s="250"/>
      <c r="AQC174" s="250"/>
      <c r="AQD174" s="250"/>
      <c r="AQE174" s="250"/>
      <c r="AQF174" s="250"/>
      <c r="AQG174" s="250"/>
      <c r="AQH174" s="250"/>
      <c r="AQI174" s="250"/>
      <c r="AQJ174" s="250"/>
      <c r="AQK174" s="250"/>
      <c r="AQL174" s="250"/>
      <c r="AQM174" s="250"/>
      <c r="AQN174" s="250"/>
      <c r="AQO174" s="250"/>
      <c r="AQP174" s="250"/>
      <c r="AQQ174" s="250"/>
      <c r="AQR174" s="250"/>
      <c r="AQS174" s="250"/>
      <c r="AQT174" s="250"/>
      <c r="AQU174" s="250"/>
      <c r="AQV174" s="250"/>
      <c r="AQW174" s="250"/>
      <c r="AQX174" s="250"/>
      <c r="AQY174" s="250"/>
      <c r="AQZ174" s="250"/>
      <c r="ARA174" s="250"/>
      <c r="ARB174" s="250"/>
      <c r="ARC174" s="250"/>
      <c r="ARD174" s="250"/>
      <c r="ARE174" s="250"/>
      <c r="ARF174" s="250"/>
      <c r="ARG174" s="250"/>
      <c r="ARH174" s="250"/>
      <c r="ARI174" s="250"/>
      <c r="ARJ174" s="250"/>
      <c r="ARK174" s="250"/>
      <c r="ARL174" s="250"/>
      <c r="ARM174" s="250"/>
      <c r="ARN174" s="250"/>
      <c r="ARO174" s="250"/>
      <c r="ARP174" s="250"/>
      <c r="ARQ174" s="250"/>
      <c r="ARR174" s="250"/>
      <c r="ARS174" s="250"/>
      <c r="ART174" s="250"/>
      <c r="ARU174" s="250"/>
      <c r="ARV174" s="250"/>
      <c r="ARW174" s="250"/>
      <c r="ARX174" s="250"/>
      <c r="ARY174" s="250"/>
      <c r="ARZ174" s="250"/>
      <c r="ASA174" s="250"/>
      <c r="ASB174" s="250"/>
      <c r="ASC174" s="250"/>
      <c r="ASD174" s="250"/>
      <c r="ASE174" s="250"/>
      <c r="ASF174" s="250"/>
      <c r="ASG174" s="250"/>
      <c r="ASH174" s="250"/>
      <c r="ASI174" s="250"/>
      <c r="ASJ174" s="250"/>
      <c r="ASK174" s="250"/>
      <c r="ASL174" s="250"/>
      <c r="ASM174" s="250"/>
      <c r="ASN174" s="250"/>
      <c r="ASO174" s="250"/>
      <c r="ASP174" s="250"/>
      <c r="ASQ174" s="250"/>
      <c r="ASR174" s="250"/>
      <c r="ASS174" s="250"/>
      <c r="AST174" s="250"/>
      <c r="ASU174" s="250"/>
      <c r="ASV174" s="250"/>
      <c r="ASW174" s="250"/>
      <c r="ASX174" s="250"/>
      <c r="ASY174" s="250"/>
      <c r="ASZ174" s="250"/>
      <c r="ATA174" s="250"/>
      <c r="ATB174" s="250"/>
      <c r="ATC174" s="250"/>
      <c r="ATD174" s="250"/>
      <c r="ATE174" s="250"/>
      <c r="ATF174" s="250"/>
      <c r="ATG174" s="250"/>
      <c r="ATH174" s="250"/>
      <c r="ATI174" s="250"/>
      <c r="ATJ174" s="250"/>
      <c r="ATK174" s="250"/>
      <c r="ATL174" s="250"/>
      <c r="ATM174" s="250"/>
      <c r="ATN174" s="250"/>
      <c r="ATO174" s="250"/>
      <c r="ATP174" s="250"/>
      <c r="ATQ174" s="250"/>
      <c r="ATR174" s="250"/>
      <c r="ATS174" s="250"/>
      <c r="ATT174" s="250"/>
      <c r="ATU174" s="250"/>
      <c r="ATV174" s="250"/>
      <c r="ATW174" s="250"/>
      <c r="ATX174" s="250"/>
      <c r="ATY174" s="250"/>
      <c r="ATZ174" s="250"/>
      <c r="AUA174" s="250"/>
      <c r="AUB174" s="250"/>
      <c r="AUC174" s="250"/>
      <c r="AUD174" s="250"/>
      <c r="AUE174" s="250"/>
      <c r="AUF174" s="250"/>
      <c r="AUG174" s="250"/>
      <c r="AUH174" s="250"/>
      <c r="AUI174" s="250"/>
      <c r="AUJ174" s="250"/>
      <c r="AUK174" s="250"/>
      <c r="AUL174" s="250"/>
      <c r="AUM174" s="250"/>
      <c r="AUN174" s="250"/>
      <c r="AUO174" s="250"/>
      <c r="AUP174" s="250"/>
      <c r="AUQ174" s="250"/>
      <c r="AUR174" s="250"/>
      <c r="AUS174" s="250"/>
      <c r="AUT174" s="250"/>
      <c r="AUU174" s="250"/>
      <c r="AUV174" s="250"/>
      <c r="AUW174" s="250"/>
      <c r="AUX174" s="250"/>
      <c r="AUY174" s="250"/>
      <c r="AUZ174" s="250"/>
      <c r="AVA174" s="250"/>
      <c r="AVB174" s="250"/>
      <c r="AVC174" s="250"/>
      <c r="AVD174" s="250"/>
      <c r="AVE174" s="250"/>
      <c r="AVF174" s="250"/>
      <c r="AVG174" s="250"/>
      <c r="AVH174" s="250"/>
      <c r="AVI174" s="250"/>
      <c r="AVJ174" s="250"/>
      <c r="AVK174" s="250"/>
      <c r="AVL174" s="250"/>
      <c r="AVM174" s="250"/>
      <c r="AVN174" s="250"/>
      <c r="AVO174" s="250"/>
      <c r="AVP174" s="250"/>
      <c r="AVQ174" s="250"/>
      <c r="AVR174" s="250"/>
      <c r="AVS174" s="250"/>
      <c r="AVT174" s="250"/>
      <c r="AVU174" s="250"/>
      <c r="AVV174" s="250"/>
      <c r="AVW174" s="250"/>
      <c r="AVX174" s="250"/>
      <c r="AVY174" s="250"/>
      <c r="AVZ174" s="250"/>
      <c r="AWA174" s="250"/>
      <c r="AWB174" s="250"/>
      <c r="AWC174" s="250"/>
      <c r="AWD174" s="250"/>
      <c r="AWE174" s="250"/>
      <c r="AWF174" s="250"/>
      <c r="AWG174" s="250"/>
      <c r="AWH174" s="250"/>
      <c r="AWI174" s="250"/>
      <c r="AWJ174" s="250"/>
      <c r="AWK174" s="250"/>
      <c r="AWL174" s="250"/>
      <c r="AWM174" s="250"/>
      <c r="AWN174" s="250"/>
      <c r="AWO174" s="250"/>
      <c r="AWP174" s="250"/>
      <c r="AWQ174" s="250"/>
      <c r="AWR174" s="250"/>
      <c r="AWS174" s="250"/>
      <c r="AWT174" s="250"/>
      <c r="AWU174" s="250"/>
      <c r="AWV174" s="250"/>
      <c r="AWW174" s="250"/>
      <c r="AWX174" s="250"/>
      <c r="AWY174" s="250"/>
      <c r="AWZ174" s="250"/>
      <c r="AXA174" s="250"/>
      <c r="AXB174" s="250"/>
      <c r="AXC174" s="250"/>
      <c r="AXD174" s="250"/>
      <c r="AXE174" s="250"/>
      <c r="AXF174" s="250"/>
      <c r="AXG174" s="250"/>
      <c r="AXH174" s="250"/>
      <c r="AXI174" s="250"/>
      <c r="AXJ174" s="250"/>
      <c r="AXK174" s="250"/>
      <c r="AXL174" s="250"/>
      <c r="AXM174" s="250"/>
      <c r="AXN174" s="250"/>
      <c r="AXO174" s="250"/>
      <c r="AXP174" s="250"/>
      <c r="AXQ174" s="250"/>
      <c r="AXR174" s="250"/>
      <c r="AXS174" s="250"/>
      <c r="AXT174" s="250"/>
      <c r="AXU174" s="250"/>
      <c r="AXV174" s="250"/>
      <c r="AXW174" s="250"/>
      <c r="AXX174" s="250"/>
      <c r="AXY174" s="250"/>
      <c r="AXZ174" s="250"/>
      <c r="AYA174" s="250"/>
      <c r="AYB174" s="250"/>
      <c r="AYC174" s="250"/>
      <c r="AYD174" s="250"/>
      <c r="AYE174" s="250"/>
      <c r="AYF174" s="250"/>
      <c r="AYG174" s="250"/>
      <c r="AYH174" s="250"/>
      <c r="AYI174" s="250"/>
      <c r="AYJ174" s="250"/>
      <c r="AYK174" s="250"/>
      <c r="AYL174" s="250"/>
      <c r="AYM174" s="250"/>
      <c r="AYN174" s="250"/>
      <c r="AYO174" s="250"/>
      <c r="AYP174" s="250"/>
      <c r="AYQ174" s="250"/>
      <c r="AYR174" s="250"/>
      <c r="AYS174" s="250"/>
      <c r="AYT174" s="250"/>
      <c r="AYU174" s="250"/>
      <c r="AYV174" s="250"/>
      <c r="AYW174" s="250"/>
      <c r="AYX174" s="250"/>
      <c r="AYY174" s="250"/>
      <c r="AYZ174" s="250"/>
      <c r="AZA174" s="250"/>
      <c r="AZB174" s="250"/>
      <c r="AZC174" s="250"/>
      <c r="AZD174" s="250"/>
      <c r="AZE174" s="250"/>
      <c r="AZF174" s="250"/>
      <c r="AZG174" s="250"/>
      <c r="AZH174" s="250"/>
      <c r="AZI174" s="250"/>
      <c r="AZJ174" s="250"/>
      <c r="AZK174" s="250"/>
      <c r="AZL174" s="250"/>
      <c r="AZM174" s="250"/>
      <c r="AZN174" s="250"/>
      <c r="AZO174" s="250"/>
      <c r="AZP174" s="250"/>
      <c r="AZQ174" s="250"/>
      <c r="AZR174" s="250"/>
      <c r="AZS174" s="250"/>
      <c r="AZT174" s="250"/>
      <c r="AZU174" s="250"/>
      <c r="AZV174" s="250"/>
      <c r="AZW174" s="250"/>
      <c r="AZX174" s="250"/>
      <c r="AZY174" s="250"/>
      <c r="AZZ174" s="250"/>
      <c r="BAA174" s="250"/>
      <c r="BAB174" s="250"/>
      <c r="BAC174" s="250"/>
      <c r="BAD174" s="250"/>
      <c r="BAE174" s="250"/>
      <c r="BAF174" s="250"/>
      <c r="BAG174" s="250"/>
      <c r="BAH174" s="250"/>
      <c r="BAI174" s="250"/>
      <c r="BAJ174" s="250"/>
      <c r="BAK174" s="250"/>
      <c r="BAL174" s="250"/>
      <c r="BAM174" s="250"/>
      <c r="BAN174" s="250"/>
      <c r="BAO174" s="250"/>
      <c r="BAP174" s="250"/>
      <c r="BAQ174" s="250"/>
      <c r="BAR174" s="250"/>
      <c r="BAS174" s="250"/>
      <c r="BAT174" s="250"/>
      <c r="BAU174" s="250"/>
      <c r="BAV174" s="250"/>
      <c r="BAW174" s="250"/>
      <c r="BAX174" s="250"/>
      <c r="BAY174" s="250"/>
      <c r="BAZ174" s="250"/>
      <c r="BBA174" s="250"/>
      <c r="BBB174" s="250"/>
      <c r="BBC174" s="250"/>
      <c r="BBD174" s="250"/>
      <c r="BBE174" s="250"/>
      <c r="BBF174" s="250"/>
      <c r="BBG174" s="250"/>
      <c r="BBH174" s="250"/>
      <c r="BBI174" s="250"/>
      <c r="BBJ174" s="250"/>
      <c r="BBK174" s="250"/>
      <c r="BBL174" s="250"/>
      <c r="BBM174" s="250"/>
      <c r="BBN174" s="250"/>
      <c r="BBO174" s="250"/>
      <c r="BBP174" s="250"/>
      <c r="BBQ174" s="250"/>
      <c r="BBR174" s="250"/>
      <c r="BBS174" s="250"/>
      <c r="BBT174" s="250"/>
      <c r="BBU174" s="250"/>
      <c r="BBV174" s="250"/>
      <c r="BBW174" s="250"/>
      <c r="BBX174" s="250"/>
      <c r="BBY174" s="250"/>
      <c r="BBZ174" s="250"/>
      <c r="BCA174" s="250"/>
      <c r="BCB174" s="250"/>
      <c r="BCC174" s="250"/>
      <c r="BCD174" s="250"/>
      <c r="BCE174" s="250"/>
      <c r="BCF174" s="250"/>
      <c r="BCG174" s="250"/>
      <c r="BCH174" s="250"/>
      <c r="BCI174" s="250"/>
      <c r="BCJ174" s="250"/>
      <c r="BCK174" s="250"/>
      <c r="BCL174" s="250"/>
      <c r="BCM174" s="250"/>
      <c r="BCN174" s="250"/>
      <c r="BCO174" s="250"/>
      <c r="BCP174" s="250"/>
      <c r="BCQ174" s="250"/>
      <c r="BCR174" s="250"/>
      <c r="BCS174" s="250"/>
      <c r="BCT174" s="250"/>
      <c r="BCU174" s="250"/>
      <c r="BCV174" s="250"/>
      <c r="BCW174" s="250"/>
      <c r="BCX174" s="250"/>
      <c r="BCY174" s="250"/>
      <c r="BCZ174" s="250"/>
      <c r="BDA174" s="250"/>
      <c r="BDB174" s="250"/>
      <c r="BDC174" s="250"/>
      <c r="BDD174" s="250"/>
      <c r="BDE174" s="250"/>
      <c r="BDF174" s="250"/>
      <c r="BDG174" s="250"/>
      <c r="BDH174" s="250"/>
      <c r="BDI174" s="250"/>
      <c r="BDJ174" s="250"/>
      <c r="BDK174" s="250"/>
      <c r="BDL174" s="250"/>
      <c r="BDM174" s="250"/>
      <c r="BDN174" s="250"/>
      <c r="BDO174" s="250"/>
      <c r="BDP174" s="250"/>
      <c r="BDQ174" s="250"/>
      <c r="BDR174" s="250"/>
      <c r="BDS174" s="250"/>
      <c r="BDT174" s="250"/>
      <c r="BDU174" s="250"/>
      <c r="BDV174" s="250"/>
      <c r="BDW174" s="250"/>
      <c r="BDX174" s="250"/>
      <c r="BDY174" s="250"/>
      <c r="BDZ174" s="250"/>
      <c r="BEA174" s="250"/>
      <c r="BEB174" s="250"/>
      <c r="BEC174" s="250"/>
      <c r="BED174" s="250"/>
      <c r="BEE174" s="250"/>
      <c r="BEF174" s="250"/>
      <c r="BEG174" s="250"/>
      <c r="BEH174" s="250"/>
      <c r="BEI174" s="250"/>
      <c r="BEJ174" s="250"/>
      <c r="BEK174" s="250"/>
      <c r="BEL174" s="250"/>
      <c r="BEM174" s="250"/>
      <c r="BEN174" s="250"/>
      <c r="BEO174" s="250"/>
      <c r="BEP174" s="250"/>
      <c r="BEQ174" s="250"/>
      <c r="BER174" s="250"/>
      <c r="BES174" s="250"/>
      <c r="BET174" s="250"/>
      <c r="BEU174" s="250"/>
      <c r="BEV174" s="250"/>
      <c r="BEW174" s="250"/>
      <c r="BEX174" s="250"/>
      <c r="BEY174" s="250"/>
      <c r="BEZ174" s="250"/>
      <c r="BFA174" s="250"/>
      <c r="BFB174" s="250"/>
      <c r="BFC174" s="250"/>
      <c r="BFD174" s="250"/>
      <c r="BFE174" s="250"/>
      <c r="BFF174" s="250"/>
      <c r="BFG174" s="250"/>
      <c r="BFH174" s="250"/>
      <c r="BFI174" s="250"/>
      <c r="BFJ174" s="250"/>
      <c r="BFK174" s="250"/>
      <c r="BFL174" s="250"/>
      <c r="BFM174" s="250"/>
      <c r="BFN174" s="250"/>
      <c r="BFO174" s="250"/>
      <c r="BFP174" s="250"/>
      <c r="BFQ174" s="250"/>
      <c r="BFR174" s="250"/>
      <c r="BFS174" s="250"/>
      <c r="BFT174" s="250"/>
      <c r="BFU174" s="250"/>
      <c r="BFV174" s="250"/>
      <c r="BFW174" s="250"/>
      <c r="BFX174" s="250"/>
      <c r="BFY174" s="250"/>
      <c r="BFZ174" s="250"/>
      <c r="BGA174" s="250"/>
      <c r="BGB174" s="250"/>
      <c r="BGC174" s="250"/>
      <c r="BGD174" s="250"/>
      <c r="BGE174" s="250"/>
      <c r="BGF174" s="250"/>
      <c r="BGG174" s="250"/>
      <c r="BGH174" s="250"/>
      <c r="BGI174" s="250"/>
      <c r="BGJ174" s="250"/>
      <c r="BGK174" s="250"/>
      <c r="BGL174" s="250"/>
      <c r="BGM174" s="250"/>
      <c r="BGN174" s="250"/>
      <c r="BGO174" s="250"/>
      <c r="BGP174" s="250"/>
      <c r="BGQ174" s="250"/>
      <c r="BGR174" s="250"/>
      <c r="BGS174" s="250"/>
      <c r="BGT174" s="250"/>
      <c r="BGU174" s="250"/>
      <c r="BGV174" s="250"/>
      <c r="BGW174" s="250"/>
      <c r="BGX174" s="250"/>
      <c r="BGY174" s="250"/>
      <c r="BGZ174" s="250"/>
      <c r="BHA174" s="250"/>
      <c r="BHB174" s="250"/>
      <c r="BHC174" s="250"/>
      <c r="BHD174" s="250"/>
      <c r="BHE174" s="250"/>
      <c r="BHF174" s="250"/>
      <c r="BHG174" s="250"/>
      <c r="BHH174" s="250"/>
      <c r="BHI174" s="250"/>
      <c r="BHJ174" s="250"/>
      <c r="BHK174" s="250"/>
      <c r="BHL174" s="250"/>
      <c r="BHM174" s="250"/>
      <c r="BHN174" s="250"/>
      <c r="BHO174" s="250"/>
      <c r="BHP174" s="250"/>
      <c r="BHQ174" s="250"/>
      <c r="BHR174" s="250"/>
      <c r="BHS174" s="250"/>
      <c r="BHT174" s="250"/>
      <c r="BHU174" s="250"/>
      <c r="BHV174" s="250"/>
      <c r="BHW174" s="250"/>
      <c r="BHX174" s="250"/>
      <c r="BHY174" s="250"/>
      <c r="BHZ174" s="250"/>
      <c r="BIA174" s="250"/>
      <c r="BIB174" s="250"/>
      <c r="BIC174" s="250"/>
      <c r="BID174" s="250"/>
      <c r="BIE174" s="250"/>
      <c r="BIF174" s="250"/>
      <c r="BIG174" s="250"/>
      <c r="BIH174" s="250"/>
      <c r="BII174" s="250"/>
      <c r="BIJ174" s="250"/>
      <c r="BIK174" s="250"/>
      <c r="BIL174" s="250"/>
      <c r="BIM174" s="250"/>
      <c r="BIN174" s="250"/>
      <c r="BIO174" s="250"/>
      <c r="BIP174" s="250"/>
      <c r="BIQ174" s="250"/>
      <c r="BIR174" s="250"/>
      <c r="BIS174" s="250"/>
      <c r="BIT174" s="250"/>
      <c r="BIU174" s="250"/>
      <c r="BIV174" s="250"/>
      <c r="BIW174" s="250"/>
      <c r="BIX174" s="250"/>
      <c r="BIY174" s="250"/>
      <c r="BIZ174" s="250"/>
      <c r="BJA174" s="250"/>
      <c r="BJB174" s="250"/>
      <c r="BJC174" s="250"/>
      <c r="BJD174" s="250"/>
      <c r="BJE174" s="250"/>
      <c r="BJF174" s="250"/>
      <c r="BJG174" s="250"/>
      <c r="BJH174" s="250"/>
      <c r="BJI174" s="250"/>
      <c r="BJJ174" s="250"/>
      <c r="BJK174" s="250"/>
      <c r="BJL174" s="250"/>
      <c r="BJM174" s="250"/>
      <c r="BJN174" s="250"/>
      <c r="BJO174" s="250"/>
      <c r="BJP174" s="250"/>
      <c r="BJQ174" s="250"/>
      <c r="BJR174" s="250"/>
      <c r="BJS174" s="250"/>
      <c r="BJT174" s="250"/>
      <c r="BJU174" s="250"/>
      <c r="BJV174" s="250"/>
      <c r="BJW174" s="250"/>
      <c r="BJX174" s="250"/>
      <c r="BJY174" s="250"/>
      <c r="BJZ174" s="250"/>
      <c r="BKA174" s="250"/>
      <c r="BKB174" s="250"/>
      <c r="BKC174" s="250"/>
      <c r="BKD174" s="250"/>
      <c r="BKE174" s="250"/>
      <c r="BKF174" s="250"/>
      <c r="BKG174" s="250"/>
      <c r="BKH174" s="250"/>
      <c r="BKI174" s="250"/>
      <c r="BKJ174" s="250"/>
      <c r="BKK174" s="250"/>
      <c r="BKL174" s="250"/>
      <c r="BKM174" s="250"/>
      <c r="BKN174" s="250"/>
      <c r="BKO174" s="250"/>
      <c r="BKP174" s="250"/>
      <c r="BKQ174" s="250"/>
      <c r="BKR174" s="250"/>
      <c r="BKS174" s="250"/>
      <c r="BKT174" s="250"/>
      <c r="BKU174" s="250"/>
      <c r="BKV174" s="250"/>
      <c r="BKW174" s="250"/>
      <c r="BKX174" s="250"/>
      <c r="BKY174" s="250"/>
      <c r="BKZ174" s="250"/>
      <c r="BLA174" s="250"/>
      <c r="BLB174" s="250"/>
      <c r="BLC174" s="250"/>
      <c r="BLD174" s="250"/>
      <c r="BLE174" s="250"/>
      <c r="BLF174" s="250"/>
      <c r="BLG174" s="250"/>
      <c r="BLH174" s="250"/>
      <c r="BLI174" s="250"/>
      <c r="BLJ174" s="250"/>
      <c r="BLK174" s="250"/>
      <c r="BLL174" s="250"/>
      <c r="BLM174" s="250"/>
      <c r="BLN174" s="250"/>
      <c r="BLO174" s="250"/>
      <c r="BLP174" s="250"/>
      <c r="BLQ174" s="250"/>
      <c r="BLR174" s="250"/>
      <c r="BLS174" s="250"/>
      <c r="BLT174" s="250"/>
      <c r="BLU174" s="250"/>
      <c r="BLV174" s="250"/>
      <c r="BLW174" s="250"/>
      <c r="BLX174" s="250"/>
      <c r="BLY174" s="250"/>
      <c r="BLZ174" s="250"/>
      <c r="BMA174" s="250"/>
      <c r="BMB174" s="250"/>
      <c r="BMC174" s="250"/>
      <c r="BMD174" s="250"/>
      <c r="BME174" s="250"/>
      <c r="BMF174" s="250"/>
      <c r="BMG174" s="250"/>
      <c r="BMH174" s="250"/>
      <c r="BMI174" s="250"/>
      <c r="BMJ174" s="250"/>
      <c r="BMK174" s="250"/>
      <c r="BML174" s="250"/>
      <c r="BMM174" s="250"/>
      <c r="BMN174" s="250"/>
      <c r="BMO174" s="250"/>
      <c r="BMP174" s="250"/>
      <c r="BMQ174" s="250"/>
      <c r="BMR174" s="250"/>
      <c r="BMS174" s="250"/>
      <c r="BMT174" s="250"/>
      <c r="BMU174" s="250"/>
      <c r="BMV174" s="250"/>
      <c r="BMW174" s="250"/>
      <c r="BMX174" s="250"/>
      <c r="BMY174" s="250"/>
      <c r="BMZ174" s="250"/>
      <c r="BNA174" s="250"/>
      <c r="BNB174" s="250"/>
      <c r="BNC174" s="250"/>
      <c r="BND174" s="250"/>
      <c r="BNE174" s="250"/>
      <c r="BNF174" s="250"/>
      <c r="BNG174" s="250"/>
      <c r="BNH174" s="250"/>
      <c r="BNI174" s="250"/>
      <c r="BNJ174" s="250"/>
      <c r="BNK174" s="250"/>
      <c r="BNL174" s="250"/>
      <c r="BNM174" s="250"/>
      <c r="BNN174" s="250"/>
      <c r="BNO174" s="250"/>
      <c r="BNP174" s="250"/>
      <c r="BNQ174" s="250"/>
      <c r="BNR174" s="250"/>
      <c r="BNS174" s="250"/>
      <c r="BNT174" s="250"/>
      <c r="BNU174" s="250"/>
      <c r="BNV174" s="250"/>
      <c r="BNW174" s="250"/>
      <c r="BNX174" s="250"/>
      <c r="BNY174" s="250"/>
      <c r="BNZ174" s="250"/>
      <c r="BOA174" s="250"/>
      <c r="BOB174" s="250"/>
      <c r="BOC174" s="250"/>
      <c r="BOD174" s="250"/>
      <c r="BOE174" s="250"/>
      <c r="BOF174" s="250"/>
      <c r="BOG174" s="250"/>
      <c r="BOH174" s="250"/>
      <c r="BOI174" s="250"/>
      <c r="BOJ174" s="250"/>
      <c r="BOK174" s="250"/>
      <c r="BOL174" s="250"/>
      <c r="BOM174" s="250"/>
      <c r="BON174" s="250"/>
      <c r="BOO174" s="250"/>
      <c r="BOP174" s="250"/>
      <c r="BOQ174" s="250"/>
      <c r="BOR174" s="250"/>
      <c r="BOS174" s="250"/>
      <c r="BOT174" s="250"/>
      <c r="BOU174" s="250"/>
      <c r="BOV174" s="250"/>
      <c r="BOW174" s="250"/>
      <c r="BOX174" s="250"/>
      <c r="BOY174" s="250"/>
      <c r="BOZ174" s="250"/>
      <c r="BPA174" s="250"/>
      <c r="BPB174" s="250"/>
      <c r="BPC174" s="250"/>
      <c r="BPD174" s="250"/>
      <c r="BPE174" s="250"/>
      <c r="BPF174" s="250"/>
      <c r="BPG174" s="250"/>
      <c r="BPH174" s="250"/>
      <c r="BPI174" s="250"/>
      <c r="BPJ174" s="250"/>
      <c r="BPK174" s="250"/>
      <c r="BPL174" s="250"/>
      <c r="BPM174" s="250"/>
      <c r="BPN174" s="250"/>
      <c r="BPO174" s="250"/>
      <c r="BPP174" s="250"/>
      <c r="BPQ174" s="250"/>
      <c r="BPR174" s="250"/>
      <c r="BPS174" s="250"/>
      <c r="BPT174" s="250"/>
      <c r="BPU174" s="250"/>
      <c r="BPV174" s="250"/>
      <c r="BPW174" s="250"/>
      <c r="BPX174" s="250"/>
      <c r="BPY174" s="250"/>
      <c r="BPZ174" s="250"/>
      <c r="BQA174" s="250"/>
      <c r="BQB174" s="250"/>
      <c r="BQC174" s="250"/>
      <c r="BQD174" s="250"/>
      <c r="BQE174" s="250"/>
      <c r="BQF174" s="250"/>
      <c r="BQG174" s="250"/>
      <c r="BQH174" s="250"/>
      <c r="BQI174" s="250"/>
      <c r="BQJ174" s="250"/>
      <c r="BQK174" s="250"/>
      <c r="BQL174" s="250"/>
      <c r="BQM174" s="250"/>
      <c r="BQN174" s="250"/>
      <c r="BQO174" s="250"/>
      <c r="BQP174" s="250"/>
      <c r="BQQ174" s="250"/>
      <c r="BQR174" s="250"/>
      <c r="BQS174" s="250"/>
      <c r="BQT174" s="250"/>
      <c r="BQU174" s="250"/>
      <c r="BQV174" s="250"/>
      <c r="BQW174" s="250"/>
      <c r="BQX174" s="250"/>
      <c r="BQY174" s="250"/>
      <c r="BQZ174" s="250"/>
      <c r="BRA174" s="250"/>
      <c r="BRB174" s="250"/>
      <c r="BRC174" s="250"/>
      <c r="BRD174" s="250"/>
      <c r="BRE174" s="250"/>
      <c r="BRF174" s="250"/>
      <c r="BRG174" s="250"/>
      <c r="BRH174" s="250"/>
      <c r="BRI174" s="250"/>
      <c r="BRJ174" s="250"/>
      <c r="BRK174" s="250"/>
      <c r="BRL174" s="250"/>
      <c r="BRM174" s="250"/>
      <c r="BRN174" s="250"/>
      <c r="BRO174" s="250"/>
      <c r="BRP174" s="250"/>
      <c r="BRQ174" s="250"/>
      <c r="BRR174" s="250"/>
      <c r="BRS174" s="250"/>
      <c r="BRT174" s="250"/>
      <c r="BRU174" s="250"/>
      <c r="BRV174" s="250"/>
      <c r="BRW174" s="250"/>
      <c r="BRX174" s="250"/>
      <c r="BRY174" s="250"/>
      <c r="BRZ174" s="250"/>
      <c r="BSA174" s="250"/>
      <c r="BSB174" s="250"/>
      <c r="BSC174" s="250"/>
      <c r="BSD174" s="250"/>
      <c r="BSE174" s="250"/>
      <c r="BSF174" s="250"/>
      <c r="BSG174" s="250"/>
      <c r="BSH174" s="250"/>
      <c r="BSI174" s="250"/>
      <c r="BSJ174" s="250"/>
      <c r="BSK174" s="250"/>
      <c r="BSL174" s="250"/>
      <c r="BSM174" s="250"/>
      <c r="BSN174" s="250"/>
      <c r="BSO174" s="250"/>
      <c r="BSP174" s="250"/>
      <c r="BSQ174" s="250"/>
      <c r="BSR174" s="250"/>
      <c r="BSS174" s="250"/>
      <c r="BST174" s="250"/>
      <c r="BSU174" s="250"/>
      <c r="BSV174" s="250"/>
      <c r="BSW174" s="250"/>
      <c r="BSX174" s="250"/>
      <c r="BSY174" s="250"/>
      <c r="BSZ174" s="250"/>
      <c r="BTA174" s="250"/>
      <c r="BTB174" s="250"/>
      <c r="BTC174" s="250"/>
      <c r="BTD174" s="250"/>
      <c r="BTE174" s="250"/>
      <c r="BTF174" s="250"/>
      <c r="BTG174" s="250"/>
      <c r="BTH174" s="250"/>
      <c r="BTI174" s="250"/>
      <c r="BTJ174" s="250"/>
      <c r="BTK174" s="250"/>
      <c r="BTL174" s="250"/>
      <c r="BTM174" s="250"/>
      <c r="BTN174" s="250"/>
      <c r="BTO174" s="250"/>
      <c r="BTP174" s="250"/>
      <c r="BTQ174" s="250"/>
      <c r="BTR174" s="250"/>
      <c r="BTS174" s="250"/>
      <c r="BTT174" s="250"/>
      <c r="BTU174" s="250"/>
      <c r="BTV174" s="250"/>
      <c r="BTW174" s="250"/>
      <c r="BTX174" s="250"/>
      <c r="BTY174" s="250"/>
      <c r="BTZ174" s="250"/>
      <c r="BUA174" s="250"/>
      <c r="BUB174" s="250"/>
      <c r="BUC174" s="250"/>
      <c r="BUD174" s="250"/>
      <c r="BUE174" s="250"/>
      <c r="BUF174" s="250"/>
      <c r="BUG174" s="250"/>
      <c r="BUH174" s="250"/>
      <c r="BUI174" s="250"/>
      <c r="BUJ174" s="250"/>
      <c r="BUK174" s="250"/>
      <c r="BUL174" s="250"/>
      <c r="BUM174" s="250"/>
      <c r="BUN174" s="250"/>
      <c r="BUO174" s="250"/>
      <c r="BUP174" s="250"/>
      <c r="BUQ174" s="250"/>
      <c r="BUR174" s="250"/>
      <c r="BUS174" s="250"/>
      <c r="BUT174" s="250"/>
      <c r="BUU174" s="250"/>
      <c r="BUV174" s="250"/>
      <c r="BUW174" s="250"/>
      <c r="BUX174" s="250"/>
      <c r="BUY174" s="250"/>
      <c r="BUZ174" s="250"/>
      <c r="BVA174" s="250"/>
      <c r="BVB174" s="250"/>
      <c r="BVC174" s="250"/>
      <c r="BVD174" s="250"/>
      <c r="BVE174" s="250"/>
      <c r="BVF174" s="250"/>
      <c r="BVG174" s="250"/>
      <c r="BVH174" s="250"/>
      <c r="BVI174" s="250"/>
      <c r="BVJ174" s="250"/>
      <c r="BVK174" s="250"/>
      <c r="BVL174" s="250"/>
      <c r="BVM174" s="250"/>
      <c r="BVN174" s="250"/>
      <c r="BVO174" s="250"/>
      <c r="BVP174" s="250"/>
      <c r="BVQ174" s="250"/>
      <c r="BVR174" s="250"/>
      <c r="BVS174" s="250"/>
      <c r="BVT174" s="250"/>
      <c r="BVU174" s="250"/>
      <c r="BVV174" s="250"/>
      <c r="BVW174" s="250"/>
      <c r="BVX174" s="250"/>
      <c r="BVY174" s="250"/>
      <c r="BVZ174" s="250"/>
      <c r="BWA174" s="250"/>
      <c r="BWB174" s="250"/>
      <c r="BWC174" s="250"/>
      <c r="BWD174" s="250"/>
      <c r="BWE174" s="250"/>
      <c r="BWF174" s="250"/>
      <c r="BWG174" s="250"/>
      <c r="BWH174" s="250"/>
      <c r="BWI174" s="250"/>
      <c r="BWJ174" s="250"/>
      <c r="BWK174" s="250"/>
      <c r="BWL174" s="250"/>
      <c r="BWM174" s="250"/>
      <c r="BWN174" s="250"/>
      <c r="BWO174" s="250"/>
      <c r="BWP174" s="250"/>
      <c r="BWQ174" s="250"/>
      <c r="BWR174" s="250"/>
      <c r="BWS174" s="250"/>
      <c r="BWT174" s="250"/>
      <c r="BWU174" s="250"/>
      <c r="BWV174" s="250"/>
      <c r="BWW174" s="250"/>
      <c r="BWX174" s="250"/>
      <c r="BWY174" s="250"/>
      <c r="BWZ174" s="250"/>
      <c r="BXA174" s="250"/>
      <c r="BXB174" s="250"/>
      <c r="BXC174" s="250"/>
      <c r="BXD174" s="250"/>
      <c r="BXE174" s="250"/>
      <c r="BXF174" s="250"/>
      <c r="BXG174" s="250"/>
      <c r="BXH174" s="250"/>
      <c r="BXI174" s="250"/>
      <c r="BXJ174" s="250"/>
      <c r="BXK174" s="250"/>
      <c r="BXL174" s="250"/>
      <c r="BXM174" s="250"/>
      <c r="BXN174" s="250"/>
      <c r="BXO174" s="250"/>
      <c r="BXP174" s="250"/>
      <c r="BXQ174" s="250"/>
      <c r="BXR174" s="250"/>
      <c r="BXS174" s="250"/>
      <c r="BXT174" s="250"/>
      <c r="BXU174" s="250"/>
      <c r="BXV174" s="250"/>
      <c r="BXW174" s="250"/>
      <c r="BXX174" s="250"/>
      <c r="BXY174" s="250"/>
      <c r="BXZ174" s="250"/>
      <c r="BYA174" s="250"/>
      <c r="BYB174" s="250"/>
      <c r="BYC174" s="250"/>
      <c r="BYD174" s="250"/>
      <c r="BYE174" s="250"/>
      <c r="BYF174" s="250"/>
      <c r="BYG174" s="250"/>
      <c r="BYH174" s="250"/>
      <c r="BYI174" s="250"/>
      <c r="BYJ174" s="250"/>
      <c r="BYK174" s="250"/>
      <c r="BYL174" s="250"/>
      <c r="BYM174" s="250"/>
      <c r="BYN174" s="250"/>
      <c r="BYO174" s="250"/>
      <c r="BYP174" s="250"/>
      <c r="BYQ174" s="250"/>
      <c r="BYR174" s="250"/>
      <c r="BYS174" s="250"/>
      <c r="BYT174" s="250"/>
      <c r="BYU174" s="250"/>
      <c r="BYV174" s="250"/>
      <c r="BYW174" s="250"/>
      <c r="BYX174" s="250"/>
      <c r="BYY174" s="250"/>
      <c r="BYZ174" s="250"/>
      <c r="BZA174" s="250"/>
      <c r="BZB174" s="250"/>
      <c r="BZC174" s="250"/>
      <c r="BZD174" s="250"/>
      <c r="BZE174" s="250"/>
      <c r="BZF174" s="250"/>
      <c r="BZG174" s="250"/>
      <c r="BZH174" s="250"/>
      <c r="BZI174" s="250"/>
      <c r="BZJ174" s="250"/>
      <c r="BZK174" s="250"/>
      <c r="BZL174" s="250"/>
      <c r="BZM174" s="250"/>
      <c r="BZN174" s="250"/>
      <c r="BZO174" s="250"/>
      <c r="BZP174" s="250"/>
      <c r="BZQ174" s="250"/>
      <c r="BZR174" s="250"/>
      <c r="BZS174" s="250"/>
      <c r="BZT174" s="250"/>
      <c r="BZU174" s="250"/>
      <c r="BZV174" s="250"/>
      <c r="BZW174" s="250"/>
      <c r="BZX174" s="250"/>
      <c r="BZY174" s="250"/>
      <c r="BZZ174" s="250"/>
      <c r="CAA174" s="250"/>
      <c r="CAB174" s="250"/>
      <c r="CAC174" s="250"/>
      <c r="CAD174" s="250"/>
      <c r="CAE174" s="250"/>
      <c r="CAF174" s="250"/>
      <c r="CAG174" s="250"/>
      <c r="CAH174" s="250"/>
      <c r="CAI174" s="250"/>
      <c r="CAJ174" s="250"/>
      <c r="CAK174" s="250"/>
      <c r="CAL174" s="250"/>
      <c r="CAM174" s="250"/>
      <c r="CAN174" s="250"/>
      <c r="CAO174" s="250"/>
      <c r="CAP174" s="250"/>
      <c r="CAQ174" s="250"/>
      <c r="CAR174" s="250"/>
      <c r="CAS174" s="250"/>
      <c r="CAT174" s="250"/>
      <c r="CAU174" s="250"/>
      <c r="CAV174" s="250"/>
      <c r="CAW174" s="250"/>
      <c r="CAX174" s="250"/>
      <c r="CAY174" s="250"/>
      <c r="CAZ174" s="250"/>
      <c r="CBA174" s="250"/>
      <c r="CBB174" s="250"/>
      <c r="CBC174" s="250"/>
      <c r="CBD174" s="250"/>
      <c r="CBE174" s="250"/>
      <c r="CBF174" s="250"/>
      <c r="CBG174" s="250"/>
      <c r="CBH174" s="250"/>
      <c r="CBI174" s="250"/>
      <c r="CBJ174" s="250"/>
      <c r="CBK174" s="250"/>
      <c r="CBL174" s="250"/>
      <c r="CBM174" s="250"/>
      <c r="CBN174" s="250"/>
      <c r="CBO174" s="250"/>
      <c r="CBP174" s="250"/>
      <c r="CBQ174" s="250"/>
      <c r="CBR174" s="250"/>
      <c r="CBS174" s="250"/>
      <c r="CBT174" s="250"/>
      <c r="CBU174" s="250"/>
      <c r="CBV174" s="250"/>
      <c r="CBW174" s="250"/>
      <c r="CBX174" s="250"/>
      <c r="CBY174" s="250"/>
      <c r="CBZ174" s="250"/>
      <c r="CCA174" s="250"/>
      <c r="CCB174" s="250"/>
      <c r="CCC174" s="250"/>
      <c r="CCD174" s="250"/>
      <c r="CCE174" s="250"/>
      <c r="CCF174" s="250"/>
      <c r="CCG174" s="250"/>
      <c r="CCH174" s="250"/>
      <c r="CCI174" s="250"/>
      <c r="CCJ174" s="250"/>
      <c r="CCK174" s="250"/>
      <c r="CCL174" s="250"/>
      <c r="CCM174" s="250"/>
      <c r="CCN174" s="250"/>
      <c r="CCO174" s="250"/>
      <c r="CCP174" s="250"/>
      <c r="CCQ174" s="250"/>
      <c r="CCR174" s="250"/>
      <c r="CCS174" s="250"/>
      <c r="CCT174" s="250"/>
      <c r="CCU174" s="250"/>
      <c r="CCV174" s="250"/>
      <c r="CCW174" s="250"/>
      <c r="CCX174" s="250"/>
      <c r="CCY174" s="250"/>
      <c r="CCZ174" s="250"/>
      <c r="CDA174" s="250"/>
      <c r="CDB174" s="250"/>
      <c r="CDC174" s="250"/>
      <c r="CDD174" s="250"/>
      <c r="CDE174" s="250"/>
      <c r="CDF174" s="250"/>
      <c r="CDG174" s="250"/>
      <c r="CDH174" s="250"/>
      <c r="CDI174" s="250"/>
      <c r="CDJ174" s="250"/>
      <c r="CDK174" s="250"/>
      <c r="CDL174" s="250"/>
      <c r="CDM174" s="250"/>
      <c r="CDN174" s="250"/>
      <c r="CDO174" s="250"/>
      <c r="CDP174" s="250"/>
      <c r="CDQ174" s="250"/>
      <c r="CDR174" s="250"/>
      <c r="CDS174" s="250"/>
      <c r="CDT174" s="250"/>
      <c r="CDU174" s="250"/>
      <c r="CDV174" s="250"/>
      <c r="CDW174" s="250"/>
      <c r="CDX174" s="250"/>
      <c r="CDY174" s="250"/>
      <c r="CDZ174" s="250"/>
      <c r="CEA174" s="250"/>
      <c r="CEB174" s="250"/>
      <c r="CEC174" s="250"/>
      <c r="CED174" s="250"/>
      <c r="CEE174" s="250"/>
      <c r="CEF174" s="250"/>
      <c r="CEG174" s="250"/>
      <c r="CEH174" s="250"/>
      <c r="CEI174" s="250"/>
      <c r="CEJ174" s="250"/>
      <c r="CEK174" s="250"/>
      <c r="CEL174" s="250"/>
      <c r="CEM174" s="250"/>
      <c r="CEN174" s="250"/>
      <c r="CEO174" s="250"/>
      <c r="CEP174" s="250"/>
      <c r="CEQ174" s="250"/>
      <c r="CER174" s="250"/>
      <c r="CES174" s="250"/>
      <c r="CET174" s="250"/>
      <c r="CEU174" s="250"/>
      <c r="CEV174" s="250"/>
      <c r="CEW174" s="250"/>
      <c r="CEX174" s="250"/>
      <c r="CEY174" s="250"/>
      <c r="CEZ174" s="250"/>
      <c r="CFA174" s="250"/>
      <c r="CFB174" s="250"/>
      <c r="CFC174" s="250"/>
      <c r="CFD174" s="250"/>
      <c r="CFE174" s="250"/>
      <c r="CFF174" s="250"/>
      <c r="CFG174" s="250"/>
      <c r="CFH174" s="250"/>
      <c r="CFI174" s="250"/>
      <c r="CFJ174" s="250"/>
      <c r="CFK174" s="250"/>
      <c r="CFL174" s="250"/>
      <c r="CFM174" s="250"/>
      <c r="CFN174" s="250"/>
      <c r="CFO174" s="250"/>
      <c r="CFP174" s="250"/>
      <c r="CFQ174" s="250"/>
      <c r="CFR174" s="250"/>
      <c r="CFS174" s="250"/>
      <c r="CFT174" s="250"/>
      <c r="CFU174" s="250"/>
      <c r="CFV174" s="250"/>
      <c r="CFW174" s="250"/>
      <c r="CFX174" s="250"/>
      <c r="CFY174" s="250"/>
      <c r="CFZ174" s="250"/>
      <c r="CGA174" s="250"/>
      <c r="CGB174" s="250"/>
      <c r="CGC174" s="250"/>
      <c r="CGD174" s="250"/>
      <c r="CGE174" s="250"/>
      <c r="CGF174" s="250"/>
      <c r="CGG174" s="250"/>
      <c r="CGH174" s="250"/>
      <c r="CGI174" s="250"/>
      <c r="CGJ174" s="250"/>
      <c r="CGK174" s="250"/>
      <c r="CGL174" s="250"/>
      <c r="CGM174" s="250"/>
      <c r="CGN174" s="250"/>
      <c r="CGO174" s="250"/>
      <c r="CGP174" s="250"/>
      <c r="CGQ174" s="250"/>
      <c r="CGR174" s="250"/>
      <c r="CGS174" s="250"/>
      <c r="CGT174" s="250"/>
      <c r="CGU174" s="250"/>
      <c r="CGV174" s="250"/>
      <c r="CGW174" s="250"/>
      <c r="CGX174" s="250"/>
      <c r="CGY174" s="250"/>
      <c r="CGZ174" s="250"/>
      <c r="CHA174" s="250"/>
      <c r="CHB174" s="250"/>
      <c r="CHC174" s="250"/>
      <c r="CHD174" s="250"/>
      <c r="CHE174" s="250"/>
      <c r="CHF174" s="250"/>
      <c r="CHG174" s="250"/>
      <c r="CHH174" s="250"/>
      <c r="CHI174" s="250"/>
      <c r="CHJ174" s="250"/>
      <c r="CHK174" s="250"/>
      <c r="CHL174" s="250"/>
      <c r="CHM174" s="250"/>
      <c r="CHN174" s="250"/>
      <c r="CHO174" s="250"/>
      <c r="CHP174" s="250"/>
      <c r="CHQ174" s="250"/>
      <c r="CHR174" s="250"/>
      <c r="CHS174" s="250"/>
      <c r="CHT174" s="250"/>
      <c r="CHU174" s="250"/>
      <c r="CHV174" s="250"/>
      <c r="CHW174" s="250"/>
      <c r="CHX174" s="250"/>
      <c r="CHY174" s="250"/>
      <c r="CHZ174" s="250"/>
      <c r="CIA174" s="250"/>
      <c r="CIB174" s="250"/>
      <c r="CIC174" s="250"/>
      <c r="CID174" s="250"/>
      <c r="CIE174" s="250"/>
      <c r="CIF174" s="250"/>
      <c r="CIG174" s="250"/>
      <c r="CIH174" s="250"/>
      <c r="CII174" s="250"/>
      <c r="CIJ174" s="250"/>
      <c r="CIK174" s="250"/>
      <c r="CIL174" s="250"/>
      <c r="CIM174" s="250"/>
      <c r="CIN174" s="250"/>
      <c r="CIO174" s="250"/>
      <c r="CIP174" s="250"/>
      <c r="CIQ174" s="250"/>
      <c r="CIR174" s="250"/>
      <c r="CIS174" s="250"/>
      <c r="CIT174" s="250"/>
      <c r="CIU174" s="250"/>
      <c r="CIV174" s="250"/>
      <c r="CIW174" s="250"/>
      <c r="CIX174" s="250"/>
      <c r="CIY174" s="250"/>
      <c r="CIZ174" s="250"/>
      <c r="CJA174" s="250"/>
      <c r="CJB174" s="250"/>
      <c r="CJC174" s="250"/>
      <c r="CJD174" s="250"/>
      <c r="CJE174" s="250"/>
      <c r="CJF174" s="250"/>
      <c r="CJG174" s="250"/>
      <c r="CJH174" s="250"/>
      <c r="CJI174" s="250"/>
      <c r="CJJ174" s="250"/>
      <c r="CJK174" s="250"/>
      <c r="CJL174" s="250"/>
      <c r="CJM174" s="250"/>
      <c r="CJN174" s="250"/>
      <c r="CJO174" s="250"/>
      <c r="CJP174" s="250"/>
      <c r="CJQ174" s="250"/>
      <c r="CJR174" s="250"/>
      <c r="CJS174" s="250"/>
      <c r="CJT174" s="250"/>
      <c r="CJU174" s="250"/>
      <c r="CJV174" s="250"/>
      <c r="CJW174" s="250"/>
      <c r="CJX174" s="250"/>
      <c r="CJY174" s="250"/>
      <c r="CJZ174" s="250"/>
      <c r="CKA174" s="250"/>
      <c r="CKB174" s="250"/>
      <c r="CKC174" s="250"/>
      <c r="CKD174" s="250"/>
      <c r="CKE174" s="250"/>
      <c r="CKF174" s="250"/>
      <c r="CKG174" s="250"/>
      <c r="CKH174" s="250"/>
      <c r="CKI174" s="250"/>
      <c r="CKJ174" s="250"/>
      <c r="CKK174" s="250"/>
      <c r="CKL174" s="250"/>
      <c r="CKM174" s="250"/>
      <c r="CKN174" s="250"/>
      <c r="CKO174" s="250"/>
      <c r="CKP174" s="250"/>
      <c r="CKQ174" s="250"/>
      <c r="CKR174" s="250"/>
      <c r="CKS174" s="250"/>
      <c r="CKT174" s="250"/>
      <c r="CKU174" s="250"/>
      <c r="CKV174" s="250"/>
      <c r="CKW174" s="250"/>
      <c r="CKX174" s="250"/>
      <c r="CKY174" s="250"/>
      <c r="CKZ174" s="250"/>
      <c r="CLA174" s="250"/>
      <c r="CLB174" s="250"/>
      <c r="CLC174" s="250"/>
      <c r="CLD174" s="250"/>
      <c r="CLE174" s="250"/>
      <c r="CLF174" s="250"/>
      <c r="CLG174" s="250"/>
      <c r="CLH174" s="250"/>
      <c r="CLI174" s="250"/>
      <c r="CLJ174" s="250"/>
      <c r="CLK174" s="250"/>
      <c r="CLL174" s="250"/>
      <c r="CLM174" s="250"/>
      <c r="CLN174" s="250"/>
      <c r="CLO174" s="250"/>
      <c r="CLP174" s="250"/>
      <c r="CLQ174" s="250"/>
      <c r="CLR174" s="250"/>
      <c r="CLS174" s="250"/>
      <c r="CLT174" s="250"/>
      <c r="CLU174" s="250"/>
      <c r="CLV174" s="250"/>
      <c r="CLW174" s="250"/>
      <c r="CLX174" s="250"/>
      <c r="CLY174" s="250"/>
      <c r="CLZ174" s="250"/>
      <c r="CMA174" s="250"/>
      <c r="CMB174" s="250"/>
      <c r="CMC174" s="250"/>
      <c r="CMD174" s="250"/>
      <c r="CME174" s="250"/>
      <c r="CMF174" s="250"/>
      <c r="CMG174" s="250"/>
      <c r="CMH174" s="250"/>
      <c r="CMI174" s="250"/>
      <c r="CMJ174" s="250"/>
      <c r="CMK174" s="250"/>
      <c r="CML174" s="250"/>
      <c r="CMM174" s="250"/>
      <c r="CMN174" s="250"/>
      <c r="CMO174" s="250"/>
      <c r="CMP174" s="250"/>
      <c r="CMQ174" s="250"/>
      <c r="CMR174" s="250"/>
      <c r="CMS174" s="250"/>
      <c r="CMT174" s="250"/>
      <c r="CMU174" s="250"/>
      <c r="CMV174" s="250"/>
      <c r="CMW174" s="250"/>
      <c r="CMX174" s="250"/>
      <c r="CMY174" s="250"/>
      <c r="CMZ174" s="250"/>
      <c r="CNA174" s="250"/>
      <c r="CNB174" s="250"/>
      <c r="CNC174" s="250"/>
      <c r="CND174" s="250"/>
      <c r="CNE174" s="250"/>
      <c r="CNF174" s="250"/>
      <c r="CNG174" s="250"/>
      <c r="CNH174" s="250"/>
      <c r="CNI174" s="250"/>
      <c r="CNJ174" s="250"/>
      <c r="CNK174" s="250"/>
      <c r="CNL174" s="250"/>
      <c r="CNM174" s="250"/>
      <c r="CNN174" s="250"/>
      <c r="CNO174" s="250"/>
      <c r="CNP174" s="250"/>
      <c r="CNQ174" s="250"/>
      <c r="CNR174" s="250"/>
      <c r="CNS174" s="250"/>
      <c r="CNT174" s="250"/>
      <c r="CNU174" s="250"/>
      <c r="CNV174" s="250"/>
      <c r="CNW174" s="250"/>
      <c r="CNX174" s="250"/>
      <c r="CNY174" s="250"/>
      <c r="CNZ174" s="250"/>
      <c r="COA174" s="250"/>
      <c r="COB174" s="250"/>
      <c r="COC174" s="250"/>
      <c r="COD174" s="250"/>
      <c r="COE174" s="250"/>
      <c r="COF174" s="250"/>
      <c r="COG174" s="250"/>
      <c r="COH174" s="250"/>
      <c r="COI174" s="250"/>
      <c r="COJ174" s="250"/>
      <c r="COK174" s="250"/>
      <c r="COL174" s="250"/>
      <c r="COM174" s="250"/>
      <c r="CON174" s="250"/>
      <c r="COO174" s="250"/>
      <c r="COP174" s="250"/>
      <c r="COQ174" s="250"/>
      <c r="COR174" s="250"/>
      <c r="COS174" s="250"/>
      <c r="COT174" s="250"/>
      <c r="COU174" s="250"/>
      <c r="COV174" s="250"/>
      <c r="COW174" s="250"/>
      <c r="COX174" s="250"/>
      <c r="COY174" s="250"/>
      <c r="COZ174" s="250"/>
      <c r="CPA174" s="250"/>
      <c r="CPB174" s="250"/>
      <c r="CPC174" s="250"/>
      <c r="CPD174" s="250"/>
      <c r="CPE174" s="250"/>
      <c r="CPF174" s="250"/>
      <c r="CPG174" s="250"/>
      <c r="CPH174" s="250"/>
      <c r="CPI174" s="250"/>
      <c r="CPJ174" s="250"/>
      <c r="CPK174" s="250"/>
      <c r="CPL174" s="250"/>
      <c r="CPM174" s="250"/>
      <c r="CPN174" s="250"/>
      <c r="CPO174" s="250"/>
      <c r="CPP174" s="250"/>
      <c r="CPQ174" s="250"/>
      <c r="CPR174" s="250"/>
      <c r="CPS174" s="250"/>
      <c r="CPT174" s="250"/>
      <c r="CPU174" s="250"/>
      <c r="CPV174" s="250"/>
      <c r="CPW174" s="250"/>
      <c r="CPX174" s="250"/>
      <c r="CPY174" s="250"/>
      <c r="CPZ174" s="250"/>
      <c r="CQA174" s="250"/>
      <c r="CQB174" s="250"/>
      <c r="CQC174" s="250"/>
      <c r="CQD174" s="250"/>
      <c r="CQE174" s="250"/>
      <c r="CQF174" s="250"/>
      <c r="CQG174" s="250"/>
      <c r="CQH174" s="250"/>
      <c r="CQI174" s="250"/>
      <c r="CQJ174" s="250"/>
      <c r="CQK174" s="250"/>
      <c r="CQL174" s="250"/>
      <c r="CQM174" s="250"/>
      <c r="CQN174" s="250"/>
      <c r="CQO174" s="250"/>
      <c r="CQP174" s="250"/>
      <c r="CQQ174" s="250"/>
      <c r="CQR174" s="250"/>
      <c r="CQS174" s="250"/>
      <c r="CQT174" s="250"/>
      <c r="CQU174" s="250"/>
      <c r="CQV174" s="250"/>
      <c r="CQW174" s="250"/>
      <c r="CQX174" s="250"/>
      <c r="CQY174" s="250"/>
      <c r="CQZ174" s="250"/>
      <c r="CRA174" s="250"/>
      <c r="CRB174" s="250"/>
      <c r="CRC174" s="250"/>
      <c r="CRD174" s="250"/>
      <c r="CRE174" s="250"/>
      <c r="CRF174" s="250"/>
      <c r="CRG174" s="250"/>
      <c r="CRH174" s="250"/>
      <c r="CRI174" s="250"/>
      <c r="CRJ174" s="250"/>
      <c r="CRK174" s="250"/>
      <c r="CRL174" s="250"/>
      <c r="CRM174" s="250"/>
      <c r="CRN174" s="250"/>
      <c r="CRO174" s="250"/>
      <c r="CRP174" s="250"/>
      <c r="CRQ174" s="250"/>
      <c r="CRR174" s="250"/>
      <c r="CRS174" s="250"/>
      <c r="CRT174" s="250"/>
      <c r="CRU174" s="250"/>
      <c r="CRV174" s="250"/>
      <c r="CRW174" s="250"/>
      <c r="CRX174" s="250"/>
      <c r="CRY174" s="250"/>
      <c r="CRZ174" s="250"/>
      <c r="CSA174" s="250"/>
      <c r="CSB174" s="250"/>
      <c r="CSC174" s="250"/>
      <c r="CSD174" s="250"/>
      <c r="CSE174" s="250"/>
      <c r="CSF174" s="250"/>
      <c r="CSG174" s="250"/>
      <c r="CSH174" s="250"/>
      <c r="CSI174" s="250"/>
      <c r="CSJ174" s="250"/>
      <c r="CSK174" s="250"/>
      <c r="CSL174" s="250"/>
      <c r="CSM174" s="250"/>
      <c r="CSN174" s="250"/>
      <c r="CSO174" s="250"/>
      <c r="CSP174" s="250"/>
      <c r="CSQ174" s="250"/>
      <c r="CSR174" s="250"/>
      <c r="CSS174" s="250"/>
      <c r="CST174" s="250"/>
      <c r="CSU174" s="250"/>
      <c r="CSV174" s="250"/>
      <c r="CSW174" s="250"/>
      <c r="CSX174" s="250"/>
      <c r="CSY174" s="250"/>
      <c r="CSZ174" s="250"/>
      <c r="CTA174" s="250"/>
      <c r="CTB174" s="250"/>
      <c r="CTC174" s="250"/>
      <c r="CTD174" s="250"/>
      <c r="CTE174" s="250"/>
      <c r="CTF174" s="250"/>
      <c r="CTG174" s="250"/>
      <c r="CTH174" s="250"/>
      <c r="CTI174" s="250"/>
      <c r="CTJ174" s="250"/>
      <c r="CTK174" s="250"/>
      <c r="CTL174" s="250"/>
      <c r="CTM174" s="250"/>
      <c r="CTN174" s="250"/>
      <c r="CTO174" s="250"/>
      <c r="CTP174" s="250"/>
      <c r="CTQ174" s="250"/>
      <c r="CTR174" s="250"/>
      <c r="CTS174" s="250"/>
      <c r="CTT174" s="250"/>
      <c r="CTU174" s="250"/>
      <c r="CTV174" s="250"/>
      <c r="CTW174" s="250"/>
      <c r="CTX174" s="250"/>
      <c r="CTY174" s="250"/>
      <c r="CTZ174" s="250"/>
      <c r="CUA174" s="250"/>
      <c r="CUB174" s="250"/>
      <c r="CUC174" s="250"/>
      <c r="CUD174" s="250"/>
      <c r="CUE174" s="250"/>
      <c r="CUF174" s="250"/>
      <c r="CUG174" s="250"/>
      <c r="CUH174" s="250"/>
      <c r="CUI174" s="250"/>
      <c r="CUJ174" s="250"/>
      <c r="CUK174" s="250"/>
      <c r="CUL174" s="250"/>
      <c r="CUM174" s="250"/>
      <c r="CUN174" s="250"/>
      <c r="CUO174" s="250"/>
      <c r="CUP174" s="250"/>
      <c r="CUQ174" s="250"/>
      <c r="CUR174" s="250"/>
      <c r="CUS174" s="250"/>
      <c r="CUT174" s="250"/>
      <c r="CUU174" s="250"/>
      <c r="CUV174" s="250"/>
      <c r="CUW174" s="250"/>
      <c r="CUX174" s="250"/>
      <c r="CUY174" s="250"/>
      <c r="CUZ174" s="250"/>
      <c r="CVA174" s="250"/>
      <c r="CVB174" s="250"/>
      <c r="CVC174" s="250"/>
      <c r="CVD174" s="250"/>
      <c r="CVE174" s="250"/>
      <c r="CVF174" s="250"/>
      <c r="CVG174" s="250"/>
      <c r="CVH174" s="250"/>
      <c r="CVI174" s="250"/>
      <c r="CVJ174" s="250"/>
      <c r="CVK174" s="250"/>
      <c r="CVL174" s="250"/>
      <c r="CVM174" s="250"/>
      <c r="CVN174" s="250"/>
      <c r="CVO174" s="250"/>
      <c r="CVP174" s="250"/>
      <c r="CVQ174" s="250"/>
      <c r="CVR174" s="250"/>
      <c r="CVS174" s="250"/>
      <c r="CVT174" s="250"/>
      <c r="CVU174" s="250"/>
      <c r="CVV174" s="250"/>
      <c r="CVW174" s="250"/>
      <c r="CVX174" s="250"/>
      <c r="CVY174" s="250"/>
      <c r="CVZ174" s="250"/>
      <c r="CWA174" s="250"/>
      <c r="CWB174" s="250"/>
      <c r="CWC174" s="250"/>
      <c r="CWD174" s="250"/>
      <c r="CWE174" s="250"/>
      <c r="CWF174" s="250"/>
      <c r="CWG174" s="250"/>
      <c r="CWH174" s="250"/>
      <c r="CWI174" s="250"/>
      <c r="CWJ174" s="250"/>
      <c r="CWK174" s="250"/>
      <c r="CWL174" s="250"/>
      <c r="CWM174" s="250"/>
      <c r="CWN174" s="250"/>
      <c r="CWO174" s="250"/>
      <c r="CWP174" s="250"/>
      <c r="CWQ174" s="250"/>
      <c r="CWR174" s="250"/>
      <c r="CWS174" s="250"/>
      <c r="CWT174" s="250"/>
      <c r="CWU174" s="250"/>
      <c r="CWV174" s="250"/>
      <c r="CWW174" s="250"/>
      <c r="CWX174" s="250"/>
      <c r="CWY174" s="250"/>
      <c r="CWZ174" s="250"/>
      <c r="CXA174" s="250"/>
      <c r="CXB174" s="250"/>
      <c r="CXC174" s="250"/>
      <c r="CXD174" s="250"/>
      <c r="CXE174" s="250"/>
      <c r="CXF174" s="250"/>
      <c r="CXG174" s="250"/>
      <c r="CXH174" s="250"/>
      <c r="CXI174" s="250"/>
      <c r="CXJ174" s="250"/>
      <c r="CXK174" s="250"/>
      <c r="CXL174" s="250"/>
      <c r="CXM174" s="250"/>
      <c r="CXN174" s="250"/>
      <c r="CXO174" s="250"/>
      <c r="CXP174" s="250"/>
      <c r="CXQ174" s="250"/>
      <c r="CXR174" s="250"/>
      <c r="CXS174" s="250"/>
      <c r="CXT174" s="250"/>
      <c r="CXU174" s="250"/>
      <c r="CXV174" s="250"/>
      <c r="CXW174" s="250"/>
      <c r="CXX174" s="250"/>
      <c r="CXY174" s="250"/>
      <c r="CXZ174" s="250"/>
      <c r="CYA174" s="250"/>
      <c r="CYB174" s="250"/>
      <c r="CYC174" s="250"/>
      <c r="CYD174" s="250"/>
      <c r="CYE174" s="250"/>
      <c r="CYF174" s="250"/>
      <c r="CYG174" s="250"/>
      <c r="CYH174" s="250"/>
      <c r="CYI174" s="250"/>
      <c r="CYJ174" s="250"/>
      <c r="CYK174" s="250"/>
      <c r="CYL174" s="250"/>
      <c r="CYM174" s="250"/>
      <c r="CYN174" s="250"/>
      <c r="CYO174" s="250"/>
      <c r="CYP174" s="250"/>
      <c r="CYQ174" s="250"/>
      <c r="CYR174" s="250"/>
      <c r="CYS174" s="250"/>
      <c r="CYT174" s="250"/>
      <c r="CYU174" s="250"/>
      <c r="CYV174" s="250"/>
      <c r="CYW174" s="250"/>
      <c r="CYX174" s="250"/>
      <c r="CYY174" s="250"/>
      <c r="CYZ174" s="250"/>
      <c r="CZA174" s="250"/>
      <c r="CZB174" s="250"/>
      <c r="CZC174" s="250"/>
      <c r="CZD174" s="250"/>
      <c r="CZE174" s="250"/>
      <c r="CZF174" s="250"/>
      <c r="CZG174" s="250"/>
      <c r="CZH174" s="250"/>
      <c r="CZI174" s="250"/>
      <c r="CZJ174" s="250"/>
      <c r="CZK174" s="250"/>
      <c r="CZL174" s="250"/>
      <c r="CZM174" s="250"/>
      <c r="CZN174" s="250"/>
      <c r="CZO174" s="250"/>
      <c r="CZP174" s="250"/>
      <c r="CZQ174" s="250"/>
      <c r="CZR174" s="250"/>
      <c r="CZS174" s="250"/>
      <c r="CZT174" s="250"/>
      <c r="CZU174" s="250"/>
      <c r="CZV174" s="250"/>
      <c r="CZW174" s="250"/>
      <c r="CZX174" s="250"/>
      <c r="CZY174" s="250"/>
      <c r="CZZ174" s="250"/>
      <c r="DAA174" s="250"/>
      <c r="DAB174" s="250"/>
      <c r="DAC174" s="250"/>
      <c r="DAD174" s="250"/>
      <c r="DAE174" s="250"/>
      <c r="DAF174" s="250"/>
      <c r="DAG174" s="250"/>
      <c r="DAH174" s="250"/>
      <c r="DAI174" s="250"/>
      <c r="DAJ174" s="250"/>
      <c r="DAK174" s="250"/>
      <c r="DAL174" s="250"/>
      <c r="DAM174" s="250"/>
      <c r="DAN174" s="250"/>
      <c r="DAO174" s="250"/>
      <c r="DAP174" s="250"/>
      <c r="DAQ174" s="250"/>
      <c r="DAR174" s="250"/>
      <c r="DAS174" s="250"/>
      <c r="DAT174" s="250"/>
      <c r="DAU174" s="250"/>
      <c r="DAV174" s="250"/>
      <c r="DAW174" s="250"/>
      <c r="DAX174" s="250"/>
      <c r="DAY174" s="250"/>
      <c r="DAZ174" s="250"/>
      <c r="DBA174" s="250"/>
      <c r="DBB174" s="250"/>
      <c r="DBC174" s="250"/>
      <c r="DBD174" s="250"/>
      <c r="DBE174" s="250"/>
      <c r="DBF174" s="250"/>
      <c r="DBG174" s="250"/>
      <c r="DBH174" s="250"/>
      <c r="DBI174" s="250"/>
      <c r="DBJ174" s="250"/>
      <c r="DBK174" s="250"/>
      <c r="DBL174" s="250"/>
      <c r="DBM174" s="250"/>
      <c r="DBN174" s="250"/>
      <c r="DBO174" s="250"/>
      <c r="DBP174" s="250"/>
      <c r="DBQ174" s="250"/>
      <c r="DBR174" s="250"/>
      <c r="DBS174" s="250"/>
      <c r="DBT174" s="250"/>
      <c r="DBU174" s="250"/>
      <c r="DBV174" s="250"/>
      <c r="DBW174" s="250"/>
      <c r="DBX174" s="250"/>
      <c r="DBY174" s="250"/>
      <c r="DBZ174" s="250"/>
      <c r="DCA174" s="250"/>
      <c r="DCB174" s="250"/>
      <c r="DCC174" s="250"/>
      <c r="DCD174" s="250"/>
      <c r="DCE174" s="250"/>
      <c r="DCF174" s="250"/>
      <c r="DCG174" s="250"/>
      <c r="DCH174" s="250"/>
      <c r="DCI174" s="250"/>
      <c r="DCJ174" s="250"/>
      <c r="DCK174" s="250"/>
      <c r="DCL174" s="250"/>
      <c r="DCM174" s="250"/>
      <c r="DCN174" s="250"/>
      <c r="DCO174" s="250"/>
      <c r="DCP174" s="250"/>
      <c r="DCQ174" s="250"/>
      <c r="DCR174" s="250"/>
      <c r="DCS174" s="250"/>
      <c r="DCT174" s="250"/>
      <c r="DCU174" s="250"/>
      <c r="DCV174" s="250"/>
      <c r="DCW174" s="250"/>
      <c r="DCX174" s="250"/>
      <c r="DCY174" s="250"/>
      <c r="DCZ174" s="250"/>
      <c r="DDA174" s="250"/>
      <c r="DDB174" s="250"/>
      <c r="DDC174" s="250"/>
      <c r="DDD174" s="250"/>
      <c r="DDE174" s="250"/>
      <c r="DDF174" s="250"/>
      <c r="DDG174" s="250"/>
      <c r="DDH174" s="250"/>
      <c r="DDI174" s="250"/>
      <c r="DDJ174" s="250"/>
      <c r="DDK174" s="250"/>
      <c r="DDL174" s="250"/>
      <c r="DDM174" s="250"/>
      <c r="DDN174" s="250"/>
      <c r="DDO174" s="250"/>
      <c r="DDP174" s="250"/>
      <c r="DDQ174" s="250"/>
      <c r="DDR174" s="250"/>
      <c r="DDS174" s="250"/>
      <c r="DDT174" s="250"/>
      <c r="DDU174" s="250"/>
      <c r="DDV174" s="250"/>
      <c r="DDW174" s="250"/>
      <c r="DDX174" s="250"/>
      <c r="DDY174" s="250"/>
      <c r="DDZ174" s="250"/>
      <c r="DEA174" s="250"/>
      <c r="DEB174" s="250"/>
      <c r="DEC174" s="250"/>
      <c r="DED174" s="250"/>
      <c r="DEE174" s="250"/>
      <c r="DEF174" s="250"/>
      <c r="DEG174" s="250"/>
      <c r="DEH174" s="250"/>
      <c r="DEI174" s="250"/>
      <c r="DEJ174" s="250"/>
      <c r="DEK174" s="250"/>
      <c r="DEL174" s="250"/>
      <c r="DEM174" s="250"/>
      <c r="DEN174" s="250"/>
      <c r="DEO174" s="250"/>
      <c r="DEP174" s="250"/>
      <c r="DEQ174" s="250"/>
      <c r="DER174" s="250"/>
      <c r="DES174" s="250"/>
      <c r="DET174" s="250"/>
      <c r="DEU174" s="250"/>
      <c r="DEV174" s="250"/>
      <c r="DEW174" s="250"/>
      <c r="DEX174" s="250"/>
      <c r="DEY174" s="250"/>
      <c r="DEZ174" s="250"/>
      <c r="DFA174" s="250"/>
      <c r="DFB174" s="250"/>
      <c r="DFC174" s="250"/>
      <c r="DFD174" s="250"/>
      <c r="DFE174" s="250"/>
      <c r="DFF174" s="250"/>
      <c r="DFG174" s="250"/>
      <c r="DFH174" s="250"/>
      <c r="DFI174" s="250"/>
      <c r="DFJ174" s="250"/>
      <c r="DFK174" s="250"/>
      <c r="DFL174" s="250"/>
      <c r="DFM174" s="250"/>
      <c r="DFN174" s="250"/>
      <c r="DFO174" s="250"/>
      <c r="DFP174" s="250"/>
      <c r="DFQ174" s="250"/>
      <c r="DFR174" s="250"/>
      <c r="DFS174" s="250"/>
      <c r="DFT174" s="250"/>
      <c r="DFU174" s="250"/>
      <c r="DFV174" s="250"/>
      <c r="DFW174" s="250"/>
      <c r="DFX174" s="250"/>
      <c r="DFY174" s="250"/>
      <c r="DFZ174" s="250"/>
      <c r="DGA174" s="250"/>
      <c r="DGB174" s="250"/>
      <c r="DGC174" s="250"/>
      <c r="DGD174" s="250"/>
      <c r="DGE174" s="250"/>
      <c r="DGF174" s="250"/>
      <c r="DGG174" s="250"/>
      <c r="DGH174" s="250"/>
      <c r="DGI174" s="250"/>
      <c r="DGJ174" s="250"/>
      <c r="DGK174" s="250"/>
      <c r="DGL174" s="250"/>
      <c r="DGM174" s="250"/>
      <c r="DGN174" s="250"/>
      <c r="DGO174" s="250"/>
      <c r="DGP174" s="250"/>
      <c r="DGQ174" s="250"/>
      <c r="DGR174" s="250"/>
      <c r="DGS174" s="250"/>
      <c r="DGT174" s="250"/>
      <c r="DGU174" s="250"/>
      <c r="DGV174" s="250"/>
      <c r="DGW174" s="250"/>
      <c r="DGX174" s="250"/>
      <c r="DGY174" s="250"/>
      <c r="DGZ174" s="250"/>
      <c r="DHA174" s="250"/>
      <c r="DHB174" s="250"/>
      <c r="DHC174" s="250"/>
      <c r="DHD174" s="250"/>
      <c r="DHE174" s="250"/>
      <c r="DHF174" s="250"/>
      <c r="DHG174" s="250"/>
      <c r="DHH174" s="250"/>
      <c r="DHI174" s="250"/>
      <c r="DHJ174" s="250"/>
      <c r="DHK174" s="250"/>
      <c r="DHL174" s="250"/>
      <c r="DHM174" s="250"/>
      <c r="DHN174" s="250"/>
      <c r="DHO174" s="250"/>
      <c r="DHP174" s="250"/>
      <c r="DHQ174" s="250"/>
      <c r="DHR174" s="250"/>
      <c r="DHS174" s="250"/>
      <c r="DHT174" s="250"/>
      <c r="DHU174" s="250"/>
      <c r="DHV174" s="250"/>
      <c r="DHW174" s="250"/>
      <c r="DHX174" s="250"/>
      <c r="DHY174" s="250"/>
      <c r="DHZ174" s="250"/>
      <c r="DIA174" s="250"/>
      <c r="DIB174" s="250"/>
      <c r="DIC174" s="250"/>
      <c r="DID174" s="250"/>
      <c r="DIE174" s="250"/>
      <c r="DIF174" s="250"/>
      <c r="DIG174" s="250"/>
      <c r="DIH174" s="250"/>
      <c r="DII174" s="250"/>
      <c r="DIJ174" s="250"/>
      <c r="DIK174" s="250"/>
      <c r="DIL174" s="250"/>
      <c r="DIM174" s="250"/>
      <c r="DIN174" s="250"/>
      <c r="DIO174" s="250"/>
      <c r="DIP174" s="250"/>
      <c r="DIQ174" s="250"/>
      <c r="DIR174" s="250"/>
      <c r="DIS174" s="250"/>
      <c r="DIT174" s="250"/>
      <c r="DIU174" s="250"/>
      <c r="DIV174" s="250"/>
      <c r="DIW174" s="250"/>
      <c r="DIX174" s="250"/>
      <c r="DIY174" s="250"/>
      <c r="DIZ174" s="250"/>
      <c r="DJA174" s="250"/>
      <c r="DJB174" s="250"/>
      <c r="DJC174" s="250"/>
      <c r="DJD174" s="250"/>
      <c r="DJE174" s="250"/>
      <c r="DJF174" s="250"/>
      <c r="DJG174" s="250"/>
      <c r="DJH174" s="250"/>
      <c r="DJI174" s="250"/>
      <c r="DJJ174" s="250"/>
      <c r="DJK174" s="250"/>
      <c r="DJL174" s="250"/>
      <c r="DJM174" s="250"/>
      <c r="DJN174" s="250"/>
      <c r="DJO174" s="250"/>
      <c r="DJP174" s="250"/>
      <c r="DJQ174" s="250"/>
      <c r="DJR174" s="250"/>
      <c r="DJS174" s="250"/>
      <c r="DJT174" s="250"/>
      <c r="DJU174" s="250"/>
      <c r="DJV174" s="250"/>
      <c r="DJW174" s="250"/>
      <c r="DJX174" s="250"/>
      <c r="DJY174" s="250"/>
      <c r="DJZ174" s="250"/>
      <c r="DKA174" s="250"/>
      <c r="DKB174" s="250"/>
      <c r="DKC174" s="250"/>
      <c r="DKD174" s="250"/>
      <c r="DKE174" s="250"/>
      <c r="DKF174" s="250"/>
      <c r="DKG174" s="250"/>
      <c r="DKH174" s="250"/>
      <c r="DKI174" s="250"/>
      <c r="DKJ174" s="250"/>
      <c r="DKK174" s="250"/>
      <c r="DKL174" s="250"/>
      <c r="DKM174" s="250"/>
      <c r="DKN174" s="250"/>
      <c r="DKO174" s="250"/>
      <c r="DKP174" s="250"/>
      <c r="DKQ174" s="250"/>
      <c r="DKR174" s="250"/>
      <c r="DKS174" s="250"/>
      <c r="DKT174" s="250"/>
      <c r="DKU174" s="250"/>
      <c r="DKV174" s="250"/>
      <c r="DKW174" s="250"/>
      <c r="DKX174" s="250"/>
      <c r="DKY174" s="250"/>
      <c r="DKZ174" s="250"/>
      <c r="DLA174" s="250"/>
      <c r="DLB174" s="250"/>
      <c r="DLC174" s="250"/>
      <c r="DLD174" s="250"/>
      <c r="DLE174" s="250"/>
      <c r="DLF174" s="250"/>
      <c r="DLG174" s="250"/>
      <c r="DLH174" s="250"/>
      <c r="DLI174" s="250"/>
      <c r="DLJ174" s="250"/>
      <c r="DLK174" s="250"/>
      <c r="DLL174" s="250"/>
      <c r="DLM174" s="250"/>
      <c r="DLN174" s="250"/>
      <c r="DLO174" s="250"/>
      <c r="DLP174" s="250"/>
      <c r="DLQ174" s="250"/>
      <c r="DLR174" s="250"/>
      <c r="DLS174" s="250"/>
      <c r="DLT174" s="250"/>
      <c r="DLU174" s="250"/>
      <c r="DLV174" s="250"/>
      <c r="DLW174" s="250"/>
      <c r="DLX174" s="250"/>
      <c r="DLY174" s="250"/>
      <c r="DLZ174" s="250"/>
      <c r="DMA174" s="250"/>
      <c r="DMB174" s="250"/>
      <c r="DMC174" s="250"/>
      <c r="DMD174" s="250"/>
      <c r="DME174" s="250"/>
      <c r="DMF174" s="250"/>
      <c r="DMG174" s="250"/>
      <c r="DMH174" s="250"/>
      <c r="DMI174" s="250"/>
      <c r="DMJ174" s="250"/>
      <c r="DMK174" s="250"/>
      <c r="DML174" s="250"/>
      <c r="DMM174" s="250"/>
      <c r="DMN174" s="250"/>
      <c r="DMO174" s="250"/>
      <c r="DMP174" s="250"/>
      <c r="DMQ174" s="250"/>
      <c r="DMR174" s="250"/>
      <c r="DMS174" s="250"/>
      <c r="DMT174" s="250"/>
      <c r="DMU174" s="250"/>
      <c r="DMV174" s="250"/>
      <c r="DMW174" s="250"/>
      <c r="DMX174" s="250"/>
      <c r="DMY174" s="250"/>
      <c r="DMZ174" s="250"/>
      <c r="DNA174" s="250"/>
      <c r="DNB174" s="250"/>
      <c r="DNC174" s="250"/>
      <c r="DND174" s="250"/>
      <c r="DNE174" s="250"/>
      <c r="DNF174" s="250"/>
      <c r="DNG174" s="250"/>
      <c r="DNH174" s="250"/>
      <c r="DNI174" s="250"/>
      <c r="DNJ174" s="250"/>
      <c r="DNK174" s="250"/>
      <c r="DNL174" s="250"/>
      <c r="DNM174" s="250"/>
      <c r="DNN174" s="250"/>
      <c r="DNO174" s="250"/>
      <c r="DNP174" s="250"/>
      <c r="DNQ174" s="250"/>
      <c r="DNR174" s="250"/>
      <c r="DNS174" s="250"/>
      <c r="DNT174" s="250"/>
      <c r="DNU174" s="250"/>
      <c r="DNV174" s="250"/>
      <c r="DNW174" s="250"/>
      <c r="DNX174" s="250"/>
      <c r="DNY174" s="250"/>
      <c r="DNZ174" s="250"/>
      <c r="DOA174" s="250"/>
      <c r="DOB174" s="250"/>
      <c r="DOC174" s="250"/>
      <c r="DOD174" s="250"/>
      <c r="DOE174" s="250"/>
      <c r="DOF174" s="250"/>
      <c r="DOG174" s="250"/>
      <c r="DOH174" s="250"/>
      <c r="DOI174" s="250"/>
      <c r="DOJ174" s="250"/>
      <c r="DOK174" s="250"/>
      <c r="DOL174" s="250"/>
      <c r="DOM174" s="250"/>
      <c r="DON174" s="250"/>
      <c r="DOO174" s="250"/>
      <c r="DOP174" s="250"/>
      <c r="DOQ174" s="250"/>
      <c r="DOR174" s="250"/>
      <c r="DOS174" s="250"/>
      <c r="DOT174" s="250"/>
      <c r="DOU174" s="250"/>
      <c r="DOV174" s="250"/>
      <c r="DOW174" s="250"/>
      <c r="DOX174" s="250"/>
      <c r="DOY174" s="250"/>
      <c r="DOZ174" s="250"/>
      <c r="DPA174" s="250"/>
      <c r="DPB174" s="250"/>
      <c r="DPC174" s="250"/>
      <c r="DPD174" s="250"/>
      <c r="DPE174" s="250"/>
      <c r="DPF174" s="250"/>
      <c r="DPG174" s="250"/>
      <c r="DPH174" s="250"/>
      <c r="DPI174" s="250"/>
      <c r="DPJ174" s="250"/>
      <c r="DPK174" s="250"/>
      <c r="DPL174" s="250"/>
      <c r="DPM174" s="250"/>
      <c r="DPN174" s="250"/>
      <c r="DPO174" s="250"/>
      <c r="DPP174" s="250"/>
      <c r="DPQ174" s="250"/>
      <c r="DPR174" s="250"/>
      <c r="DPS174" s="250"/>
      <c r="DPT174" s="250"/>
      <c r="DPU174" s="250"/>
      <c r="DPV174" s="250"/>
      <c r="DPW174" s="250"/>
      <c r="DPX174" s="250"/>
      <c r="DPY174" s="250"/>
      <c r="DPZ174" s="250"/>
      <c r="DQA174" s="250"/>
      <c r="DQB174" s="250"/>
      <c r="DQC174" s="250"/>
      <c r="DQD174" s="250"/>
      <c r="DQE174" s="250"/>
      <c r="DQF174" s="250"/>
      <c r="DQG174" s="250"/>
      <c r="DQH174" s="250"/>
      <c r="DQI174" s="250"/>
      <c r="DQJ174" s="250"/>
      <c r="DQK174" s="250"/>
      <c r="DQL174" s="250"/>
      <c r="DQM174" s="250"/>
      <c r="DQN174" s="250"/>
      <c r="DQO174" s="250"/>
      <c r="DQP174" s="250"/>
      <c r="DQQ174" s="250"/>
      <c r="DQR174" s="250"/>
      <c r="DQS174" s="250"/>
      <c r="DQT174" s="250"/>
      <c r="DQU174" s="250"/>
      <c r="DQV174" s="250"/>
      <c r="DQW174" s="250"/>
      <c r="DQX174" s="250"/>
      <c r="DQY174" s="250"/>
      <c r="DQZ174" s="250"/>
      <c r="DRA174" s="250"/>
      <c r="DRB174" s="250"/>
      <c r="DRC174" s="250"/>
      <c r="DRD174" s="250"/>
      <c r="DRE174" s="250"/>
      <c r="DRF174" s="250"/>
      <c r="DRG174" s="250"/>
      <c r="DRH174" s="250"/>
      <c r="DRI174" s="250"/>
      <c r="DRJ174" s="250"/>
      <c r="DRK174" s="250"/>
      <c r="DRL174" s="250"/>
      <c r="DRM174" s="250"/>
      <c r="DRN174" s="250"/>
      <c r="DRO174" s="250"/>
      <c r="DRP174" s="250"/>
      <c r="DRQ174" s="250"/>
      <c r="DRR174" s="250"/>
      <c r="DRS174" s="250"/>
      <c r="DRT174" s="250"/>
      <c r="DRU174" s="250"/>
      <c r="DRV174" s="250"/>
      <c r="DRW174" s="250"/>
      <c r="DRX174" s="250"/>
      <c r="DRY174" s="250"/>
      <c r="DRZ174" s="250"/>
      <c r="DSA174" s="250"/>
      <c r="DSB174" s="250"/>
      <c r="DSC174" s="250"/>
      <c r="DSD174" s="250"/>
      <c r="DSE174" s="250"/>
      <c r="DSF174" s="250"/>
      <c r="DSG174" s="250"/>
      <c r="DSH174" s="250"/>
      <c r="DSI174" s="250"/>
      <c r="DSJ174" s="250"/>
      <c r="DSK174" s="250"/>
      <c r="DSL174" s="250"/>
      <c r="DSM174" s="250"/>
      <c r="DSN174" s="250"/>
      <c r="DSO174" s="250"/>
      <c r="DSP174" s="250"/>
      <c r="DSQ174" s="250"/>
      <c r="DSR174" s="250"/>
      <c r="DSS174" s="250"/>
      <c r="DST174" s="250"/>
      <c r="DSU174" s="250"/>
      <c r="DSV174" s="250"/>
      <c r="DSW174" s="250"/>
      <c r="DSX174" s="250"/>
      <c r="DSY174" s="250"/>
      <c r="DSZ174" s="250"/>
      <c r="DTA174" s="250"/>
      <c r="DTB174" s="250"/>
      <c r="DTC174" s="250"/>
      <c r="DTD174" s="250"/>
      <c r="DTE174" s="250"/>
      <c r="DTF174" s="250"/>
      <c r="DTG174" s="250"/>
      <c r="DTH174" s="250"/>
      <c r="DTI174" s="250"/>
      <c r="DTJ174" s="250"/>
      <c r="DTK174" s="250"/>
      <c r="DTL174" s="250"/>
      <c r="DTM174" s="250"/>
      <c r="DTN174" s="250"/>
      <c r="DTO174" s="250"/>
      <c r="DTP174" s="250"/>
      <c r="DTQ174" s="250"/>
      <c r="DTR174" s="250"/>
      <c r="DTS174" s="250"/>
      <c r="DTT174" s="250"/>
      <c r="DTU174" s="250"/>
      <c r="DTV174" s="250"/>
      <c r="DTW174" s="250"/>
      <c r="DTX174" s="250"/>
      <c r="DTY174" s="250"/>
      <c r="DTZ174" s="250"/>
      <c r="DUA174" s="250"/>
      <c r="DUB174" s="250"/>
      <c r="DUC174" s="250"/>
      <c r="DUD174" s="250"/>
      <c r="DUE174" s="250"/>
      <c r="DUF174" s="250"/>
      <c r="DUG174" s="250"/>
      <c r="DUH174" s="250"/>
      <c r="DUI174" s="250"/>
      <c r="DUJ174" s="250"/>
      <c r="DUK174" s="250"/>
      <c r="DUL174" s="250"/>
      <c r="DUM174" s="250"/>
      <c r="DUN174" s="250"/>
      <c r="DUO174" s="250"/>
      <c r="DUP174" s="250"/>
      <c r="DUQ174" s="250"/>
      <c r="DUR174" s="250"/>
      <c r="DUS174" s="250"/>
      <c r="DUT174" s="250"/>
      <c r="DUU174" s="250"/>
      <c r="DUV174" s="250"/>
      <c r="DUW174" s="250"/>
      <c r="DUX174" s="250"/>
      <c r="DUY174" s="250"/>
      <c r="DUZ174" s="250"/>
      <c r="DVA174" s="250"/>
      <c r="DVB174" s="250"/>
      <c r="DVC174" s="250"/>
      <c r="DVD174" s="250"/>
      <c r="DVE174" s="250"/>
      <c r="DVF174" s="250"/>
      <c r="DVG174" s="250"/>
      <c r="DVH174" s="250"/>
      <c r="DVI174" s="250"/>
      <c r="DVJ174" s="250"/>
      <c r="DVK174" s="250"/>
      <c r="DVL174" s="250"/>
      <c r="DVM174" s="250"/>
      <c r="DVN174" s="250"/>
      <c r="DVO174" s="250"/>
      <c r="DVP174" s="250"/>
      <c r="DVQ174" s="250"/>
      <c r="DVR174" s="250"/>
      <c r="DVS174" s="250"/>
      <c r="DVT174" s="250"/>
      <c r="DVU174" s="250"/>
      <c r="DVV174" s="250"/>
      <c r="DVW174" s="250"/>
      <c r="DVX174" s="250"/>
      <c r="DVY174" s="250"/>
      <c r="DVZ174" s="250"/>
      <c r="DWA174" s="250"/>
      <c r="DWB174" s="250"/>
      <c r="DWC174" s="250"/>
      <c r="DWD174" s="250"/>
      <c r="DWE174" s="250"/>
      <c r="DWF174" s="250"/>
      <c r="DWG174" s="250"/>
      <c r="DWH174" s="250"/>
      <c r="DWI174" s="250"/>
      <c r="DWJ174" s="250"/>
      <c r="DWK174" s="250"/>
      <c r="DWL174" s="250"/>
      <c r="DWM174" s="250"/>
      <c r="DWN174" s="250"/>
      <c r="DWO174" s="250"/>
      <c r="DWP174" s="250"/>
      <c r="DWQ174" s="250"/>
      <c r="DWR174" s="250"/>
      <c r="DWS174" s="250"/>
      <c r="DWT174" s="250"/>
      <c r="DWU174" s="250"/>
      <c r="DWV174" s="250"/>
      <c r="DWW174" s="250"/>
      <c r="DWX174" s="250"/>
      <c r="DWY174" s="250"/>
      <c r="DWZ174" s="250"/>
      <c r="DXA174" s="250"/>
      <c r="DXB174" s="250"/>
      <c r="DXC174" s="250"/>
      <c r="DXD174" s="250"/>
      <c r="DXE174" s="250"/>
      <c r="DXF174" s="250"/>
      <c r="DXG174" s="250"/>
      <c r="DXH174" s="250"/>
      <c r="DXI174" s="250"/>
      <c r="DXJ174" s="250"/>
      <c r="DXK174" s="250"/>
      <c r="DXL174" s="250"/>
      <c r="DXM174" s="250"/>
      <c r="DXN174" s="250"/>
      <c r="DXO174" s="250"/>
      <c r="DXP174" s="250"/>
      <c r="DXQ174" s="250"/>
      <c r="DXR174" s="250"/>
      <c r="DXS174" s="250"/>
      <c r="DXT174" s="250"/>
      <c r="DXU174" s="250"/>
      <c r="DXV174" s="250"/>
      <c r="DXW174" s="250"/>
      <c r="DXX174" s="250"/>
      <c r="DXY174" s="250"/>
      <c r="DXZ174" s="250"/>
      <c r="DYA174" s="250"/>
      <c r="DYB174" s="250"/>
      <c r="DYC174" s="250"/>
      <c r="DYD174" s="250"/>
      <c r="DYE174" s="250"/>
      <c r="DYF174" s="250"/>
      <c r="DYG174" s="250"/>
      <c r="DYH174" s="250"/>
      <c r="DYI174" s="250"/>
      <c r="DYJ174" s="250"/>
      <c r="DYK174" s="250"/>
      <c r="DYL174" s="250"/>
      <c r="DYM174" s="250"/>
      <c r="DYN174" s="250"/>
      <c r="DYO174" s="250"/>
      <c r="DYP174" s="250"/>
      <c r="DYQ174" s="250"/>
      <c r="DYR174" s="250"/>
      <c r="DYS174" s="250"/>
      <c r="DYT174" s="250"/>
      <c r="DYU174" s="250"/>
      <c r="DYV174" s="250"/>
      <c r="DYW174" s="250"/>
      <c r="DYX174" s="250"/>
      <c r="DYY174" s="250"/>
      <c r="DYZ174" s="250"/>
      <c r="DZA174" s="250"/>
      <c r="DZB174" s="250"/>
      <c r="DZC174" s="250"/>
      <c r="DZD174" s="250"/>
      <c r="DZE174" s="250"/>
      <c r="DZF174" s="250"/>
      <c r="DZG174" s="250"/>
      <c r="DZH174" s="250"/>
      <c r="DZI174" s="250"/>
      <c r="DZJ174" s="250"/>
      <c r="DZK174" s="250"/>
      <c r="DZL174" s="250"/>
      <c r="DZM174" s="250"/>
      <c r="DZN174" s="250"/>
      <c r="DZO174" s="250"/>
      <c r="DZP174" s="250"/>
      <c r="DZQ174" s="250"/>
      <c r="DZR174" s="250"/>
      <c r="DZS174" s="250"/>
      <c r="DZT174" s="250"/>
      <c r="DZU174" s="250"/>
      <c r="DZV174" s="250"/>
      <c r="DZW174" s="250"/>
      <c r="DZX174" s="250"/>
      <c r="DZY174" s="250"/>
      <c r="DZZ174" s="250"/>
      <c r="EAA174" s="250"/>
      <c r="EAB174" s="250"/>
      <c r="EAC174" s="250"/>
      <c r="EAD174" s="250"/>
      <c r="EAE174" s="250"/>
      <c r="EAF174" s="250"/>
      <c r="EAG174" s="250"/>
      <c r="EAH174" s="250"/>
      <c r="EAI174" s="250"/>
      <c r="EAJ174" s="250"/>
      <c r="EAK174" s="250"/>
      <c r="EAL174" s="250"/>
      <c r="EAM174" s="250"/>
      <c r="EAN174" s="250"/>
      <c r="EAO174" s="250"/>
      <c r="EAP174" s="250"/>
      <c r="EAQ174" s="250"/>
      <c r="EAR174" s="250"/>
      <c r="EAS174" s="250"/>
      <c r="EAT174" s="250"/>
      <c r="EAU174" s="250"/>
      <c r="EAV174" s="250"/>
      <c r="EAW174" s="250"/>
      <c r="EAX174" s="250"/>
      <c r="EAY174" s="250"/>
      <c r="EAZ174" s="250"/>
      <c r="EBA174" s="250"/>
      <c r="EBB174" s="250"/>
      <c r="EBC174" s="250"/>
      <c r="EBD174" s="250"/>
      <c r="EBE174" s="250"/>
      <c r="EBF174" s="250"/>
      <c r="EBG174" s="250"/>
      <c r="EBH174" s="250"/>
      <c r="EBI174" s="250"/>
      <c r="EBJ174" s="250"/>
      <c r="EBK174" s="250"/>
      <c r="EBL174" s="250"/>
      <c r="EBM174" s="250"/>
      <c r="EBN174" s="250"/>
      <c r="EBO174" s="250"/>
      <c r="EBP174" s="250"/>
      <c r="EBQ174" s="250"/>
      <c r="EBR174" s="250"/>
      <c r="EBS174" s="250"/>
      <c r="EBT174" s="250"/>
      <c r="EBU174" s="250"/>
      <c r="EBV174" s="250"/>
      <c r="EBW174" s="250"/>
      <c r="EBX174" s="250"/>
      <c r="EBY174" s="250"/>
      <c r="EBZ174" s="250"/>
      <c r="ECA174" s="250"/>
      <c r="ECB174" s="250"/>
      <c r="ECC174" s="250"/>
      <c r="ECD174" s="250"/>
      <c r="ECE174" s="250"/>
      <c r="ECF174" s="250"/>
      <c r="ECG174" s="250"/>
      <c r="ECH174" s="250"/>
      <c r="ECI174" s="250"/>
      <c r="ECJ174" s="250"/>
      <c r="ECK174" s="250"/>
      <c r="ECL174" s="250"/>
      <c r="ECM174" s="250"/>
      <c r="ECN174" s="250"/>
      <c r="ECO174" s="250"/>
      <c r="ECP174" s="250"/>
      <c r="ECQ174" s="250"/>
      <c r="ECR174" s="250"/>
      <c r="ECS174" s="250"/>
      <c r="ECT174" s="250"/>
      <c r="ECU174" s="250"/>
      <c r="ECV174" s="250"/>
      <c r="ECW174" s="250"/>
      <c r="ECX174" s="250"/>
      <c r="ECY174" s="250"/>
      <c r="ECZ174" s="250"/>
      <c r="EDA174" s="250"/>
      <c r="EDB174" s="250"/>
      <c r="EDC174" s="250"/>
      <c r="EDD174" s="250"/>
      <c r="EDE174" s="250"/>
      <c r="EDF174" s="250"/>
      <c r="EDG174" s="250"/>
      <c r="EDH174" s="250"/>
      <c r="EDI174" s="250"/>
      <c r="EDJ174" s="250"/>
      <c r="EDK174" s="250"/>
      <c r="EDL174" s="250"/>
      <c r="EDM174" s="250"/>
      <c r="EDN174" s="250"/>
      <c r="EDO174" s="250"/>
      <c r="EDP174" s="250"/>
      <c r="EDQ174" s="250"/>
      <c r="EDR174" s="250"/>
      <c r="EDS174" s="250"/>
      <c r="EDT174" s="250"/>
      <c r="EDU174" s="250"/>
      <c r="EDV174" s="250"/>
      <c r="EDW174" s="250"/>
      <c r="EDX174" s="250"/>
      <c r="EDY174" s="250"/>
      <c r="EDZ174" s="250"/>
      <c r="EEA174" s="250"/>
      <c r="EEB174" s="250"/>
      <c r="EEC174" s="250"/>
      <c r="EED174" s="250"/>
      <c r="EEE174" s="250"/>
      <c r="EEF174" s="250"/>
      <c r="EEG174" s="250"/>
      <c r="EEH174" s="250"/>
      <c r="EEI174" s="250"/>
      <c r="EEJ174" s="250"/>
      <c r="EEK174" s="250"/>
      <c r="EEL174" s="250"/>
      <c r="EEM174" s="250"/>
      <c r="EEN174" s="250"/>
      <c r="EEO174" s="250"/>
      <c r="EEP174" s="250"/>
      <c r="EEQ174" s="250"/>
      <c r="EER174" s="250"/>
      <c r="EES174" s="250"/>
      <c r="EET174" s="250"/>
      <c r="EEU174" s="250"/>
      <c r="EEV174" s="250"/>
      <c r="EEW174" s="250"/>
      <c r="EEX174" s="250"/>
      <c r="EEY174" s="250"/>
      <c r="EEZ174" s="250"/>
      <c r="EFA174" s="250"/>
      <c r="EFB174" s="250"/>
      <c r="EFC174" s="250"/>
      <c r="EFD174" s="250"/>
      <c r="EFE174" s="250"/>
      <c r="EFF174" s="250"/>
      <c r="EFG174" s="250"/>
      <c r="EFH174" s="250"/>
      <c r="EFI174" s="250"/>
      <c r="EFJ174" s="250"/>
      <c r="EFK174" s="250"/>
      <c r="EFL174" s="250"/>
      <c r="EFM174" s="250"/>
      <c r="EFN174" s="250"/>
      <c r="EFO174" s="250"/>
      <c r="EFP174" s="250"/>
      <c r="EFQ174" s="250"/>
      <c r="EFR174" s="250"/>
      <c r="EFS174" s="250"/>
      <c r="EFT174" s="250"/>
      <c r="EFU174" s="250"/>
      <c r="EFV174" s="250"/>
      <c r="EFW174" s="250"/>
      <c r="EFX174" s="250"/>
      <c r="EFY174" s="250"/>
      <c r="EFZ174" s="250"/>
      <c r="EGA174" s="250"/>
      <c r="EGB174" s="250"/>
      <c r="EGC174" s="250"/>
      <c r="EGD174" s="250"/>
      <c r="EGE174" s="250"/>
      <c r="EGF174" s="250"/>
      <c r="EGG174" s="250"/>
      <c r="EGH174" s="250"/>
      <c r="EGI174" s="250"/>
      <c r="EGJ174" s="250"/>
      <c r="EGK174" s="250"/>
      <c r="EGL174" s="250"/>
      <c r="EGM174" s="250"/>
      <c r="EGN174" s="250"/>
      <c r="EGO174" s="250"/>
      <c r="EGP174" s="250"/>
      <c r="EGQ174" s="250"/>
      <c r="EGR174" s="250"/>
      <c r="EGS174" s="250"/>
      <c r="EGT174" s="250"/>
      <c r="EGU174" s="250"/>
      <c r="EGV174" s="250"/>
      <c r="EGW174" s="250"/>
      <c r="EGX174" s="250"/>
      <c r="EGY174" s="250"/>
      <c r="EGZ174" s="250"/>
      <c r="EHA174" s="250"/>
      <c r="EHB174" s="250"/>
      <c r="EHC174" s="250"/>
      <c r="EHD174" s="250"/>
      <c r="EHE174" s="250"/>
      <c r="EHF174" s="250"/>
      <c r="EHG174" s="250"/>
      <c r="EHH174" s="250"/>
      <c r="EHI174" s="250"/>
      <c r="EHJ174" s="250"/>
      <c r="EHK174" s="250"/>
      <c r="EHL174" s="250"/>
      <c r="EHM174" s="250"/>
      <c r="EHN174" s="250"/>
      <c r="EHO174" s="250"/>
      <c r="EHP174" s="250"/>
      <c r="EHQ174" s="250"/>
      <c r="EHR174" s="250"/>
      <c r="EHS174" s="250"/>
      <c r="EHT174" s="250"/>
      <c r="EHU174" s="250"/>
      <c r="EHV174" s="250"/>
      <c r="EHW174" s="250"/>
      <c r="EHX174" s="250"/>
      <c r="EHY174" s="250"/>
      <c r="EHZ174" s="250"/>
      <c r="EIA174" s="250"/>
      <c r="EIB174" s="250"/>
      <c r="EIC174" s="250"/>
      <c r="EID174" s="250"/>
      <c r="EIE174" s="250"/>
      <c r="EIF174" s="250"/>
      <c r="EIG174" s="250"/>
      <c r="EIH174" s="250"/>
      <c r="EII174" s="250"/>
      <c r="EIJ174" s="250"/>
      <c r="EIK174" s="250"/>
      <c r="EIL174" s="250"/>
      <c r="EIM174" s="250"/>
      <c r="EIN174" s="250"/>
      <c r="EIO174" s="250"/>
      <c r="EIP174" s="250"/>
      <c r="EIQ174" s="250"/>
      <c r="EIR174" s="250"/>
      <c r="EIS174" s="250"/>
      <c r="EIT174" s="250"/>
      <c r="EIU174" s="250"/>
      <c r="EIV174" s="250"/>
      <c r="EIW174" s="250"/>
      <c r="EIX174" s="250"/>
      <c r="EIY174" s="250"/>
      <c r="EIZ174" s="250"/>
      <c r="EJA174" s="250"/>
      <c r="EJB174" s="250"/>
      <c r="EJC174" s="250"/>
      <c r="EJD174" s="250"/>
      <c r="EJE174" s="250"/>
      <c r="EJF174" s="250"/>
      <c r="EJG174" s="250"/>
      <c r="EJH174" s="250"/>
      <c r="EJI174" s="250"/>
      <c r="EJJ174" s="250"/>
      <c r="EJK174" s="250"/>
      <c r="EJL174" s="250"/>
      <c r="EJM174" s="250"/>
      <c r="EJN174" s="250"/>
      <c r="EJO174" s="250"/>
      <c r="EJP174" s="250"/>
      <c r="EJQ174" s="250"/>
      <c r="EJR174" s="250"/>
      <c r="EJS174" s="250"/>
      <c r="EJT174" s="250"/>
      <c r="EJU174" s="250"/>
      <c r="EJV174" s="250"/>
      <c r="EJW174" s="250"/>
      <c r="EJX174" s="250"/>
      <c r="EJY174" s="250"/>
      <c r="EJZ174" s="250"/>
      <c r="EKA174" s="250"/>
      <c r="EKB174" s="250"/>
      <c r="EKC174" s="250"/>
      <c r="EKD174" s="250"/>
      <c r="EKE174" s="250"/>
      <c r="EKF174" s="250"/>
      <c r="EKG174" s="250"/>
      <c r="EKH174" s="250"/>
      <c r="EKI174" s="250"/>
      <c r="EKJ174" s="250"/>
      <c r="EKK174" s="250"/>
      <c r="EKL174" s="250"/>
      <c r="EKM174" s="250"/>
      <c r="EKN174" s="250"/>
      <c r="EKO174" s="250"/>
      <c r="EKP174" s="250"/>
      <c r="EKQ174" s="250"/>
      <c r="EKR174" s="250"/>
      <c r="EKS174" s="250"/>
      <c r="EKT174" s="250"/>
      <c r="EKU174" s="250"/>
      <c r="EKV174" s="250"/>
      <c r="EKW174" s="250"/>
      <c r="EKX174" s="250"/>
      <c r="EKY174" s="250"/>
      <c r="EKZ174" s="250"/>
      <c r="ELA174" s="250"/>
      <c r="ELB174" s="250"/>
      <c r="ELC174" s="250"/>
      <c r="ELD174" s="250"/>
      <c r="ELE174" s="250"/>
      <c r="ELF174" s="250"/>
      <c r="ELG174" s="250"/>
      <c r="ELH174" s="250"/>
      <c r="ELI174" s="250"/>
      <c r="ELJ174" s="250"/>
      <c r="ELK174" s="250"/>
      <c r="ELL174" s="250"/>
      <c r="ELM174" s="250"/>
      <c r="ELN174" s="250"/>
      <c r="ELO174" s="250"/>
      <c r="ELP174" s="250"/>
      <c r="ELQ174" s="250"/>
      <c r="ELR174" s="250"/>
      <c r="ELS174" s="250"/>
      <c r="ELT174" s="250"/>
      <c r="ELU174" s="250"/>
      <c r="ELV174" s="250"/>
      <c r="ELW174" s="250"/>
      <c r="ELX174" s="250"/>
      <c r="ELY174" s="250"/>
      <c r="ELZ174" s="250"/>
      <c r="EMA174" s="250"/>
      <c r="EMB174" s="250"/>
      <c r="EMC174" s="250"/>
      <c r="EMD174" s="250"/>
      <c r="EME174" s="250"/>
      <c r="EMF174" s="250"/>
      <c r="EMG174" s="250"/>
      <c r="EMH174" s="250"/>
      <c r="EMI174" s="250"/>
      <c r="EMJ174" s="250"/>
      <c r="EMK174" s="250"/>
      <c r="EML174" s="250"/>
      <c r="EMM174" s="250"/>
      <c r="EMN174" s="250"/>
      <c r="EMO174" s="250"/>
      <c r="EMP174" s="250"/>
      <c r="EMQ174" s="250"/>
      <c r="EMR174" s="250"/>
      <c r="EMS174" s="250"/>
      <c r="EMT174" s="250"/>
      <c r="EMU174" s="250"/>
      <c r="EMV174" s="250"/>
      <c r="EMW174" s="250"/>
      <c r="EMX174" s="250"/>
      <c r="EMY174" s="250"/>
      <c r="EMZ174" s="250"/>
      <c r="ENA174" s="250"/>
      <c r="ENB174" s="250"/>
      <c r="ENC174" s="250"/>
      <c r="END174" s="250"/>
      <c r="ENE174" s="250"/>
      <c r="ENF174" s="250"/>
      <c r="ENG174" s="250"/>
      <c r="ENH174" s="250"/>
      <c r="ENI174" s="250"/>
      <c r="ENJ174" s="250"/>
      <c r="ENK174" s="250"/>
      <c r="ENL174" s="250"/>
      <c r="ENM174" s="250"/>
      <c r="ENN174" s="250"/>
      <c r="ENO174" s="250"/>
      <c r="ENP174" s="250"/>
      <c r="ENQ174" s="250"/>
      <c r="ENR174" s="250"/>
      <c r="ENS174" s="250"/>
      <c r="ENT174" s="250"/>
      <c r="ENU174" s="250"/>
      <c r="ENV174" s="250"/>
      <c r="ENW174" s="250"/>
      <c r="ENX174" s="250"/>
      <c r="ENY174" s="250"/>
      <c r="ENZ174" s="250"/>
      <c r="EOA174" s="250"/>
      <c r="EOB174" s="250"/>
      <c r="EOC174" s="250"/>
      <c r="EOD174" s="250"/>
      <c r="EOE174" s="250"/>
      <c r="EOF174" s="250"/>
      <c r="EOG174" s="250"/>
      <c r="EOH174" s="250"/>
      <c r="EOI174" s="250"/>
      <c r="EOJ174" s="250"/>
      <c r="EOK174" s="250"/>
      <c r="EOL174" s="250"/>
      <c r="EOM174" s="250"/>
      <c r="EON174" s="250"/>
      <c r="EOO174" s="250"/>
      <c r="EOP174" s="250"/>
      <c r="EOQ174" s="250"/>
      <c r="EOR174" s="250"/>
      <c r="EOS174" s="250"/>
      <c r="EOT174" s="250"/>
      <c r="EOU174" s="250"/>
      <c r="EOV174" s="250"/>
      <c r="EOW174" s="250"/>
      <c r="EOX174" s="250"/>
      <c r="EOY174" s="250"/>
      <c r="EOZ174" s="250"/>
      <c r="EPA174" s="250"/>
      <c r="EPB174" s="250"/>
      <c r="EPC174" s="250"/>
      <c r="EPD174" s="250"/>
      <c r="EPE174" s="250"/>
      <c r="EPF174" s="250"/>
      <c r="EPG174" s="250"/>
      <c r="EPH174" s="250"/>
      <c r="EPI174" s="250"/>
      <c r="EPJ174" s="250"/>
      <c r="EPK174" s="250"/>
      <c r="EPL174" s="250"/>
      <c r="EPM174" s="250"/>
      <c r="EPN174" s="250"/>
      <c r="EPO174" s="250"/>
      <c r="EPP174" s="250"/>
      <c r="EPQ174" s="250"/>
      <c r="EPR174" s="250"/>
      <c r="EPS174" s="250"/>
      <c r="EPT174" s="250"/>
      <c r="EPU174" s="250"/>
      <c r="EPV174" s="250"/>
      <c r="EPW174" s="250"/>
      <c r="EPX174" s="250"/>
      <c r="EPY174" s="250"/>
      <c r="EPZ174" s="250"/>
      <c r="EQA174" s="250"/>
      <c r="EQB174" s="250"/>
      <c r="EQC174" s="250"/>
      <c r="EQD174" s="250"/>
      <c r="EQE174" s="250"/>
      <c r="EQF174" s="250"/>
      <c r="EQG174" s="250"/>
      <c r="EQH174" s="250"/>
      <c r="EQI174" s="250"/>
      <c r="EQJ174" s="250"/>
      <c r="EQK174" s="250"/>
      <c r="EQL174" s="250"/>
      <c r="EQM174" s="250"/>
      <c r="EQN174" s="250"/>
      <c r="EQO174" s="250"/>
      <c r="EQP174" s="250"/>
      <c r="EQQ174" s="250"/>
      <c r="EQR174" s="250"/>
      <c r="EQS174" s="250"/>
      <c r="EQT174" s="250"/>
      <c r="EQU174" s="250"/>
      <c r="EQV174" s="250"/>
      <c r="EQW174" s="250"/>
      <c r="EQX174" s="250"/>
      <c r="EQY174" s="250"/>
      <c r="EQZ174" s="250"/>
      <c r="ERA174" s="250"/>
      <c r="ERB174" s="250"/>
      <c r="ERC174" s="250"/>
      <c r="ERD174" s="250"/>
      <c r="ERE174" s="250"/>
      <c r="ERF174" s="250"/>
      <c r="ERG174" s="250"/>
      <c r="ERH174" s="250"/>
      <c r="ERI174" s="250"/>
      <c r="ERJ174" s="250"/>
      <c r="ERK174" s="250"/>
      <c r="ERL174" s="250"/>
      <c r="ERM174" s="250"/>
      <c r="ERN174" s="250"/>
      <c r="ERO174" s="250"/>
      <c r="ERP174" s="250"/>
      <c r="ERQ174" s="250"/>
      <c r="ERR174" s="250"/>
      <c r="ERS174" s="250"/>
      <c r="ERT174" s="250"/>
      <c r="ERU174" s="250"/>
      <c r="ERV174" s="250"/>
      <c r="ERW174" s="250"/>
      <c r="ERX174" s="250"/>
      <c r="ERY174" s="250"/>
      <c r="ERZ174" s="250"/>
      <c r="ESA174" s="250"/>
      <c r="ESB174" s="250"/>
      <c r="ESC174" s="250"/>
      <c r="ESD174" s="250"/>
      <c r="ESE174" s="250"/>
      <c r="ESF174" s="250"/>
      <c r="ESG174" s="250"/>
      <c r="ESH174" s="250"/>
      <c r="ESI174" s="250"/>
      <c r="ESJ174" s="250"/>
      <c r="ESK174" s="250"/>
      <c r="ESL174" s="250"/>
      <c r="ESM174" s="250"/>
      <c r="ESN174" s="250"/>
      <c r="ESO174" s="250"/>
      <c r="ESP174" s="250"/>
      <c r="ESQ174" s="250"/>
      <c r="ESR174" s="250"/>
      <c r="ESS174" s="250"/>
      <c r="EST174" s="250"/>
      <c r="ESU174" s="250"/>
      <c r="ESV174" s="250"/>
      <c r="ESW174" s="250"/>
      <c r="ESX174" s="250"/>
      <c r="ESY174" s="250"/>
      <c r="ESZ174" s="250"/>
      <c r="ETA174" s="250"/>
      <c r="ETB174" s="250"/>
      <c r="ETC174" s="250"/>
      <c r="ETD174" s="250"/>
      <c r="ETE174" s="250"/>
      <c r="ETF174" s="250"/>
      <c r="ETG174" s="250"/>
      <c r="ETH174" s="250"/>
      <c r="ETI174" s="250"/>
      <c r="ETJ174" s="250"/>
      <c r="ETK174" s="250"/>
      <c r="ETL174" s="250"/>
      <c r="ETM174" s="250"/>
      <c r="ETN174" s="250"/>
      <c r="ETO174" s="250"/>
      <c r="ETP174" s="250"/>
      <c r="ETQ174" s="250"/>
      <c r="ETR174" s="250"/>
      <c r="ETS174" s="250"/>
      <c r="ETT174" s="250"/>
      <c r="ETU174" s="250"/>
      <c r="ETV174" s="250"/>
      <c r="ETW174" s="250"/>
      <c r="ETX174" s="250"/>
      <c r="ETY174" s="250"/>
      <c r="ETZ174" s="250"/>
      <c r="EUA174" s="250"/>
      <c r="EUB174" s="250"/>
      <c r="EUC174" s="250"/>
      <c r="EUD174" s="250"/>
      <c r="EUE174" s="250"/>
      <c r="EUF174" s="250"/>
      <c r="EUG174" s="250"/>
      <c r="EUH174" s="250"/>
      <c r="EUI174" s="250"/>
      <c r="EUJ174" s="250"/>
      <c r="EUK174" s="250"/>
      <c r="EUL174" s="250"/>
      <c r="EUM174" s="250"/>
      <c r="EUN174" s="250"/>
      <c r="EUO174" s="250"/>
      <c r="EUP174" s="250"/>
      <c r="EUQ174" s="250"/>
      <c r="EUR174" s="250"/>
      <c r="EUS174" s="250"/>
      <c r="EUT174" s="250"/>
      <c r="EUU174" s="250"/>
      <c r="EUV174" s="250"/>
      <c r="EUW174" s="250"/>
      <c r="EUX174" s="250"/>
      <c r="EUY174" s="250"/>
      <c r="EUZ174" s="250"/>
      <c r="EVA174" s="250"/>
      <c r="EVB174" s="250"/>
      <c r="EVC174" s="250"/>
      <c r="EVD174" s="250"/>
      <c r="EVE174" s="250"/>
      <c r="EVF174" s="250"/>
      <c r="EVG174" s="250"/>
      <c r="EVH174" s="250"/>
      <c r="EVI174" s="250"/>
      <c r="EVJ174" s="250"/>
      <c r="EVK174" s="250"/>
      <c r="EVL174" s="250"/>
      <c r="EVM174" s="250"/>
      <c r="EVN174" s="250"/>
      <c r="EVO174" s="250"/>
      <c r="EVP174" s="250"/>
      <c r="EVQ174" s="250"/>
      <c r="EVR174" s="250"/>
      <c r="EVS174" s="250"/>
      <c r="EVT174" s="250"/>
      <c r="EVU174" s="250"/>
      <c r="EVV174" s="250"/>
      <c r="EVW174" s="250"/>
      <c r="EVX174" s="250"/>
      <c r="EVY174" s="250"/>
      <c r="EVZ174" s="250"/>
      <c r="EWA174" s="250"/>
      <c r="EWB174" s="250"/>
      <c r="EWC174" s="250"/>
      <c r="EWD174" s="250"/>
      <c r="EWE174" s="250"/>
      <c r="EWF174" s="250"/>
      <c r="EWG174" s="250"/>
      <c r="EWH174" s="250"/>
      <c r="EWI174" s="250"/>
      <c r="EWJ174" s="250"/>
      <c r="EWK174" s="250"/>
      <c r="EWL174" s="250"/>
      <c r="EWM174" s="250"/>
      <c r="EWN174" s="250"/>
      <c r="EWO174" s="250"/>
      <c r="EWP174" s="250"/>
      <c r="EWQ174" s="250"/>
      <c r="EWR174" s="250"/>
      <c r="EWS174" s="250"/>
      <c r="EWT174" s="250"/>
      <c r="EWU174" s="250"/>
      <c r="EWV174" s="250"/>
      <c r="EWW174" s="250"/>
      <c r="EWX174" s="250"/>
      <c r="EWY174" s="250"/>
      <c r="EWZ174" s="250"/>
      <c r="EXA174" s="250"/>
      <c r="EXB174" s="250"/>
      <c r="EXC174" s="250"/>
      <c r="EXD174" s="250"/>
      <c r="EXE174" s="250"/>
      <c r="EXF174" s="250"/>
      <c r="EXG174" s="250"/>
      <c r="EXH174" s="250"/>
      <c r="EXI174" s="250"/>
      <c r="EXJ174" s="250"/>
      <c r="EXK174" s="250"/>
      <c r="EXL174" s="250"/>
      <c r="EXM174" s="250"/>
      <c r="EXN174" s="250"/>
      <c r="EXO174" s="250"/>
      <c r="EXP174" s="250"/>
      <c r="EXQ174" s="250"/>
      <c r="EXR174" s="250"/>
      <c r="EXS174" s="250"/>
      <c r="EXT174" s="250"/>
      <c r="EXU174" s="250"/>
      <c r="EXV174" s="250"/>
      <c r="EXW174" s="250"/>
      <c r="EXX174" s="250"/>
      <c r="EXY174" s="250"/>
      <c r="EXZ174" s="250"/>
      <c r="EYA174" s="250"/>
      <c r="EYB174" s="250"/>
      <c r="EYC174" s="250"/>
      <c r="EYD174" s="250"/>
      <c r="EYE174" s="250"/>
      <c r="EYF174" s="250"/>
      <c r="EYG174" s="250"/>
      <c r="EYH174" s="250"/>
      <c r="EYI174" s="250"/>
      <c r="EYJ174" s="250"/>
      <c r="EYK174" s="250"/>
      <c r="EYL174" s="250"/>
      <c r="EYM174" s="250"/>
      <c r="EYN174" s="250"/>
      <c r="EYO174" s="250"/>
      <c r="EYP174" s="250"/>
      <c r="EYQ174" s="250"/>
      <c r="EYR174" s="250"/>
      <c r="EYS174" s="250"/>
      <c r="EYT174" s="250"/>
      <c r="EYU174" s="250"/>
      <c r="EYV174" s="250"/>
      <c r="EYW174" s="250"/>
      <c r="EYX174" s="250"/>
      <c r="EYY174" s="250"/>
      <c r="EYZ174" s="250"/>
      <c r="EZA174" s="250"/>
      <c r="EZB174" s="250"/>
      <c r="EZC174" s="250"/>
      <c r="EZD174" s="250"/>
      <c r="EZE174" s="250"/>
      <c r="EZF174" s="250"/>
      <c r="EZG174" s="250"/>
      <c r="EZH174" s="250"/>
      <c r="EZI174" s="250"/>
      <c r="EZJ174" s="250"/>
      <c r="EZK174" s="250"/>
      <c r="EZL174" s="250"/>
      <c r="EZM174" s="250"/>
      <c r="EZN174" s="250"/>
      <c r="EZO174" s="250"/>
      <c r="EZP174" s="250"/>
      <c r="EZQ174" s="250"/>
      <c r="EZR174" s="250"/>
      <c r="EZS174" s="250"/>
      <c r="EZT174" s="250"/>
      <c r="EZU174" s="250"/>
      <c r="EZV174" s="250"/>
      <c r="EZW174" s="250"/>
      <c r="EZX174" s="250"/>
      <c r="EZY174" s="250"/>
      <c r="EZZ174" s="250"/>
      <c r="FAA174" s="250"/>
      <c r="FAB174" s="250"/>
      <c r="FAC174" s="250"/>
      <c r="FAD174" s="250"/>
      <c r="FAE174" s="250"/>
      <c r="FAF174" s="250"/>
      <c r="FAG174" s="250"/>
      <c r="FAH174" s="250"/>
      <c r="FAI174" s="250"/>
      <c r="FAJ174" s="250"/>
      <c r="FAK174" s="250"/>
      <c r="FAL174" s="250"/>
      <c r="FAM174" s="250"/>
      <c r="FAN174" s="250"/>
      <c r="FAO174" s="250"/>
      <c r="FAP174" s="250"/>
      <c r="FAQ174" s="250"/>
      <c r="FAR174" s="250"/>
      <c r="FAS174" s="250"/>
      <c r="FAT174" s="250"/>
      <c r="FAU174" s="250"/>
      <c r="FAV174" s="250"/>
      <c r="FAW174" s="250"/>
      <c r="FAX174" s="250"/>
      <c r="FAY174" s="250"/>
      <c r="FAZ174" s="250"/>
      <c r="FBA174" s="250"/>
      <c r="FBB174" s="250"/>
      <c r="FBC174" s="250"/>
      <c r="FBD174" s="250"/>
      <c r="FBE174" s="250"/>
      <c r="FBF174" s="250"/>
      <c r="FBG174" s="250"/>
      <c r="FBH174" s="250"/>
      <c r="FBI174" s="250"/>
      <c r="FBJ174" s="250"/>
      <c r="FBK174" s="250"/>
      <c r="FBL174" s="250"/>
      <c r="FBM174" s="250"/>
      <c r="FBN174" s="250"/>
      <c r="FBO174" s="250"/>
      <c r="FBP174" s="250"/>
      <c r="FBQ174" s="250"/>
      <c r="FBR174" s="250"/>
      <c r="FBS174" s="250"/>
      <c r="FBT174" s="250"/>
      <c r="FBU174" s="250"/>
      <c r="FBV174" s="250"/>
      <c r="FBW174" s="250"/>
      <c r="FBX174" s="250"/>
      <c r="FBY174" s="250"/>
      <c r="FBZ174" s="250"/>
      <c r="FCA174" s="250"/>
      <c r="FCB174" s="250"/>
      <c r="FCC174" s="250"/>
      <c r="FCD174" s="250"/>
      <c r="FCE174" s="250"/>
      <c r="FCF174" s="250"/>
      <c r="FCG174" s="250"/>
      <c r="FCH174" s="250"/>
      <c r="FCI174" s="250"/>
      <c r="FCJ174" s="250"/>
      <c r="FCK174" s="250"/>
      <c r="FCL174" s="250"/>
      <c r="FCM174" s="250"/>
      <c r="FCN174" s="250"/>
      <c r="FCO174" s="250"/>
      <c r="FCP174" s="250"/>
      <c r="FCQ174" s="250"/>
      <c r="FCR174" s="250"/>
      <c r="FCS174" s="250"/>
      <c r="FCT174" s="250"/>
      <c r="FCU174" s="250"/>
      <c r="FCV174" s="250"/>
      <c r="FCW174" s="250"/>
      <c r="FCX174" s="250"/>
      <c r="FCY174" s="250"/>
      <c r="FCZ174" s="250"/>
      <c r="FDA174" s="250"/>
      <c r="FDB174" s="250"/>
      <c r="FDC174" s="250"/>
      <c r="FDD174" s="250"/>
      <c r="FDE174" s="250"/>
      <c r="FDF174" s="250"/>
      <c r="FDG174" s="250"/>
      <c r="FDH174" s="250"/>
      <c r="FDI174" s="250"/>
      <c r="FDJ174" s="250"/>
      <c r="FDK174" s="250"/>
      <c r="FDL174" s="250"/>
      <c r="FDM174" s="250"/>
      <c r="FDN174" s="250"/>
      <c r="FDO174" s="250"/>
      <c r="FDP174" s="250"/>
      <c r="FDQ174" s="250"/>
      <c r="FDR174" s="250"/>
      <c r="FDS174" s="250"/>
      <c r="FDT174" s="250"/>
      <c r="FDU174" s="250"/>
      <c r="FDV174" s="250"/>
      <c r="FDW174" s="250"/>
      <c r="FDX174" s="250"/>
      <c r="FDY174" s="250"/>
      <c r="FDZ174" s="250"/>
      <c r="FEA174" s="250"/>
      <c r="FEB174" s="250"/>
      <c r="FEC174" s="250"/>
      <c r="FED174" s="250"/>
      <c r="FEE174" s="250"/>
      <c r="FEF174" s="250"/>
      <c r="FEG174" s="250"/>
      <c r="FEH174" s="250"/>
      <c r="FEI174" s="250"/>
      <c r="FEJ174" s="250"/>
      <c r="FEK174" s="250"/>
      <c r="FEL174" s="250"/>
      <c r="FEM174" s="250"/>
      <c r="FEN174" s="250"/>
      <c r="FEO174" s="250"/>
      <c r="FEP174" s="250"/>
      <c r="FEQ174" s="250"/>
      <c r="FER174" s="250"/>
      <c r="FES174" s="250"/>
      <c r="FET174" s="250"/>
      <c r="FEU174" s="250"/>
      <c r="FEV174" s="250"/>
      <c r="FEW174" s="250"/>
      <c r="FEX174" s="250"/>
      <c r="FEY174" s="250"/>
      <c r="FEZ174" s="250"/>
      <c r="FFA174" s="250"/>
      <c r="FFB174" s="250"/>
      <c r="FFC174" s="250"/>
      <c r="FFD174" s="250"/>
      <c r="FFE174" s="250"/>
      <c r="FFF174" s="250"/>
      <c r="FFG174" s="250"/>
      <c r="FFH174" s="250"/>
      <c r="FFI174" s="250"/>
      <c r="FFJ174" s="250"/>
      <c r="FFK174" s="250"/>
      <c r="FFL174" s="250"/>
      <c r="FFM174" s="250"/>
      <c r="FFN174" s="250"/>
      <c r="FFO174" s="250"/>
      <c r="FFP174" s="250"/>
      <c r="FFQ174" s="250"/>
      <c r="FFR174" s="250"/>
      <c r="FFS174" s="250"/>
      <c r="FFT174" s="250"/>
      <c r="FFU174" s="250"/>
      <c r="FFV174" s="250"/>
      <c r="FFW174" s="250"/>
      <c r="FFX174" s="250"/>
      <c r="FFY174" s="250"/>
      <c r="FFZ174" s="250"/>
      <c r="FGA174" s="250"/>
      <c r="FGB174" s="250"/>
      <c r="FGC174" s="250"/>
      <c r="FGD174" s="250"/>
      <c r="FGE174" s="250"/>
      <c r="FGF174" s="250"/>
      <c r="FGG174" s="250"/>
      <c r="FGH174" s="250"/>
      <c r="FGI174" s="250"/>
      <c r="FGJ174" s="250"/>
      <c r="FGK174" s="250"/>
      <c r="FGL174" s="250"/>
      <c r="FGM174" s="250"/>
      <c r="FGN174" s="250"/>
      <c r="FGO174" s="250"/>
      <c r="FGP174" s="250"/>
      <c r="FGQ174" s="250"/>
      <c r="FGR174" s="250"/>
      <c r="FGS174" s="250"/>
      <c r="FGT174" s="250"/>
      <c r="FGU174" s="250"/>
      <c r="FGV174" s="250"/>
      <c r="FGW174" s="250"/>
      <c r="FGX174" s="250"/>
      <c r="FGY174" s="250"/>
      <c r="FGZ174" s="250"/>
      <c r="FHA174" s="250"/>
      <c r="FHB174" s="250"/>
      <c r="FHC174" s="250"/>
      <c r="FHD174" s="250"/>
      <c r="FHE174" s="250"/>
      <c r="FHF174" s="250"/>
      <c r="FHG174" s="250"/>
      <c r="FHH174" s="250"/>
      <c r="FHI174" s="250"/>
      <c r="FHJ174" s="250"/>
      <c r="FHK174" s="250"/>
      <c r="FHL174" s="250"/>
      <c r="FHM174" s="250"/>
      <c r="FHN174" s="250"/>
      <c r="FHO174" s="250"/>
      <c r="FHP174" s="250"/>
      <c r="FHQ174" s="250"/>
      <c r="FHR174" s="250"/>
      <c r="FHS174" s="250"/>
      <c r="FHT174" s="250"/>
      <c r="FHU174" s="250"/>
      <c r="FHV174" s="250"/>
      <c r="FHW174" s="250"/>
      <c r="FHX174" s="250"/>
      <c r="FHY174" s="250"/>
      <c r="FHZ174" s="250"/>
      <c r="FIA174" s="250"/>
      <c r="FIB174" s="250"/>
      <c r="FIC174" s="250"/>
      <c r="FID174" s="250"/>
      <c r="FIE174" s="250"/>
      <c r="FIF174" s="250"/>
      <c r="FIG174" s="250"/>
      <c r="FIH174" s="250"/>
      <c r="FII174" s="250"/>
      <c r="FIJ174" s="250"/>
      <c r="FIK174" s="250"/>
      <c r="FIL174" s="250"/>
      <c r="FIM174" s="250"/>
      <c r="FIN174" s="250"/>
      <c r="FIO174" s="250"/>
      <c r="FIP174" s="250"/>
      <c r="FIQ174" s="250"/>
      <c r="FIR174" s="250"/>
      <c r="FIS174" s="250"/>
      <c r="FIT174" s="250"/>
      <c r="FIU174" s="250"/>
      <c r="FIV174" s="250"/>
      <c r="FIW174" s="250"/>
      <c r="FIX174" s="250"/>
      <c r="FIY174" s="250"/>
      <c r="FIZ174" s="250"/>
      <c r="FJA174" s="250"/>
      <c r="FJB174" s="250"/>
      <c r="FJC174" s="250"/>
      <c r="FJD174" s="250"/>
      <c r="FJE174" s="250"/>
      <c r="FJF174" s="250"/>
      <c r="FJG174" s="250"/>
      <c r="FJH174" s="250"/>
      <c r="FJI174" s="250"/>
      <c r="FJJ174" s="250"/>
      <c r="FJK174" s="250"/>
      <c r="FJL174" s="250"/>
      <c r="FJM174" s="250"/>
      <c r="FJN174" s="250"/>
      <c r="FJO174" s="250"/>
      <c r="FJP174" s="250"/>
      <c r="FJQ174" s="250"/>
      <c r="FJR174" s="250"/>
      <c r="FJS174" s="250"/>
      <c r="FJT174" s="250"/>
      <c r="FJU174" s="250"/>
      <c r="FJV174" s="250"/>
      <c r="FJW174" s="250"/>
      <c r="FJX174" s="250"/>
      <c r="FJY174" s="250"/>
      <c r="FJZ174" s="250"/>
      <c r="FKA174" s="250"/>
      <c r="FKB174" s="250"/>
      <c r="FKC174" s="250"/>
      <c r="FKD174" s="250"/>
      <c r="FKE174" s="250"/>
      <c r="FKF174" s="250"/>
      <c r="FKG174" s="250"/>
      <c r="FKH174" s="250"/>
      <c r="FKI174" s="250"/>
      <c r="FKJ174" s="250"/>
      <c r="FKK174" s="250"/>
      <c r="FKL174" s="250"/>
      <c r="FKM174" s="250"/>
      <c r="FKN174" s="250"/>
      <c r="FKO174" s="250"/>
      <c r="FKP174" s="250"/>
      <c r="FKQ174" s="250"/>
      <c r="FKR174" s="250"/>
      <c r="FKS174" s="250"/>
      <c r="FKT174" s="250"/>
      <c r="FKU174" s="250"/>
      <c r="FKV174" s="250"/>
      <c r="FKW174" s="250"/>
      <c r="FKX174" s="250"/>
      <c r="FKY174" s="250"/>
      <c r="FKZ174" s="250"/>
      <c r="FLA174" s="250"/>
      <c r="FLB174" s="250"/>
      <c r="FLC174" s="250"/>
      <c r="FLD174" s="250"/>
      <c r="FLE174" s="250"/>
      <c r="FLF174" s="250"/>
      <c r="FLG174" s="250"/>
      <c r="FLH174" s="250"/>
      <c r="FLI174" s="250"/>
      <c r="FLJ174" s="250"/>
      <c r="FLK174" s="250"/>
      <c r="FLL174" s="250"/>
      <c r="FLM174" s="250"/>
      <c r="FLN174" s="250"/>
      <c r="FLO174" s="250"/>
      <c r="FLP174" s="250"/>
      <c r="FLQ174" s="250"/>
      <c r="FLR174" s="250"/>
      <c r="FLS174" s="250"/>
      <c r="FLT174" s="250"/>
      <c r="FLU174" s="250"/>
      <c r="FLV174" s="250"/>
      <c r="FLW174" s="250"/>
      <c r="FLX174" s="250"/>
      <c r="FLY174" s="250"/>
      <c r="FLZ174" s="250"/>
      <c r="FMA174" s="250"/>
      <c r="FMB174" s="250"/>
      <c r="FMC174" s="250"/>
      <c r="FMD174" s="250"/>
      <c r="FME174" s="250"/>
      <c r="FMF174" s="250"/>
      <c r="FMG174" s="250"/>
      <c r="FMH174" s="250"/>
      <c r="FMI174" s="250"/>
      <c r="FMJ174" s="250"/>
      <c r="FMK174" s="250"/>
      <c r="FML174" s="250"/>
      <c r="FMM174" s="250"/>
      <c r="FMN174" s="250"/>
      <c r="FMO174" s="250"/>
      <c r="FMP174" s="250"/>
      <c r="FMQ174" s="250"/>
      <c r="FMR174" s="250"/>
      <c r="FMS174" s="250"/>
      <c r="FMT174" s="250"/>
      <c r="FMU174" s="250"/>
      <c r="FMV174" s="250"/>
      <c r="FMW174" s="250"/>
      <c r="FMX174" s="250"/>
      <c r="FMY174" s="250"/>
      <c r="FMZ174" s="250"/>
      <c r="FNA174" s="250"/>
      <c r="FNB174" s="250"/>
      <c r="FNC174" s="250"/>
      <c r="FND174" s="250"/>
      <c r="FNE174" s="250"/>
      <c r="FNF174" s="250"/>
      <c r="FNG174" s="250"/>
      <c r="FNH174" s="250"/>
      <c r="FNI174" s="250"/>
      <c r="FNJ174" s="250"/>
      <c r="FNK174" s="250"/>
      <c r="FNL174" s="250"/>
      <c r="FNM174" s="250"/>
      <c r="FNN174" s="250"/>
      <c r="FNO174" s="250"/>
      <c r="FNP174" s="250"/>
      <c r="FNQ174" s="250"/>
      <c r="FNR174" s="250"/>
      <c r="FNS174" s="250"/>
      <c r="FNT174" s="250"/>
      <c r="FNU174" s="250"/>
      <c r="FNV174" s="250"/>
      <c r="FNW174" s="250"/>
      <c r="FNX174" s="250"/>
      <c r="FNY174" s="250"/>
      <c r="FNZ174" s="250"/>
      <c r="FOA174" s="250"/>
      <c r="FOB174" s="250"/>
      <c r="FOC174" s="250"/>
      <c r="FOD174" s="250"/>
      <c r="FOE174" s="250"/>
      <c r="FOF174" s="250"/>
      <c r="FOG174" s="250"/>
      <c r="FOH174" s="250"/>
      <c r="FOI174" s="250"/>
      <c r="FOJ174" s="250"/>
      <c r="FOK174" s="250"/>
      <c r="FOL174" s="250"/>
      <c r="FOM174" s="250"/>
      <c r="FON174" s="250"/>
      <c r="FOO174" s="250"/>
      <c r="FOP174" s="250"/>
      <c r="FOQ174" s="250"/>
      <c r="FOR174" s="250"/>
      <c r="FOS174" s="250"/>
      <c r="FOT174" s="250"/>
      <c r="FOU174" s="250"/>
      <c r="FOV174" s="250"/>
      <c r="FOW174" s="250"/>
      <c r="FOX174" s="250"/>
      <c r="FOY174" s="250"/>
      <c r="FOZ174" s="250"/>
      <c r="FPA174" s="250"/>
      <c r="FPB174" s="250"/>
      <c r="FPC174" s="250"/>
      <c r="FPD174" s="250"/>
      <c r="FPE174" s="250"/>
      <c r="FPF174" s="250"/>
      <c r="FPG174" s="250"/>
      <c r="FPH174" s="250"/>
      <c r="FPI174" s="250"/>
      <c r="FPJ174" s="250"/>
      <c r="FPK174" s="250"/>
      <c r="FPL174" s="250"/>
      <c r="FPM174" s="250"/>
      <c r="FPN174" s="250"/>
      <c r="FPO174" s="250"/>
      <c r="FPP174" s="250"/>
      <c r="FPQ174" s="250"/>
      <c r="FPR174" s="250"/>
      <c r="FPS174" s="250"/>
      <c r="FPT174" s="250"/>
      <c r="FPU174" s="250"/>
      <c r="FPV174" s="250"/>
      <c r="FPW174" s="250"/>
      <c r="FPX174" s="250"/>
      <c r="FPY174" s="250"/>
      <c r="FPZ174" s="250"/>
      <c r="FQA174" s="250"/>
      <c r="FQB174" s="250"/>
      <c r="FQC174" s="250"/>
      <c r="FQD174" s="250"/>
      <c r="FQE174" s="250"/>
      <c r="FQF174" s="250"/>
      <c r="FQG174" s="250"/>
      <c r="FQH174" s="250"/>
      <c r="FQI174" s="250"/>
      <c r="FQJ174" s="250"/>
      <c r="FQK174" s="250"/>
      <c r="FQL174" s="250"/>
      <c r="FQM174" s="250"/>
      <c r="FQN174" s="250"/>
      <c r="FQO174" s="250"/>
      <c r="FQP174" s="250"/>
      <c r="FQQ174" s="250"/>
      <c r="FQR174" s="250"/>
      <c r="FQS174" s="250"/>
      <c r="FQT174" s="250"/>
      <c r="FQU174" s="250"/>
      <c r="FQV174" s="250"/>
      <c r="FQW174" s="250"/>
      <c r="FQX174" s="250"/>
      <c r="FQY174" s="250"/>
      <c r="FQZ174" s="250"/>
      <c r="FRA174" s="250"/>
      <c r="FRB174" s="250"/>
      <c r="FRC174" s="250"/>
      <c r="FRD174" s="250"/>
      <c r="FRE174" s="250"/>
      <c r="FRF174" s="250"/>
      <c r="FRG174" s="250"/>
      <c r="FRH174" s="250"/>
      <c r="FRI174" s="250"/>
      <c r="FRJ174" s="250"/>
      <c r="FRK174" s="250"/>
      <c r="FRL174" s="250"/>
      <c r="FRM174" s="250"/>
      <c r="FRN174" s="250"/>
      <c r="FRO174" s="250"/>
      <c r="FRP174" s="250"/>
      <c r="FRQ174" s="250"/>
      <c r="FRR174" s="250"/>
      <c r="FRS174" s="250"/>
      <c r="FRT174" s="250"/>
      <c r="FRU174" s="250"/>
      <c r="FRV174" s="250"/>
      <c r="FRW174" s="250"/>
      <c r="FRX174" s="250"/>
      <c r="FRY174" s="250"/>
      <c r="FRZ174" s="250"/>
      <c r="FSA174" s="250"/>
      <c r="FSB174" s="250"/>
      <c r="FSC174" s="250"/>
      <c r="FSD174" s="250"/>
      <c r="FSE174" s="250"/>
      <c r="FSF174" s="250"/>
      <c r="FSG174" s="250"/>
      <c r="FSH174" s="250"/>
      <c r="FSI174" s="250"/>
      <c r="FSJ174" s="250"/>
      <c r="FSK174" s="250"/>
      <c r="FSL174" s="250"/>
      <c r="FSM174" s="250"/>
      <c r="FSN174" s="250"/>
      <c r="FSO174" s="250"/>
      <c r="FSP174" s="250"/>
      <c r="FSQ174" s="250"/>
      <c r="FSR174" s="250"/>
      <c r="FSS174" s="250"/>
      <c r="FST174" s="250"/>
      <c r="FSU174" s="250"/>
      <c r="FSV174" s="250"/>
      <c r="FSW174" s="250"/>
      <c r="FSX174" s="250"/>
      <c r="FSY174" s="250"/>
      <c r="FSZ174" s="250"/>
      <c r="FTA174" s="250"/>
      <c r="FTB174" s="250"/>
      <c r="FTC174" s="250"/>
      <c r="FTD174" s="250"/>
      <c r="FTE174" s="250"/>
      <c r="FTF174" s="250"/>
      <c r="FTG174" s="250"/>
      <c r="FTH174" s="250"/>
      <c r="FTI174" s="250"/>
      <c r="FTJ174" s="250"/>
      <c r="FTK174" s="250"/>
      <c r="FTL174" s="250"/>
      <c r="FTM174" s="250"/>
      <c r="FTN174" s="250"/>
      <c r="FTO174" s="250"/>
      <c r="FTP174" s="250"/>
      <c r="FTQ174" s="250"/>
      <c r="FTR174" s="250"/>
      <c r="FTS174" s="250"/>
      <c r="FTT174" s="250"/>
      <c r="FTU174" s="250"/>
      <c r="FTV174" s="250"/>
      <c r="FTW174" s="250"/>
      <c r="FTX174" s="250"/>
      <c r="FTY174" s="250"/>
      <c r="FTZ174" s="250"/>
      <c r="FUA174" s="250"/>
      <c r="FUB174" s="250"/>
      <c r="FUC174" s="250"/>
      <c r="FUD174" s="250"/>
      <c r="FUE174" s="250"/>
      <c r="FUF174" s="250"/>
      <c r="FUG174" s="250"/>
      <c r="FUH174" s="250"/>
      <c r="FUI174" s="250"/>
      <c r="FUJ174" s="250"/>
      <c r="FUK174" s="250"/>
      <c r="FUL174" s="250"/>
      <c r="FUM174" s="250"/>
      <c r="FUN174" s="250"/>
      <c r="FUO174" s="250"/>
      <c r="FUP174" s="250"/>
      <c r="FUQ174" s="250"/>
      <c r="FUR174" s="250"/>
      <c r="FUS174" s="250"/>
      <c r="FUT174" s="250"/>
      <c r="FUU174" s="250"/>
      <c r="FUV174" s="250"/>
      <c r="FUW174" s="250"/>
      <c r="FUX174" s="250"/>
      <c r="FUY174" s="250"/>
      <c r="FUZ174" s="250"/>
      <c r="FVA174" s="250"/>
      <c r="FVB174" s="250"/>
      <c r="FVC174" s="250"/>
      <c r="FVD174" s="250"/>
      <c r="FVE174" s="250"/>
      <c r="FVF174" s="250"/>
      <c r="FVG174" s="250"/>
      <c r="FVH174" s="250"/>
      <c r="FVI174" s="250"/>
      <c r="FVJ174" s="250"/>
      <c r="FVK174" s="250"/>
      <c r="FVL174" s="250"/>
      <c r="FVM174" s="250"/>
      <c r="FVN174" s="250"/>
      <c r="FVO174" s="250"/>
      <c r="FVP174" s="250"/>
      <c r="FVQ174" s="250"/>
      <c r="FVR174" s="250"/>
      <c r="FVS174" s="250"/>
      <c r="FVT174" s="250"/>
      <c r="FVU174" s="250"/>
      <c r="FVV174" s="250"/>
      <c r="FVW174" s="250"/>
      <c r="FVX174" s="250"/>
      <c r="FVY174" s="250"/>
      <c r="FVZ174" s="250"/>
      <c r="FWA174" s="250"/>
      <c r="FWB174" s="250"/>
      <c r="FWC174" s="250"/>
      <c r="FWD174" s="250"/>
      <c r="FWE174" s="250"/>
      <c r="FWF174" s="250"/>
      <c r="FWG174" s="250"/>
      <c r="FWH174" s="250"/>
      <c r="FWI174" s="250"/>
      <c r="FWJ174" s="250"/>
      <c r="FWK174" s="250"/>
      <c r="FWL174" s="250"/>
      <c r="FWM174" s="250"/>
      <c r="FWN174" s="250"/>
      <c r="FWO174" s="250"/>
      <c r="FWP174" s="250"/>
      <c r="FWQ174" s="250"/>
      <c r="FWR174" s="250"/>
      <c r="FWS174" s="250"/>
      <c r="FWT174" s="250"/>
      <c r="FWU174" s="250"/>
      <c r="FWV174" s="250"/>
      <c r="FWW174" s="250"/>
      <c r="FWX174" s="250"/>
      <c r="FWY174" s="250"/>
      <c r="FWZ174" s="250"/>
      <c r="FXA174" s="250"/>
      <c r="FXB174" s="250"/>
      <c r="FXC174" s="250"/>
      <c r="FXD174" s="250"/>
      <c r="FXE174" s="250"/>
      <c r="FXF174" s="250"/>
      <c r="FXG174" s="250"/>
      <c r="FXH174" s="250"/>
      <c r="FXI174" s="250"/>
      <c r="FXJ174" s="250"/>
      <c r="FXK174" s="250"/>
      <c r="FXL174" s="250"/>
      <c r="FXM174" s="250"/>
      <c r="FXN174" s="250"/>
      <c r="FXO174" s="250"/>
      <c r="FXP174" s="250"/>
      <c r="FXQ174" s="250"/>
      <c r="FXR174" s="250"/>
      <c r="FXS174" s="250"/>
      <c r="FXT174" s="250"/>
      <c r="FXU174" s="250"/>
      <c r="FXV174" s="250"/>
      <c r="FXW174" s="250"/>
      <c r="FXX174" s="250"/>
      <c r="FXY174" s="250"/>
      <c r="FXZ174" s="250"/>
      <c r="FYA174" s="250"/>
      <c r="FYB174" s="250"/>
      <c r="FYC174" s="250"/>
      <c r="FYD174" s="250"/>
      <c r="FYE174" s="250"/>
      <c r="FYF174" s="250"/>
      <c r="FYG174" s="250"/>
      <c r="FYH174" s="250"/>
      <c r="FYI174" s="250"/>
      <c r="FYJ174" s="250"/>
      <c r="FYK174" s="250"/>
      <c r="FYL174" s="250"/>
      <c r="FYM174" s="250"/>
      <c r="FYN174" s="250"/>
      <c r="FYO174" s="250"/>
      <c r="FYP174" s="250"/>
      <c r="FYQ174" s="250"/>
      <c r="FYR174" s="250"/>
      <c r="FYS174" s="250"/>
      <c r="FYT174" s="250"/>
      <c r="FYU174" s="250"/>
      <c r="FYV174" s="250"/>
      <c r="FYW174" s="250"/>
      <c r="FYX174" s="250"/>
      <c r="FYY174" s="250"/>
      <c r="FYZ174" s="250"/>
      <c r="FZA174" s="250"/>
      <c r="FZB174" s="250"/>
      <c r="FZC174" s="250"/>
      <c r="FZD174" s="250"/>
      <c r="FZE174" s="250"/>
      <c r="FZF174" s="250"/>
      <c r="FZG174" s="250"/>
      <c r="FZH174" s="250"/>
      <c r="FZI174" s="250"/>
      <c r="FZJ174" s="250"/>
      <c r="FZK174" s="250"/>
      <c r="FZL174" s="250"/>
      <c r="FZM174" s="250"/>
      <c r="FZN174" s="250"/>
      <c r="FZO174" s="250"/>
      <c r="FZP174" s="250"/>
      <c r="FZQ174" s="250"/>
      <c r="FZR174" s="250"/>
      <c r="FZS174" s="250"/>
      <c r="FZT174" s="250"/>
      <c r="FZU174" s="250"/>
      <c r="FZV174" s="250"/>
      <c r="FZW174" s="250"/>
      <c r="FZX174" s="250"/>
      <c r="FZY174" s="250"/>
      <c r="FZZ174" s="250"/>
      <c r="GAA174" s="250"/>
      <c r="GAB174" s="250"/>
      <c r="GAC174" s="250"/>
      <c r="GAD174" s="250"/>
      <c r="GAE174" s="250"/>
      <c r="GAF174" s="250"/>
      <c r="GAG174" s="250"/>
      <c r="GAH174" s="250"/>
      <c r="GAI174" s="250"/>
      <c r="GAJ174" s="250"/>
      <c r="GAK174" s="250"/>
      <c r="GAL174" s="250"/>
      <c r="GAM174" s="250"/>
      <c r="GAN174" s="250"/>
      <c r="GAO174" s="250"/>
      <c r="GAP174" s="250"/>
      <c r="GAQ174" s="250"/>
      <c r="GAR174" s="250"/>
      <c r="GAS174" s="250"/>
      <c r="GAT174" s="250"/>
      <c r="GAU174" s="250"/>
      <c r="GAV174" s="250"/>
      <c r="GAW174" s="250"/>
      <c r="GAX174" s="250"/>
      <c r="GAY174" s="250"/>
      <c r="GAZ174" s="250"/>
      <c r="GBA174" s="250"/>
      <c r="GBB174" s="250"/>
      <c r="GBC174" s="250"/>
      <c r="GBD174" s="250"/>
      <c r="GBE174" s="250"/>
      <c r="GBF174" s="250"/>
      <c r="GBG174" s="250"/>
      <c r="GBH174" s="250"/>
      <c r="GBI174" s="250"/>
      <c r="GBJ174" s="250"/>
      <c r="GBK174" s="250"/>
      <c r="GBL174" s="250"/>
      <c r="GBM174" s="250"/>
      <c r="GBN174" s="250"/>
      <c r="GBO174" s="250"/>
      <c r="GBP174" s="250"/>
      <c r="GBQ174" s="250"/>
      <c r="GBR174" s="250"/>
      <c r="GBS174" s="250"/>
      <c r="GBT174" s="250"/>
      <c r="GBU174" s="250"/>
      <c r="GBV174" s="250"/>
      <c r="GBW174" s="250"/>
      <c r="GBX174" s="250"/>
      <c r="GBY174" s="250"/>
      <c r="GBZ174" s="250"/>
      <c r="GCA174" s="250"/>
      <c r="GCB174" s="250"/>
      <c r="GCC174" s="250"/>
      <c r="GCD174" s="250"/>
      <c r="GCE174" s="250"/>
      <c r="GCF174" s="250"/>
      <c r="GCG174" s="250"/>
      <c r="GCH174" s="250"/>
      <c r="GCI174" s="250"/>
      <c r="GCJ174" s="250"/>
      <c r="GCK174" s="250"/>
      <c r="GCL174" s="250"/>
      <c r="GCM174" s="250"/>
      <c r="GCN174" s="250"/>
      <c r="GCO174" s="250"/>
      <c r="GCP174" s="250"/>
      <c r="GCQ174" s="250"/>
      <c r="GCR174" s="250"/>
      <c r="GCS174" s="250"/>
      <c r="GCT174" s="250"/>
      <c r="GCU174" s="250"/>
      <c r="GCV174" s="250"/>
      <c r="GCW174" s="250"/>
      <c r="GCX174" s="250"/>
      <c r="GCY174" s="250"/>
      <c r="GCZ174" s="250"/>
      <c r="GDA174" s="250"/>
      <c r="GDB174" s="250"/>
      <c r="GDC174" s="250"/>
      <c r="GDD174" s="250"/>
      <c r="GDE174" s="250"/>
      <c r="GDF174" s="250"/>
      <c r="GDG174" s="250"/>
      <c r="GDH174" s="250"/>
      <c r="GDI174" s="250"/>
      <c r="GDJ174" s="250"/>
      <c r="GDK174" s="250"/>
      <c r="GDL174" s="250"/>
      <c r="GDM174" s="250"/>
      <c r="GDN174" s="250"/>
      <c r="GDO174" s="250"/>
      <c r="GDP174" s="250"/>
      <c r="GDQ174" s="250"/>
      <c r="GDR174" s="250"/>
      <c r="GDS174" s="250"/>
      <c r="GDT174" s="250"/>
      <c r="GDU174" s="250"/>
      <c r="GDV174" s="250"/>
      <c r="GDW174" s="250"/>
      <c r="GDX174" s="250"/>
      <c r="GDY174" s="250"/>
      <c r="GDZ174" s="250"/>
      <c r="GEA174" s="250"/>
      <c r="GEB174" s="250"/>
      <c r="GEC174" s="250"/>
      <c r="GED174" s="250"/>
      <c r="GEE174" s="250"/>
      <c r="GEF174" s="250"/>
      <c r="GEG174" s="250"/>
      <c r="GEH174" s="250"/>
      <c r="GEI174" s="250"/>
      <c r="GEJ174" s="250"/>
      <c r="GEK174" s="250"/>
      <c r="GEL174" s="250"/>
      <c r="GEM174" s="250"/>
      <c r="GEN174" s="250"/>
      <c r="GEO174" s="250"/>
      <c r="GEP174" s="250"/>
      <c r="GEQ174" s="250"/>
      <c r="GER174" s="250"/>
      <c r="GES174" s="250"/>
      <c r="GET174" s="250"/>
      <c r="GEU174" s="250"/>
      <c r="GEV174" s="250"/>
      <c r="GEW174" s="250"/>
      <c r="GEX174" s="250"/>
      <c r="GEY174" s="250"/>
      <c r="GEZ174" s="250"/>
      <c r="GFA174" s="250"/>
      <c r="GFB174" s="250"/>
      <c r="GFC174" s="250"/>
      <c r="GFD174" s="250"/>
      <c r="GFE174" s="250"/>
      <c r="GFF174" s="250"/>
      <c r="GFG174" s="250"/>
      <c r="GFH174" s="250"/>
      <c r="GFI174" s="250"/>
      <c r="GFJ174" s="250"/>
      <c r="GFK174" s="250"/>
      <c r="GFL174" s="250"/>
      <c r="GFM174" s="250"/>
      <c r="GFN174" s="250"/>
      <c r="GFO174" s="250"/>
      <c r="GFP174" s="250"/>
      <c r="GFQ174" s="250"/>
      <c r="GFR174" s="250"/>
      <c r="GFS174" s="250"/>
      <c r="GFT174" s="250"/>
      <c r="GFU174" s="250"/>
      <c r="GFV174" s="250"/>
      <c r="GFW174" s="250"/>
      <c r="GFX174" s="250"/>
      <c r="GFY174" s="250"/>
      <c r="GFZ174" s="250"/>
      <c r="GGA174" s="250"/>
      <c r="GGB174" s="250"/>
      <c r="GGC174" s="250"/>
      <c r="GGD174" s="250"/>
      <c r="GGE174" s="250"/>
      <c r="GGF174" s="250"/>
      <c r="GGG174" s="250"/>
      <c r="GGH174" s="250"/>
      <c r="GGI174" s="250"/>
      <c r="GGJ174" s="250"/>
      <c r="GGK174" s="250"/>
      <c r="GGL174" s="250"/>
      <c r="GGM174" s="250"/>
      <c r="GGN174" s="250"/>
      <c r="GGO174" s="250"/>
      <c r="GGP174" s="250"/>
      <c r="GGQ174" s="250"/>
      <c r="GGR174" s="250"/>
      <c r="GGS174" s="250"/>
      <c r="GGT174" s="250"/>
      <c r="GGU174" s="250"/>
      <c r="GGV174" s="250"/>
      <c r="GGW174" s="250"/>
      <c r="GGX174" s="250"/>
      <c r="GGY174" s="250"/>
      <c r="GGZ174" s="250"/>
      <c r="GHA174" s="250"/>
      <c r="GHB174" s="250"/>
      <c r="GHC174" s="250"/>
      <c r="GHD174" s="250"/>
      <c r="GHE174" s="250"/>
      <c r="GHF174" s="250"/>
      <c r="GHG174" s="250"/>
      <c r="GHH174" s="250"/>
      <c r="GHI174" s="250"/>
      <c r="GHJ174" s="250"/>
      <c r="GHK174" s="250"/>
      <c r="GHL174" s="250"/>
      <c r="GHM174" s="250"/>
      <c r="GHN174" s="250"/>
      <c r="GHO174" s="250"/>
      <c r="GHP174" s="250"/>
      <c r="GHQ174" s="250"/>
      <c r="GHR174" s="250"/>
      <c r="GHS174" s="250"/>
      <c r="GHT174" s="250"/>
      <c r="GHU174" s="250"/>
      <c r="GHV174" s="250"/>
      <c r="GHW174" s="250"/>
      <c r="GHX174" s="250"/>
      <c r="GHY174" s="250"/>
      <c r="GHZ174" s="250"/>
      <c r="GIA174" s="250"/>
      <c r="GIB174" s="250"/>
      <c r="GIC174" s="250"/>
      <c r="GID174" s="250"/>
      <c r="GIE174" s="250"/>
      <c r="GIF174" s="250"/>
      <c r="GIG174" s="250"/>
      <c r="GIH174" s="250"/>
      <c r="GII174" s="250"/>
      <c r="GIJ174" s="250"/>
      <c r="GIK174" s="250"/>
      <c r="GIL174" s="250"/>
      <c r="GIM174" s="250"/>
      <c r="GIN174" s="250"/>
      <c r="GIO174" s="250"/>
      <c r="GIP174" s="250"/>
      <c r="GIQ174" s="250"/>
      <c r="GIR174" s="250"/>
      <c r="GIS174" s="250"/>
      <c r="GIT174" s="250"/>
      <c r="GIU174" s="250"/>
      <c r="GIV174" s="250"/>
      <c r="GIW174" s="250"/>
      <c r="GIX174" s="250"/>
      <c r="GIY174" s="250"/>
      <c r="GIZ174" s="250"/>
      <c r="GJA174" s="250"/>
      <c r="GJB174" s="250"/>
      <c r="GJC174" s="250"/>
      <c r="GJD174" s="250"/>
      <c r="GJE174" s="250"/>
      <c r="GJF174" s="250"/>
      <c r="GJG174" s="250"/>
      <c r="GJH174" s="250"/>
      <c r="GJI174" s="250"/>
      <c r="GJJ174" s="250"/>
      <c r="GJK174" s="250"/>
      <c r="GJL174" s="250"/>
      <c r="GJM174" s="250"/>
      <c r="GJN174" s="250"/>
      <c r="GJO174" s="250"/>
      <c r="GJP174" s="250"/>
      <c r="GJQ174" s="250"/>
      <c r="GJR174" s="250"/>
      <c r="GJS174" s="250"/>
      <c r="GJT174" s="250"/>
      <c r="GJU174" s="250"/>
      <c r="GJV174" s="250"/>
      <c r="GJW174" s="250"/>
      <c r="GJX174" s="250"/>
      <c r="GJY174" s="250"/>
      <c r="GJZ174" s="250"/>
      <c r="GKA174" s="250"/>
      <c r="GKB174" s="250"/>
      <c r="GKC174" s="250"/>
      <c r="GKD174" s="250"/>
      <c r="GKE174" s="250"/>
      <c r="GKF174" s="250"/>
      <c r="GKG174" s="250"/>
      <c r="GKH174" s="250"/>
      <c r="GKI174" s="250"/>
      <c r="GKJ174" s="250"/>
      <c r="GKK174" s="250"/>
      <c r="GKL174" s="250"/>
      <c r="GKM174" s="250"/>
      <c r="GKN174" s="250"/>
      <c r="GKO174" s="250"/>
      <c r="GKP174" s="250"/>
      <c r="GKQ174" s="250"/>
      <c r="GKR174" s="250"/>
      <c r="GKS174" s="250"/>
      <c r="GKT174" s="250"/>
      <c r="GKU174" s="250"/>
      <c r="GKV174" s="250"/>
      <c r="GKW174" s="250"/>
      <c r="GKX174" s="250"/>
      <c r="GKY174" s="250"/>
      <c r="GKZ174" s="250"/>
      <c r="GLA174" s="250"/>
      <c r="GLB174" s="250"/>
      <c r="GLC174" s="250"/>
      <c r="GLD174" s="250"/>
      <c r="GLE174" s="250"/>
      <c r="GLF174" s="250"/>
      <c r="GLG174" s="250"/>
      <c r="GLH174" s="250"/>
      <c r="GLI174" s="250"/>
      <c r="GLJ174" s="250"/>
      <c r="GLK174" s="250"/>
      <c r="GLL174" s="250"/>
      <c r="GLM174" s="250"/>
      <c r="GLN174" s="250"/>
      <c r="GLO174" s="250"/>
      <c r="GLP174" s="250"/>
      <c r="GLQ174" s="250"/>
      <c r="GLR174" s="250"/>
      <c r="GLS174" s="250"/>
      <c r="GLT174" s="250"/>
      <c r="GLU174" s="250"/>
      <c r="GLV174" s="250"/>
      <c r="GLW174" s="250"/>
      <c r="GLX174" s="250"/>
      <c r="GLY174" s="250"/>
      <c r="GLZ174" s="250"/>
      <c r="GMA174" s="250"/>
      <c r="GMB174" s="250"/>
      <c r="GMC174" s="250"/>
      <c r="GMD174" s="250"/>
      <c r="GME174" s="250"/>
      <c r="GMF174" s="250"/>
      <c r="GMG174" s="250"/>
      <c r="GMH174" s="250"/>
      <c r="GMI174" s="250"/>
      <c r="GMJ174" s="250"/>
      <c r="GMK174" s="250"/>
      <c r="GML174" s="250"/>
      <c r="GMM174" s="250"/>
      <c r="GMN174" s="250"/>
      <c r="GMO174" s="250"/>
      <c r="GMP174" s="250"/>
      <c r="GMQ174" s="250"/>
      <c r="GMR174" s="250"/>
      <c r="GMS174" s="250"/>
      <c r="GMT174" s="250"/>
      <c r="GMU174" s="250"/>
      <c r="GMV174" s="250"/>
      <c r="GMW174" s="250"/>
      <c r="GMX174" s="250"/>
      <c r="GMY174" s="250"/>
      <c r="GMZ174" s="250"/>
      <c r="GNA174" s="250"/>
      <c r="GNB174" s="250"/>
      <c r="GNC174" s="250"/>
      <c r="GND174" s="250"/>
      <c r="GNE174" s="250"/>
      <c r="GNF174" s="250"/>
      <c r="GNG174" s="250"/>
      <c r="GNH174" s="250"/>
      <c r="GNI174" s="250"/>
      <c r="GNJ174" s="250"/>
      <c r="GNK174" s="250"/>
      <c r="GNL174" s="250"/>
      <c r="GNM174" s="250"/>
      <c r="GNN174" s="250"/>
      <c r="GNO174" s="250"/>
      <c r="GNP174" s="250"/>
      <c r="GNQ174" s="250"/>
      <c r="GNR174" s="250"/>
      <c r="GNS174" s="250"/>
      <c r="GNT174" s="250"/>
      <c r="GNU174" s="250"/>
      <c r="GNV174" s="250"/>
      <c r="GNW174" s="250"/>
      <c r="GNX174" s="250"/>
      <c r="GNY174" s="250"/>
      <c r="GNZ174" s="250"/>
      <c r="GOA174" s="250"/>
      <c r="GOB174" s="250"/>
      <c r="GOC174" s="250"/>
      <c r="GOD174" s="250"/>
      <c r="GOE174" s="250"/>
      <c r="GOF174" s="250"/>
      <c r="GOG174" s="250"/>
      <c r="GOH174" s="250"/>
      <c r="GOI174" s="250"/>
      <c r="GOJ174" s="250"/>
      <c r="GOK174" s="250"/>
      <c r="GOL174" s="250"/>
      <c r="GOM174" s="250"/>
      <c r="GON174" s="250"/>
      <c r="GOO174" s="250"/>
      <c r="GOP174" s="250"/>
      <c r="GOQ174" s="250"/>
      <c r="GOR174" s="250"/>
      <c r="GOS174" s="250"/>
      <c r="GOT174" s="250"/>
      <c r="GOU174" s="250"/>
      <c r="GOV174" s="250"/>
      <c r="GOW174" s="250"/>
      <c r="GOX174" s="250"/>
      <c r="GOY174" s="250"/>
      <c r="GOZ174" s="250"/>
      <c r="GPA174" s="250"/>
      <c r="GPB174" s="250"/>
      <c r="GPC174" s="250"/>
      <c r="GPD174" s="250"/>
      <c r="GPE174" s="250"/>
      <c r="GPF174" s="250"/>
      <c r="GPG174" s="250"/>
      <c r="GPH174" s="250"/>
      <c r="GPI174" s="250"/>
      <c r="GPJ174" s="250"/>
      <c r="GPK174" s="250"/>
      <c r="GPL174" s="250"/>
      <c r="GPM174" s="250"/>
      <c r="GPN174" s="250"/>
      <c r="GPO174" s="250"/>
      <c r="GPP174" s="250"/>
      <c r="GPQ174" s="250"/>
      <c r="GPR174" s="250"/>
      <c r="GPS174" s="250"/>
      <c r="GPT174" s="250"/>
      <c r="GPU174" s="250"/>
      <c r="GPV174" s="250"/>
      <c r="GPW174" s="250"/>
      <c r="GPX174" s="250"/>
      <c r="GPY174" s="250"/>
      <c r="GPZ174" s="250"/>
      <c r="GQA174" s="250"/>
      <c r="GQB174" s="250"/>
      <c r="GQC174" s="250"/>
      <c r="GQD174" s="250"/>
      <c r="GQE174" s="250"/>
      <c r="GQF174" s="250"/>
      <c r="GQG174" s="250"/>
      <c r="GQH174" s="250"/>
      <c r="GQI174" s="250"/>
      <c r="GQJ174" s="250"/>
      <c r="GQK174" s="250"/>
      <c r="GQL174" s="250"/>
      <c r="GQM174" s="250"/>
      <c r="GQN174" s="250"/>
      <c r="GQO174" s="250"/>
      <c r="GQP174" s="250"/>
      <c r="GQQ174" s="250"/>
      <c r="GQR174" s="250"/>
      <c r="GQS174" s="250"/>
      <c r="GQT174" s="250"/>
      <c r="GQU174" s="250"/>
      <c r="GQV174" s="250"/>
      <c r="GQW174" s="250"/>
      <c r="GQX174" s="250"/>
      <c r="GQY174" s="250"/>
      <c r="GQZ174" s="250"/>
      <c r="GRA174" s="250"/>
      <c r="GRB174" s="250"/>
      <c r="GRC174" s="250"/>
      <c r="GRD174" s="250"/>
      <c r="GRE174" s="250"/>
      <c r="GRF174" s="250"/>
      <c r="GRG174" s="250"/>
      <c r="GRH174" s="250"/>
      <c r="GRI174" s="250"/>
      <c r="GRJ174" s="250"/>
      <c r="GRK174" s="250"/>
      <c r="GRL174" s="250"/>
      <c r="GRM174" s="250"/>
      <c r="GRN174" s="250"/>
      <c r="GRO174" s="250"/>
      <c r="GRP174" s="250"/>
      <c r="GRQ174" s="250"/>
      <c r="GRR174" s="250"/>
      <c r="GRS174" s="250"/>
      <c r="GRT174" s="250"/>
      <c r="GRU174" s="250"/>
      <c r="GRV174" s="250"/>
      <c r="GRW174" s="250"/>
      <c r="GRX174" s="250"/>
      <c r="GRY174" s="250"/>
      <c r="GRZ174" s="250"/>
      <c r="GSA174" s="250"/>
      <c r="GSB174" s="250"/>
      <c r="GSC174" s="250"/>
      <c r="GSD174" s="250"/>
      <c r="GSE174" s="250"/>
      <c r="GSF174" s="250"/>
      <c r="GSG174" s="250"/>
      <c r="GSH174" s="250"/>
      <c r="GSI174" s="250"/>
      <c r="GSJ174" s="250"/>
      <c r="GSK174" s="250"/>
      <c r="GSL174" s="250"/>
      <c r="GSM174" s="250"/>
      <c r="GSN174" s="250"/>
      <c r="GSO174" s="250"/>
      <c r="GSP174" s="250"/>
      <c r="GSQ174" s="250"/>
      <c r="GSR174" s="250"/>
      <c r="GSS174" s="250"/>
      <c r="GST174" s="250"/>
      <c r="GSU174" s="250"/>
      <c r="GSV174" s="250"/>
      <c r="GSW174" s="250"/>
      <c r="GSX174" s="250"/>
      <c r="GSY174" s="250"/>
      <c r="GSZ174" s="250"/>
      <c r="GTA174" s="250"/>
      <c r="GTB174" s="250"/>
      <c r="GTC174" s="250"/>
      <c r="GTD174" s="250"/>
      <c r="GTE174" s="250"/>
      <c r="GTF174" s="250"/>
      <c r="GTG174" s="250"/>
      <c r="GTH174" s="250"/>
      <c r="GTI174" s="250"/>
      <c r="GTJ174" s="250"/>
      <c r="GTK174" s="250"/>
      <c r="GTL174" s="250"/>
      <c r="GTM174" s="250"/>
      <c r="GTN174" s="250"/>
      <c r="GTO174" s="250"/>
      <c r="GTP174" s="250"/>
      <c r="GTQ174" s="250"/>
      <c r="GTR174" s="250"/>
      <c r="GTS174" s="250"/>
      <c r="GTT174" s="250"/>
      <c r="GTU174" s="250"/>
      <c r="GTV174" s="250"/>
      <c r="GTW174" s="250"/>
      <c r="GTX174" s="250"/>
      <c r="GTY174" s="250"/>
      <c r="GTZ174" s="250"/>
      <c r="GUA174" s="250"/>
      <c r="GUB174" s="250"/>
      <c r="GUC174" s="250"/>
      <c r="GUD174" s="250"/>
      <c r="GUE174" s="250"/>
      <c r="GUF174" s="250"/>
      <c r="GUG174" s="250"/>
      <c r="GUH174" s="250"/>
      <c r="GUI174" s="250"/>
      <c r="GUJ174" s="250"/>
      <c r="GUK174" s="250"/>
      <c r="GUL174" s="250"/>
      <c r="GUM174" s="250"/>
      <c r="GUN174" s="250"/>
      <c r="GUO174" s="250"/>
      <c r="GUP174" s="250"/>
      <c r="GUQ174" s="250"/>
      <c r="GUR174" s="250"/>
      <c r="GUS174" s="250"/>
      <c r="GUT174" s="250"/>
      <c r="GUU174" s="250"/>
      <c r="GUV174" s="250"/>
      <c r="GUW174" s="250"/>
      <c r="GUX174" s="250"/>
      <c r="GUY174" s="250"/>
      <c r="GUZ174" s="250"/>
      <c r="GVA174" s="250"/>
      <c r="GVB174" s="250"/>
      <c r="GVC174" s="250"/>
      <c r="GVD174" s="250"/>
      <c r="GVE174" s="250"/>
      <c r="GVF174" s="250"/>
      <c r="GVG174" s="250"/>
      <c r="GVH174" s="250"/>
      <c r="GVI174" s="250"/>
      <c r="GVJ174" s="250"/>
      <c r="GVK174" s="250"/>
      <c r="GVL174" s="250"/>
      <c r="GVM174" s="250"/>
      <c r="GVN174" s="250"/>
      <c r="GVO174" s="250"/>
      <c r="GVP174" s="250"/>
      <c r="GVQ174" s="250"/>
      <c r="GVR174" s="250"/>
      <c r="GVS174" s="250"/>
      <c r="GVT174" s="250"/>
      <c r="GVU174" s="250"/>
      <c r="GVV174" s="250"/>
      <c r="GVW174" s="250"/>
      <c r="GVX174" s="250"/>
      <c r="GVY174" s="250"/>
      <c r="GVZ174" s="250"/>
      <c r="GWA174" s="250"/>
      <c r="GWB174" s="250"/>
      <c r="GWC174" s="250"/>
      <c r="GWD174" s="250"/>
      <c r="GWE174" s="250"/>
      <c r="GWF174" s="250"/>
      <c r="GWG174" s="250"/>
      <c r="GWH174" s="250"/>
      <c r="GWI174" s="250"/>
      <c r="GWJ174" s="250"/>
      <c r="GWK174" s="250"/>
      <c r="GWL174" s="250"/>
      <c r="GWM174" s="250"/>
      <c r="GWN174" s="250"/>
      <c r="GWO174" s="250"/>
      <c r="GWP174" s="250"/>
      <c r="GWQ174" s="250"/>
      <c r="GWR174" s="250"/>
      <c r="GWS174" s="250"/>
      <c r="GWT174" s="250"/>
      <c r="GWU174" s="250"/>
      <c r="GWV174" s="250"/>
      <c r="GWW174" s="250"/>
      <c r="GWX174" s="250"/>
      <c r="GWY174" s="250"/>
      <c r="GWZ174" s="250"/>
      <c r="GXA174" s="250"/>
      <c r="GXB174" s="250"/>
      <c r="GXC174" s="250"/>
      <c r="GXD174" s="250"/>
      <c r="GXE174" s="250"/>
      <c r="GXF174" s="250"/>
      <c r="GXG174" s="250"/>
      <c r="GXH174" s="250"/>
      <c r="GXI174" s="250"/>
      <c r="GXJ174" s="250"/>
      <c r="GXK174" s="250"/>
      <c r="GXL174" s="250"/>
      <c r="GXM174" s="250"/>
      <c r="GXN174" s="250"/>
      <c r="GXO174" s="250"/>
      <c r="GXP174" s="250"/>
      <c r="GXQ174" s="250"/>
      <c r="GXR174" s="250"/>
      <c r="GXS174" s="250"/>
      <c r="GXT174" s="250"/>
      <c r="GXU174" s="250"/>
      <c r="GXV174" s="250"/>
      <c r="GXW174" s="250"/>
      <c r="GXX174" s="250"/>
      <c r="GXY174" s="250"/>
      <c r="GXZ174" s="250"/>
      <c r="GYA174" s="250"/>
      <c r="GYB174" s="250"/>
      <c r="GYC174" s="250"/>
      <c r="GYD174" s="250"/>
      <c r="GYE174" s="250"/>
      <c r="GYF174" s="250"/>
      <c r="GYG174" s="250"/>
      <c r="GYH174" s="250"/>
      <c r="GYI174" s="250"/>
      <c r="GYJ174" s="250"/>
      <c r="GYK174" s="250"/>
      <c r="GYL174" s="250"/>
      <c r="GYM174" s="250"/>
      <c r="GYN174" s="250"/>
      <c r="GYO174" s="250"/>
      <c r="GYP174" s="250"/>
      <c r="GYQ174" s="250"/>
      <c r="GYR174" s="250"/>
      <c r="GYS174" s="250"/>
      <c r="GYT174" s="250"/>
      <c r="GYU174" s="250"/>
      <c r="GYV174" s="250"/>
      <c r="GYW174" s="250"/>
      <c r="GYX174" s="250"/>
      <c r="GYY174" s="250"/>
      <c r="GYZ174" s="250"/>
      <c r="GZA174" s="250"/>
      <c r="GZB174" s="250"/>
      <c r="GZC174" s="250"/>
      <c r="GZD174" s="250"/>
      <c r="GZE174" s="250"/>
      <c r="GZF174" s="250"/>
      <c r="GZG174" s="250"/>
      <c r="GZH174" s="250"/>
      <c r="GZI174" s="250"/>
      <c r="GZJ174" s="250"/>
      <c r="GZK174" s="250"/>
      <c r="GZL174" s="250"/>
      <c r="GZM174" s="250"/>
      <c r="GZN174" s="250"/>
      <c r="GZO174" s="250"/>
      <c r="GZP174" s="250"/>
      <c r="GZQ174" s="250"/>
      <c r="GZR174" s="250"/>
      <c r="GZS174" s="250"/>
      <c r="GZT174" s="250"/>
      <c r="GZU174" s="250"/>
      <c r="GZV174" s="250"/>
      <c r="GZW174" s="250"/>
      <c r="GZX174" s="250"/>
      <c r="GZY174" s="250"/>
      <c r="GZZ174" s="250"/>
      <c r="HAA174" s="250"/>
      <c r="HAB174" s="250"/>
      <c r="HAC174" s="250"/>
      <c r="HAD174" s="250"/>
      <c r="HAE174" s="250"/>
      <c r="HAF174" s="250"/>
      <c r="HAG174" s="250"/>
      <c r="HAH174" s="250"/>
      <c r="HAI174" s="250"/>
      <c r="HAJ174" s="250"/>
      <c r="HAK174" s="250"/>
      <c r="HAL174" s="250"/>
      <c r="HAM174" s="250"/>
      <c r="HAN174" s="250"/>
      <c r="HAO174" s="250"/>
      <c r="HAP174" s="250"/>
      <c r="HAQ174" s="250"/>
      <c r="HAR174" s="250"/>
      <c r="HAS174" s="250"/>
      <c r="HAT174" s="250"/>
      <c r="HAU174" s="250"/>
      <c r="HAV174" s="250"/>
      <c r="HAW174" s="250"/>
      <c r="HAX174" s="250"/>
      <c r="HAY174" s="250"/>
      <c r="HAZ174" s="250"/>
      <c r="HBA174" s="250"/>
      <c r="HBB174" s="250"/>
      <c r="HBC174" s="250"/>
      <c r="HBD174" s="250"/>
      <c r="HBE174" s="250"/>
      <c r="HBF174" s="250"/>
      <c r="HBG174" s="250"/>
      <c r="HBH174" s="250"/>
      <c r="HBI174" s="250"/>
      <c r="HBJ174" s="250"/>
      <c r="HBK174" s="250"/>
      <c r="HBL174" s="250"/>
      <c r="HBM174" s="250"/>
      <c r="HBN174" s="250"/>
      <c r="HBO174" s="250"/>
      <c r="HBP174" s="250"/>
      <c r="HBQ174" s="250"/>
      <c r="HBR174" s="250"/>
      <c r="HBS174" s="250"/>
      <c r="HBT174" s="250"/>
      <c r="HBU174" s="250"/>
      <c r="HBV174" s="250"/>
      <c r="HBW174" s="250"/>
      <c r="HBX174" s="250"/>
      <c r="HBY174" s="250"/>
      <c r="HBZ174" s="250"/>
      <c r="HCA174" s="250"/>
      <c r="HCB174" s="250"/>
      <c r="HCC174" s="250"/>
      <c r="HCD174" s="250"/>
      <c r="HCE174" s="250"/>
      <c r="HCF174" s="250"/>
      <c r="HCG174" s="250"/>
      <c r="HCH174" s="250"/>
      <c r="HCI174" s="250"/>
      <c r="HCJ174" s="250"/>
      <c r="HCK174" s="250"/>
      <c r="HCL174" s="250"/>
      <c r="HCM174" s="250"/>
      <c r="HCN174" s="250"/>
      <c r="HCO174" s="250"/>
      <c r="HCP174" s="250"/>
      <c r="HCQ174" s="250"/>
      <c r="HCR174" s="250"/>
      <c r="HCS174" s="250"/>
      <c r="HCT174" s="250"/>
      <c r="HCU174" s="250"/>
      <c r="HCV174" s="250"/>
      <c r="HCW174" s="250"/>
      <c r="HCX174" s="250"/>
      <c r="HCY174" s="250"/>
      <c r="HCZ174" s="250"/>
      <c r="HDA174" s="250"/>
      <c r="HDB174" s="250"/>
      <c r="HDC174" s="250"/>
      <c r="HDD174" s="250"/>
      <c r="HDE174" s="250"/>
      <c r="HDF174" s="250"/>
      <c r="HDG174" s="250"/>
      <c r="HDH174" s="250"/>
      <c r="HDI174" s="250"/>
      <c r="HDJ174" s="250"/>
      <c r="HDK174" s="250"/>
      <c r="HDL174" s="250"/>
      <c r="HDM174" s="250"/>
      <c r="HDN174" s="250"/>
      <c r="HDO174" s="250"/>
      <c r="HDP174" s="250"/>
      <c r="HDQ174" s="250"/>
      <c r="HDR174" s="250"/>
      <c r="HDS174" s="250"/>
      <c r="HDT174" s="250"/>
      <c r="HDU174" s="250"/>
      <c r="HDV174" s="250"/>
      <c r="HDW174" s="250"/>
      <c r="HDX174" s="250"/>
      <c r="HDY174" s="250"/>
      <c r="HDZ174" s="250"/>
      <c r="HEA174" s="250"/>
      <c r="HEB174" s="250"/>
      <c r="HEC174" s="250"/>
      <c r="HED174" s="250"/>
      <c r="HEE174" s="250"/>
      <c r="HEF174" s="250"/>
      <c r="HEG174" s="250"/>
      <c r="HEH174" s="250"/>
      <c r="HEI174" s="250"/>
      <c r="HEJ174" s="250"/>
      <c r="HEK174" s="250"/>
      <c r="HEL174" s="250"/>
      <c r="HEM174" s="250"/>
      <c r="HEN174" s="250"/>
      <c r="HEO174" s="250"/>
      <c r="HEP174" s="250"/>
      <c r="HEQ174" s="250"/>
      <c r="HER174" s="250"/>
      <c r="HES174" s="250"/>
      <c r="HET174" s="250"/>
      <c r="HEU174" s="250"/>
      <c r="HEV174" s="250"/>
      <c r="HEW174" s="250"/>
      <c r="HEX174" s="250"/>
      <c r="HEY174" s="250"/>
      <c r="HEZ174" s="250"/>
      <c r="HFA174" s="250"/>
      <c r="HFB174" s="250"/>
      <c r="HFC174" s="250"/>
      <c r="HFD174" s="250"/>
      <c r="HFE174" s="250"/>
      <c r="HFF174" s="250"/>
      <c r="HFG174" s="250"/>
      <c r="HFH174" s="250"/>
      <c r="HFI174" s="250"/>
      <c r="HFJ174" s="250"/>
      <c r="HFK174" s="250"/>
      <c r="HFL174" s="250"/>
      <c r="HFM174" s="250"/>
      <c r="HFN174" s="250"/>
      <c r="HFO174" s="250"/>
      <c r="HFP174" s="250"/>
      <c r="HFQ174" s="250"/>
      <c r="HFR174" s="250"/>
      <c r="HFS174" s="250"/>
      <c r="HFT174" s="250"/>
      <c r="HFU174" s="250"/>
      <c r="HFV174" s="250"/>
      <c r="HFW174" s="250"/>
      <c r="HFX174" s="250"/>
      <c r="HFY174" s="250"/>
      <c r="HFZ174" s="250"/>
      <c r="HGA174" s="250"/>
      <c r="HGB174" s="250"/>
      <c r="HGC174" s="250"/>
      <c r="HGD174" s="250"/>
      <c r="HGE174" s="250"/>
      <c r="HGF174" s="250"/>
      <c r="HGG174" s="250"/>
      <c r="HGH174" s="250"/>
      <c r="HGI174" s="250"/>
      <c r="HGJ174" s="250"/>
      <c r="HGK174" s="250"/>
      <c r="HGL174" s="250"/>
      <c r="HGM174" s="250"/>
      <c r="HGN174" s="250"/>
      <c r="HGO174" s="250"/>
      <c r="HGP174" s="250"/>
      <c r="HGQ174" s="250"/>
      <c r="HGR174" s="250"/>
      <c r="HGS174" s="250"/>
      <c r="HGT174" s="250"/>
      <c r="HGU174" s="250"/>
      <c r="HGV174" s="250"/>
      <c r="HGW174" s="250"/>
      <c r="HGX174" s="250"/>
      <c r="HGY174" s="250"/>
      <c r="HGZ174" s="250"/>
      <c r="HHA174" s="250"/>
      <c r="HHB174" s="250"/>
      <c r="HHC174" s="250"/>
      <c r="HHD174" s="250"/>
      <c r="HHE174" s="250"/>
      <c r="HHF174" s="250"/>
      <c r="HHG174" s="250"/>
      <c r="HHH174" s="250"/>
      <c r="HHI174" s="250"/>
      <c r="HHJ174" s="250"/>
      <c r="HHK174" s="250"/>
      <c r="HHL174" s="250"/>
      <c r="HHM174" s="250"/>
      <c r="HHN174" s="250"/>
      <c r="HHO174" s="250"/>
      <c r="HHP174" s="250"/>
      <c r="HHQ174" s="250"/>
      <c r="HHR174" s="250"/>
      <c r="HHS174" s="250"/>
      <c r="HHT174" s="250"/>
      <c r="HHU174" s="250"/>
      <c r="HHV174" s="250"/>
      <c r="HHW174" s="250"/>
      <c r="HHX174" s="250"/>
      <c r="HHY174" s="250"/>
      <c r="HHZ174" s="250"/>
      <c r="HIA174" s="250"/>
      <c r="HIB174" s="250"/>
      <c r="HIC174" s="250"/>
      <c r="HID174" s="250"/>
      <c r="HIE174" s="250"/>
      <c r="HIF174" s="250"/>
      <c r="HIG174" s="250"/>
      <c r="HIH174" s="250"/>
      <c r="HII174" s="250"/>
      <c r="HIJ174" s="250"/>
      <c r="HIK174" s="250"/>
      <c r="HIL174" s="250"/>
      <c r="HIM174" s="250"/>
      <c r="HIN174" s="250"/>
      <c r="HIO174" s="250"/>
      <c r="HIP174" s="250"/>
      <c r="HIQ174" s="250"/>
      <c r="HIR174" s="250"/>
      <c r="HIS174" s="250"/>
      <c r="HIT174" s="250"/>
      <c r="HIU174" s="250"/>
      <c r="HIV174" s="250"/>
      <c r="HIW174" s="250"/>
      <c r="HIX174" s="250"/>
      <c r="HIY174" s="250"/>
      <c r="HIZ174" s="250"/>
      <c r="HJA174" s="250"/>
      <c r="HJB174" s="250"/>
      <c r="HJC174" s="250"/>
      <c r="HJD174" s="250"/>
      <c r="HJE174" s="250"/>
      <c r="HJF174" s="250"/>
      <c r="HJG174" s="250"/>
      <c r="HJH174" s="250"/>
      <c r="HJI174" s="250"/>
      <c r="HJJ174" s="250"/>
      <c r="HJK174" s="250"/>
      <c r="HJL174" s="250"/>
      <c r="HJM174" s="250"/>
      <c r="HJN174" s="250"/>
      <c r="HJO174" s="250"/>
      <c r="HJP174" s="250"/>
      <c r="HJQ174" s="250"/>
      <c r="HJR174" s="250"/>
      <c r="HJS174" s="250"/>
      <c r="HJT174" s="250"/>
      <c r="HJU174" s="250"/>
      <c r="HJV174" s="250"/>
      <c r="HJW174" s="250"/>
      <c r="HJX174" s="250"/>
      <c r="HJY174" s="250"/>
      <c r="HJZ174" s="250"/>
      <c r="HKA174" s="250"/>
      <c r="HKB174" s="250"/>
      <c r="HKC174" s="250"/>
      <c r="HKD174" s="250"/>
      <c r="HKE174" s="250"/>
      <c r="HKF174" s="250"/>
      <c r="HKG174" s="250"/>
      <c r="HKH174" s="250"/>
      <c r="HKI174" s="250"/>
      <c r="HKJ174" s="250"/>
      <c r="HKK174" s="250"/>
      <c r="HKL174" s="250"/>
      <c r="HKM174" s="250"/>
      <c r="HKN174" s="250"/>
      <c r="HKO174" s="250"/>
      <c r="HKP174" s="250"/>
      <c r="HKQ174" s="250"/>
      <c r="HKR174" s="250"/>
      <c r="HKS174" s="250"/>
      <c r="HKT174" s="250"/>
      <c r="HKU174" s="250"/>
      <c r="HKV174" s="250"/>
      <c r="HKW174" s="250"/>
      <c r="HKX174" s="250"/>
      <c r="HKY174" s="250"/>
      <c r="HKZ174" s="250"/>
      <c r="HLA174" s="250"/>
      <c r="HLB174" s="250"/>
      <c r="HLC174" s="250"/>
      <c r="HLD174" s="250"/>
      <c r="HLE174" s="250"/>
      <c r="HLF174" s="250"/>
      <c r="HLG174" s="250"/>
      <c r="HLH174" s="250"/>
      <c r="HLI174" s="250"/>
      <c r="HLJ174" s="250"/>
      <c r="HLK174" s="250"/>
      <c r="HLL174" s="250"/>
      <c r="HLM174" s="250"/>
      <c r="HLN174" s="250"/>
      <c r="HLO174" s="250"/>
      <c r="HLP174" s="250"/>
      <c r="HLQ174" s="250"/>
      <c r="HLR174" s="250"/>
      <c r="HLS174" s="250"/>
      <c r="HLT174" s="250"/>
      <c r="HLU174" s="250"/>
      <c r="HLV174" s="250"/>
      <c r="HLW174" s="250"/>
      <c r="HLX174" s="250"/>
      <c r="HLY174" s="250"/>
      <c r="HLZ174" s="250"/>
      <c r="HMA174" s="250"/>
      <c r="HMB174" s="250"/>
      <c r="HMC174" s="250"/>
      <c r="HMD174" s="250"/>
      <c r="HME174" s="250"/>
      <c r="HMF174" s="250"/>
      <c r="HMG174" s="250"/>
      <c r="HMH174" s="250"/>
      <c r="HMI174" s="250"/>
      <c r="HMJ174" s="250"/>
      <c r="HMK174" s="250"/>
      <c r="HML174" s="250"/>
      <c r="HMM174" s="250"/>
      <c r="HMN174" s="250"/>
      <c r="HMO174" s="250"/>
      <c r="HMP174" s="250"/>
      <c r="HMQ174" s="250"/>
      <c r="HMR174" s="250"/>
      <c r="HMS174" s="250"/>
      <c r="HMT174" s="250"/>
      <c r="HMU174" s="250"/>
      <c r="HMV174" s="250"/>
      <c r="HMW174" s="250"/>
      <c r="HMX174" s="250"/>
      <c r="HMY174" s="250"/>
      <c r="HMZ174" s="250"/>
      <c r="HNA174" s="250"/>
      <c r="HNB174" s="250"/>
      <c r="HNC174" s="250"/>
      <c r="HND174" s="250"/>
      <c r="HNE174" s="250"/>
      <c r="HNF174" s="250"/>
      <c r="HNG174" s="250"/>
      <c r="HNH174" s="250"/>
      <c r="HNI174" s="250"/>
      <c r="HNJ174" s="250"/>
      <c r="HNK174" s="250"/>
      <c r="HNL174" s="250"/>
      <c r="HNM174" s="250"/>
      <c r="HNN174" s="250"/>
      <c r="HNO174" s="250"/>
      <c r="HNP174" s="250"/>
      <c r="HNQ174" s="250"/>
      <c r="HNR174" s="250"/>
      <c r="HNS174" s="250"/>
      <c r="HNT174" s="250"/>
      <c r="HNU174" s="250"/>
      <c r="HNV174" s="250"/>
      <c r="HNW174" s="250"/>
      <c r="HNX174" s="250"/>
      <c r="HNY174" s="250"/>
      <c r="HNZ174" s="250"/>
      <c r="HOA174" s="250"/>
      <c r="HOB174" s="250"/>
      <c r="HOC174" s="250"/>
      <c r="HOD174" s="250"/>
      <c r="HOE174" s="250"/>
      <c r="HOF174" s="250"/>
      <c r="HOG174" s="250"/>
      <c r="HOH174" s="250"/>
      <c r="HOI174" s="250"/>
      <c r="HOJ174" s="250"/>
      <c r="HOK174" s="250"/>
      <c r="HOL174" s="250"/>
      <c r="HOM174" s="250"/>
      <c r="HON174" s="250"/>
      <c r="HOO174" s="250"/>
      <c r="HOP174" s="250"/>
      <c r="HOQ174" s="250"/>
      <c r="HOR174" s="250"/>
      <c r="HOS174" s="250"/>
      <c r="HOT174" s="250"/>
      <c r="HOU174" s="250"/>
      <c r="HOV174" s="250"/>
      <c r="HOW174" s="250"/>
      <c r="HOX174" s="250"/>
      <c r="HOY174" s="250"/>
      <c r="HOZ174" s="250"/>
      <c r="HPA174" s="250"/>
      <c r="HPB174" s="250"/>
      <c r="HPC174" s="250"/>
      <c r="HPD174" s="250"/>
      <c r="HPE174" s="250"/>
      <c r="HPF174" s="250"/>
      <c r="HPG174" s="250"/>
      <c r="HPH174" s="250"/>
      <c r="HPI174" s="250"/>
      <c r="HPJ174" s="250"/>
      <c r="HPK174" s="250"/>
      <c r="HPL174" s="250"/>
      <c r="HPM174" s="250"/>
      <c r="HPN174" s="250"/>
      <c r="HPO174" s="250"/>
      <c r="HPP174" s="250"/>
      <c r="HPQ174" s="250"/>
      <c r="HPR174" s="250"/>
      <c r="HPS174" s="250"/>
      <c r="HPT174" s="250"/>
      <c r="HPU174" s="250"/>
      <c r="HPV174" s="250"/>
      <c r="HPW174" s="250"/>
      <c r="HPX174" s="250"/>
      <c r="HPY174" s="250"/>
      <c r="HPZ174" s="250"/>
      <c r="HQA174" s="250"/>
      <c r="HQB174" s="250"/>
      <c r="HQC174" s="250"/>
      <c r="HQD174" s="250"/>
      <c r="HQE174" s="250"/>
      <c r="HQF174" s="250"/>
      <c r="HQG174" s="250"/>
      <c r="HQH174" s="250"/>
      <c r="HQI174" s="250"/>
      <c r="HQJ174" s="250"/>
      <c r="HQK174" s="250"/>
      <c r="HQL174" s="250"/>
      <c r="HQM174" s="250"/>
      <c r="HQN174" s="250"/>
      <c r="HQO174" s="250"/>
      <c r="HQP174" s="250"/>
      <c r="HQQ174" s="250"/>
      <c r="HQR174" s="250"/>
      <c r="HQS174" s="250"/>
      <c r="HQT174" s="250"/>
      <c r="HQU174" s="250"/>
      <c r="HQV174" s="250"/>
      <c r="HQW174" s="250"/>
      <c r="HQX174" s="250"/>
      <c r="HQY174" s="250"/>
      <c r="HQZ174" s="250"/>
      <c r="HRA174" s="250"/>
      <c r="HRB174" s="250"/>
      <c r="HRC174" s="250"/>
      <c r="HRD174" s="250"/>
      <c r="HRE174" s="250"/>
      <c r="HRF174" s="250"/>
      <c r="HRG174" s="250"/>
      <c r="HRH174" s="250"/>
      <c r="HRI174" s="250"/>
      <c r="HRJ174" s="250"/>
      <c r="HRK174" s="250"/>
      <c r="HRL174" s="250"/>
      <c r="HRM174" s="250"/>
      <c r="HRN174" s="250"/>
      <c r="HRO174" s="250"/>
      <c r="HRP174" s="250"/>
      <c r="HRQ174" s="250"/>
      <c r="HRR174" s="250"/>
      <c r="HRS174" s="250"/>
      <c r="HRT174" s="250"/>
      <c r="HRU174" s="250"/>
      <c r="HRV174" s="250"/>
      <c r="HRW174" s="250"/>
      <c r="HRX174" s="250"/>
      <c r="HRY174" s="250"/>
      <c r="HRZ174" s="250"/>
      <c r="HSA174" s="250"/>
      <c r="HSB174" s="250"/>
      <c r="HSC174" s="250"/>
      <c r="HSD174" s="250"/>
      <c r="HSE174" s="250"/>
      <c r="HSF174" s="250"/>
      <c r="HSG174" s="250"/>
      <c r="HSH174" s="250"/>
      <c r="HSI174" s="250"/>
      <c r="HSJ174" s="250"/>
      <c r="HSK174" s="250"/>
      <c r="HSL174" s="250"/>
      <c r="HSM174" s="250"/>
      <c r="HSN174" s="250"/>
      <c r="HSO174" s="250"/>
      <c r="HSP174" s="250"/>
      <c r="HSQ174" s="250"/>
      <c r="HSR174" s="250"/>
      <c r="HSS174" s="250"/>
      <c r="HST174" s="250"/>
      <c r="HSU174" s="250"/>
      <c r="HSV174" s="250"/>
      <c r="HSW174" s="250"/>
      <c r="HSX174" s="250"/>
      <c r="HSY174" s="250"/>
      <c r="HSZ174" s="250"/>
      <c r="HTA174" s="250"/>
      <c r="HTB174" s="250"/>
      <c r="HTC174" s="250"/>
      <c r="HTD174" s="250"/>
      <c r="HTE174" s="250"/>
      <c r="HTF174" s="250"/>
      <c r="HTG174" s="250"/>
      <c r="HTH174" s="250"/>
      <c r="HTI174" s="250"/>
      <c r="HTJ174" s="250"/>
      <c r="HTK174" s="250"/>
      <c r="HTL174" s="250"/>
      <c r="HTM174" s="250"/>
      <c r="HTN174" s="250"/>
      <c r="HTO174" s="250"/>
      <c r="HTP174" s="250"/>
      <c r="HTQ174" s="250"/>
      <c r="HTR174" s="250"/>
      <c r="HTS174" s="250"/>
      <c r="HTT174" s="250"/>
      <c r="HTU174" s="250"/>
      <c r="HTV174" s="250"/>
      <c r="HTW174" s="250"/>
      <c r="HTX174" s="250"/>
      <c r="HTY174" s="250"/>
      <c r="HTZ174" s="250"/>
      <c r="HUA174" s="250"/>
      <c r="HUB174" s="250"/>
      <c r="HUC174" s="250"/>
      <c r="HUD174" s="250"/>
      <c r="HUE174" s="250"/>
      <c r="HUF174" s="250"/>
      <c r="HUG174" s="250"/>
      <c r="HUH174" s="250"/>
      <c r="HUI174" s="250"/>
      <c r="HUJ174" s="250"/>
      <c r="HUK174" s="250"/>
      <c r="HUL174" s="250"/>
      <c r="HUM174" s="250"/>
      <c r="HUN174" s="250"/>
      <c r="HUO174" s="250"/>
      <c r="HUP174" s="250"/>
      <c r="HUQ174" s="250"/>
      <c r="HUR174" s="250"/>
      <c r="HUS174" s="250"/>
      <c r="HUT174" s="250"/>
      <c r="HUU174" s="250"/>
      <c r="HUV174" s="250"/>
      <c r="HUW174" s="250"/>
      <c r="HUX174" s="250"/>
      <c r="HUY174" s="250"/>
      <c r="HUZ174" s="250"/>
      <c r="HVA174" s="250"/>
      <c r="HVB174" s="250"/>
      <c r="HVC174" s="250"/>
      <c r="HVD174" s="250"/>
      <c r="HVE174" s="250"/>
      <c r="HVF174" s="250"/>
      <c r="HVG174" s="250"/>
      <c r="HVH174" s="250"/>
      <c r="HVI174" s="250"/>
      <c r="HVJ174" s="250"/>
      <c r="HVK174" s="250"/>
      <c r="HVL174" s="250"/>
      <c r="HVM174" s="250"/>
      <c r="HVN174" s="250"/>
      <c r="HVO174" s="250"/>
      <c r="HVP174" s="250"/>
      <c r="HVQ174" s="250"/>
      <c r="HVR174" s="250"/>
      <c r="HVS174" s="250"/>
      <c r="HVT174" s="250"/>
      <c r="HVU174" s="250"/>
      <c r="HVV174" s="250"/>
      <c r="HVW174" s="250"/>
      <c r="HVX174" s="250"/>
      <c r="HVY174" s="250"/>
      <c r="HVZ174" s="250"/>
      <c r="HWA174" s="250"/>
      <c r="HWB174" s="250"/>
      <c r="HWC174" s="250"/>
      <c r="HWD174" s="250"/>
      <c r="HWE174" s="250"/>
      <c r="HWF174" s="250"/>
      <c r="HWG174" s="250"/>
      <c r="HWH174" s="250"/>
      <c r="HWI174" s="250"/>
      <c r="HWJ174" s="250"/>
      <c r="HWK174" s="250"/>
      <c r="HWL174" s="250"/>
      <c r="HWM174" s="250"/>
      <c r="HWN174" s="250"/>
      <c r="HWO174" s="250"/>
      <c r="HWP174" s="250"/>
      <c r="HWQ174" s="250"/>
      <c r="HWR174" s="250"/>
      <c r="HWS174" s="250"/>
      <c r="HWT174" s="250"/>
      <c r="HWU174" s="250"/>
      <c r="HWV174" s="250"/>
      <c r="HWW174" s="250"/>
      <c r="HWX174" s="250"/>
      <c r="HWY174" s="250"/>
      <c r="HWZ174" s="250"/>
      <c r="HXA174" s="250"/>
      <c r="HXB174" s="250"/>
      <c r="HXC174" s="250"/>
      <c r="HXD174" s="250"/>
      <c r="HXE174" s="250"/>
      <c r="HXF174" s="250"/>
      <c r="HXG174" s="250"/>
      <c r="HXH174" s="250"/>
      <c r="HXI174" s="250"/>
      <c r="HXJ174" s="250"/>
      <c r="HXK174" s="250"/>
      <c r="HXL174" s="250"/>
      <c r="HXM174" s="250"/>
      <c r="HXN174" s="250"/>
      <c r="HXO174" s="250"/>
      <c r="HXP174" s="250"/>
      <c r="HXQ174" s="250"/>
      <c r="HXR174" s="250"/>
      <c r="HXS174" s="250"/>
      <c r="HXT174" s="250"/>
      <c r="HXU174" s="250"/>
      <c r="HXV174" s="250"/>
      <c r="HXW174" s="250"/>
      <c r="HXX174" s="250"/>
      <c r="HXY174" s="250"/>
      <c r="HXZ174" s="250"/>
      <c r="HYA174" s="250"/>
      <c r="HYB174" s="250"/>
      <c r="HYC174" s="250"/>
      <c r="HYD174" s="250"/>
      <c r="HYE174" s="250"/>
      <c r="HYF174" s="250"/>
      <c r="HYG174" s="250"/>
      <c r="HYH174" s="250"/>
      <c r="HYI174" s="250"/>
      <c r="HYJ174" s="250"/>
      <c r="HYK174" s="250"/>
      <c r="HYL174" s="250"/>
      <c r="HYM174" s="250"/>
      <c r="HYN174" s="250"/>
      <c r="HYO174" s="250"/>
      <c r="HYP174" s="250"/>
      <c r="HYQ174" s="250"/>
      <c r="HYR174" s="250"/>
      <c r="HYS174" s="250"/>
      <c r="HYT174" s="250"/>
      <c r="HYU174" s="250"/>
      <c r="HYV174" s="250"/>
      <c r="HYW174" s="250"/>
      <c r="HYX174" s="250"/>
      <c r="HYY174" s="250"/>
      <c r="HYZ174" s="250"/>
      <c r="HZA174" s="250"/>
      <c r="HZB174" s="250"/>
      <c r="HZC174" s="250"/>
      <c r="HZD174" s="250"/>
      <c r="HZE174" s="250"/>
      <c r="HZF174" s="250"/>
      <c r="HZG174" s="250"/>
      <c r="HZH174" s="250"/>
      <c r="HZI174" s="250"/>
      <c r="HZJ174" s="250"/>
      <c r="HZK174" s="250"/>
      <c r="HZL174" s="250"/>
      <c r="HZM174" s="250"/>
      <c r="HZN174" s="250"/>
      <c r="HZO174" s="250"/>
      <c r="HZP174" s="250"/>
      <c r="HZQ174" s="250"/>
      <c r="HZR174" s="250"/>
      <c r="HZS174" s="250"/>
      <c r="HZT174" s="250"/>
      <c r="HZU174" s="250"/>
      <c r="HZV174" s="250"/>
      <c r="HZW174" s="250"/>
      <c r="HZX174" s="250"/>
      <c r="HZY174" s="250"/>
      <c r="HZZ174" s="250"/>
      <c r="IAA174" s="250"/>
      <c r="IAB174" s="250"/>
      <c r="IAC174" s="250"/>
      <c r="IAD174" s="250"/>
      <c r="IAE174" s="250"/>
      <c r="IAF174" s="250"/>
      <c r="IAG174" s="250"/>
      <c r="IAH174" s="250"/>
      <c r="IAI174" s="250"/>
      <c r="IAJ174" s="250"/>
      <c r="IAK174" s="250"/>
      <c r="IAL174" s="250"/>
      <c r="IAM174" s="250"/>
      <c r="IAN174" s="250"/>
      <c r="IAO174" s="250"/>
      <c r="IAP174" s="250"/>
      <c r="IAQ174" s="250"/>
      <c r="IAR174" s="250"/>
      <c r="IAS174" s="250"/>
      <c r="IAT174" s="250"/>
      <c r="IAU174" s="250"/>
      <c r="IAV174" s="250"/>
      <c r="IAW174" s="250"/>
      <c r="IAX174" s="250"/>
      <c r="IAY174" s="250"/>
      <c r="IAZ174" s="250"/>
      <c r="IBA174" s="250"/>
      <c r="IBB174" s="250"/>
      <c r="IBC174" s="250"/>
      <c r="IBD174" s="250"/>
      <c r="IBE174" s="250"/>
      <c r="IBF174" s="250"/>
      <c r="IBG174" s="250"/>
      <c r="IBH174" s="250"/>
      <c r="IBI174" s="250"/>
      <c r="IBJ174" s="250"/>
      <c r="IBK174" s="250"/>
      <c r="IBL174" s="250"/>
      <c r="IBM174" s="250"/>
      <c r="IBN174" s="250"/>
      <c r="IBO174" s="250"/>
      <c r="IBP174" s="250"/>
      <c r="IBQ174" s="250"/>
      <c r="IBR174" s="250"/>
      <c r="IBS174" s="250"/>
      <c r="IBT174" s="250"/>
      <c r="IBU174" s="250"/>
      <c r="IBV174" s="250"/>
      <c r="IBW174" s="250"/>
      <c r="IBX174" s="250"/>
      <c r="IBY174" s="250"/>
      <c r="IBZ174" s="250"/>
      <c r="ICA174" s="250"/>
      <c r="ICB174" s="250"/>
      <c r="ICC174" s="250"/>
      <c r="ICD174" s="250"/>
      <c r="ICE174" s="250"/>
      <c r="ICF174" s="250"/>
      <c r="ICG174" s="250"/>
      <c r="ICH174" s="250"/>
      <c r="ICI174" s="250"/>
      <c r="ICJ174" s="250"/>
      <c r="ICK174" s="250"/>
      <c r="ICL174" s="250"/>
      <c r="ICM174" s="250"/>
      <c r="ICN174" s="250"/>
      <c r="ICO174" s="250"/>
      <c r="ICP174" s="250"/>
      <c r="ICQ174" s="250"/>
      <c r="ICR174" s="250"/>
      <c r="ICS174" s="250"/>
      <c r="ICT174" s="250"/>
      <c r="ICU174" s="250"/>
      <c r="ICV174" s="250"/>
      <c r="ICW174" s="250"/>
      <c r="ICX174" s="250"/>
      <c r="ICY174" s="250"/>
      <c r="ICZ174" s="250"/>
      <c r="IDA174" s="250"/>
      <c r="IDB174" s="250"/>
      <c r="IDC174" s="250"/>
      <c r="IDD174" s="250"/>
      <c r="IDE174" s="250"/>
      <c r="IDF174" s="250"/>
      <c r="IDG174" s="250"/>
      <c r="IDH174" s="250"/>
      <c r="IDI174" s="250"/>
      <c r="IDJ174" s="250"/>
      <c r="IDK174" s="250"/>
      <c r="IDL174" s="250"/>
      <c r="IDM174" s="250"/>
      <c r="IDN174" s="250"/>
      <c r="IDO174" s="250"/>
      <c r="IDP174" s="250"/>
      <c r="IDQ174" s="250"/>
      <c r="IDR174" s="250"/>
      <c r="IDS174" s="250"/>
      <c r="IDT174" s="250"/>
      <c r="IDU174" s="250"/>
      <c r="IDV174" s="250"/>
      <c r="IDW174" s="250"/>
      <c r="IDX174" s="250"/>
      <c r="IDY174" s="250"/>
      <c r="IDZ174" s="250"/>
      <c r="IEA174" s="250"/>
      <c r="IEB174" s="250"/>
      <c r="IEC174" s="250"/>
      <c r="IED174" s="250"/>
      <c r="IEE174" s="250"/>
      <c r="IEF174" s="250"/>
      <c r="IEG174" s="250"/>
      <c r="IEH174" s="250"/>
      <c r="IEI174" s="250"/>
      <c r="IEJ174" s="250"/>
      <c r="IEK174" s="250"/>
      <c r="IEL174" s="250"/>
      <c r="IEM174" s="250"/>
      <c r="IEN174" s="250"/>
      <c r="IEO174" s="250"/>
      <c r="IEP174" s="250"/>
      <c r="IEQ174" s="250"/>
      <c r="IER174" s="250"/>
      <c r="IES174" s="250"/>
      <c r="IET174" s="250"/>
      <c r="IEU174" s="250"/>
      <c r="IEV174" s="250"/>
      <c r="IEW174" s="250"/>
      <c r="IEX174" s="250"/>
      <c r="IEY174" s="250"/>
      <c r="IEZ174" s="250"/>
      <c r="IFA174" s="250"/>
      <c r="IFB174" s="250"/>
      <c r="IFC174" s="250"/>
      <c r="IFD174" s="250"/>
      <c r="IFE174" s="250"/>
      <c r="IFF174" s="250"/>
      <c r="IFG174" s="250"/>
      <c r="IFH174" s="250"/>
      <c r="IFI174" s="250"/>
      <c r="IFJ174" s="250"/>
      <c r="IFK174" s="250"/>
      <c r="IFL174" s="250"/>
      <c r="IFM174" s="250"/>
      <c r="IFN174" s="250"/>
      <c r="IFO174" s="250"/>
      <c r="IFP174" s="250"/>
      <c r="IFQ174" s="250"/>
      <c r="IFR174" s="250"/>
      <c r="IFS174" s="250"/>
      <c r="IFT174" s="250"/>
      <c r="IFU174" s="250"/>
      <c r="IFV174" s="250"/>
      <c r="IFW174" s="250"/>
      <c r="IFX174" s="250"/>
      <c r="IFY174" s="250"/>
      <c r="IFZ174" s="250"/>
      <c r="IGA174" s="250"/>
      <c r="IGB174" s="250"/>
      <c r="IGC174" s="250"/>
      <c r="IGD174" s="250"/>
      <c r="IGE174" s="250"/>
      <c r="IGF174" s="250"/>
      <c r="IGG174" s="250"/>
      <c r="IGH174" s="250"/>
      <c r="IGI174" s="250"/>
      <c r="IGJ174" s="250"/>
      <c r="IGK174" s="250"/>
      <c r="IGL174" s="250"/>
      <c r="IGM174" s="250"/>
      <c r="IGN174" s="250"/>
      <c r="IGO174" s="250"/>
      <c r="IGP174" s="250"/>
      <c r="IGQ174" s="250"/>
      <c r="IGR174" s="250"/>
      <c r="IGS174" s="250"/>
      <c r="IGT174" s="250"/>
      <c r="IGU174" s="250"/>
      <c r="IGV174" s="250"/>
      <c r="IGW174" s="250"/>
      <c r="IGX174" s="250"/>
      <c r="IGY174" s="250"/>
      <c r="IGZ174" s="250"/>
      <c r="IHA174" s="250"/>
      <c r="IHB174" s="250"/>
      <c r="IHC174" s="250"/>
      <c r="IHD174" s="250"/>
      <c r="IHE174" s="250"/>
      <c r="IHF174" s="250"/>
      <c r="IHG174" s="250"/>
      <c r="IHH174" s="250"/>
      <c r="IHI174" s="250"/>
      <c r="IHJ174" s="250"/>
      <c r="IHK174" s="250"/>
      <c r="IHL174" s="250"/>
      <c r="IHM174" s="250"/>
      <c r="IHN174" s="250"/>
      <c r="IHO174" s="250"/>
      <c r="IHP174" s="250"/>
      <c r="IHQ174" s="250"/>
      <c r="IHR174" s="250"/>
      <c r="IHS174" s="250"/>
      <c r="IHT174" s="250"/>
      <c r="IHU174" s="250"/>
      <c r="IHV174" s="250"/>
      <c r="IHW174" s="250"/>
      <c r="IHX174" s="250"/>
      <c r="IHY174" s="250"/>
      <c r="IHZ174" s="250"/>
      <c r="IIA174" s="250"/>
      <c r="IIB174" s="250"/>
      <c r="IIC174" s="250"/>
      <c r="IID174" s="250"/>
      <c r="IIE174" s="250"/>
      <c r="IIF174" s="250"/>
      <c r="IIG174" s="250"/>
      <c r="IIH174" s="250"/>
      <c r="III174" s="250"/>
      <c r="IIJ174" s="250"/>
      <c r="IIK174" s="250"/>
      <c r="IIL174" s="250"/>
      <c r="IIM174" s="250"/>
      <c r="IIN174" s="250"/>
      <c r="IIO174" s="250"/>
      <c r="IIP174" s="250"/>
      <c r="IIQ174" s="250"/>
      <c r="IIR174" s="250"/>
      <c r="IIS174" s="250"/>
      <c r="IIT174" s="250"/>
      <c r="IIU174" s="250"/>
      <c r="IIV174" s="250"/>
      <c r="IIW174" s="250"/>
      <c r="IIX174" s="250"/>
      <c r="IIY174" s="250"/>
      <c r="IIZ174" s="250"/>
      <c r="IJA174" s="250"/>
      <c r="IJB174" s="250"/>
      <c r="IJC174" s="250"/>
      <c r="IJD174" s="250"/>
      <c r="IJE174" s="250"/>
      <c r="IJF174" s="250"/>
      <c r="IJG174" s="250"/>
      <c r="IJH174" s="250"/>
      <c r="IJI174" s="250"/>
      <c r="IJJ174" s="250"/>
      <c r="IJK174" s="250"/>
      <c r="IJL174" s="250"/>
      <c r="IJM174" s="250"/>
      <c r="IJN174" s="250"/>
      <c r="IJO174" s="250"/>
      <c r="IJP174" s="250"/>
      <c r="IJQ174" s="250"/>
      <c r="IJR174" s="250"/>
      <c r="IJS174" s="250"/>
      <c r="IJT174" s="250"/>
      <c r="IJU174" s="250"/>
      <c r="IJV174" s="250"/>
      <c r="IJW174" s="250"/>
      <c r="IJX174" s="250"/>
      <c r="IJY174" s="250"/>
      <c r="IJZ174" s="250"/>
      <c r="IKA174" s="250"/>
      <c r="IKB174" s="250"/>
      <c r="IKC174" s="250"/>
      <c r="IKD174" s="250"/>
      <c r="IKE174" s="250"/>
      <c r="IKF174" s="250"/>
      <c r="IKG174" s="250"/>
      <c r="IKH174" s="250"/>
      <c r="IKI174" s="250"/>
      <c r="IKJ174" s="250"/>
      <c r="IKK174" s="250"/>
      <c r="IKL174" s="250"/>
      <c r="IKM174" s="250"/>
      <c r="IKN174" s="250"/>
      <c r="IKO174" s="250"/>
      <c r="IKP174" s="250"/>
      <c r="IKQ174" s="250"/>
      <c r="IKR174" s="250"/>
      <c r="IKS174" s="250"/>
      <c r="IKT174" s="250"/>
      <c r="IKU174" s="250"/>
      <c r="IKV174" s="250"/>
      <c r="IKW174" s="250"/>
      <c r="IKX174" s="250"/>
      <c r="IKY174" s="250"/>
      <c r="IKZ174" s="250"/>
      <c r="ILA174" s="250"/>
      <c r="ILB174" s="250"/>
      <c r="ILC174" s="250"/>
      <c r="ILD174" s="250"/>
      <c r="ILE174" s="250"/>
      <c r="ILF174" s="250"/>
      <c r="ILG174" s="250"/>
      <c r="ILH174" s="250"/>
      <c r="ILI174" s="250"/>
      <c r="ILJ174" s="250"/>
      <c r="ILK174" s="250"/>
      <c r="ILL174" s="250"/>
      <c r="ILM174" s="250"/>
      <c r="ILN174" s="250"/>
      <c r="ILO174" s="250"/>
      <c r="ILP174" s="250"/>
      <c r="ILQ174" s="250"/>
      <c r="ILR174" s="250"/>
      <c r="ILS174" s="250"/>
      <c r="ILT174" s="250"/>
      <c r="ILU174" s="250"/>
      <c r="ILV174" s="250"/>
      <c r="ILW174" s="250"/>
      <c r="ILX174" s="250"/>
      <c r="ILY174" s="250"/>
      <c r="ILZ174" s="250"/>
      <c r="IMA174" s="250"/>
      <c r="IMB174" s="250"/>
      <c r="IMC174" s="250"/>
      <c r="IMD174" s="250"/>
      <c r="IME174" s="250"/>
      <c r="IMF174" s="250"/>
      <c r="IMG174" s="250"/>
      <c r="IMH174" s="250"/>
      <c r="IMI174" s="250"/>
      <c r="IMJ174" s="250"/>
      <c r="IMK174" s="250"/>
      <c r="IML174" s="250"/>
      <c r="IMM174" s="250"/>
      <c r="IMN174" s="250"/>
      <c r="IMO174" s="250"/>
      <c r="IMP174" s="250"/>
      <c r="IMQ174" s="250"/>
      <c r="IMR174" s="250"/>
      <c r="IMS174" s="250"/>
      <c r="IMT174" s="250"/>
      <c r="IMU174" s="250"/>
      <c r="IMV174" s="250"/>
      <c r="IMW174" s="250"/>
      <c r="IMX174" s="250"/>
      <c r="IMY174" s="250"/>
      <c r="IMZ174" s="250"/>
      <c r="INA174" s="250"/>
      <c r="INB174" s="250"/>
      <c r="INC174" s="250"/>
      <c r="IND174" s="250"/>
      <c r="INE174" s="250"/>
      <c r="INF174" s="250"/>
      <c r="ING174" s="250"/>
      <c r="INH174" s="250"/>
      <c r="INI174" s="250"/>
      <c r="INJ174" s="250"/>
      <c r="INK174" s="250"/>
      <c r="INL174" s="250"/>
      <c r="INM174" s="250"/>
      <c r="INN174" s="250"/>
      <c r="INO174" s="250"/>
      <c r="INP174" s="250"/>
      <c r="INQ174" s="250"/>
      <c r="INR174" s="250"/>
      <c r="INS174" s="250"/>
      <c r="INT174" s="250"/>
      <c r="INU174" s="250"/>
      <c r="INV174" s="250"/>
      <c r="INW174" s="250"/>
      <c r="INX174" s="250"/>
      <c r="INY174" s="250"/>
      <c r="INZ174" s="250"/>
      <c r="IOA174" s="250"/>
      <c r="IOB174" s="250"/>
      <c r="IOC174" s="250"/>
      <c r="IOD174" s="250"/>
      <c r="IOE174" s="250"/>
      <c r="IOF174" s="250"/>
      <c r="IOG174" s="250"/>
      <c r="IOH174" s="250"/>
      <c r="IOI174" s="250"/>
      <c r="IOJ174" s="250"/>
      <c r="IOK174" s="250"/>
      <c r="IOL174" s="250"/>
      <c r="IOM174" s="250"/>
      <c r="ION174" s="250"/>
      <c r="IOO174" s="250"/>
      <c r="IOP174" s="250"/>
      <c r="IOQ174" s="250"/>
      <c r="IOR174" s="250"/>
      <c r="IOS174" s="250"/>
      <c r="IOT174" s="250"/>
      <c r="IOU174" s="250"/>
      <c r="IOV174" s="250"/>
      <c r="IOW174" s="250"/>
      <c r="IOX174" s="250"/>
      <c r="IOY174" s="250"/>
      <c r="IOZ174" s="250"/>
      <c r="IPA174" s="250"/>
      <c r="IPB174" s="250"/>
      <c r="IPC174" s="250"/>
      <c r="IPD174" s="250"/>
      <c r="IPE174" s="250"/>
      <c r="IPF174" s="250"/>
      <c r="IPG174" s="250"/>
      <c r="IPH174" s="250"/>
      <c r="IPI174" s="250"/>
      <c r="IPJ174" s="250"/>
      <c r="IPK174" s="250"/>
      <c r="IPL174" s="250"/>
      <c r="IPM174" s="250"/>
      <c r="IPN174" s="250"/>
      <c r="IPO174" s="250"/>
      <c r="IPP174" s="250"/>
      <c r="IPQ174" s="250"/>
      <c r="IPR174" s="250"/>
      <c r="IPS174" s="250"/>
      <c r="IPT174" s="250"/>
      <c r="IPU174" s="250"/>
      <c r="IPV174" s="250"/>
      <c r="IPW174" s="250"/>
      <c r="IPX174" s="250"/>
      <c r="IPY174" s="250"/>
      <c r="IPZ174" s="250"/>
      <c r="IQA174" s="250"/>
      <c r="IQB174" s="250"/>
      <c r="IQC174" s="250"/>
      <c r="IQD174" s="250"/>
      <c r="IQE174" s="250"/>
      <c r="IQF174" s="250"/>
      <c r="IQG174" s="250"/>
      <c r="IQH174" s="250"/>
      <c r="IQI174" s="250"/>
      <c r="IQJ174" s="250"/>
      <c r="IQK174" s="250"/>
      <c r="IQL174" s="250"/>
      <c r="IQM174" s="250"/>
      <c r="IQN174" s="250"/>
      <c r="IQO174" s="250"/>
      <c r="IQP174" s="250"/>
      <c r="IQQ174" s="250"/>
      <c r="IQR174" s="250"/>
      <c r="IQS174" s="250"/>
      <c r="IQT174" s="250"/>
      <c r="IQU174" s="250"/>
      <c r="IQV174" s="250"/>
      <c r="IQW174" s="250"/>
      <c r="IQX174" s="250"/>
      <c r="IQY174" s="250"/>
      <c r="IQZ174" s="250"/>
      <c r="IRA174" s="250"/>
      <c r="IRB174" s="250"/>
      <c r="IRC174" s="250"/>
      <c r="IRD174" s="250"/>
      <c r="IRE174" s="250"/>
      <c r="IRF174" s="250"/>
      <c r="IRG174" s="250"/>
      <c r="IRH174" s="250"/>
      <c r="IRI174" s="250"/>
      <c r="IRJ174" s="250"/>
      <c r="IRK174" s="250"/>
      <c r="IRL174" s="250"/>
      <c r="IRM174" s="250"/>
      <c r="IRN174" s="250"/>
      <c r="IRO174" s="250"/>
      <c r="IRP174" s="250"/>
      <c r="IRQ174" s="250"/>
      <c r="IRR174" s="250"/>
      <c r="IRS174" s="250"/>
      <c r="IRT174" s="250"/>
      <c r="IRU174" s="250"/>
      <c r="IRV174" s="250"/>
      <c r="IRW174" s="250"/>
      <c r="IRX174" s="250"/>
      <c r="IRY174" s="250"/>
      <c r="IRZ174" s="250"/>
      <c r="ISA174" s="250"/>
      <c r="ISB174" s="250"/>
      <c r="ISC174" s="250"/>
      <c r="ISD174" s="250"/>
      <c r="ISE174" s="250"/>
      <c r="ISF174" s="250"/>
      <c r="ISG174" s="250"/>
      <c r="ISH174" s="250"/>
      <c r="ISI174" s="250"/>
      <c r="ISJ174" s="250"/>
      <c r="ISK174" s="250"/>
      <c r="ISL174" s="250"/>
      <c r="ISM174" s="250"/>
      <c r="ISN174" s="250"/>
      <c r="ISO174" s="250"/>
      <c r="ISP174" s="250"/>
      <c r="ISQ174" s="250"/>
      <c r="ISR174" s="250"/>
      <c r="ISS174" s="250"/>
      <c r="IST174" s="250"/>
      <c r="ISU174" s="250"/>
      <c r="ISV174" s="250"/>
      <c r="ISW174" s="250"/>
      <c r="ISX174" s="250"/>
      <c r="ISY174" s="250"/>
      <c r="ISZ174" s="250"/>
      <c r="ITA174" s="250"/>
      <c r="ITB174" s="250"/>
      <c r="ITC174" s="250"/>
      <c r="ITD174" s="250"/>
      <c r="ITE174" s="250"/>
      <c r="ITF174" s="250"/>
      <c r="ITG174" s="250"/>
      <c r="ITH174" s="250"/>
      <c r="ITI174" s="250"/>
      <c r="ITJ174" s="250"/>
      <c r="ITK174" s="250"/>
      <c r="ITL174" s="250"/>
      <c r="ITM174" s="250"/>
      <c r="ITN174" s="250"/>
      <c r="ITO174" s="250"/>
      <c r="ITP174" s="250"/>
      <c r="ITQ174" s="250"/>
      <c r="ITR174" s="250"/>
      <c r="ITS174" s="250"/>
      <c r="ITT174" s="250"/>
      <c r="ITU174" s="250"/>
      <c r="ITV174" s="250"/>
      <c r="ITW174" s="250"/>
      <c r="ITX174" s="250"/>
      <c r="ITY174" s="250"/>
      <c r="ITZ174" s="250"/>
      <c r="IUA174" s="250"/>
      <c r="IUB174" s="250"/>
      <c r="IUC174" s="250"/>
      <c r="IUD174" s="250"/>
      <c r="IUE174" s="250"/>
      <c r="IUF174" s="250"/>
      <c r="IUG174" s="250"/>
      <c r="IUH174" s="250"/>
      <c r="IUI174" s="250"/>
      <c r="IUJ174" s="250"/>
      <c r="IUK174" s="250"/>
      <c r="IUL174" s="250"/>
      <c r="IUM174" s="250"/>
      <c r="IUN174" s="250"/>
      <c r="IUO174" s="250"/>
      <c r="IUP174" s="250"/>
      <c r="IUQ174" s="250"/>
      <c r="IUR174" s="250"/>
      <c r="IUS174" s="250"/>
      <c r="IUT174" s="250"/>
      <c r="IUU174" s="250"/>
      <c r="IUV174" s="250"/>
      <c r="IUW174" s="250"/>
      <c r="IUX174" s="250"/>
      <c r="IUY174" s="250"/>
      <c r="IUZ174" s="250"/>
      <c r="IVA174" s="250"/>
      <c r="IVB174" s="250"/>
      <c r="IVC174" s="250"/>
      <c r="IVD174" s="250"/>
      <c r="IVE174" s="250"/>
      <c r="IVF174" s="250"/>
      <c r="IVG174" s="250"/>
      <c r="IVH174" s="250"/>
      <c r="IVI174" s="250"/>
      <c r="IVJ174" s="250"/>
      <c r="IVK174" s="250"/>
      <c r="IVL174" s="250"/>
      <c r="IVM174" s="250"/>
      <c r="IVN174" s="250"/>
      <c r="IVO174" s="250"/>
      <c r="IVP174" s="250"/>
      <c r="IVQ174" s="250"/>
      <c r="IVR174" s="250"/>
      <c r="IVS174" s="250"/>
      <c r="IVT174" s="250"/>
      <c r="IVU174" s="250"/>
      <c r="IVV174" s="250"/>
      <c r="IVW174" s="250"/>
      <c r="IVX174" s="250"/>
      <c r="IVY174" s="250"/>
      <c r="IVZ174" s="250"/>
      <c r="IWA174" s="250"/>
      <c r="IWB174" s="250"/>
      <c r="IWC174" s="250"/>
      <c r="IWD174" s="250"/>
      <c r="IWE174" s="250"/>
      <c r="IWF174" s="250"/>
      <c r="IWG174" s="250"/>
      <c r="IWH174" s="250"/>
      <c r="IWI174" s="250"/>
      <c r="IWJ174" s="250"/>
      <c r="IWK174" s="250"/>
      <c r="IWL174" s="250"/>
      <c r="IWM174" s="250"/>
      <c r="IWN174" s="250"/>
      <c r="IWO174" s="250"/>
      <c r="IWP174" s="250"/>
      <c r="IWQ174" s="250"/>
      <c r="IWR174" s="250"/>
      <c r="IWS174" s="250"/>
      <c r="IWT174" s="250"/>
      <c r="IWU174" s="250"/>
      <c r="IWV174" s="250"/>
      <c r="IWW174" s="250"/>
      <c r="IWX174" s="250"/>
      <c r="IWY174" s="250"/>
      <c r="IWZ174" s="250"/>
      <c r="IXA174" s="250"/>
      <c r="IXB174" s="250"/>
      <c r="IXC174" s="250"/>
      <c r="IXD174" s="250"/>
      <c r="IXE174" s="250"/>
      <c r="IXF174" s="250"/>
      <c r="IXG174" s="250"/>
      <c r="IXH174" s="250"/>
      <c r="IXI174" s="250"/>
      <c r="IXJ174" s="250"/>
      <c r="IXK174" s="250"/>
      <c r="IXL174" s="250"/>
      <c r="IXM174" s="250"/>
      <c r="IXN174" s="250"/>
      <c r="IXO174" s="250"/>
      <c r="IXP174" s="250"/>
      <c r="IXQ174" s="250"/>
      <c r="IXR174" s="250"/>
      <c r="IXS174" s="250"/>
      <c r="IXT174" s="250"/>
      <c r="IXU174" s="250"/>
      <c r="IXV174" s="250"/>
      <c r="IXW174" s="250"/>
      <c r="IXX174" s="250"/>
      <c r="IXY174" s="250"/>
      <c r="IXZ174" s="250"/>
      <c r="IYA174" s="250"/>
      <c r="IYB174" s="250"/>
      <c r="IYC174" s="250"/>
      <c r="IYD174" s="250"/>
      <c r="IYE174" s="250"/>
      <c r="IYF174" s="250"/>
      <c r="IYG174" s="250"/>
      <c r="IYH174" s="250"/>
      <c r="IYI174" s="250"/>
      <c r="IYJ174" s="250"/>
      <c r="IYK174" s="250"/>
      <c r="IYL174" s="250"/>
      <c r="IYM174" s="250"/>
      <c r="IYN174" s="250"/>
      <c r="IYO174" s="250"/>
      <c r="IYP174" s="250"/>
      <c r="IYQ174" s="250"/>
      <c r="IYR174" s="250"/>
      <c r="IYS174" s="250"/>
      <c r="IYT174" s="250"/>
      <c r="IYU174" s="250"/>
      <c r="IYV174" s="250"/>
      <c r="IYW174" s="250"/>
      <c r="IYX174" s="250"/>
      <c r="IYY174" s="250"/>
      <c r="IYZ174" s="250"/>
      <c r="IZA174" s="250"/>
      <c r="IZB174" s="250"/>
      <c r="IZC174" s="250"/>
      <c r="IZD174" s="250"/>
      <c r="IZE174" s="250"/>
      <c r="IZF174" s="250"/>
      <c r="IZG174" s="250"/>
      <c r="IZH174" s="250"/>
      <c r="IZI174" s="250"/>
      <c r="IZJ174" s="250"/>
      <c r="IZK174" s="250"/>
      <c r="IZL174" s="250"/>
      <c r="IZM174" s="250"/>
      <c r="IZN174" s="250"/>
      <c r="IZO174" s="250"/>
      <c r="IZP174" s="250"/>
      <c r="IZQ174" s="250"/>
      <c r="IZR174" s="250"/>
      <c r="IZS174" s="250"/>
      <c r="IZT174" s="250"/>
      <c r="IZU174" s="250"/>
      <c r="IZV174" s="250"/>
      <c r="IZW174" s="250"/>
      <c r="IZX174" s="250"/>
      <c r="IZY174" s="250"/>
      <c r="IZZ174" s="250"/>
      <c r="JAA174" s="250"/>
      <c r="JAB174" s="250"/>
      <c r="JAC174" s="250"/>
      <c r="JAD174" s="250"/>
      <c r="JAE174" s="250"/>
      <c r="JAF174" s="250"/>
      <c r="JAG174" s="250"/>
      <c r="JAH174" s="250"/>
      <c r="JAI174" s="250"/>
      <c r="JAJ174" s="250"/>
      <c r="JAK174" s="250"/>
      <c r="JAL174" s="250"/>
      <c r="JAM174" s="250"/>
      <c r="JAN174" s="250"/>
      <c r="JAO174" s="250"/>
      <c r="JAP174" s="250"/>
      <c r="JAQ174" s="250"/>
      <c r="JAR174" s="250"/>
      <c r="JAS174" s="250"/>
      <c r="JAT174" s="250"/>
      <c r="JAU174" s="250"/>
      <c r="JAV174" s="250"/>
      <c r="JAW174" s="250"/>
      <c r="JAX174" s="250"/>
      <c r="JAY174" s="250"/>
      <c r="JAZ174" s="250"/>
      <c r="JBA174" s="250"/>
      <c r="JBB174" s="250"/>
      <c r="JBC174" s="250"/>
      <c r="JBD174" s="250"/>
      <c r="JBE174" s="250"/>
      <c r="JBF174" s="250"/>
      <c r="JBG174" s="250"/>
      <c r="JBH174" s="250"/>
      <c r="JBI174" s="250"/>
      <c r="JBJ174" s="250"/>
      <c r="JBK174" s="250"/>
      <c r="JBL174" s="250"/>
      <c r="JBM174" s="250"/>
      <c r="JBN174" s="250"/>
      <c r="JBO174" s="250"/>
      <c r="JBP174" s="250"/>
      <c r="JBQ174" s="250"/>
      <c r="JBR174" s="250"/>
      <c r="JBS174" s="250"/>
      <c r="JBT174" s="250"/>
      <c r="JBU174" s="250"/>
      <c r="JBV174" s="250"/>
      <c r="JBW174" s="250"/>
      <c r="JBX174" s="250"/>
      <c r="JBY174" s="250"/>
      <c r="JBZ174" s="250"/>
      <c r="JCA174" s="250"/>
      <c r="JCB174" s="250"/>
      <c r="JCC174" s="250"/>
      <c r="JCD174" s="250"/>
      <c r="JCE174" s="250"/>
      <c r="JCF174" s="250"/>
      <c r="JCG174" s="250"/>
      <c r="JCH174" s="250"/>
      <c r="JCI174" s="250"/>
      <c r="JCJ174" s="250"/>
      <c r="JCK174" s="250"/>
      <c r="JCL174" s="250"/>
      <c r="JCM174" s="250"/>
      <c r="JCN174" s="250"/>
      <c r="JCO174" s="250"/>
      <c r="JCP174" s="250"/>
      <c r="JCQ174" s="250"/>
      <c r="JCR174" s="250"/>
      <c r="JCS174" s="250"/>
      <c r="JCT174" s="250"/>
      <c r="JCU174" s="250"/>
      <c r="JCV174" s="250"/>
      <c r="JCW174" s="250"/>
      <c r="JCX174" s="250"/>
      <c r="JCY174" s="250"/>
      <c r="JCZ174" s="250"/>
      <c r="JDA174" s="250"/>
      <c r="JDB174" s="250"/>
      <c r="JDC174" s="250"/>
      <c r="JDD174" s="250"/>
      <c r="JDE174" s="250"/>
      <c r="JDF174" s="250"/>
      <c r="JDG174" s="250"/>
      <c r="JDH174" s="250"/>
      <c r="JDI174" s="250"/>
      <c r="JDJ174" s="250"/>
      <c r="JDK174" s="250"/>
      <c r="JDL174" s="250"/>
      <c r="JDM174" s="250"/>
      <c r="JDN174" s="250"/>
      <c r="JDO174" s="250"/>
      <c r="JDP174" s="250"/>
      <c r="JDQ174" s="250"/>
      <c r="JDR174" s="250"/>
      <c r="JDS174" s="250"/>
      <c r="JDT174" s="250"/>
      <c r="JDU174" s="250"/>
      <c r="JDV174" s="250"/>
      <c r="JDW174" s="250"/>
      <c r="JDX174" s="250"/>
      <c r="JDY174" s="250"/>
      <c r="JDZ174" s="250"/>
      <c r="JEA174" s="250"/>
      <c r="JEB174" s="250"/>
      <c r="JEC174" s="250"/>
      <c r="JED174" s="250"/>
      <c r="JEE174" s="250"/>
      <c r="JEF174" s="250"/>
      <c r="JEG174" s="250"/>
      <c r="JEH174" s="250"/>
      <c r="JEI174" s="250"/>
      <c r="JEJ174" s="250"/>
      <c r="JEK174" s="250"/>
      <c r="JEL174" s="250"/>
      <c r="JEM174" s="250"/>
      <c r="JEN174" s="250"/>
      <c r="JEO174" s="250"/>
      <c r="JEP174" s="250"/>
      <c r="JEQ174" s="250"/>
      <c r="JER174" s="250"/>
      <c r="JES174" s="250"/>
      <c r="JET174" s="250"/>
      <c r="JEU174" s="250"/>
      <c r="JEV174" s="250"/>
      <c r="JEW174" s="250"/>
      <c r="JEX174" s="250"/>
      <c r="JEY174" s="250"/>
      <c r="JEZ174" s="250"/>
      <c r="JFA174" s="250"/>
      <c r="JFB174" s="250"/>
      <c r="JFC174" s="250"/>
      <c r="JFD174" s="250"/>
      <c r="JFE174" s="250"/>
      <c r="JFF174" s="250"/>
      <c r="JFG174" s="250"/>
      <c r="JFH174" s="250"/>
      <c r="JFI174" s="250"/>
      <c r="JFJ174" s="250"/>
      <c r="JFK174" s="250"/>
      <c r="JFL174" s="250"/>
      <c r="JFM174" s="250"/>
      <c r="JFN174" s="250"/>
      <c r="JFO174" s="250"/>
      <c r="JFP174" s="250"/>
      <c r="JFQ174" s="250"/>
      <c r="JFR174" s="250"/>
      <c r="JFS174" s="250"/>
      <c r="JFT174" s="250"/>
      <c r="JFU174" s="250"/>
      <c r="JFV174" s="250"/>
      <c r="JFW174" s="250"/>
      <c r="JFX174" s="250"/>
      <c r="JFY174" s="250"/>
      <c r="JFZ174" s="250"/>
      <c r="JGA174" s="250"/>
      <c r="JGB174" s="250"/>
      <c r="JGC174" s="250"/>
      <c r="JGD174" s="250"/>
      <c r="JGE174" s="250"/>
      <c r="JGF174" s="250"/>
      <c r="JGG174" s="250"/>
      <c r="JGH174" s="250"/>
      <c r="JGI174" s="250"/>
      <c r="JGJ174" s="250"/>
      <c r="JGK174" s="250"/>
      <c r="JGL174" s="250"/>
      <c r="JGM174" s="250"/>
      <c r="JGN174" s="250"/>
      <c r="JGO174" s="250"/>
      <c r="JGP174" s="250"/>
      <c r="JGQ174" s="250"/>
      <c r="JGR174" s="250"/>
      <c r="JGS174" s="250"/>
      <c r="JGT174" s="250"/>
      <c r="JGU174" s="250"/>
      <c r="JGV174" s="250"/>
      <c r="JGW174" s="250"/>
      <c r="JGX174" s="250"/>
      <c r="JGY174" s="250"/>
      <c r="JGZ174" s="250"/>
      <c r="JHA174" s="250"/>
      <c r="JHB174" s="250"/>
      <c r="JHC174" s="250"/>
      <c r="JHD174" s="250"/>
      <c r="JHE174" s="250"/>
      <c r="JHF174" s="250"/>
      <c r="JHG174" s="250"/>
      <c r="JHH174" s="250"/>
      <c r="JHI174" s="250"/>
      <c r="JHJ174" s="250"/>
      <c r="JHK174" s="250"/>
      <c r="JHL174" s="250"/>
      <c r="JHM174" s="250"/>
      <c r="JHN174" s="250"/>
      <c r="JHO174" s="250"/>
      <c r="JHP174" s="250"/>
      <c r="JHQ174" s="250"/>
      <c r="JHR174" s="250"/>
      <c r="JHS174" s="250"/>
      <c r="JHT174" s="250"/>
      <c r="JHU174" s="250"/>
      <c r="JHV174" s="250"/>
      <c r="JHW174" s="250"/>
      <c r="JHX174" s="250"/>
      <c r="JHY174" s="250"/>
      <c r="JHZ174" s="250"/>
      <c r="JIA174" s="250"/>
      <c r="JIB174" s="250"/>
      <c r="JIC174" s="250"/>
      <c r="JID174" s="250"/>
      <c r="JIE174" s="250"/>
      <c r="JIF174" s="250"/>
      <c r="JIG174" s="250"/>
      <c r="JIH174" s="250"/>
      <c r="JII174" s="250"/>
      <c r="JIJ174" s="250"/>
      <c r="JIK174" s="250"/>
      <c r="JIL174" s="250"/>
      <c r="JIM174" s="250"/>
      <c r="JIN174" s="250"/>
      <c r="JIO174" s="250"/>
      <c r="JIP174" s="250"/>
      <c r="JIQ174" s="250"/>
      <c r="JIR174" s="250"/>
      <c r="JIS174" s="250"/>
      <c r="JIT174" s="250"/>
      <c r="JIU174" s="250"/>
      <c r="JIV174" s="250"/>
      <c r="JIW174" s="250"/>
      <c r="JIX174" s="250"/>
      <c r="JIY174" s="250"/>
      <c r="JIZ174" s="250"/>
      <c r="JJA174" s="250"/>
      <c r="JJB174" s="250"/>
      <c r="JJC174" s="250"/>
      <c r="JJD174" s="250"/>
      <c r="JJE174" s="250"/>
      <c r="JJF174" s="250"/>
      <c r="JJG174" s="250"/>
      <c r="JJH174" s="250"/>
      <c r="JJI174" s="250"/>
      <c r="JJJ174" s="250"/>
      <c r="JJK174" s="250"/>
      <c r="JJL174" s="250"/>
      <c r="JJM174" s="250"/>
      <c r="JJN174" s="250"/>
      <c r="JJO174" s="250"/>
      <c r="JJP174" s="250"/>
      <c r="JJQ174" s="250"/>
      <c r="JJR174" s="250"/>
      <c r="JJS174" s="250"/>
      <c r="JJT174" s="250"/>
      <c r="JJU174" s="250"/>
      <c r="JJV174" s="250"/>
      <c r="JJW174" s="250"/>
      <c r="JJX174" s="250"/>
      <c r="JJY174" s="250"/>
      <c r="JJZ174" s="250"/>
      <c r="JKA174" s="250"/>
      <c r="JKB174" s="250"/>
      <c r="JKC174" s="250"/>
      <c r="JKD174" s="250"/>
      <c r="JKE174" s="250"/>
      <c r="JKF174" s="250"/>
      <c r="JKG174" s="250"/>
      <c r="JKH174" s="250"/>
      <c r="JKI174" s="250"/>
      <c r="JKJ174" s="250"/>
      <c r="JKK174" s="250"/>
      <c r="JKL174" s="250"/>
      <c r="JKM174" s="250"/>
      <c r="JKN174" s="250"/>
      <c r="JKO174" s="250"/>
      <c r="JKP174" s="250"/>
      <c r="JKQ174" s="250"/>
      <c r="JKR174" s="250"/>
      <c r="JKS174" s="250"/>
      <c r="JKT174" s="250"/>
      <c r="JKU174" s="250"/>
      <c r="JKV174" s="250"/>
      <c r="JKW174" s="250"/>
      <c r="JKX174" s="250"/>
      <c r="JKY174" s="250"/>
      <c r="JKZ174" s="250"/>
      <c r="JLA174" s="250"/>
      <c r="JLB174" s="250"/>
      <c r="JLC174" s="250"/>
      <c r="JLD174" s="250"/>
      <c r="JLE174" s="250"/>
      <c r="JLF174" s="250"/>
      <c r="JLG174" s="250"/>
      <c r="JLH174" s="250"/>
      <c r="JLI174" s="250"/>
      <c r="JLJ174" s="250"/>
      <c r="JLK174" s="250"/>
      <c r="JLL174" s="250"/>
      <c r="JLM174" s="250"/>
      <c r="JLN174" s="250"/>
      <c r="JLO174" s="250"/>
      <c r="JLP174" s="250"/>
      <c r="JLQ174" s="250"/>
      <c r="JLR174" s="250"/>
      <c r="JLS174" s="250"/>
      <c r="JLT174" s="250"/>
      <c r="JLU174" s="250"/>
      <c r="JLV174" s="250"/>
      <c r="JLW174" s="250"/>
      <c r="JLX174" s="250"/>
      <c r="JLY174" s="250"/>
      <c r="JLZ174" s="250"/>
      <c r="JMA174" s="250"/>
      <c r="JMB174" s="250"/>
      <c r="JMC174" s="250"/>
      <c r="JMD174" s="250"/>
      <c r="JME174" s="250"/>
      <c r="JMF174" s="250"/>
      <c r="JMG174" s="250"/>
      <c r="JMH174" s="250"/>
      <c r="JMI174" s="250"/>
      <c r="JMJ174" s="250"/>
      <c r="JMK174" s="250"/>
      <c r="JML174" s="250"/>
      <c r="JMM174" s="250"/>
      <c r="JMN174" s="250"/>
      <c r="JMO174" s="250"/>
      <c r="JMP174" s="250"/>
      <c r="JMQ174" s="250"/>
      <c r="JMR174" s="250"/>
      <c r="JMS174" s="250"/>
      <c r="JMT174" s="250"/>
      <c r="JMU174" s="250"/>
      <c r="JMV174" s="250"/>
      <c r="JMW174" s="250"/>
      <c r="JMX174" s="250"/>
      <c r="JMY174" s="250"/>
      <c r="JMZ174" s="250"/>
      <c r="JNA174" s="250"/>
      <c r="JNB174" s="250"/>
      <c r="JNC174" s="250"/>
      <c r="JND174" s="250"/>
      <c r="JNE174" s="250"/>
      <c r="JNF174" s="250"/>
      <c r="JNG174" s="250"/>
      <c r="JNH174" s="250"/>
      <c r="JNI174" s="250"/>
      <c r="JNJ174" s="250"/>
      <c r="JNK174" s="250"/>
      <c r="JNL174" s="250"/>
      <c r="JNM174" s="250"/>
      <c r="JNN174" s="250"/>
      <c r="JNO174" s="250"/>
      <c r="JNP174" s="250"/>
      <c r="JNQ174" s="250"/>
      <c r="JNR174" s="250"/>
      <c r="JNS174" s="250"/>
      <c r="JNT174" s="250"/>
      <c r="JNU174" s="250"/>
      <c r="JNV174" s="250"/>
      <c r="JNW174" s="250"/>
      <c r="JNX174" s="250"/>
      <c r="JNY174" s="250"/>
      <c r="JNZ174" s="250"/>
      <c r="JOA174" s="250"/>
      <c r="JOB174" s="250"/>
      <c r="JOC174" s="250"/>
      <c r="JOD174" s="250"/>
      <c r="JOE174" s="250"/>
      <c r="JOF174" s="250"/>
      <c r="JOG174" s="250"/>
      <c r="JOH174" s="250"/>
      <c r="JOI174" s="250"/>
      <c r="JOJ174" s="250"/>
      <c r="JOK174" s="250"/>
      <c r="JOL174" s="250"/>
      <c r="JOM174" s="250"/>
      <c r="JON174" s="250"/>
      <c r="JOO174" s="250"/>
      <c r="JOP174" s="250"/>
      <c r="JOQ174" s="250"/>
      <c r="JOR174" s="250"/>
      <c r="JOS174" s="250"/>
      <c r="JOT174" s="250"/>
      <c r="JOU174" s="250"/>
      <c r="JOV174" s="250"/>
      <c r="JOW174" s="250"/>
      <c r="JOX174" s="250"/>
      <c r="JOY174" s="250"/>
      <c r="JOZ174" s="250"/>
      <c r="JPA174" s="250"/>
      <c r="JPB174" s="250"/>
      <c r="JPC174" s="250"/>
      <c r="JPD174" s="250"/>
      <c r="JPE174" s="250"/>
      <c r="JPF174" s="250"/>
      <c r="JPG174" s="250"/>
      <c r="JPH174" s="250"/>
      <c r="JPI174" s="250"/>
      <c r="JPJ174" s="250"/>
      <c r="JPK174" s="250"/>
      <c r="JPL174" s="250"/>
      <c r="JPM174" s="250"/>
      <c r="JPN174" s="250"/>
      <c r="JPO174" s="250"/>
      <c r="JPP174" s="250"/>
      <c r="JPQ174" s="250"/>
      <c r="JPR174" s="250"/>
      <c r="JPS174" s="250"/>
      <c r="JPT174" s="250"/>
      <c r="JPU174" s="250"/>
      <c r="JPV174" s="250"/>
      <c r="JPW174" s="250"/>
      <c r="JPX174" s="250"/>
      <c r="JPY174" s="250"/>
      <c r="JPZ174" s="250"/>
      <c r="JQA174" s="250"/>
      <c r="JQB174" s="250"/>
      <c r="JQC174" s="250"/>
      <c r="JQD174" s="250"/>
      <c r="JQE174" s="250"/>
      <c r="JQF174" s="250"/>
      <c r="JQG174" s="250"/>
      <c r="JQH174" s="250"/>
      <c r="JQI174" s="250"/>
      <c r="JQJ174" s="250"/>
      <c r="JQK174" s="250"/>
      <c r="JQL174" s="250"/>
      <c r="JQM174" s="250"/>
      <c r="JQN174" s="250"/>
      <c r="JQO174" s="250"/>
      <c r="JQP174" s="250"/>
      <c r="JQQ174" s="250"/>
      <c r="JQR174" s="250"/>
      <c r="JQS174" s="250"/>
      <c r="JQT174" s="250"/>
      <c r="JQU174" s="250"/>
      <c r="JQV174" s="250"/>
      <c r="JQW174" s="250"/>
      <c r="JQX174" s="250"/>
      <c r="JQY174" s="250"/>
      <c r="JQZ174" s="250"/>
      <c r="JRA174" s="250"/>
      <c r="JRB174" s="250"/>
      <c r="JRC174" s="250"/>
      <c r="JRD174" s="250"/>
      <c r="JRE174" s="250"/>
      <c r="JRF174" s="250"/>
      <c r="JRG174" s="250"/>
      <c r="JRH174" s="250"/>
      <c r="JRI174" s="250"/>
      <c r="JRJ174" s="250"/>
      <c r="JRK174" s="250"/>
      <c r="JRL174" s="250"/>
      <c r="JRM174" s="250"/>
      <c r="JRN174" s="250"/>
      <c r="JRO174" s="250"/>
      <c r="JRP174" s="250"/>
      <c r="JRQ174" s="250"/>
      <c r="JRR174" s="250"/>
      <c r="JRS174" s="250"/>
      <c r="JRT174" s="250"/>
      <c r="JRU174" s="250"/>
      <c r="JRV174" s="250"/>
      <c r="JRW174" s="250"/>
      <c r="JRX174" s="250"/>
      <c r="JRY174" s="250"/>
      <c r="JRZ174" s="250"/>
      <c r="JSA174" s="250"/>
      <c r="JSB174" s="250"/>
      <c r="JSC174" s="250"/>
      <c r="JSD174" s="250"/>
      <c r="JSE174" s="250"/>
      <c r="JSF174" s="250"/>
      <c r="JSG174" s="250"/>
      <c r="JSH174" s="250"/>
      <c r="JSI174" s="250"/>
      <c r="JSJ174" s="250"/>
      <c r="JSK174" s="250"/>
      <c r="JSL174" s="250"/>
      <c r="JSM174" s="250"/>
      <c r="JSN174" s="250"/>
      <c r="JSO174" s="250"/>
      <c r="JSP174" s="250"/>
      <c r="JSQ174" s="250"/>
      <c r="JSR174" s="250"/>
      <c r="JSS174" s="250"/>
      <c r="JST174" s="250"/>
      <c r="JSU174" s="250"/>
      <c r="JSV174" s="250"/>
      <c r="JSW174" s="250"/>
      <c r="JSX174" s="250"/>
      <c r="JSY174" s="250"/>
      <c r="JSZ174" s="250"/>
      <c r="JTA174" s="250"/>
      <c r="JTB174" s="250"/>
      <c r="JTC174" s="250"/>
      <c r="JTD174" s="250"/>
      <c r="JTE174" s="250"/>
      <c r="JTF174" s="250"/>
      <c r="JTG174" s="250"/>
      <c r="JTH174" s="250"/>
      <c r="JTI174" s="250"/>
      <c r="JTJ174" s="250"/>
      <c r="JTK174" s="250"/>
      <c r="JTL174" s="250"/>
      <c r="JTM174" s="250"/>
      <c r="JTN174" s="250"/>
      <c r="JTO174" s="250"/>
      <c r="JTP174" s="250"/>
      <c r="JTQ174" s="250"/>
      <c r="JTR174" s="250"/>
      <c r="JTS174" s="250"/>
      <c r="JTT174" s="250"/>
      <c r="JTU174" s="250"/>
      <c r="JTV174" s="250"/>
      <c r="JTW174" s="250"/>
      <c r="JTX174" s="250"/>
      <c r="JTY174" s="250"/>
      <c r="JTZ174" s="250"/>
      <c r="JUA174" s="250"/>
      <c r="JUB174" s="250"/>
      <c r="JUC174" s="250"/>
      <c r="JUD174" s="250"/>
      <c r="JUE174" s="250"/>
      <c r="JUF174" s="250"/>
      <c r="JUG174" s="250"/>
      <c r="JUH174" s="250"/>
      <c r="JUI174" s="250"/>
      <c r="JUJ174" s="250"/>
      <c r="JUK174" s="250"/>
      <c r="JUL174" s="250"/>
      <c r="JUM174" s="250"/>
      <c r="JUN174" s="250"/>
      <c r="JUO174" s="250"/>
      <c r="JUP174" s="250"/>
      <c r="JUQ174" s="250"/>
      <c r="JUR174" s="250"/>
      <c r="JUS174" s="250"/>
      <c r="JUT174" s="250"/>
      <c r="JUU174" s="250"/>
      <c r="JUV174" s="250"/>
      <c r="JUW174" s="250"/>
      <c r="JUX174" s="250"/>
      <c r="JUY174" s="250"/>
      <c r="JUZ174" s="250"/>
      <c r="JVA174" s="250"/>
      <c r="JVB174" s="250"/>
      <c r="JVC174" s="250"/>
      <c r="JVD174" s="250"/>
      <c r="JVE174" s="250"/>
      <c r="JVF174" s="250"/>
      <c r="JVG174" s="250"/>
      <c r="JVH174" s="250"/>
      <c r="JVI174" s="250"/>
      <c r="JVJ174" s="250"/>
      <c r="JVK174" s="250"/>
      <c r="JVL174" s="250"/>
      <c r="JVM174" s="250"/>
      <c r="JVN174" s="250"/>
      <c r="JVO174" s="250"/>
      <c r="JVP174" s="250"/>
      <c r="JVQ174" s="250"/>
      <c r="JVR174" s="250"/>
      <c r="JVS174" s="250"/>
      <c r="JVT174" s="250"/>
      <c r="JVU174" s="250"/>
      <c r="JVV174" s="250"/>
      <c r="JVW174" s="250"/>
      <c r="JVX174" s="250"/>
      <c r="JVY174" s="250"/>
      <c r="JVZ174" s="250"/>
      <c r="JWA174" s="250"/>
      <c r="JWB174" s="250"/>
      <c r="JWC174" s="250"/>
      <c r="JWD174" s="250"/>
      <c r="JWE174" s="250"/>
      <c r="JWF174" s="250"/>
      <c r="JWG174" s="250"/>
      <c r="JWH174" s="250"/>
      <c r="JWI174" s="250"/>
      <c r="JWJ174" s="250"/>
      <c r="JWK174" s="250"/>
      <c r="JWL174" s="250"/>
      <c r="JWM174" s="250"/>
      <c r="JWN174" s="250"/>
      <c r="JWO174" s="250"/>
      <c r="JWP174" s="250"/>
      <c r="JWQ174" s="250"/>
      <c r="JWR174" s="250"/>
      <c r="JWS174" s="250"/>
      <c r="JWT174" s="250"/>
      <c r="JWU174" s="250"/>
      <c r="JWV174" s="250"/>
      <c r="JWW174" s="250"/>
      <c r="JWX174" s="250"/>
      <c r="JWY174" s="250"/>
      <c r="JWZ174" s="250"/>
      <c r="JXA174" s="250"/>
      <c r="JXB174" s="250"/>
      <c r="JXC174" s="250"/>
      <c r="JXD174" s="250"/>
      <c r="JXE174" s="250"/>
      <c r="JXF174" s="250"/>
      <c r="JXG174" s="250"/>
      <c r="JXH174" s="250"/>
      <c r="JXI174" s="250"/>
      <c r="JXJ174" s="250"/>
      <c r="JXK174" s="250"/>
      <c r="JXL174" s="250"/>
      <c r="JXM174" s="250"/>
      <c r="JXN174" s="250"/>
      <c r="JXO174" s="250"/>
      <c r="JXP174" s="250"/>
      <c r="JXQ174" s="250"/>
      <c r="JXR174" s="250"/>
      <c r="JXS174" s="250"/>
      <c r="JXT174" s="250"/>
      <c r="JXU174" s="250"/>
      <c r="JXV174" s="250"/>
      <c r="JXW174" s="250"/>
      <c r="JXX174" s="250"/>
      <c r="JXY174" s="250"/>
      <c r="JXZ174" s="250"/>
      <c r="JYA174" s="250"/>
      <c r="JYB174" s="250"/>
      <c r="JYC174" s="250"/>
      <c r="JYD174" s="250"/>
      <c r="JYE174" s="250"/>
      <c r="JYF174" s="250"/>
      <c r="JYG174" s="250"/>
      <c r="JYH174" s="250"/>
      <c r="JYI174" s="250"/>
      <c r="JYJ174" s="250"/>
      <c r="JYK174" s="250"/>
      <c r="JYL174" s="250"/>
      <c r="JYM174" s="250"/>
      <c r="JYN174" s="250"/>
      <c r="JYO174" s="250"/>
      <c r="JYP174" s="250"/>
      <c r="JYQ174" s="250"/>
      <c r="JYR174" s="250"/>
      <c r="JYS174" s="250"/>
      <c r="JYT174" s="250"/>
      <c r="JYU174" s="250"/>
      <c r="JYV174" s="250"/>
      <c r="JYW174" s="250"/>
      <c r="JYX174" s="250"/>
      <c r="JYY174" s="250"/>
      <c r="JYZ174" s="250"/>
      <c r="JZA174" s="250"/>
      <c r="JZB174" s="250"/>
      <c r="JZC174" s="250"/>
      <c r="JZD174" s="250"/>
      <c r="JZE174" s="250"/>
      <c r="JZF174" s="250"/>
      <c r="JZG174" s="250"/>
      <c r="JZH174" s="250"/>
      <c r="JZI174" s="250"/>
      <c r="JZJ174" s="250"/>
      <c r="JZK174" s="250"/>
      <c r="JZL174" s="250"/>
      <c r="JZM174" s="250"/>
      <c r="JZN174" s="250"/>
      <c r="JZO174" s="250"/>
      <c r="JZP174" s="250"/>
      <c r="JZQ174" s="250"/>
      <c r="JZR174" s="250"/>
      <c r="JZS174" s="250"/>
      <c r="JZT174" s="250"/>
      <c r="JZU174" s="250"/>
      <c r="JZV174" s="250"/>
      <c r="JZW174" s="250"/>
      <c r="JZX174" s="250"/>
      <c r="JZY174" s="250"/>
      <c r="JZZ174" s="250"/>
      <c r="KAA174" s="250"/>
      <c r="KAB174" s="250"/>
      <c r="KAC174" s="250"/>
      <c r="KAD174" s="250"/>
      <c r="KAE174" s="250"/>
      <c r="KAF174" s="250"/>
      <c r="KAG174" s="250"/>
      <c r="KAH174" s="250"/>
      <c r="KAI174" s="250"/>
      <c r="KAJ174" s="250"/>
      <c r="KAK174" s="250"/>
      <c r="KAL174" s="250"/>
      <c r="KAM174" s="250"/>
      <c r="KAN174" s="250"/>
      <c r="KAO174" s="250"/>
      <c r="KAP174" s="250"/>
      <c r="KAQ174" s="250"/>
      <c r="KAR174" s="250"/>
      <c r="KAS174" s="250"/>
      <c r="KAT174" s="250"/>
      <c r="KAU174" s="250"/>
      <c r="KAV174" s="250"/>
      <c r="KAW174" s="250"/>
      <c r="KAX174" s="250"/>
      <c r="KAY174" s="250"/>
      <c r="KAZ174" s="250"/>
      <c r="KBA174" s="250"/>
      <c r="KBB174" s="250"/>
      <c r="KBC174" s="250"/>
      <c r="KBD174" s="250"/>
      <c r="KBE174" s="250"/>
      <c r="KBF174" s="250"/>
      <c r="KBG174" s="250"/>
      <c r="KBH174" s="250"/>
      <c r="KBI174" s="250"/>
      <c r="KBJ174" s="250"/>
      <c r="KBK174" s="250"/>
      <c r="KBL174" s="250"/>
      <c r="KBM174" s="250"/>
      <c r="KBN174" s="250"/>
      <c r="KBO174" s="250"/>
      <c r="KBP174" s="250"/>
      <c r="KBQ174" s="250"/>
      <c r="KBR174" s="250"/>
      <c r="KBS174" s="250"/>
      <c r="KBT174" s="250"/>
      <c r="KBU174" s="250"/>
      <c r="KBV174" s="250"/>
      <c r="KBW174" s="250"/>
      <c r="KBX174" s="250"/>
      <c r="KBY174" s="250"/>
      <c r="KBZ174" s="250"/>
      <c r="KCA174" s="250"/>
      <c r="KCB174" s="250"/>
      <c r="KCC174" s="250"/>
      <c r="KCD174" s="250"/>
      <c r="KCE174" s="250"/>
      <c r="KCF174" s="250"/>
      <c r="KCG174" s="250"/>
      <c r="KCH174" s="250"/>
      <c r="KCI174" s="250"/>
      <c r="KCJ174" s="250"/>
      <c r="KCK174" s="250"/>
      <c r="KCL174" s="250"/>
      <c r="KCM174" s="250"/>
      <c r="KCN174" s="250"/>
      <c r="KCO174" s="250"/>
      <c r="KCP174" s="250"/>
      <c r="KCQ174" s="250"/>
      <c r="KCR174" s="250"/>
      <c r="KCS174" s="250"/>
      <c r="KCT174" s="250"/>
      <c r="KCU174" s="250"/>
      <c r="KCV174" s="250"/>
      <c r="KCW174" s="250"/>
      <c r="KCX174" s="250"/>
      <c r="KCY174" s="250"/>
      <c r="KCZ174" s="250"/>
      <c r="KDA174" s="250"/>
      <c r="KDB174" s="250"/>
      <c r="KDC174" s="250"/>
      <c r="KDD174" s="250"/>
      <c r="KDE174" s="250"/>
      <c r="KDF174" s="250"/>
      <c r="KDG174" s="250"/>
      <c r="KDH174" s="250"/>
      <c r="KDI174" s="250"/>
      <c r="KDJ174" s="250"/>
      <c r="KDK174" s="250"/>
      <c r="KDL174" s="250"/>
      <c r="KDM174" s="250"/>
      <c r="KDN174" s="250"/>
      <c r="KDO174" s="250"/>
      <c r="KDP174" s="250"/>
      <c r="KDQ174" s="250"/>
      <c r="KDR174" s="250"/>
      <c r="KDS174" s="250"/>
      <c r="KDT174" s="250"/>
      <c r="KDU174" s="250"/>
      <c r="KDV174" s="250"/>
      <c r="KDW174" s="250"/>
      <c r="KDX174" s="250"/>
      <c r="KDY174" s="250"/>
      <c r="KDZ174" s="250"/>
      <c r="KEA174" s="250"/>
      <c r="KEB174" s="250"/>
      <c r="KEC174" s="250"/>
      <c r="KED174" s="250"/>
      <c r="KEE174" s="250"/>
      <c r="KEF174" s="250"/>
      <c r="KEG174" s="250"/>
      <c r="KEH174" s="250"/>
      <c r="KEI174" s="250"/>
      <c r="KEJ174" s="250"/>
      <c r="KEK174" s="250"/>
      <c r="KEL174" s="250"/>
      <c r="KEM174" s="250"/>
      <c r="KEN174" s="250"/>
      <c r="KEO174" s="250"/>
      <c r="KEP174" s="250"/>
      <c r="KEQ174" s="250"/>
      <c r="KER174" s="250"/>
      <c r="KES174" s="250"/>
      <c r="KET174" s="250"/>
      <c r="KEU174" s="250"/>
      <c r="KEV174" s="250"/>
      <c r="KEW174" s="250"/>
      <c r="KEX174" s="250"/>
      <c r="KEY174" s="250"/>
      <c r="KEZ174" s="250"/>
      <c r="KFA174" s="250"/>
      <c r="KFB174" s="250"/>
      <c r="KFC174" s="250"/>
      <c r="KFD174" s="250"/>
      <c r="KFE174" s="250"/>
      <c r="KFF174" s="250"/>
      <c r="KFG174" s="250"/>
      <c r="KFH174" s="250"/>
      <c r="KFI174" s="250"/>
      <c r="KFJ174" s="250"/>
      <c r="KFK174" s="250"/>
      <c r="KFL174" s="250"/>
      <c r="KFM174" s="250"/>
      <c r="KFN174" s="250"/>
      <c r="KFO174" s="250"/>
      <c r="KFP174" s="250"/>
      <c r="KFQ174" s="250"/>
      <c r="KFR174" s="250"/>
      <c r="KFS174" s="250"/>
      <c r="KFT174" s="250"/>
      <c r="KFU174" s="250"/>
      <c r="KFV174" s="250"/>
      <c r="KFW174" s="250"/>
      <c r="KFX174" s="250"/>
      <c r="KFY174" s="250"/>
      <c r="KFZ174" s="250"/>
      <c r="KGA174" s="250"/>
      <c r="KGB174" s="250"/>
      <c r="KGC174" s="250"/>
      <c r="KGD174" s="250"/>
      <c r="KGE174" s="250"/>
      <c r="KGF174" s="250"/>
      <c r="KGG174" s="250"/>
      <c r="KGH174" s="250"/>
      <c r="KGI174" s="250"/>
      <c r="KGJ174" s="250"/>
      <c r="KGK174" s="250"/>
      <c r="KGL174" s="250"/>
      <c r="KGM174" s="250"/>
      <c r="KGN174" s="250"/>
      <c r="KGO174" s="250"/>
      <c r="KGP174" s="250"/>
      <c r="KGQ174" s="250"/>
      <c r="KGR174" s="250"/>
      <c r="KGS174" s="250"/>
      <c r="KGT174" s="250"/>
      <c r="KGU174" s="250"/>
      <c r="KGV174" s="250"/>
      <c r="KGW174" s="250"/>
      <c r="KGX174" s="250"/>
      <c r="KGY174" s="250"/>
      <c r="KGZ174" s="250"/>
      <c r="KHA174" s="250"/>
      <c r="KHB174" s="250"/>
      <c r="KHC174" s="250"/>
      <c r="KHD174" s="250"/>
      <c r="KHE174" s="250"/>
      <c r="KHF174" s="250"/>
      <c r="KHG174" s="250"/>
      <c r="KHH174" s="250"/>
      <c r="KHI174" s="250"/>
      <c r="KHJ174" s="250"/>
      <c r="KHK174" s="250"/>
      <c r="KHL174" s="250"/>
      <c r="KHM174" s="250"/>
      <c r="KHN174" s="250"/>
      <c r="KHO174" s="250"/>
      <c r="KHP174" s="250"/>
      <c r="KHQ174" s="250"/>
      <c r="KHR174" s="250"/>
      <c r="KHS174" s="250"/>
      <c r="KHT174" s="250"/>
      <c r="KHU174" s="250"/>
      <c r="KHV174" s="250"/>
      <c r="KHW174" s="250"/>
      <c r="KHX174" s="250"/>
      <c r="KHY174" s="250"/>
      <c r="KHZ174" s="250"/>
      <c r="KIA174" s="250"/>
      <c r="KIB174" s="250"/>
      <c r="KIC174" s="250"/>
      <c r="KID174" s="250"/>
      <c r="KIE174" s="250"/>
      <c r="KIF174" s="250"/>
      <c r="KIG174" s="250"/>
      <c r="KIH174" s="250"/>
      <c r="KII174" s="250"/>
      <c r="KIJ174" s="250"/>
      <c r="KIK174" s="250"/>
      <c r="KIL174" s="250"/>
      <c r="KIM174" s="250"/>
      <c r="KIN174" s="250"/>
      <c r="KIO174" s="250"/>
      <c r="KIP174" s="250"/>
      <c r="KIQ174" s="250"/>
      <c r="KIR174" s="250"/>
      <c r="KIS174" s="250"/>
      <c r="KIT174" s="250"/>
      <c r="KIU174" s="250"/>
      <c r="KIV174" s="250"/>
      <c r="KIW174" s="250"/>
      <c r="KIX174" s="250"/>
      <c r="KIY174" s="250"/>
      <c r="KIZ174" s="250"/>
      <c r="KJA174" s="250"/>
      <c r="KJB174" s="250"/>
      <c r="KJC174" s="250"/>
      <c r="KJD174" s="250"/>
      <c r="KJE174" s="250"/>
      <c r="KJF174" s="250"/>
      <c r="KJG174" s="250"/>
      <c r="KJH174" s="250"/>
      <c r="KJI174" s="250"/>
      <c r="KJJ174" s="250"/>
      <c r="KJK174" s="250"/>
      <c r="KJL174" s="250"/>
      <c r="KJM174" s="250"/>
      <c r="KJN174" s="250"/>
      <c r="KJO174" s="250"/>
      <c r="KJP174" s="250"/>
      <c r="KJQ174" s="250"/>
      <c r="KJR174" s="250"/>
      <c r="KJS174" s="250"/>
      <c r="KJT174" s="250"/>
      <c r="KJU174" s="250"/>
      <c r="KJV174" s="250"/>
      <c r="KJW174" s="250"/>
      <c r="KJX174" s="250"/>
      <c r="KJY174" s="250"/>
      <c r="KJZ174" s="250"/>
      <c r="KKA174" s="250"/>
      <c r="KKB174" s="250"/>
      <c r="KKC174" s="250"/>
      <c r="KKD174" s="250"/>
      <c r="KKE174" s="250"/>
      <c r="KKF174" s="250"/>
      <c r="KKG174" s="250"/>
      <c r="KKH174" s="250"/>
      <c r="KKI174" s="250"/>
      <c r="KKJ174" s="250"/>
      <c r="KKK174" s="250"/>
      <c r="KKL174" s="250"/>
      <c r="KKM174" s="250"/>
      <c r="KKN174" s="250"/>
      <c r="KKO174" s="250"/>
      <c r="KKP174" s="250"/>
      <c r="KKQ174" s="250"/>
      <c r="KKR174" s="250"/>
      <c r="KKS174" s="250"/>
      <c r="KKT174" s="250"/>
      <c r="KKU174" s="250"/>
      <c r="KKV174" s="250"/>
      <c r="KKW174" s="250"/>
      <c r="KKX174" s="250"/>
      <c r="KKY174" s="250"/>
      <c r="KKZ174" s="250"/>
      <c r="KLA174" s="250"/>
      <c r="KLB174" s="250"/>
      <c r="KLC174" s="250"/>
      <c r="KLD174" s="250"/>
      <c r="KLE174" s="250"/>
      <c r="KLF174" s="250"/>
      <c r="KLG174" s="250"/>
      <c r="KLH174" s="250"/>
      <c r="KLI174" s="250"/>
      <c r="KLJ174" s="250"/>
      <c r="KLK174" s="250"/>
      <c r="KLL174" s="250"/>
      <c r="KLM174" s="250"/>
      <c r="KLN174" s="250"/>
      <c r="KLO174" s="250"/>
      <c r="KLP174" s="250"/>
      <c r="KLQ174" s="250"/>
      <c r="KLR174" s="250"/>
      <c r="KLS174" s="250"/>
      <c r="KLT174" s="250"/>
      <c r="KLU174" s="250"/>
      <c r="KLV174" s="250"/>
      <c r="KLW174" s="250"/>
      <c r="KLX174" s="250"/>
      <c r="KLY174" s="250"/>
      <c r="KLZ174" s="250"/>
      <c r="KMA174" s="250"/>
      <c r="KMB174" s="250"/>
      <c r="KMC174" s="250"/>
      <c r="KMD174" s="250"/>
      <c r="KME174" s="250"/>
      <c r="KMF174" s="250"/>
      <c r="KMG174" s="250"/>
      <c r="KMH174" s="250"/>
      <c r="KMI174" s="250"/>
      <c r="KMJ174" s="250"/>
      <c r="KMK174" s="250"/>
      <c r="KML174" s="250"/>
      <c r="KMM174" s="250"/>
      <c r="KMN174" s="250"/>
      <c r="KMO174" s="250"/>
      <c r="KMP174" s="250"/>
      <c r="KMQ174" s="250"/>
      <c r="KMR174" s="250"/>
      <c r="KMS174" s="250"/>
      <c r="KMT174" s="250"/>
      <c r="KMU174" s="250"/>
      <c r="KMV174" s="250"/>
      <c r="KMW174" s="250"/>
      <c r="KMX174" s="250"/>
      <c r="KMY174" s="250"/>
      <c r="KMZ174" s="250"/>
      <c r="KNA174" s="250"/>
      <c r="KNB174" s="250"/>
      <c r="KNC174" s="250"/>
      <c r="KND174" s="250"/>
      <c r="KNE174" s="250"/>
      <c r="KNF174" s="250"/>
      <c r="KNG174" s="250"/>
      <c r="KNH174" s="250"/>
      <c r="KNI174" s="250"/>
      <c r="KNJ174" s="250"/>
      <c r="KNK174" s="250"/>
      <c r="KNL174" s="250"/>
      <c r="KNM174" s="250"/>
      <c r="KNN174" s="250"/>
      <c r="KNO174" s="250"/>
      <c r="KNP174" s="250"/>
      <c r="KNQ174" s="250"/>
      <c r="KNR174" s="250"/>
      <c r="KNS174" s="250"/>
      <c r="KNT174" s="250"/>
      <c r="KNU174" s="250"/>
      <c r="KNV174" s="250"/>
      <c r="KNW174" s="250"/>
      <c r="KNX174" s="250"/>
      <c r="KNY174" s="250"/>
      <c r="KNZ174" s="250"/>
      <c r="KOA174" s="250"/>
      <c r="KOB174" s="250"/>
      <c r="KOC174" s="250"/>
      <c r="KOD174" s="250"/>
      <c r="KOE174" s="250"/>
      <c r="KOF174" s="250"/>
      <c r="KOG174" s="250"/>
      <c r="KOH174" s="250"/>
      <c r="KOI174" s="250"/>
      <c r="KOJ174" s="250"/>
      <c r="KOK174" s="250"/>
      <c r="KOL174" s="250"/>
      <c r="KOM174" s="250"/>
      <c r="KON174" s="250"/>
      <c r="KOO174" s="250"/>
      <c r="KOP174" s="250"/>
      <c r="KOQ174" s="250"/>
      <c r="KOR174" s="250"/>
      <c r="KOS174" s="250"/>
      <c r="KOT174" s="250"/>
      <c r="KOU174" s="250"/>
      <c r="KOV174" s="250"/>
      <c r="KOW174" s="250"/>
      <c r="KOX174" s="250"/>
      <c r="KOY174" s="250"/>
      <c r="KOZ174" s="250"/>
      <c r="KPA174" s="250"/>
      <c r="KPB174" s="250"/>
      <c r="KPC174" s="250"/>
      <c r="KPD174" s="250"/>
      <c r="KPE174" s="250"/>
      <c r="KPF174" s="250"/>
      <c r="KPG174" s="250"/>
      <c r="KPH174" s="250"/>
      <c r="KPI174" s="250"/>
      <c r="KPJ174" s="250"/>
      <c r="KPK174" s="250"/>
      <c r="KPL174" s="250"/>
      <c r="KPM174" s="250"/>
      <c r="KPN174" s="250"/>
      <c r="KPO174" s="250"/>
      <c r="KPP174" s="250"/>
      <c r="KPQ174" s="250"/>
      <c r="KPR174" s="250"/>
      <c r="KPS174" s="250"/>
      <c r="KPT174" s="250"/>
      <c r="KPU174" s="250"/>
      <c r="KPV174" s="250"/>
      <c r="KPW174" s="250"/>
      <c r="KPX174" s="250"/>
      <c r="KPY174" s="250"/>
      <c r="KPZ174" s="250"/>
      <c r="KQA174" s="250"/>
      <c r="KQB174" s="250"/>
      <c r="KQC174" s="250"/>
      <c r="KQD174" s="250"/>
      <c r="KQE174" s="250"/>
      <c r="KQF174" s="250"/>
      <c r="KQG174" s="250"/>
      <c r="KQH174" s="250"/>
      <c r="KQI174" s="250"/>
      <c r="KQJ174" s="250"/>
      <c r="KQK174" s="250"/>
      <c r="KQL174" s="250"/>
      <c r="KQM174" s="250"/>
      <c r="KQN174" s="250"/>
      <c r="KQO174" s="250"/>
      <c r="KQP174" s="250"/>
      <c r="KQQ174" s="250"/>
      <c r="KQR174" s="250"/>
      <c r="KQS174" s="250"/>
      <c r="KQT174" s="250"/>
      <c r="KQU174" s="250"/>
      <c r="KQV174" s="250"/>
      <c r="KQW174" s="250"/>
      <c r="KQX174" s="250"/>
      <c r="KQY174" s="250"/>
      <c r="KQZ174" s="250"/>
      <c r="KRA174" s="250"/>
      <c r="KRB174" s="250"/>
      <c r="KRC174" s="250"/>
      <c r="KRD174" s="250"/>
      <c r="KRE174" s="250"/>
      <c r="KRF174" s="250"/>
      <c r="KRG174" s="250"/>
      <c r="KRH174" s="250"/>
      <c r="KRI174" s="250"/>
      <c r="KRJ174" s="250"/>
      <c r="KRK174" s="250"/>
      <c r="KRL174" s="250"/>
      <c r="KRM174" s="250"/>
      <c r="KRN174" s="250"/>
      <c r="KRO174" s="250"/>
      <c r="KRP174" s="250"/>
      <c r="KRQ174" s="250"/>
      <c r="KRR174" s="250"/>
      <c r="KRS174" s="250"/>
      <c r="KRT174" s="250"/>
      <c r="KRU174" s="250"/>
      <c r="KRV174" s="250"/>
      <c r="KRW174" s="250"/>
      <c r="KRX174" s="250"/>
      <c r="KRY174" s="250"/>
      <c r="KRZ174" s="250"/>
      <c r="KSA174" s="250"/>
      <c r="KSB174" s="250"/>
      <c r="KSC174" s="250"/>
      <c r="KSD174" s="250"/>
      <c r="KSE174" s="250"/>
      <c r="KSF174" s="250"/>
      <c r="KSG174" s="250"/>
      <c r="KSH174" s="250"/>
      <c r="KSI174" s="250"/>
      <c r="KSJ174" s="250"/>
      <c r="KSK174" s="250"/>
      <c r="KSL174" s="250"/>
      <c r="KSM174" s="250"/>
      <c r="KSN174" s="250"/>
      <c r="KSO174" s="250"/>
      <c r="KSP174" s="250"/>
      <c r="KSQ174" s="250"/>
      <c r="KSR174" s="250"/>
      <c r="KSS174" s="250"/>
      <c r="KST174" s="250"/>
      <c r="KSU174" s="250"/>
      <c r="KSV174" s="250"/>
      <c r="KSW174" s="250"/>
      <c r="KSX174" s="250"/>
      <c r="KSY174" s="250"/>
      <c r="KSZ174" s="250"/>
      <c r="KTA174" s="250"/>
      <c r="KTB174" s="250"/>
      <c r="KTC174" s="250"/>
      <c r="KTD174" s="250"/>
      <c r="KTE174" s="250"/>
      <c r="KTF174" s="250"/>
      <c r="KTG174" s="250"/>
      <c r="KTH174" s="250"/>
      <c r="KTI174" s="250"/>
      <c r="KTJ174" s="250"/>
      <c r="KTK174" s="250"/>
      <c r="KTL174" s="250"/>
      <c r="KTM174" s="250"/>
      <c r="KTN174" s="250"/>
      <c r="KTO174" s="250"/>
      <c r="KTP174" s="250"/>
      <c r="KTQ174" s="250"/>
      <c r="KTR174" s="250"/>
      <c r="KTS174" s="250"/>
      <c r="KTT174" s="250"/>
      <c r="KTU174" s="250"/>
      <c r="KTV174" s="250"/>
      <c r="KTW174" s="250"/>
      <c r="KTX174" s="250"/>
      <c r="KTY174" s="250"/>
      <c r="KTZ174" s="250"/>
      <c r="KUA174" s="250"/>
      <c r="KUB174" s="250"/>
      <c r="KUC174" s="250"/>
      <c r="KUD174" s="250"/>
      <c r="KUE174" s="250"/>
      <c r="KUF174" s="250"/>
      <c r="KUG174" s="250"/>
      <c r="KUH174" s="250"/>
      <c r="KUI174" s="250"/>
      <c r="KUJ174" s="250"/>
      <c r="KUK174" s="250"/>
      <c r="KUL174" s="250"/>
      <c r="KUM174" s="250"/>
      <c r="KUN174" s="250"/>
      <c r="KUO174" s="250"/>
      <c r="KUP174" s="250"/>
      <c r="KUQ174" s="250"/>
      <c r="KUR174" s="250"/>
      <c r="KUS174" s="250"/>
      <c r="KUT174" s="250"/>
      <c r="KUU174" s="250"/>
      <c r="KUV174" s="250"/>
      <c r="KUW174" s="250"/>
      <c r="KUX174" s="250"/>
      <c r="KUY174" s="250"/>
      <c r="KUZ174" s="250"/>
      <c r="KVA174" s="250"/>
      <c r="KVB174" s="250"/>
      <c r="KVC174" s="250"/>
      <c r="KVD174" s="250"/>
      <c r="KVE174" s="250"/>
      <c r="KVF174" s="250"/>
      <c r="KVG174" s="250"/>
      <c r="KVH174" s="250"/>
      <c r="KVI174" s="250"/>
      <c r="KVJ174" s="250"/>
      <c r="KVK174" s="250"/>
      <c r="KVL174" s="250"/>
      <c r="KVM174" s="250"/>
      <c r="KVN174" s="250"/>
      <c r="KVO174" s="250"/>
      <c r="KVP174" s="250"/>
      <c r="KVQ174" s="250"/>
      <c r="KVR174" s="250"/>
      <c r="KVS174" s="250"/>
      <c r="KVT174" s="250"/>
      <c r="KVU174" s="250"/>
      <c r="KVV174" s="250"/>
      <c r="KVW174" s="250"/>
      <c r="KVX174" s="250"/>
      <c r="KVY174" s="250"/>
      <c r="KVZ174" s="250"/>
      <c r="KWA174" s="250"/>
      <c r="KWB174" s="250"/>
      <c r="KWC174" s="250"/>
      <c r="KWD174" s="250"/>
      <c r="KWE174" s="250"/>
      <c r="KWF174" s="250"/>
      <c r="KWG174" s="250"/>
      <c r="KWH174" s="250"/>
      <c r="KWI174" s="250"/>
      <c r="KWJ174" s="250"/>
      <c r="KWK174" s="250"/>
      <c r="KWL174" s="250"/>
      <c r="KWM174" s="250"/>
      <c r="KWN174" s="250"/>
      <c r="KWO174" s="250"/>
      <c r="KWP174" s="250"/>
      <c r="KWQ174" s="250"/>
      <c r="KWR174" s="250"/>
      <c r="KWS174" s="250"/>
      <c r="KWT174" s="250"/>
      <c r="KWU174" s="250"/>
      <c r="KWV174" s="250"/>
      <c r="KWW174" s="250"/>
      <c r="KWX174" s="250"/>
      <c r="KWY174" s="250"/>
      <c r="KWZ174" s="250"/>
      <c r="KXA174" s="250"/>
      <c r="KXB174" s="250"/>
      <c r="KXC174" s="250"/>
      <c r="KXD174" s="250"/>
      <c r="KXE174" s="250"/>
      <c r="KXF174" s="250"/>
      <c r="KXG174" s="250"/>
      <c r="KXH174" s="250"/>
      <c r="KXI174" s="250"/>
      <c r="KXJ174" s="250"/>
      <c r="KXK174" s="250"/>
      <c r="KXL174" s="250"/>
      <c r="KXM174" s="250"/>
      <c r="KXN174" s="250"/>
      <c r="KXO174" s="250"/>
      <c r="KXP174" s="250"/>
      <c r="KXQ174" s="250"/>
      <c r="KXR174" s="250"/>
      <c r="KXS174" s="250"/>
      <c r="KXT174" s="250"/>
      <c r="KXU174" s="250"/>
      <c r="KXV174" s="250"/>
      <c r="KXW174" s="250"/>
      <c r="KXX174" s="250"/>
      <c r="KXY174" s="250"/>
      <c r="KXZ174" s="250"/>
      <c r="KYA174" s="250"/>
      <c r="KYB174" s="250"/>
      <c r="KYC174" s="250"/>
      <c r="KYD174" s="250"/>
      <c r="KYE174" s="250"/>
      <c r="KYF174" s="250"/>
      <c r="KYG174" s="250"/>
      <c r="KYH174" s="250"/>
      <c r="KYI174" s="250"/>
      <c r="KYJ174" s="250"/>
      <c r="KYK174" s="250"/>
      <c r="KYL174" s="250"/>
      <c r="KYM174" s="250"/>
      <c r="KYN174" s="250"/>
      <c r="KYO174" s="250"/>
      <c r="KYP174" s="250"/>
      <c r="KYQ174" s="250"/>
      <c r="KYR174" s="250"/>
      <c r="KYS174" s="250"/>
      <c r="KYT174" s="250"/>
      <c r="KYU174" s="250"/>
      <c r="KYV174" s="250"/>
      <c r="KYW174" s="250"/>
      <c r="KYX174" s="250"/>
      <c r="KYY174" s="250"/>
      <c r="KYZ174" s="250"/>
      <c r="KZA174" s="250"/>
      <c r="KZB174" s="250"/>
      <c r="KZC174" s="250"/>
      <c r="KZD174" s="250"/>
      <c r="KZE174" s="250"/>
      <c r="KZF174" s="250"/>
      <c r="KZG174" s="250"/>
      <c r="KZH174" s="250"/>
      <c r="KZI174" s="250"/>
      <c r="KZJ174" s="250"/>
      <c r="KZK174" s="250"/>
      <c r="KZL174" s="250"/>
      <c r="KZM174" s="250"/>
      <c r="KZN174" s="250"/>
      <c r="KZO174" s="250"/>
      <c r="KZP174" s="250"/>
      <c r="KZQ174" s="250"/>
      <c r="KZR174" s="250"/>
      <c r="KZS174" s="250"/>
      <c r="KZT174" s="250"/>
      <c r="KZU174" s="250"/>
      <c r="KZV174" s="250"/>
      <c r="KZW174" s="250"/>
      <c r="KZX174" s="250"/>
      <c r="KZY174" s="250"/>
      <c r="KZZ174" s="250"/>
      <c r="LAA174" s="250"/>
      <c r="LAB174" s="250"/>
      <c r="LAC174" s="250"/>
      <c r="LAD174" s="250"/>
      <c r="LAE174" s="250"/>
      <c r="LAF174" s="250"/>
      <c r="LAG174" s="250"/>
      <c r="LAH174" s="250"/>
      <c r="LAI174" s="250"/>
      <c r="LAJ174" s="250"/>
      <c r="LAK174" s="250"/>
      <c r="LAL174" s="250"/>
      <c r="LAM174" s="250"/>
      <c r="LAN174" s="250"/>
      <c r="LAO174" s="250"/>
      <c r="LAP174" s="250"/>
      <c r="LAQ174" s="250"/>
      <c r="LAR174" s="250"/>
      <c r="LAS174" s="250"/>
      <c r="LAT174" s="250"/>
      <c r="LAU174" s="250"/>
      <c r="LAV174" s="250"/>
      <c r="LAW174" s="250"/>
      <c r="LAX174" s="250"/>
      <c r="LAY174" s="250"/>
      <c r="LAZ174" s="250"/>
      <c r="LBA174" s="250"/>
      <c r="LBB174" s="250"/>
      <c r="LBC174" s="250"/>
      <c r="LBD174" s="250"/>
      <c r="LBE174" s="250"/>
      <c r="LBF174" s="250"/>
      <c r="LBG174" s="250"/>
      <c r="LBH174" s="250"/>
      <c r="LBI174" s="250"/>
      <c r="LBJ174" s="250"/>
      <c r="LBK174" s="250"/>
      <c r="LBL174" s="250"/>
      <c r="LBM174" s="250"/>
      <c r="LBN174" s="250"/>
      <c r="LBO174" s="250"/>
      <c r="LBP174" s="250"/>
      <c r="LBQ174" s="250"/>
      <c r="LBR174" s="250"/>
      <c r="LBS174" s="250"/>
      <c r="LBT174" s="250"/>
      <c r="LBU174" s="250"/>
      <c r="LBV174" s="250"/>
      <c r="LBW174" s="250"/>
      <c r="LBX174" s="250"/>
      <c r="LBY174" s="250"/>
      <c r="LBZ174" s="250"/>
      <c r="LCA174" s="250"/>
      <c r="LCB174" s="250"/>
      <c r="LCC174" s="250"/>
      <c r="LCD174" s="250"/>
      <c r="LCE174" s="250"/>
      <c r="LCF174" s="250"/>
      <c r="LCG174" s="250"/>
      <c r="LCH174" s="250"/>
      <c r="LCI174" s="250"/>
      <c r="LCJ174" s="250"/>
      <c r="LCK174" s="250"/>
      <c r="LCL174" s="250"/>
      <c r="LCM174" s="250"/>
      <c r="LCN174" s="250"/>
      <c r="LCO174" s="250"/>
      <c r="LCP174" s="250"/>
      <c r="LCQ174" s="250"/>
      <c r="LCR174" s="250"/>
      <c r="LCS174" s="250"/>
      <c r="LCT174" s="250"/>
      <c r="LCU174" s="250"/>
      <c r="LCV174" s="250"/>
      <c r="LCW174" s="250"/>
      <c r="LCX174" s="250"/>
      <c r="LCY174" s="250"/>
      <c r="LCZ174" s="250"/>
      <c r="LDA174" s="250"/>
      <c r="LDB174" s="250"/>
      <c r="LDC174" s="250"/>
      <c r="LDD174" s="250"/>
      <c r="LDE174" s="250"/>
      <c r="LDF174" s="250"/>
      <c r="LDG174" s="250"/>
      <c r="LDH174" s="250"/>
      <c r="LDI174" s="250"/>
      <c r="LDJ174" s="250"/>
      <c r="LDK174" s="250"/>
      <c r="LDL174" s="250"/>
      <c r="LDM174" s="250"/>
      <c r="LDN174" s="250"/>
      <c r="LDO174" s="250"/>
      <c r="LDP174" s="250"/>
      <c r="LDQ174" s="250"/>
      <c r="LDR174" s="250"/>
      <c r="LDS174" s="250"/>
      <c r="LDT174" s="250"/>
      <c r="LDU174" s="250"/>
      <c r="LDV174" s="250"/>
      <c r="LDW174" s="250"/>
      <c r="LDX174" s="250"/>
      <c r="LDY174" s="250"/>
      <c r="LDZ174" s="250"/>
      <c r="LEA174" s="250"/>
      <c r="LEB174" s="250"/>
      <c r="LEC174" s="250"/>
      <c r="LED174" s="250"/>
      <c r="LEE174" s="250"/>
      <c r="LEF174" s="250"/>
      <c r="LEG174" s="250"/>
      <c r="LEH174" s="250"/>
      <c r="LEI174" s="250"/>
      <c r="LEJ174" s="250"/>
      <c r="LEK174" s="250"/>
      <c r="LEL174" s="250"/>
      <c r="LEM174" s="250"/>
      <c r="LEN174" s="250"/>
      <c r="LEO174" s="250"/>
      <c r="LEP174" s="250"/>
      <c r="LEQ174" s="250"/>
      <c r="LER174" s="250"/>
      <c r="LES174" s="250"/>
      <c r="LET174" s="250"/>
      <c r="LEU174" s="250"/>
      <c r="LEV174" s="250"/>
      <c r="LEW174" s="250"/>
      <c r="LEX174" s="250"/>
      <c r="LEY174" s="250"/>
      <c r="LEZ174" s="250"/>
      <c r="LFA174" s="250"/>
      <c r="LFB174" s="250"/>
      <c r="LFC174" s="250"/>
      <c r="LFD174" s="250"/>
      <c r="LFE174" s="250"/>
      <c r="LFF174" s="250"/>
      <c r="LFG174" s="250"/>
      <c r="LFH174" s="250"/>
      <c r="LFI174" s="250"/>
      <c r="LFJ174" s="250"/>
      <c r="LFK174" s="250"/>
      <c r="LFL174" s="250"/>
      <c r="LFM174" s="250"/>
      <c r="LFN174" s="250"/>
      <c r="LFO174" s="250"/>
      <c r="LFP174" s="250"/>
      <c r="LFQ174" s="250"/>
      <c r="LFR174" s="250"/>
      <c r="LFS174" s="250"/>
      <c r="LFT174" s="250"/>
      <c r="LFU174" s="250"/>
      <c r="LFV174" s="250"/>
      <c r="LFW174" s="250"/>
      <c r="LFX174" s="250"/>
      <c r="LFY174" s="250"/>
      <c r="LFZ174" s="250"/>
      <c r="LGA174" s="250"/>
      <c r="LGB174" s="250"/>
      <c r="LGC174" s="250"/>
      <c r="LGD174" s="250"/>
      <c r="LGE174" s="250"/>
      <c r="LGF174" s="250"/>
      <c r="LGG174" s="250"/>
      <c r="LGH174" s="250"/>
      <c r="LGI174" s="250"/>
      <c r="LGJ174" s="250"/>
      <c r="LGK174" s="250"/>
      <c r="LGL174" s="250"/>
      <c r="LGM174" s="250"/>
      <c r="LGN174" s="250"/>
      <c r="LGO174" s="250"/>
      <c r="LGP174" s="250"/>
      <c r="LGQ174" s="250"/>
      <c r="LGR174" s="250"/>
      <c r="LGS174" s="250"/>
      <c r="LGT174" s="250"/>
      <c r="LGU174" s="250"/>
      <c r="LGV174" s="250"/>
      <c r="LGW174" s="250"/>
      <c r="LGX174" s="250"/>
      <c r="LGY174" s="250"/>
      <c r="LGZ174" s="250"/>
      <c r="LHA174" s="250"/>
      <c r="LHB174" s="250"/>
      <c r="LHC174" s="250"/>
      <c r="LHD174" s="250"/>
      <c r="LHE174" s="250"/>
      <c r="LHF174" s="250"/>
      <c r="LHG174" s="250"/>
      <c r="LHH174" s="250"/>
      <c r="LHI174" s="250"/>
      <c r="LHJ174" s="250"/>
      <c r="LHK174" s="250"/>
      <c r="LHL174" s="250"/>
      <c r="LHM174" s="250"/>
      <c r="LHN174" s="250"/>
      <c r="LHO174" s="250"/>
      <c r="LHP174" s="250"/>
      <c r="LHQ174" s="250"/>
      <c r="LHR174" s="250"/>
      <c r="LHS174" s="250"/>
      <c r="LHT174" s="250"/>
      <c r="LHU174" s="250"/>
      <c r="LHV174" s="250"/>
      <c r="LHW174" s="250"/>
      <c r="LHX174" s="250"/>
      <c r="LHY174" s="250"/>
      <c r="LHZ174" s="250"/>
      <c r="LIA174" s="250"/>
      <c r="LIB174" s="250"/>
      <c r="LIC174" s="250"/>
      <c r="LID174" s="250"/>
      <c r="LIE174" s="250"/>
      <c r="LIF174" s="250"/>
      <c r="LIG174" s="250"/>
      <c r="LIH174" s="250"/>
      <c r="LII174" s="250"/>
      <c r="LIJ174" s="250"/>
      <c r="LIK174" s="250"/>
      <c r="LIL174" s="250"/>
      <c r="LIM174" s="250"/>
      <c r="LIN174" s="250"/>
      <c r="LIO174" s="250"/>
      <c r="LIP174" s="250"/>
      <c r="LIQ174" s="250"/>
      <c r="LIR174" s="250"/>
      <c r="LIS174" s="250"/>
      <c r="LIT174" s="250"/>
      <c r="LIU174" s="250"/>
      <c r="LIV174" s="250"/>
      <c r="LIW174" s="250"/>
      <c r="LIX174" s="250"/>
      <c r="LIY174" s="250"/>
      <c r="LIZ174" s="250"/>
      <c r="LJA174" s="250"/>
      <c r="LJB174" s="250"/>
      <c r="LJC174" s="250"/>
      <c r="LJD174" s="250"/>
      <c r="LJE174" s="250"/>
      <c r="LJF174" s="250"/>
      <c r="LJG174" s="250"/>
      <c r="LJH174" s="250"/>
      <c r="LJI174" s="250"/>
      <c r="LJJ174" s="250"/>
      <c r="LJK174" s="250"/>
      <c r="LJL174" s="250"/>
      <c r="LJM174" s="250"/>
      <c r="LJN174" s="250"/>
      <c r="LJO174" s="250"/>
      <c r="LJP174" s="250"/>
      <c r="LJQ174" s="250"/>
      <c r="LJR174" s="250"/>
      <c r="LJS174" s="250"/>
      <c r="LJT174" s="250"/>
      <c r="LJU174" s="250"/>
      <c r="LJV174" s="250"/>
      <c r="LJW174" s="250"/>
      <c r="LJX174" s="250"/>
      <c r="LJY174" s="250"/>
      <c r="LJZ174" s="250"/>
      <c r="LKA174" s="250"/>
      <c r="LKB174" s="250"/>
      <c r="LKC174" s="250"/>
      <c r="LKD174" s="250"/>
      <c r="LKE174" s="250"/>
      <c r="LKF174" s="250"/>
      <c r="LKG174" s="250"/>
      <c r="LKH174" s="250"/>
      <c r="LKI174" s="250"/>
      <c r="LKJ174" s="250"/>
      <c r="LKK174" s="250"/>
      <c r="LKL174" s="250"/>
      <c r="LKM174" s="250"/>
      <c r="LKN174" s="250"/>
      <c r="LKO174" s="250"/>
      <c r="LKP174" s="250"/>
      <c r="LKQ174" s="250"/>
      <c r="LKR174" s="250"/>
      <c r="LKS174" s="250"/>
      <c r="LKT174" s="250"/>
      <c r="LKU174" s="250"/>
      <c r="LKV174" s="250"/>
      <c r="LKW174" s="250"/>
      <c r="LKX174" s="250"/>
      <c r="LKY174" s="250"/>
      <c r="LKZ174" s="250"/>
      <c r="LLA174" s="250"/>
      <c r="LLB174" s="250"/>
      <c r="LLC174" s="250"/>
      <c r="LLD174" s="250"/>
      <c r="LLE174" s="250"/>
      <c r="LLF174" s="250"/>
      <c r="LLG174" s="250"/>
      <c r="LLH174" s="250"/>
      <c r="LLI174" s="250"/>
      <c r="LLJ174" s="250"/>
      <c r="LLK174" s="250"/>
      <c r="LLL174" s="250"/>
      <c r="LLM174" s="250"/>
      <c r="LLN174" s="250"/>
      <c r="LLO174" s="250"/>
      <c r="LLP174" s="250"/>
      <c r="LLQ174" s="250"/>
      <c r="LLR174" s="250"/>
      <c r="LLS174" s="250"/>
      <c r="LLT174" s="250"/>
      <c r="LLU174" s="250"/>
      <c r="LLV174" s="250"/>
      <c r="LLW174" s="250"/>
      <c r="LLX174" s="250"/>
      <c r="LLY174" s="250"/>
      <c r="LLZ174" s="250"/>
      <c r="LMA174" s="250"/>
      <c r="LMB174" s="250"/>
      <c r="LMC174" s="250"/>
      <c r="LMD174" s="250"/>
      <c r="LME174" s="250"/>
      <c r="LMF174" s="250"/>
      <c r="LMG174" s="250"/>
      <c r="LMH174" s="250"/>
      <c r="LMI174" s="250"/>
      <c r="LMJ174" s="250"/>
      <c r="LMK174" s="250"/>
      <c r="LML174" s="250"/>
      <c r="LMM174" s="250"/>
      <c r="LMN174" s="250"/>
      <c r="LMO174" s="250"/>
      <c r="LMP174" s="250"/>
      <c r="LMQ174" s="250"/>
      <c r="LMR174" s="250"/>
      <c r="LMS174" s="250"/>
      <c r="LMT174" s="250"/>
      <c r="LMU174" s="250"/>
      <c r="LMV174" s="250"/>
      <c r="LMW174" s="250"/>
      <c r="LMX174" s="250"/>
      <c r="LMY174" s="250"/>
      <c r="LMZ174" s="250"/>
      <c r="LNA174" s="250"/>
      <c r="LNB174" s="250"/>
      <c r="LNC174" s="250"/>
      <c r="LND174" s="250"/>
      <c r="LNE174" s="250"/>
      <c r="LNF174" s="250"/>
      <c r="LNG174" s="250"/>
      <c r="LNH174" s="250"/>
      <c r="LNI174" s="250"/>
      <c r="LNJ174" s="250"/>
      <c r="LNK174" s="250"/>
      <c r="LNL174" s="250"/>
      <c r="LNM174" s="250"/>
      <c r="LNN174" s="250"/>
      <c r="LNO174" s="250"/>
      <c r="LNP174" s="250"/>
      <c r="LNQ174" s="250"/>
      <c r="LNR174" s="250"/>
      <c r="LNS174" s="250"/>
      <c r="LNT174" s="250"/>
      <c r="LNU174" s="250"/>
      <c r="LNV174" s="250"/>
      <c r="LNW174" s="250"/>
      <c r="LNX174" s="250"/>
      <c r="LNY174" s="250"/>
      <c r="LNZ174" s="250"/>
      <c r="LOA174" s="250"/>
      <c r="LOB174" s="250"/>
      <c r="LOC174" s="250"/>
      <c r="LOD174" s="250"/>
      <c r="LOE174" s="250"/>
      <c r="LOF174" s="250"/>
      <c r="LOG174" s="250"/>
      <c r="LOH174" s="250"/>
      <c r="LOI174" s="250"/>
      <c r="LOJ174" s="250"/>
      <c r="LOK174" s="250"/>
      <c r="LOL174" s="250"/>
      <c r="LOM174" s="250"/>
      <c r="LON174" s="250"/>
      <c r="LOO174" s="250"/>
      <c r="LOP174" s="250"/>
      <c r="LOQ174" s="250"/>
      <c r="LOR174" s="250"/>
      <c r="LOS174" s="250"/>
      <c r="LOT174" s="250"/>
      <c r="LOU174" s="250"/>
      <c r="LOV174" s="250"/>
      <c r="LOW174" s="250"/>
      <c r="LOX174" s="250"/>
      <c r="LOY174" s="250"/>
      <c r="LOZ174" s="250"/>
      <c r="LPA174" s="250"/>
      <c r="LPB174" s="250"/>
      <c r="LPC174" s="250"/>
      <c r="LPD174" s="250"/>
      <c r="LPE174" s="250"/>
      <c r="LPF174" s="250"/>
      <c r="LPG174" s="250"/>
      <c r="LPH174" s="250"/>
      <c r="LPI174" s="250"/>
      <c r="LPJ174" s="250"/>
      <c r="LPK174" s="250"/>
      <c r="LPL174" s="250"/>
      <c r="LPM174" s="250"/>
      <c r="LPN174" s="250"/>
      <c r="LPO174" s="250"/>
      <c r="LPP174" s="250"/>
      <c r="LPQ174" s="250"/>
      <c r="LPR174" s="250"/>
      <c r="LPS174" s="250"/>
      <c r="LPT174" s="250"/>
      <c r="LPU174" s="250"/>
      <c r="LPV174" s="250"/>
      <c r="LPW174" s="250"/>
      <c r="LPX174" s="250"/>
      <c r="LPY174" s="250"/>
      <c r="LPZ174" s="250"/>
      <c r="LQA174" s="250"/>
      <c r="LQB174" s="250"/>
      <c r="LQC174" s="250"/>
      <c r="LQD174" s="250"/>
      <c r="LQE174" s="250"/>
      <c r="LQF174" s="250"/>
      <c r="LQG174" s="250"/>
      <c r="LQH174" s="250"/>
      <c r="LQI174" s="250"/>
      <c r="LQJ174" s="250"/>
      <c r="LQK174" s="250"/>
      <c r="LQL174" s="250"/>
      <c r="LQM174" s="250"/>
      <c r="LQN174" s="250"/>
      <c r="LQO174" s="250"/>
      <c r="LQP174" s="250"/>
      <c r="LQQ174" s="250"/>
      <c r="LQR174" s="250"/>
      <c r="LQS174" s="250"/>
      <c r="LQT174" s="250"/>
      <c r="LQU174" s="250"/>
      <c r="LQV174" s="250"/>
      <c r="LQW174" s="250"/>
      <c r="LQX174" s="250"/>
      <c r="LQY174" s="250"/>
      <c r="LQZ174" s="250"/>
      <c r="LRA174" s="250"/>
      <c r="LRB174" s="250"/>
      <c r="LRC174" s="250"/>
      <c r="LRD174" s="250"/>
      <c r="LRE174" s="250"/>
      <c r="LRF174" s="250"/>
      <c r="LRG174" s="250"/>
      <c r="LRH174" s="250"/>
      <c r="LRI174" s="250"/>
      <c r="LRJ174" s="250"/>
      <c r="LRK174" s="250"/>
      <c r="LRL174" s="250"/>
      <c r="LRM174" s="250"/>
      <c r="LRN174" s="250"/>
      <c r="LRO174" s="250"/>
      <c r="LRP174" s="250"/>
      <c r="LRQ174" s="250"/>
      <c r="LRR174" s="250"/>
      <c r="LRS174" s="250"/>
      <c r="LRT174" s="250"/>
      <c r="LRU174" s="250"/>
      <c r="LRV174" s="250"/>
      <c r="LRW174" s="250"/>
      <c r="LRX174" s="250"/>
      <c r="LRY174" s="250"/>
      <c r="LRZ174" s="250"/>
      <c r="LSA174" s="250"/>
      <c r="LSB174" s="250"/>
      <c r="LSC174" s="250"/>
      <c r="LSD174" s="250"/>
      <c r="LSE174" s="250"/>
      <c r="LSF174" s="250"/>
      <c r="LSG174" s="250"/>
      <c r="LSH174" s="250"/>
      <c r="LSI174" s="250"/>
      <c r="LSJ174" s="250"/>
      <c r="LSK174" s="250"/>
      <c r="LSL174" s="250"/>
      <c r="LSM174" s="250"/>
      <c r="LSN174" s="250"/>
      <c r="LSO174" s="250"/>
      <c r="LSP174" s="250"/>
      <c r="LSQ174" s="250"/>
      <c r="LSR174" s="250"/>
      <c r="LSS174" s="250"/>
      <c r="LST174" s="250"/>
      <c r="LSU174" s="250"/>
      <c r="LSV174" s="250"/>
      <c r="LSW174" s="250"/>
      <c r="LSX174" s="250"/>
      <c r="LSY174" s="250"/>
      <c r="LSZ174" s="250"/>
      <c r="LTA174" s="250"/>
      <c r="LTB174" s="250"/>
      <c r="LTC174" s="250"/>
      <c r="LTD174" s="250"/>
      <c r="LTE174" s="250"/>
      <c r="LTF174" s="250"/>
      <c r="LTG174" s="250"/>
      <c r="LTH174" s="250"/>
      <c r="LTI174" s="250"/>
      <c r="LTJ174" s="250"/>
      <c r="LTK174" s="250"/>
      <c r="LTL174" s="250"/>
      <c r="LTM174" s="250"/>
      <c r="LTN174" s="250"/>
      <c r="LTO174" s="250"/>
      <c r="LTP174" s="250"/>
      <c r="LTQ174" s="250"/>
      <c r="LTR174" s="250"/>
      <c r="LTS174" s="250"/>
      <c r="LTT174" s="250"/>
      <c r="LTU174" s="250"/>
      <c r="LTV174" s="250"/>
      <c r="LTW174" s="250"/>
      <c r="LTX174" s="250"/>
      <c r="LTY174" s="250"/>
      <c r="LTZ174" s="250"/>
      <c r="LUA174" s="250"/>
      <c r="LUB174" s="250"/>
      <c r="LUC174" s="250"/>
      <c r="LUD174" s="250"/>
      <c r="LUE174" s="250"/>
      <c r="LUF174" s="250"/>
      <c r="LUG174" s="250"/>
      <c r="LUH174" s="250"/>
      <c r="LUI174" s="250"/>
      <c r="LUJ174" s="250"/>
      <c r="LUK174" s="250"/>
      <c r="LUL174" s="250"/>
      <c r="LUM174" s="250"/>
      <c r="LUN174" s="250"/>
      <c r="LUO174" s="250"/>
      <c r="LUP174" s="250"/>
      <c r="LUQ174" s="250"/>
      <c r="LUR174" s="250"/>
      <c r="LUS174" s="250"/>
      <c r="LUT174" s="250"/>
      <c r="LUU174" s="250"/>
      <c r="LUV174" s="250"/>
      <c r="LUW174" s="250"/>
      <c r="LUX174" s="250"/>
      <c r="LUY174" s="250"/>
      <c r="LUZ174" s="250"/>
      <c r="LVA174" s="250"/>
      <c r="LVB174" s="250"/>
      <c r="LVC174" s="250"/>
      <c r="LVD174" s="250"/>
      <c r="LVE174" s="250"/>
      <c r="LVF174" s="250"/>
      <c r="LVG174" s="250"/>
      <c r="LVH174" s="250"/>
      <c r="LVI174" s="250"/>
      <c r="LVJ174" s="250"/>
      <c r="LVK174" s="250"/>
      <c r="LVL174" s="250"/>
      <c r="LVM174" s="250"/>
      <c r="LVN174" s="250"/>
      <c r="LVO174" s="250"/>
      <c r="LVP174" s="250"/>
      <c r="LVQ174" s="250"/>
      <c r="LVR174" s="250"/>
      <c r="LVS174" s="250"/>
      <c r="LVT174" s="250"/>
      <c r="LVU174" s="250"/>
      <c r="LVV174" s="250"/>
      <c r="LVW174" s="250"/>
      <c r="LVX174" s="250"/>
      <c r="LVY174" s="250"/>
      <c r="LVZ174" s="250"/>
      <c r="LWA174" s="250"/>
      <c r="LWB174" s="250"/>
      <c r="LWC174" s="250"/>
      <c r="LWD174" s="250"/>
      <c r="LWE174" s="250"/>
      <c r="LWF174" s="250"/>
      <c r="LWG174" s="250"/>
      <c r="LWH174" s="250"/>
      <c r="LWI174" s="250"/>
      <c r="LWJ174" s="250"/>
      <c r="LWK174" s="250"/>
      <c r="LWL174" s="250"/>
      <c r="LWM174" s="250"/>
      <c r="LWN174" s="250"/>
      <c r="LWO174" s="250"/>
      <c r="LWP174" s="250"/>
      <c r="LWQ174" s="250"/>
      <c r="LWR174" s="250"/>
      <c r="LWS174" s="250"/>
      <c r="LWT174" s="250"/>
      <c r="LWU174" s="250"/>
      <c r="LWV174" s="250"/>
      <c r="LWW174" s="250"/>
      <c r="LWX174" s="250"/>
      <c r="LWY174" s="250"/>
      <c r="LWZ174" s="250"/>
      <c r="LXA174" s="250"/>
      <c r="LXB174" s="250"/>
      <c r="LXC174" s="250"/>
      <c r="LXD174" s="250"/>
      <c r="LXE174" s="250"/>
      <c r="LXF174" s="250"/>
      <c r="LXG174" s="250"/>
      <c r="LXH174" s="250"/>
      <c r="LXI174" s="250"/>
      <c r="LXJ174" s="250"/>
      <c r="LXK174" s="250"/>
      <c r="LXL174" s="250"/>
      <c r="LXM174" s="250"/>
      <c r="LXN174" s="250"/>
      <c r="LXO174" s="250"/>
      <c r="LXP174" s="250"/>
      <c r="LXQ174" s="250"/>
      <c r="LXR174" s="250"/>
      <c r="LXS174" s="250"/>
      <c r="LXT174" s="250"/>
      <c r="LXU174" s="250"/>
      <c r="LXV174" s="250"/>
      <c r="LXW174" s="250"/>
      <c r="LXX174" s="250"/>
      <c r="LXY174" s="250"/>
      <c r="LXZ174" s="250"/>
      <c r="LYA174" s="250"/>
      <c r="LYB174" s="250"/>
      <c r="LYC174" s="250"/>
      <c r="LYD174" s="250"/>
      <c r="LYE174" s="250"/>
      <c r="LYF174" s="250"/>
      <c r="LYG174" s="250"/>
      <c r="LYH174" s="250"/>
      <c r="LYI174" s="250"/>
      <c r="LYJ174" s="250"/>
      <c r="LYK174" s="250"/>
      <c r="LYL174" s="250"/>
      <c r="LYM174" s="250"/>
      <c r="LYN174" s="250"/>
      <c r="LYO174" s="250"/>
      <c r="LYP174" s="250"/>
      <c r="LYQ174" s="250"/>
      <c r="LYR174" s="250"/>
      <c r="LYS174" s="250"/>
      <c r="LYT174" s="250"/>
      <c r="LYU174" s="250"/>
      <c r="LYV174" s="250"/>
      <c r="LYW174" s="250"/>
      <c r="LYX174" s="250"/>
      <c r="LYY174" s="250"/>
      <c r="LYZ174" s="250"/>
      <c r="LZA174" s="250"/>
      <c r="LZB174" s="250"/>
      <c r="LZC174" s="250"/>
      <c r="LZD174" s="250"/>
      <c r="LZE174" s="250"/>
      <c r="LZF174" s="250"/>
      <c r="LZG174" s="250"/>
      <c r="LZH174" s="250"/>
      <c r="LZI174" s="250"/>
      <c r="LZJ174" s="250"/>
      <c r="LZK174" s="250"/>
      <c r="LZL174" s="250"/>
      <c r="LZM174" s="250"/>
      <c r="LZN174" s="250"/>
      <c r="LZO174" s="250"/>
      <c r="LZP174" s="250"/>
      <c r="LZQ174" s="250"/>
      <c r="LZR174" s="250"/>
      <c r="LZS174" s="250"/>
      <c r="LZT174" s="250"/>
      <c r="LZU174" s="250"/>
      <c r="LZV174" s="250"/>
      <c r="LZW174" s="250"/>
      <c r="LZX174" s="250"/>
      <c r="LZY174" s="250"/>
      <c r="LZZ174" s="250"/>
      <c r="MAA174" s="250"/>
      <c r="MAB174" s="250"/>
      <c r="MAC174" s="250"/>
      <c r="MAD174" s="250"/>
      <c r="MAE174" s="250"/>
      <c r="MAF174" s="250"/>
      <c r="MAG174" s="250"/>
      <c r="MAH174" s="250"/>
      <c r="MAI174" s="250"/>
      <c r="MAJ174" s="250"/>
      <c r="MAK174" s="250"/>
      <c r="MAL174" s="250"/>
      <c r="MAM174" s="250"/>
      <c r="MAN174" s="250"/>
      <c r="MAO174" s="250"/>
      <c r="MAP174" s="250"/>
      <c r="MAQ174" s="250"/>
      <c r="MAR174" s="250"/>
      <c r="MAS174" s="250"/>
      <c r="MAT174" s="250"/>
      <c r="MAU174" s="250"/>
      <c r="MAV174" s="250"/>
      <c r="MAW174" s="250"/>
      <c r="MAX174" s="250"/>
      <c r="MAY174" s="250"/>
      <c r="MAZ174" s="250"/>
      <c r="MBA174" s="250"/>
      <c r="MBB174" s="250"/>
      <c r="MBC174" s="250"/>
      <c r="MBD174" s="250"/>
      <c r="MBE174" s="250"/>
      <c r="MBF174" s="250"/>
      <c r="MBG174" s="250"/>
      <c r="MBH174" s="250"/>
      <c r="MBI174" s="250"/>
      <c r="MBJ174" s="250"/>
      <c r="MBK174" s="250"/>
      <c r="MBL174" s="250"/>
      <c r="MBM174" s="250"/>
      <c r="MBN174" s="250"/>
      <c r="MBO174" s="250"/>
      <c r="MBP174" s="250"/>
      <c r="MBQ174" s="250"/>
      <c r="MBR174" s="250"/>
      <c r="MBS174" s="250"/>
      <c r="MBT174" s="250"/>
      <c r="MBU174" s="250"/>
      <c r="MBV174" s="250"/>
      <c r="MBW174" s="250"/>
      <c r="MBX174" s="250"/>
      <c r="MBY174" s="250"/>
      <c r="MBZ174" s="250"/>
      <c r="MCA174" s="250"/>
      <c r="MCB174" s="250"/>
      <c r="MCC174" s="250"/>
      <c r="MCD174" s="250"/>
      <c r="MCE174" s="250"/>
      <c r="MCF174" s="250"/>
      <c r="MCG174" s="250"/>
      <c r="MCH174" s="250"/>
      <c r="MCI174" s="250"/>
      <c r="MCJ174" s="250"/>
      <c r="MCK174" s="250"/>
      <c r="MCL174" s="250"/>
      <c r="MCM174" s="250"/>
      <c r="MCN174" s="250"/>
      <c r="MCO174" s="250"/>
      <c r="MCP174" s="250"/>
      <c r="MCQ174" s="250"/>
      <c r="MCR174" s="250"/>
      <c r="MCS174" s="250"/>
      <c r="MCT174" s="250"/>
      <c r="MCU174" s="250"/>
      <c r="MCV174" s="250"/>
      <c r="MCW174" s="250"/>
      <c r="MCX174" s="250"/>
      <c r="MCY174" s="250"/>
      <c r="MCZ174" s="250"/>
      <c r="MDA174" s="250"/>
      <c r="MDB174" s="250"/>
      <c r="MDC174" s="250"/>
      <c r="MDD174" s="250"/>
      <c r="MDE174" s="250"/>
      <c r="MDF174" s="250"/>
      <c r="MDG174" s="250"/>
      <c r="MDH174" s="250"/>
      <c r="MDI174" s="250"/>
      <c r="MDJ174" s="250"/>
      <c r="MDK174" s="250"/>
      <c r="MDL174" s="250"/>
      <c r="MDM174" s="250"/>
      <c r="MDN174" s="250"/>
      <c r="MDO174" s="250"/>
      <c r="MDP174" s="250"/>
      <c r="MDQ174" s="250"/>
      <c r="MDR174" s="250"/>
      <c r="MDS174" s="250"/>
      <c r="MDT174" s="250"/>
      <c r="MDU174" s="250"/>
      <c r="MDV174" s="250"/>
      <c r="MDW174" s="250"/>
      <c r="MDX174" s="250"/>
      <c r="MDY174" s="250"/>
      <c r="MDZ174" s="250"/>
      <c r="MEA174" s="250"/>
      <c r="MEB174" s="250"/>
      <c r="MEC174" s="250"/>
      <c r="MED174" s="250"/>
      <c r="MEE174" s="250"/>
      <c r="MEF174" s="250"/>
      <c r="MEG174" s="250"/>
      <c r="MEH174" s="250"/>
      <c r="MEI174" s="250"/>
      <c r="MEJ174" s="250"/>
      <c r="MEK174" s="250"/>
      <c r="MEL174" s="250"/>
      <c r="MEM174" s="250"/>
      <c r="MEN174" s="250"/>
      <c r="MEO174" s="250"/>
      <c r="MEP174" s="250"/>
      <c r="MEQ174" s="250"/>
      <c r="MER174" s="250"/>
      <c r="MES174" s="250"/>
      <c r="MET174" s="250"/>
      <c r="MEU174" s="250"/>
      <c r="MEV174" s="250"/>
      <c r="MEW174" s="250"/>
      <c r="MEX174" s="250"/>
      <c r="MEY174" s="250"/>
      <c r="MEZ174" s="250"/>
      <c r="MFA174" s="250"/>
      <c r="MFB174" s="250"/>
      <c r="MFC174" s="250"/>
      <c r="MFD174" s="250"/>
      <c r="MFE174" s="250"/>
      <c r="MFF174" s="250"/>
      <c r="MFG174" s="250"/>
      <c r="MFH174" s="250"/>
      <c r="MFI174" s="250"/>
      <c r="MFJ174" s="250"/>
      <c r="MFK174" s="250"/>
      <c r="MFL174" s="250"/>
      <c r="MFM174" s="250"/>
      <c r="MFN174" s="250"/>
      <c r="MFO174" s="250"/>
      <c r="MFP174" s="250"/>
      <c r="MFQ174" s="250"/>
      <c r="MFR174" s="250"/>
      <c r="MFS174" s="250"/>
      <c r="MFT174" s="250"/>
      <c r="MFU174" s="250"/>
      <c r="MFV174" s="250"/>
      <c r="MFW174" s="250"/>
      <c r="MFX174" s="250"/>
      <c r="MFY174" s="250"/>
      <c r="MFZ174" s="250"/>
      <c r="MGA174" s="250"/>
      <c r="MGB174" s="250"/>
      <c r="MGC174" s="250"/>
      <c r="MGD174" s="250"/>
      <c r="MGE174" s="250"/>
      <c r="MGF174" s="250"/>
      <c r="MGG174" s="250"/>
      <c r="MGH174" s="250"/>
      <c r="MGI174" s="250"/>
      <c r="MGJ174" s="250"/>
      <c r="MGK174" s="250"/>
      <c r="MGL174" s="250"/>
      <c r="MGM174" s="250"/>
      <c r="MGN174" s="250"/>
      <c r="MGO174" s="250"/>
      <c r="MGP174" s="250"/>
      <c r="MGQ174" s="250"/>
      <c r="MGR174" s="250"/>
      <c r="MGS174" s="250"/>
      <c r="MGT174" s="250"/>
      <c r="MGU174" s="250"/>
      <c r="MGV174" s="250"/>
      <c r="MGW174" s="250"/>
      <c r="MGX174" s="250"/>
      <c r="MGY174" s="250"/>
      <c r="MGZ174" s="250"/>
      <c r="MHA174" s="250"/>
      <c r="MHB174" s="250"/>
      <c r="MHC174" s="250"/>
      <c r="MHD174" s="250"/>
      <c r="MHE174" s="250"/>
      <c r="MHF174" s="250"/>
      <c r="MHG174" s="250"/>
      <c r="MHH174" s="250"/>
      <c r="MHI174" s="250"/>
      <c r="MHJ174" s="250"/>
      <c r="MHK174" s="250"/>
      <c r="MHL174" s="250"/>
      <c r="MHM174" s="250"/>
      <c r="MHN174" s="250"/>
      <c r="MHO174" s="250"/>
      <c r="MHP174" s="250"/>
      <c r="MHQ174" s="250"/>
      <c r="MHR174" s="250"/>
      <c r="MHS174" s="250"/>
      <c r="MHT174" s="250"/>
      <c r="MHU174" s="250"/>
      <c r="MHV174" s="250"/>
      <c r="MHW174" s="250"/>
      <c r="MHX174" s="250"/>
      <c r="MHY174" s="250"/>
      <c r="MHZ174" s="250"/>
      <c r="MIA174" s="250"/>
      <c r="MIB174" s="250"/>
      <c r="MIC174" s="250"/>
      <c r="MID174" s="250"/>
      <c r="MIE174" s="250"/>
      <c r="MIF174" s="250"/>
      <c r="MIG174" s="250"/>
      <c r="MIH174" s="250"/>
      <c r="MII174" s="250"/>
      <c r="MIJ174" s="250"/>
      <c r="MIK174" s="250"/>
      <c r="MIL174" s="250"/>
      <c r="MIM174" s="250"/>
      <c r="MIN174" s="250"/>
      <c r="MIO174" s="250"/>
      <c r="MIP174" s="250"/>
      <c r="MIQ174" s="250"/>
      <c r="MIR174" s="250"/>
      <c r="MIS174" s="250"/>
      <c r="MIT174" s="250"/>
      <c r="MIU174" s="250"/>
      <c r="MIV174" s="250"/>
      <c r="MIW174" s="250"/>
      <c r="MIX174" s="250"/>
      <c r="MIY174" s="250"/>
      <c r="MIZ174" s="250"/>
      <c r="MJA174" s="250"/>
      <c r="MJB174" s="250"/>
      <c r="MJC174" s="250"/>
      <c r="MJD174" s="250"/>
      <c r="MJE174" s="250"/>
      <c r="MJF174" s="250"/>
      <c r="MJG174" s="250"/>
      <c r="MJH174" s="250"/>
      <c r="MJI174" s="250"/>
      <c r="MJJ174" s="250"/>
      <c r="MJK174" s="250"/>
      <c r="MJL174" s="250"/>
      <c r="MJM174" s="250"/>
      <c r="MJN174" s="250"/>
      <c r="MJO174" s="250"/>
      <c r="MJP174" s="250"/>
      <c r="MJQ174" s="250"/>
      <c r="MJR174" s="250"/>
      <c r="MJS174" s="250"/>
      <c r="MJT174" s="250"/>
      <c r="MJU174" s="250"/>
      <c r="MJV174" s="250"/>
      <c r="MJW174" s="250"/>
      <c r="MJX174" s="250"/>
      <c r="MJY174" s="250"/>
      <c r="MJZ174" s="250"/>
      <c r="MKA174" s="250"/>
      <c r="MKB174" s="250"/>
      <c r="MKC174" s="250"/>
      <c r="MKD174" s="250"/>
      <c r="MKE174" s="250"/>
      <c r="MKF174" s="250"/>
      <c r="MKG174" s="250"/>
      <c r="MKH174" s="250"/>
      <c r="MKI174" s="250"/>
      <c r="MKJ174" s="250"/>
      <c r="MKK174" s="250"/>
      <c r="MKL174" s="250"/>
      <c r="MKM174" s="250"/>
      <c r="MKN174" s="250"/>
      <c r="MKO174" s="250"/>
      <c r="MKP174" s="250"/>
      <c r="MKQ174" s="250"/>
      <c r="MKR174" s="250"/>
      <c r="MKS174" s="250"/>
      <c r="MKT174" s="250"/>
      <c r="MKU174" s="250"/>
      <c r="MKV174" s="250"/>
      <c r="MKW174" s="250"/>
      <c r="MKX174" s="250"/>
      <c r="MKY174" s="250"/>
      <c r="MKZ174" s="250"/>
      <c r="MLA174" s="250"/>
      <c r="MLB174" s="250"/>
      <c r="MLC174" s="250"/>
      <c r="MLD174" s="250"/>
      <c r="MLE174" s="250"/>
      <c r="MLF174" s="250"/>
      <c r="MLG174" s="250"/>
      <c r="MLH174" s="250"/>
      <c r="MLI174" s="250"/>
      <c r="MLJ174" s="250"/>
      <c r="MLK174" s="250"/>
      <c r="MLL174" s="250"/>
      <c r="MLM174" s="250"/>
      <c r="MLN174" s="250"/>
      <c r="MLO174" s="250"/>
      <c r="MLP174" s="250"/>
      <c r="MLQ174" s="250"/>
      <c r="MLR174" s="250"/>
      <c r="MLS174" s="250"/>
      <c r="MLT174" s="250"/>
      <c r="MLU174" s="250"/>
      <c r="MLV174" s="250"/>
      <c r="MLW174" s="250"/>
      <c r="MLX174" s="250"/>
      <c r="MLY174" s="250"/>
      <c r="MLZ174" s="250"/>
      <c r="MMA174" s="250"/>
      <c r="MMB174" s="250"/>
      <c r="MMC174" s="250"/>
      <c r="MMD174" s="250"/>
      <c r="MME174" s="250"/>
      <c r="MMF174" s="250"/>
      <c r="MMG174" s="250"/>
      <c r="MMH174" s="250"/>
      <c r="MMI174" s="250"/>
      <c r="MMJ174" s="250"/>
      <c r="MMK174" s="250"/>
      <c r="MML174" s="250"/>
      <c r="MMM174" s="250"/>
      <c r="MMN174" s="250"/>
      <c r="MMO174" s="250"/>
      <c r="MMP174" s="250"/>
      <c r="MMQ174" s="250"/>
      <c r="MMR174" s="250"/>
      <c r="MMS174" s="250"/>
      <c r="MMT174" s="250"/>
      <c r="MMU174" s="250"/>
      <c r="MMV174" s="250"/>
      <c r="MMW174" s="250"/>
      <c r="MMX174" s="250"/>
      <c r="MMY174" s="250"/>
      <c r="MMZ174" s="250"/>
      <c r="MNA174" s="250"/>
      <c r="MNB174" s="250"/>
      <c r="MNC174" s="250"/>
      <c r="MND174" s="250"/>
      <c r="MNE174" s="250"/>
      <c r="MNF174" s="250"/>
      <c r="MNG174" s="250"/>
      <c r="MNH174" s="250"/>
      <c r="MNI174" s="250"/>
      <c r="MNJ174" s="250"/>
      <c r="MNK174" s="250"/>
      <c r="MNL174" s="250"/>
      <c r="MNM174" s="250"/>
      <c r="MNN174" s="250"/>
      <c r="MNO174" s="250"/>
      <c r="MNP174" s="250"/>
      <c r="MNQ174" s="250"/>
      <c r="MNR174" s="250"/>
      <c r="MNS174" s="250"/>
      <c r="MNT174" s="250"/>
      <c r="MNU174" s="250"/>
      <c r="MNV174" s="250"/>
      <c r="MNW174" s="250"/>
      <c r="MNX174" s="250"/>
      <c r="MNY174" s="250"/>
      <c r="MNZ174" s="250"/>
      <c r="MOA174" s="250"/>
      <c r="MOB174" s="250"/>
      <c r="MOC174" s="250"/>
      <c r="MOD174" s="250"/>
      <c r="MOE174" s="250"/>
      <c r="MOF174" s="250"/>
      <c r="MOG174" s="250"/>
      <c r="MOH174" s="250"/>
      <c r="MOI174" s="250"/>
      <c r="MOJ174" s="250"/>
      <c r="MOK174" s="250"/>
      <c r="MOL174" s="250"/>
      <c r="MOM174" s="250"/>
      <c r="MON174" s="250"/>
      <c r="MOO174" s="250"/>
      <c r="MOP174" s="250"/>
      <c r="MOQ174" s="250"/>
      <c r="MOR174" s="250"/>
      <c r="MOS174" s="250"/>
      <c r="MOT174" s="250"/>
      <c r="MOU174" s="250"/>
      <c r="MOV174" s="250"/>
      <c r="MOW174" s="250"/>
      <c r="MOX174" s="250"/>
      <c r="MOY174" s="250"/>
      <c r="MOZ174" s="250"/>
      <c r="MPA174" s="250"/>
      <c r="MPB174" s="250"/>
      <c r="MPC174" s="250"/>
      <c r="MPD174" s="250"/>
      <c r="MPE174" s="250"/>
      <c r="MPF174" s="250"/>
      <c r="MPG174" s="250"/>
      <c r="MPH174" s="250"/>
      <c r="MPI174" s="250"/>
      <c r="MPJ174" s="250"/>
      <c r="MPK174" s="250"/>
      <c r="MPL174" s="250"/>
      <c r="MPM174" s="250"/>
      <c r="MPN174" s="250"/>
      <c r="MPO174" s="250"/>
      <c r="MPP174" s="250"/>
      <c r="MPQ174" s="250"/>
      <c r="MPR174" s="250"/>
      <c r="MPS174" s="250"/>
      <c r="MPT174" s="250"/>
      <c r="MPU174" s="250"/>
      <c r="MPV174" s="250"/>
      <c r="MPW174" s="250"/>
      <c r="MPX174" s="250"/>
      <c r="MPY174" s="250"/>
      <c r="MPZ174" s="250"/>
      <c r="MQA174" s="250"/>
      <c r="MQB174" s="250"/>
      <c r="MQC174" s="250"/>
      <c r="MQD174" s="250"/>
      <c r="MQE174" s="250"/>
      <c r="MQF174" s="250"/>
      <c r="MQG174" s="250"/>
      <c r="MQH174" s="250"/>
      <c r="MQI174" s="250"/>
      <c r="MQJ174" s="250"/>
      <c r="MQK174" s="250"/>
      <c r="MQL174" s="250"/>
      <c r="MQM174" s="250"/>
      <c r="MQN174" s="250"/>
      <c r="MQO174" s="250"/>
      <c r="MQP174" s="250"/>
      <c r="MQQ174" s="250"/>
      <c r="MQR174" s="250"/>
      <c r="MQS174" s="250"/>
      <c r="MQT174" s="250"/>
      <c r="MQU174" s="250"/>
      <c r="MQV174" s="250"/>
      <c r="MQW174" s="250"/>
      <c r="MQX174" s="250"/>
      <c r="MQY174" s="250"/>
      <c r="MQZ174" s="250"/>
      <c r="MRA174" s="250"/>
      <c r="MRB174" s="250"/>
      <c r="MRC174" s="250"/>
      <c r="MRD174" s="250"/>
      <c r="MRE174" s="250"/>
      <c r="MRF174" s="250"/>
      <c r="MRG174" s="250"/>
      <c r="MRH174" s="250"/>
      <c r="MRI174" s="250"/>
      <c r="MRJ174" s="250"/>
      <c r="MRK174" s="250"/>
      <c r="MRL174" s="250"/>
      <c r="MRM174" s="250"/>
      <c r="MRN174" s="250"/>
      <c r="MRO174" s="250"/>
      <c r="MRP174" s="250"/>
      <c r="MRQ174" s="250"/>
      <c r="MRR174" s="250"/>
      <c r="MRS174" s="250"/>
      <c r="MRT174" s="250"/>
      <c r="MRU174" s="250"/>
      <c r="MRV174" s="250"/>
      <c r="MRW174" s="250"/>
      <c r="MRX174" s="250"/>
      <c r="MRY174" s="250"/>
      <c r="MRZ174" s="250"/>
      <c r="MSA174" s="250"/>
      <c r="MSB174" s="250"/>
      <c r="MSC174" s="250"/>
      <c r="MSD174" s="250"/>
      <c r="MSE174" s="250"/>
      <c r="MSF174" s="250"/>
      <c r="MSG174" s="250"/>
      <c r="MSH174" s="250"/>
      <c r="MSI174" s="250"/>
      <c r="MSJ174" s="250"/>
      <c r="MSK174" s="250"/>
      <c r="MSL174" s="250"/>
      <c r="MSM174" s="250"/>
      <c r="MSN174" s="250"/>
      <c r="MSO174" s="250"/>
      <c r="MSP174" s="250"/>
      <c r="MSQ174" s="250"/>
      <c r="MSR174" s="250"/>
      <c r="MSS174" s="250"/>
      <c r="MST174" s="250"/>
      <c r="MSU174" s="250"/>
      <c r="MSV174" s="250"/>
      <c r="MSW174" s="250"/>
      <c r="MSX174" s="250"/>
      <c r="MSY174" s="250"/>
      <c r="MSZ174" s="250"/>
      <c r="MTA174" s="250"/>
      <c r="MTB174" s="250"/>
      <c r="MTC174" s="250"/>
      <c r="MTD174" s="250"/>
      <c r="MTE174" s="250"/>
      <c r="MTF174" s="250"/>
      <c r="MTG174" s="250"/>
      <c r="MTH174" s="250"/>
      <c r="MTI174" s="250"/>
      <c r="MTJ174" s="250"/>
      <c r="MTK174" s="250"/>
      <c r="MTL174" s="250"/>
      <c r="MTM174" s="250"/>
      <c r="MTN174" s="250"/>
      <c r="MTO174" s="250"/>
      <c r="MTP174" s="250"/>
      <c r="MTQ174" s="250"/>
      <c r="MTR174" s="250"/>
      <c r="MTS174" s="250"/>
      <c r="MTT174" s="250"/>
      <c r="MTU174" s="250"/>
      <c r="MTV174" s="250"/>
      <c r="MTW174" s="250"/>
      <c r="MTX174" s="250"/>
      <c r="MTY174" s="250"/>
      <c r="MTZ174" s="250"/>
      <c r="MUA174" s="250"/>
      <c r="MUB174" s="250"/>
      <c r="MUC174" s="250"/>
      <c r="MUD174" s="250"/>
      <c r="MUE174" s="250"/>
      <c r="MUF174" s="250"/>
      <c r="MUG174" s="250"/>
      <c r="MUH174" s="250"/>
      <c r="MUI174" s="250"/>
      <c r="MUJ174" s="250"/>
      <c r="MUK174" s="250"/>
      <c r="MUL174" s="250"/>
      <c r="MUM174" s="250"/>
      <c r="MUN174" s="250"/>
      <c r="MUO174" s="250"/>
      <c r="MUP174" s="250"/>
      <c r="MUQ174" s="250"/>
      <c r="MUR174" s="250"/>
      <c r="MUS174" s="250"/>
      <c r="MUT174" s="250"/>
      <c r="MUU174" s="250"/>
      <c r="MUV174" s="250"/>
      <c r="MUW174" s="250"/>
      <c r="MUX174" s="250"/>
      <c r="MUY174" s="250"/>
      <c r="MUZ174" s="250"/>
      <c r="MVA174" s="250"/>
      <c r="MVB174" s="250"/>
      <c r="MVC174" s="250"/>
      <c r="MVD174" s="250"/>
      <c r="MVE174" s="250"/>
      <c r="MVF174" s="250"/>
      <c r="MVG174" s="250"/>
      <c r="MVH174" s="250"/>
      <c r="MVI174" s="250"/>
      <c r="MVJ174" s="250"/>
      <c r="MVK174" s="250"/>
      <c r="MVL174" s="250"/>
      <c r="MVM174" s="250"/>
      <c r="MVN174" s="250"/>
      <c r="MVO174" s="250"/>
      <c r="MVP174" s="250"/>
      <c r="MVQ174" s="250"/>
      <c r="MVR174" s="250"/>
      <c r="MVS174" s="250"/>
      <c r="MVT174" s="250"/>
      <c r="MVU174" s="250"/>
      <c r="MVV174" s="250"/>
      <c r="MVW174" s="250"/>
      <c r="MVX174" s="250"/>
      <c r="MVY174" s="250"/>
      <c r="MVZ174" s="250"/>
      <c r="MWA174" s="250"/>
      <c r="MWB174" s="250"/>
      <c r="MWC174" s="250"/>
      <c r="MWD174" s="250"/>
      <c r="MWE174" s="250"/>
      <c r="MWF174" s="250"/>
      <c r="MWG174" s="250"/>
      <c r="MWH174" s="250"/>
      <c r="MWI174" s="250"/>
      <c r="MWJ174" s="250"/>
      <c r="MWK174" s="250"/>
      <c r="MWL174" s="250"/>
      <c r="MWM174" s="250"/>
      <c r="MWN174" s="250"/>
      <c r="MWO174" s="250"/>
      <c r="MWP174" s="250"/>
      <c r="MWQ174" s="250"/>
      <c r="MWR174" s="250"/>
      <c r="MWS174" s="250"/>
      <c r="MWT174" s="250"/>
      <c r="MWU174" s="250"/>
      <c r="MWV174" s="250"/>
      <c r="MWW174" s="250"/>
      <c r="MWX174" s="250"/>
      <c r="MWY174" s="250"/>
      <c r="MWZ174" s="250"/>
      <c r="MXA174" s="250"/>
      <c r="MXB174" s="250"/>
      <c r="MXC174" s="250"/>
      <c r="MXD174" s="250"/>
      <c r="MXE174" s="250"/>
      <c r="MXF174" s="250"/>
      <c r="MXG174" s="250"/>
      <c r="MXH174" s="250"/>
      <c r="MXI174" s="250"/>
      <c r="MXJ174" s="250"/>
      <c r="MXK174" s="250"/>
      <c r="MXL174" s="250"/>
      <c r="MXM174" s="250"/>
      <c r="MXN174" s="250"/>
      <c r="MXO174" s="250"/>
      <c r="MXP174" s="250"/>
      <c r="MXQ174" s="250"/>
      <c r="MXR174" s="250"/>
      <c r="MXS174" s="250"/>
      <c r="MXT174" s="250"/>
      <c r="MXU174" s="250"/>
      <c r="MXV174" s="250"/>
      <c r="MXW174" s="250"/>
      <c r="MXX174" s="250"/>
      <c r="MXY174" s="250"/>
      <c r="MXZ174" s="250"/>
      <c r="MYA174" s="250"/>
      <c r="MYB174" s="250"/>
      <c r="MYC174" s="250"/>
      <c r="MYD174" s="250"/>
      <c r="MYE174" s="250"/>
      <c r="MYF174" s="250"/>
      <c r="MYG174" s="250"/>
      <c r="MYH174" s="250"/>
      <c r="MYI174" s="250"/>
      <c r="MYJ174" s="250"/>
      <c r="MYK174" s="250"/>
      <c r="MYL174" s="250"/>
      <c r="MYM174" s="250"/>
      <c r="MYN174" s="250"/>
      <c r="MYO174" s="250"/>
      <c r="MYP174" s="250"/>
      <c r="MYQ174" s="250"/>
      <c r="MYR174" s="250"/>
      <c r="MYS174" s="250"/>
      <c r="MYT174" s="250"/>
      <c r="MYU174" s="250"/>
      <c r="MYV174" s="250"/>
      <c r="MYW174" s="250"/>
      <c r="MYX174" s="250"/>
      <c r="MYY174" s="250"/>
      <c r="MYZ174" s="250"/>
      <c r="MZA174" s="250"/>
      <c r="MZB174" s="250"/>
      <c r="MZC174" s="250"/>
      <c r="MZD174" s="250"/>
      <c r="MZE174" s="250"/>
      <c r="MZF174" s="250"/>
      <c r="MZG174" s="250"/>
      <c r="MZH174" s="250"/>
      <c r="MZI174" s="250"/>
      <c r="MZJ174" s="250"/>
      <c r="MZK174" s="250"/>
      <c r="MZL174" s="250"/>
      <c r="MZM174" s="250"/>
      <c r="MZN174" s="250"/>
      <c r="MZO174" s="250"/>
      <c r="MZP174" s="250"/>
      <c r="MZQ174" s="250"/>
      <c r="MZR174" s="250"/>
      <c r="MZS174" s="250"/>
      <c r="MZT174" s="250"/>
      <c r="MZU174" s="250"/>
      <c r="MZV174" s="250"/>
      <c r="MZW174" s="250"/>
      <c r="MZX174" s="250"/>
      <c r="MZY174" s="250"/>
      <c r="MZZ174" s="250"/>
      <c r="NAA174" s="250"/>
      <c r="NAB174" s="250"/>
      <c r="NAC174" s="250"/>
      <c r="NAD174" s="250"/>
      <c r="NAE174" s="250"/>
      <c r="NAF174" s="250"/>
      <c r="NAG174" s="250"/>
      <c r="NAH174" s="250"/>
      <c r="NAI174" s="250"/>
      <c r="NAJ174" s="250"/>
      <c r="NAK174" s="250"/>
      <c r="NAL174" s="250"/>
      <c r="NAM174" s="250"/>
      <c r="NAN174" s="250"/>
      <c r="NAO174" s="250"/>
      <c r="NAP174" s="250"/>
      <c r="NAQ174" s="250"/>
      <c r="NAR174" s="250"/>
      <c r="NAS174" s="250"/>
      <c r="NAT174" s="250"/>
      <c r="NAU174" s="250"/>
      <c r="NAV174" s="250"/>
      <c r="NAW174" s="250"/>
      <c r="NAX174" s="250"/>
      <c r="NAY174" s="250"/>
      <c r="NAZ174" s="250"/>
      <c r="NBA174" s="250"/>
      <c r="NBB174" s="250"/>
      <c r="NBC174" s="250"/>
      <c r="NBD174" s="250"/>
      <c r="NBE174" s="250"/>
      <c r="NBF174" s="250"/>
      <c r="NBG174" s="250"/>
      <c r="NBH174" s="250"/>
      <c r="NBI174" s="250"/>
      <c r="NBJ174" s="250"/>
      <c r="NBK174" s="250"/>
      <c r="NBL174" s="250"/>
      <c r="NBM174" s="250"/>
      <c r="NBN174" s="250"/>
      <c r="NBO174" s="250"/>
      <c r="NBP174" s="250"/>
      <c r="NBQ174" s="250"/>
      <c r="NBR174" s="250"/>
      <c r="NBS174" s="250"/>
      <c r="NBT174" s="250"/>
      <c r="NBU174" s="250"/>
      <c r="NBV174" s="250"/>
      <c r="NBW174" s="250"/>
      <c r="NBX174" s="250"/>
      <c r="NBY174" s="250"/>
      <c r="NBZ174" s="250"/>
      <c r="NCA174" s="250"/>
      <c r="NCB174" s="250"/>
      <c r="NCC174" s="250"/>
      <c r="NCD174" s="250"/>
      <c r="NCE174" s="250"/>
      <c r="NCF174" s="250"/>
      <c r="NCG174" s="250"/>
      <c r="NCH174" s="250"/>
      <c r="NCI174" s="250"/>
      <c r="NCJ174" s="250"/>
      <c r="NCK174" s="250"/>
      <c r="NCL174" s="250"/>
      <c r="NCM174" s="250"/>
      <c r="NCN174" s="250"/>
      <c r="NCO174" s="250"/>
      <c r="NCP174" s="250"/>
      <c r="NCQ174" s="250"/>
      <c r="NCR174" s="250"/>
      <c r="NCS174" s="250"/>
      <c r="NCT174" s="250"/>
      <c r="NCU174" s="250"/>
      <c r="NCV174" s="250"/>
      <c r="NCW174" s="250"/>
      <c r="NCX174" s="250"/>
      <c r="NCY174" s="250"/>
      <c r="NCZ174" s="250"/>
      <c r="NDA174" s="250"/>
      <c r="NDB174" s="250"/>
      <c r="NDC174" s="250"/>
      <c r="NDD174" s="250"/>
      <c r="NDE174" s="250"/>
      <c r="NDF174" s="250"/>
      <c r="NDG174" s="250"/>
      <c r="NDH174" s="250"/>
      <c r="NDI174" s="250"/>
      <c r="NDJ174" s="250"/>
      <c r="NDK174" s="250"/>
      <c r="NDL174" s="250"/>
      <c r="NDM174" s="250"/>
      <c r="NDN174" s="250"/>
      <c r="NDO174" s="250"/>
      <c r="NDP174" s="250"/>
      <c r="NDQ174" s="250"/>
      <c r="NDR174" s="250"/>
      <c r="NDS174" s="250"/>
      <c r="NDT174" s="250"/>
      <c r="NDU174" s="250"/>
      <c r="NDV174" s="250"/>
      <c r="NDW174" s="250"/>
      <c r="NDX174" s="250"/>
      <c r="NDY174" s="250"/>
      <c r="NDZ174" s="250"/>
      <c r="NEA174" s="250"/>
      <c r="NEB174" s="250"/>
      <c r="NEC174" s="250"/>
      <c r="NED174" s="250"/>
      <c r="NEE174" s="250"/>
      <c r="NEF174" s="250"/>
      <c r="NEG174" s="250"/>
      <c r="NEH174" s="250"/>
      <c r="NEI174" s="250"/>
      <c r="NEJ174" s="250"/>
      <c r="NEK174" s="250"/>
      <c r="NEL174" s="250"/>
      <c r="NEM174" s="250"/>
      <c r="NEN174" s="250"/>
      <c r="NEO174" s="250"/>
      <c r="NEP174" s="250"/>
      <c r="NEQ174" s="250"/>
      <c r="NER174" s="250"/>
      <c r="NES174" s="250"/>
      <c r="NET174" s="250"/>
      <c r="NEU174" s="250"/>
      <c r="NEV174" s="250"/>
      <c r="NEW174" s="250"/>
      <c r="NEX174" s="250"/>
      <c r="NEY174" s="250"/>
      <c r="NEZ174" s="250"/>
      <c r="NFA174" s="250"/>
      <c r="NFB174" s="250"/>
      <c r="NFC174" s="250"/>
      <c r="NFD174" s="250"/>
      <c r="NFE174" s="250"/>
      <c r="NFF174" s="250"/>
      <c r="NFG174" s="250"/>
      <c r="NFH174" s="250"/>
      <c r="NFI174" s="250"/>
      <c r="NFJ174" s="250"/>
      <c r="NFK174" s="250"/>
      <c r="NFL174" s="250"/>
      <c r="NFM174" s="250"/>
      <c r="NFN174" s="250"/>
      <c r="NFO174" s="250"/>
      <c r="NFP174" s="250"/>
      <c r="NFQ174" s="250"/>
      <c r="NFR174" s="250"/>
      <c r="NFS174" s="250"/>
      <c r="NFT174" s="250"/>
      <c r="NFU174" s="250"/>
      <c r="NFV174" s="250"/>
      <c r="NFW174" s="250"/>
      <c r="NFX174" s="250"/>
      <c r="NFY174" s="250"/>
      <c r="NFZ174" s="250"/>
      <c r="NGA174" s="250"/>
      <c r="NGB174" s="250"/>
      <c r="NGC174" s="250"/>
      <c r="NGD174" s="250"/>
      <c r="NGE174" s="250"/>
      <c r="NGF174" s="250"/>
      <c r="NGG174" s="250"/>
      <c r="NGH174" s="250"/>
      <c r="NGI174" s="250"/>
      <c r="NGJ174" s="250"/>
      <c r="NGK174" s="250"/>
      <c r="NGL174" s="250"/>
      <c r="NGM174" s="250"/>
      <c r="NGN174" s="250"/>
      <c r="NGO174" s="250"/>
      <c r="NGP174" s="250"/>
      <c r="NGQ174" s="250"/>
      <c r="NGR174" s="250"/>
      <c r="NGS174" s="250"/>
      <c r="NGT174" s="250"/>
      <c r="NGU174" s="250"/>
      <c r="NGV174" s="250"/>
      <c r="NGW174" s="250"/>
      <c r="NGX174" s="250"/>
      <c r="NGY174" s="250"/>
      <c r="NGZ174" s="250"/>
      <c r="NHA174" s="250"/>
      <c r="NHB174" s="250"/>
      <c r="NHC174" s="250"/>
      <c r="NHD174" s="250"/>
      <c r="NHE174" s="250"/>
      <c r="NHF174" s="250"/>
      <c r="NHG174" s="250"/>
      <c r="NHH174" s="250"/>
      <c r="NHI174" s="250"/>
      <c r="NHJ174" s="250"/>
      <c r="NHK174" s="250"/>
      <c r="NHL174" s="250"/>
      <c r="NHM174" s="250"/>
      <c r="NHN174" s="250"/>
      <c r="NHO174" s="250"/>
      <c r="NHP174" s="250"/>
      <c r="NHQ174" s="250"/>
      <c r="NHR174" s="250"/>
      <c r="NHS174" s="250"/>
      <c r="NHT174" s="250"/>
      <c r="NHU174" s="250"/>
      <c r="NHV174" s="250"/>
      <c r="NHW174" s="250"/>
      <c r="NHX174" s="250"/>
      <c r="NHY174" s="250"/>
      <c r="NHZ174" s="250"/>
      <c r="NIA174" s="250"/>
      <c r="NIB174" s="250"/>
      <c r="NIC174" s="250"/>
      <c r="NID174" s="250"/>
      <c r="NIE174" s="250"/>
      <c r="NIF174" s="250"/>
      <c r="NIG174" s="250"/>
      <c r="NIH174" s="250"/>
      <c r="NII174" s="250"/>
      <c r="NIJ174" s="250"/>
      <c r="NIK174" s="250"/>
      <c r="NIL174" s="250"/>
      <c r="NIM174" s="250"/>
      <c r="NIN174" s="250"/>
      <c r="NIO174" s="250"/>
      <c r="NIP174" s="250"/>
      <c r="NIQ174" s="250"/>
      <c r="NIR174" s="250"/>
      <c r="NIS174" s="250"/>
      <c r="NIT174" s="250"/>
      <c r="NIU174" s="250"/>
      <c r="NIV174" s="250"/>
      <c r="NIW174" s="250"/>
      <c r="NIX174" s="250"/>
      <c r="NIY174" s="250"/>
      <c r="NIZ174" s="250"/>
      <c r="NJA174" s="250"/>
      <c r="NJB174" s="250"/>
      <c r="NJC174" s="250"/>
      <c r="NJD174" s="250"/>
      <c r="NJE174" s="250"/>
      <c r="NJF174" s="250"/>
      <c r="NJG174" s="250"/>
      <c r="NJH174" s="250"/>
      <c r="NJI174" s="250"/>
      <c r="NJJ174" s="250"/>
      <c r="NJK174" s="250"/>
      <c r="NJL174" s="250"/>
      <c r="NJM174" s="250"/>
      <c r="NJN174" s="250"/>
      <c r="NJO174" s="250"/>
      <c r="NJP174" s="250"/>
      <c r="NJQ174" s="250"/>
      <c r="NJR174" s="250"/>
      <c r="NJS174" s="250"/>
      <c r="NJT174" s="250"/>
      <c r="NJU174" s="250"/>
      <c r="NJV174" s="250"/>
      <c r="NJW174" s="250"/>
      <c r="NJX174" s="250"/>
      <c r="NJY174" s="250"/>
      <c r="NJZ174" s="250"/>
      <c r="NKA174" s="250"/>
      <c r="NKB174" s="250"/>
      <c r="NKC174" s="250"/>
      <c r="NKD174" s="250"/>
      <c r="NKE174" s="250"/>
      <c r="NKF174" s="250"/>
      <c r="NKG174" s="250"/>
      <c r="NKH174" s="250"/>
      <c r="NKI174" s="250"/>
      <c r="NKJ174" s="250"/>
      <c r="NKK174" s="250"/>
      <c r="NKL174" s="250"/>
      <c r="NKM174" s="250"/>
      <c r="NKN174" s="250"/>
      <c r="NKO174" s="250"/>
      <c r="NKP174" s="250"/>
      <c r="NKQ174" s="250"/>
      <c r="NKR174" s="250"/>
      <c r="NKS174" s="250"/>
      <c r="NKT174" s="250"/>
      <c r="NKU174" s="250"/>
      <c r="NKV174" s="250"/>
      <c r="NKW174" s="250"/>
      <c r="NKX174" s="250"/>
      <c r="NKY174" s="250"/>
      <c r="NKZ174" s="250"/>
      <c r="NLA174" s="250"/>
      <c r="NLB174" s="250"/>
      <c r="NLC174" s="250"/>
      <c r="NLD174" s="250"/>
      <c r="NLE174" s="250"/>
      <c r="NLF174" s="250"/>
      <c r="NLG174" s="250"/>
      <c r="NLH174" s="250"/>
      <c r="NLI174" s="250"/>
      <c r="NLJ174" s="250"/>
      <c r="NLK174" s="250"/>
      <c r="NLL174" s="250"/>
      <c r="NLM174" s="250"/>
      <c r="NLN174" s="250"/>
      <c r="NLO174" s="250"/>
      <c r="NLP174" s="250"/>
      <c r="NLQ174" s="250"/>
      <c r="NLR174" s="250"/>
      <c r="NLS174" s="250"/>
      <c r="NLT174" s="250"/>
      <c r="NLU174" s="250"/>
      <c r="NLV174" s="250"/>
      <c r="NLW174" s="250"/>
      <c r="NLX174" s="250"/>
      <c r="NLY174" s="250"/>
      <c r="NLZ174" s="250"/>
      <c r="NMA174" s="250"/>
      <c r="NMB174" s="250"/>
      <c r="NMC174" s="250"/>
      <c r="NMD174" s="250"/>
      <c r="NME174" s="250"/>
      <c r="NMF174" s="250"/>
      <c r="NMG174" s="250"/>
      <c r="NMH174" s="250"/>
      <c r="NMI174" s="250"/>
      <c r="NMJ174" s="250"/>
      <c r="NMK174" s="250"/>
      <c r="NML174" s="250"/>
      <c r="NMM174" s="250"/>
      <c r="NMN174" s="250"/>
      <c r="NMO174" s="250"/>
      <c r="NMP174" s="250"/>
      <c r="NMQ174" s="250"/>
      <c r="NMR174" s="250"/>
      <c r="NMS174" s="250"/>
      <c r="NMT174" s="250"/>
      <c r="NMU174" s="250"/>
      <c r="NMV174" s="250"/>
      <c r="NMW174" s="250"/>
      <c r="NMX174" s="250"/>
      <c r="NMY174" s="250"/>
      <c r="NMZ174" s="250"/>
      <c r="NNA174" s="250"/>
      <c r="NNB174" s="250"/>
      <c r="NNC174" s="250"/>
      <c r="NND174" s="250"/>
      <c r="NNE174" s="250"/>
      <c r="NNF174" s="250"/>
      <c r="NNG174" s="250"/>
      <c r="NNH174" s="250"/>
      <c r="NNI174" s="250"/>
      <c r="NNJ174" s="250"/>
      <c r="NNK174" s="250"/>
      <c r="NNL174" s="250"/>
      <c r="NNM174" s="250"/>
      <c r="NNN174" s="250"/>
      <c r="NNO174" s="250"/>
      <c r="NNP174" s="250"/>
      <c r="NNQ174" s="250"/>
      <c r="NNR174" s="250"/>
      <c r="NNS174" s="250"/>
      <c r="NNT174" s="250"/>
      <c r="NNU174" s="250"/>
      <c r="NNV174" s="250"/>
      <c r="NNW174" s="250"/>
      <c r="NNX174" s="250"/>
      <c r="NNY174" s="250"/>
      <c r="NNZ174" s="250"/>
      <c r="NOA174" s="250"/>
      <c r="NOB174" s="250"/>
      <c r="NOC174" s="250"/>
      <c r="NOD174" s="250"/>
      <c r="NOE174" s="250"/>
      <c r="NOF174" s="250"/>
      <c r="NOG174" s="250"/>
      <c r="NOH174" s="250"/>
      <c r="NOI174" s="250"/>
      <c r="NOJ174" s="250"/>
      <c r="NOK174" s="250"/>
      <c r="NOL174" s="250"/>
      <c r="NOM174" s="250"/>
      <c r="NON174" s="250"/>
      <c r="NOO174" s="250"/>
      <c r="NOP174" s="250"/>
      <c r="NOQ174" s="250"/>
      <c r="NOR174" s="250"/>
      <c r="NOS174" s="250"/>
      <c r="NOT174" s="250"/>
      <c r="NOU174" s="250"/>
      <c r="NOV174" s="250"/>
      <c r="NOW174" s="250"/>
      <c r="NOX174" s="250"/>
      <c r="NOY174" s="250"/>
      <c r="NOZ174" s="250"/>
      <c r="NPA174" s="250"/>
      <c r="NPB174" s="250"/>
      <c r="NPC174" s="250"/>
      <c r="NPD174" s="250"/>
      <c r="NPE174" s="250"/>
      <c r="NPF174" s="250"/>
      <c r="NPG174" s="250"/>
      <c r="NPH174" s="250"/>
      <c r="NPI174" s="250"/>
      <c r="NPJ174" s="250"/>
      <c r="NPK174" s="250"/>
      <c r="NPL174" s="250"/>
      <c r="NPM174" s="250"/>
      <c r="NPN174" s="250"/>
      <c r="NPO174" s="250"/>
      <c r="NPP174" s="250"/>
      <c r="NPQ174" s="250"/>
      <c r="NPR174" s="250"/>
      <c r="NPS174" s="250"/>
      <c r="NPT174" s="250"/>
      <c r="NPU174" s="250"/>
      <c r="NPV174" s="250"/>
      <c r="NPW174" s="250"/>
      <c r="NPX174" s="250"/>
      <c r="NPY174" s="250"/>
      <c r="NPZ174" s="250"/>
      <c r="NQA174" s="250"/>
      <c r="NQB174" s="250"/>
      <c r="NQC174" s="250"/>
      <c r="NQD174" s="250"/>
      <c r="NQE174" s="250"/>
      <c r="NQF174" s="250"/>
      <c r="NQG174" s="250"/>
      <c r="NQH174" s="250"/>
      <c r="NQI174" s="250"/>
      <c r="NQJ174" s="250"/>
      <c r="NQK174" s="250"/>
      <c r="NQL174" s="250"/>
      <c r="NQM174" s="250"/>
      <c r="NQN174" s="250"/>
      <c r="NQO174" s="250"/>
      <c r="NQP174" s="250"/>
      <c r="NQQ174" s="250"/>
      <c r="NQR174" s="250"/>
      <c r="NQS174" s="250"/>
      <c r="NQT174" s="250"/>
      <c r="NQU174" s="250"/>
      <c r="NQV174" s="250"/>
      <c r="NQW174" s="250"/>
      <c r="NQX174" s="250"/>
      <c r="NQY174" s="250"/>
      <c r="NQZ174" s="250"/>
      <c r="NRA174" s="250"/>
      <c r="NRB174" s="250"/>
      <c r="NRC174" s="250"/>
      <c r="NRD174" s="250"/>
      <c r="NRE174" s="250"/>
      <c r="NRF174" s="250"/>
      <c r="NRG174" s="250"/>
      <c r="NRH174" s="250"/>
      <c r="NRI174" s="250"/>
      <c r="NRJ174" s="250"/>
      <c r="NRK174" s="250"/>
      <c r="NRL174" s="250"/>
      <c r="NRM174" s="250"/>
      <c r="NRN174" s="250"/>
      <c r="NRO174" s="250"/>
      <c r="NRP174" s="250"/>
      <c r="NRQ174" s="250"/>
      <c r="NRR174" s="250"/>
      <c r="NRS174" s="250"/>
      <c r="NRT174" s="250"/>
      <c r="NRU174" s="250"/>
      <c r="NRV174" s="250"/>
      <c r="NRW174" s="250"/>
      <c r="NRX174" s="250"/>
      <c r="NRY174" s="250"/>
      <c r="NRZ174" s="250"/>
      <c r="NSA174" s="250"/>
      <c r="NSB174" s="250"/>
      <c r="NSC174" s="250"/>
      <c r="NSD174" s="250"/>
      <c r="NSE174" s="250"/>
      <c r="NSF174" s="250"/>
      <c r="NSG174" s="250"/>
      <c r="NSH174" s="250"/>
      <c r="NSI174" s="250"/>
      <c r="NSJ174" s="250"/>
      <c r="NSK174" s="250"/>
      <c r="NSL174" s="250"/>
      <c r="NSM174" s="250"/>
      <c r="NSN174" s="250"/>
      <c r="NSO174" s="250"/>
      <c r="NSP174" s="250"/>
      <c r="NSQ174" s="250"/>
      <c r="NSR174" s="250"/>
      <c r="NSS174" s="250"/>
      <c r="NST174" s="250"/>
      <c r="NSU174" s="250"/>
      <c r="NSV174" s="250"/>
      <c r="NSW174" s="250"/>
      <c r="NSX174" s="250"/>
      <c r="NSY174" s="250"/>
      <c r="NSZ174" s="250"/>
      <c r="NTA174" s="250"/>
      <c r="NTB174" s="250"/>
      <c r="NTC174" s="250"/>
      <c r="NTD174" s="250"/>
      <c r="NTE174" s="250"/>
      <c r="NTF174" s="250"/>
      <c r="NTG174" s="250"/>
      <c r="NTH174" s="250"/>
      <c r="NTI174" s="250"/>
      <c r="NTJ174" s="250"/>
      <c r="NTK174" s="250"/>
      <c r="NTL174" s="250"/>
      <c r="NTM174" s="250"/>
      <c r="NTN174" s="250"/>
      <c r="NTO174" s="250"/>
      <c r="NTP174" s="250"/>
      <c r="NTQ174" s="250"/>
      <c r="NTR174" s="250"/>
      <c r="NTS174" s="250"/>
      <c r="NTT174" s="250"/>
      <c r="NTU174" s="250"/>
      <c r="NTV174" s="250"/>
      <c r="NTW174" s="250"/>
      <c r="NTX174" s="250"/>
      <c r="NTY174" s="250"/>
      <c r="NTZ174" s="250"/>
      <c r="NUA174" s="250"/>
      <c r="NUB174" s="250"/>
      <c r="NUC174" s="250"/>
      <c r="NUD174" s="250"/>
      <c r="NUE174" s="250"/>
      <c r="NUF174" s="250"/>
      <c r="NUG174" s="250"/>
      <c r="NUH174" s="250"/>
      <c r="NUI174" s="250"/>
      <c r="NUJ174" s="250"/>
      <c r="NUK174" s="250"/>
      <c r="NUL174" s="250"/>
      <c r="NUM174" s="250"/>
      <c r="NUN174" s="250"/>
      <c r="NUO174" s="250"/>
      <c r="NUP174" s="250"/>
      <c r="NUQ174" s="250"/>
      <c r="NUR174" s="250"/>
      <c r="NUS174" s="250"/>
      <c r="NUT174" s="250"/>
      <c r="NUU174" s="250"/>
      <c r="NUV174" s="250"/>
      <c r="NUW174" s="250"/>
      <c r="NUX174" s="250"/>
      <c r="NUY174" s="250"/>
      <c r="NUZ174" s="250"/>
      <c r="NVA174" s="250"/>
      <c r="NVB174" s="250"/>
      <c r="NVC174" s="250"/>
      <c r="NVD174" s="250"/>
      <c r="NVE174" s="250"/>
      <c r="NVF174" s="250"/>
      <c r="NVG174" s="250"/>
      <c r="NVH174" s="250"/>
      <c r="NVI174" s="250"/>
      <c r="NVJ174" s="250"/>
      <c r="NVK174" s="250"/>
      <c r="NVL174" s="250"/>
      <c r="NVM174" s="250"/>
      <c r="NVN174" s="250"/>
      <c r="NVO174" s="250"/>
      <c r="NVP174" s="250"/>
      <c r="NVQ174" s="250"/>
      <c r="NVR174" s="250"/>
      <c r="NVS174" s="250"/>
      <c r="NVT174" s="250"/>
      <c r="NVU174" s="250"/>
      <c r="NVV174" s="250"/>
      <c r="NVW174" s="250"/>
      <c r="NVX174" s="250"/>
      <c r="NVY174" s="250"/>
      <c r="NVZ174" s="250"/>
      <c r="NWA174" s="250"/>
      <c r="NWB174" s="250"/>
      <c r="NWC174" s="250"/>
      <c r="NWD174" s="250"/>
      <c r="NWE174" s="250"/>
      <c r="NWF174" s="250"/>
      <c r="NWG174" s="250"/>
      <c r="NWH174" s="250"/>
      <c r="NWI174" s="250"/>
      <c r="NWJ174" s="250"/>
      <c r="NWK174" s="250"/>
      <c r="NWL174" s="250"/>
      <c r="NWM174" s="250"/>
      <c r="NWN174" s="250"/>
      <c r="NWO174" s="250"/>
      <c r="NWP174" s="250"/>
      <c r="NWQ174" s="250"/>
      <c r="NWR174" s="250"/>
      <c r="NWS174" s="250"/>
      <c r="NWT174" s="250"/>
      <c r="NWU174" s="250"/>
      <c r="NWV174" s="250"/>
      <c r="NWW174" s="250"/>
      <c r="NWX174" s="250"/>
      <c r="NWY174" s="250"/>
      <c r="NWZ174" s="250"/>
      <c r="NXA174" s="250"/>
      <c r="NXB174" s="250"/>
      <c r="NXC174" s="250"/>
      <c r="NXD174" s="250"/>
      <c r="NXE174" s="250"/>
      <c r="NXF174" s="250"/>
      <c r="NXG174" s="250"/>
      <c r="NXH174" s="250"/>
      <c r="NXI174" s="250"/>
      <c r="NXJ174" s="250"/>
      <c r="NXK174" s="250"/>
      <c r="NXL174" s="250"/>
      <c r="NXM174" s="250"/>
      <c r="NXN174" s="250"/>
      <c r="NXO174" s="250"/>
      <c r="NXP174" s="250"/>
      <c r="NXQ174" s="250"/>
      <c r="NXR174" s="250"/>
      <c r="NXS174" s="250"/>
      <c r="NXT174" s="250"/>
      <c r="NXU174" s="250"/>
      <c r="NXV174" s="250"/>
      <c r="NXW174" s="250"/>
      <c r="NXX174" s="250"/>
      <c r="NXY174" s="250"/>
      <c r="NXZ174" s="250"/>
      <c r="NYA174" s="250"/>
      <c r="NYB174" s="250"/>
      <c r="NYC174" s="250"/>
      <c r="NYD174" s="250"/>
      <c r="NYE174" s="250"/>
      <c r="NYF174" s="250"/>
      <c r="NYG174" s="250"/>
      <c r="NYH174" s="250"/>
      <c r="NYI174" s="250"/>
      <c r="NYJ174" s="250"/>
      <c r="NYK174" s="250"/>
      <c r="NYL174" s="250"/>
      <c r="NYM174" s="250"/>
      <c r="NYN174" s="250"/>
      <c r="NYO174" s="250"/>
      <c r="NYP174" s="250"/>
      <c r="NYQ174" s="250"/>
      <c r="NYR174" s="250"/>
      <c r="NYS174" s="250"/>
      <c r="NYT174" s="250"/>
      <c r="NYU174" s="250"/>
      <c r="NYV174" s="250"/>
      <c r="NYW174" s="250"/>
      <c r="NYX174" s="250"/>
      <c r="NYY174" s="250"/>
      <c r="NYZ174" s="250"/>
      <c r="NZA174" s="250"/>
      <c r="NZB174" s="250"/>
      <c r="NZC174" s="250"/>
      <c r="NZD174" s="250"/>
      <c r="NZE174" s="250"/>
      <c r="NZF174" s="250"/>
      <c r="NZG174" s="250"/>
      <c r="NZH174" s="250"/>
      <c r="NZI174" s="250"/>
      <c r="NZJ174" s="250"/>
      <c r="NZK174" s="250"/>
      <c r="NZL174" s="250"/>
      <c r="NZM174" s="250"/>
      <c r="NZN174" s="250"/>
      <c r="NZO174" s="250"/>
      <c r="NZP174" s="250"/>
      <c r="NZQ174" s="250"/>
      <c r="NZR174" s="250"/>
      <c r="NZS174" s="250"/>
      <c r="NZT174" s="250"/>
      <c r="NZU174" s="250"/>
      <c r="NZV174" s="250"/>
      <c r="NZW174" s="250"/>
      <c r="NZX174" s="250"/>
      <c r="NZY174" s="250"/>
      <c r="NZZ174" s="250"/>
      <c r="OAA174" s="250"/>
      <c r="OAB174" s="250"/>
      <c r="OAC174" s="250"/>
      <c r="OAD174" s="250"/>
      <c r="OAE174" s="250"/>
      <c r="OAF174" s="250"/>
      <c r="OAG174" s="250"/>
      <c r="OAH174" s="250"/>
      <c r="OAI174" s="250"/>
      <c r="OAJ174" s="250"/>
      <c r="OAK174" s="250"/>
      <c r="OAL174" s="250"/>
      <c r="OAM174" s="250"/>
      <c r="OAN174" s="250"/>
      <c r="OAO174" s="250"/>
      <c r="OAP174" s="250"/>
      <c r="OAQ174" s="250"/>
      <c r="OAR174" s="250"/>
      <c r="OAS174" s="250"/>
      <c r="OAT174" s="250"/>
      <c r="OAU174" s="250"/>
      <c r="OAV174" s="250"/>
      <c r="OAW174" s="250"/>
      <c r="OAX174" s="250"/>
      <c r="OAY174" s="250"/>
      <c r="OAZ174" s="250"/>
      <c r="OBA174" s="250"/>
      <c r="OBB174" s="250"/>
      <c r="OBC174" s="250"/>
      <c r="OBD174" s="250"/>
      <c r="OBE174" s="250"/>
      <c r="OBF174" s="250"/>
      <c r="OBG174" s="250"/>
      <c r="OBH174" s="250"/>
      <c r="OBI174" s="250"/>
      <c r="OBJ174" s="250"/>
      <c r="OBK174" s="250"/>
      <c r="OBL174" s="250"/>
      <c r="OBM174" s="250"/>
      <c r="OBN174" s="250"/>
      <c r="OBO174" s="250"/>
      <c r="OBP174" s="250"/>
      <c r="OBQ174" s="250"/>
      <c r="OBR174" s="250"/>
      <c r="OBS174" s="250"/>
      <c r="OBT174" s="250"/>
      <c r="OBU174" s="250"/>
      <c r="OBV174" s="250"/>
      <c r="OBW174" s="250"/>
      <c r="OBX174" s="250"/>
      <c r="OBY174" s="250"/>
      <c r="OBZ174" s="250"/>
      <c r="OCA174" s="250"/>
      <c r="OCB174" s="250"/>
      <c r="OCC174" s="250"/>
      <c r="OCD174" s="250"/>
      <c r="OCE174" s="250"/>
      <c r="OCF174" s="250"/>
      <c r="OCG174" s="250"/>
      <c r="OCH174" s="250"/>
      <c r="OCI174" s="250"/>
      <c r="OCJ174" s="250"/>
      <c r="OCK174" s="250"/>
      <c r="OCL174" s="250"/>
      <c r="OCM174" s="250"/>
      <c r="OCN174" s="250"/>
      <c r="OCO174" s="250"/>
      <c r="OCP174" s="250"/>
      <c r="OCQ174" s="250"/>
      <c r="OCR174" s="250"/>
      <c r="OCS174" s="250"/>
      <c r="OCT174" s="250"/>
      <c r="OCU174" s="250"/>
      <c r="OCV174" s="250"/>
      <c r="OCW174" s="250"/>
      <c r="OCX174" s="250"/>
      <c r="OCY174" s="250"/>
      <c r="OCZ174" s="250"/>
      <c r="ODA174" s="250"/>
      <c r="ODB174" s="250"/>
      <c r="ODC174" s="250"/>
      <c r="ODD174" s="250"/>
      <c r="ODE174" s="250"/>
      <c r="ODF174" s="250"/>
      <c r="ODG174" s="250"/>
      <c r="ODH174" s="250"/>
      <c r="ODI174" s="250"/>
      <c r="ODJ174" s="250"/>
      <c r="ODK174" s="250"/>
      <c r="ODL174" s="250"/>
      <c r="ODM174" s="250"/>
      <c r="ODN174" s="250"/>
      <c r="ODO174" s="250"/>
      <c r="ODP174" s="250"/>
      <c r="ODQ174" s="250"/>
      <c r="ODR174" s="250"/>
      <c r="ODS174" s="250"/>
      <c r="ODT174" s="250"/>
      <c r="ODU174" s="250"/>
      <c r="ODV174" s="250"/>
      <c r="ODW174" s="250"/>
      <c r="ODX174" s="250"/>
      <c r="ODY174" s="250"/>
      <c r="ODZ174" s="250"/>
      <c r="OEA174" s="250"/>
      <c r="OEB174" s="250"/>
      <c r="OEC174" s="250"/>
      <c r="OED174" s="250"/>
      <c r="OEE174" s="250"/>
      <c r="OEF174" s="250"/>
      <c r="OEG174" s="250"/>
      <c r="OEH174" s="250"/>
      <c r="OEI174" s="250"/>
      <c r="OEJ174" s="250"/>
      <c r="OEK174" s="250"/>
      <c r="OEL174" s="250"/>
      <c r="OEM174" s="250"/>
      <c r="OEN174" s="250"/>
      <c r="OEO174" s="250"/>
      <c r="OEP174" s="250"/>
      <c r="OEQ174" s="250"/>
      <c r="OER174" s="250"/>
      <c r="OES174" s="250"/>
      <c r="OET174" s="250"/>
      <c r="OEU174" s="250"/>
      <c r="OEV174" s="250"/>
      <c r="OEW174" s="250"/>
      <c r="OEX174" s="250"/>
      <c r="OEY174" s="250"/>
      <c r="OEZ174" s="250"/>
      <c r="OFA174" s="250"/>
      <c r="OFB174" s="250"/>
      <c r="OFC174" s="250"/>
      <c r="OFD174" s="250"/>
      <c r="OFE174" s="250"/>
      <c r="OFF174" s="250"/>
      <c r="OFG174" s="250"/>
      <c r="OFH174" s="250"/>
      <c r="OFI174" s="250"/>
      <c r="OFJ174" s="250"/>
      <c r="OFK174" s="250"/>
      <c r="OFL174" s="250"/>
      <c r="OFM174" s="250"/>
      <c r="OFN174" s="250"/>
      <c r="OFO174" s="250"/>
      <c r="OFP174" s="250"/>
      <c r="OFQ174" s="250"/>
      <c r="OFR174" s="250"/>
      <c r="OFS174" s="250"/>
      <c r="OFT174" s="250"/>
      <c r="OFU174" s="250"/>
      <c r="OFV174" s="250"/>
      <c r="OFW174" s="250"/>
      <c r="OFX174" s="250"/>
      <c r="OFY174" s="250"/>
      <c r="OFZ174" s="250"/>
      <c r="OGA174" s="250"/>
      <c r="OGB174" s="250"/>
      <c r="OGC174" s="250"/>
      <c r="OGD174" s="250"/>
      <c r="OGE174" s="250"/>
      <c r="OGF174" s="250"/>
      <c r="OGG174" s="250"/>
      <c r="OGH174" s="250"/>
      <c r="OGI174" s="250"/>
      <c r="OGJ174" s="250"/>
      <c r="OGK174" s="250"/>
      <c r="OGL174" s="250"/>
      <c r="OGM174" s="250"/>
      <c r="OGN174" s="250"/>
      <c r="OGO174" s="250"/>
      <c r="OGP174" s="250"/>
      <c r="OGQ174" s="250"/>
      <c r="OGR174" s="250"/>
      <c r="OGS174" s="250"/>
      <c r="OGT174" s="250"/>
      <c r="OGU174" s="250"/>
      <c r="OGV174" s="250"/>
      <c r="OGW174" s="250"/>
      <c r="OGX174" s="250"/>
      <c r="OGY174" s="250"/>
      <c r="OGZ174" s="250"/>
      <c r="OHA174" s="250"/>
      <c r="OHB174" s="250"/>
      <c r="OHC174" s="250"/>
      <c r="OHD174" s="250"/>
      <c r="OHE174" s="250"/>
      <c r="OHF174" s="250"/>
      <c r="OHG174" s="250"/>
      <c r="OHH174" s="250"/>
      <c r="OHI174" s="250"/>
      <c r="OHJ174" s="250"/>
      <c r="OHK174" s="250"/>
      <c r="OHL174" s="250"/>
      <c r="OHM174" s="250"/>
      <c r="OHN174" s="250"/>
      <c r="OHO174" s="250"/>
      <c r="OHP174" s="250"/>
      <c r="OHQ174" s="250"/>
      <c r="OHR174" s="250"/>
      <c r="OHS174" s="250"/>
      <c r="OHT174" s="250"/>
      <c r="OHU174" s="250"/>
      <c r="OHV174" s="250"/>
      <c r="OHW174" s="250"/>
      <c r="OHX174" s="250"/>
      <c r="OHY174" s="250"/>
      <c r="OHZ174" s="250"/>
      <c r="OIA174" s="250"/>
      <c r="OIB174" s="250"/>
      <c r="OIC174" s="250"/>
      <c r="OID174" s="250"/>
      <c r="OIE174" s="250"/>
      <c r="OIF174" s="250"/>
      <c r="OIG174" s="250"/>
      <c r="OIH174" s="250"/>
      <c r="OII174" s="250"/>
      <c r="OIJ174" s="250"/>
      <c r="OIK174" s="250"/>
      <c r="OIL174" s="250"/>
      <c r="OIM174" s="250"/>
      <c r="OIN174" s="250"/>
      <c r="OIO174" s="250"/>
      <c r="OIP174" s="250"/>
      <c r="OIQ174" s="250"/>
      <c r="OIR174" s="250"/>
      <c r="OIS174" s="250"/>
      <c r="OIT174" s="250"/>
      <c r="OIU174" s="250"/>
      <c r="OIV174" s="250"/>
      <c r="OIW174" s="250"/>
      <c r="OIX174" s="250"/>
      <c r="OIY174" s="250"/>
      <c r="OIZ174" s="250"/>
      <c r="OJA174" s="250"/>
      <c r="OJB174" s="250"/>
      <c r="OJC174" s="250"/>
      <c r="OJD174" s="250"/>
      <c r="OJE174" s="250"/>
      <c r="OJF174" s="250"/>
      <c r="OJG174" s="250"/>
      <c r="OJH174" s="250"/>
      <c r="OJI174" s="250"/>
      <c r="OJJ174" s="250"/>
      <c r="OJK174" s="250"/>
      <c r="OJL174" s="250"/>
      <c r="OJM174" s="250"/>
      <c r="OJN174" s="250"/>
      <c r="OJO174" s="250"/>
      <c r="OJP174" s="250"/>
      <c r="OJQ174" s="250"/>
      <c r="OJR174" s="250"/>
      <c r="OJS174" s="250"/>
      <c r="OJT174" s="250"/>
      <c r="OJU174" s="250"/>
      <c r="OJV174" s="250"/>
      <c r="OJW174" s="250"/>
      <c r="OJX174" s="250"/>
      <c r="OJY174" s="250"/>
      <c r="OJZ174" s="250"/>
      <c r="OKA174" s="250"/>
      <c r="OKB174" s="250"/>
      <c r="OKC174" s="250"/>
      <c r="OKD174" s="250"/>
      <c r="OKE174" s="250"/>
      <c r="OKF174" s="250"/>
      <c r="OKG174" s="250"/>
      <c r="OKH174" s="250"/>
      <c r="OKI174" s="250"/>
      <c r="OKJ174" s="250"/>
      <c r="OKK174" s="250"/>
      <c r="OKL174" s="250"/>
      <c r="OKM174" s="250"/>
      <c r="OKN174" s="250"/>
      <c r="OKO174" s="250"/>
      <c r="OKP174" s="250"/>
      <c r="OKQ174" s="250"/>
      <c r="OKR174" s="250"/>
      <c r="OKS174" s="250"/>
      <c r="OKT174" s="250"/>
      <c r="OKU174" s="250"/>
      <c r="OKV174" s="250"/>
      <c r="OKW174" s="250"/>
      <c r="OKX174" s="250"/>
      <c r="OKY174" s="250"/>
      <c r="OKZ174" s="250"/>
      <c r="OLA174" s="250"/>
      <c r="OLB174" s="250"/>
      <c r="OLC174" s="250"/>
      <c r="OLD174" s="250"/>
      <c r="OLE174" s="250"/>
      <c r="OLF174" s="250"/>
      <c r="OLG174" s="250"/>
      <c r="OLH174" s="250"/>
      <c r="OLI174" s="250"/>
      <c r="OLJ174" s="250"/>
      <c r="OLK174" s="250"/>
      <c r="OLL174" s="250"/>
      <c r="OLM174" s="250"/>
      <c r="OLN174" s="250"/>
      <c r="OLO174" s="250"/>
      <c r="OLP174" s="250"/>
      <c r="OLQ174" s="250"/>
      <c r="OLR174" s="250"/>
      <c r="OLS174" s="250"/>
      <c r="OLT174" s="250"/>
      <c r="OLU174" s="250"/>
      <c r="OLV174" s="250"/>
      <c r="OLW174" s="250"/>
      <c r="OLX174" s="250"/>
      <c r="OLY174" s="250"/>
      <c r="OLZ174" s="250"/>
      <c r="OMA174" s="250"/>
      <c r="OMB174" s="250"/>
      <c r="OMC174" s="250"/>
      <c r="OMD174" s="250"/>
      <c r="OME174" s="250"/>
      <c r="OMF174" s="250"/>
      <c r="OMG174" s="250"/>
      <c r="OMH174" s="250"/>
      <c r="OMI174" s="250"/>
      <c r="OMJ174" s="250"/>
      <c r="OMK174" s="250"/>
      <c r="OML174" s="250"/>
      <c r="OMM174" s="250"/>
      <c r="OMN174" s="250"/>
      <c r="OMO174" s="250"/>
      <c r="OMP174" s="250"/>
      <c r="OMQ174" s="250"/>
      <c r="OMR174" s="250"/>
      <c r="OMS174" s="250"/>
      <c r="OMT174" s="250"/>
      <c r="OMU174" s="250"/>
      <c r="OMV174" s="250"/>
      <c r="OMW174" s="250"/>
      <c r="OMX174" s="250"/>
      <c r="OMY174" s="250"/>
      <c r="OMZ174" s="250"/>
      <c r="ONA174" s="250"/>
      <c r="ONB174" s="250"/>
      <c r="ONC174" s="250"/>
      <c r="OND174" s="250"/>
      <c r="ONE174" s="250"/>
      <c r="ONF174" s="250"/>
      <c r="ONG174" s="250"/>
      <c r="ONH174" s="250"/>
      <c r="ONI174" s="250"/>
      <c r="ONJ174" s="250"/>
      <c r="ONK174" s="250"/>
      <c r="ONL174" s="250"/>
      <c r="ONM174" s="250"/>
      <c r="ONN174" s="250"/>
      <c r="ONO174" s="250"/>
      <c r="ONP174" s="250"/>
      <c r="ONQ174" s="250"/>
      <c r="ONR174" s="250"/>
      <c r="ONS174" s="250"/>
      <c r="ONT174" s="250"/>
      <c r="ONU174" s="250"/>
      <c r="ONV174" s="250"/>
      <c r="ONW174" s="250"/>
      <c r="ONX174" s="250"/>
      <c r="ONY174" s="250"/>
      <c r="ONZ174" s="250"/>
      <c r="OOA174" s="250"/>
      <c r="OOB174" s="250"/>
      <c r="OOC174" s="250"/>
      <c r="OOD174" s="250"/>
      <c r="OOE174" s="250"/>
      <c r="OOF174" s="250"/>
      <c r="OOG174" s="250"/>
      <c r="OOH174" s="250"/>
      <c r="OOI174" s="250"/>
      <c r="OOJ174" s="250"/>
      <c r="OOK174" s="250"/>
      <c r="OOL174" s="250"/>
      <c r="OOM174" s="250"/>
      <c r="OON174" s="250"/>
      <c r="OOO174" s="250"/>
      <c r="OOP174" s="250"/>
      <c r="OOQ174" s="250"/>
      <c r="OOR174" s="250"/>
      <c r="OOS174" s="250"/>
      <c r="OOT174" s="250"/>
      <c r="OOU174" s="250"/>
      <c r="OOV174" s="250"/>
      <c r="OOW174" s="250"/>
      <c r="OOX174" s="250"/>
      <c r="OOY174" s="250"/>
      <c r="OOZ174" s="250"/>
      <c r="OPA174" s="250"/>
      <c r="OPB174" s="250"/>
      <c r="OPC174" s="250"/>
      <c r="OPD174" s="250"/>
      <c r="OPE174" s="250"/>
      <c r="OPF174" s="250"/>
      <c r="OPG174" s="250"/>
      <c r="OPH174" s="250"/>
      <c r="OPI174" s="250"/>
      <c r="OPJ174" s="250"/>
      <c r="OPK174" s="250"/>
      <c r="OPL174" s="250"/>
      <c r="OPM174" s="250"/>
      <c r="OPN174" s="250"/>
      <c r="OPO174" s="250"/>
      <c r="OPP174" s="250"/>
      <c r="OPQ174" s="250"/>
      <c r="OPR174" s="250"/>
      <c r="OPS174" s="250"/>
      <c r="OPT174" s="250"/>
      <c r="OPU174" s="250"/>
      <c r="OPV174" s="250"/>
      <c r="OPW174" s="250"/>
      <c r="OPX174" s="250"/>
      <c r="OPY174" s="250"/>
      <c r="OPZ174" s="250"/>
      <c r="OQA174" s="250"/>
      <c r="OQB174" s="250"/>
      <c r="OQC174" s="250"/>
      <c r="OQD174" s="250"/>
      <c r="OQE174" s="250"/>
      <c r="OQF174" s="250"/>
      <c r="OQG174" s="250"/>
      <c r="OQH174" s="250"/>
      <c r="OQI174" s="250"/>
      <c r="OQJ174" s="250"/>
      <c r="OQK174" s="250"/>
      <c r="OQL174" s="250"/>
      <c r="OQM174" s="250"/>
      <c r="OQN174" s="250"/>
      <c r="OQO174" s="250"/>
      <c r="OQP174" s="250"/>
      <c r="OQQ174" s="250"/>
      <c r="OQR174" s="250"/>
      <c r="OQS174" s="250"/>
      <c r="OQT174" s="250"/>
      <c r="OQU174" s="250"/>
      <c r="OQV174" s="250"/>
      <c r="OQW174" s="250"/>
      <c r="OQX174" s="250"/>
      <c r="OQY174" s="250"/>
      <c r="OQZ174" s="250"/>
      <c r="ORA174" s="250"/>
      <c r="ORB174" s="250"/>
      <c r="ORC174" s="250"/>
      <c r="ORD174" s="250"/>
      <c r="ORE174" s="250"/>
      <c r="ORF174" s="250"/>
      <c r="ORG174" s="250"/>
      <c r="ORH174" s="250"/>
      <c r="ORI174" s="250"/>
      <c r="ORJ174" s="250"/>
      <c r="ORK174" s="250"/>
      <c r="ORL174" s="250"/>
      <c r="ORM174" s="250"/>
      <c r="ORN174" s="250"/>
      <c r="ORO174" s="250"/>
      <c r="ORP174" s="250"/>
      <c r="ORQ174" s="250"/>
      <c r="ORR174" s="250"/>
      <c r="ORS174" s="250"/>
      <c r="ORT174" s="250"/>
      <c r="ORU174" s="250"/>
      <c r="ORV174" s="250"/>
      <c r="ORW174" s="250"/>
      <c r="ORX174" s="250"/>
      <c r="ORY174" s="250"/>
      <c r="ORZ174" s="250"/>
      <c r="OSA174" s="250"/>
      <c r="OSB174" s="250"/>
      <c r="OSC174" s="250"/>
      <c r="OSD174" s="250"/>
      <c r="OSE174" s="250"/>
      <c r="OSF174" s="250"/>
      <c r="OSG174" s="250"/>
      <c r="OSH174" s="250"/>
      <c r="OSI174" s="250"/>
      <c r="OSJ174" s="250"/>
      <c r="OSK174" s="250"/>
      <c r="OSL174" s="250"/>
      <c r="OSM174" s="250"/>
      <c r="OSN174" s="250"/>
      <c r="OSO174" s="250"/>
      <c r="OSP174" s="250"/>
      <c r="OSQ174" s="250"/>
      <c r="OSR174" s="250"/>
      <c r="OSS174" s="250"/>
      <c r="OST174" s="250"/>
      <c r="OSU174" s="250"/>
      <c r="OSV174" s="250"/>
      <c r="OSW174" s="250"/>
      <c r="OSX174" s="250"/>
      <c r="OSY174" s="250"/>
      <c r="OSZ174" s="250"/>
      <c r="OTA174" s="250"/>
      <c r="OTB174" s="250"/>
      <c r="OTC174" s="250"/>
      <c r="OTD174" s="250"/>
      <c r="OTE174" s="250"/>
      <c r="OTF174" s="250"/>
      <c r="OTG174" s="250"/>
      <c r="OTH174" s="250"/>
      <c r="OTI174" s="250"/>
      <c r="OTJ174" s="250"/>
      <c r="OTK174" s="250"/>
      <c r="OTL174" s="250"/>
      <c r="OTM174" s="250"/>
      <c r="OTN174" s="250"/>
      <c r="OTO174" s="250"/>
      <c r="OTP174" s="250"/>
      <c r="OTQ174" s="250"/>
      <c r="OTR174" s="250"/>
      <c r="OTS174" s="250"/>
      <c r="OTT174" s="250"/>
      <c r="OTU174" s="250"/>
      <c r="OTV174" s="250"/>
      <c r="OTW174" s="250"/>
      <c r="OTX174" s="250"/>
      <c r="OTY174" s="250"/>
      <c r="OTZ174" s="250"/>
      <c r="OUA174" s="250"/>
      <c r="OUB174" s="250"/>
      <c r="OUC174" s="250"/>
      <c r="OUD174" s="250"/>
      <c r="OUE174" s="250"/>
      <c r="OUF174" s="250"/>
      <c r="OUG174" s="250"/>
      <c r="OUH174" s="250"/>
      <c r="OUI174" s="250"/>
      <c r="OUJ174" s="250"/>
      <c r="OUK174" s="250"/>
      <c r="OUL174" s="250"/>
      <c r="OUM174" s="250"/>
      <c r="OUN174" s="250"/>
      <c r="OUO174" s="250"/>
      <c r="OUP174" s="250"/>
      <c r="OUQ174" s="250"/>
      <c r="OUR174" s="250"/>
      <c r="OUS174" s="250"/>
      <c r="OUT174" s="250"/>
      <c r="OUU174" s="250"/>
      <c r="OUV174" s="250"/>
      <c r="OUW174" s="250"/>
      <c r="OUX174" s="250"/>
      <c r="OUY174" s="250"/>
      <c r="OUZ174" s="250"/>
      <c r="OVA174" s="250"/>
      <c r="OVB174" s="250"/>
      <c r="OVC174" s="250"/>
      <c r="OVD174" s="250"/>
      <c r="OVE174" s="250"/>
      <c r="OVF174" s="250"/>
      <c r="OVG174" s="250"/>
      <c r="OVH174" s="250"/>
      <c r="OVI174" s="250"/>
      <c r="OVJ174" s="250"/>
      <c r="OVK174" s="250"/>
      <c r="OVL174" s="250"/>
      <c r="OVM174" s="250"/>
      <c r="OVN174" s="250"/>
      <c r="OVO174" s="250"/>
      <c r="OVP174" s="250"/>
      <c r="OVQ174" s="250"/>
      <c r="OVR174" s="250"/>
      <c r="OVS174" s="250"/>
      <c r="OVT174" s="250"/>
      <c r="OVU174" s="250"/>
      <c r="OVV174" s="250"/>
      <c r="OVW174" s="250"/>
      <c r="OVX174" s="250"/>
      <c r="OVY174" s="250"/>
      <c r="OVZ174" s="250"/>
      <c r="OWA174" s="250"/>
      <c r="OWB174" s="250"/>
      <c r="OWC174" s="250"/>
      <c r="OWD174" s="250"/>
      <c r="OWE174" s="250"/>
      <c r="OWF174" s="250"/>
      <c r="OWG174" s="250"/>
      <c r="OWH174" s="250"/>
      <c r="OWI174" s="250"/>
      <c r="OWJ174" s="250"/>
      <c r="OWK174" s="250"/>
      <c r="OWL174" s="250"/>
      <c r="OWM174" s="250"/>
      <c r="OWN174" s="250"/>
      <c r="OWO174" s="250"/>
      <c r="OWP174" s="250"/>
      <c r="OWQ174" s="250"/>
      <c r="OWR174" s="250"/>
      <c r="OWS174" s="250"/>
      <c r="OWT174" s="250"/>
      <c r="OWU174" s="250"/>
      <c r="OWV174" s="250"/>
      <c r="OWW174" s="250"/>
      <c r="OWX174" s="250"/>
      <c r="OWY174" s="250"/>
      <c r="OWZ174" s="250"/>
      <c r="OXA174" s="250"/>
      <c r="OXB174" s="250"/>
      <c r="OXC174" s="250"/>
      <c r="OXD174" s="250"/>
      <c r="OXE174" s="250"/>
      <c r="OXF174" s="250"/>
      <c r="OXG174" s="250"/>
      <c r="OXH174" s="250"/>
      <c r="OXI174" s="250"/>
      <c r="OXJ174" s="250"/>
      <c r="OXK174" s="250"/>
      <c r="OXL174" s="250"/>
      <c r="OXM174" s="250"/>
      <c r="OXN174" s="250"/>
      <c r="OXO174" s="250"/>
      <c r="OXP174" s="250"/>
      <c r="OXQ174" s="250"/>
      <c r="OXR174" s="250"/>
      <c r="OXS174" s="250"/>
      <c r="OXT174" s="250"/>
      <c r="OXU174" s="250"/>
      <c r="OXV174" s="250"/>
      <c r="OXW174" s="250"/>
      <c r="OXX174" s="250"/>
      <c r="OXY174" s="250"/>
      <c r="OXZ174" s="250"/>
      <c r="OYA174" s="250"/>
      <c r="OYB174" s="250"/>
      <c r="OYC174" s="250"/>
      <c r="OYD174" s="250"/>
      <c r="OYE174" s="250"/>
      <c r="OYF174" s="250"/>
      <c r="OYG174" s="250"/>
      <c r="OYH174" s="250"/>
      <c r="OYI174" s="250"/>
      <c r="OYJ174" s="250"/>
      <c r="OYK174" s="250"/>
      <c r="OYL174" s="250"/>
      <c r="OYM174" s="250"/>
      <c r="OYN174" s="250"/>
      <c r="OYO174" s="250"/>
      <c r="OYP174" s="250"/>
      <c r="OYQ174" s="250"/>
      <c r="OYR174" s="250"/>
      <c r="OYS174" s="250"/>
      <c r="OYT174" s="250"/>
      <c r="OYU174" s="250"/>
      <c r="OYV174" s="250"/>
      <c r="OYW174" s="250"/>
      <c r="OYX174" s="250"/>
      <c r="OYY174" s="250"/>
      <c r="OYZ174" s="250"/>
      <c r="OZA174" s="250"/>
      <c r="OZB174" s="250"/>
      <c r="OZC174" s="250"/>
      <c r="OZD174" s="250"/>
      <c r="OZE174" s="250"/>
      <c r="OZF174" s="250"/>
      <c r="OZG174" s="250"/>
      <c r="OZH174" s="250"/>
      <c r="OZI174" s="250"/>
      <c r="OZJ174" s="250"/>
      <c r="OZK174" s="250"/>
      <c r="OZL174" s="250"/>
      <c r="OZM174" s="250"/>
      <c r="OZN174" s="250"/>
      <c r="OZO174" s="250"/>
      <c r="OZP174" s="250"/>
      <c r="OZQ174" s="250"/>
      <c r="OZR174" s="250"/>
      <c r="OZS174" s="250"/>
      <c r="OZT174" s="250"/>
      <c r="OZU174" s="250"/>
      <c r="OZV174" s="250"/>
      <c r="OZW174" s="250"/>
      <c r="OZX174" s="250"/>
      <c r="OZY174" s="250"/>
      <c r="OZZ174" s="250"/>
      <c r="PAA174" s="250"/>
      <c r="PAB174" s="250"/>
      <c r="PAC174" s="250"/>
      <c r="PAD174" s="250"/>
      <c r="PAE174" s="250"/>
      <c r="PAF174" s="250"/>
      <c r="PAG174" s="250"/>
      <c r="PAH174" s="250"/>
      <c r="PAI174" s="250"/>
      <c r="PAJ174" s="250"/>
      <c r="PAK174" s="250"/>
      <c r="PAL174" s="250"/>
      <c r="PAM174" s="250"/>
      <c r="PAN174" s="250"/>
      <c r="PAO174" s="250"/>
      <c r="PAP174" s="250"/>
      <c r="PAQ174" s="250"/>
      <c r="PAR174" s="250"/>
      <c r="PAS174" s="250"/>
      <c r="PAT174" s="250"/>
      <c r="PAU174" s="250"/>
      <c r="PAV174" s="250"/>
      <c r="PAW174" s="250"/>
      <c r="PAX174" s="250"/>
      <c r="PAY174" s="250"/>
      <c r="PAZ174" s="250"/>
      <c r="PBA174" s="250"/>
      <c r="PBB174" s="250"/>
      <c r="PBC174" s="250"/>
      <c r="PBD174" s="250"/>
      <c r="PBE174" s="250"/>
      <c r="PBF174" s="250"/>
      <c r="PBG174" s="250"/>
      <c r="PBH174" s="250"/>
      <c r="PBI174" s="250"/>
      <c r="PBJ174" s="250"/>
      <c r="PBK174" s="250"/>
      <c r="PBL174" s="250"/>
      <c r="PBM174" s="250"/>
      <c r="PBN174" s="250"/>
      <c r="PBO174" s="250"/>
      <c r="PBP174" s="250"/>
      <c r="PBQ174" s="250"/>
      <c r="PBR174" s="250"/>
      <c r="PBS174" s="250"/>
      <c r="PBT174" s="250"/>
      <c r="PBU174" s="250"/>
      <c r="PBV174" s="250"/>
      <c r="PBW174" s="250"/>
      <c r="PBX174" s="250"/>
      <c r="PBY174" s="250"/>
      <c r="PBZ174" s="250"/>
      <c r="PCA174" s="250"/>
      <c r="PCB174" s="250"/>
      <c r="PCC174" s="250"/>
      <c r="PCD174" s="250"/>
      <c r="PCE174" s="250"/>
      <c r="PCF174" s="250"/>
      <c r="PCG174" s="250"/>
      <c r="PCH174" s="250"/>
      <c r="PCI174" s="250"/>
      <c r="PCJ174" s="250"/>
      <c r="PCK174" s="250"/>
      <c r="PCL174" s="250"/>
      <c r="PCM174" s="250"/>
      <c r="PCN174" s="250"/>
      <c r="PCO174" s="250"/>
      <c r="PCP174" s="250"/>
      <c r="PCQ174" s="250"/>
      <c r="PCR174" s="250"/>
      <c r="PCS174" s="250"/>
      <c r="PCT174" s="250"/>
      <c r="PCU174" s="250"/>
      <c r="PCV174" s="250"/>
      <c r="PCW174" s="250"/>
      <c r="PCX174" s="250"/>
      <c r="PCY174" s="250"/>
      <c r="PCZ174" s="250"/>
      <c r="PDA174" s="250"/>
      <c r="PDB174" s="250"/>
      <c r="PDC174" s="250"/>
      <c r="PDD174" s="250"/>
      <c r="PDE174" s="250"/>
      <c r="PDF174" s="250"/>
      <c r="PDG174" s="250"/>
      <c r="PDH174" s="250"/>
      <c r="PDI174" s="250"/>
      <c r="PDJ174" s="250"/>
      <c r="PDK174" s="250"/>
      <c r="PDL174" s="250"/>
      <c r="PDM174" s="250"/>
      <c r="PDN174" s="250"/>
      <c r="PDO174" s="250"/>
      <c r="PDP174" s="250"/>
      <c r="PDQ174" s="250"/>
      <c r="PDR174" s="250"/>
      <c r="PDS174" s="250"/>
      <c r="PDT174" s="250"/>
      <c r="PDU174" s="250"/>
      <c r="PDV174" s="250"/>
      <c r="PDW174" s="250"/>
      <c r="PDX174" s="250"/>
      <c r="PDY174" s="250"/>
      <c r="PDZ174" s="250"/>
      <c r="PEA174" s="250"/>
      <c r="PEB174" s="250"/>
      <c r="PEC174" s="250"/>
      <c r="PED174" s="250"/>
      <c r="PEE174" s="250"/>
      <c r="PEF174" s="250"/>
      <c r="PEG174" s="250"/>
      <c r="PEH174" s="250"/>
      <c r="PEI174" s="250"/>
      <c r="PEJ174" s="250"/>
      <c r="PEK174" s="250"/>
      <c r="PEL174" s="250"/>
      <c r="PEM174" s="250"/>
      <c r="PEN174" s="250"/>
      <c r="PEO174" s="250"/>
      <c r="PEP174" s="250"/>
      <c r="PEQ174" s="250"/>
      <c r="PER174" s="250"/>
      <c r="PES174" s="250"/>
      <c r="PET174" s="250"/>
      <c r="PEU174" s="250"/>
      <c r="PEV174" s="250"/>
      <c r="PEW174" s="250"/>
      <c r="PEX174" s="250"/>
      <c r="PEY174" s="250"/>
      <c r="PEZ174" s="250"/>
      <c r="PFA174" s="250"/>
      <c r="PFB174" s="250"/>
      <c r="PFC174" s="250"/>
      <c r="PFD174" s="250"/>
      <c r="PFE174" s="250"/>
      <c r="PFF174" s="250"/>
      <c r="PFG174" s="250"/>
      <c r="PFH174" s="250"/>
      <c r="PFI174" s="250"/>
      <c r="PFJ174" s="250"/>
      <c r="PFK174" s="250"/>
      <c r="PFL174" s="250"/>
      <c r="PFM174" s="250"/>
      <c r="PFN174" s="250"/>
      <c r="PFO174" s="250"/>
      <c r="PFP174" s="250"/>
      <c r="PFQ174" s="250"/>
      <c r="PFR174" s="250"/>
      <c r="PFS174" s="250"/>
      <c r="PFT174" s="250"/>
      <c r="PFU174" s="250"/>
      <c r="PFV174" s="250"/>
      <c r="PFW174" s="250"/>
      <c r="PFX174" s="250"/>
      <c r="PFY174" s="250"/>
      <c r="PFZ174" s="250"/>
      <c r="PGA174" s="250"/>
      <c r="PGB174" s="250"/>
      <c r="PGC174" s="250"/>
      <c r="PGD174" s="250"/>
      <c r="PGE174" s="250"/>
      <c r="PGF174" s="250"/>
      <c r="PGG174" s="250"/>
      <c r="PGH174" s="250"/>
      <c r="PGI174" s="250"/>
      <c r="PGJ174" s="250"/>
      <c r="PGK174" s="250"/>
      <c r="PGL174" s="250"/>
      <c r="PGM174" s="250"/>
      <c r="PGN174" s="250"/>
      <c r="PGO174" s="250"/>
      <c r="PGP174" s="250"/>
      <c r="PGQ174" s="250"/>
      <c r="PGR174" s="250"/>
      <c r="PGS174" s="250"/>
      <c r="PGT174" s="250"/>
      <c r="PGU174" s="250"/>
      <c r="PGV174" s="250"/>
      <c r="PGW174" s="250"/>
      <c r="PGX174" s="250"/>
      <c r="PGY174" s="250"/>
      <c r="PGZ174" s="250"/>
      <c r="PHA174" s="250"/>
      <c r="PHB174" s="250"/>
      <c r="PHC174" s="250"/>
      <c r="PHD174" s="250"/>
      <c r="PHE174" s="250"/>
      <c r="PHF174" s="250"/>
      <c r="PHG174" s="250"/>
      <c r="PHH174" s="250"/>
      <c r="PHI174" s="250"/>
      <c r="PHJ174" s="250"/>
      <c r="PHK174" s="250"/>
      <c r="PHL174" s="250"/>
      <c r="PHM174" s="250"/>
      <c r="PHN174" s="250"/>
      <c r="PHO174" s="250"/>
      <c r="PHP174" s="250"/>
      <c r="PHQ174" s="250"/>
      <c r="PHR174" s="250"/>
      <c r="PHS174" s="250"/>
      <c r="PHT174" s="250"/>
      <c r="PHU174" s="250"/>
      <c r="PHV174" s="250"/>
      <c r="PHW174" s="250"/>
      <c r="PHX174" s="250"/>
      <c r="PHY174" s="250"/>
      <c r="PHZ174" s="250"/>
      <c r="PIA174" s="250"/>
      <c r="PIB174" s="250"/>
      <c r="PIC174" s="250"/>
      <c r="PID174" s="250"/>
      <c r="PIE174" s="250"/>
      <c r="PIF174" s="250"/>
      <c r="PIG174" s="250"/>
      <c r="PIH174" s="250"/>
      <c r="PII174" s="250"/>
      <c r="PIJ174" s="250"/>
      <c r="PIK174" s="250"/>
      <c r="PIL174" s="250"/>
      <c r="PIM174" s="250"/>
      <c r="PIN174" s="250"/>
      <c r="PIO174" s="250"/>
      <c r="PIP174" s="250"/>
      <c r="PIQ174" s="250"/>
      <c r="PIR174" s="250"/>
      <c r="PIS174" s="250"/>
      <c r="PIT174" s="250"/>
      <c r="PIU174" s="250"/>
      <c r="PIV174" s="250"/>
      <c r="PIW174" s="250"/>
      <c r="PIX174" s="250"/>
      <c r="PIY174" s="250"/>
      <c r="PIZ174" s="250"/>
      <c r="PJA174" s="250"/>
      <c r="PJB174" s="250"/>
      <c r="PJC174" s="250"/>
      <c r="PJD174" s="250"/>
      <c r="PJE174" s="250"/>
      <c r="PJF174" s="250"/>
      <c r="PJG174" s="250"/>
      <c r="PJH174" s="250"/>
      <c r="PJI174" s="250"/>
      <c r="PJJ174" s="250"/>
      <c r="PJK174" s="250"/>
      <c r="PJL174" s="250"/>
      <c r="PJM174" s="250"/>
      <c r="PJN174" s="250"/>
      <c r="PJO174" s="250"/>
      <c r="PJP174" s="250"/>
      <c r="PJQ174" s="250"/>
      <c r="PJR174" s="250"/>
      <c r="PJS174" s="250"/>
      <c r="PJT174" s="250"/>
      <c r="PJU174" s="250"/>
      <c r="PJV174" s="250"/>
      <c r="PJW174" s="250"/>
      <c r="PJX174" s="250"/>
      <c r="PJY174" s="250"/>
      <c r="PJZ174" s="250"/>
      <c r="PKA174" s="250"/>
      <c r="PKB174" s="250"/>
      <c r="PKC174" s="250"/>
      <c r="PKD174" s="250"/>
      <c r="PKE174" s="250"/>
      <c r="PKF174" s="250"/>
      <c r="PKG174" s="250"/>
      <c r="PKH174" s="250"/>
      <c r="PKI174" s="250"/>
      <c r="PKJ174" s="250"/>
      <c r="PKK174" s="250"/>
      <c r="PKL174" s="250"/>
      <c r="PKM174" s="250"/>
      <c r="PKN174" s="250"/>
      <c r="PKO174" s="250"/>
      <c r="PKP174" s="250"/>
      <c r="PKQ174" s="250"/>
      <c r="PKR174" s="250"/>
      <c r="PKS174" s="250"/>
      <c r="PKT174" s="250"/>
      <c r="PKU174" s="250"/>
      <c r="PKV174" s="250"/>
      <c r="PKW174" s="250"/>
      <c r="PKX174" s="250"/>
      <c r="PKY174" s="250"/>
      <c r="PKZ174" s="250"/>
      <c r="PLA174" s="250"/>
      <c r="PLB174" s="250"/>
      <c r="PLC174" s="250"/>
      <c r="PLD174" s="250"/>
      <c r="PLE174" s="250"/>
      <c r="PLF174" s="250"/>
      <c r="PLG174" s="250"/>
      <c r="PLH174" s="250"/>
      <c r="PLI174" s="250"/>
      <c r="PLJ174" s="250"/>
      <c r="PLK174" s="250"/>
      <c r="PLL174" s="250"/>
      <c r="PLM174" s="250"/>
      <c r="PLN174" s="250"/>
      <c r="PLO174" s="250"/>
      <c r="PLP174" s="250"/>
      <c r="PLQ174" s="250"/>
      <c r="PLR174" s="250"/>
      <c r="PLS174" s="250"/>
      <c r="PLT174" s="250"/>
      <c r="PLU174" s="250"/>
      <c r="PLV174" s="250"/>
      <c r="PLW174" s="250"/>
      <c r="PLX174" s="250"/>
      <c r="PLY174" s="250"/>
      <c r="PLZ174" s="250"/>
      <c r="PMA174" s="250"/>
      <c r="PMB174" s="250"/>
      <c r="PMC174" s="250"/>
      <c r="PMD174" s="250"/>
      <c r="PME174" s="250"/>
      <c r="PMF174" s="250"/>
      <c r="PMG174" s="250"/>
      <c r="PMH174" s="250"/>
      <c r="PMI174" s="250"/>
      <c r="PMJ174" s="250"/>
      <c r="PMK174" s="250"/>
      <c r="PML174" s="250"/>
      <c r="PMM174" s="250"/>
      <c r="PMN174" s="250"/>
      <c r="PMO174" s="250"/>
      <c r="PMP174" s="250"/>
      <c r="PMQ174" s="250"/>
      <c r="PMR174" s="250"/>
      <c r="PMS174" s="250"/>
      <c r="PMT174" s="250"/>
      <c r="PMU174" s="250"/>
      <c r="PMV174" s="250"/>
      <c r="PMW174" s="250"/>
      <c r="PMX174" s="250"/>
      <c r="PMY174" s="250"/>
      <c r="PMZ174" s="250"/>
      <c r="PNA174" s="250"/>
      <c r="PNB174" s="250"/>
      <c r="PNC174" s="250"/>
      <c r="PND174" s="250"/>
      <c r="PNE174" s="250"/>
      <c r="PNF174" s="250"/>
      <c r="PNG174" s="250"/>
      <c r="PNH174" s="250"/>
      <c r="PNI174" s="250"/>
      <c r="PNJ174" s="250"/>
      <c r="PNK174" s="250"/>
      <c r="PNL174" s="250"/>
      <c r="PNM174" s="250"/>
      <c r="PNN174" s="250"/>
      <c r="PNO174" s="250"/>
      <c r="PNP174" s="250"/>
      <c r="PNQ174" s="250"/>
      <c r="PNR174" s="250"/>
      <c r="PNS174" s="250"/>
      <c r="PNT174" s="250"/>
      <c r="PNU174" s="250"/>
      <c r="PNV174" s="250"/>
      <c r="PNW174" s="250"/>
      <c r="PNX174" s="250"/>
      <c r="PNY174" s="250"/>
      <c r="PNZ174" s="250"/>
      <c r="POA174" s="250"/>
      <c r="POB174" s="250"/>
      <c r="POC174" s="250"/>
      <c r="POD174" s="250"/>
      <c r="POE174" s="250"/>
      <c r="POF174" s="250"/>
      <c r="POG174" s="250"/>
      <c r="POH174" s="250"/>
      <c r="POI174" s="250"/>
      <c r="POJ174" s="250"/>
      <c r="POK174" s="250"/>
      <c r="POL174" s="250"/>
      <c r="POM174" s="250"/>
      <c r="PON174" s="250"/>
      <c r="POO174" s="250"/>
      <c r="POP174" s="250"/>
      <c r="POQ174" s="250"/>
      <c r="POR174" s="250"/>
      <c r="POS174" s="250"/>
      <c r="POT174" s="250"/>
      <c r="POU174" s="250"/>
      <c r="POV174" s="250"/>
      <c r="POW174" s="250"/>
      <c r="POX174" s="250"/>
      <c r="POY174" s="250"/>
      <c r="POZ174" s="250"/>
      <c r="PPA174" s="250"/>
      <c r="PPB174" s="250"/>
      <c r="PPC174" s="250"/>
      <c r="PPD174" s="250"/>
      <c r="PPE174" s="250"/>
      <c r="PPF174" s="250"/>
      <c r="PPG174" s="250"/>
      <c r="PPH174" s="250"/>
      <c r="PPI174" s="250"/>
      <c r="PPJ174" s="250"/>
      <c r="PPK174" s="250"/>
      <c r="PPL174" s="250"/>
      <c r="PPM174" s="250"/>
      <c r="PPN174" s="250"/>
      <c r="PPO174" s="250"/>
      <c r="PPP174" s="250"/>
      <c r="PPQ174" s="250"/>
      <c r="PPR174" s="250"/>
      <c r="PPS174" s="250"/>
      <c r="PPT174" s="250"/>
      <c r="PPU174" s="250"/>
      <c r="PPV174" s="250"/>
      <c r="PPW174" s="250"/>
      <c r="PPX174" s="250"/>
      <c r="PPY174" s="250"/>
      <c r="PPZ174" s="250"/>
      <c r="PQA174" s="250"/>
      <c r="PQB174" s="250"/>
      <c r="PQC174" s="250"/>
      <c r="PQD174" s="250"/>
      <c r="PQE174" s="250"/>
      <c r="PQF174" s="250"/>
      <c r="PQG174" s="250"/>
      <c r="PQH174" s="250"/>
      <c r="PQI174" s="250"/>
      <c r="PQJ174" s="250"/>
      <c r="PQK174" s="250"/>
      <c r="PQL174" s="250"/>
      <c r="PQM174" s="250"/>
      <c r="PQN174" s="250"/>
      <c r="PQO174" s="250"/>
      <c r="PQP174" s="250"/>
      <c r="PQQ174" s="250"/>
      <c r="PQR174" s="250"/>
      <c r="PQS174" s="250"/>
      <c r="PQT174" s="250"/>
      <c r="PQU174" s="250"/>
      <c r="PQV174" s="250"/>
      <c r="PQW174" s="250"/>
      <c r="PQX174" s="250"/>
      <c r="PQY174" s="250"/>
      <c r="PQZ174" s="250"/>
      <c r="PRA174" s="250"/>
      <c r="PRB174" s="250"/>
      <c r="PRC174" s="250"/>
      <c r="PRD174" s="250"/>
      <c r="PRE174" s="250"/>
      <c r="PRF174" s="250"/>
      <c r="PRG174" s="250"/>
      <c r="PRH174" s="250"/>
      <c r="PRI174" s="250"/>
      <c r="PRJ174" s="250"/>
      <c r="PRK174" s="250"/>
      <c r="PRL174" s="250"/>
      <c r="PRM174" s="250"/>
      <c r="PRN174" s="250"/>
      <c r="PRO174" s="250"/>
      <c r="PRP174" s="250"/>
      <c r="PRQ174" s="250"/>
      <c r="PRR174" s="250"/>
      <c r="PRS174" s="250"/>
      <c r="PRT174" s="250"/>
      <c r="PRU174" s="250"/>
      <c r="PRV174" s="250"/>
      <c r="PRW174" s="250"/>
      <c r="PRX174" s="250"/>
      <c r="PRY174" s="250"/>
      <c r="PRZ174" s="250"/>
      <c r="PSA174" s="250"/>
      <c r="PSB174" s="250"/>
      <c r="PSC174" s="250"/>
      <c r="PSD174" s="250"/>
      <c r="PSE174" s="250"/>
      <c r="PSF174" s="250"/>
      <c r="PSG174" s="250"/>
      <c r="PSH174" s="250"/>
      <c r="PSI174" s="250"/>
      <c r="PSJ174" s="250"/>
      <c r="PSK174" s="250"/>
      <c r="PSL174" s="250"/>
      <c r="PSM174" s="250"/>
      <c r="PSN174" s="250"/>
      <c r="PSO174" s="250"/>
      <c r="PSP174" s="250"/>
      <c r="PSQ174" s="250"/>
      <c r="PSR174" s="250"/>
      <c r="PSS174" s="250"/>
      <c r="PST174" s="250"/>
      <c r="PSU174" s="250"/>
      <c r="PSV174" s="250"/>
      <c r="PSW174" s="250"/>
      <c r="PSX174" s="250"/>
      <c r="PSY174" s="250"/>
      <c r="PSZ174" s="250"/>
      <c r="PTA174" s="250"/>
      <c r="PTB174" s="250"/>
      <c r="PTC174" s="250"/>
      <c r="PTD174" s="250"/>
      <c r="PTE174" s="250"/>
      <c r="PTF174" s="250"/>
      <c r="PTG174" s="250"/>
      <c r="PTH174" s="250"/>
      <c r="PTI174" s="250"/>
      <c r="PTJ174" s="250"/>
      <c r="PTK174" s="250"/>
      <c r="PTL174" s="250"/>
      <c r="PTM174" s="250"/>
      <c r="PTN174" s="250"/>
      <c r="PTO174" s="250"/>
      <c r="PTP174" s="250"/>
      <c r="PTQ174" s="250"/>
      <c r="PTR174" s="250"/>
      <c r="PTS174" s="250"/>
      <c r="PTT174" s="250"/>
      <c r="PTU174" s="250"/>
      <c r="PTV174" s="250"/>
      <c r="PTW174" s="250"/>
      <c r="PTX174" s="250"/>
      <c r="PTY174" s="250"/>
      <c r="PTZ174" s="250"/>
      <c r="PUA174" s="250"/>
      <c r="PUB174" s="250"/>
      <c r="PUC174" s="250"/>
      <c r="PUD174" s="250"/>
      <c r="PUE174" s="250"/>
      <c r="PUF174" s="250"/>
      <c r="PUG174" s="250"/>
      <c r="PUH174" s="250"/>
      <c r="PUI174" s="250"/>
      <c r="PUJ174" s="250"/>
      <c r="PUK174" s="250"/>
      <c r="PUL174" s="250"/>
      <c r="PUM174" s="250"/>
      <c r="PUN174" s="250"/>
      <c r="PUO174" s="250"/>
      <c r="PUP174" s="250"/>
      <c r="PUQ174" s="250"/>
      <c r="PUR174" s="250"/>
      <c r="PUS174" s="250"/>
      <c r="PUT174" s="250"/>
      <c r="PUU174" s="250"/>
      <c r="PUV174" s="250"/>
      <c r="PUW174" s="250"/>
      <c r="PUX174" s="250"/>
      <c r="PUY174" s="250"/>
      <c r="PUZ174" s="250"/>
      <c r="PVA174" s="250"/>
      <c r="PVB174" s="250"/>
      <c r="PVC174" s="250"/>
      <c r="PVD174" s="250"/>
      <c r="PVE174" s="250"/>
      <c r="PVF174" s="250"/>
      <c r="PVG174" s="250"/>
      <c r="PVH174" s="250"/>
      <c r="PVI174" s="250"/>
      <c r="PVJ174" s="250"/>
      <c r="PVK174" s="250"/>
      <c r="PVL174" s="250"/>
      <c r="PVM174" s="250"/>
      <c r="PVN174" s="250"/>
      <c r="PVO174" s="250"/>
      <c r="PVP174" s="250"/>
      <c r="PVQ174" s="250"/>
      <c r="PVR174" s="250"/>
      <c r="PVS174" s="250"/>
      <c r="PVT174" s="250"/>
      <c r="PVU174" s="250"/>
      <c r="PVV174" s="250"/>
      <c r="PVW174" s="250"/>
      <c r="PVX174" s="250"/>
      <c r="PVY174" s="250"/>
      <c r="PVZ174" s="250"/>
      <c r="PWA174" s="250"/>
      <c r="PWB174" s="250"/>
      <c r="PWC174" s="250"/>
      <c r="PWD174" s="250"/>
      <c r="PWE174" s="250"/>
      <c r="PWF174" s="250"/>
      <c r="PWG174" s="250"/>
      <c r="PWH174" s="250"/>
      <c r="PWI174" s="250"/>
      <c r="PWJ174" s="250"/>
      <c r="PWK174" s="250"/>
      <c r="PWL174" s="250"/>
      <c r="PWM174" s="250"/>
      <c r="PWN174" s="250"/>
      <c r="PWO174" s="250"/>
      <c r="PWP174" s="250"/>
      <c r="PWQ174" s="250"/>
      <c r="PWR174" s="250"/>
      <c r="PWS174" s="250"/>
      <c r="PWT174" s="250"/>
      <c r="PWU174" s="250"/>
      <c r="PWV174" s="250"/>
      <c r="PWW174" s="250"/>
      <c r="PWX174" s="250"/>
      <c r="PWY174" s="250"/>
      <c r="PWZ174" s="250"/>
      <c r="PXA174" s="250"/>
      <c r="PXB174" s="250"/>
      <c r="PXC174" s="250"/>
      <c r="PXD174" s="250"/>
      <c r="PXE174" s="250"/>
      <c r="PXF174" s="250"/>
      <c r="PXG174" s="250"/>
      <c r="PXH174" s="250"/>
      <c r="PXI174" s="250"/>
      <c r="PXJ174" s="250"/>
      <c r="PXK174" s="250"/>
      <c r="PXL174" s="250"/>
      <c r="PXM174" s="250"/>
      <c r="PXN174" s="250"/>
      <c r="PXO174" s="250"/>
      <c r="PXP174" s="250"/>
      <c r="PXQ174" s="250"/>
      <c r="PXR174" s="250"/>
      <c r="PXS174" s="250"/>
      <c r="PXT174" s="250"/>
      <c r="PXU174" s="250"/>
      <c r="PXV174" s="250"/>
      <c r="PXW174" s="250"/>
      <c r="PXX174" s="250"/>
      <c r="PXY174" s="250"/>
      <c r="PXZ174" s="250"/>
      <c r="PYA174" s="250"/>
      <c r="PYB174" s="250"/>
      <c r="PYC174" s="250"/>
      <c r="PYD174" s="250"/>
      <c r="PYE174" s="250"/>
      <c r="PYF174" s="250"/>
      <c r="PYG174" s="250"/>
      <c r="PYH174" s="250"/>
      <c r="PYI174" s="250"/>
      <c r="PYJ174" s="250"/>
      <c r="PYK174" s="250"/>
      <c r="PYL174" s="250"/>
      <c r="PYM174" s="250"/>
      <c r="PYN174" s="250"/>
      <c r="PYO174" s="250"/>
      <c r="PYP174" s="250"/>
      <c r="PYQ174" s="250"/>
      <c r="PYR174" s="250"/>
      <c r="PYS174" s="250"/>
      <c r="PYT174" s="250"/>
      <c r="PYU174" s="250"/>
      <c r="PYV174" s="250"/>
      <c r="PYW174" s="250"/>
      <c r="PYX174" s="250"/>
      <c r="PYY174" s="250"/>
      <c r="PYZ174" s="250"/>
      <c r="PZA174" s="250"/>
      <c r="PZB174" s="250"/>
      <c r="PZC174" s="250"/>
      <c r="PZD174" s="250"/>
      <c r="PZE174" s="250"/>
      <c r="PZF174" s="250"/>
      <c r="PZG174" s="250"/>
      <c r="PZH174" s="250"/>
      <c r="PZI174" s="250"/>
      <c r="PZJ174" s="250"/>
      <c r="PZK174" s="250"/>
      <c r="PZL174" s="250"/>
      <c r="PZM174" s="250"/>
      <c r="PZN174" s="250"/>
      <c r="PZO174" s="250"/>
      <c r="PZP174" s="250"/>
      <c r="PZQ174" s="250"/>
      <c r="PZR174" s="250"/>
      <c r="PZS174" s="250"/>
      <c r="PZT174" s="250"/>
      <c r="PZU174" s="250"/>
      <c r="PZV174" s="250"/>
      <c r="PZW174" s="250"/>
      <c r="PZX174" s="250"/>
      <c r="PZY174" s="250"/>
      <c r="PZZ174" s="250"/>
      <c r="QAA174" s="250"/>
      <c r="QAB174" s="250"/>
      <c r="QAC174" s="250"/>
      <c r="QAD174" s="250"/>
      <c r="QAE174" s="250"/>
      <c r="QAF174" s="250"/>
      <c r="QAG174" s="250"/>
      <c r="QAH174" s="250"/>
      <c r="QAI174" s="250"/>
      <c r="QAJ174" s="250"/>
      <c r="QAK174" s="250"/>
      <c r="QAL174" s="250"/>
      <c r="QAM174" s="250"/>
      <c r="QAN174" s="250"/>
      <c r="QAO174" s="250"/>
      <c r="QAP174" s="250"/>
      <c r="QAQ174" s="250"/>
      <c r="QAR174" s="250"/>
      <c r="QAS174" s="250"/>
      <c r="QAT174" s="250"/>
      <c r="QAU174" s="250"/>
      <c r="QAV174" s="250"/>
      <c r="QAW174" s="250"/>
      <c r="QAX174" s="250"/>
      <c r="QAY174" s="250"/>
      <c r="QAZ174" s="250"/>
      <c r="QBA174" s="250"/>
      <c r="QBB174" s="250"/>
      <c r="QBC174" s="250"/>
      <c r="QBD174" s="250"/>
      <c r="QBE174" s="250"/>
      <c r="QBF174" s="250"/>
      <c r="QBG174" s="250"/>
      <c r="QBH174" s="250"/>
      <c r="QBI174" s="250"/>
      <c r="QBJ174" s="250"/>
      <c r="QBK174" s="250"/>
      <c r="QBL174" s="250"/>
      <c r="QBM174" s="250"/>
      <c r="QBN174" s="250"/>
      <c r="QBO174" s="250"/>
      <c r="QBP174" s="250"/>
      <c r="QBQ174" s="250"/>
      <c r="QBR174" s="250"/>
      <c r="QBS174" s="250"/>
      <c r="QBT174" s="250"/>
      <c r="QBU174" s="250"/>
      <c r="QBV174" s="250"/>
      <c r="QBW174" s="250"/>
      <c r="QBX174" s="250"/>
      <c r="QBY174" s="250"/>
      <c r="QBZ174" s="250"/>
      <c r="QCA174" s="250"/>
      <c r="QCB174" s="250"/>
      <c r="QCC174" s="250"/>
      <c r="QCD174" s="250"/>
      <c r="QCE174" s="250"/>
      <c r="QCF174" s="250"/>
      <c r="QCG174" s="250"/>
      <c r="QCH174" s="250"/>
      <c r="QCI174" s="250"/>
      <c r="QCJ174" s="250"/>
      <c r="QCK174" s="250"/>
      <c r="QCL174" s="250"/>
      <c r="QCM174" s="250"/>
      <c r="QCN174" s="250"/>
      <c r="QCO174" s="250"/>
      <c r="QCP174" s="250"/>
      <c r="QCQ174" s="250"/>
      <c r="QCR174" s="250"/>
      <c r="QCS174" s="250"/>
      <c r="QCT174" s="250"/>
      <c r="QCU174" s="250"/>
      <c r="QCV174" s="250"/>
      <c r="QCW174" s="250"/>
      <c r="QCX174" s="250"/>
      <c r="QCY174" s="250"/>
      <c r="QCZ174" s="250"/>
      <c r="QDA174" s="250"/>
      <c r="QDB174" s="250"/>
      <c r="QDC174" s="250"/>
      <c r="QDD174" s="250"/>
      <c r="QDE174" s="250"/>
      <c r="QDF174" s="250"/>
      <c r="QDG174" s="250"/>
      <c r="QDH174" s="250"/>
      <c r="QDI174" s="250"/>
      <c r="QDJ174" s="250"/>
      <c r="QDK174" s="250"/>
      <c r="QDL174" s="250"/>
      <c r="QDM174" s="250"/>
      <c r="QDN174" s="250"/>
      <c r="QDO174" s="250"/>
      <c r="QDP174" s="250"/>
      <c r="QDQ174" s="250"/>
      <c r="QDR174" s="250"/>
      <c r="QDS174" s="250"/>
      <c r="QDT174" s="250"/>
      <c r="QDU174" s="250"/>
      <c r="QDV174" s="250"/>
      <c r="QDW174" s="250"/>
      <c r="QDX174" s="250"/>
      <c r="QDY174" s="250"/>
      <c r="QDZ174" s="250"/>
      <c r="QEA174" s="250"/>
      <c r="QEB174" s="250"/>
      <c r="QEC174" s="250"/>
      <c r="QED174" s="250"/>
      <c r="QEE174" s="250"/>
      <c r="QEF174" s="250"/>
      <c r="QEG174" s="250"/>
      <c r="QEH174" s="250"/>
      <c r="QEI174" s="250"/>
      <c r="QEJ174" s="250"/>
      <c r="QEK174" s="250"/>
      <c r="QEL174" s="250"/>
      <c r="QEM174" s="250"/>
      <c r="QEN174" s="250"/>
      <c r="QEO174" s="250"/>
      <c r="QEP174" s="250"/>
      <c r="QEQ174" s="250"/>
      <c r="QER174" s="250"/>
      <c r="QES174" s="250"/>
      <c r="QET174" s="250"/>
      <c r="QEU174" s="250"/>
      <c r="QEV174" s="250"/>
      <c r="QEW174" s="250"/>
      <c r="QEX174" s="250"/>
      <c r="QEY174" s="250"/>
      <c r="QEZ174" s="250"/>
      <c r="QFA174" s="250"/>
      <c r="QFB174" s="250"/>
      <c r="QFC174" s="250"/>
      <c r="QFD174" s="250"/>
      <c r="QFE174" s="250"/>
      <c r="QFF174" s="250"/>
      <c r="QFG174" s="250"/>
      <c r="QFH174" s="250"/>
      <c r="QFI174" s="250"/>
      <c r="QFJ174" s="250"/>
      <c r="QFK174" s="250"/>
      <c r="QFL174" s="250"/>
      <c r="QFM174" s="250"/>
      <c r="QFN174" s="250"/>
      <c r="QFO174" s="250"/>
      <c r="QFP174" s="250"/>
      <c r="QFQ174" s="250"/>
      <c r="QFR174" s="250"/>
      <c r="QFS174" s="250"/>
      <c r="QFT174" s="250"/>
      <c r="QFU174" s="250"/>
      <c r="QFV174" s="250"/>
      <c r="QFW174" s="250"/>
      <c r="QFX174" s="250"/>
      <c r="QFY174" s="250"/>
      <c r="QFZ174" s="250"/>
      <c r="QGA174" s="250"/>
      <c r="QGB174" s="250"/>
      <c r="QGC174" s="250"/>
      <c r="QGD174" s="250"/>
      <c r="QGE174" s="250"/>
      <c r="QGF174" s="250"/>
      <c r="QGG174" s="250"/>
      <c r="QGH174" s="250"/>
      <c r="QGI174" s="250"/>
      <c r="QGJ174" s="250"/>
      <c r="QGK174" s="250"/>
      <c r="QGL174" s="250"/>
      <c r="QGM174" s="250"/>
      <c r="QGN174" s="250"/>
      <c r="QGO174" s="250"/>
      <c r="QGP174" s="250"/>
      <c r="QGQ174" s="250"/>
      <c r="QGR174" s="250"/>
      <c r="QGS174" s="250"/>
      <c r="QGT174" s="250"/>
      <c r="QGU174" s="250"/>
      <c r="QGV174" s="250"/>
      <c r="QGW174" s="250"/>
      <c r="QGX174" s="250"/>
      <c r="QGY174" s="250"/>
      <c r="QGZ174" s="250"/>
      <c r="QHA174" s="250"/>
      <c r="QHB174" s="250"/>
      <c r="QHC174" s="250"/>
      <c r="QHD174" s="250"/>
      <c r="QHE174" s="250"/>
      <c r="QHF174" s="250"/>
      <c r="QHG174" s="250"/>
      <c r="QHH174" s="250"/>
      <c r="QHI174" s="250"/>
      <c r="QHJ174" s="250"/>
      <c r="QHK174" s="250"/>
      <c r="QHL174" s="250"/>
      <c r="QHM174" s="250"/>
      <c r="QHN174" s="250"/>
      <c r="QHO174" s="250"/>
      <c r="QHP174" s="250"/>
      <c r="QHQ174" s="250"/>
      <c r="QHR174" s="250"/>
      <c r="QHS174" s="250"/>
      <c r="QHT174" s="250"/>
      <c r="QHU174" s="250"/>
      <c r="QHV174" s="250"/>
      <c r="QHW174" s="250"/>
      <c r="QHX174" s="250"/>
      <c r="QHY174" s="250"/>
      <c r="QHZ174" s="250"/>
      <c r="QIA174" s="250"/>
      <c r="QIB174" s="250"/>
      <c r="QIC174" s="250"/>
      <c r="QID174" s="250"/>
      <c r="QIE174" s="250"/>
      <c r="QIF174" s="250"/>
      <c r="QIG174" s="250"/>
      <c r="QIH174" s="250"/>
      <c r="QII174" s="250"/>
      <c r="QIJ174" s="250"/>
      <c r="QIK174" s="250"/>
      <c r="QIL174" s="250"/>
      <c r="QIM174" s="250"/>
      <c r="QIN174" s="250"/>
      <c r="QIO174" s="250"/>
      <c r="QIP174" s="250"/>
      <c r="QIQ174" s="250"/>
      <c r="QIR174" s="250"/>
      <c r="QIS174" s="250"/>
      <c r="QIT174" s="250"/>
      <c r="QIU174" s="250"/>
      <c r="QIV174" s="250"/>
      <c r="QIW174" s="250"/>
      <c r="QIX174" s="250"/>
      <c r="QIY174" s="250"/>
      <c r="QIZ174" s="250"/>
      <c r="QJA174" s="250"/>
      <c r="QJB174" s="250"/>
      <c r="QJC174" s="250"/>
      <c r="QJD174" s="250"/>
      <c r="QJE174" s="250"/>
      <c r="QJF174" s="250"/>
      <c r="QJG174" s="250"/>
      <c r="QJH174" s="250"/>
      <c r="QJI174" s="250"/>
      <c r="QJJ174" s="250"/>
      <c r="QJK174" s="250"/>
      <c r="QJL174" s="250"/>
      <c r="QJM174" s="250"/>
      <c r="QJN174" s="250"/>
      <c r="QJO174" s="250"/>
      <c r="QJP174" s="250"/>
      <c r="QJQ174" s="250"/>
      <c r="QJR174" s="250"/>
      <c r="QJS174" s="250"/>
      <c r="QJT174" s="250"/>
      <c r="QJU174" s="250"/>
      <c r="QJV174" s="250"/>
      <c r="QJW174" s="250"/>
      <c r="QJX174" s="250"/>
      <c r="QJY174" s="250"/>
      <c r="QJZ174" s="250"/>
      <c r="QKA174" s="250"/>
      <c r="QKB174" s="250"/>
      <c r="QKC174" s="250"/>
      <c r="QKD174" s="250"/>
      <c r="QKE174" s="250"/>
      <c r="QKF174" s="250"/>
      <c r="QKG174" s="250"/>
      <c r="QKH174" s="250"/>
      <c r="QKI174" s="250"/>
      <c r="QKJ174" s="250"/>
      <c r="QKK174" s="250"/>
      <c r="QKL174" s="250"/>
      <c r="QKM174" s="250"/>
      <c r="QKN174" s="250"/>
      <c r="QKO174" s="250"/>
      <c r="QKP174" s="250"/>
      <c r="QKQ174" s="250"/>
      <c r="QKR174" s="250"/>
      <c r="QKS174" s="250"/>
      <c r="QKT174" s="250"/>
      <c r="QKU174" s="250"/>
      <c r="QKV174" s="250"/>
      <c r="QKW174" s="250"/>
      <c r="QKX174" s="250"/>
      <c r="QKY174" s="250"/>
      <c r="QKZ174" s="250"/>
      <c r="QLA174" s="250"/>
      <c r="QLB174" s="250"/>
      <c r="QLC174" s="250"/>
      <c r="QLD174" s="250"/>
      <c r="QLE174" s="250"/>
      <c r="QLF174" s="250"/>
      <c r="QLG174" s="250"/>
      <c r="QLH174" s="250"/>
      <c r="QLI174" s="250"/>
      <c r="QLJ174" s="250"/>
      <c r="QLK174" s="250"/>
      <c r="QLL174" s="250"/>
      <c r="QLM174" s="250"/>
      <c r="QLN174" s="250"/>
      <c r="QLO174" s="250"/>
      <c r="QLP174" s="250"/>
      <c r="QLQ174" s="250"/>
      <c r="QLR174" s="250"/>
      <c r="QLS174" s="250"/>
      <c r="QLT174" s="250"/>
      <c r="QLU174" s="250"/>
      <c r="QLV174" s="250"/>
      <c r="QLW174" s="250"/>
      <c r="QLX174" s="250"/>
      <c r="QLY174" s="250"/>
      <c r="QLZ174" s="250"/>
      <c r="QMA174" s="250"/>
      <c r="QMB174" s="250"/>
      <c r="QMC174" s="250"/>
      <c r="QMD174" s="250"/>
      <c r="QME174" s="250"/>
      <c r="QMF174" s="250"/>
      <c r="QMG174" s="250"/>
      <c r="QMH174" s="250"/>
      <c r="QMI174" s="250"/>
      <c r="QMJ174" s="250"/>
      <c r="QMK174" s="250"/>
      <c r="QML174" s="250"/>
      <c r="QMM174" s="250"/>
      <c r="QMN174" s="250"/>
      <c r="QMO174" s="250"/>
      <c r="QMP174" s="250"/>
      <c r="QMQ174" s="250"/>
      <c r="QMR174" s="250"/>
      <c r="QMS174" s="250"/>
      <c r="QMT174" s="250"/>
      <c r="QMU174" s="250"/>
      <c r="QMV174" s="250"/>
      <c r="QMW174" s="250"/>
      <c r="QMX174" s="250"/>
      <c r="QMY174" s="250"/>
      <c r="QMZ174" s="250"/>
      <c r="QNA174" s="250"/>
      <c r="QNB174" s="250"/>
      <c r="QNC174" s="250"/>
      <c r="QND174" s="250"/>
      <c r="QNE174" s="250"/>
      <c r="QNF174" s="250"/>
      <c r="QNG174" s="250"/>
      <c r="QNH174" s="250"/>
      <c r="QNI174" s="250"/>
      <c r="QNJ174" s="250"/>
      <c r="QNK174" s="250"/>
      <c r="QNL174" s="250"/>
      <c r="QNM174" s="250"/>
      <c r="QNN174" s="250"/>
      <c r="QNO174" s="250"/>
      <c r="QNP174" s="250"/>
      <c r="QNQ174" s="250"/>
      <c r="QNR174" s="250"/>
      <c r="QNS174" s="250"/>
      <c r="QNT174" s="250"/>
      <c r="QNU174" s="250"/>
      <c r="QNV174" s="250"/>
      <c r="QNW174" s="250"/>
      <c r="QNX174" s="250"/>
      <c r="QNY174" s="250"/>
      <c r="QNZ174" s="250"/>
      <c r="QOA174" s="250"/>
      <c r="QOB174" s="250"/>
      <c r="QOC174" s="250"/>
      <c r="QOD174" s="250"/>
      <c r="QOE174" s="250"/>
      <c r="QOF174" s="250"/>
      <c r="QOG174" s="250"/>
      <c r="QOH174" s="250"/>
      <c r="QOI174" s="250"/>
      <c r="QOJ174" s="250"/>
      <c r="QOK174" s="250"/>
      <c r="QOL174" s="250"/>
      <c r="QOM174" s="250"/>
      <c r="QON174" s="250"/>
      <c r="QOO174" s="250"/>
      <c r="QOP174" s="250"/>
      <c r="QOQ174" s="250"/>
      <c r="QOR174" s="250"/>
      <c r="QOS174" s="250"/>
      <c r="QOT174" s="250"/>
      <c r="QOU174" s="250"/>
      <c r="QOV174" s="250"/>
      <c r="QOW174" s="250"/>
      <c r="QOX174" s="250"/>
      <c r="QOY174" s="250"/>
      <c r="QOZ174" s="250"/>
      <c r="QPA174" s="250"/>
      <c r="QPB174" s="250"/>
      <c r="QPC174" s="250"/>
      <c r="QPD174" s="250"/>
      <c r="QPE174" s="250"/>
      <c r="QPF174" s="250"/>
      <c r="QPG174" s="250"/>
      <c r="QPH174" s="250"/>
      <c r="QPI174" s="250"/>
      <c r="QPJ174" s="250"/>
      <c r="QPK174" s="250"/>
      <c r="QPL174" s="250"/>
      <c r="QPM174" s="250"/>
      <c r="QPN174" s="250"/>
      <c r="QPO174" s="250"/>
      <c r="QPP174" s="250"/>
      <c r="QPQ174" s="250"/>
      <c r="QPR174" s="250"/>
      <c r="QPS174" s="250"/>
      <c r="QPT174" s="250"/>
      <c r="QPU174" s="250"/>
      <c r="QPV174" s="250"/>
      <c r="QPW174" s="250"/>
      <c r="QPX174" s="250"/>
      <c r="QPY174" s="250"/>
      <c r="QPZ174" s="250"/>
      <c r="QQA174" s="250"/>
      <c r="QQB174" s="250"/>
      <c r="QQC174" s="250"/>
      <c r="QQD174" s="250"/>
      <c r="QQE174" s="250"/>
      <c r="QQF174" s="250"/>
      <c r="QQG174" s="250"/>
      <c r="QQH174" s="250"/>
      <c r="QQI174" s="250"/>
      <c r="QQJ174" s="250"/>
      <c r="QQK174" s="250"/>
      <c r="QQL174" s="250"/>
      <c r="QQM174" s="250"/>
      <c r="QQN174" s="250"/>
      <c r="QQO174" s="250"/>
      <c r="QQP174" s="250"/>
      <c r="QQQ174" s="250"/>
      <c r="QQR174" s="250"/>
      <c r="QQS174" s="250"/>
      <c r="QQT174" s="250"/>
      <c r="QQU174" s="250"/>
      <c r="QQV174" s="250"/>
      <c r="QQW174" s="250"/>
      <c r="QQX174" s="250"/>
      <c r="QQY174" s="250"/>
      <c r="QQZ174" s="250"/>
      <c r="QRA174" s="250"/>
      <c r="QRB174" s="250"/>
      <c r="QRC174" s="250"/>
      <c r="QRD174" s="250"/>
      <c r="QRE174" s="250"/>
      <c r="QRF174" s="250"/>
      <c r="QRG174" s="250"/>
      <c r="QRH174" s="250"/>
      <c r="QRI174" s="250"/>
      <c r="QRJ174" s="250"/>
      <c r="QRK174" s="250"/>
      <c r="QRL174" s="250"/>
      <c r="QRM174" s="250"/>
      <c r="QRN174" s="250"/>
      <c r="QRO174" s="250"/>
      <c r="QRP174" s="250"/>
      <c r="QRQ174" s="250"/>
      <c r="QRR174" s="250"/>
      <c r="QRS174" s="250"/>
      <c r="QRT174" s="250"/>
      <c r="QRU174" s="250"/>
      <c r="QRV174" s="250"/>
      <c r="QRW174" s="250"/>
      <c r="QRX174" s="250"/>
      <c r="QRY174" s="250"/>
      <c r="QRZ174" s="250"/>
      <c r="QSA174" s="250"/>
      <c r="QSB174" s="250"/>
      <c r="QSC174" s="250"/>
      <c r="QSD174" s="250"/>
      <c r="QSE174" s="250"/>
      <c r="QSF174" s="250"/>
      <c r="QSG174" s="250"/>
      <c r="QSH174" s="250"/>
      <c r="QSI174" s="250"/>
      <c r="QSJ174" s="250"/>
      <c r="QSK174" s="250"/>
      <c r="QSL174" s="250"/>
      <c r="QSM174" s="250"/>
      <c r="QSN174" s="250"/>
      <c r="QSO174" s="250"/>
      <c r="QSP174" s="250"/>
      <c r="QSQ174" s="250"/>
      <c r="QSR174" s="250"/>
      <c r="QSS174" s="250"/>
      <c r="QST174" s="250"/>
      <c r="QSU174" s="250"/>
      <c r="QSV174" s="250"/>
      <c r="QSW174" s="250"/>
      <c r="QSX174" s="250"/>
      <c r="QSY174" s="250"/>
      <c r="QSZ174" s="250"/>
      <c r="QTA174" s="250"/>
      <c r="QTB174" s="250"/>
      <c r="QTC174" s="250"/>
      <c r="QTD174" s="250"/>
      <c r="QTE174" s="250"/>
      <c r="QTF174" s="250"/>
      <c r="QTG174" s="250"/>
      <c r="QTH174" s="250"/>
      <c r="QTI174" s="250"/>
      <c r="QTJ174" s="250"/>
      <c r="QTK174" s="250"/>
      <c r="QTL174" s="250"/>
      <c r="QTM174" s="250"/>
      <c r="QTN174" s="250"/>
      <c r="QTO174" s="250"/>
      <c r="QTP174" s="250"/>
      <c r="QTQ174" s="250"/>
      <c r="QTR174" s="250"/>
      <c r="QTS174" s="250"/>
      <c r="QTT174" s="250"/>
      <c r="QTU174" s="250"/>
      <c r="QTV174" s="250"/>
      <c r="QTW174" s="250"/>
      <c r="QTX174" s="250"/>
      <c r="QTY174" s="250"/>
      <c r="QTZ174" s="250"/>
      <c r="QUA174" s="250"/>
      <c r="QUB174" s="250"/>
      <c r="QUC174" s="250"/>
      <c r="QUD174" s="250"/>
      <c r="QUE174" s="250"/>
      <c r="QUF174" s="250"/>
      <c r="QUG174" s="250"/>
      <c r="QUH174" s="250"/>
      <c r="QUI174" s="250"/>
      <c r="QUJ174" s="250"/>
      <c r="QUK174" s="250"/>
      <c r="QUL174" s="250"/>
      <c r="QUM174" s="250"/>
      <c r="QUN174" s="250"/>
      <c r="QUO174" s="250"/>
      <c r="QUP174" s="250"/>
      <c r="QUQ174" s="250"/>
      <c r="QUR174" s="250"/>
      <c r="QUS174" s="250"/>
      <c r="QUT174" s="250"/>
      <c r="QUU174" s="250"/>
      <c r="QUV174" s="250"/>
      <c r="QUW174" s="250"/>
      <c r="QUX174" s="250"/>
      <c r="QUY174" s="250"/>
      <c r="QUZ174" s="250"/>
      <c r="QVA174" s="250"/>
      <c r="QVB174" s="250"/>
      <c r="QVC174" s="250"/>
      <c r="QVD174" s="250"/>
      <c r="QVE174" s="250"/>
      <c r="QVF174" s="250"/>
      <c r="QVG174" s="250"/>
      <c r="QVH174" s="250"/>
      <c r="QVI174" s="250"/>
      <c r="QVJ174" s="250"/>
      <c r="QVK174" s="250"/>
      <c r="QVL174" s="250"/>
      <c r="QVM174" s="250"/>
      <c r="QVN174" s="250"/>
      <c r="QVO174" s="250"/>
      <c r="QVP174" s="250"/>
      <c r="QVQ174" s="250"/>
      <c r="QVR174" s="250"/>
      <c r="QVS174" s="250"/>
      <c r="QVT174" s="250"/>
      <c r="QVU174" s="250"/>
      <c r="QVV174" s="250"/>
      <c r="QVW174" s="250"/>
      <c r="QVX174" s="250"/>
      <c r="QVY174" s="250"/>
      <c r="QVZ174" s="250"/>
      <c r="QWA174" s="250"/>
      <c r="QWB174" s="250"/>
      <c r="QWC174" s="250"/>
      <c r="QWD174" s="250"/>
      <c r="QWE174" s="250"/>
      <c r="QWF174" s="250"/>
      <c r="QWG174" s="250"/>
      <c r="QWH174" s="250"/>
      <c r="QWI174" s="250"/>
      <c r="QWJ174" s="250"/>
      <c r="QWK174" s="250"/>
      <c r="QWL174" s="250"/>
      <c r="QWM174" s="250"/>
      <c r="QWN174" s="250"/>
      <c r="QWO174" s="250"/>
      <c r="QWP174" s="250"/>
      <c r="QWQ174" s="250"/>
      <c r="QWR174" s="250"/>
      <c r="QWS174" s="250"/>
      <c r="QWT174" s="250"/>
      <c r="QWU174" s="250"/>
      <c r="QWV174" s="250"/>
      <c r="QWW174" s="250"/>
      <c r="QWX174" s="250"/>
      <c r="QWY174" s="250"/>
      <c r="QWZ174" s="250"/>
      <c r="QXA174" s="250"/>
      <c r="QXB174" s="250"/>
      <c r="QXC174" s="250"/>
      <c r="QXD174" s="250"/>
      <c r="QXE174" s="250"/>
      <c r="QXF174" s="250"/>
      <c r="QXG174" s="250"/>
      <c r="QXH174" s="250"/>
      <c r="QXI174" s="250"/>
      <c r="QXJ174" s="250"/>
      <c r="QXK174" s="250"/>
      <c r="QXL174" s="250"/>
      <c r="QXM174" s="250"/>
      <c r="QXN174" s="250"/>
      <c r="QXO174" s="250"/>
      <c r="QXP174" s="250"/>
      <c r="QXQ174" s="250"/>
      <c r="QXR174" s="250"/>
      <c r="QXS174" s="250"/>
      <c r="QXT174" s="250"/>
      <c r="QXU174" s="250"/>
      <c r="QXV174" s="250"/>
      <c r="QXW174" s="250"/>
      <c r="QXX174" s="250"/>
      <c r="QXY174" s="250"/>
      <c r="QXZ174" s="250"/>
      <c r="QYA174" s="250"/>
      <c r="QYB174" s="250"/>
      <c r="QYC174" s="250"/>
      <c r="QYD174" s="250"/>
      <c r="QYE174" s="250"/>
      <c r="QYF174" s="250"/>
      <c r="QYG174" s="250"/>
      <c r="QYH174" s="250"/>
      <c r="QYI174" s="250"/>
      <c r="QYJ174" s="250"/>
      <c r="QYK174" s="250"/>
      <c r="QYL174" s="250"/>
      <c r="QYM174" s="250"/>
      <c r="QYN174" s="250"/>
      <c r="QYO174" s="250"/>
      <c r="QYP174" s="250"/>
      <c r="QYQ174" s="250"/>
      <c r="QYR174" s="250"/>
      <c r="QYS174" s="250"/>
      <c r="QYT174" s="250"/>
      <c r="QYU174" s="250"/>
      <c r="QYV174" s="250"/>
      <c r="QYW174" s="250"/>
      <c r="QYX174" s="250"/>
      <c r="QYY174" s="250"/>
      <c r="QYZ174" s="250"/>
      <c r="QZA174" s="250"/>
      <c r="QZB174" s="250"/>
      <c r="QZC174" s="250"/>
      <c r="QZD174" s="250"/>
      <c r="QZE174" s="250"/>
      <c r="QZF174" s="250"/>
      <c r="QZG174" s="250"/>
      <c r="QZH174" s="250"/>
      <c r="QZI174" s="250"/>
      <c r="QZJ174" s="250"/>
      <c r="QZK174" s="250"/>
      <c r="QZL174" s="250"/>
      <c r="QZM174" s="250"/>
      <c r="QZN174" s="250"/>
      <c r="QZO174" s="250"/>
      <c r="QZP174" s="250"/>
      <c r="QZQ174" s="250"/>
      <c r="QZR174" s="250"/>
      <c r="QZS174" s="250"/>
      <c r="QZT174" s="250"/>
      <c r="QZU174" s="250"/>
      <c r="QZV174" s="250"/>
      <c r="QZW174" s="250"/>
      <c r="QZX174" s="250"/>
      <c r="QZY174" s="250"/>
      <c r="QZZ174" s="250"/>
      <c r="RAA174" s="250"/>
      <c r="RAB174" s="250"/>
      <c r="RAC174" s="250"/>
      <c r="RAD174" s="250"/>
      <c r="RAE174" s="250"/>
      <c r="RAF174" s="250"/>
      <c r="RAG174" s="250"/>
      <c r="RAH174" s="250"/>
      <c r="RAI174" s="250"/>
      <c r="RAJ174" s="250"/>
      <c r="RAK174" s="250"/>
      <c r="RAL174" s="250"/>
      <c r="RAM174" s="250"/>
      <c r="RAN174" s="250"/>
      <c r="RAO174" s="250"/>
      <c r="RAP174" s="250"/>
      <c r="RAQ174" s="250"/>
      <c r="RAR174" s="250"/>
      <c r="RAS174" s="250"/>
      <c r="RAT174" s="250"/>
      <c r="RAU174" s="250"/>
      <c r="RAV174" s="250"/>
      <c r="RAW174" s="250"/>
      <c r="RAX174" s="250"/>
      <c r="RAY174" s="250"/>
      <c r="RAZ174" s="250"/>
      <c r="RBA174" s="250"/>
      <c r="RBB174" s="250"/>
      <c r="RBC174" s="250"/>
      <c r="RBD174" s="250"/>
      <c r="RBE174" s="250"/>
      <c r="RBF174" s="250"/>
      <c r="RBG174" s="250"/>
      <c r="RBH174" s="250"/>
      <c r="RBI174" s="250"/>
      <c r="RBJ174" s="250"/>
      <c r="RBK174" s="250"/>
      <c r="RBL174" s="250"/>
      <c r="RBM174" s="250"/>
      <c r="RBN174" s="250"/>
      <c r="RBO174" s="250"/>
      <c r="RBP174" s="250"/>
      <c r="RBQ174" s="250"/>
      <c r="RBR174" s="250"/>
      <c r="RBS174" s="250"/>
      <c r="RBT174" s="250"/>
      <c r="RBU174" s="250"/>
      <c r="RBV174" s="250"/>
      <c r="RBW174" s="250"/>
      <c r="RBX174" s="250"/>
      <c r="RBY174" s="250"/>
      <c r="RBZ174" s="250"/>
      <c r="RCA174" s="250"/>
      <c r="RCB174" s="250"/>
      <c r="RCC174" s="250"/>
      <c r="RCD174" s="250"/>
      <c r="RCE174" s="250"/>
      <c r="RCF174" s="250"/>
      <c r="RCG174" s="250"/>
      <c r="RCH174" s="250"/>
      <c r="RCI174" s="250"/>
      <c r="RCJ174" s="250"/>
      <c r="RCK174" s="250"/>
      <c r="RCL174" s="250"/>
      <c r="RCM174" s="250"/>
      <c r="RCN174" s="250"/>
      <c r="RCO174" s="250"/>
      <c r="RCP174" s="250"/>
      <c r="RCQ174" s="250"/>
      <c r="RCR174" s="250"/>
      <c r="RCS174" s="250"/>
      <c r="RCT174" s="250"/>
      <c r="RCU174" s="250"/>
      <c r="RCV174" s="250"/>
      <c r="RCW174" s="250"/>
      <c r="RCX174" s="250"/>
      <c r="RCY174" s="250"/>
      <c r="RCZ174" s="250"/>
      <c r="RDA174" s="250"/>
      <c r="RDB174" s="250"/>
      <c r="RDC174" s="250"/>
      <c r="RDD174" s="250"/>
      <c r="RDE174" s="250"/>
      <c r="RDF174" s="250"/>
      <c r="RDG174" s="250"/>
      <c r="RDH174" s="250"/>
      <c r="RDI174" s="250"/>
      <c r="RDJ174" s="250"/>
      <c r="RDK174" s="250"/>
      <c r="RDL174" s="250"/>
      <c r="RDM174" s="250"/>
      <c r="RDN174" s="250"/>
      <c r="RDO174" s="250"/>
      <c r="RDP174" s="250"/>
      <c r="RDQ174" s="250"/>
      <c r="RDR174" s="250"/>
      <c r="RDS174" s="250"/>
      <c r="RDT174" s="250"/>
      <c r="RDU174" s="250"/>
      <c r="RDV174" s="250"/>
      <c r="RDW174" s="250"/>
      <c r="RDX174" s="250"/>
      <c r="RDY174" s="250"/>
      <c r="RDZ174" s="250"/>
      <c r="REA174" s="250"/>
      <c r="REB174" s="250"/>
      <c r="REC174" s="250"/>
      <c r="RED174" s="250"/>
      <c r="REE174" s="250"/>
      <c r="REF174" s="250"/>
      <c r="REG174" s="250"/>
      <c r="REH174" s="250"/>
      <c r="REI174" s="250"/>
      <c r="REJ174" s="250"/>
      <c r="REK174" s="250"/>
      <c r="REL174" s="250"/>
      <c r="REM174" s="250"/>
      <c r="REN174" s="250"/>
      <c r="REO174" s="250"/>
      <c r="REP174" s="250"/>
      <c r="REQ174" s="250"/>
      <c r="RER174" s="250"/>
      <c r="RES174" s="250"/>
      <c r="RET174" s="250"/>
      <c r="REU174" s="250"/>
      <c r="REV174" s="250"/>
      <c r="REW174" s="250"/>
      <c r="REX174" s="250"/>
      <c r="REY174" s="250"/>
      <c r="REZ174" s="250"/>
      <c r="RFA174" s="250"/>
      <c r="RFB174" s="250"/>
      <c r="RFC174" s="250"/>
      <c r="RFD174" s="250"/>
      <c r="RFE174" s="250"/>
      <c r="RFF174" s="250"/>
      <c r="RFG174" s="250"/>
      <c r="RFH174" s="250"/>
      <c r="RFI174" s="250"/>
      <c r="RFJ174" s="250"/>
      <c r="RFK174" s="250"/>
      <c r="RFL174" s="250"/>
      <c r="RFM174" s="250"/>
      <c r="RFN174" s="250"/>
      <c r="RFO174" s="250"/>
      <c r="RFP174" s="250"/>
      <c r="RFQ174" s="250"/>
      <c r="RFR174" s="250"/>
      <c r="RFS174" s="250"/>
      <c r="RFT174" s="250"/>
      <c r="RFU174" s="250"/>
      <c r="RFV174" s="250"/>
      <c r="RFW174" s="250"/>
      <c r="RFX174" s="250"/>
      <c r="RFY174" s="250"/>
      <c r="RFZ174" s="250"/>
      <c r="RGA174" s="250"/>
      <c r="RGB174" s="250"/>
      <c r="RGC174" s="250"/>
      <c r="RGD174" s="250"/>
      <c r="RGE174" s="250"/>
      <c r="RGF174" s="250"/>
      <c r="RGG174" s="250"/>
      <c r="RGH174" s="250"/>
      <c r="RGI174" s="250"/>
      <c r="RGJ174" s="250"/>
      <c r="RGK174" s="250"/>
      <c r="RGL174" s="250"/>
      <c r="RGM174" s="250"/>
      <c r="RGN174" s="250"/>
      <c r="RGO174" s="250"/>
      <c r="RGP174" s="250"/>
      <c r="RGQ174" s="250"/>
      <c r="RGR174" s="250"/>
      <c r="RGS174" s="250"/>
      <c r="RGT174" s="250"/>
      <c r="RGU174" s="250"/>
      <c r="RGV174" s="250"/>
      <c r="RGW174" s="250"/>
      <c r="RGX174" s="250"/>
      <c r="RGY174" s="250"/>
      <c r="RGZ174" s="250"/>
      <c r="RHA174" s="250"/>
      <c r="RHB174" s="250"/>
      <c r="RHC174" s="250"/>
      <c r="RHD174" s="250"/>
      <c r="RHE174" s="250"/>
      <c r="RHF174" s="250"/>
      <c r="RHG174" s="250"/>
      <c r="RHH174" s="250"/>
      <c r="RHI174" s="250"/>
      <c r="RHJ174" s="250"/>
      <c r="RHK174" s="250"/>
      <c r="RHL174" s="250"/>
      <c r="RHM174" s="250"/>
      <c r="RHN174" s="250"/>
      <c r="RHO174" s="250"/>
      <c r="RHP174" s="250"/>
      <c r="RHQ174" s="250"/>
      <c r="RHR174" s="250"/>
      <c r="RHS174" s="250"/>
      <c r="RHT174" s="250"/>
      <c r="RHU174" s="250"/>
      <c r="RHV174" s="250"/>
      <c r="RHW174" s="250"/>
      <c r="RHX174" s="250"/>
      <c r="RHY174" s="250"/>
      <c r="RHZ174" s="250"/>
      <c r="RIA174" s="250"/>
      <c r="RIB174" s="250"/>
      <c r="RIC174" s="250"/>
      <c r="RID174" s="250"/>
      <c r="RIE174" s="250"/>
      <c r="RIF174" s="250"/>
      <c r="RIG174" s="250"/>
      <c r="RIH174" s="250"/>
      <c r="RII174" s="250"/>
      <c r="RIJ174" s="250"/>
      <c r="RIK174" s="250"/>
      <c r="RIL174" s="250"/>
      <c r="RIM174" s="250"/>
      <c r="RIN174" s="250"/>
      <c r="RIO174" s="250"/>
      <c r="RIP174" s="250"/>
      <c r="RIQ174" s="250"/>
      <c r="RIR174" s="250"/>
      <c r="RIS174" s="250"/>
      <c r="RIT174" s="250"/>
      <c r="RIU174" s="250"/>
      <c r="RIV174" s="250"/>
      <c r="RIW174" s="250"/>
      <c r="RIX174" s="250"/>
      <c r="RIY174" s="250"/>
      <c r="RIZ174" s="250"/>
      <c r="RJA174" s="250"/>
      <c r="RJB174" s="250"/>
      <c r="RJC174" s="250"/>
      <c r="RJD174" s="250"/>
      <c r="RJE174" s="250"/>
      <c r="RJF174" s="250"/>
      <c r="RJG174" s="250"/>
      <c r="RJH174" s="250"/>
      <c r="RJI174" s="250"/>
      <c r="RJJ174" s="250"/>
      <c r="RJK174" s="250"/>
      <c r="RJL174" s="250"/>
      <c r="RJM174" s="250"/>
      <c r="RJN174" s="250"/>
      <c r="RJO174" s="250"/>
      <c r="RJP174" s="250"/>
      <c r="RJQ174" s="250"/>
      <c r="RJR174" s="250"/>
      <c r="RJS174" s="250"/>
      <c r="RJT174" s="250"/>
      <c r="RJU174" s="250"/>
      <c r="RJV174" s="250"/>
      <c r="RJW174" s="250"/>
      <c r="RJX174" s="250"/>
      <c r="RJY174" s="250"/>
      <c r="RJZ174" s="250"/>
      <c r="RKA174" s="250"/>
      <c r="RKB174" s="250"/>
      <c r="RKC174" s="250"/>
      <c r="RKD174" s="250"/>
      <c r="RKE174" s="250"/>
      <c r="RKF174" s="250"/>
      <c r="RKG174" s="250"/>
      <c r="RKH174" s="250"/>
      <c r="RKI174" s="250"/>
      <c r="RKJ174" s="250"/>
      <c r="RKK174" s="250"/>
      <c r="RKL174" s="250"/>
      <c r="RKM174" s="250"/>
      <c r="RKN174" s="250"/>
      <c r="RKO174" s="250"/>
      <c r="RKP174" s="250"/>
      <c r="RKQ174" s="250"/>
      <c r="RKR174" s="250"/>
      <c r="RKS174" s="250"/>
      <c r="RKT174" s="250"/>
      <c r="RKU174" s="250"/>
      <c r="RKV174" s="250"/>
      <c r="RKW174" s="250"/>
      <c r="RKX174" s="250"/>
      <c r="RKY174" s="250"/>
      <c r="RKZ174" s="250"/>
      <c r="RLA174" s="250"/>
      <c r="RLB174" s="250"/>
      <c r="RLC174" s="250"/>
      <c r="RLD174" s="250"/>
      <c r="RLE174" s="250"/>
      <c r="RLF174" s="250"/>
      <c r="RLG174" s="250"/>
      <c r="RLH174" s="250"/>
      <c r="RLI174" s="250"/>
      <c r="RLJ174" s="250"/>
      <c r="RLK174" s="250"/>
      <c r="RLL174" s="250"/>
      <c r="RLM174" s="250"/>
      <c r="RLN174" s="250"/>
      <c r="RLO174" s="250"/>
      <c r="RLP174" s="250"/>
      <c r="RLQ174" s="250"/>
      <c r="RLR174" s="250"/>
      <c r="RLS174" s="250"/>
      <c r="RLT174" s="250"/>
      <c r="RLU174" s="250"/>
      <c r="RLV174" s="250"/>
      <c r="RLW174" s="250"/>
      <c r="RLX174" s="250"/>
      <c r="RLY174" s="250"/>
      <c r="RLZ174" s="250"/>
      <c r="RMA174" s="250"/>
      <c r="RMB174" s="250"/>
      <c r="RMC174" s="250"/>
      <c r="RMD174" s="250"/>
      <c r="RME174" s="250"/>
      <c r="RMF174" s="250"/>
      <c r="RMG174" s="250"/>
      <c r="RMH174" s="250"/>
      <c r="RMI174" s="250"/>
      <c r="RMJ174" s="250"/>
      <c r="RMK174" s="250"/>
      <c r="RML174" s="250"/>
      <c r="RMM174" s="250"/>
      <c r="RMN174" s="250"/>
      <c r="RMO174" s="250"/>
      <c r="RMP174" s="250"/>
      <c r="RMQ174" s="250"/>
      <c r="RMR174" s="250"/>
      <c r="RMS174" s="250"/>
      <c r="RMT174" s="250"/>
      <c r="RMU174" s="250"/>
      <c r="RMV174" s="250"/>
      <c r="RMW174" s="250"/>
      <c r="RMX174" s="250"/>
      <c r="RMY174" s="250"/>
      <c r="RMZ174" s="250"/>
      <c r="RNA174" s="250"/>
      <c r="RNB174" s="250"/>
      <c r="RNC174" s="250"/>
      <c r="RND174" s="250"/>
      <c r="RNE174" s="250"/>
      <c r="RNF174" s="250"/>
      <c r="RNG174" s="250"/>
      <c r="RNH174" s="250"/>
      <c r="RNI174" s="250"/>
      <c r="RNJ174" s="250"/>
      <c r="RNK174" s="250"/>
      <c r="RNL174" s="250"/>
      <c r="RNM174" s="250"/>
      <c r="RNN174" s="250"/>
      <c r="RNO174" s="250"/>
      <c r="RNP174" s="250"/>
      <c r="RNQ174" s="250"/>
      <c r="RNR174" s="250"/>
      <c r="RNS174" s="250"/>
      <c r="RNT174" s="250"/>
      <c r="RNU174" s="250"/>
      <c r="RNV174" s="250"/>
      <c r="RNW174" s="250"/>
      <c r="RNX174" s="250"/>
      <c r="RNY174" s="250"/>
      <c r="RNZ174" s="250"/>
      <c r="ROA174" s="250"/>
      <c r="ROB174" s="250"/>
      <c r="ROC174" s="250"/>
      <c r="ROD174" s="250"/>
      <c r="ROE174" s="250"/>
      <c r="ROF174" s="250"/>
      <c r="ROG174" s="250"/>
      <c r="ROH174" s="250"/>
      <c r="ROI174" s="250"/>
      <c r="ROJ174" s="250"/>
      <c r="ROK174" s="250"/>
      <c r="ROL174" s="250"/>
      <c r="ROM174" s="250"/>
      <c r="RON174" s="250"/>
      <c r="ROO174" s="250"/>
      <c r="ROP174" s="250"/>
      <c r="ROQ174" s="250"/>
      <c r="ROR174" s="250"/>
      <c r="ROS174" s="250"/>
      <c r="ROT174" s="250"/>
      <c r="ROU174" s="250"/>
      <c r="ROV174" s="250"/>
      <c r="ROW174" s="250"/>
      <c r="ROX174" s="250"/>
      <c r="ROY174" s="250"/>
      <c r="ROZ174" s="250"/>
      <c r="RPA174" s="250"/>
      <c r="RPB174" s="250"/>
      <c r="RPC174" s="250"/>
      <c r="RPD174" s="250"/>
      <c r="RPE174" s="250"/>
      <c r="RPF174" s="250"/>
      <c r="RPG174" s="250"/>
      <c r="RPH174" s="250"/>
      <c r="RPI174" s="250"/>
      <c r="RPJ174" s="250"/>
      <c r="RPK174" s="250"/>
      <c r="RPL174" s="250"/>
      <c r="RPM174" s="250"/>
      <c r="RPN174" s="250"/>
      <c r="RPO174" s="250"/>
      <c r="RPP174" s="250"/>
      <c r="RPQ174" s="250"/>
      <c r="RPR174" s="250"/>
      <c r="RPS174" s="250"/>
      <c r="RPT174" s="250"/>
      <c r="RPU174" s="250"/>
      <c r="RPV174" s="250"/>
      <c r="RPW174" s="250"/>
      <c r="RPX174" s="250"/>
      <c r="RPY174" s="250"/>
      <c r="RPZ174" s="250"/>
      <c r="RQA174" s="250"/>
      <c r="RQB174" s="250"/>
      <c r="RQC174" s="250"/>
      <c r="RQD174" s="250"/>
      <c r="RQE174" s="250"/>
      <c r="RQF174" s="250"/>
      <c r="RQG174" s="250"/>
      <c r="RQH174" s="250"/>
      <c r="RQI174" s="250"/>
      <c r="RQJ174" s="250"/>
      <c r="RQK174" s="250"/>
      <c r="RQL174" s="250"/>
      <c r="RQM174" s="250"/>
      <c r="RQN174" s="250"/>
      <c r="RQO174" s="250"/>
      <c r="RQP174" s="250"/>
      <c r="RQQ174" s="250"/>
      <c r="RQR174" s="250"/>
      <c r="RQS174" s="250"/>
      <c r="RQT174" s="250"/>
      <c r="RQU174" s="250"/>
      <c r="RQV174" s="250"/>
      <c r="RQW174" s="250"/>
      <c r="RQX174" s="250"/>
      <c r="RQY174" s="250"/>
      <c r="RQZ174" s="250"/>
      <c r="RRA174" s="250"/>
      <c r="RRB174" s="250"/>
      <c r="RRC174" s="250"/>
      <c r="RRD174" s="250"/>
      <c r="RRE174" s="250"/>
      <c r="RRF174" s="250"/>
      <c r="RRG174" s="250"/>
      <c r="RRH174" s="250"/>
      <c r="RRI174" s="250"/>
      <c r="RRJ174" s="250"/>
      <c r="RRK174" s="250"/>
      <c r="RRL174" s="250"/>
      <c r="RRM174" s="250"/>
      <c r="RRN174" s="250"/>
      <c r="RRO174" s="250"/>
      <c r="RRP174" s="250"/>
      <c r="RRQ174" s="250"/>
      <c r="RRR174" s="250"/>
      <c r="RRS174" s="250"/>
      <c r="RRT174" s="250"/>
      <c r="RRU174" s="250"/>
      <c r="RRV174" s="250"/>
      <c r="RRW174" s="250"/>
      <c r="RRX174" s="250"/>
      <c r="RRY174" s="250"/>
      <c r="RRZ174" s="250"/>
      <c r="RSA174" s="250"/>
      <c r="RSB174" s="250"/>
      <c r="RSC174" s="250"/>
      <c r="RSD174" s="250"/>
      <c r="RSE174" s="250"/>
      <c r="RSF174" s="250"/>
      <c r="RSG174" s="250"/>
      <c r="RSH174" s="250"/>
      <c r="RSI174" s="250"/>
      <c r="RSJ174" s="250"/>
      <c r="RSK174" s="250"/>
      <c r="RSL174" s="250"/>
      <c r="RSM174" s="250"/>
      <c r="RSN174" s="250"/>
      <c r="RSO174" s="250"/>
      <c r="RSP174" s="250"/>
      <c r="RSQ174" s="250"/>
      <c r="RSR174" s="250"/>
      <c r="RSS174" s="250"/>
      <c r="RST174" s="250"/>
      <c r="RSU174" s="250"/>
      <c r="RSV174" s="250"/>
      <c r="RSW174" s="250"/>
      <c r="RSX174" s="250"/>
      <c r="RSY174" s="250"/>
      <c r="RSZ174" s="250"/>
      <c r="RTA174" s="250"/>
      <c r="RTB174" s="250"/>
      <c r="RTC174" s="250"/>
      <c r="RTD174" s="250"/>
      <c r="RTE174" s="250"/>
      <c r="RTF174" s="250"/>
      <c r="RTG174" s="250"/>
      <c r="RTH174" s="250"/>
      <c r="RTI174" s="250"/>
      <c r="RTJ174" s="250"/>
      <c r="RTK174" s="250"/>
      <c r="RTL174" s="250"/>
      <c r="RTM174" s="250"/>
      <c r="RTN174" s="250"/>
      <c r="RTO174" s="250"/>
      <c r="RTP174" s="250"/>
      <c r="RTQ174" s="250"/>
      <c r="RTR174" s="250"/>
      <c r="RTS174" s="250"/>
      <c r="RTT174" s="250"/>
      <c r="RTU174" s="250"/>
      <c r="RTV174" s="250"/>
      <c r="RTW174" s="250"/>
      <c r="RTX174" s="250"/>
      <c r="RTY174" s="250"/>
      <c r="RTZ174" s="250"/>
      <c r="RUA174" s="250"/>
      <c r="RUB174" s="250"/>
      <c r="RUC174" s="250"/>
      <c r="RUD174" s="250"/>
      <c r="RUE174" s="250"/>
      <c r="RUF174" s="250"/>
      <c r="RUG174" s="250"/>
      <c r="RUH174" s="250"/>
      <c r="RUI174" s="250"/>
      <c r="RUJ174" s="250"/>
      <c r="RUK174" s="250"/>
      <c r="RUL174" s="250"/>
      <c r="RUM174" s="250"/>
      <c r="RUN174" s="250"/>
      <c r="RUO174" s="250"/>
      <c r="RUP174" s="250"/>
      <c r="RUQ174" s="250"/>
      <c r="RUR174" s="250"/>
      <c r="RUS174" s="250"/>
      <c r="RUT174" s="250"/>
      <c r="RUU174" s="250"/>
      <c r="RUV174" s="250"/>
      <c r="RUW174" s="250"/>
      <c r="RUX174" s="250"/>
      <c r="RUY174" s="250"/>
      <c r="RUZ174" s="250"/>
      <c r="RVA174" s="250"/>
      <c r="RVB174" s="250"/>
      <c r="RVC174" s="250"/>
      <c r="RVD174" s="250"/>
      <c r="RVE174" s="250"/>
      <c r="RVF174" s="250"/>
      <c r="RVG174" s="250"/>
      <c r="RVH174" s="250"/>
      <c r="RVI174" s="250"/>
      <c r="RVJ174" s="250"/>
      <c r="RVK174" s="250"/>
      <c r="RVL174" s="250"/>
      <c r="RVM174" s="250"/>
      <c r="RVN174" s="250"/>
      <c r="RVO174" s="250"/>
      <c r="RVP174" s="250"/>
      <c r="RVQ174" s="250"/>
      <c r="RVR174" s="250"/>
      <c r="RVS174" s="250"/>
      <c r="RVT174" s="250"/>
      <c r="RVU174" s="250"/>
      <c r="RVV174" s="250"/>
      <c r="RVW174" s="250"/>
      <c r="RVX174" s="250"/>
      <c r="RVY174" s="250"/>
      <c r="RVZ174" s="250"/>
      <c r="RWA174" s="250"/>
      <c r="RWB174" s="250"/>
      <c r="RWC174" s="250"/>
      <c r="RWD174" s="250"/>
      <c r="RWE174" s="250"/>
      <c r="RWF174" s="250"/>
      <c r="RWG174" s="250"/>
      <c r="RWH174" s="250"/>
      <c r="RWI174" s="250"/>
      <c r="RWJ174" s="250"/>
      <c r="RWK174" s="250"/>
      <c r="RWL174" s="250"/>
      <c r="RWM174" s="250"/>
      <c r="RWN174" s="250"/>
      <c r="RWO174" s="250"/>
      <c r="RWP174" s="250"/>
      <c r="RWQ174" s="250"/>
      <c r="RWR174" s="250"/>
      <c r="RWS174" s="250"/>
      <c r="RWT174" s="250"/>
      <c r="RWU174" s="250"/>
      <c r="RWV174" s="250"/>
      <c r="RWW174" s="250"/>
      <c r="RWX174" s="250"/>
      <c r="RWY174" s="250"/>
      <c r="RWZ174" s="250"/>
      <c r="RXA174" s="250"/>
      <c r="RXB174" s="250"/>
      <c r="RXC174" s="250"/>
      <c r="RXD174" s="250"/>
      <c r="RXE174" s="250"/>
      <c r="RXF174" s="250"/>
      <c r="RXG174" s="250"/>
      <c r="RXH174" s="250"/>
      <c r="RXI174" s="250"/>
      <c r="RXJ174" s="250"/>
      <c r="RXK174" s="250"/>
      <c r="RXL174" s="250"/>
      <c r="RXM174" s="250"/>
      <c r="RXN174" s="250"/>
      <c r="RXO174" s="250"/>
      <c r="RXP174" s="250"/>
      <c r="RXQ174" s="250"/>
      <c r="RXR174" s="250"/>
      <c r="RXS174" s="250"/>
      <c r="RXT174" s="250"/>
      <c r="RXU174" s="250"/>
      <c r="RXV174" s="250"/>
      <c r="RXW174" s="250"/>
      <c r="RXX174" s="250"/>
      <c r="RXY174" s="250"/>
      <c r="RXZ174" s="250"/>
      <c r="RYA174" s="250"/>
      <c r="RYB174" s="250"/>
      <c r="RYC174" s="250"/>
      <c r="RYD174" s="250"/>
      <c r="RYE174" s="250"/>
      <c r="RYF174" s="250"/>
      <c r="RYG174" s="250"/>
      <c r="RYH174" s="250"/>
      <c r="RYI174" s="250"/>
      <c r="RYJ174" s="250"/>
      <c r="RYK174" s="250"/>
      <c r="RYL174" s="250"/>
      <c r="RYM174" s="250"/>
      <c r="RYN174" s="250"/>
      <c r="RYO174" s="250"/>
      <c r="RYP174" s="250"/>
      <c r="RYQ174" s="250"/>
      <c r="RYR174" s="250"/>
      <c r="RYS174" s="250"/>
      <c r="RYT174" s="250"/>
      <c r="RYU174" s="250"/>
      <c r="RYV174" s="250"/>
      <c r="RYW174" s="250"/>
      <c r="RYX174" s="250"/>
      <c r="RYY174" s="250"/>
      <c r="RYZ174" s="250"/>
      <c r="RZA174" s="250"/>
      <c r="RZB174" s="250"/>
      <c r="RZC174" s="250"/>
      <c r="RZD174" s="250"/>
      <c r="RZE174" s="250"/>
      <c r="RZF174" s="250"/>
      <c r="RZG174" s="250"/>
      <c r="RZH174" s="250"/>
      <c r="RZI174" s="250"/>
      <c r="RZJ174" s="250"/>
      <c r="RZK174" s="250"/>
      <c r="RZL174" s="250"/>
      <c r="RZM174" s="250"/>
      <c r="RZN174" s="250"/>
      <c r="RZO174" s="250"/>
      <c r="RZP174" s="250"/>
      <c r="RZQ174" s="250"/>
      <c r="RZR174" s="250"/>
      <c r="RZS174" s="250"/>
      <c r="RZT174" s="250"/>
      <c r="RZU174" s="250"/>
      <c r="RZV174" s="250"/>
      <c r="RZW174" s="250"/>
      <c r="RZX174" s="250"/>
      <c r="RZY174" s="250"/>
      <c r="RZZ174" s="250"/>
      <c r="SAA174" s="250"/>
      <c r="SAB174" s="250"/>
      <c r="SAC174" s="250"/>
      <c r="SAD174" s="250"/>
      <c r="SAE174" s="250"/>
      <c r="SAF174" s="250"/>
      <c r="SAG174" s="250"/>
      <c r="SAH174" s="250"/>
      <c r="SAI174" s="250"/>
      <c r="SAJ174" s="250"/>
      <c r="SAK174" s="250"/>
      <c r="SAL174" s="250"/>
      <c r="SAM174" s="250"/>
      <c r="SAN174" s="250"/>
      <c r="SAO174" s="250"/>
      <c r="SAP174" s="250"/>
      <c r="SAQ174" s="250"/>
      <c r="SAR174" s="250"/>
      <c r="SAS174" s="250"/>
      <c r="SAT174" s="250"/>
      <c r="SAU174" s="250"/>
      <c r="SAV174" s="250"/>
      <c r="SAW174" s="250"/>
      <c r="SAX174" s="250"/>
      <c r="SAY174" s="250"/>
      <c r="SAZ174" s="250"/>
      <c r="SBA174" s="250"/>
      <c r="SBB174" s="250"/>
      <c r="SBC174" s="250"/>
      <c r="SBD174" s="250"/>
      <c r="SBE174" s="250"/>
      <c r="SBF174" s="250"/>
      <c r="SBG174" s="250"/>
      <c r="SBH174" s="250"/>
      <c r="SBI174" s="250"/>
      <c r="SBJ174" s="250"/>
      <c r="SBK174" s="250"/>
      <c r="SBL174" s="250"/>
      <c r="SBM174" s="250"/>
      <c r="SBN174" s="250"/>
      <c r="SBO174" s="250"/>
      <c r="SBP174" s="250"/>
      <c r="SBQ174" s="250"/>
      <c r="SBR174" s="250"/>
      <c r="SBS174" s="250"/>
      <c r="SBT174" s="250"/>
      <c r="SBU174" s="250"/>
      <c r="SBV174" s="250"/>
      <c r="SBW174" s="250"/>
      <c r="SBX174" s="250"/>
      <c r="SBY174" s="250"/>
      <c r="SBZ174" s="250"/>
      <c r="SCA174" s="250"/>
      <c r="SCB174" s="250"/>
      <c r="SCC174" s="250"/>
      <c r="SCD174" s="250"/>
      <c r="SCE174" s="250"/>
      <c r="SCF174" s="250"/>
      <c r="SCG174" s="250"/>
      <c r="SCH174" s="250"/>
      <c r="SCI174" s="250"/>
      <c r="SCJ174" s="250"/>
      <c r="SCK174" s="250"/>
      <c r="SCL174" s="250"/>
      <c r="SCM174" s="250"/>
      <c r="SCN174" s="250"/>
      <c r="SCO174" s="250"/>
      <c r="SCP174" s="250"/>
      <c r="SCQ174" s="250"/>
      <c r="SCR174" s="250"/>
      <c r="SCS174" s="250"/>
      <c r="SCT174" s="250"/>
      <c r="SCU174" s="250"/>
      <c r="SCV174" s="250"/>
      <c r="SCW174" s="250"/>
      <c r="SCX174" s="250"/>
      <c r="SCY174" s="250"/>
      <c r="SCZ174" s="250"/>
      <c r="SDA174" s="250"/>
      <c r="SDB174" s="250"/>
      <c r="SDC174" s="250"/>
      <c r="SDD174" s="250"/>
      <c r="SDE174" s="250"/>
      <c r="SDF174" s="250"/>
      <c r="SDG174" s="250"/>
      <c r="SDH174" s="250"/>
      <c r="SDI174" s="250"/>
      <c r="SDJ174" s="250"/>
      <c r="SDK174" s="250"/>
      <c r="SDL174" s="250"/>
      <c r="SDM174" s="250"/>
      <c r="SDN174" s="250"/>
      <c r="SDO174" s="250"/>
      <c r="SDP174" s="250"/>
      <c r="SDQ174" s="250"/>
      <c r="SDR174" s="250"/>
      <c r="SDS174" s="250"/>
      <c r="SDT174" s="250"/>
      <c r="SDU174" s="250"/>
      <c r="SDV174" s="250"/>
      <c r="SDW174" s="250"/>
      <c r="SDX174" s="250"/>
      <c r="SDY174" s="250"/>
      <c r="SDZ174" s="250"/>
      <c r="SEA174" s="250"/>
      <c r="SEB174" s="250"/>
      <c r="SEC174" s="250"/>
      <c r="SED174" s="250"/>
      <c r="SEE174" s="250"/>
      <c r="SEF174" s="250"/>
      <c r="SEG174" s="250"/>
      <c r="SEH174" s="250"/>
      <c r="SEI174" s="250"/>
      <c r="SEJ174" s="250"/>
      <c r="SEK174" s="250"/>
      <c r="SEL174" s="250"/>
      <c r="SEM174" s="250"/>
      <c r="SEN174" s="250"/>
      <c r="SEO174" s="250"/>
      <c r="SEP174" s="250"/>
      <c r="SEQ174" s="250"/>
      <c r="SER174" s="250"/>
      <c r="SES174" s="250"/>
      <c r="SET174" s="250"/>
      <c r="SEU174" s="250"/>
      <c r="SEV174" s="250"/>
      <c r="SEW174" s="250"/>
      <c r="SEX174" s="250"/>
      <c r="SEY174" s="250"/>
      <c r="SEZ174" s="250"/>
      <c r="SFA174" s="250"/>
      <c r="SFB174" s="250"/>
      <c r="SFC174" s="250"/>
      <c r="SFD174" s="250"/>
      <c r="SFE174" s="250"/>
      <c r="SFF174" s="250"/>
      <c r="SFG174" s="250"/>
      <c r="SFH174" s="250"/>
      <c r="SFI174" s="250"/>
      <c r="SFJ174" s="250"/>
      <c r="SFK174" s="250"/>
      <c r="SFL174" s="250"/>
      <c r="SFM174" s="250"/>
      <c r="SFN174" s="250"/>
      <c r="SFO174" s="250"/>
      <c r="SFP174" s="250"/>
      <c r="SFQ174" s="250"/>
      <c r="SFR174" s="250"/>
      <c r="SFS174" s="250"/>
      <c r="SFT174" s="250"/>
      <c r="SFU174" s="250"/>
      <c r="SFV174" s="250"/>
      <c r="SFW174" s="250"/>
      <c r="SFX174" s="250"/>
      <c r="SFY174" s="250"/>
      <c r="SFZ174" s="250"/>
      <c r="SGA174" s="250"/>
      <c r="SGB174" s="250"/>
      <c r="SGC174" s="250"/>
      <c r="SGD174" s="250"/>
      <c r="SGE174" s="250"/>
      <c r="SGF174" s="250"/>
      <c r="SGG174" s="250"/>
      <c r="SGH174" s="250"/>
      <c r="SGI174" s="250"/>
      <c r="SGJ174" s="250"/>
      <c r="SGK174" s="250"/>
      <c r="SGL174" s="250"/>
      <c r="SGM174" s="250"/>
      <c r="SGN174" s="250"/>
      <c r="SGO174" s="250"/>
      <c r="SGP174" s="250"/>
      <c r="SGQ174" s="250"/>
      <c r="SGR174" s="250"/>
      <c r="SGS174" s="250"/>
      <c r="SGT174" s="250"/>
      <c r="SGU174" s="250"/>
      <c r="SGV174" s="250"/>
      <c r="SGW174" s="250"/>
      <c r="SGX174" s="250"/>
      <c r="SGY174" s="250"/>
      <c r="SGZ174" s="250"/>
      <c r="SHA174" s="250"/>
      <c r="SHB174" s="250"/>
      <c r="SHC174" s="250"/>
      <c r="SHD174" s="250"/>
      <c r="SHE174" s="250"/>
      <c r="SHF174" s="250"/>
      <c r="SHG174" s="250"/>
      <c r="SHH174" s="250"/>
      <c r="SHI174" s="250"/>
      <c r="SHJ174" s="250"/>
      <c r="SHK174" s="250"/>
      <c r="SHL174" s="250"/>
      <c r="SHM174" s="250"/>
      <c r="SHN174" s="250"/>
      <c r="SHO174" s="250"/>
      <c r="SHP174" s="250"/>
      <c r="SHQ174" s="250"/>
      <c r="SHR174" s="250"/>
      <c r="SHS174" s="250"/>
      <c r="SHT174" s="250"/>
      <c r="SHU174" s="250"/>
      <c r="SHV174" s="250"/>
      <c r="SHW174" s="250"/>
      <c r="SHX174" s="250"/>
      <c r="SHY174" s="250"/>
      <c r="SHZ174" s="250"/>
      <c r="SIA174" s="250"/>
      <c r="SIB174" s="250"/>
      <c r="SIC174" s="250"/>
      <c r="SID174" s="250"/>
      <c r="SIE174" s="250"/>
      <c r="SIF174" s="250"/>
      <c r="SIG174" s="250"/>
      <c r="SIH174" s="250"/>
      <c r="SII174" s="250"/>
      <c r="SIJ174" s="250"/>
      <c r="SIK174" s="250"/>
      <c r="SIL174" s="250"/>
      <c r="SIM174" s="250"/>
      <c r="SIN174" s="250"/>
      <c r="SIO174" s="250"/>
      <c r="SIP174" s="250"/>
      <c r="SIQ174" s="250"/>
      <c r="SIR174" s="250"/>
      <c r="SIS174" s="250"/>
      <c r="SIT174" s="250"/>
      <c r="SIU174" s="250"/>
      <c r="SIV174" s="250"/>
      <c r="SIW174" s="250"/>
      <c r="SIX174" s="250"/>
      <c r="SIY174" s="250"/>
      <c r="SIZ174" s="250"/>
      <c r="SJA174" s="250"/>
      <c r="SJB174" s="250"/>
      <c r="SJC174" s="250"/>
      <c r="SJD174" s="250"/>
      <c r="SJE174" s="250"/>
      <c r="SJF174" s="250"/>
      <c r="SJG174" s="250"/>
      <c r="SJH174" s="250"/>
      <c r="SJI174" s="250"/>
      <c r="SJJ174" s="250"/>
      <c r="SJK174" s="250"/>
      <c r="SJL174" s="250"/>
      <c r="SJM174" s="250"/>
      <c r="SJN174" s="250"/>
      <c r="SJO174" s="250"/>
      <c r="SJP174" s="250"/>
      <c r="SJQ174" s="250"/>
      <c r="SJR174" s="250"/>
      <c r="SJS174" s="250"/>
      <c r="SJT174" s="250"/>
      <c r="SJU174" s="250"/>
      <c r="SJV174" s="250"/>
      <c r="SJW174" s="250"/>
      <c r="SJX174" s="250"/>
      <c r="SJY174" s="250"/>
      <c r="SJZ174" s="250"/>
      <c r="SKA174" s="250"/>
      <c r="SKB174" s="250"/>
      <c r="SKC174" s="250"/>
      <c r="SKD174" s="250"/>
      <c r="SKE174" s="250"/>
      <c r="SKF174" s="250"/>
      <c r="SKG174" s="250"/>
      <c r="SKH174" s="250"/>
      <c r="SKI174" s="250"/>
      <c r="SKJ174" s="250"/>
      <c r="SKK174" s="250"/>
      <c r="SKL174" s="250"/>
      <c r="SKM174" s="250"/>
      <c r="SKN174" s="250"/>
      <c r="SKO174" s="250"/>
      <c r="SKP174" s="250"/>
      <c r="SKQ174" s="250"/>
      <c r="SKR174" s="250"/>
      <c r="SKS174" s="250"/>
      <c r="SKT174" s="250"/>
      <c r="SKU174" s="250"/>
      <c r="SKV174" s="250"/>
      <c r="SKW174" s="250"/>
      <c r="SKX174" s="250"/>
      <c r="SKY174" s="250"/>
      <c r="SKZ174" s="250"/>
      <c r="SLA174" s="250"/>
      <c r="SLB174" s="250"/>
      <c r="SLC174" s="250"/>
      <c r="SLD174" s="250"/>
      <c r="SLE174" s="250"/>
      <c r="SLF174" s="250"/>
      <c r="SLG174" s="250"/>
      <c r="SLH174" s="250"/>
      <c r="SLI174" s="250"/>
      <c r="SLJ174" s="250"/>
      <c r="SLK174" s="250"/>
      <c r="SLL174" s="250"/>
      <c r="SLM174" s="250"/>
      <c r="SLN174" s="250"/>
      <c r="SLO174" s="250"/>
      <c r="SLP174" s="250"/>
      <c r="SLQ174" s="250"/>
      <c r="SLR174" s="250"/>
      <c r="SLS174" s="250"/>
      <c r="SLT174" s="250"/>
      <c r="SLU174" s="250"/>
      <c r="SLV174" s="250"/>
      <c r="SLW174" s="250"/>
      <c r="SLX174" s="250"/>
      <c r="SLY174" s="250"/>
      <c r="SLZ174" s="250"/>
      <c r="SMA174" s="250"/>
      <c r="SMB174" s="250"/>
      <c r="SMC174" s="250"/>
      <c r="SMD174" s="250"/>
      <c r="SME174" s="250"/>
      <c r="SMF174" s="250"/>
      <c r="SMG174" s="250"/>
      <c r="SMH174" s="250"/>
      <c r="SMI174" s="250"/>
      <c r="SMJ174" s="250"/>
      <c r="SMK174" s="250"/>
      <c r="SML174" s="250"/>
      <c r="SMM174" s="250"/>
      <c r="SMN174" s="250"/>
      <c r="SMO174" s="250"/>
      <c r="SMP174" s="250"/>
      <c r="SMQ174" s="250"/>
      <c r="SMR174" s="250"/>
      <c r="SMS174" s="250"/>
      <c r="SMT174" s="250"/>
      <c r="SMU174" s="250"/>
      <c r="SMV174" s="250"/>
      <c r="SMW174" s="250"/>
      <c r="SMX174" s="250"/>
      <c r="SMY174" s="250"/>
      <c r="SMZ174" s="250"/>
      <c r="SNA174" s="250"/>
      <c r="SNB174" s="250"/>
      <c r="SNC174" s="250"/>
      <c r="SND174" s="250"/>
      <c r="SNE174" s="250"/>
      <c r="SNF174" s="250"/>
      <c r="SNG174" s="250"/>
      <c r="SNH174" s="250"/>
      <c r="SNI174" s="250"/>
      <c r="SNJ174" s="250"/>
      <c r="SNK174" s="250"/>
      <c r="SNL174" s="250"/>
      <c r="SNM174" s="250"/>
      <c r="SNN174" s="250"/>
      <c r="SNO174" s="250"/>
      <c r="SNP174" s="250"/>
      <c r="SNQ174" s="250"/>
      <c r="SNR174" s="250"/>
      <c r="SNS174" s="250"/>
      <c r="SNT174" s="250"/>
      <c r="SNU174" s="250"/>
      <c r="SNV174" s="250"/>
      <c r="SNW174" s="250"/>
      <c r="SNX174" s="250"/>
      <c r="SNY174" s="250"/>
      <c r="SNZ174" s="250"/>
      <c r="SOA174" s="250"/>
      <c r="SOB174" s="250"/>
      <c r="SOC174" s="250"/>
      <c r="SOD174" s="250"/>
      <c r="SOE174" s="250"/>
      <c r="SOF174" s="250"/>
      <c r="SOG174" s="250"/>
      <c r="SOH174" s="250"/>
      <c r="SOI174" s="250"/>
      <c r="SOJ174" s="250"/>
      <c r="SOK174" s="250"/>
      <c r="SOL174" s="250"/>
      <c r="SOM174" s="250"/>
      <c r="SON174" s="250"/>
      <c r="SOO174" s="250"/>
      <c r="SOP174" s="250"/>
      <c r="SOQ174" s="250"/>
      <c r="SOR174" s="250"/>
      <c r="SOS174" s="250"/>
      <c r="SOT174" s="250"/>
      <c r="SOU174" s="250"/>
      <c r="SOV174" s="250"/>
      <c r="SOW174" s="250"/>
      <c r="SOX174" s="250"/>
      <c r="SOY174" s="250"/>
      <c r="SOZ174" s="250"/>
      <c r="SPA174" s="250"/>
      <c r="SPB174" s="250"/>
      <c r="SPC174" s="250"/>
      <c r="SPD174" s="250"/>
      <c r="SPE174" s="250"/>
      <c r="SPF174" s="250"/>
      <c r="SPG174" s="250"/>
      <c r="SPH174" s="250"/>
      <c r="SPI174" s="250"/>
      <c r="SPJ174" s="250"/>
      <c r="SPK174" s="250"/>
      <c r="SPL174" s="250"/>
      <c r="SPM174" s="250"/>
      <c r="SPN174" s="250"/>
      <c r="SPO174" s="250"/>
      <c r="SPP174" s="250"/>
      <c r="SPQ174" s="250"/>
      <c r="SPR174" s="250"/>
      <c r="SPS174" s="250"/>
      <c r="SPT174" s="250"/>
      <c r="SPU174" s="250"/>
      <c r="SPV174" s="250"/>
      <c r="SPW174" s="250"/>
      <c r="SPX174" s="250"/>
      <c r="SPY174" s="250"/>
      <c r="SPZ174" s="250"/>
      <c r="SQA174" s="250"/>
      <c r="SQB174" s="250"/>
      <c r="SQC174" s="250"/>
      <c r="SQD174" s="250"/>
      <c r="SQE174" s="250"/>
      <c r="SQF174" s="250"/>
      <c r="SQG174" s="250"/>
      <c r="SQH174" s="250"/>
      <c r="SQI174" s="250"/>
      <c r="SQJ174" s="250"/>
      <c r="SQK174" s="250"/>
      <c r="SQL174" s="250"/>
      <c r="SQM174" s="250"/>
      <c r="SQN174" s="250"/>
      <c r="SQO174" s="250"/>
      <c r="SQP174" s="250"/>
      <c r="SQQ174" s="250"/>
      <c r="SQR174" s="250"/>
      <c r="SQS174" s="250"/>
      <c r="SQT174" s="250"/>
      <c r="SQU174" s="250"/>
      <c r="SQV174" s="250"/>
      <c r="SQW174" s="250"/>
      <c r="SQX174" s="250"/>
      <c r="SQY174" s="250"/>
      <c r="SQZ174" s="250"/>
      <c r="SRA174" s="250"/>
      <c r="SRB174" s="250"/>
      <c r="SRC174" s="250"/>
      <c r="SRD174" s="250"/>
      <c r="SRE174" s="250"/>
      <c r="SRF174" s="250"/>
      <c r="SRG174" s="250"/>
      <c r="SRH174" s="250"/>
      <c r="SRI174" s="250"/>
      <c r="SRJ174" s="250"/>
      <c r="SRK174" s="250"/>
      <c r="SRL174" s="250"/>
      <c r="SRM174" s="250"/>
      <c r="SRN174" s="250"/>
      <c r="SRO174" s="250"/>
      <c r="SRP174" s="250"/>
      <c r="SRQ174" s="250"/>
      <c r="SRR174" s="250"/>
      <c r="SRS174" s="250"/>
      <c r="SRT174" s="250"/>
      <c r="SRU174" s="250"/>
      <c r="SRV174" s="250"/>
      <c r="SRW174" s="250"/>
      <c r="SRX174" s="250"/>
      <c r="SRY174" s="250"/>
      <c r="SRZ174" s="250"/>
      <c r="SSA174" s="250"/>
      <c r="SSB174" s="250"/>
      <c r="SSC174" s="250"/>
      <c r="SSD174" s="250"/>
      <c r="SSE174" s="250"/>
      <c r="SSF174" s="250"/>
      <c r="SSG174" s="250"/>
      <c r="SSH174" s="250"/>
      <c r="SSI174" s="250"/>
      <c r="SSJ174" s="250"/>
      <c r="SSK174" s="250"/>
      <c r="SSL174" s="250"/>
      <c r="SSM174" s="250"/>
      <c r="SSN174" s="250"/>
      <c r="SSO174" s="250"/>
      <c r="SSP174" s="250"/>
      <c r="SSQ174" s="250"/>
      <c r="SSR174" s="250"/>
      <c r="SSS174" s="250"/>
      <c r="SST174" s="250"/>
      <c r="SSU174" s="250"/>
      <c r="SSV174" s="250"/>
      <c r="SSW174" s="250"/>
      <c r="SSX174" s="250"/>
      <c r="SSY174" s="250"/>
      <c r="SSZ174" s="250"/>
      <c r="STA174" s="250"/>
      <c r="STB174" s="250"/>
      <c r="STC174" s="250"/>
      <c r="STD174" s="250"/>
      <c r="STE174" s="250"/>
      <c r="STF174" s="250"/>
      <c r="STG174" s="250"/>
      <c r="STH174" s="250"/>
      <c r="STI174" s="250"/>
      <c r="STJ174" s="250"/>
      <c r="STK174" s="250"/>
      <c r="STL174" s="250"/>
      <c r="STM174" s="250"/>
      <c r="STN174" s="250"/>
      <c r="STO174" s="250"/>
      <c r="STP174" s="250"/>
      <c r="STQ174" s="250"/>
      <c r="STR174" s="250"/>
      <c r="STS174" s="250"/>
      <c r="STT174" s="250"/>
      <c r="STU174" s="250"/>
      <c r="STV174" s="250"/>
      <c r="STW174" s="250"/>
      <c r="STX174" s="250"/>
      <c r="STY174" s="250"/>
      <c r="STZ174" s="250"/>
      <c r="SUA174" s="250"/>
      <c r="SUB174" s="250"/>
      <c r="SUC174" s="250"/>
      <c r="SUD174" s="250"/>
      <c r="SUE174" s="250"/>
      <c r="SUF174" s="250"/>
      <c r="SUG174" s="250"/>
      <c r="SUH174" s="250"/>
      <c r="SUI174" s="250"/>
      <c r="SUJ174" s="250"/>
      <c r="SUK174" s="250"/>
      <c r="SUL174" s="250"/>
      <c r="SUM174" s="250"/>
      <c r="SUN174" s="250"/>
      <c r="SUO174" s="250"/>
      <c r="SUP174" s="250"/>
      <c r="SUQ174" s="250"/>
      <c r="SUR174" s="250"/>
      <c r="SUS174" s="250"/>
      <c r="SUT174" s="250"/>
      <c r="SUU174" s="250"/>
      <c r="SUV174" s="250"/>
      <c r="SUW174" s="250"/>
      <c r="SUX174" s="250"/>
      <c r="SUY174" s="250"/>
      <c r="SUZ174" s="250"/>
      <c r="SVA174" s="250"/>
      <c r="SVB174" s="250"/>
      <c r="SVC174" s="250"/>
      <c r="SVD174" s="250"/>
      <c r="SVE174" s="250"/>
      <c r="SVF174" s="250"/>
      <c r="SVG174" s="250"/>
      <c r="SVH174" s="250"/>
      <c r="SVI174" s="250"/>
      <c r="SVJ174" s="250"/>
      <c r="SVK174" s="250"/>
      <c r="SVL174" s="250"/>
      <c r="SVM174" s="250"/>
      <c r="SVN174" s="250"/>
      <c r="SVO174" s="250"/>
      <c r="SVP174" s="250"/>
      <c r="SVQ174" s="250"/>
      <c r="SVR174" s="250"/>
      <c r="SVS174" s="250"/>
      <c r="SVT174" s="250"/>
      <c r="SVU174" s="250"/>
      <c r="SVV174" s="250"/>
      <c r="SVW174" s="250"/>
      <c r="SVX174" s="250"/>
      <c r="SVY174" s="250"/>
      <c r="SVZ174" s="250"/>
      <c r="SWA174" s="250"/>
      <c r="SWB174" s="250"/>
      <c r="SWC174" s="250"/>
      <c r="SWD174" s="250"/>
      <c r="SWE174" s="250"/>
      <c r="SWF174" s="250"/>
      <c r="SWG174" s="250"/>
      <c r="SWH174" s="250"/>
      <c r="SWI174" s="250"/>
      <c r="SWJ174" s="250"/>
      <c r="SWK174" s="250"/>
      <c r="SWL174" s="250"/>
      <c r="SWM174" s="250"/>
      <c r="SWN174" s="250"/>
      <c r="SWO174" s="250"/>
      <c r="SWP174" s="250"/>
      <c r="SWQ174" s="250"/>
      <c r="SWR174" s="250"/>
      <c r="SWS174" s="250"/>
      <c r="SWT174" s="250"/>
      <c r="SWU174" s="250"/>
      <c r="SWV174" s="250"/>
      <c r="SWW174" s="250"/>
      <c r="SWX174" s="250"/>
      <c r="SWY174" s="250"/>
      <c r="SWZ174" s="250"/>
      <c r="SXA174" s="250"/>
      <c r="SXB174" s="250"/>
      <c r="SXC174" s="250"/>
      <c r="SXD174" s="250"/>
      <c r="SXE174" s="250"/>
      <c r="SXF174" s="250"/>
      <c r="SXG174" s="250"/>
      <c r="SXH174" s="250"/>
      <c r="SXI174" s="250"/>
      <c r="SXJ174" s="250"/>
      <c r="SXK174" s="250"/>
      <c r="SXL174" s="250"/>
      <c r="SXM174" s="250"/>
      <c r="SXN174" s="250"/>
      <c r="SXO174" s="250"/>
      <c r="SXP174" s="250"/>
      <c r="SXQ174" s="250"/>
      <c r="SXR174" s="250"/>
      <c r="SXS174" s="250"/>
      <c r="SXT174" s="250"/>
      <c r="SXU174" s="250"/>
      <c r="SXV174" s="250"/>
      <c r="SXW174" s="250"/>
      <c r="SXX174" s="250"/>
      <c r="SXY174" s="250"/>
      <c r="SXZ174" s="250"/>
      <c r="SYA174" s="250"/>
      <c r="SYB174" s="250"/>
      <c r="SYC174" s="250"/>
      <c r="SYD174" s="250"/>
      <c r="SYE174" s="250"/>
      <c r="SYF174" s="250"/>
      <c r="SYG174" s="250"/>
      <c r="SYH174" s="250"/>
      <c r="SYI174" s="250"/>
      <c r="SYJ174" s="250"/>
      <c r="SYK174" s="250"/>
      <c r="SYL174" s="250"/>
      <c r="SYM174" s="250"/>
      <c r="SYN174" s="250"/>
      <c r="SYO174" s="250"/>
      <c r="SYP174" s="250"/>
      <c r="SYQ174" s="250"/>
      <c r="SYR174" s="250"/>
      <c r="SYS174" s="250"/>
      <c r="SYT174" s="250"/>
      <c r="SYU174" s="250"/>
      <c r="SYV174" s="250"/>
      <c r="SYW174" s="250"/>
      <c r="SYX174" s="250"/>
      <c r="SYY174" s="250"/>
      <c r="SYZ174" s="250"/>
      <c r="SZA174" s="250"/>
      <c r="SZB174" s="250"/>
      <c r="SZC174" s="250"/>
      <c r="SZD174" s="250"/>
      <c r="SZE174" s="250"/>
      <c r="SZF174" s="250"/>
      <c r="SZG174" s="250"/>
      <c r="SZH174" s="250"/>
      <c r="SZI174" s="250"/>
      <c r="SZJ174" s="250"/>
      <c r="SZK174" s="250"/>
      <c r="SZL174" s="250"/>
      <c r="SZM174" s="250"/>
      <c r="SZN174" s="250"/>
      <c r="SZO174" s="250"/>
      <c r="SZP174" s="250"/>
      <c r="SZQ174" s="250"/>
      <c r="SZR174" s="250"/>
      <c r="SZS174" s="250"/>
      <c r="SZT174" s="250"/>
      <c r="SZU174" s="250"/>
      <c r="SZV174" s="250"/>
      <c r="SZW174" s="250"/>
      <c r="SZX174" s="250"/>
      <c r="SZY174" s="250"/>
      <c r="SZZ174" s="250"/>
      <c r="TAA174" s="250"/>
      <c r="TAB174" s="250"/>
      <c r="TAC174" s="250"/>
      <c r="TAD174" s="250"/>
      <c r="TAE174" s="250"/>
      <c r="TAF174" s="250"/>
      <c r="TAG174" s="250"/>
      <c r="TAH174" s="250"/>
      <c r="TAI174" s="250"/>
      <c r="TAJ174" s="250"/>
      <c r="TAK174" s="250"/>
      <c r="TAL174" s="250"/>
      <c r="TAM174" s="250"/>
      <c r="TAN174" s="250"/>
      <c r="TAO174" s="250"/>
      <c r="TAP174" s="250"/>
      <c r="TAQ174" s="250"/>
      <c r="TAR174" s="250"/>
      <c r="TAS174" s="250"/>
      <c r="TAT174" s="250"/>
      <c r="TAU174" s="250"/>
      <c r="TAV174" s="250"/>
      <c r="TAW174" s="250"/>
      <c r="TAX174" s="250"/>
      <c r="TAY174" s="250"/>
      <c r="TAZ174" s="250"/>
      <c r="TBA174" s="250"/>
      <c r="TBB174" s="250"/>
      <c r="TBC174" s="250"/>
      <c r="TBD174" s="250"/>
      <c r="TBE174" s="250"/>
      <c r="TBF174" s="250"/>
      <c r="TBG174" s="250"/>
      <c r="TBH174" s="250"/>
      <c r="TBI174" s="250"/>
      <c r="TBJ174" s="250"/>
      <c r="TBK174" s="250"/>
      <c r="TBL174" s="250"/>
      <c r="TBM174" s="250"/>
      <c r="TBN174" s="250"/>
      <c r="TBO174" s="250"/>
      <c r="TBP174" s="250"/>
      <c r="TBQ174" s="250"/>
      <c r="TBR174" s="250"/>
      <c r="TBS174" s="250"/>
      <c r="TBT174" s="250"/>
      <c r="TBU174" s="250"/>
      <c r="TBV174" s="250"/>
      <c r="TBW174" s="250"/>
      <c r="TBX174" s="250"/>
      <c r="TBY174" s="250"/>
      <c r="TBZ174" s="250"/>
      <c r="TCA174" s="250"/>
      <c r="TCB174" s="250"/>
      <c r="TCC174" s="250"/>
      <c r="TCD174" s="250"/>
      <c r="TCE174" s="250"/>
      <c r="TCF174" s="250"/>
      <c r="TCG174" s="250"/>
      <c r="TCH174" s="250"/>
      <c r="TCI174" s="250"/>
      <c r="TCJ174" s="250"/>
      <c r="TCK174" s="250"/>
      <c r="TCL174" s="250"/>
      <c r="TCM174" s="250"/>
      <c r="TCN174" s="250"/>
      <c r="TCO174" s="250"/>
      <c r="TCP174" s="250"/>
      <c r="TCQ174" s="250"/>
      <c r="TCR174" s="250"/>
      <c r="TCS174" s="250"/>
      <c r="TCT174" s="250"/>
      <c r="TCU174" s="250"/>
      <c r="TCV174" s="250"/>
      <c r="TCW174" s="250"/>
      <c r="TCX174" s="250"/>
      <c r="TCY174" s="250"/>
      <c r="TCZ174" s="250"/>
      <c r="TDA174" s="250"/>
      <c r="TDB174" s="250"/>
      <c r="TDC174" s="250"/>
      <c r="TDD174" s="250"/>
      <c r="TDE174" s="250"/>
      <c r="TDF174" s="250"/>
      <c r="TDG174" s="250"/>
      <c r="TDH174" s="250"/>
      <c r="TDI174" s="250"/>
      <c r="TDJ174" s="250"/>
      <c r="TDK174" s="250"/>
      <c r="TDL174" s="250"/>
      <c r="TDM174" s="250"/>
      <c r="TDN174" s="250"/>
      <c r="TDO174" s="250"/>
      <c r="TDP174" s="250"/>
      <c r="TDQ174" s="250"/>
      <c r="TDR174" s="250"/>
      <c r="TDS174" s="250"/>
      <c r="TDT174" s="250"/>
      <c r="TDU174" s="250"/>
      <c r="TDV174" s="250"/>
      <c r="TDW174" s="250"/>
      <c r="TDX174" s="250"/>
      <c r="TDY174" s="250"/>
      <c r="TDZ174" s="250"/>
      <c r="TEA174" s="250"/>
      <c r="TEB174" s="250"/>
      <c r="TEC174" s="250"/>
      <c r="TED174" s="250"/>
      <c r="TEE174" s="250"/>
      <c r="TEF174" s="250"/>
      <c r="TEG174" s="250"/>
      <c r="TEH174" s="250"/>
      <c r="TEI174" s="250"/>
      <c r="TEJ174" s="250"/>
      <c r="TEK174" s="250"/>
      <c r="TEL174" s="250"/>
      <c r="TEM174" s="250"/>
      <c r="TEN174" s="250"/>
      <c r="TEO174" s="250"/>
      <c r="TEP174" s="250"/>
      <c r="TEQ174" s="250"/>
      <c r="TER174" s="250"/>
      <c r="TES174" s="250"/>
      <c r="TET174" s="250"/>
      <c r="TEU174" s="250"/>
      <c r="TEV174" s="250"/>
      <c r="TEW174" s="250"/>
      <c r="TEX174" s="250"/>
      <c r="TEY174" s="250"/>
      <c r="TEZ174" s="250"/>
      <c r="TFA174" s="250"/>
      <c r="TFB174" s="250"/>
      <c r="TFC174" s="250"/>
      <c r="TFD174" s="250"/>
      <c r="TFE174" s="250"/>
      <c r="TFF174" s="250"/>
      <c r="TFG174" s="250"/>
      <c r="TFH174" s="250"/>
      <c r="TFI174" s="250"/>
      <c r="TFJ174" s="250"/>
      <c r="TFK174" s="250"/>
      <c r="TFL174" s="250"/>
      <c r="TFM174" s="250"/>
      <c r="TFN174" s="250"/>
      <c r="TFO174" s="250"/>
      <c r="TFP174" s="250"/>
      <c r="TFQ174" s="250"/>
      <c r="TFR174" s="250"/>
      <c r="TFS174" s="250"/>
      <c r="TFT174" s="250"/>
      <c r="TFU174" s="250"/>
      <c r="TFV174" s="250"/>
      <c r="TFW174" s="250"/>
      <c r="TFX174" s="250"/>
      <c r="TFY174" s="250"/>
      <c r="TFZ174" s="250"/>
      <c r="TGA174" s="250"/>
      <c r="TGB174" s="250"/>
      <c r="TGC174" s="250"/>
      <c r="TGD174" s="250"/>
      <c r="TGE174" s="250"/>
      <c r="TGF174" s="250"/>
      <c r="TGG174" s="250"/>
      <c r="TGH174" s="250"/>
      <c r="TGI174" s="250"/>
      <c r="TGJ174" s="250"/>
      <c r="TGK174" s="250"/>
      <c r="TGL174" s="250"/>
      <c r="TGM174" s="250"/>
      <c r="TGN174" s="250"/>
      <c r="TGO174" s="250"/>
      <c r="TGP174" s="250"/>
      <c r="TGQ174" s="250"/>
      <c r="TGR174" s="250"/>
      <c r="TGS174" s="250"/>
      <c r="TGT174" s="250"/>
      <c r="TGU174" s="250"/>
      <c r="TGV174" s="250"/>
      <c r="TGW174" s="250"/>
      <c r="TGX174" s="250"/>
      <c r="TGY174" s="250"/>
      <c r="TGZ174" s="250"/>
      <c r="THA174" s="250"/>
      <c r="THB174" s="250"/>
      <c r="THC174" s="250"/>
      <c r="THD174" s="250"/>
      <c r="THE174" s="250"/>
      <c r="THF174" s="250"/>
      <c r="THG174" s="250"/>
      <c r="THH174" s="250"/>
      <c r="THI174" s="250"/>
      <c r="THJ174" s="250"/>
      <c r="THK174" s="250"/>
      <c r="THL174" s="250"/>
      <c r="THM174" s="250"/>
      <c r="THN174" s="250"/>
      <c r="THO174" s="250"/>
      <c r="THP174" s="250"/>
      <c r="THQ174" s="250"/>
      <c r="THR174" s="250"/>
      <c r="THS174" s="250"/>
      <c r="THT174" s="250"/>
      <c r="THU174" s="250"/>
      <c r="THV174" s="250"/>
      <c r="THW174" s="250"/>
      <c r="THX174" s="250"/>
      <c r="THY174" s="250"/>
      <c r="THZ174" s="250"/>
      <c r="TIA174" s="250"/>
      <c r="TIB174" s="250"/>
      <c r="TIC174" s="250"/>
      <c r="TID174" s="250"/>
      <c r="TIE174" s="250"/>
      <c r="TIF174" s="250"/>
      <c r="TIG174" s="250"/>
      <c r="TIH174" s="250"/>
      <c r="TII174" s="250"/>
      <c r="TIJ174" s="250"/>
      <c r="TIK174" s="250"/>
      <c r="TIL174" s="250"/>
      <c r="TIM174" s="250"/>
      <c r="TIN174" s="250"/>
      <c r="TIO174" s="250"/>
      <c r="TIP174" s="250"/>
      <c r="TIQ174" s="250"/>
      <c r="TIR174" s="250"/>
      <c r="TIS174" s="250"/>
      <c r="TIT174" s="250"/>
      <c r="TIU174" s="250"/>
      <c r="TIV174" s="250"/>
      <c r="TIW174" s="250"/>
      <c r="TIX174" s="250"/>
      <c r="TIY174" s="250"/>
      <c r="TIZ174" s="250"/>
      <c r="TJA174" s="250"/>
      <c r="TJB174" s="250"/>
      <c r="TJC174" s="250"/>
      <c r="TJD174" s="250"/>
      <c r="TJE174" s="250"/>
      <c r="TJF174" s="250"/>
      <c r="TJG174" s="250"/>
      <c r="TJH174" s="250"/>
      <c r="TJI174" s="250"/>
      <c r="TJJ174" s="250"/>
      <c r="TJK174" s="250"/>
      <c r="TJL174" s="250"/>
      <c r="TJM174" s="250"/>
      <c r="TJN174" s="250"/>
      <c r="TJO174" s="250"/>
      <c r="TJP174" s="250"/>
      <c r="TJQ174" s="250"/>
      <c r="TJR174" s="250"/>
      <c r="TJS174" s="250"/>
      <c r="TJT174" s="250"/>
      <c r="TJU174" s="250"/>
      <c r="TJV174" s="250"/>
      <c r="TJW174" s="250"/>
      <c r="TJX174" s="250"/>
      <c r="TJY174" s="250"/>
      <c r="TJZ174" s="250"/>
      <c r="TKA174" s="250"/>
      <c r="TKB174" s="250"/>
      <c r="TKC174" s="250"/>
      <c r="TKD174" s="250"/>
      <c r="TKE174" s="250"/>
      <c r="TKF174" s="250"/>
      <c r="TKG174" s="250"/>
      <c r="TKH174" s="250"/>
      <c r="TKI174" s="250"/>
      <c r="TKJ174" s="250"/>
      <c r="TKK174" s="250"/>
      <c r="TKL174" s="250"/>
      <c r="TKM174" s="250"/>
      <c r="TKN174" s="250"/>
      <c r="TKO174" s="250"/>
      <c r="TKP174" s="250"/>
      <c r="TKQ174" s="250"/>
      <c r="TKR174" s="250"/>
      <c r="TKS174" s="250"/>
      <c r="TKT174" s="250"/>
      <c r="TKU174" s="250"/>
      <c r="TKV174" s="250"/>
      <c r="TKW174" s="250"/>
      <c r="TKX174" s="250"/>
      <c r="TKY174" s="250"/>
      <c r="TKZ174" s="250"/>
      <c r="TLA174" s="250"/>
      <c r="TLB174" s="250"/>
      <c r="TLC174" s="250"/>
      <c r="TLD174" s="250"/>
      <c r="TLE174" s="250"/>
      <c r="TLF174" s="250"/>
      <c r="TLG174" s="250"/>
      <c r="TLH174" s="250"/>
      <c r="TLI174" s="250"/>
      <c r="TLJ174" s="250"/>
      <c r="TLK174" s="250"/>
      <c r="TLL174" s="250"/>
      <c r="TLM174" s="250"/>
      <c r="TLN174" s="250"/>
      <c r="TLO174" s="250"/>
      <c r="TLP174" s="250"/>
      <c r="TLQ174" s="250"/>
      <c r="TLR174" s="250"/>
      <c r="TLS174" s="250"/>
      <c r="TLT174" s="250"/>
      <c r="TLU174" s="250"/>
      <c r="TLV174" s="250"/>
      <c r="TLW174" s="250"/>
      <c r="TLX174" s="250"/>
      <c r="TLY174" s="250"/>
      <c r="TLZ174" s="250"/>
      <c r="TMA174" s="250"/>
      <c r="TMB174" s="250"/>
      <c r="TMC174" s="250"/>
      <c r="TMD174" s="250"/>
      <c r="TME174" s="250"/>
      <c r="TMF174" s="250"/>
      <c r="TMG174" s="250"/>
      <c r="TMH174" s="250"/>
      <c r="TMI174" s="250"/>
      <c r="TMJ174" s="250"/>
      <c r="TMK174" s="250"/>
      <c r="TML174" s="250"/>
      <c r="TMM174" s="250"/>
      <c r="TMN174" s="250"/>
      <c r="TMO174" s="250"/>
      <c r="TMP174" s="250"/>
      <c r="TMQ174" s="250"/>
      <c r="TMR174" s="250"/>
      <c r="TMS174" s="250"/>
      <c r="TMT174" s="250"/>
      <c r="TMU174" s="250"/>
      <c r="TMV174" s="250"/>
      <c r="TMW174" s="250"/>
      <c r="TMX174" s="250"/>
      <c r="TMY174" s="250"/>
      <c r="TMZ174" s="250"/>
      <c r="TNA174" s="250"/>
      <c r="TNB174" s="250"/>
      <c r="TNC174" s="250"/>
      <c r="TND174" s="250"/>
      <c r="TNE174" s="250"/>
      <c r="TNF174" s="250"/>
      <c r="TNG174" s="250"/>
      <c r="TNH174" s="250"/>
      <c r="TNI174" s="250"/>
      <c r="TNJ174" s="250"/>
      <c r="TNK174" s="250"/>
      <c r="TNL174" s="250"/>
      <c r="TNM174" s="250"/>
      <c r="TNN174" s="250"/>
      <c r="TNO174" s="250"/>
      <c r="TNP174" s="250"/>
      <c r="TNQ174" s="250"/>
      <c r="TNR174" s="250"/>
      <c r="TNS174" s="250"/>
      <c r="TNT174" s="250"/>
      <c r="TNU174" s="250"/>
      <c r="TNV174" s="250"/>
      <c r="TNW174" s="250"/>
      <c r="TNX174" s="250"/>
      <c r="TNY174" s="250"/>
      <c r="TNZ174" s="250"/>
      <c r="TOA174" s="250"/>
      <c r="TOB174" s="250"/>
      <c r="TOC174" s="250"/>
      <c r="TOD174" s="250"/>
      <c r="TOE174" s="250"/>
      <c r="TOF174" s="250"/>
      <c r="TOG174" s="250"/>
      <c r="TOH174" s="250"/>
      <c r="TOI174" s="250"/>
      <c r="TOJ174" s="250"/>
      <c r="TOK174" s="250"/>
      <c r="TOL174" s="250"/>
      <c r="TOM174" s="250"/>
      <c r="TON174" s="250"/>
      <c r="TOO174" s="250"/>
      <c r="TOP174" s="250"/>
      <c r="TOQ174" s="250"/>
      <c r="TOR174" s="250"/>
      <c r="TOS174" s="250"/>
      <c r="TOT174" s="250"/>
      <c r="TOU174" s="250"/>
      <c r="TOV174" s="250"/>
      <c r="TOW174" s="250"/>
      <c r="TOX174" s="250"/>
      <c r="TOY174" s="250"/>
      <c r="TOZ174" s="250"/>
      <c r="TPA174" s="250"/>
      <c r="TPB174" s="250"/>
      <c r="TPC174" s="250"/>
      <c r="TPD174" s="250"/>
      <c r="TPE174" s="250"/>
      <c r="TPF174" s="250"/>
      <c r="TPG174" s="250"/>
      <c r="TPH174" s="250"/>
      <c r="TPI174" s="250"/>
      <c r="TPJ174" s="250"/>
      <c r="TPK174" s="250"/>
      <c r="TPL174" s="250"/>
      <c r="TPM174" s="250"/>
      <c r="TPN174" s="250"/>
      <c r="TPO174" s="250"/>
      <c r="TPP174" s="250"/>
      <c r="TPQ174" s="250"/>
      <c r="TPR174" s="250"/>
      <c r="TPS174" s="250"/>
      <c r="TPT174" s="250"/>
      <c r="TPU174" s="250"/>
      <c r="TPV174" s="250"/>
      <c r="TPW174" s="250"/>
      <c r="TPX174" s="250"/>
      <c r="TPY174" s="250"/>
      <c r="TPZ174" s="250"/>
      <c r="TQA174" s="250"/>
      <c r="TQB174" s="250"/>
      <c r="TQC174" s="250"/>
      <c r="TQD174" s="250"/>
      <c r="TQE174" s="250"/>
      <c r="TQF174" s="250"/>
      <c r="TQG174" s="250"/>
      <c r="TQH174" s="250"/>
      <c r="TQI174" s="250"/>
      <c r="TQJ174" s="250"/>
      <c r="TQK174" s="250"/>
      <c r="TQL174" s="250"/>
      <c r="TQM174" s="250"/>
      <c r="TQN174" s="250"/>
      <c r="TQO174" s="250"/>
      <c r="TQP174" s="250"/>
      <c r="TQQ174" s="250"/>
      <c r="TQR174" s="250"/>
      <c r="TQS174" s="250"/>
      <c r="TQT174" s="250"/>
      <c r="TQU174" s="250"/>
      <c r="TQV174" s="250"/>
      <c r="TQW174" s="250"/>
      <c r="TQX174" s="250"/>
      <c r="TQY174" s="250"/>
      <c r="TQZ174" s="250"/>
      <c r="TRA174" s="250"/>
      <c r="TRB174" s="250"/>
      <c r="TRC174" s="250"/>
      <c r="TRD174" s="250"/>
      <c r="TRE174" s="250"/>
      <c r="TRF174" s="250"/>
      <c r="TRG174" s="250"/>
      <c r="TRH174" s="250"/>
      <c r="TRI174" s="250"/>
      <c r="TRJ174" s="250"/>
      <c r="TRK174" s="250"/>
      <c r="TRL174" s="250"/>
      <c r="TRM174" s="250"/>
      <c r="TRN174" s="250"/>
      <c r="TRO174" s="250"/>
      <c r="TRP174" s="250"/>
      <c r="TRQ174" s="250"/>
      <c r="TRR174" s="250"/>
      <c r="TRS174" s="250"/>
      <c r="TRT174" s="250"/>
      <c r="TRU174" s="250"/>
      <c r="TRV174" s="250"/>
      <c r="TRW174" s="250"/>
      <c r="TRX174" s="250"/>
      <c r="TRY174" s="250"/>
      <c r="TRZ174" s="250"/>
      <c r="TSA174" s="250"/>
      <c r="TSB174" s="250"/>
      <c r="TSC174" s="250"/>
      <c r="TSD174" s="250"/>
      <c r="TSE174" s="250"/>
      <c r="TSF174" s="250"/>
      <c r="TSG174" s="250"/>
      <c r="TSH174" s="250"/>
      <c r="TSI174" s="250"/>
      <c r="TSJ174" s="250"/>
      <c r="TSK174" s="250"/>
      <c r="TSL174" s="250"/>
      <c r="TSM174" s="250"/>
      <c r="TSN174" s="250"/>
      <c r="TSO174" s="250"/>
      <c r="TSP174" s="250"/>
      <c r="TSQ174" s="250"/>
      <c r="TSR174" s="250"/>
      <c r="TSS174" s="250"/>
      <c r="TST174" s="250"/>
      <c r="TSU174" s="250"/>
      <c r="TSV174" s="250"/>
      <c r="TSW174" s="250"/>
      <c r="TSX174" s="250"/>
      <c r="TSY174" s="250"/>
      <c r="TSZ174" s="250"/>
      <c r="TTA174" s="250"/>
      <c r="TTB174" s="250"/>
      <c r="TTC174" s="250"/>
      <c r="TTD174" s="250"/>
      <c r="TTE174" s="250"/>
      <c r="TTF174" s="250"/>
      <c r="TTG174" s="250"/>
      <c r="TTH174" s="250"/>
      <c r="TTI174" s="250"/>
      <c r="TTJ174" s="250"/>
      <c r="TTK174" s="250"/>
      <c r="TTL174" s="250"/>
      <c r="TTM174" s="250"/>
      <c r="TTN174" s="250"/>
      <c r="TTO174" s="250"/>
      <c r="TTP174" s="250"/>
      <c r="TTQ174" s="250"/>
      <c r="TTR174" s="250"/>
      <c r="TTS174" s="250"/>
      <c r="TTT174" s="250"/>
      <c r="TTU174" s="250"/>
      <c r="TTV174" s="250"/>
      <c r="TTW174" s="250"/>
      <c r="TTX174" s="250"/>
      <c r="TTY174" s="250"/>
      <c r="TTZ174" s="250"/>
      <c r="TUA174" s="250"/>
      <c r="TUB174" s="250"/>
      <c r="TUC174" s="250"/>
      <c r="TUD174" s="250"/>
      <c r="TUE174" s="250"/>
      <c r="TUF174" s="250"/>
      <c r="TUG174" s="250"/>
      <c r="TUH174" s="250"/>
      <c r="TUI174" s="250"/>
      <c r="TUJ174" s="250"/>
      <c r="TUK174" s="250"/>
      <c r="TUL174" s="250"/>
      <c r="TUM174" s="250"/>
      <c r="TUN174" s="250"/>
      <c r="TUO174" s="250"/>
      <c r="TUP174" s="250"/>
      <c r="TUQ174" s="250"/>
      <c r="TUR174" s="250"/>
      <c r="TUS174" s="250"/>
      <c r="TUT174" s="250"/>
      <c r="TUU174" s="250"/>
      <c r="TUV174" s="250"/>
      <c r="TUW174" s="250"/>
      <c r="TUX174" s="250"/>
      <c r="TUY174" s="250"/>
      <c r="TUZ174" s="250"/>
      <c r="TVA174" s="250"/>
      <c r="TVB174" s="250"/>
      <c r="TVC174" s="250"/>
      <c r="TVD174" s="250"/>
      <c r="TVE174" s="250"/>
      <c r="TVF174" s="250"/>
      <c r="TVG174" s="250"/>
      <c r="TVH174" s="250"/>
      <c r="TVI174" s="250"/>
      <c r="TVJ174" s="250"/>
      <c r="TVK174" s="250"/>
      <c r="TVL174" s="250"/>
      <c r="TVM174" s="250"/>
      <c r="TVN174" s="250"/>
      <c r="TVO174" s="250"/>
      <c r="TVP174" s="250"/>
      <c r="TVQ174" s="250"/>
      <c r="TVR174" s="250"/>
      <c r="TVS174" s="250"/>
      <c r="TVT174" s="250"/>
      <c r="TVU174" s="250"/>
      <c r="TVV174" s="250"/>
      <c r="TVW174" s="250"/>
      <c r="TVX174" s="250"/>
      <c r="TVY174" s="250"/>
      <c r="TVZ174" s="250"/>
      <c r="TWA174" s="250"/>
      <c r="TWB174" s="250"/>
      <c r="TWC174" s="250"/>
      <c r="TWD174" s="250"/>
      <c r="TWE174" s="250"/>
      <c r="TWF174" s="250"/>
      <c r="TWG174" s="250"/>
      <c r="TWH174" s="250"/>
      <c r="TWI174" s="250"/>
      <c r="TWJ174" s="250"/>
      <c r="TWK174" s="250"/>
      <c r="TWL174" s="250"/>
      <c r="TWM174" s="250"/>
      <c r="TWN174" s="250"/>
      <c r="TWO174" s="250"/>
      <c r="TWP174" s="250"/>
      <c r="TWQ174" s="250"/>
      <c r="TWR174" s="250"/>
      <c r="TWS174" s="250"/>
      <c r="TWT174" s="250"/>
      <c r="TWU174" s="250"/>
      <c r="TWV174" s="250"/>
      <c r="TWW174" s="250"/>
      <c r="TWX174" s="250"/>
      <c r="TWY174" s="250"/>
      <c r="TWZ174" s="250"/>
      <c r="TXA174" s="250"/>
      <c r="TXB174" s="250"/>
      <c r="TXC174" s="250"/>
      <c r="TXD174" s="250"/>
      <c r="TXE174" s="250"/>
      <c r="TXF174" s="250"/>
      <c r="TXG174" s="250"/>
      <c r="TXH174" s="250"/>
      <c r="TXI174" s="250"/>
      <c r="TXJ174" s="250"/>
      <c r="TXK174" s="250"/>
      <c r="TXL174" s="250"/>
      <c r="TXM174" s="250"/>
      <c r="TXN174" s="250"/>
      <c r="TXO174" s="250"/>
      <c r="TXP174" s="250"/>
      <c r="TXQ174" s="250"/>
      <c r="TXR174" s="250"/>
      <c r="TXS174" s="250"/>
      <c r="TXT174" s="250"/>
      <c r="TXU174" s="250"/>
      <c r="TXV174" s="250"/>
      <c r="TXW174" s="250"/>
      <c r="TXX174" s="250"/>
      <c r="TXY174" s="250"/>
      <c r="TXZ174" s="250"/>
      <c r="TYA174" s="250"/>
      <c r="TYB174" s="250"/>
      <c r="TYC174" s="250"/>
      <c r="TYD174" s="250"/>
      <c r="TYE174" s="250"/>
      <c r="TYF174" s="250"/>
      <c r="TYG174" s="250"/>
      <c r="TYH174" s="250"/>
      <c r="TYI174" s="250"/>
      <c r="TYJ174" s="250"/>
      <c r="TYK174" s="250"/>
      <c r="TYL174" s="250"/>
      <c r="TYM174" s="250"/>
      <c r="TYN174" s="250"/>
      <c r="TYO174" s="250"/>
      <c r="TYP174" s="250"/>
      <c r="TYQ174" s="250"/>
      <c r="TYR174" s="250"/>
      <c r="TYS174" s="250"/>
      <c r="TYT174" s="250"/>
      <c r="TYU174" s="250"/>
      <c r="TYV174" s="250"/>
      <c r="TYW174" s="250"/>
      <c r="TYX174" s="250"/>
      <c r="TYY174" s="250"/>
      <c r="TYZ174" s="250"/>
      <c r="TZA174" s="250"/>
      <c r="TZB174" s="250"/>
      <c r="TZC174" s="250"/>
      <c r="TZD174" s="250"/>
      <c r="TZE174" s="250"/>
      <c r="TZF174" s="250"/>
      <c r="TZG174" s="250"/>
      <c r="TZH174" s="250"/>
      <c r="TZI174" s="250"/>
      <c r="TZJ174" s="250"/>
      <c r="TZK174" s="250"/>
      <c r="TZL174" s="250"/>
      <c r="TZM174" s="250"/>
      <c r="TZN174" s="250"/>
      <c r="TZO174" s="250"/>
      <c r="TZP174" s="250"/>
      <c r="TZQ174" s="250"/>
      <c r="TZR174" s="250"/>
      <c r="TZS174" s="250"/>
      <c r="TZT174" s="250"/>
      <c r="TZU174" s="250"/>
      <c r="TZV174" s="250"/>
      <c r="TZW174" s="250"/>
      <c r="TZX174" s="250"/>
      <c r="TZY174" s="250"/>
      <c r="TZZ174" s="250"/>
      <c r="UAA174" s="250"/>
      <c r="UAB174" s="250"/>
      <c r="UAC174" s="250"/>
      <c r="UAD174" s="250"/>
      <c r="UAE174" s="250"/>
      <c r="UAF174" s="250"/>
      <c r="UAG174" s="250"/>
      <c r="UAH174" s="250"/>
      <c r="UAI174" s="250"/>
      <c r="UAJ174" s="250"/>
      <c r="UAK174" s="250"/>
      <c r="UAL174" s="250"/>
      <c r="UAM174" s="250"/>
      <c r="UAN174" s="250"/>
      <c r="UAO174" s="250"/>
      <c r="UAP174" s="250"/>
      <c r="UAQ174" s="250"/>
      <c r="UAR174" s="250"/>
      <c r="UAS174" s="250"/>
      <c r="UAT174" s="250"/>
      <c r="UAU174" s="250"/>
      <c r="UAV174" s="250"/>
      <c r="UAW174" s="250"/>
      <c r="UAX174" s="250"/>
      <c r="UAY174" s="250"/>
      <c r="UAZ174" s="250"/>
      <c r="UBA174" s="250"/>
      <c r="UBB174" s="250"/>
      <c r="UBC174" s="250"/>
      <c r="UBD174" s="250"/>
      <c r="UBE174" s="250"/>
      <c r="UBF174" s="250"/>
      <c r="UBG174" s="250"/>
      <c r="UBH174" s="250"/>
      <c r="UBI174" s="250"/>
      <c r="UBJ174" s="250"/>
      <c r="UBK174" s="250"/>
      <c r="UBL174" s="250"/>
      <c r="UBM174" s="250"/>
      <c r="UBN174" s="250"/>
      <c r="UBO174" s="250"/>
      <c r="UBP174" s="250"/>
      <c r="UBQ174" s="250"/>
      <c r="UBR174" s="250"/>
      <c r="UBS174" s="250"/>
      <c r="UBT174" s="250"/>
      <c r="UBU174" s="250"/>
      <c r="UBV174" s="250"/>
      <c r="UBW174" s="250"/>
      <c r="UBX174" s="250"/>
      <c r="UBY174" s="250"/>
      <c r="UBZ174" s="250"/>
      <c r="UCA174" s="250"/>
      <c r="UCB174" s="250"/>
      <c r="UCC174" s="250"/>
      <c r="UCD174" s="250"/>
      <c r="UCE174" s="250"/>
      <c r="UCF174" s="250"/>
      <c r="UCG174" s="250"/>
      <c r="UCH174" s="250"/>
      <c r="UCI174" s="250"/>
      <c r="UCJ174" s="250"/>
      <c r="UCK174" s="250"/>
      <c r="UCL174" s="250"/>
      <c r="UCM174" s="250"/>
      <c r="UCN174" s="250"/>
      <c r="UCO174" s="250"/>
      <c r="UCP174" s="250"/>
      <c r="UCQ174" s="250"/>
      <c r="UCR174" s="250"/>
      <c r="UCS174" s="250"/>
      <c r="UCT174" s="250"/>
      <c r="UCU174" s="250"/>
      <c r="UCV174" s="250"/>
      <c r="UCW174" s="250"/>
      <c r="UCX174" s="250"/>
      <c r="UCY174" s="250"/>
      <c r="UCZ174" s="250"/>
      <c r="UDA174" s="250"/>
      <c r="UDB174" s="250"/>
      <c r="UDC174" s="250"/>
      <c r="UDD174" s="250"/>
      <c r="UDE174" s="250"/>
      <c r="UDF174" s="250"/>
      <c r="UDG174" s="250"/>
      <c r="UDH174" s="250"/>
      <c r="UDI174" s="250"/>
      <c r="UDJ174" s="250"/>
      <c r="UDK174" s="250"/>
      <c r="UDL174" s="250"/>
      <c r="UDM174" s="250"/>
      <c r="UDN174" s="250"/>
      <c r="UDO174" s="250"/>
      <c r="UDP174" s="250"/>
      <c r="UDQ174" s="250"/>
      <c r="UDR174" s="250"/>
      <c r="UDS174" s="250"/>
      <c r="UDT174" s="250"/>
      <c r="UDU174" s="250"/>
      <c r="UDV174" s="250"/>
      <c r="UDW174" s="250"/>
      <c r="UDX174" s="250"/>
      <c r="UDY174" s="250"/>
      <c r="UDZ174" s="250"/>
      <c r="UEA174" s="250"/>
      <c r="UEB174" s="250"/>
      <c r="UEC174" s="250"/>
      <c r="UED174" s="250"/>
      <c r="UEE174" s="250"/>
      <c r="UEF174" s="250"/>
      <c r="UEG174" s="250"/>
      <c r="UEH174" s="250"/>
      <c r="UEI174" s="250"/>
      <c r="UEJ174" s="250"/>
      <c r="UEK174" s="250"/>
      <c r="UEL174" s="250"/>
      <c r="UEM174" s="250"/>
      <c r="UEN174" s="250"/>
      <c r="UEO174" s="250"/>
      <c r="UEP174" s="250"/>
      <c r="UEQ174" s="250"/>
      <c r="UER174" s="250"/>
      <c r="UES174" s="250"/>
      <c r="UET174" s="250"/>
      <c r="UEU174" s="250"/>
      <c r="UEV174" s="250"/>
      <c r="UEW174" s="250"/>
      <c r="UEX174" s="250"/>
      <c r="UEY174" s="250"/>
      <c r="UEZ174" s="250"/>
      <c r="UFA174" s="250"/>
      <c r="UFB174" s="250"/>
      <c r="UFC174" s="250"/>
      <c r="UFD174" s="250"/>
      <c r="UFE174" s="250"/>
      <c r="UFF174" s="250"/>
      <c r="UFG174" s="250"/>
      <c r="UFH174" s="250"/>
      <c r="UFI174" s="250"/>
      <c r="UFJ174" s="250"/>
      <c r="UFK174" s="250"/>
      <c r="UFL174" s="250"/>
      <c r="UFM174" s="250"/>
      <c r="UFN174" s="250"/>
      <c r="UFO174" s="250"/>
      <c r="UFP174" s="250"/>
      <c r="UFQ174" s="250"/>
      <c r="UFR174" s="250"/>
      <c r="UFS174" s="250"/>
      <c r="UFT174" s="250"/>
      <c r="UFU174" s="250"/>
      <c r="UFV174" s="250"/>
      <c r="UFW174" s="250"/>
      <c r="UFX174" s="250"/>
      <c r="UFY174" s="250"/>
      <c r="UFZ174" s="250"/>
      <c r="UGA174" s="250"/>
      <c r="UGB174" s="250"/>
      <c r="UGC174" s="250"/>
      <c r="UGD174" s="250"/>
      <c r="UGE174" s="250"/>
      <c r="UGF174" s="250"/>
      <c r="UGG174" s="250"/>
      <c r="UGH174" s="250"/>
      <c r="UGI174" s="250"/>
      <c r="UGJ174" s="250"/>
      <c r="UGK174" s="250"/>
      <c r="UGL174" s="250"/>
      <c r="UGM174" s="250"/>
      <c r="UGN174" s="250"/>
      <c r="UGO174" s="250"/>
      <c r="UGP174" s="250"/>
      <c r="UGQ174" s="250"/>
      <c r="UGR174" s="250"/>
      <c r="UGS174" s="250"/>
      <c r="UGT174" s="250"/>
      <c r="UGU174" s="250"/>
      <c r="UGV174" s="250"/>
      <c r="UGW174" s="250"/>
      <c r="UGX174" s="250"/>
      <c r="UGY174" s="250"/>
      <c r="UGZ174" s="250"/>
      <c r="UHA174" s="250"/>
      <c r="UHB174" s="250"/>
      <c r="UHC174" s="250"/>
      <c r="UHD174" s="250"/>
      <c r="UHE174" s="250"/>
      <c r="UHF174" s="250"/>
      <c r="UHG174" s="250"/>
      <c r="UHH174" s="250"/>
      <c r="UHI174" s="250"/>
      <c r="UHJ174" s="250"/>
      <c r="UHK174" s="250"/>
      <c r="UHL174" s="250"/>
      <c r="UHM174" s="250"/>
      <c r="UHN174" s="250"/>
      <c r="UHO174" s="250"/>
      <c r="UHP174" s="250"/>
      <c r="UHQ174" s="250"/>
      <c r="UHR174" s="250"/>
      <c r="UHS174" s="250"/>
      <c r="UHT174" s="250"/>
      <c r="UHU174" s="250"/>
      <c r="UHV174" s="250"/>
      <c r="UHW174" s="250"/>
      <c r="UHX174" s="250"/>
      <c r="UHY174" s="250"/>
      <c r="UHZ174" s="250"/>
      <c r="UIA174" s="250"/>
      <c r="UIB174" s="250"/>
      <c r="UIC174" s="250"/>
      <c r="UID174" s="250"/>
      <c r="UIE174" s="250"/>
      <c r="UIF174" s="250"/>
      <c r="UIG174" s="250"/>
      <c r="UIH174" s="250"/>
      <c r="UII174" s="250"/>
      <c r="UIJ174" s="250"/>
      <c r="UIK174" s="250"/>
      <c r="UIL174" s="250"/>
      <c r="UIM174" s="250"/>
      <c r="UIN174" s="250"/>
      <c r="UIO174" s="250"/>
      <c r="UIP174" s="250"/>
      <c r="UIQ174" s="250"/>
      <c r="UIR174" s="250"/>
      <c r="UIS174" s="250"/>
      <c r="UIT174" s="250"/>
      <c r="UIU174" s="250"/>
      <c r="UIV174" s="250"/>
      <c r="UIW174" s="250"/>
      <c r="UIX174" s="250"/>
      <c r="UIY174" s="250"/>
      <c r="UIZ174" s="250"/>
      <c r="UJA174" s="250"/>
      <c r="UJB174" s="250"/>
      <c r="UJC174" s="250"/>
      <c r="UJD174" s="250"/>
      <c r="UJE174" s="250"/>
      <c r="UJF174" s="250"/>
      <c r="UJG174" s="250"/>
      <c r="UJH174" s="250"/>
      <c r="UJI174" s="250"/>
      <c r="UJJ174" s="250"/>
      <c r="UJK174" s="250"/>
      <c r="UJL174" s="250"/>
      <c r="UJM174" s="250"/>
      <c r="UJN174" s="250"/>
      <c r="UJO174" s="250"/>
      <c r="UJP174" s="250"/>
      <c r="UJQ174" s="250"/>
      <c r="UJR174" s="250"/>
      <c r="UJS174" s="250"/>
      <c r="UJT174" s="250"/>
      <c r="UJU174" s="250"/>
      <c r="UJV174" s="250"/>
      <c r="UJW174" s="250"/>
      <c r="UJX174" s="250"/>
      <c r="UJY174" s="250"/>
      <c r="UJZ174" s="250"/>
      <c r="UKA174" s="250"/>
      <c r="UKB174" s="250"/>
      <c r="UKC174" s="250"/>
      <c r="UKD174" s="250"/>
      <c r="UKE174" s="250"/>
      <c r="UKF174" s="250"/>
      <c r="UKG174" s="250"/>
      <c r="UKH174" s="250"/>
      <c r="UKI174" s="250"/>
      <c r="UKJ174" s="250"/>
      <c r="UKK174" s="250"/>
      <c r="UKL174" s="250"/>
      <c r="UKM174" s="250"/>
      <c r="UKN174" s="250"/>
      <c r="UKO174" s="250"/>
      <c r="UKP174" s="250"/>
      <c r="UKQ174" s="250"/>
      <c r="UKR174" s="250"/>
      <c r="UKS174" s="250"/>
      <c r="UKT174" s="250"/>
      <c r="UKU174" s="250"/>
      <c r="UKV174" s="250"/>
      <c r="UKW174" s="250"/>
      <c r="UKX174" s="250"/>
      <c r="UKY174" s="250"/>
      <c r="UKZ174" s="250"/>
      <c r="ULA174" s="250"/>
      <c r="ULB174" s="250"/>
      <c r="ULC174" s="250"/>
      <c r="ULD174" s="250"/>
      <c r="ULE174" s="250"/>
      <c r="ULF174" s="250"/>
      <c r="ULG174" s="250"/>
      <c r="ULH174" s="250"/>
      <c r="ULI174" s="250"/>
      <c r="ULJ174" s="250"/>
      <c r="ULK174" s="250"/>
      <c r="ULL174" s="250"/>
      <c r="ULM174" s="250"/>
      <c r="ULN174" s="250"/>
      <c r="ULO174" s="250"/>
      <c r="ULP174" s="250"/>
      <c r="ULQ174" s="250"/>
      <c r="ULR174" s="250"/>
      <c r="ULS174" s="250"/>
      <c r="ULT174" s="250"/>
      <c r="ULU174" s="250"/>
      <c r="ULV174" s="250"/>
      <c r="ULW174" s="250"/>
      <c r="ULX174" s="250"/>
      <c r="ULY174" s="250"/>
      <c r="ULZ174" s="250"/>
      <c r="UMA174" s="250"/>
      <c r="UMB174" s="250"/>
      <c r="UMC174" s="250"/>
      <c r="UMD174" s="250"/>
      <c r="UME174" s="250"/>
      <c r="UMF174" s="250"/>
      <c r="UMG174" s="250"/>
      <c r="UMH174" s="250"/>
      <c r="UMI174" s="250"/>
      <c r="UMJ174" s="250"/>
      <c r="UMK174" s="250"/>
      <c r="UML174" s="250"/>
      <c r="UMM174" s="250"/>
      <c r="UMN174" s="250"/>
      <c r="UMO174" s="250"/>
      <c r="UMP174" s="250"/>
      <c r="UMQ174" s="250"/>
      <c r="UMR174" s="250"/>
      <c r="UMS174" s="250"/>
      <c r="UMT174" s="250"/>
      <c r="UMU174" s="250"/>
      <c r="UMV174" s="250"/>
      <c r="UMW174" s="250"/>
      <c r="UMX174" s="250"/>
      <c r="UMY174" s="250"/>
      <c r="UMZ174" s="250"/>
      <c r="UNA174" s="250"/>
      <c r="UNB174" s="250"/>
      <c r="UNC174" s="250"/>
      <c r="UND174" s="250"/>
      <c r="UNE174" s="250"/>
      <c r="UNF174" s="250"/>
      <c r="UNG174" s="250"/>
      <c r="UNH174" s="250"/>
      <c r="UNI174" s="250"/>
      <c r="UNJ174" s="250"/>
      <c r="UNK174" s="250"/>
      <c r="UNL174" s="250"/>
      <c r="UNM174" s="250"/>
      <c r="UNN174" s="250"/>
      <c r="UNO174" s="250"/>
      <c r="UNP174" s="250"/>
      <c r="UNQ174" s="250"/>
      <c r="UNR174" s="250"/>
      <c r="UNS174" s="250"/>
      <c r="UNT174" s="250"/>
      <c r="UNU174" s="250"/>
      <c r="UNV174" s="250"/>
      <c r="UNW174" s="250"/>
      <c r="UNX174" s="250"/>
      <c r="UNY174" s="250"/>
      <c r="UNZ174" s="250"/>
      <c r="UOA174" s="250"/>
      <c r="UOB174" s="250"/>
      <c r="UOC174" s="250"/>
      <c r="UOD174" s="250"/>
      <c r="UOE174" s="250"/>
      <c r="UOF174" s="250"/>
      <c r="UOG174" s="250"/>
      <c r="UOH174" s="250"/>
      <c r="UOI174" s="250"/>
      <c r="UOJ174" s="250"/>
      <c r="UOK174" s="250"/>
      <c r="UOL174" s="250"/>
      <c r="UOM174" s="250"/>
      <c r="UON174" s="250"/>
      <c r="UOO174" s="250"/>
      <c r="UOP174" s="250"/>
      <c r="UOQ174" s="250"/>
      <c r="UOR174" s="250"/>
      <c r="UOS174" s="250"/>
      <c r="UOT174" s="250"/>
      <c r="UOU174" s="250"/>
      <c r="UOV174" s="250"/>
      <c r="UOW174" s="250"/>
      <c r="UOX174" s="250"/>
      <c r="UOY174" s="250"/>
      <c r="UOZ174" s="250"/>
      <c r="UPA174" s="250"/>
      <c r="UPB174" s="250"/>
      <c r="UPC174" s="250"/>
      <c r="UPD174" s="250"/>
      <c r="UPE174" s="250"/>
      <c r="UPF174" s="250"/>
      <c r="UPG174" s="250"/>
      <c r="UPH174" s="250"/>
      <c r="UPI174" s="250"/>
      <c r="UPJ174" s="250"/>
      <c r="UPK174" s="250"/>
      <c r="UPL174" s="250"/>
      <c r="UPM174" s="250"/>
      <c r="UPN174" s="250"/>
      <c r="UPO174" s="250"/>
      <c r="UPP174" s="250"/>
      <c r="UPQ174" s="250"/>
      <c r="UPR174" s="250"/>
      <c r="UPS174" s="250"/>
      <c r="UPT174" s="250"/>
      <c r="UPU174" s="250"/>
      <c r="UPV174" s="250"/>
      <c r="UPW174" s="250"/>
      <c r="UPX174" s="250"/>
      <c r="UPY174" s="250"/>
      <c r="UPZ174" s="250"/>
      <c r="UQA174" s="250"/>
      <c r="UQB174" s="250"/>
      <c r="UQC174" s="250"/>
      <c r="UQD174" s="250"/>
      <c r="UQE174" s="250"/>
      <c r="UQF174" s="250"/>
      <c r="UQG174" s="250"/>
      <c r="UQH174" s="250"/>
      <c r="UQI174" s="250"/>
      <c r="UQJ174" s="250"/>
      <c r="UQK174" s="250"/>
      <c r="UQL174" s="250"/>
      <c r="UQM174" s="250"/>
      <c r="UQN174" s="250"/>
      <c r="UQO174" s="250"/>
      <c r="UQP174" s="250"/>
      <c r="UQQ174" s="250"/>
      <c r="UQR174" s="250"/>
      <c r="UQS174" s="250"/>
      <c r="UQT174" s="250"/>
      <c r="UQU174" s="250"/>
      <c r="UQV174" s="250"/>
      <c r="UQW174" s="250"/>
      <c r="UQX174" s="250"/>
      <c r="UQY174" s="250"/>
      <c r="UQZ174" s="250"/>
      <c r="URA174" s="250"/>
      <c r="URB174" s="250"/>
      <c r="URC174" s="250"/>
      <c r="URD174" s="250"/>
      <c r="URE174" s="250"/>
      <c r="URF174" s="250"/>
      <c r="URG174" s="250"/>
      <c r="URH174" s="250"/>
      <c r="URI174" s="250"/>
      <c r="URJ174" s="250"/>
      <c r="URK174" s="250"/>
      <c r="URL174" s="250"/>
      <c r="URM174" s="250"/>
      <c r="URN174" s="250"/>
      <c r="URO174" s="250"/>
      <c r="URP174" s="250"/>
      <c r="URQ174" s="250"/>
      <c r="URR174" s="250"/>
      <c r="URS174" s="250"/>
      <c r="URT174" s="250"/>
      <c r="URU174" s="250"/>
      <c r="URV174" s="250"/>
      <c r="URW174" s="250"/>
      <c r="URX174" s="250"/>
      <c r="URY174" s="250"/>
      <c r="URZ174" s="250"/>
      <c r="USA174" s="250"/>
      <c r="USB174" s="250"/>
      <c r="USC174" s="250"/>
      <c r="USD174" s="250"/>
      <c r="USE174" s="250"/>
      <c r="USF174" s="250"/>
      <c r="USG174" s="250"/>
      <c r="USH174" s="250"/>
      <c r="USI174" s="250"/>
      <c r="USJ174" s="250"/>
      <c r="USK174" s="250"/>
      <c r="USL174" s="250"/>
      <c r="USM174" s="250"/>
      <c r="USN174" s="250"/>
      <c r="USO174" s="250"/>
      <c r="USP174" s="250"/>
      <c r="USQ174" s="250"/>
      <c r="USR174" s="250"/>
      <c r="USS174" s="250"/>
      <c r="UST174" s="250"/>
      <c r="USU174" s="250"/>
      <c r="USV174" s="250"/>
      <c r="USW174" s="250"/>
      <c r="USX174" s="250"/>
      <c r="USY174" s="250"/>
      <c r="USZ174" s="250"/>
      <c r="UTA174" s="250"/>
      <c r="UTB174" s="250"/>
      <c r="UTC174" s="250"/>
      <c r="UTD174" s="250"/>
      <c r="UTE174" s="250"/>
      <c r="UTF174" s="250"/>
      <c r="UTG174" s="250"/>
      <c r="UTH174" s="250"/>
      <c r="UTI174" s="250"/>
      <c r="UTJ174" s="250"/>
      <c r="UTK174" s="250"/>
      <c r="UTL174" s="250"/>
      <c r="UTM174" s="250"/>
      <c r="UTN174" s="250"/>
      <c r="UTO174" s="250"/>
      <c r="UTP174" s="250"/>
      <c r="UTQ174" s="250"/>
      <c r="UTR174" s="250"/>
      <c r="UTS174" s="250"/>
      <c r="UTT174" s="250"/>
      <c r="UTU174" s="250"/>
      <c r="UTV174" s="250"/>
      <c r="UTW174" s="250"/>
      <c r="UTX174" s="250"/>
      <c r="UTY174" s="250"/>
      <c r="UTZ174" s="250"/>
      <c r="UUA174" s="250"/>
      <c r="UUB174" s="250"/>
      <c r="UUC174" s="250"/>
      <c r="UUD174" s="250"/>
      <c r="UUE174" s="250"/>
      <c r="UUF174" s="250"/>
      <c r="UUG174" s="250"/>
      <c r="UUH174" s="250"/>
      <c r="UUI174" s="250"/>
      <c r="UUJ174" s="250"/>
      <c r="UUK174" s="250"/>
      <c r="UUL174" s="250"/>
      <c r="UUM174" s="250"/>
      <c r="UUN174" s="250"/>
      <c r="UUO174" s="250"/>
      <c r="UUP174" s="250"/>
      <c r="UUQ174" s="250"/>
      <c r="UUR174" s="250"/>
      <c r="UUS174" s="250"/>
      <c r="UUT174" s="250"/>
      <c r="UUU174" s="250"/>
      <c r="UUV174" s="250"/>
      <c r="UUW174" s="250"/>
      <c r="UUX174" s="250"/>
      <c r="UUY174" s="250"/>
      <c r="UUZ174" s="250"/>
      <c r="UVA174" s="250"/>
      <c r="UVB174" s="250"/>
      <c r="UVC174" s="250"/>
      <c r="UVD174" s="250"/>
      <c r="UVE174" s="250"/>
      <c r="UVF174" s="250"/>
      <c r="UVG174" s="250"/>
      <c r="UVH174" s="250"/>
      <c r="UVI174" s="250"/>
      <c r="UVJ174" s="250"/>
      <c r="UVK174" s="250"/>
      <c r="UVL174" s="250"/>
      <c r="UVM174" s="250"/>
      <c r="UVN174" s="250"/>
      <c r="UVO174" s="250"/>
      <c r="UVP174" s="250"/>
      <c r="UVQ174" s="250"/>
      <c r="UVR174" s="250"/>
      <c r="UVS174" s="250"/>
      <c r="UVT174" s="250"/>
      <c r="UVU174" s="250"/>
      <c r="UVV174" s="250"/>
      <c r="UVW174" s="250"/>
      <c r="UVX174" s="250"/>
      <c r="UVY174" s="250"/>
      <c r="UVZ174" s="250"/>
      <c r="UWA174" s="250"/>
      <c r="UWB174" s="250"/>
      <c r="UWC174" s="250"/>
      <c r="UWD174" s="250"/>
      <c r="UWE174" s="250"/>
      <c r="UWF174" s="250"/>
      <c r="UWG174" s="250"/>
      <c r="UWH174" s="250"/>
      <c r="UWI174" s="250"/>
      <c r="UWJ174" s="250"/>
      <c r="UWK174" s="250"/>
      <c r="UWL174" s="250"/>
      <c r="UWM174" s="250"/>
      <c r="UWN174" s="250"/>
      <c r="UWO174" s="250"/>
      <c r="UWP174" s="250"/>
      <c r="UWQ174" s="250"/>
      <c r="UWR174" s="250"/>
      <c r="UWS174" s="250"/>
      <c r="UWT174" s="250"/>
      <c r="UWU174" s="250"/>
      <c r="UWV174" s="250"/>
      <c r="UWW174" s="250"/>
      <c r="UWX174" s="250"/>
      <c r="UWY174" s="250"/>
      <c r="UWZ174" s="250"/>
      <c r="UXA174" s="250"/>
      <c r="UXB174" s="250"/>
      <c r="UXC174" s="250"/>
      <c r="UXD174" s="250"/>
      <c r="UXE174" s="250"/>
      <c r="UXF174" s="250"/>
      <c r="UXG174" s="250"/>
      <c r="UXH174" s="250"/>
      <c r="UXI174" s="250"/>
      <c r="UXJ174" s="250"/>
      <c r="UXK174" s="250"/>
      <c r="UXL174" s="250"/>
      <c r="UXM174" s="250"/>
      <c r="UXN174" s="250"/>
      <c r="UXO174" s="250"/>
      <c r="UXP174" s="250"/>
      <c r="UXQ174" s="250"/>
      <c r="UXR174" s="250"/>
      <c r="UXS174" s="250"/>
      <c r="UXT174" s="250"/>
      <c r="UXU174" s="250"/>
      <c r="UXV174" s="250"/>
      <c r="UXW174" s="250"/>
      <c r="UXX174" s="250"/>
      <c r="UXY174" s="250"/>
      <c r="UXZ174" s="250"/>
      <c r="UYA174" s="250"/>
      <c r="UYB174" s="250"/>
      <c r="UYC174" s="250"/>
      <c r="UYD174" s="250"/>
      <c r="UYE174" s="250"/>
      <c r="UYF174" s="250"/>
      <c r="UYG174" s="250"/>
      <c r="UYH174" s="250"/>
      <c r="UYI174" s="250"/>
      <c r="UYJ174" s="250"/>
      <c r="UYK174" s="250"/>
      <c r="UYL174" s="250"/>
      <c r="UYM174" s="250"/>
      <c r="UYN174" s="250"/>
      <c r="UYO174" s="250"/>
      <c r="UYP174" s="250"/>
      <c r="UYQ174" s="250"/>
      <c r="UYR174" s="250"/>
      <c r="UYS174" s="250"/>
      <c r="UYT174" s="250"/>
      <c r="UYU174" s="250"/>
      <c r="UYV174" s="250"/>
      <c r="UYW174" s="250"/>
      <c r="UYX174" s="250"/>
      <c r="UYY174" s="250"/>
      <c r="UYZ174" s="250"/>
      <c r="UZA174" s="250"/>
      <c r="UZB174" s="250"/>
      <c r="UZC174" s="250"/>
      <c r="UZD174" s="250"/>
      <c r="UZE174" s="250"/>
      <c r="UZF174" s="250"/>
      <c r="UZG174" s="250"/>
      <c r="UZH174" s="250"/>
      <c r="UZI174" s="250"/>
      <c r="UZJ174" s="250"/>
      <c r="UZK174" s="250"/>
      <c r="UZL174" s="250"/>
      <c r="UZM174" s="250"/>
      <c r="UZN174" s="250"/>
      <c r="UZO174" s="250"/>
      <c r="UZP174" s="250"/>
      <c r="UZQ174" s="250"/>
      <c r="UZR174" s="250"/>
      <c r="UZS174" s="250"/>
      <c r="UZT174" s="250"/>
      <c r="UZU174" s="250"/>
      <c r="UZV174" s="250"/>
      <c r="UZW174" s="250"/>
      <c r="UZX174" s="250"/>
      <c r="UZY174" s="250"/>
      <c r="UZZ174" s="250"/>
      <c r="VAA174" s="250"/>
      <c r="VAB174" s="250"/>
      <c r="VAC174" s="250"/>
      <c r="VAD174" s="250"/>
      <c r="VAE174" s="250"/>
      <c r="VAF174" s="250"/>
      <c r="VAG174" s="250"/>
      <c r="VAH174" s="250"/>
      <c r="VAI174" s="250"/>
      <c r="VAJ174" s="250"/>
      <c r="VAK174" s="250"/>
      <c r="VAL174" s="250"/>
      <c r="VAM174" s="250"/>
      <c r="VAN174" s="250"/>
      <c r="VAO174" s="250"/>
      <c r="VAP174" s="250"/>
      <c r="VAQ174" s="250"/>
      <c r="VAR174" s="250"/>
      <c r="VAS174" s="250"/>
      <c r="VAT174" s="250"/>
      <c r="VAU174" s="250"/>
      <c r="VAV174" s="250"/>
      <c r="VAW174" s="250"/>
      <c r="VAX174" s="250"/>
      <c r="VAY174" s="250"/>
      <c r="VAZ174" s="250"/>
      <c r="VBA174" s="250"/>
      <c r="VBB174" s="250"/>
      <c r="VBC174" s="250"/>
      <c r="VBD174" s="250"/>
      <c r="VBE174" s="250"/>
      <c r="VBF174" s="250"/>
      <c r="VBG174" s="250"/>
      <c r="VBH174" s="250"/>
      <c r="VBI174" s="250"/>
      <c r="VBJ174" s="250"/>
      <c r="VBK174" s="250"/>
      <c r="VBL174" s="250"/>
      <c r="VBM174" s="250"/>
      <c r="VBN174" s="250"/>
      <c r="VBO174" s="250"/>
      <c r="VBP174" s="250"/>
      <c r="VBQ174" s="250"/>
      <c r="VBR174" s="250"/>
      <c r="VBS174" s="250"/>
      <c r="VBT174" s="250"/>
      <c r="VBU174" s="250"/>
      <c r="VBV174" s="250"/>
      <c r="VBW174" s="250"/>
      <c r="VBX174" s="250"/>
      <c r="VBY174" s="250"/>
      <c r="VBZ174" s="250"/>
      <c r="VCA174" s="250"/>
      <c r="VCB174" s="250"/>
      <c r="VCC174" s="250"/>
      <c r="VCD174" s="250"/>
      <c r="VCE174" s="250"/>
      <c r="VCF174" s="250"/>
      <c r="VCG174" s="250"/>
      <c r="VCH174" s="250"/>
      <c r="VCI174" s="250"/>
      <c r="VCJ174" s="250"/>
      <c r="VCK174" s="250"/>
      <c r="VCL174" s="250"/>
      <c r="VCM174" s="250"/>
      <c r="VCN174" s="250"/>
      <c r="VCO174" s="250"/>
      <c r="VCP174" s="250"/>
      <c r="VCQ174" s="250"/>
      <c r="VCR174" s="250"/>
      <c r="VCS174" s="250"/>
      <c r="VCT174" s="250"/>
      <c r="VCU174" s="250"/>
      <c r="VCV174" s="250"/>
      <c r="VCW174" s="250"/>
      <c r="VCX174" s="250"/>
      <c r="VCY174" s="250"/>
      <c r="VCZ174" s="250"/>
      <c r="VDA174" s="250"/>
      <c r="VDB174" s="250"/>
      <c r="VDC174" s="250"/>
      <c r="VDD174" s="250"/>
      <c r="VDE174" s="250"/>
      <c r="VDF174" s="250"/>
      <c r="VDG174" s="250"/>
      <c r="VDH174" s="250"/>
      <c r="VDI174" s="250"/>
      <c r="VDJ174" s="250"/>
      <c r="VDK174" s="250"/>
      <c r="VDL174" s="250"/>
      <c r="VDM174" s="250"/>
      <c r="VDN174" s="250"/>
      <c r="VDO174" s="250"/>
      <c r="VDP174" s="250"/>
      <c r="VDQ174" s="250"/>
      <c r="VDR174" s="250"/>
      <c r="VDS174" s="250"/>
      <c r="VDT174" s="250"/>
      <c r="VDU174" s="250"/>
      <c r="VDV174" s="250"/>
      <c r="VDW174" s="250"/>
      <c r="VDX174" s="250"/>
      <c r="VDY174" s="250"/>
      <c r="VDZ174" s="250"/>
      <c r="VEA174" s="250"/>
      <c r="VEB174" s="250"/>
      <c r="VEC174" s="250"/>
      <c r="VED174" s="250"/>
      <c r="VEE174" s="250"/>
      <c r="VEF174" s="250"/>
      <c r="VEG174" s="250"/>
      <c r="VEH174" s="250"/>
      <c r="VEI174" s="250"/>
      <c r="VEJ174" s="250"/>
      <c r="VEK174" s="250"/>
      <c r="VEL174" s="250"/>
      <c r="VEM174" s="250"/>
      <c r="VEN174" s="250"/>
      <c r="VEO174" s="250"/>
      <c r="VEP174" s="250"/>
      <c r="VEQ174" s="250"/>
      <c r="VER174" s="250"/>
      <c r="VES174" s="250"/>
      <c r="VET174" s="250"/>
      <c r="VEU174" s="250"/>
      <c r="VEV174" s="250"/>
      <c r="VEW174" s="250"/>
      <c r="VEX174" s="250"/>
      <c r="VEY174" s="250"/>
      <c r="VEZ174" s="250"/>
      <c r="VFA174" s="250"/>
      <c r="VFB174" s="250"/>
      <c r="VFC174" s="250"/>
      <c r="VFD174" s="250"/>
      <c r="VFE174" s="250"/>
      <c r="VFF174" s="250"/>
      <c r="VFG174" s="250"/>
      <c r="VFH174" s="250"/>
      <c r="VFI174" s="250"/>
      <c r="VFJ174" s="250"/>
      <c r="VFK174" s="250"/>
      <c r="VFL174" s="250"/>
      <c r="VFM174" s="250"/>
      <c r="VFN174" s="250"/>
      <c r="VFO174" s="250"/>
      <c r="VFP174" s="250"/>
      <c r="VFQ174" s="250"/>
      <c r="VFR174" s="250"/>
      <c r="VFS174" s="250"/>
      <c r="VFT174" s="250"/>
      <c r="VFU174" s="250"/>
      <c r="VFV174" s="250"/>
      <c r="VFW174" s="250"/>
      <c r="VFX174" s="250"/>
      <c r="VFY174" s="250"/>
      <c r="VFZ174" s="250"/>
      <c r="VGA174" s="250"/>
      <c r="VGB174" s="250"/>
      <c r="VGC174" s="250"/>
      <c r="VGD174" s="250"/>
      <c r="VGE174" s="250"/>
      <c r="VGF174" s="250"/>
      <c r="VGG174" s="250"/>
      <c r="VGH174" s="250"/>
      <c r="VGI174" s="250"/>
      <c r="VGJ174" s="250"/>
      <c r="VGK174" s="250"/>
      <c r="VGL174" s="250"/>
      <c r="VGM174" s="250"/>
      <c r="VGN174" s="250"/>
      <c r="VGO174" s="250"/>
      <c r="VGP174" s="250"/>
      <c r="VGQ174" s="250"/>
      <c r="VGR174" s="250"/>
      <c r="VGS174" s="250"/>
      <c r="VGT174" s="250"/>
      <c r="VGU174" s="250"/>
      <c r="VGV174" s="250"/>
      <c r="VGW174" s="250"/>
      <c r="VGX174" s="250"/>
      <c r="VGY174" s="250"/>
      <c r="VGZ174" s="250"/>
      <c r="VHA174" s="250"/>
      <c r="VHB174" s="250"/>
      <c r="VHC174" s="250"/>
      <c r="VHD174" s="250"/>
      <c r="VHE174" s="250"/>
      <c r="VHF174" s="250"/>
      <c r="VHG174" s="250"/>
      <c r="VHH174" s="250"/>
      <c r="VHI174" s="250"/>
      <c r="VHJ174" s="250"/>
      <c r="VHK174" s="250"/>
      <c r="VHL174" s="250"/>
      <c r="VHM174" s="250"/>
      <c r="VHN174" s="250"/>
      <c r="VHO174" s="250"/>
      <c r="VHP174" s="250"/>
      <c r="VHQ174" s="250"/>
      <c r="VHR174" s="250"/>
      <c r="VHS174" s="250"/>
      <c r="VHT174" s="250"/>
      <c r="VHU174" s="250"/>
      <c r="VHV174" s="250"/>
      <c r="VHW174" s="250"/>
      <c r="VHX174" s="250"/>
      <c r="VHY174" s="250"/>
      <c r="VHZ174" s="250"/>
      <c r="VIA174" s="250"/>
      <c r="VIB174" s="250"/>
      <c r="VIC174" s="250"/>
      <c r="VID174" s="250"/>
      <c r="VIE174" s="250"/>
      <c r="VIF174" s="250"/>
      <c r="VIG174" s="250"/>
      <c r="VIH174" s="250"/>
      <c r="VII174" s="250"/>
      <c r="VIJ174" s="250"/>
      <c r="VIK174" s="250"/>
      <c r="VIL174" s="250"/>
      <c r="VIM174" s="250"/>
      <c r="VIN174" s="250"/>
      <c r="VIO174" s="250"/>
      <c r="VIP174" s="250"/>
      <c r="VIQ174" s="250"/>
      <c r="VIR174" s="250"/>
      <c r="VIS174" s="250"/>
      <c r="VIT174" s="250"/>
      <c r="VIU174" s="250"/>
      <c r="VIV174" s="250"/>
      <c r="VIW174" s="250"/>
      <c r="VIX174" s="250"/>
      <c r="VIY174" s="250"/>
      <c r="VIZ174" s="250"/>
      <c r="VJA174" s="250"/>
      <c r="VJB174" s="250"/>
      <c r="VJC174" s="250"/>
      <c r="VJD174" s="250"/>
      <c r="VJE174" s="250"/>
      <c r="VJF174" s="250"/>
      <c r="VJG174" s="250"/>
      <c r="VJH174" s="250"/>
      <c r="VJI174" s="250"/>
      <c r="VJJ174" s="250"/>
      <c r="VJK174" s="250"/>
      <c r="VJL174" s="250"/>
      <c r="VJM174" s="250"/>
      <c r="VJN174" s="250"/>
      <c r="VJO174" s="250"/>
      <c r="VJP174" s="250"/>
      <c r="VJQ174" s="250"/>
      <c r="VJR174" s="250"/>
      <c r="VJS174" s="250"/>
      <c r="VJT174" s="250"/>
      <c r="VJU174" s="250"/>
      <c r="VJV174" s="250"/>
      <c r="VJW174" s="250"/>
      <c r="VJX174" s="250"/>
      <c r="VJY174" s="250"/>
      <c r="VJZ174" s="250"/>
      <c r="VKA174" s="250"/>
      <c r="VKB174" s="250"/>
      <c r="VKC174" s="250"/>
      <c r="VKD174" s="250"/>
      <c r="VKE174" s="250"/>
      <c r="VKF174" s="250"/>
      <c r="VKG174" s="250"/>
      <c r="VKH174" s="250"/>
      <c r="VKI174" s="250"/>
      <c r="VKJ174" s="250"/>
      <c r="VKK174" s="250"/>
      <c r="VKL174" s="250"/>
      <c r="VKM174" s="250"/>
      <c r="VKN174" s="250"/>
      <c r="VKO174" s="250"/>
      <c r="VKP174" s="250"/>
      <c r="VKQ174" s="250"/>
      <c r="VKR174" s="250"/>
      <c r="VKS174" s="250"/>
      <c r="VKT174" s="250"/>
      <c r="VKU174" s="250"/>
      <c r="VKV174" s="250"/>
      <c r="VKW174" s="250"/>
      <c r="VKX174" s="250"/>
      <c r="VKY174" s="250"/>
      <c r="VKZ174" s="250"/>
      <c r="VLA174" s="250"/>
      <c r="VLB174" s="250"/>
      <c r="VLC174" s="250"/>
      <c r="VLD174" s="250"/>
      <c r="VLE174" s="250"/>
      <c r="VLF174" s="250"/>
      <c r="VLG174" s="250"/>
      <c r="VLH174" s="250"/>
      <c r="VLI174" s="250"/>
      <c r="VLJ174" s="250"/>
      <c r="VLK174" s="250"/>
      <c r="VLL174" s="250"/>
      <c r="VLM174" s="250"/>
      <c r="VLN174" s="250"/>
      <c r="VLO174" s="250"/>
      <c r="VLP174" s="250"/>
      <c r="VLQ174" s="250"/>
      <c r="VLR174" s="250"/>
      <c r="VLS174" s="250"/>
      <c r="VLT174" s="250"/>
      <c r="VLU174" s="250"/>
      <c r="VLV174" s="250"/>
      <c r="VLW174" s="250"/>
      <c r="VLX174" s="250"/>
      <c r="VLY174" s="250"/>
      <c r="VLZ174" s="250"/>
      <c r="VMA174" s="250"/>
      <c r="VMB174" s="250"/>
      <c r="VMC174" s="250"/>
      <c r="VMD174" s="250"/>
      <c r="VME174" s="250"/>
      <c r="VMF174" s="250"/>
      <c r="VMG174" s="250"/>
      <c r="VMH174" s="250"/>
      <c r="VMI174" s="250"/>
      <c r="VMJ174" s="250"/>
      <c r="VMK174" s="250"/>
      <c r="VML174" s="250"/>
      <c r="VMM174" s="250"/>
      <c r="VMN174" s="250"/>
      <c r="VMO174" s="250"/>
      <c r="VMP174" s="250"/>
      <c r="VMQ174" s="250"/>
      <c r="VMR174" s="250"/>
      <c r="VMS174" s="250"/>
      <c r="VMT174" s="250"/>
      <c r="VMU174" s="250"/>
      <c r="VMV174" s="250"/>
      <c r="VMW174" s="250"/>
      <c r="VMX174" s="250"/>
      <c r="VMY174" s="250"/>
      <c r="VMZ174" s="250"/>
      <c r="VNA174" s="250"/>
      <c r="VNB174" s="250"/>
      <c r="VNC174" s="250"/>
      <c r="VND174" s="250"/>
      <c r="VNE174" s="250"/>
      <c r="VNF174" s="250"/>
      <c r="VNG174" s="250"/>
      <c r="VNH174" s="250"/>
      <c r="VNI174" s="250"/>
      <c r="VNJ174" s="250"/>
      <c r="VNK174" s="250"/>
      <c r="VNL174" s="250"/>
      <c r="VNM174" s="250"/>
      <c r="VNN174" s="250"/>
      <c r="VNO174" s="250"/>
      <c r="VNP174" s="250"/>
      <c r="VNQ174" s="250"/>
      <c r="VNR174" s="250"/>
      <c r="VNS174" s="250"/>
      <c r="VNT174" s="250"/>
      <c r="VNU174" s="250"/>
      <c r="VNV174" s="250"/>
      <c r="VNW174" s="250"/>
      <c r="VNX174" s="250"/>
      <c r="VNY174" s="250"/>
      <c r="VNZ174" s="250"/>
      <c r="VOA174" s="250"/>
      <c r="VOB174" s="250"/>
      <c r="VOC174" s="250"/>
      <c r="VOD174" s="250"/>
      <c r="VOE174" s="250"/>
      <c r="VOF174" s="250"/>
      <c r="VOG174" s="250"/>
      <c r="VOH174" s="250"/>
      <c r="VOI174" s="250"/>
      <c r="VOJ174" s="250"/>
      <c r="VOK174" s="250"/>
      <c r="VOL174" s="250"/>
      <c r="VOM174" s="250"/>
      <c r="VON174" s="250"/>
      <c r="VOO174" s="250"/>
      <c r="VOP174" s="250"/>
      <c r="VOQ174" s="250"/>
      <c r="VOR174" s="250"/>
      <c r="VOS174" s="250"/>
      <c r="VOT174" s="250"/>
      <c r="VOU174" s="250"/>
      <c r="VOV174" s="250"/>
      <c r="VOW174" s="250"/>
      <c r="VOX174" s="250"/>
      <c r="VOY174" s="250"/>
      <c r="VOZ174" s="250"/>
      <c r="VPA174" s="250"/>
      <c r="VPB174" s="250"/>
      <c r="VPC174" s="250"/>
      <c r="VPD174" s="250"/>
      <c r="VPE174" s="250"/>
      <c r="VPF174" s="250"/>
      <c r="VPG174" s="250"/>
      <c r="VPH174" s="250"/>
      <c r="VPI174" s="250"/>
      <c r="VPJ174" s="250"/>
      <c r="VPK174" s="250"/>
      <c r="VPL174" s="250"/>
      <c r="VPM174" s="250"/>
      <c r="VPN174" s="250"/>
      <c r="VPO174" s="250"/>
      <c r="VPP174" s="250"/>
      <c r="VPQ174" s="250"/>
      <c r="VPR174" s="250"/>
      <c r="VPS174" s="250"/>
      <c r="VPT174" s="250"/>
      <c r="VPU174" s="250"/>
      <c r="VPV174" s="250"/>
      <c r="VPW174" s="250"/>
      <c r="VPX174" s="250"/>
      <c r="VPY174" s="250"/>
      <c r="VPZ174" s="250"/>
      <c r="VQA174" s="250"/>
      <c r="VQB174" s="250"/>
      <c r="VQC174" s="250"/>
      <c r="VQD174" s="250"/>
      <c r="VQE174" s="250"/>
      <c r="VQF174" s="250"/>
      <c r="VQG174" s="250"/>
      <c r="VQH174" s="250"/>
      <c r="VQI174" s="250"/>
      <c r="VQJ174" s="250"/>
      <c r="VQK174" s="250"/>
      <c r="VQL174" s="250"/>
      <c r="VQM174" s="250"/>
      <c r="VQN174" s="250"/>
      <c r="VQO174" s="250"/>
      <c r="VQP174" s="250"/>
      <c r="VQQ174" s="250"/>
      <c r="VQR174" s="250"/>
      <c r="VQS174" s="250"/>
      <c r="VQT174" s="250"/>
      <c r="VQU174" s="250"/>
      <c r="VQV174" s="250"/>
      <c r="VQW174" s="250"/>
      <c r="VQX174" s="250"/>
      <c r="VQY174" s="250"/>
      <c r="VQZ174" s="250"/>
      <c r="VRA174" s="250"/>
      <c r="VRB174" s="250"/>
      <c r="VRC174" s="250"/>
      <c r="VRD174" s="250"/>
      <c r="VRE174" s="250"/>
      <c r="VRF174" s="250"/>
      <c r="VRG174" s="250"/>
      <c r="VRH174" s="250"/>
      <c r="VRI174" s="250"/>
      <c r="VRJ174" s="250"/>
      <c r="VRK174" s="250"/>
      <c r="VRL174" s="250"/>
      <c r="VRM174" s="250"/>
      <c r="VRN174" s="250"/>
      <c r="VRO174" s="250"/>
      <c r="VRP174" s="250"/>
      <c r="VRQ174" s="250"/>
      <c r="VRR174" s="250"/>
      <c r="VRS174" s="250"/>
      <c r="VRT174" s="250"/>
      <c r="VRU174" s="250"/>
      <c r="VRV174" s="250"/>
      <c r="VRW174" s="250"/>
      <c r="VRX174" s="250"/>
      <c r="VRY174" s="250"/>
      <c r="VRZ174" s="250"/>
      <c r="VSA174" s="250"/>
      <c r="VSB174" s="250"/>
      <c r="VSC174" s="250"/>
      <c r="VSD174" s="250"/>
      <c r="VSE174" s="250"/>
      <c r="VSF174" s="250"/>
      <c r="VSG174" s="250"/>
      <c r="VSH174" s="250"/>
      <c r="VSI174" s="250"/>
      <c r="VSJ174" s="250"/>
      <c r="VSK174" s="250"/>
      <c r="VSL174" s="250"/>
      <c r="VSM174" s="250"/>
      <c r="VSN174" s="250"/>
      <c r="VSO174" s="250"/>
      <c r="VSP174" s="250"/>
      <c r="VSQ174" s="250"/>
      <c r="VSR174" s="250"/>
      <c r="VSS174" s="250"/>
      <c r="VST174" s="250"/>
      <c r="VSU174" s="250"/>
      <c r="VSV174" s="250"/>
      <c r="VSW174" s="250"/>
      <c r="VSX174" s="250"/>
      <c r="VSY174" s="250"/>
      <c r="VSZ174" s="250"/>
      <c r="VTA174" s="250"/>
      <c r="VTB174" s="250"/>
      <c r="VTC174" s="250"/>
      <c r="VTD174" s="250"/>
      <c r="VTE174" s="250"/>
      <c r="VTF174" s="250"/>
      <c r="VTG174" s="250"/>
      <c r="VTH174" s="250"/>
      <c r="VTI174" s="250"/>
      <c r="VTJ174" s="250"/>
      <c r="VTK174" s="250"/>
      <c r="VTL174" s="250"/>
      <c r="VTM174" s="250"/>
      <c r="VTN174" s="250"/>
      <c r="VTO174" s="250"/>
      <c r="VTP174" s="250"/>
      <c r="VTQ174" s="250"/>
      <c r="VTR174" s="250"/>
      <c r="VTS174" s="250"/>
      <c r="VTT174" s="250"/>
      <c r="VTU174" s="250"/>
      <c r="VTV174" s="250"/>
      <c r="VTW174" s="250"/>
      <c r="VTX174" s="250"/>
      <c r="VTY174" s="250"/>
      <c r="VTZ174" s="250"/>
      <c r="VUA174" s="250"/>
      <c r="VUB174" s="250"/>
      <c r="VUC174" s="250"/>
      <c r="VUD174" s="250"/>
      <c r="VUE174" s="250"/>
      <c r="VUF174" s="250"/>
      <c r="VUG174" s="250"/>
      <c r="VUH174" s="250"/>
      <c r="VUI174" s="250"/>
      <c r="VUJ174" s="250"/>
      <c r="VUK174" s="250"/>
      <c r="VUL174" s="250"/>
      <c r="VUM174" s="250"/>
      <c r="VUN174" s="250"/>
      <c r="VUO174" s="250"/>
      <c r="VUP174" s="250"/>
      <c r="VUQ174" s="250"/>
      <c r="VUR174" s="250"/>
      <c r="VUS174" s="250"/>
      <c r="VUT174" s="250"/>
      <c r="VUU174" s="250"/>
      <c r="VUV174" s="250"/>
      <c r="VUW174" s="250"/>
      <c r="VUX174" s="250"/>
      <c r="VUY174" s="250"/>
      <c r="VUZ174" s="250"/>
      <c r="VVA174" s="250"/>
      <c r="VVB174" s="250"/>
      <c r="VVC174" s="250"/>
      <c r="VVD174" s="250"/>
      <c r="VVE174" s="250"/>
      <c r="VVF174" s="250"/>
      <c r="VVG174" s="250"/>
      <c r="VVH174" s="250"/>
      <c r="VVI174" s="250"/>
      <c r="VVJ174" s="250"/>
      <c r="VVK174" s="250"/>
      <c r="VVL174" s="250"/>
      <c r="VVM174" s="250"/>
      <c r="VVN174" s="250"/>
      <c r="VVO174" s="250"/>
      <c r="VVP174" s="250"/>
      <c r="VVQ174" s="250"/>
      <c r="VVR174" s="250"/>
      <c r="VVS174" s="250"/>
      <c r="VVT174" s="250"/>
      <c r="VVU174" s="250"/>
      <c r="VVV174" s="250"/>
      <c r="VVW174" s="250"/>
      <c r="VVX174" s="250"/>
      <c r="VVY174" s="250"/>
      <c r="VVZ174" s="250"/>
      <c r="VWA174" s="250"/>
      <c r="VWB174" s="250"/>
      <c r="VWC174" s="250"/>
      <c r="VWD174" s="250"/>
      <c r="VWE174" s="250"/>
      <c r="VWF174" s="250"/>
      <c r="VWG174" s="250"/>
      <c r="VWH174" s="250"/>
      <c r="VWI174" s="250"/>
      <c r="VWJ174" s="250"/>
      <c r="VWK174" s="250"/>
      <c r="VWL174" s="250"/>
      <c r="VWM174" s="250"/>
      <c r="VWN174" s="250"/>
      <c r="VWO174" s="250"/>
      <c r="VWP174" s="250"/>
      <c r="VWQ174" s="250"/>
      <c r="VWR174" s="250"/>
      <c r="VWS174" s="250"/>
      <c r="VWT174" s="250"/>
      <c r="VWU174" s="250"/>
      <c r="VWV174" s="250"/>
      <c r="VWW174" s="250"/>
      <c r="VWX174" s="250"/>
      <c r="VWY174" s="250"/>
      <c r="VWZ174" s="250"/>
      <c r="VXA174" s="250"/>
      <c r="VXB174" s="250"/>
      <c r="VXC174" s="250"/>
      <c r="VXD174" s="250"/>
      <c r="VXE174" s="250"/>
      <c r="VXF174" s="250"/>
      <c r="VXG174" s="250"/>
      <c r="VXH174" s="250"/>
      <c r="VXI174" s="250"/>
      <c r="VXJ174" s="250"/>
      <c r="VXK174" s="250"/>
      <c r="VXL174" s="250"/>
      <c r="VXM174" s="250"/>
      <c r="VXN174" s="250"/>
      <c r="VXO174" s="250"/>
      <c r="VXP174" s="250"/>
      <c r="VXQ174" s="250"/>
      <c r="VXR174" s="250"/>
      <c r="VXS174" s="250"/>
      <c r="VXT174" s="250"/>
      <c r="VXU174" s="250"/>
      <c r="VXV174" s="250"/>
      <c r="VXW174" s="250"/>
      <c r="VXX174" s="250"/>
      <c r="VXY174" s="250"/>
      <c r="VXZ174" s="250"/>
      <c r="VYA174" s="250"/>
      <c r="VYB174" s="250"/>
      <c r="VYC174" s="250"/>
      <c r="VYD174" s="250"/>
      <c r="VYE174" s="250"/>
      <c r="VYF174" s="250"/>
      <c r="VYG174" s="250"/>
      <c r="VYH174" s="250"/>
      <c r="VYI174" s="250"/>
      <c r="VYJ174" s="250"/>
      <c r="VYK174" s="250"/>
      <c r="VYL174" s="250"/>
      <c r="VYM174" s="250"/>
      <c r="VYN174" s="250"/>
      <c r="VYO174" s="250"/>
      <c r="VYP174" s="250"/>
      <c r="VYQ174" s="250"/>
      <c r="VYR174" s="250"/>
      <c r="VYS174" s="250"/>
      <c r="VYT174" s="250"/>
      <c r="VYU174" s="250"/>
      <c r="VYV174" s="250"/>
      <c r="VYW174" s="250"/>
      <c r="VYX174" s="250"/>
      <c r="VYY174" s="250"/>
      <c r="VYZ174" s="250"/>
      <c r="VZA174" s="250"/>
      <c r="VZB174" s="250"/>
      <c r="VZC174" s="250"/>
      <c r="VZD174" s="250"/>
      <c r="VZE174" s="250"/>
      <c r="VZF174" s="250"/>
      <c r="VZG174" s="250"/>
      <c r="VZH174" s="250"/>
      <c r="VZI174" s="250"/>
      <c r="VZJ174" s="250"/>
      <c r="VZK174" s="250"/>
      <c r="VZL174" s="250"/>
      <c r="VZM174" s="250"/>
      <c r="VZN174" s="250"/>
      <c r="VZO174" s="250"/>
      <c r="VZP174" s="250"/>
      <c r="VZQ174" s="250"/>
      <c r="VZR174" s="250"/>
      <c r="VZS174" s="250"/>
      <c r="VZT174" s="250"/>
      <c r="VZU174" s="250"/>
      <c r="VZV174" s="250"/>
      <c r="VZW174" s="250"/>
      <c r="VZX174" s="250"/>
      <c r="VZY174" s="250"/>
      <c r="VZZ174" s="250"/>
      <c r="WAA174" s="250"/>
      <c r="WAB174" s="250"/>
      <c r="WAC174" s="250"/>
      <c r="WAD174" s="250"/>
      <c r="WAE174" s="250"/>
      <c r="WAF174" s="250"/>
      <c r="WAG174" s="250"/>
      <c r="WAH174" s="250"/>
      <c r="WAI174" s="250"/>
      <c r="WAJ174" s="250"/>
      <c r="WAK174" s="250"/>
      <c r="WAL174" s="250"/>
      <c r="WAM174" s="250"/>
      <c r="WAN174" s="250"/>
      <c r="WAO174" s="250"/>
      <c r="WAP174" s="250"/>
      <c r="WAQ174" s="250"/>
      <c r="WAR174" s="250"/>
      <c r="WAS174" s="250"/>
      <c r="WAT174" s="250"/>
      <c r="WAU174" s="250"/>
      <c r="WAV174" s="250"/>
      <c r="WAW174" s="250"/>
      <c r="WAX174" s="250"/>
      <c r="WAY174" s="250"/>
      <c r="WAZ174" s="250"/>
      <c r="WBA174" s="250"/>
      <c r="WBB174" s="250"/>
      <c r="WBC174" s="250"/>
      <c r="WBD174" s="250"/>
      <c r="WBE174" s="250"/>
      <c r="WBF174" s="250"/>
      <c r="WBG174" s="250"/>
      <c r="WBH174" s="250"/>
      <c r="WBI174" s="250"/>
      <c r="WBJ174" s="250"/>
      <c r="WBK174" s="250"/>
      <c r="WBL174" s="250"/>
      <c r="WBM174" s="250"/>
      <c r="WBN174" s="250"/>
      <c r="WBO174" s="250"/>
      <c r="WBP174" s="250"/>
      <c r="WBQ174" s="250"/>
      <c r="WBR174" s="250"/>
      <c r="WBS174" s="250"/>
      <c r="WBT174" s="250"/>
      <c r="WBU174" s="250"/>
      <c r="WBV174" s="250"/>
      <c r="WBW174" s="250"/>
      <c r="WBX174" s="250"/>
      <c r="WBY174" s="250"/>
      <c r="WBZ174" s="250"/>
      <c r="WCA174" s="250"/>
      <c r="WCB174" s="250"/>
      <c r="WCC174" s="250"/>
      <c r="WCD174" s="250"/>
      <c r="WCE174" s="250"/>
      <c r="WCF174" s="250"/>
      <c r="WCG174" s="250"/>
      <c r="WCH174" s="250"/>
      <c r="WCI174" s="250"/>
      <c r="WCJ174" s="250"/>
      <c r="WCK174" s="250"/>
      <c r="WCL174" s="250"/>
      <c r="WCM174" s="250"/>
      <c r="WCN174" s="250"/>
      <c r="WCO174" s="250"/>
      <c r="WCP174" s="250"/>
      <c r="WCQ174" s="250"/>
      <c r="WCR174" s="250"/>
      <c r="WCS174" s="250"/>
      <c r="WCT174" s="250"/>
      <c r="WCU174" s="250"/>
      <c r="WCV174" s="250"/>
      <c r="WCW174" s="250"/>
      <c r="WCX174" s="250"/>
      <c r="WCY174" s="250"/>
      <c r="WCZ174" s="250"/>
      <c r="WDA174" s="250"/>
      <c r="WDB174" s="250"/>
      <c r="WDC174" s="250"/>
      <c r="WDD174" s="250"/>
      <c r="WDE174" s="250"/>
      <c r="WDF174" s="250"/>
      <c r="WDG174" s="250"/>
      <c r="WDH174" s="250"/>
      <c r="WDI174" s="250"/>
      <c r="WDJ174" s="250"/>
      <c r="WDK174" s="250"/>
      <c r="WDL174" s="250"/>
      <c r="WDM174" s="250"/>
      <c r="WDN174" s="250"/>
      <c r="WDO174" s="250"/>
      <c r="WDP174" s="250"/>
      <c r="WDQ174" s="250"/>
      <c r="WDR174" s="250"/>
      <c r="WDS174" s="250"/>
      <c r="WDT174" s="250"/>
      <c r="WDU174" s="250"/>
      <c r="WDV174" s="250"/>
      <c r="WDW174" s="250"/>
      <c r="WDX174" s="250"/>
      <c r="WDY174" s="250"/>
      <c r="WDZ174" s="250"/>
      <c r="WEA174" s="250"/>
      <c r="WEB174" s="250"/>
      <c r="WEC174" s="250"/>
      <c r="WED174" s="250"/>
      <c r="WEE174" s="250"/>
      <c r="WEF174" s="250"/>
      <c r="WEG174" s="250"/>
      <c r="WEH174" s="250"/>
      <c r="WEI174" s="250"/>
      <c r="WEJ174" s="250"/>
      <c r="WEK174" s="250"/>
      <c r="WEL174" s="250"/>
      <c r="WEM174" s="250"/>
      <c r="WEN174" s="250"/>
      <c r="WEO174" s="250"/>
      <c r="WEP174" s="250"/>
      <c r="WEQ174" s="250"/>
      <c r="WER174" s="250"/>
      <c r="WES174" s="250"/>
      <c r="WET174" s="250"/>
      <c r="WEU174" s="250"/>
      <c r="WEV174" s="250"/>
      <c r="WEW174" s="250"/>
      <c r="WEX174" s="250"/>
      <c r="WEY174" s="250"/>
      <c r="WEZ174" s="250"/>
      <c r="WFA174" s="250"/>
      <c r="WFB174" s="250"/>
      <c r="WFC174" s="250"/>
      <c r="WFD174" s="250"/>
      <c r="WFE174" s="250"/>
      <c r="WFF174" s="250"/>
      <c r="WFG174" s="250"/>
      <c r="WFH174" s="250"/>
      <c r="WFI174" s="250"/>
      <c r="WFJ174" s="250"/>
      <c r="WFK174" s="250"/>
      <c r="WFL174" s="250"/>
      <c r="WFM174" s="250"/>
      <c r="WFN174" s="250"/>
      <c r="WFO174" s="250"/>
      <c r="WFP174" s="250"/>
      <c r="WFQ174" s="250"/>
      <c r="WFR174" s="250"/>
      <c r="WFS174" s="250"/>
      <c r="WFT174" s="250"/>
      <c r="WFU174" s="250"/>
      <c r="WFV174" s="250"/>
      <c r="WFW174" s="250"/>
      <c r="WFX174" s="250"/>
      <c r="WFY174" s="250"/>
      <c r="WFZ174" s="250"/>
      <c r="WGA174" s="250"/>
      <c r="WGB174" s="250"/>
      <c r="WGC174" s="250"/>
      <c r="WGD174" s="250"/>
      <c r="WGE174" s="250"/>
      <c r="WGF174" s="250"/>
      <c r="WGG174" s="250"/>
      <c r="WGH174" s="250"/>
      <c r="WGI174" s="250"/>
      <c r="WGJ174" s="250"/>
      <c r="WGK174" s="250"/>
      <c r="WGL174" s="250"/>
      <c r="WGM174" s="250"/>
      <c r="WGN174" s="250"/>
      <c r="WGO174" s="250"/>
      <c r="WGP174" s="250"/>
      <c r="WGQ174" s="250"/>
      <c r="WGR174" s="250"/>
      <c r="WGS174" s="250"/>
      <c r="WGT174" s="250"/>
      <c r="WGU174" s="250"/>
      <c r="WGV174" s="250"/>
      <c r="WGW174" s="250"/>
      <c r="WGX174" s="250"/>
      <c r="WGY174" s="250"/>
      <c r="WGZ174" s="250"/>
      <c r="WHA174" s="250"/>
      <c r="WHB174" s="250"/>
      <c r="WHC174" s="250"/>
      <c r="WHD174" s="250"/>
      <c r="WHE174" s="250"/>
      <c r="WHF174" s="250"/>
      <c r="WHG174" s="250"/>
      <c r="WHH174" s="250"/>
      <c r="WHI174" s="250"/>
      <c r="WHJ174" s="250"/>
      <c r="WHK174" s="250"/>
      <c r="WHL174" s="250"/>
      <c r="WHM174" s="250"/>
      <c r="WHN174" s="250"/>
      <c r="WHO174" s="250"/>
      <c r="WHP174" s="250"/>
      <c r="WHQ174" s="250"/>
      <c r="WHR174" s="250"/>
      <c r="WHS174" s="250"/>
      <c r="WHT174" s="250"/>
      <c r="WHU174" s="250"/>
      <c r="WHV174" s="250"/>
      <c r="WHW174" s="250"/>
      <c r="WHX174" s="250"/>
      <c r="WHY174" s="250"/>
      <c r="WHZ174" s="250"/>
      <c r="WIA174" s="250"/>
      <c r="WIB174" s="250"/>
      <c r="WIC174" s="250"/>
      <c r="WID174" s="250"/>
      <c r="WIE174" s="250"/>
      <c r="WIF174" s="250"/>
      <c r="WIG174" s="250"/>
      <c r="WIH174" s="250"/>
      <c r="WII174" s="250"/>
      <c r="WIJ174" s="250"/>
      <c r="WIK174" s="250"/>
      <c r="WIL174" s="250"/>
      <c r="WIM174" s="250"/>
      <c r="WIN174" s="250"/>
      <c r="WIO174" s="250"/>
      <c r="WIP174" s="250"/>
      <c r="WIQ174" s="250"/>
      <c r="WIR174" s="250"/>
      <c r="WIS174" s="250"/>
      <c r="WIT174" s="250"/>
      <c r="WIU174" s="250"/>
      <c r="WIV174" s="250"/>
      <c r="WIW174" s="250"/>
      <c r="WIX174" s="250"/>
      <c r="WIY174" s="250"/>
      <c r="WIZ174" s="250"/>
      <c r="WJA174" s="250"/>
      <c r="WJB174" s="250"/>
      <c r="WJC174" s="250"/>
      <c r="WJD174" s="250"/>
      <c r="WJE174" s="250"/>
      <c r="WJF174" s="250"/>
      <c r="WJG174" s="250"/>
      <c r="WJH174" s="250"/>
      <c r="WJI174" s="250"/>
      <c r="WJJ174" s="250"/>
      <c r="WJK174" s="250"/>
      <c r="WJL174" s="250"/>
      <c r="WJM174" s="250"/>
      <c r="WJN174" s="250"/>
      <c r="WJO174" s="250"/>
      <c r="WJP174" s="250"/>
      <c r="WJQ174" s="250"/>
      <c r="WJR174" s="250"/>
      <c r="WJS174" s="250"/>
      <c r="WJT174" s="250"/>
      <c r="WJU174" s="250"/>
      <c r="WJV174" s="250"/>
      <c r="WJW174" s="250"/>
      <c r="WJX174" s="250"/>
      <c r="WJY174" s="250"/>
      <c r="WJZ174" s="250"/>
      <c r="WKA174" s="250"/>
      <c r="WKB174" s="250"/>
      <c r="WKC174" s="250"/>
      <c r="WKD174" s="250"/>
      <c r="WKE174" s="250"/>
      <c r="WKF174" s="250"/>
      <c r="WKG174" s="250"/>
      <c r="WKH174" s="250"/>
      <c r="WKI174" s="250"/>
      <c r="WKJ174" s="250"/>
      <c r="WKK174" s="250"/>
      <c r="WKL174" s="250"/>
      <c r="WKM174" s="250"/>
      <c r="WKN174" s="250"/>
      <c r="WKO174" s="250"/>
      <c r="WKP174" s="250"/>
      <c r="WKQ174" s="250"/>
      <c r="WKR174" s="250"/>
      <c r="WKS174" s="250"/>
      <c r="WKT174" s="250"/>
      <c r="WKU174" s="250"/>
      <c r="WKV174" s="250"/>
      <c r="WKW174" s="250"/>
      <c r="WKX174" s="250"/>
      <c r="WKY174" s="250"/>
      <c r="WKZ174" s="250"/>
      <c r="WLA174" s="250"/>
      <c r="WLB174" s="250"/>
      <c r="WLC174" s="250"/>
      <c r="WLD174" s="250"/>
      <c r="WLE174" s="250"/>
      <c r="WLF174" s="250"/>
      <c r="WLG174" s="250"/>
      <c r="WLH174" s="250"/>
      <c r="WLI174" s="250"/>
      <c r="WLJ174" s="250"/>
      <c r="WLK174" s="250"/>
      <c r="WLL174" s="250"/>
      <c r="WLM174" s="250"/>
      <c r="WLN174" s="250"/>
      <c r="WLO174" s="250"/>
      <c r="WLP174" s="250"/>
      <c r="WLQ174" s="250"/>
      <c r="WLR174" s="250"/>
      <c r="WLS174" s="250"/>
      <c r="WLT174" s="250"/>
      <c r="WLU174" s="250"/>
      <c r="WLV174" s="250"/>
      <c r="WLW174" s="250"/>
      <c r="WLX174" s="250"/>
      <c r="WLY174" s="250"/>
      <c r="WLZ174" s="250"/>
      <c r="WMA174" s="250"/>
      <c r="WMB174" s="250"/>
      <c r="WMC174" s="250"/>
      <c r="WMD174" s="250"/>
      <c r="WME174" s="250"/>
      <c r="WMF174" s="250"/>
      <c r="WMG174" s="250"/>
      <c r="WMH174" s="250"/>
      <c r="WMI174" s="250"/>
      <c r="WMJ174" s="250"/>
      <c r="WMK174" s="250"/>
      <c r="WML174" s="250"/>
      <c r="WMM174" s="250"/>
      <c r="WMN174" s="250"/>
      <c r="WMO174" s="250"/>
      <c r="WMP174" s="250"/>
      <c r="WMQ174" s="250"/>
      <c r="WMR174" s="250"/>
      <c r="WMS174" s="250"/>
      <c r="WMT174" s="250"/>
      <c r="WMU174" s="250"/>
      <c r="WMV174" s="250"/>
      <c r="WMW174" s="250"/>
      <c r="WMX174" s="250"/>
      <c r="WMY174" s="250"/>
      <c r="WMZ174" s="250"/>
      <c r="WNA174" s="250"/>
      <c r="WNB174" s="250"/>
      <c r="WNC174" s="250"/>
      <c r="WND174" s="250"/>
      <c r="WNE174" s="250"/>
      <c r="WNF174" s="250"/>
      <c r="WNG174" s="250"/>
      <c r="WNH174" s="250"/>
      <c r="WNI174" s="250"/>
      <c r="WNJ174" s="250"/>
      <c r="WNK174" s="250"/>
      <c r="WNL174" s="250"/>
      <c r="WNM174" s="250"/>
      <c r="WNN174" s="250"/>
      <c r="WNO174" s="250"/>
      <c r="WNP174" s="250"/>
      <c r="WNQ174" s="250"/>
      <c r="WNR174" s="250"/>
      <c r="WNS174" s="250"/>
      <c r="WNT174" s="250"/>
      <c r="WNU174" s="250"/>
      <c r="WNV174" s="250"/>
      <c r="WNW174" s="250"/>
      <c r="WNX174" s="250"/>
      <c r="WNY174" s="250"/>
      <c r="WNZ174" s="250"/>
      <c r="WOA174" s="250"/>
      <c r="WOB174" s="250"/>
      <c r="WOC174" s="250"/>
      <c r="WOD174" s="250"/>
      <c r="WOE174" s="250"/>
      <c r="WOF174" s="250"/>
      <c r="WOG174" s="250"/>
      <c r="WOH174" s="250"/>
      <c r="WOI174" s="250"/>
      <c r="WOJ174" s="250"/>
      <c r="WOK174" s="250"/>
      <c r="WOL174" s="250"/>
      <c r="WOM174" s="250"/>
      <c r="WON174" s="250"/>
      <c r="WOO174" s="250"/>
      <c r="WOP174" s="250"/>
      <c r="WOQ174" s="250"/>
      <c r="WOR174" s="250"/>
      <c r="WOS174" s="250"/>
      <c r="WOT174" s="250"/>
      <c r="WOU174" s="250"/>
      <c r="WOV174" s="250"/>
      <c r="WOW174" s="250"/>
      <c r="WOX174" s="250"/>
      <c r="WOY174" s="250"/>
      <c r="WOZ174" s="250"/>
      <c r="WPA174" s="250"/>
      <c r="WPB174" s="250"/>
      <c r="WPC174" s="250"/>
      <c r="WPD174" s="250"/>
      <c r="WPE174" s="250"/>
      <c r="WPF174" s="250"/>
      <c r="WPG174" s="250"/>
      <c r="WPH174" s="250"/>
      <c r="WPI174" s="250"/>
      <c r="WPJ174" s="250"/>
      <c r="WPK174" s="250"/>
      <c r="WPL174" s="250"/>
      <c r="WPM174" s="250"/>
      <c r="WPN174" s="250"/>
      <c r="WPO174" s="250"/>
      <c r="WPP174" s="250"/>
      <c r="WPQ174" s="250"/>
      <c r="WPR174" s="250"/>
      <c r="WPS174" s="250"/>
      <c r="WPT174" s="250"/>
      <c r="WPU174" s="250"/>
      <c r="WPV174" s="250"/>
      <c r="WPW174" s="250"/>
      <c r="WPX174" s="250"/>
      <c r="WPY174" s="250"/>
      <c r="WPZ174" s="250"/>
      <c r="WQA174" s="250"/>
      <c r="WQB174" s="250"/>
      <c r="WQC174" s="250"/>
      <c r="WQD174" s="250"/>
      <c r="WQE174" s="250"/>
      <c r="WQF174" s="250"/>
      <c r="WQG174" s="250"/>
      <c r="WQH174" s="250"/>
      <c r="WQI174" s="250"/>
      <c r="WQJ174" s="250"/>
      <c r="WQK174" s="250"/>
      <c r="WQL174" s="250"/>
      <c r="WQM174" s="250"/>
      <c r="WQN174" s="250"/>
      <c r="WQO174" s="250"/>
      <c r="WQP174" s="250"/>
      <c r="WQQ174" s="250"/>
      <c r="WQR174" s="250"/>
      <c r="WQS174" s="250"/>
      <c r="WQT174" s="250"/>
      <c r="WQU174" s="250"/>
      <c r="WQV174" s="250"/>
      <c r="WQW174" s="250"/>
      <c r="WQX174" s="250"/>
      <c r="WQY174" s="250"/>
      <c r="WQZ174" s="250"/>
      <c r="WRA174" s="250"/>
      <c r="WRB174" s="250"/>
      <c r="WRC174" s="250"/>
      <c r="WRD174" s="250"/>
      <c r="WRE174" s="250"/>
      <c r="WRF174" s="250"/>
      <c r="WRG174" s="250"/>
      <c r="WRH174" s="250"/>
      <c r="WRI174" s="250"/>
      <c r="WRJ174" s="250"/>
      <c r="WRK174" s="250"/>
      <c r="WRL174" s="250"/>
      <c r="WRM174" s="250"/>
      <c r="WRN174" s="250"/>
      <c r="WRO174" s="250"/>
      <c r="WRP174" s="250"/>
      <c r="WRQ174" s="250"/>
      <c r="WRR174" s="250"/>
      <c r="WRS174" s="250"/>
      <c r="WRT174" s="250"/>
      <c r="WRU174" s="250"/>
      <c r="WRV174" s="250"/>
      <c r="WRW174" s="250"/>
      <c r="WRX174" s="250"/>
      <c r="WRY174" s="250"/>
      <c r="WRZ174" s="250"/>
      <c r="WSA174" s="250"/>
      <c r="WSB174" s="250"/>
      <c r="WSC174" s="250"/>
      <c r="WSD174" s="250"/>
      <c r="WSE174" s="250"/>
      <c r="WSF174" s="250"/>
      <c r="WSG174" s="250"/>
      <c r="WSH174" s="250"/>
      <c r="WSI174" s="250"/>
      <c r="WSJ174" s="250"/>
      <c r="WSK174" s="250"/>
      <c r="WSL174" s="250"/>
      <c r="WSM174" s="250"/>
      <c r="WSN174" s="250"/>
      <c r="WSO174" s="250"/>
      <c r="WSP174" s="250"/>
      <c r="WSQ174" s="250"/>
      <c r="WSR174" s="250"/>
      <c r="WSS174" s="250"/>
      <c r="WST174" s="250"/>
      <c r="WSU174" s="250"/>
      <c r="WSV174" s="250"/>
      <c r="WSW174" s="250"/>
      <c r="WSX174" s="250"/>
      <c r="WSY174" s="250"/>
      <c r="WSZ174" s="250"/>
      <c r="WTA174" s="250"/>
      <c r="WTB174" s="250"/>
      <c r="WTC174" s="250"/>
      <c r="WTD174" s="250"/>
      <c r="WTE174" s="250"/>
      <c r="WTF174" s="250"/>
      <c r="WTG174" s="250"/>
      <c r="WTH174" s="250"/>
      <c r="WTI174" s="250"/>
      <c r="WTJ174" s="250"/>
      <c r="WTK174" s="250"/>
      <c r="WTL174" s="250"/>
      <c r="WTM174" s="250"/>
      <c r="WTN174" s="250"/>
      <c r="WTO174" s="250"/>
      <c r="WTP174" s="250"/>
      <c r="WTQ174" s="250"/>
      <c r="WTR174" s="250"/>
      <c r="WTS174" s="250"/>
      <c r="WTT174" s="250"/>
      <c r="WTU174" s="250"/>
      <c r="WTV174" s="250"/>
      <c r="WTW174" s="250"/>
      <c r="WTX174" s="250"/>
      <c r="WTY174" s="250"/>
      <c r="WTZ174" s="250"/>
      <c r="WUA174" s="250"/>
      <c r="WUB174" s="250"/>
      <c r="WUC174" s="250"/>
      <c r="WUD174" s="250"/>
      <c r="WUE174" s="250"/>
      <c r="WUF174" s="250"/>
      <c r="WUG174" s="250"/>
      <c r="WUH174" s="250"/>
      <c r="WUI174" s="250"/>
      <c r="WUJ174" s="250"/>
      <c r="WUK174" s="250"/>
      <c r="WUL174" s="250"/>
      <c r="WUM174" s="250"/>
      <c r="WUN174" s="250"/>
      <c r="WUO174" s="250"/>
      <c r="WUP174" s="250"/>
      <c r="WUQ174" s="250"/>
      <c r="WUR174" s="250"/>
      <c r="WUS174" s="250"/>
      <c r="WUT174" s="250"/>
      <c r="WUU174" s="250"/>
      <c r="WUV174" s="250"/>
      <c r="WUW174" s="250"/>
      <c r="WUX174" s="250"/>
      <c r="WUY174" s="250"/>
      <c r="WUZ174" s="250"/>
      <c r="WVA174" s="250"/>
      <c r="WVB174" s="250"/>
      <c r="WVC174" s="250"/>
      <c r="WVD174" s="250"/>
      <c r="WVE174" s="250"/>
      <c r="WVF174" s="250"/>
      <c r="WVG174" s="250"/>
      <c r="WVH174" s="250"/>
      <c r="WVI174" s="250"/>
      <c r="WVJ174" s="250"/>
      <c r="WVK174" s="250"/>
      <c r="WVL174" s="250"/>
      <c r="WVM174" s="250"/>
      <c r="WVN174" s="250"/>
      <c r="WVO174" s="250"/>
      <c r="WVP174" s="250"/>
      <c r="WVQ174" s="250"/>
      <c r="WVR174" s="250"/>
      <c r="WVS174" s="250"/>
      <c r="WVT174" s="250"/>
      <c r="WVU174" s="250"/>
      <c r="WVV174" s="250"/>
      <c r="WVW174" s="250"/>
      <c r="WVX174" s="250"/>
      <c r="WVY174" s="250"/>
      <c r="WVZ174" s="250"/>
      <c r="WWA174" s="250"/>
      <c r="WWB174" s="250"/>
      <c r="WWC174" s="250"/>
      <c r="WWD174" s="250"/>
      <c r="WWE174" s="250"/>
      <c r="WWF174" s="250"/>
      <c r="WWG174" s="250"/>
      <c r="WWH174" s="250"/>
      <c r="WWI174" s="250"/>
      <c r="WWJ174" s="250"/>
      <c r="WWK174" s="250"/>
      <c r="WWL174" s="250"/>
      <c r="WWM174" s="250"/>
      <c r="WWN174" s="250"/>
      <c r="WWO174" s="250"/>
      <c r="WWP174" s="250"/>
      <c r="WWQ174" s="250"/>
      <c r="WWR174" s="250"/>
      <c r="WWS174" s="250"/>
      <c r="WWT174" s="250"/>
      <c r="WWU174" s="250"/>
      <c r="WWV174" s="250"/>
      <c r="WWW174" s="250"/>
      <c r="WWX174" s="250"/>
      <c r="WWY174" s="250"/>
      <c r="WWZ174" s="250"/>
      <c r="WXA174" s="250"/>
      <c r="WXB174" s="250"/>
      <c r="WXC174" s="250"/>
      <c r="WXD174" s="250"/>
      <c r="WXE174" s="250"/>
      <c r="WXF174" s="250"/>
      <c r="WXG174" s="250"/>
      <c r="WXH174" s="250"/>
      <c r="WXI174" s="250"/>
      <c r="WXJ174" s="250"/>
      <c r="WXK174" s="250"/>
      <c r="WXL174" s="250"/>
      <c r="WXM174" s="250"/>
      <c r="WXN174" s="250"/>
      <c r="WXO174" s="250"/>
      <c r="WXP174" s="250"/>
      <c r="WXQ174" s="250"/>
      <c r="WXR174" s="250"/>
      <c r="WXS174" s="250"/>
      <c r="WXT174" s="250"/>
      <c r="WXU174" s="250"/>
      <c r="WXV174" s="250"/>
      <c r="WXW174" s="250"/>
      <c r="WXX174" s="250"/>
      <c r="WXY174" s="250"/>
      <c r="WXZ174" s="250"/>
      <c r="WYA174" s="250"/>
      <c r="WYB174" s="250"/>
      <c r="WYC174" s="250"/>
      <c r="WYD174" s="250"/>
      <c r="WYE174" s="250"/>
      <c r="WYF174" s="250"/>
      <c r="WYG174" s="250"/>
      <c r="WYH174" s="250"/>
      <c r="WYI174" s="250"/>
      <c r="WYJ174" s="250"/>
      <c r="WYK174" s="250"/>
      <c r="WYL174" s="250"/>
      <c r="WYM174" s="250"/>
      <c r="WYN174" s="250"/>
      <c r="WYO174" s="250"/>
      <c r="WYP174" s="250"/>
      <c r="WYQ174" s="250"/>
      <c r="WYR174" s="250"/>
      <c r="WYS174" s="250"/>
      <c r="WYT174" s="250"/>
      <c r="WYU174" s="250"/>
      <c r="WYV174" s="250"/>
      <c r="WYW174" s="250"/>
      <c r="WYX174" s="250"/>
      <c r="WYY174" s="250"/>
      <c r="WYZ174" s="250"/>
      <c r="WZA174" s="250"/>
      <c r="WZB174" s="250"/>
      <c r="WZC174" s="250"/>
      <c r="WZD174" s="250"/>
      <c r="WZE174" s="250"/>
      <c r="WZF174" s="250"/>
      <c r="WZG174" s="250"/>
      <c r="WZH174" s="250"/>
      <c r="WZI174" s="250"/>
      <c r="WZJ174" s="250"/>
      <c r="WZK174" s="250"/>
      <c r="WZL174" s="250"/>
      <c r="WZM174" s="250"/>
      <c r="WZN174" s="250"/>
      <c r="WZO174" s="250"/>
      <c r="WZP174" s="250"/>
      <c r="WZQ174" s="250"/>
      <c r="WZR174" s="250"/>
      <c r="WZS174" s="250"/>
      <c r="WZT174" s="250"/>
      <c r="WZU174" s="250"/>
      <c r="WZV174" s="250"/>
      <c r="WZW174" s="250"/>
      <c r="WZX174" s="250"/>
      <c r="WZY174" s="250"/>
      <c r="WZZ174" s="250"/>
      <c r="XAA174" s="250"/>
      <c r="XAB174" s="250"/>
      <c r="XAC174" s="250"/>
      <c r="XAD174" s="250"/>
      <c r="XAE174" s="250"/>
      <c r="XAF174" s="250"/>
      <c r="XAG174" s="250"/>
      <c r="XAH174" s="250"/>
      <c r="XAI174" s="250"/>
      <c r="XAJ174" s="250"/>
      <c r="XAK174" s="250"/>
      <c r="XAL174" s="250"/>
      <c r="XAM174" s="250"/>
      <c r="XAN174" s="250"/>
      <c r="XAO174" s="250"/>
      <c r="XAP174" s="250"/>
      <c r="XAQ174" s="250"/>
      <c r="XAR174" s="250"/>
      <c r="XAS174" s="250"/>
      <c r="XAT174" s="250"/>
      <c r="XAU174" s="250"/>
      <c r="XAV174" s="250"/>
      <c r="XAW174" s="250"/>
      <c r="XAX174" s="250"/>
      <c r="XAY174" s="250"/>
      <c r="XAZ174" s="250"/>
      <c r="XBA174" s="250"/>
      <c r="XBB174" s="250"/>
      <c r="XBC174" s="250"/>
      <c r="XBD174" s="250"/>
      <c r="XBE174" s="250"/>
      <c r="XBF174" s="250"/>
      <c r="XBG174" s="250"/>
      <c r="XBH174" s="250"/>
      <c r="XBI174" s="250"/>
      <c r="XBJ174" s="250"/>
      <c r="XBK174" s="250"/>
      <c r="XBL174" s="250"/>
      <c r="XBM174" s="250"/>
      <c r="XBN174" s="250"/>
      <c r="XBO174" s="250"/>
      <c r="XBP174" s="250"/>
      <c r="XBQ174" s="250"/>
      <c r="XBR174" s="250"/>
      <c r="XBS174" s="250"/>
      <c r="XBT174" s="250"/>
      <c r="XBU174" s="250"/>
      <c r="XBV174" s="250"/>
      <c r="XBW174" s="250"/>
      <c r="XBX174" s="250"/>
      <c r="XBY174" s="250"/>
      <c r="XBZ174" s="250"/>
      <c r="XCA174" s="250"/>
      <c r="XCB174" s="250"/>
      <c r="XCC174" s="250"/>
      <c r="XCD174" s="250"/>
      <c r="XCE174" s="250"/>
      <c r="XCF174" s="250"/>
      <c r="XCG174" s="250"/>
      <c r="XCH174" s="250"/>
      <c r="XCI174" s="250"/>
      <c r="XCJ174" s="250"/>
      <c r="XCK174" s="250"/>
      <c r="XCL174" s="250"/>
      <c r="XCM174" s="250"/>
      <c r="XCN174" s="250"/>
      <c r="XCO174" s="250"/>
      <c r="XCP174" s="250"/>
      <c r="XCQ174" s="250"/>
      <c r="XCR174" s="250"/>
      <c r="XCS174" s="250"/>
      <c r="XCT174" s="250"/>
      <c r="XCU174" s="250"/>
      <c r="XCV174" s="250"/>
      <c r="XCW174" s="250"/>
      <c r="XCX174" s="250"/>
      <c r="XCY174" s="250"/>
      <c r="XCZ174" s="250"/>
      <c r="XDA174" s="250"/>
      <c r="XDB174" s="250"/>
      <c r="XDC174" s="250"/>
      <c r="XDD174" s="250"/>
      <c r="XDE174" s="250"/>
      <c r="XDF174" s="250"/>
      <c r="XDG174" s="250"/>
      <c r="XDH174" s="250"/>
      <c r="XDI174" s="250"/>
      <c r="XDJ174" s="250"/>
      <c r="XDK174" s="250"/>
      <c r="XDL174" s="250"/>
      <c r="XDM174" s="250"/>
      <c r="XDN174" s="250"/>
      <c r="XDO174" s="250"/>
      <c r="XDP174" s="250"/>
      <c r="XDQ174" s="250"/>
      <c r="XDR174" s="250"/>
      <c r="XDS174" s="250"/>
      <c r="XDT174" s="250"/>
      <c r="XDU174" s="250"/>
      <c r="XDV174" s="250"/>
      <c r="XDW174" s="250"/>
      <c r="XDX174" s="250"/>
      <c r="XDY174" s="250"/>
      <c r="XDZ174" s="250"/>
      <c r="XEA174" s="250"/>
      <c r="XEB174" s="250"/>
      <c r="XEC174" s="250"/>
      <c r="XED174" s="250"/>
      <c r="XEE174" s="250"/>
      <c r="XEF174" s="250"/>
      <c r="XEG174" s="250"/>
      <c r="XEH174" s="250"/>
      <c r="XEI174" s="250"/>
      <c r="XEJ174" s="250"/>
      <c r="XEK174" s="250"/>
      <c r="XEL174" s="250"/>
      <c r="XEM174" s="250"/>
      <c r="XEN174" s="250"/>
      <c r="XEO174" s="250"/>
      <c r="XEP174" s="250"/>
      <c r="XEQ174" s="250"/>
      <c r="XER174" s="250"/>
      <c r="XES174" s="250"/>
      <c r="XET174" s="250"/>
      <c r="XEU174" s="250"/>
      <c r="XEV174" s="250"/>
      <c r="XEW174" s="250"/>
      <c r="XEX174" s="250"/>
      <c r="XEY174" s="250"/>
      <c r="XEZ174" s="250"/>
      <c r="XFA174" s="250"/>
      <c r="XFB174" s="250"/>
      <c r="XFC174" s="250"/>
    </row>
    <row r="175" spans="1:16383" ht="12" customHeight="1" x14ac:dyDescent="0.2">
      <c r="A175" s="229"/>
      <c r="B175" s="250"/>
      <c r="C175" s="250"/>
      <c r="D175" s="250"/>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EB175" s="250"/>
      <c r="EC175" s="250"/>
      <c r="ED175" s="250"/>
      <c r="EE175" s="250"/>
      <c r="EF175" s="250"/>
      <c r="EG175" s="250"/>
      <c r="EH175" s="250"/>
      <c r="EI175" s="250"/>
      <c r="EJ175" s="250"/>
      <c r="EK175" s="250"/>
      <c r="EL175" s="250"/>
      <c r="EM175" s="250"/>
      <c r="EN175" s="250"/>
      <c r="EO175" s="250"/>
      <c r="EP175" s="250"/>
      <c r="EQ175" s="250"/>
      <c r="ER175" s="250"/>
      <c r="ES175" s="250"/>
      <c r="ET175" s="250"/>
      <c r="EU175" s="250"/>
      <c r="EV175" s="250"/>
      <c r="EW175" s="250"/>
      <c r="EX175" s="250"/>
      <c r="EY175" s="250"/>
      <c r="EZ175" s="250"/>
      <c r="FA175" s="250"/>
      <c r="FB175" s="250"/>
      <c r="FC175" s="250"/>
      <c r="FD175" s="250"/>
      <c r="FE175" s="250"/>
      <c r="FF175" s="250"/>
      <c r="FG175" s="250"/>
      <c r="FH175" s="250"/>
      <c r="FI175" s="250"/>
      <c r="FJ175" s="250"/>
      <c r="FK175" s="250"/>
      <c r="FL175" s="250"/>
      <c r="FM175" s="250"/>
      <c r="FN175" s="250"/>
      <c r="FO175" s="250"/>
      <c r="FP175" s="250"/>
      <c r="FQ175" s="250"/>
      <c r="FR175" s="250"/>
      <c r="FS175" s="250"/>
      <c r="FT175" s="250"/>
      <c r="FU175" s="250"/>
      <c r="FV175" s="250"/>
      <c r="FW175" s="250"/>
      <c r="FX175" s="250"/>
      <c r="FY175" s="250"/>
      <c r="FZ175" s="250"/>
      <c r="GA175" s="250"/>
      <c r="GB175" s="250"/>
      <c r="GC175" s="250"/>
      <c r="GD175" s="250"/>
      <c r="GE175" s="250"/>
      <c r="GF175" s="250"/>
      <c r="GG175" s="250"/>
      <c r="GH175" s="250"/>
      <c r="GI175" s="250"/>
      <c r="GJ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HN175" s="250"/>
      <c r="HO175" s="250"/>
      <c r="HP175" s="250"/>
      <c r="HQ175" s="250"/>
      <c r="HR175" s="250"/>
      <c r="HS175" s="250"/>
      <c r="HT175" s="250"/>
      <c r="HU175" s="250"/>
      <c r="HV175" s="250"/>
      <c r="HW175" s="250"/>
      <c r="HX175" s="250"/>
      <c r="HY175" s="250"/>
      <c r="HZ175" s="250"/>
      <c r="IA175" s="250"/>
      <c r="IB175" s="250"/>
      <c r="IC175" s="250"/>
      <c r="ID175" s="250"/>
      <c r="IE175" s="250"/>
      <c r="IF175" s="250"/>
      <c r="IG175" s="250"/>
      <c r="IH175" s="250"/>
      <c r="II175" s="250"/>
      <c r="IJ175" s="250"/>
      <c r="IK175" s="250"/>
      <c r="IL175" s="250"/>
      <c r="IM175" s="250"/>
      <c r="IN175" s="250"/>
      <c r="IO175" s="250"/>
      <c r="IP175" s="250"/>
      <c r="IQ175" s="250"/>
      <c r="IR175" s="250"/>
      <c r="IS175" s="250"/>
      <c r="IT175" s="250"/>
      <c r="IU175" s="250"/>
      <c r="IV175" s="250"/>
      <c r="IW175" s="250"/>
      <c r="IX175" s="250"/>
      <c r="IY175" s="250"/>
      <c r="IZ175" s="250"/>
      <c r="JA175" s="250"/>
      <c r="JB175" s="250"/>
      <c r="JC175" s="250"/>
      <c r="JD175" s="250"/>
      <c r="JE175" s="250"/>
      <c r="JF175" s="250"/>
      <c r="JG175" s="250"/>
      <c r="JH175" s="250"/>
      <c r="JI175" s="250"/>
      <c r="JJ175" s="250"/>
      <c r="JK175" s="250"/>
      <c r="JL175" s="250"/>
      <c r="JM175" s="250"/>
      <c r="JN175" s="250"/>
      <c r="JO175" s="250"/>
      <c r="JP175" s="250"/>
      <c r="JQ175" s="250"/>
      <c r="JR175" s="250"/>
      <c r="JS175" s="250"/>
      <c r="JT175" s="250"/>
      <c r="JU175" s="250"/>
      <c r="JV175" s="250"/>
      <c r="JW175" s="250"/>
      <c r="JX175" s="250"/>
      <c r="JY175" s="250"/>
      <c r="JZ175" s="250"/>
      <c r="KA175" s="250"/>
      <c r="KB175" s="250"/>
      <c r="KC175" s="250"/>
      <c r="KD175" s="250"/>
      <c r="KE175" s="250"/>
      <c r="KF175" s="250"/>
      <c r="KG175" s="250"/>
      <c r="KH175" s="250"/>
      <c r="KI175" s="250"/>
      <c r="KJ175" s="250"/>
      <c r="KK175" s="250"/>
      <c r="KL175" s="250"/>
      <c r="KM175" s="250"/>
      <c r="KN175" s="250"/>
      <c r="KO175" s="250"/>
      <c r="KP175" s="250"/>
      <c r="KQ175" s="250"/>
      <c r="KR175" s="250"/>
      <c r="KS175" s="250"/>
      <c r="KT175" s="250"/>
      <c r="KU175" s="250"/>
      <c r="KV175" s="250"/>
      <c r="KW175" s="250"/>
      <c r="KX175" s="250"/>
      <c r="KY175" s="250"/>
      <c r="KZ175" s="250"/>
      <c r="LA175" s="250"/>
      <c r="LB175" s="250"/>
      <c r="LC175" s="250"/>
      <c r="LD175" s="250"/>
      <c r="LE175" s="250"/>
      <c r="LF175" s="250"/>
      <c r="LG175" s="250"/>
      <c r="LH175" s="250"/>
      <c r="LI175" s="250"/>
      <c r="LJ175" s="250"/>
      <c r="LK175" s="250"/>
      <c r="LL175" s="250"/>
      <c r="LM175" s="250"/>
      <c r="LN175" s="250"/>
      <c r="LO175" s="250"/>
      <c r="LP175" s="250"/>
      <c r="LQ175" s="250"/>
      <c r="LR175" s="250"/>
      <c r="LS175" s="250"/>
      <c r="LT175" s="250"/>
      <c r="LU175" s="250"/>
      <c r="LV175" s="250"/>
      <c r="LW175" s="250"/>
      <c r="LX175" s="250"/>
      <c r="LY175" s="250"/>
      <c r="LZ175" s="250"/>
      <c r="MA175" s="250"/>
      <c r="MB175" s="250"/>
      <c r="MC175" s="250"/>
      <c r="MD175" s="250"/>
      <c r="ME175" s="250"/>
      <c r="MF175" s="250"/>
      <c r="MG175" s="250"/>
      <c r="MH175" s="250"/>
      <c r="MI175" s="250"/>
      <c r="MJ175" s="250"/>
      <c r="MK175" s="250"/>
      <c r="ML175" s="250"/>
      <c r="MM175" s="250"/>
      <c r="MN175" s="250"/>
      <c r="MO175" s="250"/>
      <c r="MP175" s="250"/>
      <c r="MQ175" s="250"/>
      <c r="MR175" s="250"/>
      <c r="MS175" s="250"/>
      <c r="MT175" s="250"/>
      <c r="MU175" s="250"/>
      <c r="MV175" s="250"/>
      <c r="MW175" s="250"/>
      <c r="MX175" s="250"/>
      <c r="MY175" s="250"/>
      <c r="MZ175" s="250"/>
      <c r="NA175" s="250"/>
      <c r="NB175" s="250"/>
      <c r="NC175" s="250"/>
      <c r="ND175" s="250"/>
      <c r="NE175" s="250"/>
      <c r="NF175" s="250"/>
      <c r="NG175" s="250"/>
      <c r="NH175" s="250"/>
      <c r="NI175" s="250"/>
      <c r="NJ175" s="250"/>
      <c r="NK175" s="250"/>
      <c r="NL175" s="250"/>
      <c r="NM175" s="250"/>
      <c r="NN175" s="250"/>
      <c r="NO175" s="250"/>
      <c r="NP175" s="250"/>
      <c r="NQ175" s="250"/>
      <c r="NR175" s="250"/>
      <c r="NS175" s="250"/>
      <c r="NT175" s="250"/>
      <c r="NU175" s="250"/>
      <c r="NV175" s="250"/>
      <c r="NW175" s="250"/>
      <c r="NX175" s="250"/>
      <c r="NY175" s="250"/>
      <c r="NZ175" s="250"/>
      <c r="OA175" s="250"/>
      <c r="OB175" s="250"/>
      <c r="OC175" s="250"/>
      <c r="OD175" s="250"/>
      <c r="OE175" s="250"/>
      <c r="OF175" s="250"/>
      <c r="OG175" s="250"/>
      <c r="OH175" s="250"/>
      <c r="OI175" s="250"/>
      <c r="OJ175" s="250"/>
      <c r="OK175" s="250"/>
      <c r="OL175" s="250"/>
      <c r="OM175" s="250"/>
      <c r="ON175" s="250"/>
      <c r="OO175" s="250"/>
      <c r="OP175" s="250"/>
      <c r="OQ175" s="250"/>
      <c r="OR175" s="250"/>
      <c r="OS175" s="250"/>
      <c r="OT175" s="250"/>
      <c r="OU175" s="250"/>
      <c r="OV175" s="250"/>
      <c r="OW175" s="250"/>
      <c r="OX175" s="250"/>
      <c r="OY175" s="250"/>
      <c r="OZ175" s="250"/>
      <c r="PA175" s="250"/>
      <c r="PB175" s="250"/>
      <c r="PC175" s="250"/>
      <c r="PD175" s="250"/>
      <c r="PE175" s="250"/>
      <c r="PF175" s="250"/>
      <c r="PG175" s="250"/>
      <c r="PH175" s="250"/>
      <c r="PI175" s="250"/>
      <c r="PJ175" s="250"/>
      <c r="PK175" s="250"/>
      <c r="PL175" s="250"/>
      <c r="PM175" s="250"/>
      <c r="PN175" s="250"/>
      <c r="PO175" s="250"/>
      <c r="PP175" s="250"/>
      <c r="PQ175" s="250"/>
      <c r="PR175" s="250"/>
      <c r="PS175" s="250"/>
      <c r="PT175" s="250"/>
      <c r="PU175" s="250"/>
      <c r="PV175" s="250"/>
      <c r="PW175" s="250"/>
      <c r="PX175" s="250"/>
      <c r="PY175" s="250"/>
      <c r="PZ175" s="250"/>
      <c r="QA175" s="250"/>
      <c r="QB175" s="250"/>
      <c r="QC175" s="250"/>
      <c r="QD175" s="250"/>
      <c r="QE175" s="250"/>
      <c r="QF175" s="250"/>
      <c r="QG175" s="250"/>
      <c r="QH175" s="250"/>
      <c r="QI175" s="250"/>
      <c r="QJ175" s="250"/>
      <c r="QK175" s="250"/>
      <c r="QL175" s="250"/>
      <c r="QM175" s="250"/>
      <c r="QN175" s="250"/>
      <c r="QO175" s="250"/>
      <c r="QP175" s="250"/>
      <c r="QQ175" s="250"/>
      <c r="QR175" s="250"/>
      <c r="QS175" s="250"/>
      <c r="QT175" s="250"/>
      <c r="QU175" s="250"/>
      <c r="QV175" s="250"/>
      <c r="QW175" s="250"/>
      <c r="QX175" s="250"/>
      <c r="QY175" s="250"/>
      <c r="QZ175" s="250"/>
      <c r="RA175" s="250"/>
      <c r="RB175" s="250"/>
      <c r="RC175" s="250"/>
      <c r="RD175" s="250"/>
      <c r="RE175" s="250"/>
      <c r="RF175" s="250"/>
      <c r="RG175" s="250"/>
      <c r="RH175" s="250"/>
      <c r="RI175" s="250"/>
      <c r="RJ175" s="250"/>
      <c r="RK175" s="250"/>
      <c r="RL175" s="250"/>
      <c r="RM175" s="250"/>
      <c r="RN175" s="250"/>
      <c r="RO175" s="250"/>
      <c r="RP175" s="250"/>
      <c r="RQ175" s="250"/>
      <c r="RR175" s="250"/>
      <c r="RS175" s="250"/>
      <c r="RT175" s="250"/>
      <c r="RU175" s="250"/>
      <c r="RV175" s="250"/>
      <c r="RW175" s="250"/>
      <c r="RX175" s="250"/>
      <c r="RY175" s="250"/>
      <c r="RZ175" s="250"/>
      <c r="SA175" s="250"/>
      <c r="SB175" s="250"/>
      <c r="SC175" s="250"/>
      <c r="SD175" s="250"/>
      <c r="SE175" s="250"/>
      <c r="SF175" s="250"/>
      <c r="SG175" s="250"/>
      <c r="SH175" s="250"/>
      <c r="SI175" s="250"/>
      <c r="SJ175" s="250"/>
      <c r="SK175" s="250"/>
      <c r="SL175" s="250"/>
      <c r="SM175" s="250"/>
      <c r="SN175" s="250"/>
      <c r="SO175" s="250"/>
      <c r="SP175" s="250"/>
      <c r="SQ175" s="250"/>
      <c r="SR175" s="250"/>
      <c r="SS175" s="250"/>
      <c r="ST175" s="250"/>
      <c r="SU175" s="250"/>
      <c r="SV175" s="250"/>
      <c r="SW175" s="250"/>
      <c r="SX175" s="250"/>
      <c r="SY175" s="250"/>
      <c r="SZ175" s="250"/>
      <c r="TA175" s="250"/>
      <c r="TB175" s="250"/>
      <c r="TC175" s="250"/>
      <c r="TD175" s="250"/>
      <c r="TE175" s="250"/>
      <c r="TF175" s="250"/>
      <c r="TG175" s="250"/>
      <c r="TH175" s="250"/>
      <c r="TI175" s="250"/>
      <c r="TJ175" s="250"/>
      <c r="TK175" s="250"/>
      <c r="TL175" s="250"/>
      <c r="TM175" s="250"/>
      <c r="TN175" s="250"/>
      <c r="TO175" s="250"/>
      <c r="TP175" s="250"/>
      <c r="TQ175" s="250"/>
      <c r="TR175" s="250"/>
      <c r="TS175" s="250"/>
      <c r="TT175" s="250"/>
      <c r="TU175" s="250"/>
      <c r="TV175" s="250"/>
      <c r="TW175" s="250"/>
      <c r="TX175" s="250"/>
      <c r="TY175" s="250"/>
      <c r="TZ175" s="250"/>
      <c r="UA175" s="250"/>
      <c r="UB175" s="250"/>
      <c r="UC175" s="250"/>
      <c r="UD175" s="250"/>
      <c r="UE175" s="250"/>
      <c r="UF175" s="250"/>
      <c r="UG175" s="250"/>
      <c r="UH175" s="250"/>
      <c r="UI175" s="250"/>
      <c r="UJ175" s="250"/>
      <c r="UK175" s="250"/>
      <c r="UL175" s="250"/>
      <c r="UM175" s="250"/>
      <c r="UN175" s="250"/>
      <c r="UO175" s="250"/>
      <c r="UP175" s="250"/>
      <c r="UQ175" s="250"/>
      <c r="UR175" s="250"/>
      <c r="US175" s="250"/>
      <c r="UT175" s="250"/>
      <c r="UU175" s="250"/>
      <c r="UV175" s="250"/>
      <c r="UW175" s="250"/>
      <c r="UX175" s="250"/>
      <c r="UY175" s="250"/>
      <c r="UZ175" s="250"/>
      <c r="VA175" s="250"/>
      <c r="VB175" s="250"/>
      <c r="VC175" s="250"/>
      <c r="VD175" s="250"/>
      <c r="VE175" s="250"/>
      <c r="VF175" s="250"/>
      <c r="VG175" s="250"/>
      <c r="VH175" s="250"/>
      <c r="VI175" s="250"/>
      <c r="VJ175" s="250"/>
      <c r="VK175" s="250"/>
      <c r="VL175" s="250"/>
      <c r="VM175" s="250"/>
      <c r="VN175" s="250"/>
      <c r="VO175" s="250"/>
      <c r="VP175" s="250"/>
      <c r="VQ175" s="250"/>
      <c r="VR175" s="250"/>
      <c r="VS175" s="250"/>
      <c r="VT175" s="250"/>
      <c r="VU175" s="250"/>
      <c r="VV175" s="250"/>
      <c r="VW175" s="250"/>
      <c r="VX175" s="250"/>
      <c r="VY175" s="250"/>
      <c r="VZ175" s="250"/>
      <c r="WA175" s="250"/>
      <c r="WB175" s="250"/>
      <c r="WC175" s="250"/>
      <c r="WD175" s="250"/>
      <c r="WE175" s="250"/>
      <c r="WF175" s="250"/>
      <c r="WG175" s="250"/>
      <c r="WH175" s="250"/>
      <c r="WI175" s="250"/>
      <c r="WJ175" s="250"/>
      <c r="WK175" s="250"/>
      <c r="WL175" s="250"/>
      <c r="WM175" s="250"/>
      <c r="WN175" s="250"/>
      <c r="WO175" s="250"/>
      <c r="WP175" s="250"/>
      <c r="WQ175" s="250"/>
      <c r="WR175" s="250"/>
      <c r="WS175" s="250"/>
      <c r="WT175" s="250"/>
      <c r="WU175" s="250"/>
      <c r="WV175" s="250"/>
      <c r="WW175" s="250"/>
      <c r="WX175" s="250"/>
      <c r="WY175" s="250"/>
      <c r="WZ175" s="250"/>
      <c r="XA175" s="250"/>
      <c r="XB175" s="250"/>
      <c r="XC175" s="250"/>
      <c r="XD175" s="250"/>
      <c r="XE175" s="250"/>
      <c r="XF175" s="250"/>
      <c r="XG175" s="250"/>
      <c r="XH175" s="250"/>
      <c r="XI175" s="250"/>
      <c r="XJ175" s="250"/>
      <c r="XK175" s="250"/>
      <c r="XL175" s="250"/>
      <c r="XM175" s="250"/>
      <c r="XN175" s="250"/>
      <c r="XO175" s="250"/>
      <c r="XP175" s="250"/>
      <c r="XQ175" s="250"/>
      <c r="XR175" s="250"/>
      <c r="XS175" s="250"/>
      <c r="XT175" s="250"/>
      <c r="XU175" s="250"/>
      <c r="XV175" s="250"/>
      <c r="XW175" s="250"/>
      <c r="XX175" s="250"/>
      <c r="XY175" s="250"/>
      <c r="XZ175" s="250"/>
      <c r="YA175" s="250"/>
      <c r="YB175" s="250"/>
      <c r="YC175" s="250"/>
      <c r="YD175" s="250"/>
      <c r="YE175" s="250"/>
      <c r="YF175" s="250"/>
      <c r="YG175" s="250"/>
      <c r="YH175" s="250"/>
      <c r="YI175" s="250"/>
      <c r="YJ175" s="250"/>
      <c r="YK175" s="250"/>
      <c r="YL175" s="250"/>
      <c r="YM175" s="250"/>
      <c r="YN175" s="250"/>
      <c r="YO175" s="250"/>
      <c r="YP175" s="250"/>
      <c r="YQ175" s="250"/>
      <c r="YR175" s="250"/>
      <c r="YS175" s="250"/>
      <c r="YT175" s="250"/>
      <c r="YU175" s="250"/>
      <c r="YV175" s="250"/>
      <c r="YW175" s="250"/>
      <c r="YX175" s="250"/>
      <c r="YY175" s="250"/>
      <c r="YZ175" s="250"/>
      <c r="ZA175" s="250"/>
      <c r="ZB175" s="250"/>
      <c r="ZC175" s="250"/>
      <c r="ZD175" s="250"/>
      <c r="ZE175" s="250"/>
      <c r="ZF175" s="250"/>
      <c r="ZG175" s="250"/>
      <c r="ZH175" s="250"/>
      <c r="ZI175" s="250"/>
      <c r="ZJ175" s="250"/>
      <c r="ZK175" s="250"/>
      <c r="ZL175" s="250"/>
      <c r="ZM175" s="250"/>
      <c r="ZN175" s="250"/>
      <c r="ZO175" s="250"/>
      <c r="ZP175" s="250"/>
      <c r="ZQ175" s="250"/>
      <c r="ZR175" s="250"/>
      <c r="ZS175" s="250"/>
      <c r="ZT175" s="250"/>
      <c r="ZU175" s="250"/>
      <c r="ZV175" s="250"/>
      <c r="ZW175" s="250"/>
      <c r="ZX175" s="250"/>
      <c r="ZY175" s="250"/>
      <c r="ZZ175" s="250"/>
      <c r="AAA175" s="250"/>
      <c r="AAB175" s="250"/>
      <c r="AAC175" s="250"/>
      <c r="AAD175" s="250"/>
      <c r="AAE175" s="250"/>
      <c r="AAF175" s="250"/>
      <c r="AAG175" s="250"/>
      <c r="AAH175" s="250"/>
      <c r="AAI175" s="250"/>
      <c r="AAJ175" s="250"/>
      <c r="AAK175" s="250"/>
      <c r="AAL175" s="250"/>
      <c r="AAM175" s="250"/>
      <c r="AAN175" s="250"/>
      <c r="AAO175" s="250"/>
      <c r="AAP175" s="250"/>
      <c r="AAQ175" s="250"/>
      <c r="AAR175" s="250"/>
      <c r="AAS175" s="250"/>
      <c r="AAT175" s="250"/>
      <c r="AAU175" s="250"/>
      <c r="AAV175" s="250"/>
      <c r="AAW175" s="250"/>
      <c r="AAX175" s="250"/>
      <c r="AAY175" s="250"/>
      <c r="AAZ175" s="250"/>
      <c r="ABA175" s="250"/>
      <c r="ABB175" s="250"/>
      <c r="ABC175" s="250"/>
      <c r="ABD175" s="250"/>
      <c r="ABE175" s="250"/>
      <c r="ABF175" s="250"/>
      <c r="ABG175" s="250"/>
      <c r="ABH175" s="250"/>
      <c r="ABI175" s="250"/>
      <c r="ABJ175" s="250"/>
      <c r="ABK175" s="250"/>
      <c r="ABL175" s="250"/>
      <c r="ABM175" s="250"/>
      <c r="ABN175" s="250"/>
      <c r="ABO175" s="250"/>
      <c r="ABP175" s="250"/>
      <c r="ABQ175" s="250"/>
      <c r="ABR175" s="250"/>
      <c r="ABS175" s="250"/>
      <c r="ABT175" s="250"/>
      <c r="ABU175" s="250"/>
      <c r="ABV175" s="250"/>
      <c r="ABW175" s="250"/>
      <c r="ABX175" s="250"/>
      <c r="ABY175" s="250"/>
      <c r="ABZ175" s="250"/>
      <c r="ACA175" s="250"/>
      <c r="ACB175" s="250"/>
      <c r="ACC175" s="250"/>
      <c r="ACD175" s="250"/>
      <c r="ACE175" s="250"/>
      <c r="ACF175" s="250"/>
      <c r="ACG175" s="250"/>
      <c r="ACH175" s="250"/>
      <c r="ACI175" s="250"/>
      <c r="ACJ175" s="250"/>
      <c r="ACK175" s="250"/>
      <c r="ACL175" s="250"/>
      <c r="ACM175" s="250"/>
      <c r="ACN175" s="250"/>
      <c r="ACO175" s="250"/>
      <c r="ACP175" s="250"/>
      <c r="ACQ175" s="250"/>
      <c r="ACR175" s="250"/>
      <c r="ACS175" s="250"/>
      <c r="ACT175" s="250"/>
      <c r="ACU175" s="250"/>
      <c r="ACV175" s="250"/>
      <c r="ACW175" s="250"/>
      <c r="ACX175" s="250"/>
      <c r="ACY175" s="250"/>
      <c r="ACZ175" s="250"/>
      <c r="ADA175" s="250"/>
      <c r="ADB175" s="250"/>
      <c r="ADC175" s="250"/>
      <c r="ADD175" s="250"/>
      <c r="ADE175" s="250"/>
      <c r="ADF175" s="250"/>
      <c r="ADG175" s="250"/>
      <c r="ADH175" s="250"/>
      <c r="ADI175" s="250"/>
      <c r="ADJ175" s="250"/>
      <c r="ADK175" s="250"/>
      <c r="ADL175" s="250"/>
      <c r="ADM175" s="250"/>
      <c r="ADN175" s="250"/>
      <c r="ADO175" s="250"/>
      <c r="ADP175" s="250"/>
      <c r="ADQ175" s="250"/>
      <c r="ADR175" s="250"/>
      <c r="ADS175" s="250"/>
      <c r="ADT175" s="250"/>
      <c r="ADU175" s="250"/>
      <c r="ADV175" s="250"/>
      <c r="ADW175" s="250"/>
      <c r="ADX175" s="250"/>
      <c r="ADY175" s="250"/>
      <c r="ADZ175" s="250"/>
      <c r="AEA175" s="250"/>
      <c r="AEB175" s="250"/>
      <c r="AEC175" s="250"/>
      <c r="AED175" s="250"/>
      <c r="AEE175" s="250"/>
      <c r="AEF175" s="250"/>
      <c r="AEG175" s="250"/>
      <c r="AEH175" s="250"/>
      <c r="AEI175" s="250"/>
      <c r="AEJ175" s="250"/>
      <c r="AEK175" s="250"/>
      <c r="AEL175" s="250"/>
      <c r="AEM175" s="250"/>
      <c r="AEN175" s="250"/>
      <c r="AEO175" s="250"/>
      <c r="AEP175" s="250"/>
      <c r="AEQ175" s="250"/>
      <c r="AER175" s="250"/>
      <c r="AES175" s="250"/>
      <c r="AET175" s="250"/>
      <c r="AEU175" s="250"/>
      <c r="AEV175" s="250"/>
      <c r="AEW175" s="250"/>
      <c r="AEX175" s="250"/>
      <c r="AEY175" s="250"/>
      <c r="AEZ175" s="250"/>
      <c r="AFA175" s="250"/>
      <c r="AFB175" s="250"/>
      <c r="AFC175" s="250"/>
      <c r="AFD175" s="250"/>
      <c r="AFE175" s="250"/>
      <c r="AFF175" s="250"/>
      <c r="AFG175" s="250"/>
      <c r="AFH175" s="250"/>
      <c r="AFI175" s="250"/>
      <c r="AFJ175" s="250"/>
      <c r="AFK175" s="250"/>
      <c r="AFL175" s="250"/>
      <c r="AFM175" s="250"/>
      <c r="AFN175" s="250"/>
      <c r="AFO175" s="250"/>
      <c r="AFP175" s="250"/>
      <c r="AFQ175" s="250"/>
      <c r="AFR175" s="250"/>
      <c r="AFS175" s="250"/>
      <c r="AFT175" s="250"/>
      <c r="AFU175" s="250"/>
      <c r="AFV175" s="250"/>
      <c r="AFW175" s="250"/>
      <c r="AFX175" s="250"/>
      <c r="AFY175" s="250"/>
      <c r="AFZ175" s="250"/>
      <c r="AGA175" s="250"/>
      <c r="AGB175" s="250"/>
      <c r="AGC175" s="250"/>
      <c r="AGD175" s="250"/>
      <c r="AGE175" s="250"/>
      <c r="AGF175" s="250"/>
      <c r="AGG175" s="250"/>
      <c r="AGH175" s="250"/>
      <c r="AGI175" s="250"/>
      <c r="AGJ175" s="250"/>
      <c r="AGK175" s="250"/>
      <c r="AGL175" s="250"/>
      <c r="AGM175" s="250"/>
      <c r="AGN175" s="250"/>
      <c r="AGO175" s="250"/>
      <c r="AGP175" s="250"/>
      <c r="AGQ175" s="250"/>
      <c r="AGR175" s="250"/>
      <c r="AGS175" s="250"/>
      <c r="AGT175" s="250"/>
      <c r="AGU175" s="250"/>
      <c r="AGV175" s="250"/>
      <c r="AGW175" s="250"/>
      <c r="AGX175" s="250"/>
      <c r="AGY175" s="250"/>
      <c r="AGZ175" s="250"/>
      <c r="AHA175" s="250"/>
      <c r="AHB175" s="250"/>
      <c r="AHC175" s="250"/>
      <c r="AHD175" s="250"/>
      <c r="AHE175" s="250"/>
      <c r="AHF175" s="250"/>
      <c r="AHG175" s="250"/>
      <c r="AHH175" s="250"/>
      <c r="AHI175" s="250"/>
      <c r="AHJ175" s="250"/>
      <c r="AHK175" s="250"/>
      <c r="AHL175" s="250"/>
      <c r="AHM175" s="250"/>
      <c r="AHN175" s="250"/>
      <c r="AHO175" s="250"/>
      <c r="AHP175" s="250"/>
      <c r="AHQ175" s="250"/>
      <c r="AHR175" s="250"/>
      <c r="AHS175" s="250"/>
      <c r="AHT175" s="250"/>
      <c r="AHU175" s="250"/>
      <c r="AHV175" s="250"/>
      <c r="AHW175" s="250"/>
      <c r="AHX175" s="250"/>
      <c r="AHY175" s="250"/>
      <c r="AHZ175" s="250"/>
      <c r="AIA175" s="250"/>
      <c r="AIB175" s="250"/>
      <c r="AIC175" s="250"/>
      <c r="AID175" s="250"/>
      <c r="AIE175" s="250"/>
      <c r="AIF175" s="250"/>
      <c r="AIG175" s="250"/>
      <c r="AIH175" s="250"/>
      <c r="AII175" s="250"/>
      <c r="AIJ175" s="250"/>
      <c r="AIK175" s="250"/>
      <c r="AIL175" s="250"/>
      <c r="AIM175" s="250"/>
      <c r="AIN175" s="250"/>
      <c r="AIO175" s="250"/>
      <c r="AIP175" s="250"/>
      <c r="AIQ175" s="250"/>
      <c r="AIR175" s="250"/>
      <c r="AIS175" s="250"/>
      <c r="AIT175" s="250"/>
      <c r="AIU175" s="250"/>
      <c r="AIV175" s="250"/>
      <c r="AIW175" s="250"/>
      <c r="AIX175" s="250"/>
      <c r="AIY175" s="250"/>
      <c r="AIZ175" s="250"/>
      <c r="AJA175" s="250"/>
      <c r="AJB175" s="250"/>
      <c r="AJC175" s="250"/>
      <c r="AJD175" s="250"/>
      <c r="AJE175" s="250"/>
      <c r="AJF175" s="250"/>
      <c r="AJG175" s="250"/>
      <c r="AJH175" s="250"/>
      <c r="AJI175" s="250"/>
      <c r="AJJ175" s="250"/>
      <c r="AJK175" s="250"/>
      <c r="AJL175" s="250"/>
      <c r="AJM175" s="250"/>
      <c r="AJN175" s="250"/>
      <c r="AJO175" s="250"/>
      <c r="AJP175" s="250"/>
      <c r="AJQ175" s="250"/>
      <c r="AJR175" s="250"/>
      <c r="AJS175" s="250"/>
      <c r="AJT175" s="250"/>
      <c r="AJU175" s="250"/>
      <c r="AJV175" s="250"/>
      <c r="AJW175" s="250"/>
      <c r="AJX175" s="250"/>
      <c r="AJY175" s="250"/>
      <c r="AJZ175" s="250"/>
      <c r="AKA175" s="250"/>
      <c r="AKB175" s="250"/>
      <c r="AKC175" s="250"/>
      <c r="AKD175" s="250"/>
      <c r="AKE175" s="250"/>
      <c r="AKF175" s="250"/>
      <c r="AKG175" s="250"/>
      <c r="AKH175" s="250"/>
      <c r="AKI175" s="250"/>
      <c r="AKJ175" s="250"/>
      <c r="AKK175" s="250"/>
      <c r="AKL175" s="250"/>
      <c r="AKM175" s="250"/>
      <c r="AKN175" s="250"/>
      <c r="AKO175" s="250"/>
      <c r="AKP175" s="250"/>
      <c r="AKQ175" s="250"/>
      <c r="AKR175" s="250"/>
      <c r="AKS175" s="250"/>
      <c r="AKT175" s="250"/>
      <c r="AKU175" s="250"/>
      <c r="AKV175" s="250"/>
      <c r="AKW175" s="250"/>
      <c r="AKX175" s="250"/>
      <c r="AKY175" s="250"/>
      <c r="AKZ175" s="250"/>
      <c r="ALA175" s="250"/>
      <c r="ALB175" s="250"/>
      <c r="ALC175" s="250"/>
      <c r="ALD175" s="250"/>
      <c r="ALE175" s="250"/>
      <c r="ALF175" s="250"/>
      <c r="ALG175" s="250"/>
      <c r="ALH175" s="250"/>
      <c r="ALI175" s="250"/>
      <c r="ALJ175" s="250"/>
      <c r="ALK175" s="250"/>
      <c r="ALL175" s="250"/>
      <c r="ALM175" s="250"/>
      <c r="ALN175" s="250"/>
      <c r="ALO175" s="250"/>
      <c r="ALP175" s="250"/>
      <c r="ALQ175" s="250"/>
      <c r="ALR175" s="250"/>
      <c r="ALS175" s="250"/>
      <c r="ALT175" s="250"/>
      <c r="ALU175" s="250"/>
      <c r="ALV175" s="250"/>
      <c r="ALW175" s="250"/>
      <c r="ALX175" s="250"/>
      <c r="ALY175" s="250"/>
      <c r="ALZ175" s="250"/>
      <c r="AMA175" s="250"/>
      <c r="AMB175" s="250"/>
      <c r="AMC175" s="250"/>
      <c r="AMD175" s="250"/>
      <c r="AME175" s="250"/>
      <c r="AMF175" s="250"/>
      <c r="AMG175" s="250"/>
      <c r="AMH175" s="250"/>
      <c r="AMI175" s="250"/>
      <c r="AMJ175" s="250"/>
      <c r="AMK175" s="250"/>
      <c r="AML175" s="250"/>
      <c r="AMM175" s="250"/>
      <c r="AMN175" s="250"/>
      <c r="AMO175" s="250"/>
      <c r="AMP175" s="250"/>
      <c r="AMQ175" s="250"/>
      <c r="AMR175" s="250"/>
      <c r="AMS175" s="250"/>
      <c r="AMT175" s="250"/>
      <c r="AMU175" s="250"/>
      <c r="AMV175" s="250"/>
      <c r="AMW175" s="250"/>
      <c r="AMX175" s="250"/>
      <c r="AMY175" s="250"/>
      <c r="AMZ175" s="250"/>
      <c r="ANA175" s="250"/>
      <c r="ANB175" s="250"/>
      <c r="ANC175" s="250"/>
      <c r="AND175" s="250"/>
      <c r="ANE175" s="250"/>
      <c r="ANF175" s="250"/>
      <c r="ANG175" s="250"/>
      <c r="ANH175" s="250"/>
      <c r="ANI175" s="250"/>
      <c r="ANJ175" s="250"/>
      <c r="ANK175" s="250"/>
      <c r="ANL175" s="250"/>
      <c r="ANM175" s="250"/>
      <c r="ANN175" s="250"/>
      <c r="ANO175" s="250"/>
      <c r="ANP175" s="250"/>
      <c r="ANQ175" s="250"/>
      <c r="ANR175" s="250"/>
      <c r="ANS175" s="250"/>
      <c r="ANT175" s="250"/>
      <c r="ANU175" s="250"/>
      <c r="ANV175" s="250"/>
      <c r="ANW175" s="250"/>
      <c r="ANX175" s="250"/>
      <c r="ANY175" s="250"/>
      <c r="ANZ175" s="250"/>
      <c r="AOA175" s="250"/>
      <c r="AOB175" s="250"/>
      <c r="AOC175" s="250"/>
      <c r="AOD175" s="250"/>
      <c r="AOE175" s="250"/>
      <c r="AOF175" s="250"/>
      <c r="AOG175" s="250"/>
      <c r="AOH175" s="250"/>
      <c r="AOI175" s="250"/>
      <c r="AOJ175" s="250"/>
      <c r="AOK175" s="250"/>
      <c r="AOL175" s="250"/>
      <c r="AOM175" s="250"/>
      <c r="AON175" s="250"/>
      <c r="AOO175" s="250"/>
      <c r="AOP175" s="250"/>
      <c r="AOQ175" s="250"/>
      <c r="AOR175" s="250"/>
      <c r="AOS175" s="250"/>
      <c r="AOT175" s="250"/>
      <c r="AOU175" s="250"/>
      <c r="AOV175" s="250"/>
      <c r="AOW175" s="250"/>
      <c r="AOX175" s="250"/>
      <c r="AOY175" s="250"/>
      <c r="AOZ175" s="250"/>
      <c r="APA175" s="250"/>
      <c r="APB175" s="250"/>
      <c r="APC175" s="250"/>
      <c r="APD175" s="250"/>
      <c r="APE175" s="250"/>
      <c r="APF175" s="250"/>
      <c r="APG175" s="250"/>
      <c r="APH175" s="250"/>
      <c r="API175" s="250"/>
      <c r="APJ175" s="250"/>
      <c r="APK175" s="250"/>
      <c r="APL175" s="250"/>
      <c r="APM175" s="250"/>
      <c r="APN175" s="250"/>
      <c r="APO175" s="250"/>
      <c r="APP175" s="250"/>
      <c r="APQ175" s="250"/>
      <c r="APR175" s="250"/>
      <c r="APS175" s="250"/>
      <c r="APT175" s="250"/>
      <c r="APU175" s="250"/>
      <c r="APV175" s="250"/>
      <c r="APW175" s="250"/>
      <c r="APX175" s="250"/>
      <c r="APY175" s="250"/>
      <c r="APZ175" s="250"/>
      <c r="AQA175" s="250"/>
      <c r="AQB175" s="250"/>
      <c r="AQC175" s="250"/>
      <c r="AQD175" s="250"/>
      <c r="AQE175" s="250"/>
      <c r="AQF175" s="250"/>
      <c r="AQG175" s="250"/>
      <c r="AQH175" s="250"/>
      <c r="AQI175" s="250"/>
      <c r="AQJ175" s="250"/>
      <c r="AQK175" s="250"/>
      <c r="AQL175" s="250"/>
      <c r="AQM175" s="250"/>
      <c r="AQN175" s="250"/>
      <c r="AQO175" s="250"/>
      <c r="AQP175" s="250"/>
      <c r="AQQ175" s="250"/>
      <c r="AQR175" s="250"/>
      <c r="AQS175" s="250"/>
      <c r="AQT175" s="250"/>
      <c r="AQU175" s="250"/>
      <c r="AQV175" s="250"/>
      <c r="AQW175" s="250"/>
      <c r="AQX175" s="250"/>
      <c r="AQY175" s="250"/>
      <c r="AQZ175" s="250"/>
      <c r="ARA175" s="250"/>
      <c r="ARB175" s="250"/>
      <c r="ARC175" s="250"/>
      <c r="ARD175" s="250"/>
      <c r="ARE175" s="250"/>
      <c r="ARF175" s="250"/>
      <c r="ARG175" s="250"/>
      <c r="ARH175" s="250"/>
      <c r="ARI175" s="250"/>
      <c r="ARJ175" s="250"/>
      <c r="ARK175" s="250"/>
      <c r="ARL175" s="250"/>
      <c r="ARM175" s="250"/>
      <c r="ARN175" s="250"/>
      <c r="ARO175" s="250"/>
      <c r="ARP175" s="250"/>
      <c r="ARQ175" s="250"/>
      <c r="ARR175" s="250"/>
      <c r="ARS175" s="250"/>
      <c r="ART175" s="250"/>
      <c r="ARU175" s="250"/>
      <c r="ARV175" s="250"/>
      <c r="ARW175" s="250"/>
      <c r="ARX175" s="250"/>
      <c r="ARY175" s="250"/>
      <c r="ARZ175" s="250"/>
      <c r="ASA175" s="250"/>
      <c r="ASB175" s="250"/>
      <c r="ASC175" s="250"/>
      <c r="ASD175" s="250"/>
      <c r="ASE175" s="250"/>
      <c r="ASF175" s="250"/>
      <c r="ASG175" s="250"/>
      <c r="ASH175" s="250"/>
      <c r="ASI175" s="250"/>
      <c r="ASJ175" s="250"/>
      <c r="ASK175" s="250"/>
      <c r="ASL175" s="250"/>
      <c r="ASM175" s="250"/>
      <c r="ASN175" s="250"/>
      <c r="ASO175" s="250"/>
      <c r="ASP175" s="250"/>
      <c r="ASQ175" s="250"/>
      <c r="ASR175" s="250"/>
      <c r="ASS175" s="250"/>
      <c r="AST175" s="250"/>
      <c r="ASU175" s="250"/>
      <c r="ASV175" s="250"/>
      <c r="ASW175" s="250"/>
      <c r="ASX175" s="250"/>
      <c r="ASY175" s="250"/>
      <c r="ASZ175" s="250"/>
      <c r="ATA175" s="250"/>
      <c r="ATB175" s="250"/>
      <c r="ATC175" s="250"/>
      <c r="ATD175" s="250"/>
      <c r="ATE175" s="250"/>
      <c r="ATF175" s="250"/>
      <c r="ATG175" s="250"/>
      <c r="ATH175" s="250"/>
      <c r="ATI175" s="250"/>
      <c r="ATJ175" s="250"/>
      <c r="ATK175" s="250"/>
      <c r="ATL175" s="250"/>
      <c r="ATM175" s="250"/>
      <c r="ATN175" s="250"/>
      <c r="ATO175" s="250"/>
      <c r="ATP175" s="250"/>
      <c r="ATQ175" s="250"/>
      <c r="ATR175" s="250"/>
      <c r="ATS175" s="250"/>
      <c r="ATT175" s="250"/>
      <c r="ATU175" s="250"/>
      <c r="ATV175" s="250"/>
      <c r="ATW175" s="250"/>
      <c r="ATX175" s="250"/>
      <c r="ATY175" s="250"/>
      <c r="ATZ175" s="250"/>
      <c r="AUA175" s="250"/>
      <c r="AUB175" s="250"/>
      <c r="AUC175" s="250"/>
      <c r="AUD175" s="250"/>
      <c r="AUE175" s="250"/>
      <c r="AUF175" s="250"/>
      <c r="AUG175" s="250"/>
      <c r="AUH175" s="250"/>
      <c r="AUI175" s="250"/>
      <c r="AUJ175" s="250"/>
      <c r="AUK175" s="250"/>
      <c r="AUL175" s="250"/>
      <c r="AUM175" s="250"/>
      <c r="AUN175" s="250"/>
      <c r="AUO175" s="250"/>
      <c r="AUP175" s="250"/>
      <c r="AUQ175" s="250"/>
      <c r="AUR175" s="250"/>
      <c r="AUS175" s="250"/>
      <c r="AUT175" s="250"/>
      <c r="AUU175" s="250"/>
      <c r="AUV175" s="250"/>
      <c r="AUW175" s="250"/>
      <c r="AUX175" s="250"/>
      <c r="AUY175" s="250"/>
      <c r="AUZ175" s="250"/>
      <c r="AVA175" s="250"/>
      <c r="AVB175" s="250"/>
      <c r="AVC175" s="250"/>
      <c r="AVD175" s="250"/>
      <c r="AVE175" s="250"/>
      <c r="AVF175" s="250"/>
      <c r="AVG175" s="250"/>
      <c r="AVH175" s="250"/>
      <c r="AVI175" s="250"/>
      <c r="AVJ175" s="250"/>
      <c r="AVK175" s="250"/>
      <c r="AVL175" s="250"/>
      <c r="AVM175" s="250"/>
      <c r="AVN175" s="250"/>
      <c r="AVO175" s="250"/>
      <c r="AVP175" s="250"/>
      <c r="AVQ175" s="250"/>
      <c r="AVR175" s="250"/>
      <c r="AVS175" s="250"/>
      <c r="AVT175" s="250"/>
      <c r="AVU175" s="250"/>
      <c r="AVV175" s="250"/>
      <c r="AVW175" s="250"/>
      <c r="AVX175" s="250"/>
      <c r="AVY175" s="250"/>
      <c r="AVZ175" s="250"/>
      <c r="AWA175" s="250"/>
      <c r="AWB175" s="250"/>
      <c r="AWC175" s="250"/>
      <c r="AWD175" s="250"/>
      <c r="AWE175" s="250"/>
      <c r="AWF175" s="250"/>
      <c r="AWG175" s="250"/>
      <c r="AWH175" s="250"/>
      <c r="AWI175" s="250"/>
      <c r="AWJ175" s="250"/>
      <c r="AWK175" s="250"/>
      <c r="AWL175" s="250"/>
      <c r="AWM175" s="250"/>
      <c r="AWN175" s="250"/>
      <c r="AWO175" s="250"/>
      <c r="AWP175" s="250"/>
      <c r="AWQ175" s="250"/>
      <c r="AWR175" s="250"/>
      <c r="AWS175" s="250"/>
      <c r="AWT175" s="250"/>
      <c r="AWU175" s="250"/>
      <c r="AWV175" s="250"/>
      <c r="AWW175" s="250"/>
      <c r="AWX175" s="250"/>
      <c r="AWY175" s="250"/>
      <c r="AWZ175" s="250"/>
      <c r="AXA175" s="250"/>
      <c r="AXB175" s="250"/>
      <c r="AXC175" s="250"/>
      <c r="AXD175" s="250"/>
      <c r="AXE175" s="250"/>
      <c r="AXF175" s="250"/>
      <c r="AXG175" s="250"/>
      <c r="AXH175" s="250"/>
      <c r="AXI175" s="250"/>
      <c r="AXJ175" s="250"/>
      <c r="AXK175" s="250"/>
      <c r="AXL175" s="250"/>
      <c r="AXM175" s="250"/>
      <c r="AXN175" s="250"/>
      <c r="AXO175" s="250"/>
      <c r="AXP175" s="250"/>
      <c r="AXQ175" s="250"/>
      <c r="AXR175" s="250"/>
      <c r="AXS175" s="250"/>
      <c r="AXT175" s="250"/>
      <c r="AXU175" s="250"/>
      <c r="AXV175" s="250"/>
      <c r="AXW175" s="250"/>
      <c r="AXX175" s="250"/>
      <c r="AXY175" s="250"/>
      <c r="AXZ175" s="250"/>
      <c r="AYA175" s="250"/>
      <c r="AYB175" s="250"/>
      <c r="AYC175" s="250"/>
      <c r="AYD175" s="250"/>
      <c r="AYE175" s="250"/>
      <c r="AYF175" s="250"/>
      <c r="AYG175" s="250"/>
      <c r="AYH175" s="250"/>
      <c r="AYI175" s="250"/>
      <c r="AYJ175" s="250"/>
      <c r="AYK175" s="250"/>
      <c r="AYL175" s="250"/>
      <c r="AYM175" s="250"/>
      <c r="AYN175" s="250"/>
      <c r="AYO175" s="250"/>
      <c r="AYP175" s="250"/>
      <c r="AYQ175" s="250"/>
      <c r="AYR175" s="250"/>
      <c r="AYS175" s="250"/>
      <c r="AYT175" s="250"/>
      <c r="AYU175" s="250"/>
      <c r="AYV175" s="250"/>
      <c r="AYW175" s="250"/>
      <c r="AYX175" s="250"/>
      <c r="AYY175" s="250"/>
      <c r="AYZ175" s="250"/>
      <c r="AZA175" s="250"/>
      <c r="AZB175" s="250"/>
      <c r="AZC175" s="250"/>
      <c r="AZD175" s="250"/>
      <c r="AZE175" s="250"/>
      <c r="AZF175" s="250"/>
      <c r="AZG175" s="250"/>
      <c r="AZH175" s="250"/>
      <c r="AZI175" s="250"/>
      <c r="AZJ175" s="250"/>
      <c r="AZK175" s="250"/>
      <c r="AZL175" s="250"/>
      <c r="AZM175" s="250"/>
      <c r="AZN175" s="250"/>
      <c r="AZO175" s="250"/>
      <c r="AZP175" s="250"/>
      <c r="AZQ175" s="250"/>
      <c r="AZR175" s="250"/>
      <c r="AZS175" s="250"/>
      <c r="AZT175" s="250"/>
      <c r="AZU175" s="250"/>
      <c r="AZV175" s="250"/>
      <c r="AZW175" s="250"/>
      <c r="AZX175" s="250"/>
      <c r="AZY175" s="250"/>
      <c r="AZZ175" s="250"/>
      <c r="BAA175" s="250"/>
      <c r="BAB175" s="250"/>
      <c r="BAC175" s="250"/>
      <c r="BAD175" s="250"/>
      <c r="BAE175" s="250"/>
      <c r="BAF175" s="250"/>
      <c r="BAG175" s="250"/>
      <c r="BAH175" s="250"/>
      <c r="BAI175" s="250"/>
      <c r="BAJ175" s="250"/>
      <c r="BAK175" s="250"/>
      <c r="BAL175" s="250"/>
      <c r="BAM175" s="250"/>
      <c r="BAN175" s="250"/>
      <c r="BAO175" s="250"/>
      <c r="BAP175" s="250"/>
      <c r="BAQ175" s="250"/>
      <c r="BAR175" s="250"/>
      <c r="BAS175" s="250"/>
      <c r="BAT175" s="250"/>
      <c r="BAU175" s="250"/>
      <c r="BAV175" s="250"/>
      <c r="BAW175" s="250"/>
      <c r="BAX175" s="250"/>
      <c r="BAY175" s="250"/>
      <c r="BAZ175" s="250"/>
      <c r="BBA175" s="250"/>
      <c r="BBB175" s="250"/>
      <c r="BBC175" s="250"/>
      <c r="BBD175" s="250"/>
      <c r="BBE175" s="250"/>
      <c r="BBF175" s="250"/>
      <c r="BBG175" s="250"/>
      <c r="BBH175" s="250"/>
      <c r="BBI175" s="250"/>
      <c r="BBJ175" s="250"/>
      <c r="BBK175" s="250"/>
      <c r="BBL175" s="250"/>
      <c r="BBM175" s="250"/>
      <c r="BBN175" s="250"/>
      <c r="BBO175" s="250"/>
      <c r="BBP175" s="250"/>
      <c r="BBQ175" s="250"/>
      <c r="BBR175" s="250"/>
      <c r="BBS175" s="250"/>
      <c r="BBT175" s="250"/>
      <c r="BBU175" s="250"/>
      <c r="BBV175" s="250"/>
      <c r="BBW175" s="250"/>
      <c r="BBX175" s="250"/>
      <c r="BBY175" s="250"/>
      <c r="BBZ175" s="250"/>
      <c r="BCA175" s="250"/>
      <c r="BCB175" s="250"/>
      <c r="BCC175" s="250"/>
      <c r="BCD175" s="250"/>
      <c r="BCE175" s="250"/>
      <c r="BCF175" s="250"/>
      <c r="BCG175" s="250"/>
      <c r="BCH175" s="250"/>
      <c r="BCI175" s="250"/>
      <c r="BCJ175" s="250"/>
      <c r="BCK175" s="250"/>
      <c r="BCL175" s="250"/>
      <c r="BCM175" s="250"/>
      <c r="BCN175" s="250"/>
      <c r="BCO175" s="250"/>
      <c r="BCP175" s="250"/>
      <c r="BCQ175" s="250"/>
      <c r="BCR175" s="250"/>
      <c r="BCS175" s="250"/>
      <c r="BCT175" s="250"/>
      <c r="BCU175" s="250"/>
      <c r="BCV175" s="250"/>
      <c r="BCW175" s="250"/>
      <c r="BCX175" s="250"/>
      <c r="BCY175" s="250"/>
      <c r="BCZ175" s="250"/>
      <c r="BDA175" s="250"/>
      <c r="BDB175" s="250"/>
      <c r="BDC175" s="250"/>
      <c r="BDD175" s="250"/>
      <c r="BDE175" s="250"/>
      <c r="BDF175" s="250"/>
      <c r="BDG175" s="250"/>
      <c r="BDH175" s="250"/>
      <c r="BDI175" s="250"/>
      <c r="BDJ175" s="250"/>
      <c r="BDK175" s="250"/>
      <c r="BDL175" s="250"/>
      <c r="BDM175" s="250"/>
      <c r="BDN175" s="250"/>
      <c r="BDO175" s="250"/>
      <c r="BDP175" s="250"/>
      <c r="BDQ175" s="250"/>
      <c r="BDR175" s="250"/>
      <c r="BDS175" s="250"/>
      <c r="BDT175" s="250"/>
      <c r="BDU175" s="250"/>
      <c r="BDV175" s="250"/>
      <c r="BDW175" s="250"/>
      <c r="BDX175" s="250"/>
      <c r="BDY175" s="250"/>
      <c r="BDZ175" s="250"/>
      <c r="BEA175" s="250"/>
      <c r="BEB175" s="250"/>
      <c r="BEC175" s="250"/>
      <c r="BED175" s="250"/>
      <c r="BEE175" s="250"/>
      <c r="BEF175" s="250"/>
      <c r="BEG175" s="250"/>
      <c r="BEH175" s="250"/>
      <c r="BEI175" s="250"/>
      <c r="BEJ175" s="250"/>
      <c r="BEK175" s="250"/>
      <c r="BEL175" s="250"/>
      <c r="BEM175" s="250"/>
      <c r="BEN175" s="250"/>
      <c r="BEO175" s="250"/>
      <c r="BEP175" s="250"/>
      <c r="BEQ175" s="250"/>
      <c r="BER175" s="250"/>
      <c r="BES175" s="250"/>
      <c r="BET175" s="250"/>
      <c r="BEU175" s="250"/>
      <c r="BEV175" s="250"/>
      <c r="BEW175" s="250"/>
      <c r="BEX175" s="250"/>
      <c r="BEY175" s="250"/>
      <c r="BEZ175" s="250"/>
      <c r="BFA175" s="250"/>
      <c r="BFB175" s="250"/>
      <c r="BFC175" s="250"/>
      <c r="BFD175" s="250"/>
      <c r="BFE175" s="250"/>
      <c r="BFF175" s="250"/>
      <c r="BFG175" s="250"/>
      <c r="BFH175" s="250"/>
      <c r="BFI175" s="250"/>
      <c r="BFJ175" s="250"/>
      <c r="BFK175" s="250"/>
      <c r="BFL175" s="250"/>
      <c r="BFM175" s="250"/>
      <c r="BFN175" s="250"/>
      <c r="BFO175" s="250"/>
      <c r="BFP175" s="250"/>
      <c r="BFQ175" s="250"/>
      <c r="BFR175" s="250"/>
      <c r="BFS175" s="250"/>
      <c r="BFT175" s="250"/>
      <c r="BFU175" s="250"/>
      <c r="BFV175" s="250"/>
      <c r="BFW175" s="250"/>
      <c r="BFX175" s="250"/>
      <c r="BFY175" s="250"/>
      <c r="BFZ175" s="250"/>
      <c r="BGA175" s="250"/>
      <c r="BGB175" s="250"/>
      <c r="BGC175" s="250"/>
      <c r="BGD175" s="250"/>
      <c r="BGE175" s="250"/>
      <c r="BGF175" s="250"/>
      <c r="BGG175" s="250"/>
      <c r="BGH175" s="250"/>
      <c r="BGI175" s="250"/>
      <c r="BGJ175" s="250"/>
      <c r="BGK175" s="250"/>
      <c r="BGL175" s="250"/>
      <c r="BGM175" s="250"/>
      <c r="BGN175" s="250"/>
      <c r="BGO175" s="250"/>
      <c r="BGP175" s="250"/>
      <c r="BGQ175" s="250"/>
      <c r="BGR175" s="250"/>
      <c r="BGS175" s="250"/>
      <c r="BGT175" s="250"/>
      <c r="BGU175" s="250"/>
      <c r="BGV175" s="250"/>
      <c r="BGW175" s="250"/>
      <c r="BGX175" s="250"/>
      <c r="BGY175" s="250"/>
      <c r="BGZ175" s="250"/>
      <c r="BHA175" s="250"/>
      <c r="BHB175" s="250"/>
      <c r="BHC175" s="250"/>
      <c r="BHD175" s="250"/>
      <c r="BHE175" s="250"/>
      <c r="BHF175" s="250"/>
      <c r="BHG175" s="250"/>
      <c r="BHH175" s="250"/>
      <c r="BHI175" s="250"/>
      <c r="BHJ175" s="250"/>
      <c r="BHK175" s="250"/>
      <c r="BHL175" s="250"/>
      <c r="BHM175" s="250"/>
      <c r="BHN175" s="250"/>
      <c r="BHO175" s="250"/>
      <c r="BHP175" s="250"/>
      <c r="BHQ175" s="250"/>
      <c r="BHR175" s="250"/>
      <c r="BHS175" s="250"/>
      <c r="BHT175" s="250"/>
      <c r="BHU175" s="250"/>
      <c r="BHV175" s="250"/>
      <c r="BHW175" s="250"/>
      <c r="BHX175" s="250"/>
      <c r="BHY175" s="250"/>
      <c r="BHZ175" s="250"/>
      <c r="BIA175" s="250"/>
      <c r="BIB175" s="250"/>
      <c r="BIC175" s="250"/>
      <c r="BID175" s="250"/>
      <c r="BIE175" s="250"/>
      <c r="BIF175" s="250"/>
      <c r="BIG175" s="250"/>
      <c r="BIH175" s="250"/>
      <c r="BII175" s="250"/>
      <c r="BIJ175" s="250"/>
      <c r="BIK175" s="250"/>
      <c r="BIL175" s="250"/>
      <c r="BIM175" s="250"/>
      <c r="BIN175" s="250"/>
      <c r="BIO175" s="250"/>
      <c r="BIP175" s="250"/>
      <c r="BIQ175" s="250"/>
      <c r="BIR175" s="250"/>
      <c r="BIS175" s="250"/>
      <c r="BIT175" s="250"/>
      <c r="BIU175" s="250"/>
      <c r="BIV175" s="250"/>
      <c r="BIW175" s="250"/>
      <c r="BIX175" s="250"/>
      <c r="BIY175" s="250"/>
      <c r="BIZ175" s="250"/>
      <c r="BJA175" s="250"/>
      <c r="BJB175" s="250"/>
      <c r="BJC175" s="250"/>
      <c r="BJD175" s="250"/>
      <c r="BJE175" s="250"/>
      <c r="BJF175" s="250"/>
      <c r="BJG175" s="250"/>
      <c r="BJH175" s="250"/>
      <c r="BJI175" s="250"/>
      <c r="BJJ175" s="250"/>
      <c r="BJK175" s="250"/>
      <c r="BJL175" s="250"/>
      <c r="BJM175" s="250"/>
      <c r="BJN175" s="250"/>
      <c r="BJO175" s="250"/>
      <c r="BJP175" s="250"/>
      <c r="BJQ175" s="250"/>
      <c r="BJR175" s="250"/>
      <c r="BJS175" s="250"/>
      <c r="BJT175" s="250"/>
      <c r="BJU175" s="250"/>
      <c r="BJV175" s="250"/>
      <c r="BJW175" s="250"/>
      <c r="BJX175" s="250"/>
      <c r="BJY175" s="250"/>
      <c r="BJZ175" s="250"/>
      <c r="BKA175" s="250"/>
      <c r="BKB175" s="250"/>
      <c r="BKC175" s="250"/>
      <c r="BKD175" s="250"/>
      <c r="BKE175" s="250"/>
      <c r="BKF175" s="250"/>
      <c r="BKG175" s="250"/>
      <c r="BKH175" s="250"/>
      <c r="BKI175" s="250"/>
      <c r="BKJ175" s="250"/>
      <c r="BKK175" s="250"/>
      <c r="BKL175" s="250"/>
      <c r="BKM175" s="250"/>
      <c r="BKN175" s="250"/>
      <c r="BKO175" s="250"/>
      <c r="BKP175" s="250"/>
      <c r="BKQ175" s="250"/>
      <c r="BKR175" s="250"/>
      <c r="BKS175" s="250"/>
      <c r="BKT175" s="250"/>
      <c r="BKU175" s="250"/>
      <c r="BKV175" s="250"/>
      <c r="BKW175" s="250"/>
      <c r="BKX175" s="250"/>
      <c r="BKY175" s="250"/>
      <c r="BKZ175" s="250"/>
      <c r="BLA175" s="250"/>
      <c r="BLB175" s="250"/>
      <c r="BLC175" s="250"/>
      <c r="BLD175" s="250"/>
      <c r="BLE175" s="250"/>
      <c r="BLF175" s="250"/>
      <c r="BLG175" s="250"/>
      <c r="BLH175" s="250"/>
      <c r="BLI175" s="250"/>
      <c r="BLJ175" s="250"/>
      <c r="BLK175" s="250"/>
      <c r="BLL175" s="250"/>
      <c r="BLM175" s="250"/>
      <c r="BLN175" s="250"/>
      <c r="BLO175" s="250"/>
      <c r="BLP175" s="250"/>
      <c r="BLQ175" s="250"/>
      <c r="BLR175" s="250"/>
      <c r="BLS175" s="250"/>
      <c r="BLT175" s="250"/>
      <c r="BLU175" s="250"/>
      <c r="BLV175" s="250"/>
      <c r="BLW175" s="250"/>
      <c r="BLX175" s="250"/>
      <c r="BLY175" s="250"/>
      <c r="BLZ175" s="250"/>
      <c r="BMA175" s="250"/>
      <c r="BMB175" s="250"/>
      <c r="BMC175" s="250"/>
      <c r="BMD175" s="250"/>
      <c r="BME175" s="250"/>
      <c r="BMF175" s="250"/>
      <c r="BMG175" s="250"/>
      <c r="BMH175" s="250"/>
      <c r="BMI175" s="250"/>
      <c r="BMJ175" s="250"/>
      <c r="BMK175" s="250"/>
      <c r="BML175" s="250"/>
      <c r="BMM175" s="250"/>
      <c r="BMN175" s="250"/>
      <c r="BMO175" s="250"/>
      <c r="BMP175" s="250"/>
      <c r="BMQ175" s="250"/>
      <c r="BMR175" s="250"/>
      <c r="BMS175" s="250"/>
      <c r="BMT175" s="250"/>
      <c r="BMU175" s="250"/>
      <c r="BMV175" s="250"/>
      <c r="BMW175" s="250"/>
      <c r="BMX175" s="250"/>
      <c r="BMY175" s="250"/>
      <c r="BMZ175" s="250"/>
      <c r="BNA175" s="250"/>
      <c r="BNB175" s="250"/>
      <c r="BNC175" s="250"/>
      <c r="BND175" s="250"/>
      <c r="BNE175" s="250"/>
      <c r="BNF175" s="250"/>
      <c r="BNG175" s="250"/>
      <c r="BNH175" s="250"/>
      <c r="BNI175" s="250"/>
      <c r="BNJ175" s="250"/>
      <c r="BNK175" s="250"/>
      <c r="BNL175" s="250"/>
      <c r="BNM175" s="250"/>
      <c r="BNN175" s="250"/>
      <c r="BNO175" s="250"/>
      <c r="BNP175" s="250"/>
      <c r="BNQ175" s="250"/>
      <c r="BNR175" s="250"/>
      <c r="BNS175" s="250"/>
      <c r="BNT175" s="250"/>
      <c r="BNU175" s="250"/>
      <c r="BNV175" s="250"/>
      <c r="BNW175" s="250"/>
      <c r="BNX175" s="250"/>
      <c r="BNY175" s="250"/>
      <c r="BNZ175" s="250"/>
      <c r="BOA175" s="250"/>
      <c r="BOB175" s="250"/>
      <c r="BOC175" s="250"/>
      <c r="BOD175" s="250"/>
      <c r="BOE175" s="250"/>
      <c r="BOF175" s="250"/>
      <c r="BOG175" s="250"/>
      <c r="BOH175" s="250"/>
      <c r="BOI175" s="250"/>
      <c r="BOJ175" s="250"/>
      <c r="BOK175" s="250"/>
      <c r="BOL175" s="250"/>
      <c r="BOM175" s="250"/>
      <c r="BON175" s="250"/>
      <c r="BOO175" s="250"/>
      <c r="BOP175" s="250"/>
      <c r="BOQ175" s="250"/>
      <c r="BOR175" s="250"/>
      <c r="BOS175" s="250"/>
      <c r="BOT175" s="250"/>
      <c r="BOU175" s="250"/>
      <c r="BOV175" s="250"/>
      <c r="BOW175" s="250"/>
      <c r="BOX175" s="250"/>
      <c r="BOY175" s="250"/>
      <c r="BOZ175" s="250"/>
      <c r="BPA175" s="250"/>
      <c r="BPB175" s="250"/>
      <c r="BPC175" s="250"/>
      <c r="BPD175" s="250"/>
      <c r="BPE175" s="250"/>
      <c r="BPF175" s="250"/>
      <c r="BPG175" s="250"/>
      <c r="BPH175" s="250"/>
      <c r="BPI175" s="250"/>
      <c r="BPJ175" s="250"/>
      <c r="BPK175" s="250"/>
      <c r="BPL175" s="250"/>
      <c r="BPM175" s="250"/>
      <c r="BPN175" s="250"/>
      <c r="BPO175" s="250"/>
      <c r="BPP175" s="250"/>
      <c r="BPQ175" s="250"/>
      <c r="BPR175" s="250"/>
      <c r="BPS175" s="250"/>
      <c r="BPT175" s="250"/>
      <c r="BPU175" s="250"/>
      <c r="BPV175" s="250"/>
      <c r="BPW175" s="250"/>
      <c r="BPX175" s="250"/>
      <c r="BPY175" s="250"/>
      <c r="BPZ175" s="250"/>
      <c r="BQA175" s="250"/>
      <c r="BQB175" s="250"/>
      <c r="BQC175" s="250"/>
      <c r="BQD175" s="250"/>
      <c r="BQE175" s="250"/>
      <c r="BQF175" s="250"/>
      <c r="BQG175" s="250"/>
      <c r="BQH175" s="250"/>
      <c r="BQI175" s="250"/>
      <c r="BQJ175" s="250"/>
      <c r="BQK175" s="250"/>
      <c r="BQL175" s="250"/>
      <c r="BQM175" s="250"/>
      <c r="BQN175" s="250"/>
      <c r="BQO175" s="250"/>
      <c r="BQP175" s="250"/>
      <c r="BQQ175" s="250"/>
      <c r="BQR175" s="250"/>
      <c r="BQS175" s="250"/>
      <c r="BQT175" s="250"/>
      <c r="BQU175" s="250"/>
      <c r="BQV175" s="250"/>
      <c r="BQW175" s="250"/>
      <c r="BQX175" s="250"/>
      <c r="BQY175" s="250"/>
      <c r="BQZ175" s="250"/>
      <c r="BRA175" s="250"/>
      <c r="BRB175" s="250"/>
      <c r="BRC175" s="250"/>
      <c r="BRD175" s="250"/>
      <c r="BRE175" s="250"/>
      <c r="BRF175" s="250"/>
      <c r="BRG175" s="250"/>
      <c r="BRH175" s="250"/>
      <c r="BRI175" s="250"/>
      <c r="BRJ175" s="250"/>
      <c r="BRK175" s="250"/>
      <c r="BRL175" s="250"/>
      <c r="BRM175" s="250"/>
      <c r="BRN175" s="250"/>
      <c r="BRO175" s="250"/>
      <c r="BRP175" s="250"/>
      <c r="BRQ175" s="250"/>
      <c r="BRR175" s="250"/>
      <c r="BRS175" s="250"/>
      <c r="BRT175" s="250"/>
      <c r="BRU175" s="250"/>
      <c r="BRV175" s="250"/>
      <c r="BRW175" s="250"/>
      <c r="BRX175" s="250"/>
      <c r="BRY175" s="250"/>
      <c r="BRZ175" s="250"/>
      <c r="BSA175" s="250"/>
      <c r="BSB175" s="250"/>
      <c r="BSC175" s="250"/>
      <c r="BSD175" s="250"/>
      <c r="BSE175" s="250"/>
      <c r="BSF175" s="250"/>
      <c r="BSG175" s="250"/>
      <c r="BSH175" s="250"/>
      <c r="BSI175" s="250"/>
      <c r="BSJ175" s="250"/>
      <c r="BSK175" s="250"/>
      <c r="BSL175" s="250"/>
      <c r="BSM175" s="250"/>
      <c r="BSN175" s="250"/>
      <c r="BSO175" s="250"/>
      <c r="BSP175" s="250"/>
      <c r="BSQ175" s="250"/>
      <c r="BSR175" s="250"/>
      <c r="BSS175" s="250"/>
      <c r="BST175" s="250"/>
      <c r="BSU175" s="250"/>
      <c r="BSV175" s="250"/>
      <c r="BSW175" s="250"/>
      <c r="BSX175" s="250"/>
      <c r="BSY175" s="250"/>
      <c r="BSZ175" s="250"/>
      <c r="BTA175" s="250"/>
      <c r="BTB175" s="250"/>
      <c r="BTC175" s="250"/>
      <c r="BTD175" s="250"/>
      <c r="BTE175" s="250"/>
      <c r="BTF175" s="250"/>
      <c r="BTG175" s="250"/>
      <c r="BTH175" s="250"/>
      <c r="BTI175" s="250"/>
      <c r="BTJ175" s="250"/>
      <c r="BTK175" s="250"/>
      <c r="BTL175" s="250"/>
      <c r="BTM175" s="250"/>
      <c r="BTN175" s="250"/>
      <c r="BTO175" s="250"/>
      <c r="BTP175" s="250"/>
      <c r="BTQ175" s="250"/>
      <c r="BTR175" s="250"/>
      <c r="BTS175" s="250"/>
      <c r="BTT175" s="250"/>
      <c r="BTU175" s="250"/>
      <c r="BTV175" s="250"/>
      <c r="BTW175" s="250"/>
      <c r="BTX175" s="250"/>
      <c r="BTY175" s="250"/>
      <c r="BTZ175" s="250"/>
      <c r="BUA175" s="250"/>
      <c r="BUB175" s="250"/>
      <c r="BUC175" s="250"/>
      <c r="BUD175" s="250"/>
      <c r="BUE175" s="250"/>
      <c r="BUF175" s="250"/>
      <c r="BUG175" s="250"/>
      <c r="BUH175" s="250"/>
      <c r="BUI175" s="250"/>
      <c r="BUJ175" s="250"/>
      <c r="BUK175" s="250"/>
      <c r="BUL175" s="250"/>
      <c r="BUM175" s="250"/>
      <c r="BUN175" s="250"/>
      <c r="BUO175" s="250"/>
      <c r="BUP175" s="250"/>
      <c r="BUQ175" s="250"/>
      <c r="BUR175" s="250"/>
      <c r="BUS175" s="250"/>
      <c r="BUT175" s="250"/>
      <c r="BUU175" s="250"/>
      <c r="BUV175" s="250"/>
      <c r="BUW175" s="250"/>
      <c r="BUX175" s="250"/>
      <c r="BUY175" s="250"/>
      <c r="BUZ175" s="250"/>
      <c r="BVA175" s="250"/>
      <c r="BVB175" s="250"/>
      <c r="BVC175" s="250"/>
      <c r="BVD175" s="250"/>
      <c r="BVE175" s="250"/>
      <c r="BVF175" s="250"/>
      <c r="BVG175" s="250"/>
      <c r="BVH175" s="250"/>
      <c r="BVI175" s="250"/>
      <c r="BVJ175" s="250"/>
      <c r="BVK175" s="250"/>
      <c r="BVL175" s="250"/>
      <c r="BVM175" s="250"/>
      <c r="BVN175" s="250"/>
      <c r="BVO175" s="250"/>
      <c r="BVP175" s="250"/>
      <c r="BVQ175" s="250"/>
      <c r="BVR175" s="250"/>
      <c r="BVS175" s="250"/>
      <c r="BVT175" s="250"/>
      <c r="BVU175" s="250"/>
      <c r="BVV175" s="250"/>
      <c r="BVW175" s="250"/>
      <c r="BVX175" s="250"/>
      <c r="BVY175" s="250"/>
      <c r="BVZ175" s="250"/>
      <c r="BWA175" s="250"/>
      <c r="BWB175" s="250"/>
      <c r="BWC175" s="250"/>
      <c r="BWD175" s="250"/>
      <c r="BWE175" s="250"/>
      <c r="BWF175" s="250"/>
      <c r="BWG175" s="250"/>
      <c r="BWH175" s="250"/>
      <c r="BWI175" s="250"/>
      <c r="BWJ175" s="250"/>
      <c r="BWK175" s="250"/>
      <c r="BWL175" s="250"/>
      <c r="BWM175" s="250"/>
      <c r="BWN175" s="250"/>
      <c r="BWO175" s="250"/>
      <c r="BWP175" s="250"/>
      <c r="BWQ175" s="250"/>
      <c r="BWR175" s="250"/>
      <c r="BWS175" s="250"/>
      <c r="BWT175" s="250"/>
      <c r="BWU175" s="250"/>
      <c r="BWV175" s="250"/>
      <c r="BWW175" s="250"/>
      <c r="BWX175" s="250"/>
      <c r="BWY175" s="250"/>
      <c r="BWZ175" s="250"/>
      <c r="BXA175" s="250"/>
      <c r="BXB175" s="250"/>
      <c r="BXC175" s="250"/>
      <c r="BXD175" s="250"/>
      <c r="BXE175" s="250"/>
      <c r="BXF175" s="250"/>
      <c r="BXG175" s="250"/>
      <c r="BXH175" s="250"/>
      <c r="BXI175" s="250"/>
      <c r="BXJ175" s="250"/>
      <c r="BXK175" s="250"/>
      <c r="BXL175" s="250"/>
      <c r="BXM175" s="250"/>
      <c r="BXN175" s="250"/>
      <c r="BXO175" s="250"/>
      <c r="BXP175" s="250"/>
      <c r="BXQ175" s="250"/>
      <c r="BXR175" s="250"/>
      <c r="BXS175" s="250"/>
      <c r="BXT175" s="250"/>
      <c r="BXU175" s="250"/>
      <c r="BXV175" s="250"/>
      <c r="BXW175" s="250"/>
      <c r="BXX175" s="250"/>
      <c r="BXY175" s="250"/>
      <c r="BXZ175" s="250"/>
      <c r="BYA175" s="250"/>
      <c r="BYB175" s="250"/>
      <c r="BYC175" s="250"/>
      <c r="BYD175" s="250"/>
      <c r="BYE175" s="250"/>
      <c r="BYF175" s="250"/>
      <c r="BYG175" s="250"/>
      <c r="BYH175" s="250"/>
      <c r="BYI175" s="250"/>
      <c r="BYJ175" s="250"/>
      <c r="BYK175" s="250"/>
      <c r="BYL175" s="250"/>
      <c r="BYM175" s="250"/>
      <c r="BYN175" s="250"/>
      <c r="BYO175" s="250"/>
      <c r="BYP175" s="250"/>
      <c r="BYQ175" s="250"/>
      <c r="BYR175" s="250"/>
      <c r="BYS175" s="250"/>
      <c r="BYT175" s="250"/>
      <c r="BYU175" s="250"/>
      <c r="BYV175" s="250"/>
      <c r="BYW175" s="250"/>
      <c r="BYX175" s="250"/>
      <c r="BYY175" s="250"/>
      <c r="BYZ175" s="250"/>
      <c r="BZA175" s="250"/>
      <c r="BZB175" s="250"/>
      <c r="BZC175" s="250"/>
      <c r="BZD175" s="250"/>
      <c r="BZE175" s="250"/>
      <c r="BZF175" s="250"/>
      <c r="BZG175" s="250"/>
      <c r="BZH175" s="250"/>
      <c r="BZI175" s="250"/>
      <c r="BZJ175" s="250"/>
      <c r="BZK175" s="250"/>
      <c r="BZL175" s="250"/>
      <c r="BZM175" s="250"/>
      <c r="BZN175" s="250"/>
      <c r="BZO175" s="250"/>
      <c r="BZP175" s="250"/>
      <c r="BZQ175" s="250"/>
      <c r="BZR175" s="250"/>
      <c r="BZS175" s="250"/>
      <c r="BZT175" s="250"/>
      <c r="BZU175" s="250"/>
      <c r="BZV175" s="250"/>
      <c r="BZW175" s="250"/>
      <c r="BZX175" s="250"/>
      <c r="BZY175" s="250"/>
      <c r="BZZ175" s="250"/>
      <c r="CAA175" s="250"/>
      <c r="CAB175" s="250"/>
      <c r="CAC175" s="250"/>
      <c r="CAD175" s="250"/>
      <c r="CAE175" s="250"/>
      <c r="CAF175" s="250"/>
      <c r="CAG175" s="250"/>
      <c r="CAH175" s="250"/>
      <c r="CAI175" s="250"/>
      <c r="CAJ175" s="250"/>
      <c r="CAK175" s="250"/>
      <c r="CAL175" s="250"/>
      <c r="CAM175" s="250"/>
      <c r="CAN175" s="250"/>
      <c r="CAO175" s="250"/>
      <c r="CAP175" s="250"/>
      <c r="CAQ175" s="250"/>
      <c r="CAR175" s="250"/>
      <c r="CAS175" s="250"/>
      <c r="CAT175" s="250"/>
      <c r="CAU175" s="250"/>
      <c r="CAV175" s="250"/>
      <c r="CAW175" s="250"/>
      <c r="CAX175" s="250"/>
      <c r="CAY175" s="250"/>
      <c r="CAZ175" s="250"/>
      <c r="CBA175" s="250"/>
      <c r="CBB175" s="250"/>
      <c r="CBC175" s="250"/>
      <c r="CBD175" s="250"/>
      <c r="CBE175" s="250"/>
      <c r="CBF175" s="250"/>
      <c r="CBG175" s="250"/>
      <c r="CBH175" s="250"/>
      <c r="CBI175" s="250"/>
      <c r="CBJ175" s="250"/>
      <c r="CBK175" s="250"/>
      <c r="CBL175" s="250"/>
      <c r="CBM175" s="250"/>
      <c r="CBN175" s="250"/>
      <c r="CBO175" s="250"/>
      <c r="CBP175" s="250"/>
      <c r="CBQ175" s="250"/>
      <c r="CBR175" s="250"/>
      <c r="CBS175" s="250"/>
      <c r="CBT175" s="250"/>
      <c r="CBU175" s="250"/>
      <c r="CBV175" s="250"/>
      <c r="CBW175" s="250"/>
      <c r="CBX175" s="250"/>
      <c r="CBY175" s="250"/>
      <c r="CBZ175" s="250"/>
      <c r="CCA175" s="250"/>
      <c r="CCB175" s="250"/>
      <c r="CCC175" s="250"/>
      <c r="CCD175" s="250"/>
      <c r="CCE175" s="250"/>
      <c r="CCF175" s="250"/>
      <c r="CCG175" s="250"/>
      <c r="CCH175" s="250"/>
      <c r="CCI175" s="250"/>
      <c r="CCJ175" s="250"/>
      <c r="CCK175" s="250"/>
      <c r="CCL175" s="250"/>
      <c r="CCM175" s="250"/>
      <c r="CCN175" s="250"/>
      <c r="CCO175" s="250"/>
      <c r="CCP175" s="250"/>
      <c r="CCQ175" s="250"/>
      <c r="CCR175" s="250"/>
      <c r="CCS175" s="250"/>
      <c r="CCT175" s="250"/>
      <c r="CCU175" s="250"/>
      <c r="CCV175" s="250"/>
      <c r="CCW175" s="250"/>
      <c r="CCX175" s="250"/>
      <c r="CCY175" s="250"/>
      <c r="CCZ175" s="250"/>
      <c r="CDA175" s="250"/>
      <c r="CDB175" s="250"/>
      <c r="CDC175" s="250"/>
      <c r="CDD175" s="250"/>
      <c r="CDE175" s="250"/>
      <c r="CDF175" s="250"/>
      <c r="CDG175" s="250"/>
      <c r="CDH175" s="250"/>
      <c r="CDI175" s="250"/>
      <c r="CDJ175" s="250"/>
      <c r="CDK175" s="250"/>
      <c r="CDL175" s="250"/>
      <c r="CDM175" s="250"/>
      <c r="CDN175" s="250"/>
      <c r="CDO175" s="250"/>
      <c r="CDP175" s="250"/>
      <c r="CDQ175" s="250"/>
      <c r="CDR175" s="250"/>
      <c r="CDS175" s="250"/>
      <c r="CDT175" s="250"/>
      <c r="CDU175" s="250"/>
      <c r="CDV175" s="250"/>
      <c r="CDW175" s="250"/>
      <c r="CDX175" s="250"/>
      <c r="CDY175" s="250"/>
      <c r="CDZ175" s="250"/>
      <c r="CEA175" s="250"/>
      <c r="CEB175" s="250"/>
      <c r="CEC175" s="250"/>
      <c r="CED175" s="250"/>
      <c r="CEE175" s="250"/>
      <c r="CEF175" s="250"/>
      <c r="CEG175" s="250"/>
      <c r="CEH175" s="250"/>
      <c r="CEI175" s="250"/>
      <c r="CEJ175" s="250"/>
      <c r="CEK175" s="250"/>
      <c r="CEL175" s="250"/>
      <c r="CEM175" s="250"/>
      <c r="CEN175" s="250"/>
      <c r="CEO175" s="250"/>
      <c r="CEP175" s="250"/>
      <c r="CEQ175" s="250"/>
      <c r="CER175" s="250"/>
      <c r="CES175" s="250"/>
      <c r="CET175" s="250"/>
      <c r="CEU175" s="250"/>
      <c r="CEV175" s="250"/>
      <c r="CEW175" s="250"/>
      <c r="CEX175" s="250"/>
      <c r="CEY175" s="250"/>
      <c r="CEZ175" s="250"/>
      <c r="CFA175" s="250"/>
      <c r="CFB175" s="250"/>
      <c r="CFC175" s="250"/>
      <c r="CFD175" s="250"/>
      <c r="CFE175" s="250"/>
      <c r="CFF175" s="250"/>
      <c r="CFG175" s="250"/>
      <c r="CFH175" s="250"/>
      <c r="CFI175" s="250"/>
      <c r="CFJ175" s="250"/>
      <c r="CFK175" s="250"/>
      <c r="CFL175" s="250"/>
      <c r="CFM175" s="250"/>
      <c r="CFN175" s="250"/>
      <c r="CFO175" s="250"/>
      <c r="CFP175" s="250"/>
      <c r="CFQ175" s="250"/>
      <c r="CFR175" s="250"/>
      <c r="CFS175" s="250"/>
      <c r="CFT175" s="250"/>
      <c r="CFU175" s="250"/>
      <c r="CFV175" s="250"/>
      <c r="CFW175" s="250"/>
      <c r="CFX175" s="250"/>
      <c r="CFY175" s="250"/>
      <c r="CFZ175" s="250"/>
      <c r="CGA175" s="250"/>
      <c r="CGB175" s="250"/>
      <c r="CGC175" s="250"/>
      <c r="CGD175" s="250"/>
      <c r="CGE175" s="250"/>
      <c r="CGF175" s="250"/>
      <c r="CGG175" s="250"/>
      <c r="CGH175" s="250"/>
      <c r="CGI175" s="250"/>
      <c r="CGJ175" s="250"/>
      <c r="CGK175" s="250"/>
      <c r="CGL175" s="250"/>
      <c r="CGM175" s="250"/>
      <c r="CGN175" s="250"/>
      <c r="CGO175" s="250"/>
      <c r="CGP175" s="250"/>
      <c r="CGQ175" s="250"/>
      <c r="CGR175" s="250"/>
      <c r="CGS175" s="250"/>
      <c r="CGT175" s="250"/>
      <c r="CGU175" s="250"/>
      <c r="CGV175" s="250"/>
      <c r="CGW175" s="250"/>
      <c r="CGX175" s="250"/>
      <c r="CGY175" s="250"/>
      <c r="CGZ175" s="250"/>
      <c r="CHA175" s="250"/>
      <c r="CHB175" s="250"/>
      <c r="CHC175" s="250"/>
      <c r="CHD175" s="250"/>
      <c r="CHE175" s="250"/>
      <c r="CHF175" s="250"/>
      <c r="CHG175" s="250"/>
      <c r="CHH175" s="250"/>
      <c r="CHI175" s="250"/>
      <c r="CHJ175" s="250"/>
      <c r="CHK175" s="250"/>
      <c r="CHL175" s="250"/>
      <c r="CHM175" s="250"/>
      <c r="CHN175" s="250"/>
      <c r="CHO175" s="250"/>
      <c r="CHP175" s="250"/>
      <c r="CHQ175" s="250"/>
      <c r="CHR175" s="250"/>
      <c r="CHS175" s="250"/>
      <c r="CHT175" s="250"/>
      <c r="CHU175" s="250"/>
      <c r="CHV175" s="250"/>
      <c r="CHW175" s="250"/>
      <c r="CHX175" s="250"/>
      <c r="CHY175" s="250"/>
      <c r="CHZ175" s="250"/>
      <c r="CIA175" s="250"/>
      <c r="CIB175" s="250"/>
      <c r="CIC175" s="250"/>
      <c r="CID175" s="250"/>
      <c r="CIE175" s="250"/>
      <c r="CIF175" s="250"/>
      <c r="CIG175" s="250"/>
      <c r="CIH175" s="250"/>
      <c r="CII175" s="250"/>
      <c r="CIJ175" s="250"/>
      <c r="CIK175" s="250"/>
      <c r="CIL175" s="250"/>
      <c r="CIM175" s="250"/>
      <c r="CIN175" s="250"/>
      <c r="CIO175" s="250"/>
      <c r="CIP175" s="250"/>
      <c r="CIQ175" s="250"/>
      <c r="CIR175" s="250"/>
      <c r="CIS175" s="250"/>
      <c r="CIT175" s="250"/>
      <c r="CIU175" s="250"/>
      <c r="CIV175" s="250"/>
      <c r="CIW175" s="250"/>
      <c r="CIX175" s="250"/>
      <c r="CIY175" s="250"/>
      <c r="CIZ175" s="250"/>
      <c r="CJA175" s="250"/>
      <c r="CJB175" s="250"/>
      <c r="CJC175" s="250"/>
      <c r="CJD175" s="250"/>
      <c r="CJE175" s="250"/>
      <c r="CJF175" s="250"/>
      <c r="CJG175" s="250"/>
      <c r="CJH175" s="250"/>
      <c r="CJI175" s="250"/>
      <c r="CJJ175" s="250"/>
      <c r="CJK175" s="250"/>
      <c r="CJL175" s="250"/>
      <c r="CJM175" s="250"/>
      <c r="CJN175" s="250"/>
      <c r="CJO175" s="250"/>
      <c r="CJP175" s="250"/>
      <c r="CJQ175" s="250"/>
      <c r="CJR175" s="250"/>
      <c r="CJS175" s="250"/>
      <c r="CJT175" s="250"/>
      <c r="CJU175" s="250"/>
      <c r="CJV175" s="250"/>
      <c r="CJW175" s="250"/>
      <c r="CJX175" s="250"/>
      <c r="CJY175" s="250"/>
      <c r="CJZ175" s="250"/>
      <c r="CKA175" s="250"/>
      <c r="CKB175" s="250"/>
      <c r="CKC175" s="250"/>
      <c r="CKD175" s="250"/>
      <c r="CKE175" s="250"/>
      <c r="CKF175" s="250"/>
      <c r="CKG175" s="250"/>
      <c r="CKH175" s="250"/>
      <c r="CKI175" s="250"/>
      <c r="CKJ175" s="250"/>
      <c r="CKK175" s="250"/>
      <c r="CKL175" s="250"/>
      <c r="CKM175" s="250"/>
      <c r="CKN175" s="250"/>
      <c r="CKO175" s="250"/>
      <c r="CKP175" s="250"/>
      <c r="CKQ175" s="250"/>
      <c r="CKR175" s="250"/>
      <c r="CKS175" s="250"/>
      <c r="CKT175" s="250"/>
      <c r="CKU175" s="250"/>
      <c r="CKV175" s="250"/>
      <c r="CKW175" s="250"/>
      <c r="CKX175" s="250"/>
      <c r="CKY175" s="250"/>
      <c r="CKZ175" s="250"/>
      <c r="CLA175" s="250"/>
      <c r="CLB175" s="250"/>
      <c r="CLC175" s="250"/>
      <c r="CLD175" s="250"/>
      <c r="CLE175" s="250"/>
      <c r="CLF175" s="250"/>
      <c r="CLG175" s="250"/>
      <c r="CLH175" s="250"/>
      <c r="CLI175" s="250"/>
      <c r="CLJ175" s="250"/>
      <c r="CLK175" s="250"/>
      <c r="CLL175" s="250"/>
      <c r="CLM175" s="250"/>
      <c r="CLN175" s="250"/>
      <c r="CLO175" s="250"/>
      <c r="CLP175" s="250"/>
      <c r="CLQ175" s="250"/>
      <c r="CLR175" s="250"/>
      <c r="CLS175" s="250"/>
      <c r="CLT175" s="250"/>
      <c r="CLU175" s="250"/>
      <c r="CLV175" s="250"/>
      <c r="CLW175" s="250"/>
      <c r="CLX175" s="250"/>
      <c r="CLY175" s="250"/>
      <c r="CLZ175" s="250"/>
      <c r="CMA175" s="250"/>
      <c r="CMB175" s="250"/>
      <c r="CMC175" s="250"/>
      <c r="CMD175" s="250"/>
      <c r="CME175" s="250"/>
      <c r="CMF175" s="250"/>
      <c r="CMG175" s="250"/>
      <c r="CMH175" s="250"/>
      <c r="CMI175" s="250"/>
      <c r="CMJ175" s="250"/>
      <c r="CMK175" s="250"/>
      <c r="CML175" s="250"/>
      <c r="CMM175" s="250"/>
      <c r="CMN175" s="250"/>
      <c r="CMO175" s="250"/>
      <c r="CMP175" s="250"/>
      <c r="CMQ175" s="250"/>
      <c r="CMR175" s="250"/>
      <c r="CMS175" s="250"/>
      <c r="CMT175" s="250"/>
      <c r="CMU175" s="250"/>
      <c r="CMV175" s="250"/>
      <c r="CMW175" s="250"/>
      <c r="CMX175" s="250"/>
      <c r="CMY175" s="250"/>
      <c r="CMZ175" s="250"/>
      <c r="CNA175" s="250"/>
      <c r="CNB175" s="250"/>
      <c r="CNC175" s="250"/>
      <c r="CND175" s="250"/>
      <c r="CNE175" s="250"/>
      <c r="CNF175" s="250"/>
      <c r="CNG175" s="250"/>
      <c r="CNH175" s="250"/>
      <c r="CNI175" s="250"/>
      <c r="CNJ175" s="250"/>
      <c r="CNK175" s="250"/>
      <c r="CNL175" s="250"/>
      <c r="CNM175" s="250"/>
      <c r="CNN175" s="250"/>
      <c r="CNO175" s="250"/>
      <c r="CNP175" s="250"/>
      <c r="CNQ175" s="250"/>
      <c r="CNR175" s="250"/>
      <c r="CNS175" s="250"/>
      <c r="CNT175" s="250"/>
      <c r="CNU175" s="250"/>
      <c r="CNV175" s="250"/>
      <c r="CNW175" s="250"/>
      <c r="CNX175" s="250"/>
      <c r="CNY175" s="250"/>
      <c r="CNZ175" s="250"/>
      <c r="COA175" s="250"/>
      <c r="COB175" s="250"/>
      <c r="COC175" s="250"/>
      <c r="COD175" s="250"/>
      <c r="COE175" s="250"/>
      <c r="COF175" s="250"/>
      <c r="COG175" s="250"/>
      <c r="COH175" s="250"/>
      <c r="COI175" s="250"/>
      <c r="COJ175" s="250"/>
      <c r="COK175" s="250"/>
      <c r="COL175" s="250"/>
      <c r="COM175" s="250"/>
      <c r="CON175" s="250"/>
      <c r="COO175" s="250"/>
      <c r="COP175" s="250"/>
      <c r="COQ175" s="250"/>
      <c r="COR175" s="250"/>
      <c r="COS175" s="250"/>
      <c r="COT175" s="250"/>
      <c r="COU175" s="250"/>
      <c r="COV175" s="250"/>
      <c r="COW175" s="250"/>
      <c r="COX175" s="250"/>
      <c r="COY175" s="250"/>
      <c r="COZ175" s="250"/>
      <c r="CPA175" s="250"/>
      <c r="CPB175" s="250"/>
      <c r="CPC175" s="250"/>
      <c r="CPD175" s="250"/>
      <c r="CPE175" s="250"/>
      <c r="CPF175" s="250"/>
      <c r="CPG175" s="250"/>
      <c r="CPH175" s="250"/>
      <c r="CPI175" s="250"/>
      <c r="CPJ175" s="250"/>
      <c r="CPK175" s="250"/>
      <c r="CPL175" s="250"/>
      <c r="CPM175" s="250"/>
      <c r="CPN175" s="250"/>
      <c r="CPO175" s="250"/>
      <c r="CPP175" s="250"/>
      <c r="CPQ175" s="250"/>
      <c r="CPR175" s="250"/>
      <c r="CPS175" s="250"/>
      <c r="CPT175" s="250"/>
      <c r="CPU175" s="250"/>
      <c r="CPV175" s="250"/>
      <c r="CPW175" s="250"/>
      <c r="CPX175" s="250"/>
      <c r="CPY175" s="250"/>
      <c r="CPZ175" s="250"/>
      <c r="CQA175" s="250"/>
      <c r="CQB175" s="250"/>
      <c r="CQC175" s="250"/>
      <c r="CQD175" s="250"/>
      <c r="CQE175" s="250"/>
      <c r="CQF175" s="250"/>
      <c r="CQG175" s="250"/>
      <c r="CQH175" s="250"/>
      <c r="CQI175" s="250"/>
      <c r="CQJ175" s="250"/>
      <c r="CQK175" s="250"/>
      <c r="CQL175" s="250"/>
      <c r="CQM175" s="250"/>
      <c r="CQN175" s="250"/>
      <c r="CQO175" s="250"/>
      <c r="CQP175" s="250"/>
      <c r="CQQ175" s="250"/>
      <c r="CQR175" s="250"/>
      <c r="CQS175" s="250"/>
      <c r="CQT175" s="250"/>
      <c r="CQU175" s="250"/>
      <c r="CQV175" s="250"/>
      <c r="CQW175" s="250"/>
      <c r="CQX175" s="250"/>
      <c r="CQY175" s="250"/>
      <c r="CQZ175" s="250"/>
      <c r="CRA175" s="250"/>
      <c r="CRB175" s="250"/>
      <c r="CRC175" s="250"/>
      <c r="CRD175" s="250"/>
      <c r="CRE175" s="250"/>
      <c r="CRF175" s="250"/>
      <c r="CRG175" s="250"/>
      <c r="CRH175" s="250"/>
      <c r="CRI175" s="250"/>
      <c r="CRJ175" s="250"/>
      <c r="CRK175" s="250"/>
      <c r="CRL175" s="250"/>
      <c r="CRM175" s="250"/>
      <c r="CRN175" s="250"/>
      <c r="CRO175" s="250"/>
      <c r="CRP175" s="250"/>
      <c r="CRQ175" s="250"/>
      <c r="CRR175" s="250"/>
      <c r="CRS175" s="250"/>
      <c r="CRT175" s="250"/>
      <c r="CRU175" s="250"/>
      <c r="CRV175" s="250"/>
      <c r="CRW175" s="250"/>
      <c r="CRX175" s="250"/>
      <c r="CRY175" s="250"/>
      <c r="CRZ175" s="250"/>
      <c r="CSA175" s="250"/>
      <c r="CSB175" s="250"/>
      <c r="CSC175" s="250"/>
      <c r="CSD175" s="250"/>
      <c r="CSE175" s="250"/>
      <c r="CSF175" s="250"/>
      <c r="CSG175" s="250"/>
      <c r="CSH175" s="250"/>
      <c r="CSI175" s="250"/>
      <c r="CSJ175" s="250"/>
      <c r="CSK175" s="250"/>
      <c r="CSL175" s="250"/>
      <c r="CSM175" s="250"/>
      <c r="CSN175" s="250"/>
      <c r="CSO175" s="250"/>
      <c r="CSP175" s="250"/>
      <c r="CSQ175" s="250"/>
      <c r="CSR175" s="250"/>
      <c r="CSS175" s="250"/>
      <c r="CST175" s="250"/>
      <c r="CSU175" s="250"/>
      <c r="CSV175" s="250"/>
      <c r="CSW175" s="250"/>
      <c r="CSX175" s="250"/>
      <c r="CSY175" s="250"/>
      <c r="CSZ175" s="250"/>
      <c r="CTA175" s="250"/>
      <c r="CTB175" s="250"/>
      <c r="CTC175" s="250"/>
      <c r="CTD175" s="250"/>
      <c r="CTE175" s="250"/>
      <c r="CTF175" s="250"/>
      <c r="CTG175" s="250"/>
      <c r="CTH175" s="250"/>
      <c r="CTI175" s="250"/>
      <c r="CTJ175" s="250"/>
      <c r="CTK175" s="250"/>
      <c r="CTL175" s="250"/>
      <c r="CTM175" s="250"/>
      <c r="CTN175" s="250"/>
      <c r="CTO175" s="250"/>
      <c r="CTP175" s="250"/>
      <c r="CTQ175" s="250"/>
      <c r="CTR175" s="250"/>
      <c r="CTS175" s="250"/>
      <c r="CTT175" s="250"/>
      <c r="CTU175" s="250"/>
      <c r="CTV175" s="250"/>
      <c r="CTW175" s="250"/>
      <c r="CTX175" s="250"/>
      <c r="CTY175" s="250"/>
      <c r="CTZ175" s="250"/>
      <c r="CUA175" s="250"/>
      <c r="CUB175" s="250"/>
      <c r="CUC175" s="250"/>
      <c r="CUD175" s="250"/>
      <c r="CUE175" s="250"/>
      <c r="CUF175" s="250"/>
      <c r="CUG175" s="250"/>
      <c r="CUH175" s="250"/>
      <c r="CUI175" s="250"/>
      <c r="CUJ175" s="250"/>
      <c r="CUK175" s="250"/>
      <c r="CUL175" s="250"/>
      <c r="CUM175" s="250"/>
      <c r="CUN175" s="250"/>
      <c r="CUO175" s="250"/>
      <c r="CUP175" s="250"/>
      <c r="CUQ175" s="250"/>
      <c r="CUR175" s="250"/>
      <c r="CUS175" s="250"/>
      <c r="CUT175" s="250"/>
      <c r="CUU175" s="250"/>
      <c r="CUV175" s="250"/>
      <c r="CUW175" s="250"/>
      <c r="CUX175" s="250"/>
      <c r="CUY175" s="250"/>
      <c r="CUZ175" s="250"/>
      <c r="CVA175" s="250"/>
      <c r="CVB175" s="250"/>
      <c r="CVC175" s="250"/>
      <c r="CVD175" s="250"/>
      <c r="CVE175" s="250"/>
      <c r="CVF175" s="250"/>
      <c r="CVG175" s="250"/>
      <c r="CVH175" s="250"/>
      <c r="CVI175" s="250"/>
      <c r="CVJ175" s="250"/>
      <c r="CVK175" s="250"/>
      <c r="CVL175" s="250"/>
      <c r="CVM175" s="250"/>
      <c r="CVN175" s="250"/>
      <c r="CVO175" s="250"/>
      <c r="CVP175" s="250"/>
      <c r="CVQ175" s="250"/>
      <c r="CVR175" s="250"/>
      <c r="CVS175" s="250"/>
      <c r="CVT175" s="250"/>
      <c r="CVU175" s="250"/>
      <c r="CVV175" s="250"/>
      <c r="CVW175" s="250"/>
      <c r="CVX175" s="250"/>
      <c r="CVY175" s="250"/>
      <c r="CVZ175" s="250"/>
      <c r="CWA175" s="250"/>
      <c r="CWB175" s="250"/>
      <c r="CWC175" s="250"/>
      <c r="CWD175" s="250"/>
      <c r="CWE175" s="250"/>
      <c r="CWF175" s="250"/>
      <c r="CWG175" s="250"/>
      <c r="CWH175" s="250"/>
      <c r="CWI175" s="250"/>
      <c r="CWJ175" s="250"/>
      <c r="CWK175" s="250"/>
      <c r="CWL175" s="250"/>
      <c r="CWM175" s="250"/>
      <c r="CWN175" s="250"/>
      <c r="CWO175" s="250"/>
      <c r="CWP175" s="250"/>
      <c r="CWQ175" s="250"/>
      <c r="CWR175" s="250"/>
      <c r="CWS175" s="250"/>
      <c r="CWT175" s="250"/>
      <c r="CWU175" s="250"/>
      <c r="CWV175" s="250"/>
      <c r="CWW175" s="250"/>
      <c r="CWX175" s="250"/>
      <c r="CWY175" s="250"/>
      <c r="CWZ175" s="250"/>
      <c r="CXA175" s="250"/>
      <c r="CXB175" s="250"/>
      <c r="CXC175" s="250"/>
      <c r="CXD175" s="250"/>
      <c r="CXE175" s="250"/>
      <c r="CXF175" s="250"/>
      <c r="CXG175" s="250"/>
      <c r="CXH175" s="250"/>
      <c r="CXI175" s="250"/>
      <c r="CXJ175" s="250"/>
      <c r="CXK175" s="250"/>
      <c r="CXL175" s="250"/>
      <c r="CXM175" s="250"/>
      <c r="CXN175" s="250"/>
      <c r="CXO175" s="250"/>
      <c r="CXP175" s="250"/>
      <c r="CXQ175" s="250"/>
      <c r="CXR175" s="250"/>
      <c r="CXS175" s="250"/>
      <c r="CXT175" s="250"/>
      <c r="CXU175" s="250"/>
      <c r="CXV175" s="250"/>
      <c r="CXW175" s="250"/>
      <c r="CXX175" s="250"/>
      <c r="CXY175" s="250"/>
      <c r="CXZ175" s="250"/>
      <c r="CYA175" s="250"/>
      <c r="CYB175" s="250"/>
      <c r="CYC175" s="250"/>
      <c r="CYD175" s="250"/>
      <c r="CYE175" s="250"/>
      <c r="CYF175" s="250"/>
      <c r="CYG175" s="250"/>
      <c r="CYH175" s="250"/>
      <c r="CYI175" s="250"/>
      <c r="CYJ175" s="250"/>
      <c r="CYK175" s="250"/>
      <c r="CYL175" s="250"/>
      <c r="CYM175" s="250"/>
      <c r="CYN175" s="250"/>
      <c r="CYO175" s="250"/>
      <c r="CYP175" s="250"/>
      <c r="CYQ175" s="250"/>
      <c r="CYR175" s="250"/>
      <c r="CYS175" s="250"/>
      <c r="CYT175" s="250"/>
      <c r="CYU175" s="250"/>
      <c r="CYV175" s="250"/>
      <c r="CYW175" s="250"/>
      <c r="CYX175" s="250"/>
      <c r="CYY175" s="250"/>
      <c r="CYZ175" s="250"/>
      <c r="CZA175" s="250"/>
      <c r="CZB175" s="250"/>
      <c r="CZC175" s="250"/>
      <c r="CZD175" s="250"/>
      <c r="CZE175" s="250"/>
      <c r="CZF175" s="250"/>
      <c r="CZG175" s="250"/>
      <c r="CZH175" s="250"/>
      <c r="CZI175" s="250"/>
      <c r="CZJ175" s="250"/>
      <c r="CZK175" s="250"/>
      <c r="CZL175" s="250"/>
      <c r="CZM175" s="250"/>
      <c r="CZN175" s="250"/>
      <c r="CZO175" s="250"/>
      <c r="CZP175" s="250"/>
      <c r="CZQ175" s="250"/>
      <c r="CZR175" s="250"/>
      <c r="CZS175" s="250"/>
      <c r="CZT175" s="250"/>
      <c r="CZU175" s="250"/>
      <c r="CZV175" s="250"/>
      <c r="CZW175" s="250"/>
      <c r="CZX175" s="250"/>
      <c r="CZY175" s="250"/>
      <c r="CZZ175" s="250"/>
      <c r="DAA175" s="250"/>
      <c r="DAB175" s="250"/>
      <c r="DAC175" s="250"/>
      <c r="DAD175" s="250"/>
      <c r="DAE175" s="250"/>
      <c r="DAF175" s="250"/>
      <c r="DAG175" s="250"/>
      <c r="DAH175" s="250"/>
      <c r="DAI175" s="250"/>
      <c r="DAJ175" s="250"/>
      <c r="DAK175" s="250"/>
      <c r="DAL175" s="250"/>
      <c r="DAM175" s="250"/>
      <c r="DAN175" s="250"/>
      <c r="DAO175" s="250"/>
      <c r="DAP175" s="250"/>
      <c r="DAQ175" s="250"/>
      <c r="DAR175" s="250"/>
      <c r="DAS175" s="250"/>
      <c r="DAT175" s="250"/>
      <c r="DAU175" s="250"/>
      <c r="DAV175" s="250"/>
      <c r="DAW175" s="250"/>
      <c r="DAX175" s="250"/>
      <c r="DAY175" s="250"/>
      <c r="DAZ175" s="250"/>
      <c r="DBA175" s="250"/>
      <c r="DBB175" s="250"/>
      <c r="DBC175" s="250"/>
      <c r="DBD175" s="250"/>
      <c r="DBE175" s="250"/>
      <c r="DBF175" s="250"/>
      <c r="DBG175" s="250"/>
      <c r="DBH175" s="250"/>
      <c r="DBI175" s="250"/>
      <c r="DBJ175" s="250"/>
      <c r="DBK175" s="250"/>
      <c r="DBL175" s="250"/>
      <c r="DBM175" s="250"/>
      <c r="DBN175" s="250"/>
      <c r="DBO175" s="250"/>
      <c r="DBP175" s="250"/>
      <c r="DBQ175" s="250"/>
      <c r="DBR175" s="250"/>
      <c r="DBS175" s="250"/>
      <c r="DBT175" s="250"/>
      <c r="DBU175" s="250"/>
      <c r="DBV175" s="250"/>
      <c r="DBW175" s="250"/>
      <c r="DBX175" s="250"/>
      <c r="DBY175" s="250"/>
      <c r="DBZ175" s="250"/>
      <c r="DCA175" s="250"/>
      <c r="DCB175" s="250"/>
      <c r="DCC175" s="250"/>
      <c r="DCD175" s="250"/>
      <c r="DCE175" s="250"/>
      <c r="DCF175" s="250"/>
      <c r="DCG175" s="250"/>
      <c r="DCH175" s="250"/>
      <c r="DCI175" s="250"/>
      <c r="DCJ175" s="250"/>
      <c r="DCK175" s="250"/>
      <c r="DCL175" s="250"/>
      <c r="DCM175" s="250"/>
      <c r="DCN175" s="250"/>
      <c r="DCO175" s="250"/>
      <c r="DCP175" s="250"/>
      <c r="DCQ175" s="250"/>
      <c r="DCR175" s="250"/>
      <c r="DCS175" s="250"/>
      <c r="DCT175" s="250"/>
      <c r="DCU175" s="250"/>
      <c r="DCV175" s="250"/>
      <c r="DCW175" s="250"/>
      <c r="DCX175" s="250"/>
      <c r="DCY175" s="250"/>
      <c r="DCZ175" s="250"/>
      <c r="DDA175" s="250"/>
      <c r="DDB175" s="250"/>
      <c r="DDC175" s="250"/>
      <c r="DDD175" s="250"/>
      <c r="DDE175" s="250"/>
      <c r="DDF175" s="250"/>
      <c r="DDG175" s="250"/>
      <c r="DDH175" s="250"/>
      <c r="DDI175" s="250"/>
      <c r="DDJ175" s="250"/>
      <c r="DDK175" s="250"/>
      <c r="DDL175" s="250"/>
      <c r="DDM175" s="250"/>
      <c r="DDN175" s="250"/>
      <c r="DDO175" s="250"/>
      <c r="DDP175" s="250"/>
      <c r="DDQ175" s="250"/>
      <c r="DDR175" s="250"/>
      <c r="DDS175" s="250"/>
      <c r="DDT175" s="250"/>
      <c r="DDU175" s="250"/>
      <c r="DDV175" s="250"/>
      <c r="DDW175" s="250"/>
      <c r="DDX175" s="250"/>
      <c r="DDY175" s="250"/>
      <c r="DDZ175" s="250"/>
      <c r="DEA175" s="250"/>
      <c r="DEB175" s="250"/>
      <c r="DEC175" s="250"/>
      <c r="DED175" s="250"/>
      <c r="DEE175" s="250"/>
      <c r="DEF175" s="250"/>
      <c r="DEG175" s="250"/>
      <c r="DEH175" s="250"/>
      <c r="DEI175" s="250"/>
      <c r="DEJ175" s="250"/>
      <c r="DEK175" s="250"/>
      <c r="DEL175" s="250"/>
      <c r="DEM175" s="250"/>
      <c r="DEN175" s="250"/>
      <c r="DEO175" s="250"/>
      <c r="DEP175" s="250"/>
      <c r="DEQ175" s="250"/>
      <c r="DER175" s="250"/>
      <c r="DES175" s="250"/>
      <c r="DET175" s="250"/>
      <c r="DEU175" s="250"/>
      <c r="DEV175" s="250"/>
      <c r="DEW175" s="250"/>
      <c r="DEX175" s="250"/>
      <c r="DEY175" s="250"/>
      <c r="DEZ175" s="250"/>
      <c r="DFA175" s="250"/>
      <c r="DFB175" s="250"/>
      <c r="DFC175" s="250"/>
      <c r="DFD175" s="250"/>
      <c r="DFE175" s="250"/>
      <c r="DFF175" s="250"/>
      <c r="DFG175" s="250"/>
      <c r="DFH175" s="250"/>
      <c r="DFI175" s="250"/>
      <c r="DFJ175" s="250"/>
      <c r="DFK175" s="250"/>
      <c r="DFL175" s="250"/>
      <c r="DFM175" s="250"/>
      <c r="DFN175" s="250"/>
      <c r="DFO175" s="250"/>
      <c r="DFP175" s="250"/>
      <c r="DFQ175" s="250"/>
      <c r="DFR175" s="250"/>
      <c r="DFS175" s="250"/>
      <c r="DFT175" s="250"/>
      <c r="DFU175" s="250"/>
      <c r="DFV175" s="250"/>
      <c r="DFW175" s="250"/>
      <c r="DFX175" s="250"/>
      <c r="DFY175" s="250"/>
      <c r="DFZ175" s="250"/>
      <c r="DGA175" s="250"/>
      <c r="DGB175" s="250"/>
      <c r="DGC175" s="250"/>
      <c r="DGD175" s="250"/>
      <c r="DGE175" s="250"/>
      <c r="DGF175" s="250"/>
      <c r="DGG175" s="250"/>
      <c r="DGH175" s="250"/>
      <c r="DGI175" s="250"/>
      <c r="DGJ175" s="250"/>
      <c r="DGK175" s="250"/>
      <c r="DGL175" s="250"/>
      <c r="DGM175" s="250"/>
      <c r="DGN175" s="250"/>
      <c r="DGO175" s="250"/>
      <c r="DGP175" s="250"/>
      <c r="DGQ175" s="250"/>
      <c r="DGR175" s="250"/>
      <c r="DGS175" s="250"/>
      <c r="DGT175" s="250"/>
      <c r="DGU175" s="250"/>
      <c r="DGV175" s="250"/>
      <c r="DGW175" s="250"/>
      <c r="DGX175" s="250"/>
      <c r="DGY175" s="250"/>
      <c r="DGZ175" s="250"/>
      <c r="DHA175" s="250"/>
      <c r="DHB175" s="250"/>
      <c r="DHC175" s="250"/>
      <c r="DHD175" s="250"/>
      <c r="DHE175" s="250"/>
      <c r="DHF175" s="250"/>
      <c r="DHG175" s="250"/>
      <c r="DHH175" s="250"/>
      <c r="DHI175" s="250"/>
      <c r="DHJ175" s="250"/>
      <c r="DHK175" s="250"/>
      <c r="DHL175" s="250"/>
      <c r="DHM175" s="250"/>
      <c r="DHN175" s="250"/>
      <c r="DHO175" s="250"/>
      <c r="DHP175" s="250"/>
      <c r="DHQ175" s="250"/>
      <c r="DHR175" s="250"/>
      <c r="DHS175" s="250"/>
      <c r="DHT175" s="250"/>
      <c r="DHU175" s="250"/>
      <c r="DHV175" s="250"/>
      <c r="DHW175" s="250"/>
      <c r="DHX175" s="250"/>
      <c r="DHY175" s="250"/>
      <c r="DHZ175" s="250"/>
      <c r="DIA175" s="250"/>
      <c r="DIB175" s="250"/>
      <c r="DIC175" s="250"/>
      <c r="DID175" s="250"/>
      <c r="DIE175" s="250"/>
      <c r="DIF175" s="250"/>
      <c r="DIG175" s="250"/>
      <c r="DIH175" s="250"/>
      <c r="DII175" s="250"/>
      <c r="DIJ175" s="250"/>
      <c r="DIK175" s="250"/>
      <c r="DIL175" s="250"/>
      <c r="DIM175" s="250"/>
      <c r="DIN175" s="250"/>
      <c r="DIO175" s="250"/>
      <c r="DIP175" s="250"/>
      <c r="DIQ175" s="250"/>
      <c r="DIR175" s="250"/>
      <c r="DIS175" s="250"/>
      <c r="DIT175" s="250"/>
      <c r="DIU175" s="250"/>
      <c r="DIV175" s="250"/>
      <c r="DIW175" s="250"/>
      <c r="DIX175" s="250"/>
      <c r="DIY175" s="250"/>
      <c r="DIZ175" s="250"/>
      <c r="DJA175" s="250"/>
      <c r="DJB175" s="250"/>
      <c r="DJC175" s="250"/>
      <c r="DJD175" s="250"/>
      <c r="DJE175" s="250"/>
      <c r="DJF175" s="250"/>
      <c r="DJG175" s="250"/>
      <c r="DJH175" s="250"/>
      <c r="DJI175" s="250"/>
      <c r="DJJ175" s="250"/>
      <c r="DJK175" s="250"/>
      <c r="DJL175" s="250"/>
      <c r="DJM175" s="250"/>
      <c r="DJN175" s="250"/>
      <c r="DJO175" s="250"/>
      <c r="DJP175" s="250"/>
      <c r="DJQ175" s="250"/>
      <c r="DJR175" s="250"/>
      <c r="DJS175" s="250"/>
      <c r="DJT175" s="250"/>
      <c r="DJU175" s="250"/>
      <c r="DJV175" s="250"/>
      <c r="DJW175" s="250"/>
      <c r="DJX175" s="250"/>
      <c r="DJY175" s="250"/>
      <c r="DJZ175" s="250"/>
      <c r="DKA175" s="250"/>
      <c r="DKB175" s="250"/>
      <c r="DKC175" s="250"/>
      <c r="DKD175" s="250"/>
      <c r="DKE175" s="250"/>
      <c r="DKF175" s="250"/>
      <c r="DKG175" s="250"/>
      <c r="DKH175" s="250"/>
      <c r="DKI175" s="250"/>
      <c r="DKJ175" s="250"/>
      <c r="DKK175" s="250"/>
      <c r="DKL175" s="250"/>
      <c r="DKM175" s="250"/>
      <c r="DKN175" s="250"/>
      <c r="DKO175" s="250"/>
      <c r="DKP175" s="250"/>
      <c r="DKQ175" s="250"/>
      <c r="DKR175" s="250"/>
      <c r="DKS175" s="250"/>
      <c r="DKT175" s="250"/>
      <c r="DKU175" s="250"/>
      <c r="DKV175" s="250"/>
      <c r="DKW175" s="250"/>
      <c r="DKX175" s="250"/>
      <c r="DKY175" s="250"/>
      <c r="DKZ175" s="250"/>
      <c r="DLA175" s="250"/>
      <c r="DLB175" s="250"/>
      <c r="DLC175" s="250"/>
      <c r="DLD175" s="250"/>
      <c r="DLE175" s="250"/>
      <c r="DLF175" s="250"/>
      <c r="DLG175" s="250"/>
      <c r="DLH175" s="250"/>
      <c r="DLI175" s="250"/>
      <c r="DLJ175" s="250"/>
      <c r="DLK175" s="250"/>
      <c r="DLL175" s="250"/>
      <c r="DLM175" s="250"/>
      <c r="DLN175" s="250"/>
      <c r="DLO175" s="250"/>
      <c r="DLP175" s="250"/>
      <c r="DLQ175" s="250"/>
      <c r="DLR175" s="250"/>
      <c r="DLS175" s="250"/>
      <c r="DLT175" s="250"/>
      <c r="DLU175" s="250"/>
      <c r="DLV175" s="250"/>
      <c r="DLW175" s="250"/>
      <c r="DLX175" s="250"/>
      <c r="DLY175" s="250"/>
      <c r="DLZ175" s="250"/>
      <c r="DMA175" s="250"/>
      <c r="DMB175" s="250"/>
      <c r="DMC175" s="250"/>
      <c r="DMD175" s="250"/>
      <c r="DME175" s="250"/>
      <c r="DMF175" s="250"/>
      <c r="DMG175" s="250"/>
      <c r="DMH175" s="250"/>
      <c r="DMI175" s="250"/>
      <c r="DMJ175" s="250"/>
      <c r="DMK175" s="250"/>
      <c r="DML175" s="250"/>
      <c r="DMM175" s="250"/>
      <c r="DMN175" s="250"/>
      <c r="DMO175" s="250"/>
      <c r="DMP175" s="250"/>
      <c r="DMQ175" s="250"/>
      <c r="DMR175" s="250"/>
      <c r="DMS175" s="250"/>
      <c r="DMT175" s="250"/>
      <c r="DMU175" s="250"/>
      <c r="DMV175" s="250"/>
      <c r="DMW175" s="250"/>
      <c r="DMX175" s="250"/>
      <c r="DMY175" s="250"/>
      <c r="DMZ175" s="250"/>
      <c r="DNA175" s="250"/>
      <c r="DNB175" s="250"/>
      <c r="DNC175" s="250"/>
      <c r="DND175" s="250"/>
      <c r="DNE175" s="250"/>
      <c r="DNF175" s="250"/>
      <c r="DNG175" s="250"/>
      <c r="DNH175" s="250"/>
      <c r="DNI175" s="250"/>
      <c r="DNJ175" s="250"/>
      <c r="DNK175" s="250"/>
      <c r="DNL175" s="250"/>
      <c r="DNM175" s="250"/>
      <c r="DNN175" s="250"/>
      <c r="DNO175" s="250"/>
      <c r="DNP175" s="250"/>
      <c r="DNQ175" s="250"/>
      <c r="DNR175" s="250"/>
      <c r="DNS175" s="250"/>
      <c r="DNT175" s="250"/>
      <c r="DNU175" s="250"/>
      <c r="DNV175" s="250"/>
      <c r="DNW175" s="250"/>
      <c r="DNX175" s="250"/>
      <c r="DNY175" s="250"/>
      <c r="DNZ175" s="250"/>
      <c r="DOA175" s="250"/>
      <c r="DOB175" s="250"/>
      <c r="DOC175" s="250"/>
      <c r="DOD175" s="250"/>
      <c r="DOE175" s="250"/>
      <c r="DOF175" s="250"/>
      <c r="DOG175" s="250"/>
      <c r="DOH175" s="250"/>
      <c r="DOI175" s="250"/>
      <c r="DOJ175" s="250"/>
      <c r="DOK175" s="250"/>
      <c r="DOL175" s="250"/>
      <c r="DOM175" s="250"/>
      <c r="DON175" s="250"/>
      <c r="DOO175" s="250"/>
      <c r="DOP175" s="250"/>
      <c r="DOQ175" s="250"/>
      <c r="DOR175" s="250"/>
      <c r="DOS175" s="250"/>
      <c r="DOT175" s="250"/>
      <c r="DOU175" s="250"/>
      <c r="DOV175" s="250"/>
      <c r="DOW175" s="250"/>
      <c r="DOX175" s="250"/>
      <c r="DOY175" s="250"/>
      <c r="DOZ175" s="250"/>
      <c r="DPA175" s="250"/>
      <c r="DPB175" s="250"/>
      <c r="DPC175" s="250"/>
      <c r="DPD175" s="250"/>
      <c r="DPE175" s="250"/>
      <c r="DPF175" s="250"/>
      <c r="DPG175" s="250"/>
      <c r="DPH175" s="250"/>
      <c r="DPI175" s="250"/>
      <c r="DPJ175" s="250"/>
      <c r="DPK175" s="250"/>
      <c r="DPL175" s="250"/>
      <c r="DPM175" s="250"/>
      <c r="DPN175" s="250"/>
      <c r="DPO175" s="250"/>
      <c r="DPP175" s="250"/>
      <c r="DPQ175" s="250"/>
      <c r="DPR175" s="250"/>
      <c r="DPS175" s="250"/>
      <c r="DPT175" s="250"/>
      <c r="DPU175" s="250"/>
      <c r="DPV175" s="250"/>
      <c r="DPW175" s="250"/>
      <c r="DPX175" s="250"/>
      <c r="DPY175" s="250"/>
      <c r="DPZ175" s="250"/>
      <c r="DQA175" s="250"/>
      <c r="DQB175" s="250"/>
      <c r="DQC175" s="250"/>
      <c r="DQD175" s="250"/>
      <c r="DQE175" s="250"/>
      <c r="DQF175" s="250"/>
      <c r="DQG175" s="250"/>
      <c r="DQH175" s="250"/>
      <c r="DQI175" s="250"/>
      <c r="DQJ175" s="250"/>
      <c r="DQK175" s="250"/>
      <c r="DQL175" s="250"/>
      <c r="DQM175" s="250"/>
      <c r="DQN175" s="250"/>
      <c r="DQO175" s="250"/>
      <c r="DQP175" s="250"/>
      <c r="DQQ175" s="250"/>
      <c r="DQR175" s="250"/>
      <c r="DQS175" s="250"/>
      <c r="DQT175" s="250"/>
      <c r="DQU175" s="250"/>
      <c r="DQV175" s="250"/>
      <c r="DQW175" s="250"/>
      <c r="DQX175" s="250"/>
      <c r="DQY175" s="250"/>
      <c r="DQZ175" s="250"/>
      <c r="DRA175" s="250"/>
      <c r="DRB175" s="250"/>
      <c r="DRC175" s="250"/>
      <c r="DRD175" s="250"/>
      <c r="DRE175" s="250"/>
      <c r="DRF175" s="250"/>
      <c r="DRG175" s="250"/>
      <c r="DRH175" s="250"/>
      <c r="DRI175" s="250"/>
      <c r="DRJ175" s="250"/>
      <c r="DRK175" s="250"/>
      <c r="DRL175" s="250"/>
      <c r="DRM175" s="250"/>
      <c r="DRN175" s="250"/>
      <c r="DRO175" s="250"/>
      <c r="DRP175" s="250"/>
      <c r="DRQ175" s="250"/>
      <c r="DRR175" s="250"/>
      <c r="DRS175" s="250"/>
      <c r="DRT175" s="250"/>
      <c r="DRU175" s="250"/>
      <c r="DRV175" s="250"/>
      <c r="DRW175" s="250"/>
      <c r="DRX175" s="250"/>
      <c r="DRY175" s="250"/>
      <c r="DRZ175" s="250"/>
      <c r="DSA175" s="250"/>
      <c r="DSB175" s="250"/>
      <c r="DSC175" s="250"/>
      <c r="DSD175" s="250"/>
      <c r="DSE175" s="250"/>
      <c r="DSF175" s="250"/>
      <c r="DSG175" s="250"/>
      <c r="DSH175" s="250"/>
      <c r="DSI175" s="250"/>
      <c r="DSJ175" s="250"/>
      <c r="DSK175" s="250"/>
      <c r="DSL175" s="250"/>
      <c r="DSM175" s="250"/>
      <c r="DSN175" s="250"/>
      <c r="DSO175" s="250"/>
      <c r="DSP175" s="250"/>
      <c r="DSQ175" s="250"/>
      <c r="DSR175" s="250"/>
      <c r="DSS175" s="250"/>
      <c r="DST175" s="250"/>
      <c r="DSU175" s="250"/>
      <c r="DSV175" s="250"/>
      <c r="DSW175" s="250"/>
      <c r="DSX175" s="250"/>
      <c r="DSY175" s="250"/>
      <c r="DSZ175" s="250"/>
      <c r="DTA175" s="250"/>
      <c r="DTB175" s="250"/>
      <c r="DTC175" s="250"/>
      <c r="DTD175" s="250"/>
      <c r="DTE175" s="250"/>
      <c r="DTF175" s="250"/>
      <c r="DTG175" s="250"/>
      <c r="DTH175" s="250"/>
      <c r="DTI175" s="250"/>
      <c r="DTJ175" s="250"/>
      <c r="DTK175" s="250"/>
      <c r="DTL175" s="250"/>
      <c r="DTM175" s="250"/>
      <c r="DTN175" s="250"/>
      <c r="DTO175" s="250"/>
      <c r="DTP175" s="250"/>
      <c r="DTQ175" s="250"/>
      <c r="DTR175" s="250"/>
      <c r="DTS175" s="250"/>
      <c r="DTT175" s="250"/>
      <c r="DTU175" s="250"/>
      <c r="DTV175" s="250"/>
      <c r="DTW175" s="250"/>
      <c r="DTX175" s="250"/>
      <c r="DTY175" s="250"/>
      <c r="DTZ175" s="250"/>
      <c r="DUA175" s="250"/>
      <c r="DUB175" s="250"/>
      <c r="DUC175" s="250"/>
      <c r="DUD175" s="250"/>
      <c r="DUE175" s="250"/>
      <c r="DUF175" s="250"/>
      <c r="DUG175" s="250"/>
      <c r="DUH175" s="250"/>
      <c r="DUI175" s="250"/>
      <c r="DUJ175" s="250"/>
      <c r="DUK175" s="250"/>
      <c r="DUL175" s="250"/>
      <c r="DUM175" s="250"/>
      <c r="DUN175" s="250"/>
      <c r="DUO175" s="250"/>
      <c r="DUP175" s="250"/>
      <c r="DUQ175" s="250"/>
      <c r="DUR175" s="250"/>
      <c r="DUS175" s="250"/>
      <c r="DUT175" s="250"/>
      <c r="DUU175" s="250"/>
      <c r="DUV175" s="250"/>
      <c r="DUW175" s="250"/>
      <c r="DUX175" s="250"/>
      <c r="DUY175" s="250"/>
      <c r="DUZ175" s="250"/>
      <c r="DVA175" s="250"/>
      <c r="DVB175" s="250"/>
      <c r="DVC175" s="250"/>
      <c r="DVD175" s="250"/>
      <c r="DVE175" s="250"/>
      <c r="DVF175" s="250"/>
      <c r="DVG175" s="250"/>
      <c r="DVH175" s="250"/>
      <c r="DVI175" s="250"/>
      <c r="DVJ175" s="250"/>
      <c r="DVK175" s="250"/>
      <c r="DVL175" s="250"/>
      <c r="DVM175" s="250"/>
      <c r="DVN175" s="250"/>
      <c r="DVO175" s="250"/>
      <c r="DVP175" s="250"/>
      <c r="DVQ175" s="250"/>
      <c r="DVR175" s="250"/>
      <c r="DVS175" s="250"/>
      <c r="DVT175" s="250"/>
      <c r="DVU175" s="250"/>
      <c r="DVV175" s="250"/>
      <c r="DVW175" s="250"/>
      <c r="DVX175" s="250"/>
      <c r="DVY175" s="250"/>
      <c r="DVZ175" s="250"/>
      <c r="DWA175" s="250"/>
      <c r="DWB175" s="250"/>
      <c r="DWC175" s="250"/>
      <c r="DWD175" s="250"/>
      <c r="DWE175" s="250"/>
      <c r="DWF175" s="250"/>
      <c r="DWG175" s="250"/>
      <c r="DWH175" s="250"/>
      <c r="DWI175" s="250"/>
      <c r="DWJ175" s="250"/>
      <c r="DWK175" s="250"/>
      <c r="DWL175" s="250"/>
      <c r="DWM175" s="250"/>
      <c r="DWN175" s="250"/>
      <c r="DWO175" s="250"/>
      <c r="DWP175" s="250"/>
      <c r="DWQ175" s="250"/>
      <c r="DWR175" s="250"/>
      <c r="DWS175" s="250"/>
      <c r="DWT175" s="250"/>
      <c r="DWU175" s="250"/>
      <c r="DWV175" s="250"/>
      <c r="DWW175" s="250"/>
      <c r="DWX175" s="250"/>
      <c r="DWY175" s="250"/>
      <c r="DWZ175" s="250"/>
      <c r="DXA175" s="250"/>
      <c r="DXB175" s="250"/>
      <c r="DXC175" s="250"/>
      <c r="DXD175" s="250"/>
      <c r="DXE175" s="250"/>
      <c r="DXF175" s="250"/>
      <c r="DXG175" s="250"/>
      <c r="DXH175" s="250"/>
      <c r="DXI175" s="250"/>
      <c r="DXJ175" s="250"/>
      <c r="DXK175" s="250"/>
      <c r="DXL175" s="250"/>
      <c r="DXM175" s="250"/>
      <c r="DXN175" s="250"/>
      <c r="DXO175" s="250"/>
      <c r="DXP175" s="250"/>
      <c r="DXQ175" s="250"/>
      <c r="DXR175" s="250"/>
      <c r="DXS175" s="250"/>
      <c r="DXT175" s="250"/>
      <c r="DXU175" s="250"/>
      <c r="DXV175" s="250"/>
      <c r="DXW175" s="250"/>
      <c r="DXX175" s="250"/>
      <c r="DXY175" s="250"/>
      <c r="DXZ175" s="250"/>
      <c r="DYA175" s="250"/>
      <c r="DYB175" s="250"/>
      <c r="DYC175" s="250"/>
      <c r="DYD175" s="250"/>
      <c r="DYE175" s="250"/>
      <c r="DYF175" s="250"/>
      <c r="DYG175" s="250"/>
      <c r="DYH175" s="250"/>
      <c r="DYI175" s="250"/>
      <c r="DYJ175" s="250"/>
      <c r="DYK175" s="250"/>
      <c r="DYL175" s="250"/>
      <c r="DYM175" s="250"/>
      <c r="DYN175" s="250"/>
      <c r="DYO175" s="250"/>
      <c r="DYP175" s="250"/>
      <c r="DYQ175" s="250"/>
      <c r="DYR175" s="250"/>
      <c r="DYS175" s="250"/>
      <c r="DYT175" s="250"/>
      <c r="DYU175" s="250"/>
      <c r="DYV175" s="250"/>
      <c r="DYW175" s="250"/>
      <c r="DYX175" s="250"/>
      <c r="DYY175" s="250"/>
      <c r="DYZ175" s="250"/>
      <c r="DZA175" s="250"/>
      <c r="DZB175" s="250"/>
      <c r="DZC175" s="250"/>
      <c r="DZD175" s="250"/>
      <c r="DZE175" s="250"/>
      <c r="DZF175" s="250"/>
      <c r="DZG175" s="250"/>
      <c r="DZH175" s="250"/>
      <c r="DZI175" s="250"/>
      <c r="DZJ175" s="250"/>
      <c r="DZK175" s="250"/>
      <c r="DZL175" s="250"/>
      <c r="DZM175" s="250"/>
      <c r="DZN175" s="250"/>
      <c r="DZO175" s="250"/>
      <c r="DZP175" s="250"/>
      <c r="DZQ175" s="250"/>
      <c r="DZR175" s="250"/>
      <c r="DZS175" s="250"/>
      <c r="DZT175" s="250"/>
      <c r="DZU175" s="250"/>
      <c r="DZV175" s="250"/>
      <c r="DZW175" s="250"/>
      <c r="DZX175" s="250"/>
      <c r="DZY175" s="250"/>
      <c r="DZZ175" s="250"/>
      <c r="EAA175" s="250"/>
      <c r="EAB175" s="250"/>
      <c r="EAC175" s="250"/>
      <c r="EAD175" s="250"/>
      <c r="EAE175" s="250"/>
      <c r="EAF175" s="250"/>
      <c r="EAG175" s="250"/>
      <c r="EAH175" s="250"/>
      <c r="EAI175" s="250"/>
      <c r="EAJ175" s="250"/>
      <c r="EAK175" s="250"/>
      <c r="EAL175" s="250"/>
      <c r="EAM175" s="250"/>
      <c r="EAN175" s="250"/>
      <c r="EAO175" s="250"/>
      <c r="EAP175" s="250"/>
      <c r="EAQ175" s="250"/>
      <c r="EAR175" s="250"/>
      <c r="EAS175" s="250"/>
      <c r="EAT175" s="250"/>
      <c r="EAU175" s="250"/>
      <c r="EAV175" s="250"/>
      <c r="EAW175" s="250"/>
      <c r="EAX175" s="250"/>
      <c r="EAY175" s="250"/>
      <c r="EAZ175" s="250"/>
      <c r="EBA175" s="250"/>
      <c r="EBB175" s="250"/>
      <c r="EBC175" s="250"/>
      <c r="EBD175" s="250"/>
      <c r="EBE175" s="250"/>
      <c r="EBF175" s="250"/>
      <c r="EBG175" s="250"/>
      <c r="EBH175" s="250"/>
      <c r="EBI175" s="250"/>
      <c r="EBJ175" s="250"/>
      <c r="EBK175" s="250"/>
      <c r="EBL175" s="250"/>
      <c r="EBM175" s="250"/>
      <c r="EBN175" s="250"/>
      <c r="EBO175" s="250"/>
      <c r="EBP175" s="250"/>
      <c r="EBQ175" s="250"/>
      <c r="EBR175" s="250"/>
      <c r="EBS175" s="250"/>
      <c r="EBT175" s="250"/>
      <c r="EBU175" s="250"/>
      <c r="EBV175" s="250"/>
      <c r="EBW175" s="250"/>
      <c r="EBX175" s="250"/>
      <c r="EBY175" s="250"/>
      <c r="EBZ175" s="250"/>
      <c r="ECA175" s="250"/>
      <c r="ECB175" s="250"/>
      <c r="ECC175" s="250"/>
      <c r="ECD175" s="250"/>
      <c r="ECE175" s="250"/>
      <c r="ECF175" s="250"/>
      <c r="ECG175" s="250"/>
      <c r="ECH175" s="250"/>
      <c r="ECI175" s="250"/>
      <c r="ECJ175" s="250"/>
      <c r="ECK175" s="250"/>
      <c r="ECL175" s="250"/>
      <c r="ECM175" s="250"/>
      <c r="ECN175" s="250"/>
      <c r="ECO175" s="250"/>
      <c r="ECP175" s="250"/>
      <c r="ECQ175" s="250"/>
      <c r="ECR175" s="250"/>
      <c r="ECS175" s="250"/>
      <c r="ECT175" s="250"/>
      <c r="ECU175" s="250"/>
      <c r="ECV175" s="250"/>
      <c r="ECW175" s="250"/>
      <c r="ECX175" s="250"/>
      <c r="ECY175" s="250"/>
      <c r="ECZ175" s="250"/>
      <c r="EDA175" s="250"/>
      <c r="EDB175" s="250"/>
      <c r="EDC175" s="250"/>
      <c r="EDD175" s="250"/>
      <c r="EDE175" s="250"/>
      <c r="EDF175" s="250"/>
      <c r="EDG175" s="250"/>
      <c r="EDH175" s="250"/>
      <c r="EDI175" s="250"/>
      <c r="EDJ175" s="250"/>
      <c r="EDK175" s="250"/>
      <c r="EDL175" s="250"/>
      <c r="EDM175" s="250"/>
      <c r="EDN175" s="250"/>
      <c r="EDO175" s="250"/>
      <c r="EDP175" s="250"/>
      <c r="EDQ175" s="250"/>
      <c r="EDR175" s="250"/>
      <c r="EDS175" s="250"/>
      <c r="EDT175" s="250"/>
      <c r="EDU175" s="250"/>
      <c r="EDV175" s="250"/>
      <c r="EDW175" s="250"/>
      <c r="EDX175" s="250"/>
      <c r="EDY175" s="250"/>
      <c r="EDZ175" s="250"/>
      <c r="EEA175" s="250"/>
      <c r="EEB175" s="250"/>
      <c r="EEC175" s="250"/>
      <c r="EED175" s="250"/>
      <c r="EEE175" s="250"/>
      <c r="EEF175" s="250"/>
      <c r="EEG175" s="250"/>
      <c r="EEH175" s="250"/>
      <c r="EEI175" s="250"/>
      <c r="EEJ175" s="250"/>
      <c r="EEK175" s="250"/>
      <c r="EEL175" s="250"/>
      <c r="EEM175" s="250"/>
      <c r="EEN175" s="250"/>
      <c r="EEO175" s="250"/>
      <c r="EEP175" s="250"/>
      <c r="EEQ175" s="250"/>
      <c r="EER175" s="250"/>
      <c r="EES175" s="250"/>
      <c r="EET175" s="250"/>
      <c r="EEU175" s="250"/>
      <c r="EEV175" s="250"/>
      <c r="EEW175" s="250"/>
      <c r="EEX175" s="250"/>
      <c r="EEY175" s="250"/>
      <c r="EEZ175" s="250"/>
      <c r="EFA175" s="250"/>
      <c r="EFB175" s="250"/>
      <c r="EFC175" s="250"/>
      <c r="EFD175" s="250"/>
      <c r="EFE175" s="250"/>
      <c r="EFF175" s="250"/>
      <c r="EFG175" s="250"/>
      <c r="EFH175" s="250"/>
      <c r="EFI175" s="250"/>
      <c r="EFJ175" s="250"/>
      <c r="EFK175" s="250"/>
      <c r="EFL175" s="250"/>
      <c r="EFM175" s="250"/>
      <c r="EFN175" s="250"/>
      <c r="EFO175" s="250"/>
      <c r="EFP175" s="250"/>
      <c r="EFQ175" s="250"/>
      <c r="EFR175" s="250"/>
      <c r="EFS175" s="250"/>
      <c r="EFT175" s="250"/>
      <c r="EFU175" s="250"/>
      <c r="EFV175" s="250"/>
      <c r="EFW175" s="250"/>
      <c r="EFX175" s="250"/>
      <c r="EFY175" s="250"/>
      <c r="EFZ175" s="250"/>
      <c r="EGA175" s="250"/>
      <c r="EGB175" s="250"/>
      <c r="EGC175" s="250"/>
      <c r="EGD175" s="250"/>
      <c r="EGE175" s="250"/>
      <c r="EGF175" s="250"/>
      <c r="EGG175" s="250"/>
      <c r="EGH175" s="250"/>
      <c r="EGI175" s="250"/>
      <c r="EGJ175" s="250"/>
      <c r="EGK175" s="250"/>
      <c r="EGL175" s="250"/>
      <c r="EGM175" s="250"/>
      <c r="EGN175" s="250"/>
      <c r="EGO175" s="250"/>
      <c r="EGP175" s="250"/>
      <c r="EGQ175" s="250"/>
      <c r="EGR175" s="250"/>
      <c r="EGS175" s="250"/>
      <c r="EGT175" s="250"/>
      <c r="EGU175" s="250"/>
      <c r="EGV175" s="250"/>
      <c r="EGW175" s="250"/>
      <c r="EGX175" s="250"/>
      <c r="EGY175" s="250"/>
      <c r="EGZ175" s="250"/>
      <c r="EHA175" s="250"/>
      <c r="EHB175" s="250"/>
      <c r="EHC175" s="250"/>
      <c r="EHD175" s="250"/>
      <c r="EHE175" s="250"/>
      <c r="EHF175" s="250"/>
      <c r="EHG175" s="250"/>
      <c r="EHH175" s="250"/>
      <c r="EHI175" s="250"/>
      <c r="EHJ175" s="250"/>
      <c r="EHK175" s="250"/>
      <c r="EHL175" s="250"/>
      <c r="EHM175" s="250"/>
      <c r="EHN175" s="250"/>
      <c r="EHO175" s="250"/>
      <c r="EHP175" s="250"/>
      <c r="EHQ175" s="250"/>
      <c r="EHR175" s="250"/>
      <c r="EHS175" s="250"/>
      <c r="EHT175" s="250"/>
      <c r="EHU175" s="250"/>
      <c r="EHV175" s="250"/>
      <c r="EHW175" s="250"/>
      <c r="EHX175" s="250"/>
      <c r="EHY175" s="250"/>
      <c r="EHZ175" s="250"/>
      <c r="EIA175" s="250"/>
      <c r="EIB175" s="250"/>
      <c r="EIC175" s="250"/>
      <c r="EID175" s="250"/>
      <c r="EIE175" s="250"/>
      <c r="EIF175" s="250"/>
      <c r="EIG175" s="250"/>
      <c r="EIH175" s="250"/>
      <c r="EII175" s="250"/>
      <c r="EIJ175" s="250"/>
      <c r="EIK175" s="250"/>
      <c r="EIL175" s="250"/>
      <c r="EIM175" s="250"/>
      <c r="EIN175" s="250"/>
      <c r="EIO175" s="250"/>
      <c r="EIP175" s="250"/>
      <c r="EIQ175" s="250"/>
      <c r="EIR175" s="250"/>
      <c r="EIS175" s="250"/>
      <c r="EIT175" s="250"/>
      <c r="EIU175" s="250"/>
      <c r="EIV175" s="250"/>
      <c r="EIW175" s="250"/>
      <c r="EIX175" s="250"/>
      <c r="EIY175" s="250"/>
      <c r="EIZ175" s="250"/>
      <c r="EJA175" s="250"/>
      <c r="EJB175" s="250"/>
      <c r="EJC175" s="250"/>
      <c r="EJD175" s="250"/>
      <c r="EJE175" s="250"/>
      <c r="EJF175" s="250"/>
      <c r="EJG175" s="250"/>
      <c r="EJH175" s="250"/>
      <c r="EJI175" s="250"/>
      <c r="EJJ175" s="250"/>
      <c r="EJK175" s="250"/>
      <c r="EJL175" s="250"/>
      <c r="EJM175" s="250"/>
      <c r="EJN175" s="250"/>
      <c r="EJO175" s="250"/>
      <c r="EJP175" s="250"/>
      <c r="EJQ175" s="250"/>
      <c r="EJR175" s="250"/>
      <c r="EJS175" s="250"/>
      <c r="EJT175" s="250"/>
      <c r="EJU175" s="250"/>
      <c r="EJV175" s="250"/>
      <c r="EJW175" s="250"/>
      <c r="EJX175" s="250"/>
      <c r="EJY175" s="250"/>
      <c r="EJZ175" s="250"/>
      <c r="EKA175" s="250"/>
      <c r="EKB175" s="250"/>
      <c r="EKC175" s="250"/>
      <c r="EKD175" s="250"/>
      <c r="EKE175" s="250"/>
      <c r="EKF175" s="250"/>
      <c r="EKG175" s="250"/>
      <c r="EKH175" s="250"/>
      <c r="EKI175" s="250"/>
      <c r="EKJ175" s="250"/>
      <c r="EKK175" s="250"/>
      <c r="EKL175" s="250"/>
      <c r="EKM175" s="250"/>
      <c r="EKN175" s="250"/>
      <c r="EKO175" s="250"/>
      <c r="EKP175" s="250"/>
      <c r="EKQ175" s="250"/>
      <c r="EKR175" s="250"/>
      <c r="EKS175" s="250"/>
      <c r="EKT175" s="250"/>
      <c r="EKU175" s="250"/>
      <c r="EKV175" s="250"/>
      <c r="EKW175" s="250"/>
      <c r="EKX175" s="250"/>
      <c r="EKY175" s="250"/>
      <c r="EKZ175" s="250"/>
      <c r="ELA175" s="250"/>
      <c r="ELB175" s="250"/>
      <c r="ELC175" s="250"/>
      <c r="ELD175" s="250"/>
      <c r="ELE175" s="250"/>
      <c r="ELF175" s="250"/>
      <c r="ELG175" s="250"/>
      <c r="ELH175" s="250"/>
      <c r="ELI175" s="250"/>
      <c r="ELJ175" s="250"/>
      <c r="ELK175" s="250"/>
      <c r="ELL175" s="250"/>
      <c r="ELM175" s="250"/>
      <c r="ELN175" s="250"/>
      <c r="ELO175" s="250"/>
      <c r="ELP175" s="250"/>
      <c r="ELQ175" s="250"/>
      <c r="ELR175" s="250"/>
      <c r="ELS175" s="250"/>
      <c r="ELT175" s="250"/>
      <c r="ELU175" s="250"/>
      <c r="ELV175" s="250"/>
      <c r="ELW175" s="250"/>
      <c r="ELX175" s="250"/>
      <c r="ELY175" s="250"/>
      <c r="ELZ175" s="250"/>
      <c r="EMA175" s="250"/>
      <c r="EMB175" s="250"/>
      <c r="EMC175" s="250"/>
      <c r="EMD175" s="250"/>
      <c r="EME175" s="250"/>
      <c r="EMF175" s="250"/>
      <c r="EMG175" s="250"/>
      <c r="EMH175" s="250"/>
      <c r="EMI175" s="250"/>
      <c r="EMJ175" s="250"/>
      <c r="EMK175" s="250"/>
      <c r="EML175" s="250"/>
      <c r="EMM175" s="250"/>
      <c r="EMN175" s="250"/>
      <c r="EMO175" s="250"/>
      <c r="EMP175" s="250"/>
      <c r="EMQ175" s="250"/>
      <c r="EMR175" s="250"/>
      <c r="EMS175" s="250"/>
      <c r="EMT175" s="250"/>
      <c r="EMU175" s="250"/>
      <c r="EMV175" s="250"/>
      <c r="EMW175" s="250"/>
      <c r="EMX175" s="250"/>
      <c r="EMY175" s="250"/>
      <c r="EMZ175" s="250"/>
      <c r="ENA175" s="250"/>
      <c r="ENB175" s="250"/>
      <c r="ENC175" s="250"/>
      <c r="END175" s="250"/>
      <c r="ENE175" s="250"/>
      <c r="ENF175" s="250"/>
      <c r="ENG175" s="250"/>
      <c r="ENH175" s="250"/>
      <c r="ENI175" s="250"/>
      <c r="ENJ175" s="250"/>
      <c r="ENK175" s="250"/>
      <c r="ENL175" s="250"/>
      <c r="ENM175" s="250"/>
      <c r="ENN175" s="250"/>
      <c r="ENO175" s="250"/>
      <c r="ENP175" s="250"/>
      <c r="ENQ175" s="250"/>
      <c r="ENR175" s="250"/>
      <c r="ENS175" s="250"/>
      <c r="ENT175" s="250"/>
      <c r="ENU175" s="250"/>
      <c r="ENV175" s="250"/>
      <c r="ENW175" s="250"/>
      <c r="ENX175" s="250"/>
      <c r="ENY175" s="250"/>
      <c r="ENZ175" s="250"/>
      <c r="EOA175" s="250"/>
      <c r="EOB175" s="250"/>
      <c r="EOC175" s="250"/>
      <c r="EOD175" s="250"/>
      <c r="EOE175" s="250"/>
      <c r="EOF175" s="250"/>
      <c r="EOG175" s="250"/>
      <c r="EOH175" s="250"/>
      <c r="EOI175" s="250"/>
      <c r="EOJ175" s="250"/>
      <c r="EOK175" s="250"/>
      <c r="EOL175" s="250"/>
      <c r="EOM175" s="250"/>
      <c r="EON175" s="250"/>
      <c r="EOO175" s="250"/>
      <c r="EOP175" s="250"/>
      <c r="EOQ175" s="250"/>
      <c r="EOR175" s="250"/>
      <c r="EOS175" s="250"/>
      <c r="EOT175" s="250"/>
      <c r="EOU175" s="250"/>
      <c r="EOV175" s="250"/>
      <c r="EOW175" s="250"/>
      <c r="EOX175" s="250"/>
      <c r="EOY175" s="250"/>
      <c r="EOZ175" s="250"/>
      <c r="EPA175" s="250"/>
      <c r="EPB175" s="250"/>
      <c r="EPC175" s="250"/>
      <c r="EPD175" s="250"/>
      <c r="EPE175" s="250"/>
      <c r="EPF175" s="250"/>
      <c r="EPG175" s="250"/>
      <c r="EPH175" s="250"/>
      <c r="EPI175" s="250"/>
      <c r="EPJ175" s="250"/>
      <c r="EPK175" s="250"/>
      <c r="EPL175" s="250"/>
      <c r="EPM175" s="250"/>
      <c r="EPN175" s="250"/>
      <c r="EPO175" s="250"/>
      <c r="EPP175" s="250"/>
      <c r="EPQ175" s="250"/>
      <c r="EPR175" s="250"/>
      <c r="EPS175" s="250"/>
      <c r="EPT175" s="250"/>
      <c r="EPU175" s="250"/>
      <c r="EPV175" s="250"/>
      <c r="EPW175" s="250"/>
      <c r="EPX175" s="250"/>
      <c r="EPY175" s="250"/>
      <c r="EPZ175" s="250"/>
      <c r="EQA175" s="250"/>
      <c r="EQB175" s="250"/>
      <c r="EQC175" s="250"/>
      <c r="EQD175" s="250"/>
      <c r="EQE175" s="250"/>
      <c r="EQF175" s="250"/>
      <c r="EQG175" s="250"/>
      <c r="EQH175" s="250"/>
      <c r="EQI175" s="250"/>
      <c r="EQJ175" s="250"/>
      <c r="EQK175" s="250"/>
      <c r="EQL175" s="250"/>
      <c r="EQM175" s="250"/>
      <c r="EQN175" s="250"/>
      <c r="EQO175" s="250"/>
      <c r="EQP175" s="250"/>
      <c r="EQQ175" s="250"/>
      <c r="EQR175" s="250"/>
      <c r="EQS175" s="250"/>
      <c r="EQT175" s="250"/>
      <c r="EQU175" s="250"/>
      <c r="EQV175" s="250"/>
      <c r="EQW175" s="250"/>
      <c r="EQX175" s="250"/>
      <c r="EQY175" s="250"/>
      <c r="EQZ175" s="250"/>
      <c r="ERA175" s="250"/>
      <c r="ERB175" s="250"/>
      <c r="ERC175" s="250"/>
      <c r="ERD175" s="250"/>
      <c r="ERE175" s="250"/>
      <c r="ERF175" s="250"/>
      <c r="ERG175" s="250"/>
      <c r="ERH175" s="250"/>
      <c r="ERI175" s="250"/>
      <c r="ERJ175" s="250"/>
      <c r="ERK175" s="250"/>
      <c r="ERL175" s="250"/>
      <c r="ERM175" s="250"/>
      <c r="ERN175" s="250"/>
      <c r="ERO175" s="250"/>
      <c r="ERP175" s="250"/>
      <c r="ERQ175" s="250"/>
      <c r="ERR175" s="250"/>
      <c r="ERS175" s="250"/>
      <c r="ERT175" s="250"/>
      <c r="ERU175" s="250"/>
      <c r="ERV175" s="250"/>
      <c r="ERW175" s="250"/>
      <c r="ERX175" s="250"/>
      <c r="ERY175" s="250"/>
      <c r="ERZ175" s="250"/>
      <c r="ESA175" s="250"/>
      <c r="ESB175" s="250"/>
      <c r="ESC175" s="250"/>
      <c r="ESD175" s="250"/>
      <c r="ESE175" s="250"/>
      <c r="ESF175" s="250"/>
      <c r="ESG175" s="250"/>
      <c r="ESH175" s="250"/>
      <c r="ESI175" s="250"/>
      <c r="ESJ175" s="250"/>
      <c r="ESK175" s="250"/>
      <c r="ESL175" s="250"/>
      <c r="ESM175" s="250"/>
      <c r="ESN175" s="250"/>
      <c r="ESO175" s="250"/>
      <c r="ESP175" s="250"/>
      <c r="ESQ175" s="250"/>
      <c r="ESR175" s="250"/>
      <c r="ESS175" s="250"/>
      <c r="EST175" s="250"/>
      <c r="ESU175" s="250"/>
      <c r="ESV175" s="250"/>
      <c r="ESW175" s="250"/>
      <c r="ESX175" s="250"/>
      <c r="ESY175" s="250"/>
      <c r="ESZ175" s="250"/>
      <c r="ETA175" s="250"/>
      <c r="ETB175" s="250"/>
      <c r="ETC175" s="250"/>
      <c r="ETD175" s="250"/>
      <c r="ETE175" s="250"/>
      <c r="ETF175" s="250"/>
      <c r="ETG175" s="250"/>
      <c r="ETH175" s="250"/>
      <c r="ETI175" s="250"/>
      <c r="ETJ175" s="250"/>
      <c r="ETK175" s="250"/>
      <c r="ETL175" s="250"/>
      <c r="ETM175" s="250"/>
      <c r="ETN175" s="250"/>
      <c r="ETO175" s="250"/>
      <c r="ETP175" s="250"/>
      <c r="ETQ175" s="250"/>
      <c r="ETR175" s="250"/>
      <c r="ETS175" s="250"/>
      <c r="ETT175" s="250"/>
      <c r="ETU175" s="250"/>
      <c r="ETV175" s="250"/>
      <c r="ETW175" s="250"/>
      <c r="ETX175" s="250"/>
      <c r="ETY175" s="250"/>
      <c r="ETZ175" s="250"/>
      <c r="EUA175" s="250"/>
      <c r="EUB175" s="250"/>
      <c r="EUC175" s="250"/>
      <c r="EUD175" s="250"/>
      <c r="EUE175" s="250"/>
      <c r="EUF175" s="250"/>
      <c r="EUG175" s="250"/>
      <c r="EUH175" s="250"/>
      <c r="EUI175" s="250"/>
      <c r="EUJ175" s="250"/>
      <c r="EUK175" s="250"/>
      <c r="EUL175" s="250"/>
      <c r="EUM175" s="250"/>
      <c r="EUN175" s="250"/>
      <c r="EUO175" s="250"/>
      <c r="EUP175" s="250"/>
      <c r="EUQ175" s="250"/>
      <c r="EUR175" s="250"/>
      <c r="EUS175" s="250"/>
      <c r="EUT175" s="250"/>
      <c r="EUU175" s="250"/>
      <c r="EUV175" s="250"/>
      <c r="EUW175" s="250"/>
      <c r="EUX175" s="250"/>
      <c r="EUY175" s="250"/>
      <c r="EUZ175" s="250"/>
      <c r="EVA175" s="250"/>
      <c r="EVB175" s="250"/>
      <c r="EVC175" s="250"/>
      <c r="EVD175" s="250"/>
      <c r="EVE175" s="250"/>
      <c r="EVF175" s="250"/>
      <c r="EVG175" s="250"/>
      <c r="EVH175" s="250"/>
      <c r="EVI175" s="250"/>
      <c r="EVJ175" s="250"/>
      <c r="EVK175" s="250"/>
      <c r="EVL175" s="250"/>
      <c r="EVM175" s="250"/>
      <c r="EVN175" s="250"/>
      <c r="EVO175" s="250"/>
      <c r="EVP175" s="250"/>
      <c r="EVQ175" s="250"/>
      <c r="EVR175" s="250"/>
      <c r="EVS175" s="250"/>
      <c r="EVT175" s="250"/>
      <c r="EVU175" s="250"/>
      <c r="EVV175" s="250"/>
      <c r="EVW175" s="250"/>
      <c r="EVX175" s="250"/>
      <c r="EVY175" s="250"/>
      <c r="EVZ175" s="250"/>
      <c r="EWA175" s="250"/>
      <c r="EWB175" s="250"/>
      <c r="EWC175" s="250"/>
      <c r="EWD175" s="250"/>
      <c r="EWE175" s="250"/>
      <c r="EWF175" s="250"/>
      <c r="EWG175" s="250"/>
      <c r="EWH175" s="250"/>
      <c r="EWI175" s="250"/>
      <c r="EWJ175" s="250"/>
      <c r="EWK175" s="250"/>
      <c r="EWL175" s="250"/>
      <c r="EWM175" s="250"/>
      <c r="EWN175" s="250"/>
      <c r="EWO175" s="250"/>
      <c r="EWP175" s="250"/>
      <c r="EWQ175" s="250"/>
      <c r="EWR175" s="250"/>
      <c r="EWS175" s="250"/>
      <c r="EWT175" s="250"/>
      <c r="EWU175" s="250"/>
      <c r="EWV175" s="250"/>
      <c r="EWW175" s="250"/>
      <c r="EWX175" s="250"/>
      <c r="EWY175" s="250"/>
      <c r="EWZ175" s="250"/>
      <c r="EXA175" s="250"/>
      <c r="EXB175" s="250"/>
      <c r="EXC175" s="250"/>
      <c r="EXD175" s="250"/>
      <c r="EXE175" s="250"/>
      <c r="EXF175" s="250"/>
      <c r="EXG175" s="250"/>
      <c r="EXH175" s="250"/>
      <c r="EXI175" s="250"/>
      <c r="EXJ175" s="250"/>
      <c r="EXK175" s="250"/>
      <c r="EXL175" s="250"/>
      <c r="EXM175" s="250"/>
      <c r="EXN175" s="250"/>
      <c r="EXO175" s="250"/>
      <c r="EXP175" s="250"/>
      <c r="EXQ175" s="250"/>
      <c r="EXR175" s="250"/>
      <c r="EXS175" s="250"/>
      <c r="EXT175" s="250"/>
      <c r="EXU175" s="250"/>
      <c r="EXV175" s="250"/>
      <c r="EXW175" s="250"/>
      <c r="EXX175" s="250"/>
      <c r="EXY175" s="250"/>
      <c r="EXZ175" s="250"/>
      <c r="EYA175" s="250"/>
      <c r="EYB175" s="250"/>
      <c r="EYC175" s="250"/>
      <c r="EYD175" s="250"/>
      <c r="EYE175" s="250"/>
      <c r="EYF175" s="250"/>
      <c r="EYG175" s="250"/>
      <c r="EYH175" s="250"/>
      <c r="EYI175" s="250"/>
      <c r="EYJ175" s="250"/>
      <c r="EYK175" s="250"/>
      <c r="EYL175" s="250"/>
      <c r="EYM175" s="250"/>
      <c r="EYN175" s="250"/>
      <c r="EYO175" s="250"/>
      <c r="EYP175" s="250"/>
      <c r="EYQ175" s="250"/>
      <c r="EYR175" s="250"/>
      <c r="EYS175" s="250"/>
      <c r="EYT175" s="250"/>
      <c r="EYU175" s="250"/>
      <c r="EYV175" s="250"/>
      <c r="EYW175" s="250"/>
      <c r="EYX175" s="250"/>
      <c r="EYY175" s="250"/>
      <c r="EYZ175" s="250"/>
      <c r="EZA175" s="250"/>
      <c r="EZB175" s="250"/>
      <c r="EZC175" s="250"/>
      <c r="EZD175" s="250"/>
      <c r="EZE175" s="250"/>
      <c r="EZF175" s="250"/>
      <c r="EZG175" s="250"/>
      <c r="EZH175" s="250"/>
      <c r="EZI175" s="250"/>
      <c r="EZJ175" s="250"/>
      <c r="EZK175" s="250"/>
      <c r="EZL175" s="250"/>
      <c r="EZM175" s="250"/>
      <c r="EZN175" s="250"/>
      <c r="EZO175" s="250"/>
      <c r="EZP175" s="250"/>
      <c r="EZQ175" s="250"/>
      <c r="EZR175" s="250"/>
      <c r="EZS175" s="250"/>
      <c r="EZT175" s="250"/>
      <c r="EZU175" s="250"/>
      <c r="EZV175" s="250"/>
      <c r="EZW175" s="250"/>
      <c r="EZX175" s="250"/>
      <c r="EZY175" s="250"/>
      <c r="EZZ175" s="250"/>
      <c r="FAA175" s="250"/>
      <c r="FAB175" s="250"/>
      <c r="FAC175" s="250"/>
      <c r="FAD175" s="250"/>
      <c r="FAE175" s="250"/>
      <c r="FAF175" s="250"/>
      <c r="FAG175" s="250"/>
      <c r="FAH175" s="250"/>
      <c r="FAI175" s="250"/>
      <c r="FAJ175" s="250"/>
      <c r="FAK175" s="250"/>
      <c r="FAL175" s="250"/>
      <c r="FAM175" s="250"/>
      <c r="FAN175" s="250"/>
      <c r="FAO175" s="250"/>
      <c r="FAP175" s="250"/>
      <c r="FAQ175" s="250"/>
      <c r="FAR175" s="250"/>
      <c r="FAS175" s="250"/>
      <c r="FAT175" s="250"/>
      <c r="FAU175" s="250"/>
      <c r="FAV175" s="250"/>
      <c r="FAW175" s="250"/>
      <c r="FAX175" s="250"/>
      <c r="FAY175" s="250"/>
      <c r="FAZ175" s="250"/>
      <c r="FBA175" s="250"/>
      <c r="FBB175" s="250"/>
      <c r="FBC175" s="250"/>
      <c r="FBD175" s="250"/>
      <c r="FBE175" s="250"/>
      <c r="FBF175" s="250"/>
      <c r="FBG175" s="250"/>
      <c r="FBH175" s="250"/>
      <c r="FBI175" s="250"/>
      <c r="FBJ175" s="250"/>
      <c r="FBK175" s="250"/>
      <c r="FBL175" s="250"/>
      <c r="FBM175" s="250"/>
      <c r="FBN175" s="250"/>
      <c r="FBO175" s="250"/>
      <c r="FBP175" s="250"/>
      <c r="FBQ175" s="250"/>
      <c r="FBR175" s="250"/>
      <c r="FBS175" s="250"/>
      <c r="FBT175" s="250"/>
      <c r="FBU175" s="250"/>
      <c r="FBV175" s="250"/>
      <c r="FBW175" s="250"/>
      <c r="FBX175" s="250"/>
      <c r="FBY175" s="250"/>
      <c r="FBZ175" s="250"/>
      <c r="FCA175" s="250"/>
      <c r="FCB175" s="250"/>
      <c r="FCC175" s="250"/>
      <c r="FCD175" s="250"/>
      <c r="FCE175" s="250"/>
      <c r="FCF175" s="250"/>
      <c r="FCG175" s="250"/>
      <c r="FCH175" s="250"/>
      <c r="FCI175" s="250"/>
      <c r="FCJ175" s="250"/>
      <c r="FCK175" s="250"/>
      <c r="FCL175" s="250"/>
      <c r="FCM175" s="250"/>
      <c r="FCN175" s="250"/>
      <c r="FCO175" s="250"/>
      <c r="FCP175" s="250"/>
      <c r="FCQ175" s="250"/>
      <c r="FCR175" s="250"/>
      <c r="FCS175" s="250"/>
      <c r="FCT175" s="250"/>
      <c r="FCU175" s="250"/>
      <c r="FCV175" s="250"/>
      <c r="FCW175" s="250"/>
      <c r="FCX175" s="250"/>
      <c r="FCY175" s="250"/>
      <c r="FCZ175" s="250"/>
      <c r="FDA175" s="250"/>
      <c r="FDB175" s="250"/>
      <c r="FDC175" s="250"/>
      <c r="FDD175" s="250"/>
      <c r="FDE175" s="250"/>
      <c r="FDF175" s="250"/>
      <c r="FDG175" s="250"/>
      <c r="FDH175" s="250"/>
      <c r="FDI175" s="250"/>
      <c r="FDJ175" s="250"/>
      <c r="FDK175" s="250"/>
      <c r="FDL175" s="250"/>
      <c r="FDM175" s="250"/>
      <c r="FDN175" s="250"/>
      <c r="FDO175" s="250"/>
      <c r="FDP175" s="250"/>
      <c r="FDQ175" s="250"/>
      <c r="FDR175" s="250"/>
      <c r="FDS175" s="250"/>
      <c r="FDT175" s="250"/>
      <c r="FDU175" s="250"/>
      <c r="FDV175" s="250"/>
      <c r="FDW175" s="250"/>
      <c r="FDX175" s="250"/>
      <c r="FDY175" s="250"/>
      <c r="FDZ175" s="250"/>
      <c r="FEA175" s="250"/>
      <c r="FEB175" s="250"/>
      <c r="FEC175" s="250"/>
      <c r="FED175" s="250"/>
      <c r="FEE175" s="250"/>
      <c r="FEF175" s="250"/>
      <c r="FEG175" s="250"/>
      <c r="FEH175" s="250"/>
      <c r="FEI175" s="250"/>
      <c r="FEJ175" s="250"/>
      <c r="FEK175" s="250"/>
      <c r="FEL175" s="250"/>
      <c r="FEM175" s="250"/>
      <c r="FEN175" s="250"/>
      <c r="FEO175" s="250"/>
      <c r="FEP175" s="250"/>
      <c r="FEQ175" s="250"/>
      <c r="FER175" s="250"/>
      <c r="FES175" s="250"/>
      <c r="FET175" s="250"/>
      <c r="FEU175" s="250"/>
      <c r="FEV175" s="250"/>
      <c r="FEW175" s="250"/>
      <c r="FEX175" s="250"/>
      <c r="FEY175" s="250"/>
      <c r="FEZ175" s="250"/>
      <c r="FFA175" s="250"/>
      <c r="FFB175" s="250"/>
      <c r="FFC175" s="250"/>
      <c r="FFD175" s="250"/>
      <c r="FFE175" s="250"/>
      <c r="FFF175" s="250"/>
      <c r="FFG175" s="250"/>
      <c r="FFH175" s="250"/>
      <c r="FFI175" s="250"/>
      <c r="FFJ175" s="250"/>
      <c r="FFK175" s="250"/>
      <c r="FFL175" s="250"/>
      <c r="FFM175" s="250"/>
      <c r="FFN175" s="250"/>
      <c r="FFO175" s="250"/>
      <c r="FFP175" s="250"/>
      <c r="FFQ175" s="250"/>
      <c r="FFR175" s="250"/>
      <c r="FFS175" s="250"/>
      <c r="FFT175" s="250"/>
      <c r="FFU175" s="250"/>
      <c r="FFV175" s="250"/>
      <c r="FFW175" s="250"/>
      <c r="FFX175" s="250"/>
      <c r="FFY175" s="250"/>
      <c r="FFZ175" s="250"/>
      <c r="FGA175" s="250"/>
      <c r="FGB175" s="250"/>
      <c r="FGC175" s="250"/>
      <c r="FGD175" s="250"/>
      <c r="FGE175" s="250"/>
      <c r="FGF175" s="250"/>
      <c r="FGG175" s="250"/>
      <c r="FGH175" s="250"/>
      <c r="FGI175" s="250"/>
      <c r="FGJ175" s="250"/>
      <c r="FGK175" s="250"/>
      <c r="FGL175" s="250"/>
      <c r="FGM175" s="250"/>
      <c r="FGN175" s="250"/>
      <c r="FGO175" s="250"/>
      <c r="FGP175" s="250"/>
      <c r="FGQ175" s="250"/>
      <c r="FGR175" s="250"/>
      <c r="FGS175" s="250"/>
      <c r="FGT175" s="250"/>
      <c r="FGU175" s="250"/>
      <c r="FGV175" s="250"/>
      <c r="FGW175" s="250"/>
      <c r="FGX175" s="250"/>
      <c r="FGY175" s="250"/>
      <c r="FGZ175" s="250"/>
      <c r="FHA175" s="250"/>
      <c r="FHB175" s="250"/>
      <c r="FHC175" s="250"/>
      <c r="FHD175" s="250"/>
      <c r="FHE175" s="250"/>
      <c r="FHF175" s="250"/>
      <c r="FHG175" s="250"/>
      <c r="FHH175" s="250"/>
      <c r="FHI175" s="250"/>
      <c r="FHJ175" s="250"/>
      <c r="FHK175" s="250"/>
      <c r="FHL175" s="250"/>
      <c r="FHM175" s="250"/>
      <c r="FHN175" s="250"/>
      <c r="FHO175" s="250"/>
      <c r="FHP175" s="250"/>
      <c r="FHQ175" s="250"/>
      <c r="FHR175" s="250"/>
      <c r="FHS175" s="250"/>
      <c r="FHT175" s="250"/>
      <c r="FHU175" s="250"/>
      <c r="FHV175" s="250"/>
      <c r="FHW175" s="250"/>
      <c r="FHX175" s="250"/>
      <c r="FHY175" s="250"/>
      <c r="FHZ175" s="250"/>
      <c r="FIA175" s="250"/>
      <c r="FIB175" s="250"/>
      <c r="FIC175" s="250"/>
      <c r="FID175" s="250"/>
      <c r="FIE175" s="250"/>
      <c r="FIF175" s="250"/>
      <c r="FIG175" s="250"/>
      <c r="FIH175" s="250"/>
      <c r="FII175" s="250"/>
      <c r="FIJ175" s="250"/>
      <c r="FIK175" s="250"/>
      <c r="FIL175" s="250"/>
      <c r="FIM175" s="250"/>
      <c r="FIN175" s="250"/>
      <c r="FIO175" s="250"/>
      <c r="FIP175" s="250"/>
      <c r="FIQ175" s="250"/>
      <c r="FIR175" s="250"/>
      <c r="FIS175" s="250"/>
      <c r="FIT175" s="250"/>
      <c r="FIU175" s="250"/>
      <c r="FIV175" s="250"/>
      <c r="FIW175" s="250"/>
      <c r="FIX175" s="250"/>
      <c r="FIY175" s="250"/>
      <c r="FIZ175" s="250"/>
      <c r="FJA175" s="250"/>
      <c r="FJB175" s="250"/>
      <c r="FJC175" s="250"/>
      <c r="FJD175" s="250"/>
      <c r="FJE175" s="250"/>
      <c r="FJF175" s="250"/>
      <c r="FJG175" s="250"/>
      <c r="FJH175" s="250"/>
      <c r="FJI175" s="250"/>
      <c r="FJJ175" s="250"/>
      <c r="FJK175" s="250"/>
      <c r="FJL175" s="250"/>
      <c r="FJM175" s="250"/>
      <c r="FJN175" s="250"/>
      <c r="FJO175" s="250"/>
      <c r="FJP175" s="250"/>
      <c r="FJQ175" s="250"/>
      <c r="FJR175" s="250"/>
      <c r="FJS175" s="250"/>
      <c r="FJT175" s="250"/>
      <c r="FJU175" s="250"/>
      <c r="FJV175" s="250"/>
      <c r="FJW175" s="250"/>
      <c r="FJX175" s="250"/>
      <c r="FJY175" s="250"/>
      <c r="FJZ175" s="250"/>
      <c r="FKA175" s="250"/>
      <c r="FKB175" s="250"/>
      <c r="FKC175" s="250"/>
      <c r="FKD175" s="250"/>
      <c r="FKE175" s="250"/>
      <c r="FKF175" s="250"/>
      <c r="FKG175" s="250"/>
      <c r="FKH175" s="250"/>
      <c r="FKI175" s="250"/>
      <c r="FKJ175" s="250"/>
      <c r="FKK175" s="250"/>
      <c r="FKL175" s="250"/>
      <c r="FKM175" s="250"/>
      <c r="FKN175" s="250"/>
      <c r="FKO175" s="250"/>
      <c r="FKP175" s="250"/>
      <c r="FKQ175" s="250"/>
      <c r="FKR175" s="250"/>
      <c r="FKS175" s="250"/>
      <c r="FKT175" s="250"/>
      <c r="FKU175" s="250"/>
      <c r="FKV175" s="250"/>
      <c r="FKW175" s="250"/>
      <c r="FKX175" s="250"/>
      <c r="FKY175" s="250"/>
      <c r="FKZ175" s="250"/>
      <c r="FLA175" s="250"/>
      <c r="FLB175" s="250"/>
      <c r="FLC175" s="250"/>
      <c r="FLD175" s="250"/>
      <c r="FLE175" s="250"/>
      <c r="FLF175" s="250"/>
      <c r="FLG175" s="250"/>
      <c r="FLH175" s="250"/>
      <c r="FLI175" s="250"/>
      <c r="FLJ175" s="250"/>
      <c r="FLK175" s="250"/>
      <c r="FLL175" s="250"/>
      <c r="FLM175" s="250"/>
      <c r="FLN175" s="250"/>
      <c r="FLO175" s="250"/>
      <c r="FLP175" s="250"/>
      <c r="FLQ175" s="250"/>
      <c r="FLR175" s="250"/>
      <c r="FLS175" s="250"/>
      <c r="FLT175" s="250"/>
      <c r="FLU175" s="250"/>
      <c r="FLV175" s="250"/>
      <c r="FLW175" s="250"/>
      <c r="FLX175" s="250"/>
      <c r="FLY175" s="250"/>
      <c r="FLZ175" s="250"/>
      <c r="FMA175" s="250"/>
      <c r="FMB175" s="250"/>
      <c r="FMC175" s="250"/>
      <c r="FMD175" s="250"/>
      <c r="FME175" s="250"/>
      <c r="FMF175" s="250"/>
      <c r="FMG175" s="250"/>
      <c r="FMH175" s="250"/>
      <c r="FMI175" s="250"/>
      <c r="FMJ175" s="250"/>
      <c r="FMK175" s="250"/>
      <c r="FML175" s="250"/>
      <c r="FMM175" s="250"/>
      <c r="FMN175" s="250"/>
      <c r="FMO175" s="250"/>
      <c r="FMP175" s="250"/>
      <c r="FMQ175" s="250"/>
      <c r="FMR175" s="250"/>
      <c r="FMS175" s="250"/>
      <c r="FMT175" s="250"/>
      <c r="FMU175" s="250"/>
      <c r="FMV175" s="250"/>
      <c r="FMW175" s="250"/>
      <c r="FMX175" s="250"/>
      <c r="FMY175" s="250"/>
      <c r="FMZ175" s="250"/>
      <c r="FNA175" s="250"/>
      <c r="FNB175" s="250"/>
      <c r="FNC175" s="250"/>
      <c r="FND175" s="250"/>
      <c r="FNE175" s="250"/>
      <c r="FNF175" s="250"/>
      <c r="FNG175" s="250"/>
      <c r="FNH175" s="250"/>
      <c r="FNI175" s="250"/>
      <c r="FNJ175" s="250"/>
      <c r="FNK175" s="250"/>
      <c r="FNL175" s="250"/>
      <c r="FNM175" s="250"/>
      <c r="FNN175" s="250"/>
      <c r="FNO175" s="250"/>
      <c r="FNP175" s="250"/>
      <c r="FNQ175" s="250"/>
      <c r="FNR175" s="250"/>
      <c r="FNS175" s="250"/>
      <c r="FNT175" s="250"/>
      <c r="FNU175" s="250"/>
      <c r="FNV175" s="250"/>
      <c r="FNW175" s="250"/>
      <c r="FNX175" s="250"/>
      <c r="FNY175" s="250"/>
      <c r="FNZ175" s="250"/>
      <c r="FOA175" s="250"/>
      <c r="FOB175" s="250"/>
      <c r="FOC175" s="250"/>
      <c r="FOD175" s="250"/>
      <c r="FOE175" s="250"/>
      <c r="FOF175" s="250"/>
      <c r="FOG175" s="250"/>
      <c r="FOH175" s="250"/>
      <c r="FOI175" s="250"/>
      <c r="FOJ175" s="250"/>
      <c r="FOK175" s="250"/>
      <c r="FOL175" s="250"/>
      <c r="FOM175" s="250"/>
      <c r="FON175" s="250"/>
      <c r="FOO175" s="250"/>
      <c r="FOP175" s="250"/>
      <c r="FOQ175" s="250"/>
      <c r="FOR175" s="250"/>
      <c r="FOS175" s="250"/>
      <c r="FOT175" s="250"/>
      <c r="FOU175" s="250"/>
      <c r="FOV175" s="250"/>
      <c r="FOW175" s="250"/>
      <c r="FOX175" s="250"/>
      <c r="FOY175" s="250"/>
      <c r="FOZ175" s="250"/>
      <c r="FPA175" s="250"/>
      <c r="FPB175" s="250"/>
      <c r="FPC175" s="250"/>
      <c r="FPD175" s="250"/>
      <c r="FPE175" s="250"/>
      <c r="FPF175" s="250"/>
      <c r="FPG175" s="250"/>
      <c r="FPH175" s="250"/>
      <c r="FPI175" s="250"/>
      <c r="FPJ175" s="250"/>
      <c r="FPK175" s="250"/>
      <c r="FPL175" s="250"/>
      <c r="FPM175" s="250"/>
      <c r="FPN175" s="250"/>
      <c r="FPO175" s="250"/>
      <c r="FPP175" s="250"/>
      <c r="FPQ175" s="250"/>
      <c r="FPR175" s="250"/>
      <c r="FPS175" s="250"/>
      <c r="FPT175" s="250"/>
      <c r="FPU175" s="250"/>
      <c r="FPV175" s="250"/>
      <c r="FPW175" s="250"/>
      <c r="FPX175" s="250"/>
      <c r="FPY175" s="250"/>
      <c r="FPZ175" s="250"/>
      <c r="FQA175" s="250"/>
      <c r="FQB175" s="250"/>
      <c r="FQC175" s="250"/>
      <c r="FQD175" s="250"/>
      <c r="FQE175" s="250"/>
      <c r="FQF175" s="250"/>
      <c r="FQG175" s="250"/>
      <c r="FQH175" s="250"/>
      <c r="FQI175" s="250"/>
      <c r="FQJ175" s="250"/>
      <c r="FQK175" s="250"/>
      <c r="FQL175" s="250"/>
      <c r="FQM175" s="250"/>
      <c r="FQN175" s="250"/>
      <c r="FQO175" s="250"/>
      <c r="FQP175" s="250"/>
      <c r="FQQ175" s="250"/>
      <c r="FQR175" s="250"/>
      <c r="FQS175" s="250"/>
      <c r="FQT175" s="250"/>
      <c r="FQU175" s="250"/>
      <c r="FQV175" s="250"/>
      <c r="FQW175" s="250"/>
      <c r="FQX175" s="250"/>
      <c r="FQY175" s="250"/>
      <c r="FQZ175" s="250"/>
      <c r="FRA175" s="250"/>
      <c r="FRB175" s="250"/>
      <c r="FRC175" s="250"/>
      <c r="FRD175" s="250"/>
      <c r="FRE175" s="250"/>
      <c r="FRF175" s="250"/>
      <c r="FRG175" s="250"/>
      <c r="FRH175" s="250"/>
      <c r="FRI175" s="250"/>
      <c r="FRJ175" s="250"/>
      <c r="FRK175" s="250"/>
      <c r="FRL175" s="250"/>
      <c r="FRM175" s="250"/>
      <c r="FRN175" s="250"/>
      <c r="FRO175" s="250"/>
      <c r="FRP175" s="250"/>
      <c r="FRQ175" s="250"/>
      <c r="FRR175" s="250"/>
      <c r="FRS175" s="250"/>
      <c r="FRT175" s="250"/>
      <c r="FRU175" s="250"/>
      <c r="FRV175" s="250"/>
      <c r="FRW175" s="250"/>
      <c r="FRX175" s="250"/>
      <c r="FRY175" s="250"/>
      <c r="FRZ175" s="250"/>
      <c r="FSA175" s="250"/>
      <c r="FSB175" s="250"/>
      <c r="FSC175" s="250"/>
      <c r="FSD175" s="250"/>
      <c r="FSE175" s="250"/>
      <c r="FSF175" s="250"/>
      <c r="FSG175" s="250"/>
      <c r="FSH175" s="250"/>
      <c r="FSI175" s="250"/>
      <c r="FSJ175" s="250"/>
      <c r="FSK175" s="250"/>
      <c r="FSL175" s="250"/>
      <c r="FSM175" s="250"/>
      <c r="FSN175" s="250"/>
      <c r="FSO175" s="250"/>
      <c r="FSP175" s="250"/>
      <c r="FSQ175" s="250"/>
      <c r="FSR175" s="250"/>
      <c r="FSS175" s="250"/>
      <c r="FST175" s="250"/>
      <c r="FSU175" s="250"/>
      <c r="FSV175" s="250"/>
      <c r="FSW175" s="250"/>
      <c r="FSX175" s="250"/>
      <c r="FSY175" s="250"/>
      <c r="FSZ175" s="250"/>
      <c r="FTA175" s="250"/>
      <c r="FTB175" s="250"/>
      <c r="FTC175" s="250"/>
      <c r="FTD175" s="250"/>
      <c r="FTE175" s="250"/>
      <c r="FTF175" s="250"/>
      <c r="FTG175" s="250"/>
      <c r="FTH175" s="250"/>
      <c r="FTI175" s="250"/>
      <c r="FTJ175" s="250"/>
      <c r="FTK175" s="250"/>
      <c r="FTL175" s="250"/>
      <c r="FTM175" s="250"/>
      <c r="FTN175" s="250"/>
      <c r="FTO175" s="250"/>
      <c r="FTP175" s="250"/>
      <c r="FTQ175" s="250"/>
      <c r="FTR175" s="250"/>
      <c r="FTS175" s="250"/>
      <c r="FTT175" s="250"/>
      <c r="FTU175" s="250"/>
      <c r="FTV175" s="250"/>
      <c r="FTW175" s="250"/>
      <c r="FTX175" s="250"/>
      <c r="FTY175" s="250"/>
      <c r="FTZ175" s="250"/>
      <c r="FUA175" s="250"/>
      <c r="FUB175" s="250"/>
      <c r="FUC175" s="250"/>
      <c r="FUD175" s="250"/>
      <c r="FUE175" s="250"/>
      <c r="FUF175" s="250"/>
      <c r="FUG175" s="250"/>
      <c r="FUH175" s="250"/>
      <c r="FUI175" s="250"/>
      <c r="FUJ175" s="250"/>
      <c r="FUK175" s="250"/>
      <c r="FUL175" s="250"/>
      <c r="FUM175" s="250"/>
      <c r="FUN175" s="250"/>
      <c r="FUO175" s="250"/>
      <c r="FUP175" s="250"/>
      <c r="FUQ175" s="250"/>
      <c r="FUR175" s="250"/>
      <c r="FUS175" s="250"/>
      <c r="FUT175" s="250"/>
      <c r="FUU175" s="250"/>
      <c r="FUV175" s="250"/>
      <c r="FUW175" s="250"/>
      <c r="FUX175" s="250"/>
      <c r="FUY175" s="250"/>
      <c r="FUZ175" s="250"/>
      <c r="FVA175" s="250"/>
      <c r="FVB175" s="250"/>
      <c r="FVC175" s="250"/>
      <c r="FVD175" s="250"/>
      <c r="FVE175" s="250"/>
      <c r="FVF175" s="250"/>
      <c r="FVG175" s="250"/>
      <c r="FVH175" s="250"/>
      <c r="FVI175" s="250"/>
      <c r="FVJ175" s="250"/>
      <c r="FVK175" s="250"/>
      <c r="FVL175" s="250"/>
      <c r="FVM175" s="250"/>
      <c r="FVN175" s="250"/>
      <c r="FVO175" s="250"/>
      <c r="FVP175" s="250"/>
      <c r="FVQ175" s="250"/>
      <c r="FVR175" s="250"/>
      <c r="FVS175" s="250"/>
      <c r="FVT175" s="250"/>
      <c r="FVU175" s="250"/>
      <c r="FVV175" s="250"/>
      <c r="FVW175" s="250"/>
      <c r="FVX175" s="250"/>
      <c r="FVY175" s="250"/>
      <c r="FVZ175" s="250"/>
      <c r="FWA175" s="250"/>
      <c r="FWB175" s="250"/>
      <c r="FWC175" s="250"/>
      <c r="FWD175" s="250"/>
      <c r="FWE175" s="250"/>
      <c r="FWF175" s="250"/>
      <c r="FWG175" s="250"/>
      <c r="FWH175" s="250"/>
      <c r="FWI175" s="250"/>
      <c r="FWJ175" s="250"/>
      <c r="FWK175" s="250"/>
      <c r="FWL175" s="250"/>
      <c r="FWM175" s="250"/>
      <c r="FWN175" s="250"/>
      <c r="FWO175" s="250"/>
      <c r="FWP175" s="250"/>
      <c r="FWQ175" s="250"/>
      <c r="FWR175" s="250"/>
      <c r="FWS175" s="250"/>
      <c r="FWT175" s="250"/>
      <c r="FWU175" s="250"/>
      <c r="FWV175" s="250"/>
      <c r="FWW175" s="250"/>
      <c r="FWX175" s="250"/>
      <c r="FWY175" s="250"/>
      <c r="FWZ175" s="250"/>
      <c r="FXA175" s="250"/>
      <c r="FXB175" s="250"/>
      <c r="FXC175" s="250"/>
      <c r="FXD175" s="250"/>
      <c r="FXE175" s="250"/>
      <c r="FXF175" s="250"/>
      <c r="FXG175" s="250"/>
      <c r="FXH175" s="250"/>
      <c r="FXI175" s="250"/>
      <c r="FXJ175" s="250"/>
      <c r="FXK175" s="250"/>
      <c r="FXL175" s="250"/>
      <c r="FXM175" s="250"/>
      <c r="FXN175" s="250"/>
      <c r="FXO175" s="250"/>
      <c r="FXP175" s="250"/>
      <c r="FXQ175" s="250"/>
      <c r="FXR175" s="250"/>
      <c r="FXS175" s="250"/>
      <c r="FXT175" s="250"/>
      <c r="FXU175" s="250"/>
      <c r="FXV175" s="250"/>
      <c r="FXW175" s="250"/>
      <c r="FXX175" s="250"/>
      <c r="FXY175" s="250"/>
      <c r="FXZ175" s="250"/>
      <c r="FYA175" s="250"/>
      <c r="FYB175" s="250"/>
      <c r="FYC175" s="250"/>
      <c r="FYD175" s="250"/>
      <c r="FYE175" s="250"/>
      <c r="FYF175" s="250"/>
      <c r="FYG175" s="250"/>
      <c r="FYH175" s="250"/>
      <c r="FYI175" s="250"/>
      <c r="FYJ175" s="250"/>
      <c r="FYK175" s="250"/>
      <c r="FYL175" s="250"/>
      <c r="FYM175" s="250"/>
      <c r="FYN175" s="250"/>
      <c r="FYO175" s="250"/>
      <c r="FYP175" s="250"/>
      <c r="FYQ175" s="250"/>
      <c r="FYR175" s="250"/>
      <c r="FYS175" s="250"/>
      <c r="FYT175" s="250"/>
      <c r="FYU175" s="250"/>
      <c r="FYV175" s="250"/>
      <c r="FYW175" s="250"/>
      <c r="FYX175" s="250"/>
      <c r="FYY175" s="250"/>
      <c r="FYZ175" s="250"/>
      <c r="FZA175" s="250"/>
      <c r="FZB175" s="250"/>
      <c r="FZC175" s="250"/>
      <c r="FZD175" s="250"/>
      <c r="FZE175" s="250"/>
      <c r="FZF175" s="250"/>
      <c r="FZG175" s="250"/>
      <c r="FZH175" s="250"/>
      <c r="FZI175" s="250"/>
      <c r="FZJ175" s="250"/>
      <c r="FZK175" s="250"/>
      <c r="FZL175" s="250"/>
      <c r="FZM175" s="250"/>
      <c r="FZN175" s="250"/>
      <c r="FZO175" s="250"/>
      <c r="FZP175" s="250"/>
      <c r="FZQ175" s="250"/>
      <c r="FZR175" s="250"/>
      <c r="FZS175" s="250"/>
      <c r="FZT175" s="250"/>
      <c r="FZU175" s="250"/>
      <c r="FZV175" s="250"/>
      <c r="FZW175" s="250"/>
      <c r="FZX175" s="250"/>
      <c r="FZY175" s="250"/>
      <c r="FZZ175" s="250"/>
      <c r="GAA175" s="250"/>
      <c r="GAB175" s="250"/>
      <c r="GAC175" s="250"/>
      <c r="GAD175" s="250"/>
      <c r="GAE175" s="250"/>
      <c r="GAF175" s="250"/>
      <c r="GAG175" s="250"/>
      <c r="GAH175" s="250"/>
      <c r="GAI175" s="250"/>
      <c r="GAJ175" s="250"/>
      <c r="GAK175" s="250"/>
      <c r="GAL175" s="250"/>
      <c r="GAM175" s="250"/>
      <c r="GAN175" s="250"/>
      <c r="GAO175" s="250"/>
      <c r="GAP175" s="250"/>
      <c r="GAQ175" s="250"/>
      <c r="GAR175" s="250"/>
      <c r="GAS175" s="250"/>
      <c r="GAT175" s="250"/>
      <c r="GAU175" s="250"/>
      <c r="GAV175" s="250"/>
      <c r="GAW175" s="250"/>
      <c r="GAX175" s="250"/>
      <c r="GAY175" s="250"/>
      <c r="GAZ175" s="250"/>
      <c r="GBA175" s="250"/>
      <c r="GBB175" s="250"/>
      <c r="GBC175" s="250"/>
      <c r="GBD175" s="250"/>
      <c r="GBE175" s="250"/>
      <c r="GBF175" s="250"/>
      <c r="GBG175" s="250"/>
      <c r="GBH175" s="250"/>
      <c r="GBI175" s="250"/>
      <c r="GBJ175" s="250"/>
      <c r="GBK175" s="250"/>
      <c r="GBL175" s="250"/>
      <c r="GBM175" s="250"/>
      <c r="GBN175" s="250"/>
      <c r="GBO175" s="250"/>
      <c r="GBP175" s="250"/>
      <c r="GBQ175" s="250"/>
      <c r="GBR175" s="250"/>
      <c r="GBS175" s="250"/>
      <c r="GBT175" s="250"/>
      <c r="GBU175" s="250"/>
      <c r="GBV175" s="250"/>
      <c r="GBW175" s="250"/>
      <c r="GBX175" s="250"/>
      <c r="GBY175" s="250"/>
      <c r="GBZ175" s="250"/>
      <c r="GCA175" s="250"/>
      <c r="GCB175" s="250"/>
      <c r="GCC175" s="250"/>
      <c r="GCD175" s="250"/>
      <c r="GCE175" s="250"/>
      <c r="GCF175" s="250"/>
      <c r="GCG175" s="250"/>
      <c r="GCH175" s="250"/>
      <c r="GCI175" s="250"/>
      <c r="GCJ175" s="250"/>
      <c r="GCK175" s="250"/>
      <c r="GCL175" s="250"/>
      <c r="GCM175" s="250"/>
      <c r="GCN175" s="250"/>
      <c r="GCO175" s="250"/>
      <c r="GCP175" s="250"/>
      <c r="GCQ175" s="250"/>
      <c r="GCR175" s="250"/>
      <c r="GCS175" s="250"/>
      <c r="GCT175" s="250"/>
      <c r="GCU175" s="250"/>
      <c r="GCV175" s="250"/>
      <c r="GCW175" s="250"/>
      <c r="GCX175" s="250"/>
      <c r="GCY175" s="250"/>
      <c r="GCZ175" s="250"/>
      <c r="GDA175" s="250"/>
      <c r="GDB175" s="250"/>
      <c r="GDC175" s="250"/>
      <c r="GDD175" s="250"/>
      <c r="GDE175" s="250"/>
      <c r="GDF175" s="250"/>
      <c r="GDG175" s="250"/>
      <c r="GDH175" s="250"/>
      <c r="GDI175" s="250"/>
      <c r="GDJ175" s="250"/>
      <c r="GDK175" s="250"/>
      <c r="GDL175" s="250"/>
      <c r="GDM175" s="250"/>
      <c r="GDN175" s="250"/>
      <c r="GDO175" s="250"/>
      <c r="GDP175" s="250"/>
      <c r="GDQ175" s="250"/>
      <c r="GDR175" s="250"/>
      <c r="GDS175" s="250"/>
      <c r="GDT175" s="250"/>
      <c r="GDU175" s="250"/>
      <c r="GDV175" s="250"/>
      <c r="GDW175" s="250"/>
      <c r="GDX175" s="250"/>
      <c r="GDY175" s="250"/>
      <c r="GDZ175" s="250"/>
      <c r="GEA175" s="250"/>
      <c r="GEB175" s="250"/>
      <c r="GEC175" s="250"/>
      <c r="GED175" s="250"/>
      <c r="GEE175" s="250"/>
      <c r="GEF175" s="250"/>
      <c r="GEG175" s="250"/>
      <c r="GEH175" s="250"/>
      <c r="GEI175" s="250"/>
      <c r="GEJ175" s="250"/>
      <c r="GEK175" s="250"/>
      <c r="GEL175" s="250"/>
      <c r="GEM175" s="250"/>
      <c r="GEN175" s="250"/>
      <c r="GEO175" s="250"/>
      <c r="GEP175" s="250"/>
      <c r="GEQ175" s="250"/>
      <c r="GER175" s="250"/>
      <c r="GES175" s="250"/>
      <c r="GET175" s="250"/>
      <c r="GEU175" s="250"/>
      <c r="GEV175" s="250"/>
      <c r="GEW175" s="250"/>
      <c r="GEX175" s="250"/>
      <c r="GEY175" s="250"/>
      <c r="GEZ175" s="250"/>
      <c r="GFA175" s="250"/>
      <c r="GFB175" s="250"/>
      <c r="GFC175" s="250"/>
      <c r="GFD175" s="250"/>
      <c r="GFE175" s="250"/>
      <c r="GFF175" s="250"/>
      <c r="GFG175" s="250"/>
      <c r="GFH175" s="250"/>
      <c r="GFI175" s="250"/>
      <c r="GFJ175" s="250"/>
      <c r="GFK175" s="250"/>
      <c r="GFL175" s="250"/>
      <c r="GFM175" s="250"/>
      <c r="GFN175" s="250"/>
      <c r="GFO175" s="250"/>
      <c r="GFP175" s="250"/>
      <c r="GFQ175" s="250"/>
      <c r="GFR175" s="250"/>
      <c r="GFS175" s="250"/>
      <c r="GFT175" s="250"/>
      <c r="GFU175" s="250"/>
      <c r="GFV175" s="250"/>
      <c r="GFW175" s="250"/>
      <c r="GFX175" s="250"/>
      <c r="GFY175" s="250"/>
      <c r="GFZ175" s="250"/>
      <c r="GGA175" s="250"/>
      <c r="GGB175" s="250"/>
      <c r="GGC175" s="250"/>
      <c r="GGD175" s="250"/>
      <c r="GGE175" s="250"/>
      <c r="GGF175" s="250"/>
      <c r="GGG175" s="250"/>
      <c r="GGH175" s="250"/>
      <c r="GGI175" s="250"/>
      <c r="GGJ175" s="250"/>
      <c r="GGK175" s="250"/>
      <c r="GGL175" s="250"/>
      <c r="GGM175" s="250"/>
      <c r="GGN175" s="250"/>
      <c r="GGO175" s="250"/>
      <c r="GGP175" s="250"/>
      <c r="GGQ175" s="250"/>
      <c r="GGR175" s="250"/>
      <c r="GGS175" s="250"/>
      <c r="GGT175" s="250"/>
      <c r="GGU175" s="250"/>
      <c r="GGV175" s="250"/>
      <c r="GGW175" s="250"/>
      <c r="GGX175" s="250"/>
      <c r="GGY175" s="250"/>
      <c r="GGZ175" s="250"/>
      <c r="GHA175" s="250"/>
      <c r="GHB175" s="250"/>
      <c r="GHC175" s="250"/>
      <c r="GHD175" s="250"/>
      <c r="GHE175" s="250"/>
      <c r="GHF175" s="250"/>
      <c r="GHG175" s="250"/>
      <c r="GHH175" s="250"/>
      <c r="GHI175" s="250"/>
      <c r="GHJ175" s="250"/>
      <c r="GHK175" s="250"/>
      <c r="GHL175" s="250"/>
      <c r="GHM175" s="250"/>
      <c r="GHN175" s="250"/>
      <c r="GHO175" s="250"/>
      <c r="GHP175" s="250"/>
      <c r="GHQ175" s="250"/>
      <c r="GHR175" s="250"/>
      <c r="GHS175" s="250"/>
      <c r="GHT175" s="250"/>
      <c r="GHU175" s="250"/>
      <c r="GHV175" s="250"/>
      <c r="GHW175" s="250"/>
      <c r="GHX175" s="250"/>
      <c r="GHY175" s="250"/>
      <c r="GHZ175" s="250"/>
      <c r="GIA175" s="250"/>
      <c r="GIB175" s="250"/>
      <c r="GIC175" s="250"/>
      <c r="GID175" s="250"/>
      <c r="GIE175" s="250"/>
      <c r="GIF175" s="250"/>
      <c r="GIG175" s="250"/>
      <c r="GIH175" s="250"/>
      <c r="GII175" s="250"/>
      <c r="GIJ175" s="250"/>
      <c r="GIK175" s="250"/>
      <c r="GIL175" s="250"/>
      <c r="GIM175" s="250"/>
      <c r="GIN175" s="250"/>
      <c r="GIO175" s="250"/>
      <c r="GIP175" s="250"/>
      <c r="GIQ175" s="250"/>
      <c r="GIR175" s="250"/>
      <c r="GIS175" s="250"/>
      <c r="GIT175" s="250"/>
      <c r="GIU175" s="250"/>
      <c r="GIV175" s="250"/>
      <c r="GIW175" s="250"/>
      <c r="GIX175" s="250"/>
      <c r="GIY175" s="250"/>
      <c r="GIZ175" s="250"/>
      <c r="GJA175" s="250"/>
      <c r="GJB175" s="250"/>
      <c r="GJC175" s="250"/>
      <c r="GJD175" s="250"/>
      <c r="GJE175" s="250"/>
      <c r="GJF175" s="250"/>
      <c r="GJG175" s="250"/>
      <c r="GJH175" s="250"/>
      <c r="GJI175" s="250"/>
      <c r="GJJ175" s="250"/>
      <c r="GJK175" s="250"/>
      <c r="GJL175" s="250"/>
      <c r="GJM175" s="250"/>
      <c r="GJN175" s="250"/>
      <c r="GJO175" s="250"/>
      <c r="GJP175" s="250"/>
      <c r="GJQ175" s="250"/>
      <c r="GJR175" s="250"/>
      <c r="GJS175" s="250"/>
      <c r="GJT175" s="250"/>
      <c r="GJU175" s="250"/>
      <c r="GJV175" s="250"/>
      <c r="GJW175" s="250"/>
      <c r="GJX175" s="250"/>
      <c r="GJY175" s="250"/>
      <c r="GJZ175" s="250"/>
      <c r="GKA175" s="250"/>
      <c r="GKB175" s="250"/>
      <c r="GKC175" s="250"/>
      <c r="GKD175" s="250"/>
      <c r="GKE175" s="250"/>
      <c r="GKF175" s="250"/>
      <c r="GKG175" s="250"/>
      <c r="GKH175" s="250"/>
      <c r="GKI175" s="250"/>
      <c r="GKJ175" s="250"/>
      <c r="GKK175" s="250"/>
      <c r="GKL175" s="250"/>
      <c r="GKM175" s="250"/>
      <c r="GKN175" s="250"/>
      <c r="GKO175" s="250"/>
      <c r="GKP175" s="250"/>
      <c r="GKQ175" s="250"/>
      <c r="GKR175" s="250"/>
      <c r="GKS175" s="250"/>
      <c r="GKT175" s="250"/>
      <c r="GKU175" s="250"/>
      <c r="GKV175" s="250"/>
      <c r="GKW175" s="250"/>
      <c r="GKX175" s="250"/>
      <c r="GKY175" s="250"/>
      <c r="GKZ175" s="250"/>
      <c r="GLA175" s="250"/>
      <c r="GLB175" s="250"/>
      <c r="GLC175" s="250"/>
      <c r="GLD175" s="250"/>
      <c r="GLE175" s="250"/>
      <c r="GLF175" s="250"/>
      <c r="GLG175" s="250"/>
      <c r="GLH175" s="250"/>
      <c r="GLI175" s="250"/>
      <c r="GLJ175" s="250"/>
      <c r="GLK175" s="250"/>
      <c r="GLL175" s="250"/>
      <c r="GLM175" s="250"/>
      <c r="GLN175" s="250"/>
      <c r="GLO175" s="250"/>
      <c r="GLP175" s="250"/>
      <c r="GLQ175" s="250"/>
      <c r="GLR175" s="250"/>
      <c r="GLS175" s="250"/>
      <c r="GLT175" s="250"/>
      <c r="GLU175" s="250"/>
      <c r="GLV175" s="250"/>
      <c r="GLW175" s="250"/>
      <c r="GLX175" s="250"/>
      <c r="GLY175" s="250"/>
      <c r="GLZ175" s="250"/>
      <c r="GMA175" s="250"/>
      <c r="GMB175" s="250"/>
      <c r="GMC175" s="250"/>
      <c r="GMD175" s="250"/>
      <c r="GME175" s="250"/>
      <c r="GMF175" s="250"/>
      <c r="GMG175" s="250"/>
      <c r="GMH175" s="250"/>
      <c r="GMI175" s="250"/>
      <c r="GMJ175" s="250"/>
      <c r="GMK175" s="250"/>
      <c r="GML175" s="250"/>
      <c r="GMM175" s="250"/>
      <c r="GMN175" s="250"/>
      <c r="GMO175" s="250"/>
      <c r="GMP175" s="250"/>
      <c r="GMQ175" s="250"/>
      <c r="GMR175" s="250"/>
      <c r="GMS175" s="250"/>
      <c r="GMT175" s="250"/>
      <c r="GMU175" s="250"/>
      <c r="GMV175" s="250"/>
      <c r="GMW175" s="250"/>
      <c r="GMX175" s="250"/>
      <c r="GMY175" s="250"/>
      <c r="GMZ175" s="250"/>
      <c r="GNA175" s="250"/>
      <c r="GNB175" s="250"/>
      <c r="GNC175" s="250"/>
      <c r="GND175" s="250"/>
      <c r="GNE175" s="250"/>
      <c r="GNF175" s="250"/>
      <c r="GNG175" s="250"/>
      <c r="GNH175" s="250"/>
      <c r="GNI175" s="250"/>
      <c r="GNJ175" s="250"/>
      <c r="GNK175" s="250"/>
      <c r="GNL175" s="250"/>
      <c r="GNM175" s="250"/>
      <c r="GNN175" s="250"/>
      <c r="GNO175" s="250"/>
      <c r="GNP175" s="250"/>
      <c r="GNQ175" s="250"/>
      <c r="GNR175" s="250"/>
      <c r="GNS175" s="250"/>
      <c r="GNT175" s="250"/>
      <c r="GNU175" s="250"/>
      <c r="GNV175" s="250"/>
      <c r="GNW175" s="250"/>
      <c r="GNX175" s="250"/>
      <c r="GNY175" s="250"/>
      <c r="GNZ175" s="250"/>
      <c r="GOA175" s="250"/>
      <c r="GOB175" s="250"/>
      <c r="GOC175" s="250"/>
      <c r="GOD175" s="250"/>
      <c r="GOE175" s="250"/>
      <c r="GOF175" s="250"/>
      <c r="GOG175" s="250"/>
      <c r="GOH175" s="250"/>
      <c r="GOI175" s="250"/>
      <c r="GOJ175" s="250"/>
      <c r="GOK175" s="250"/>
      <c r="GOL175" s="250"/>
      <c r="GOM175" s="250"/>
      <c r="GON175" s="250"/>
      <c r="GOO175" s="250"/>
      <c r="GOP175" s="250"/>
      <c r="GOQ175" s="250"/>
      <c r="GOR175" s="250"/>
      <c r="GOS175" s="250"/>
      <c r="GOT175" s="250"/>
      <c r="GOU175" s="250"/>
      <c r="GOV175" s="250"/>
      <c r="GOW175" s="250"/>
      <c r="GOX175" s="250"/>
      <c r="GOY175" s="250"/>
      <c r="GOZ175" s="250"/>
      <c r="GPA175" s="250"/>
      <c r="GPB175" s="250"/>
      <c r="GPC175" s="250"/>
      <c r="GPD175" s="250"/>
      <c r="GPE175" s="250"/>
      <c r="GPF175" s="250"/>
      <c r="GPG175" s="250"/>
      <c r="GPH175" s="250"/>
      <c r="GPI175" s="250"/>
      <c r="GPJ175" s="250"/>
      <c r="GPK175" s="250"/>
      <c r="GPL175" s="250"/>
      <c r="GPM175" s="250"/>
      <c r="GPN175" s="250"/>
      <c r="GPO175" s="250"/>
      <c r="GPP175" s="250"/>
      <c r="GPQ175" s="250"/>
      <c r="GPR175" s="250"/>
      <c r="GPS175" s="250"/>
      <c r="GPT175" s="250"/>
      <c r="GPU175" s="250"/>
      <c r="GPV175" s="250"/>
      <c r="GPW175" s="250"/>
      <c r="GPX175" s="250"/>
      <c r="GPY175" s="250"/>
      <c r="GPZ175" s="250"/>
      <c r="GQA175" s="250"/>
      <c r="GQB175" s="250"/>
      <c r="GQC175" s="250"/>
      <c r="GQD175" s="250"/>
      <c r="GQE175" s="250"/>
      <c r="GQF175" s="250"/>
      <c r="GQG175" s="250"/>
      <c r="GQH175" s="250"/>
      <c r="GQI175" s="250"/>
      <c r="GQJ175" s="250"/>
      <c r="GQK175" s="250"/>
      <c r="GQL175" s="250"/>
      <c r="GQM175" s="250"/>
      <c r="GQN175" s="250"/>
      <c r="GQO175" s="250"/>
      <c r="GQP175" s="250"/>
      <c r="GQQ175" s="250"/>
      <c r="GQR175" s="250"/>
      <c r="GQS175" s="250"/>
      <c r="GQT175" s="250"/>
      <c r="GQU175" s="250"/>
      <c r="GQV175" s="250"/>
      <c r="GQW175" s="250"/>
      <c r="GQX175" s="250"/>
      <c r="GQY175" s="250"/>
      <c r="GQZ175" s="250"/>
      <c r="GRA175" s="250"/>
      <c r="GRB175" s="250"/>
      <c r="GRC175" s="250"/>
      <c r="GRD175" s="250"/>
      <c r="GRE175" s="250"/>
      <c r="GRF175" s="250"/>
      <c r="GRG175" s="250"/>
      <c r="GRH175" s="250"/>
      <c r="GRI175" s="250"/>
      <c r="GRJ175" s="250"/>
      <c r="GRK175" s="250"/>
      <c r="GRL175" s="250"/>
      <c r="GRM175" s="250"/>
      <c r="GRN175" s="250"/>
      <c r="GRO175" s="250"/>
      <c r="GRP175" s="250"/>
      <c r="GRQ175" s="250"/>
      <c r="GRR175" s="250"/>
      <c r="GRS175" s="250"/>
      <c r="GRT175" s="250"/>
      <c r="GRU175" s="250"/>
      <c r="GRV175" s="250"/>
      <c r="GRW175" s="250"/>
      <c r="GRX175" s="250"/>
      <c r="GRY175" s="250"/>
      <c r="GRZ175" s="250"/>
      <c r="GSA175" s="250"/>
      <c r="GSB175" s="250"/>
      <c r="GSC175" s="250"/>
      <c r="GSD175" s="250"/>
      <c r="GSE175" s="250"/>
      <c r="GSF175" s="250"/>
      <c r="GSG175" s="250"/>
      <c r="GSH175" s="250"/>
      <c r="GSI175" s="250"/>
      <c r="GSJ175" s="250"/>
      <c r="GSK175" s="250"/>
      <c r="GSL175" s="250"/>
      <c r="GSM175" s="250"/>
      <c r="GSN175" s="250"/>
      <c r="GSO175" s="250"/>
      <c r="GSP175" s="250"/>
      <c r="GSQ175" s="250"/>
      <c r="GSR175" s="250"/>
      <c r="GSS175" s="250"/>
      <c r="GST175" s="250"/>
      <c r="GSU175" s="250"/>
      <c r="GSV175" s="250"/>
      <c r="GSW175" s="250"/>
      <c r="GSX175" s="250"/>
      <c r="GSY175" s="250"/>
      <c r="GSZ175" s="250"/>
      <c r="GTA175" s="250"/>
      <c r="GTB175" s="250"/>
      <c r="GTC175" s="250"/>
      <c r="GTD175" s="250"/>
      <c r="GTE175" s="250"/>
      <c r="GTF175" s="250"/>
      <c r="GTG175" s="250"/>
      <c r="GTH175" s="250"/>
      <c r="GTI175" s="250"/>
      <c r="GTJ175" s="250"/>
      <c r="GTK175" s="250"/>
      <c r="GTL175" s="250"/>
      <c r="GTM175" s="250"/>
      <c r="GTN175" s="250"/>
      <c r="GTO175" s="250"/>
      <c r="GTP175" s="250"/>
      <c r="GTQ175" s="250"/>
      <c r="GTR175" s="250"/>
      <c r="GTS175" s="250"/>
      <c r="GTT175" s="250"/>
      <c r="GTU175" s="250"/>
      <c r="GTV175" s="250"/>
      <c r="GTW175" s="250"/>
      <c r="GTX175" s="250"/>
      <c r="GTY175" s="250"/>
      <c r="GTZ175" s="250"/>
      <c r="GUA175" s="250"/>
      <c r="GUB175" s="250"/>
      <c r="GUC175" s="250"/>
      <c r="GUD175" s="250"/>
      <c r="GUE175" s="250"/>
      <c r="GUF175" s="250"/>
      <c r="GUG175" s="250"/>
      <c r="GUH175" s="250"/>
      <c r="GUI175" s="250"/>
      <c r="GUJ175" s="250"/>
      <c r="GUK175" s="250"/>
      <c r="GUL175" s="250"/>
      <c r="GUM175" s="250"/>
      <c r="GUN175" s="250"/>
      <c r="GUO175" s="250"/>
      <c r="GUP175" s="250"/>
      <c r="GUQ175" s="250"/>
      <c r="GUR175" s="250"/>
      <c r="GUS175" s="250"/>
      <c r="GUT175" s="250"/>
      <c r="GUU175" s="250"/>
      <c r="GUV175" s="250"/>
      <c r="GUW175" s="250"/>
      <c r="GUX175" s="250"/>
      <c r="GUY175" s="250"/>
      <c r="GUZ175" s="250"/>
      <c r="GVA175" s="250"/>
      <c r="GVB175" s="250"/>
      <c r="GVC175" s="250"/>
      <c r="GVD175" s="250"/>
      <c r="GVE175" s="250"/>
      <c r="GVF175" s="250"/>
      <c r="GVG175" s="250"/>
      <c r="GVH175" s="250"/>
      <c r="GVI175" s="250"/>
      <c r="GVJ175" s="250"/>
      <c r="GVK175" s="250"/>
      <c r="GVL175" s="250"/>
      <c r="GVM175" s="250"/>
      <c r="GVN175" s="250"/>
      <c r="GVO175" s="250"/>
      <c r="GVP175" s="250"/>
      <c r="GVQ175" s="250"/>
      <c r="GVR175" s="250"/>
      <c r="GVS175" s="250"/>
      <c r="GVT175" s="250"/>
      <c r="GVU175" s="250"/>
      <c r="GVV175" s="250"/>
      <c r="GVW175" s="250"/>
      <c r="GVX175" s="250"/>
      <c r="GVY175" s="250"/>
      <c r="GVZ175" s="250"/>
      <c r="GWA175" s="250"/>
      <c r="GWB175" s="250"/>
      <c r="GWC175" s="250"/>
      <c r="GWD175" s="250"/>
      <c r="GWE175" s="250"/>
      <c r="GWF175" s="250"/>
      <c r="GWG175" s="250"/>
      <c r="GWH175" s="250"/>
      <c r="GWI175" s="250"/>
      <c r="GWJ175" s="250"/>
      <c r="GWK175" s="250"/>
      <c r="GWL175" s="250"/>
      <c r="GWM175" s="250"/>
      <c r="GWN175" s="250"/>
      <c r="GWO175" s="250"/>
      <c r="GWP175" s="250"/>
      <c r="GWQ175" s="250"/>
      <c r="GWR175" s="250"/>
      <c r="GWS175" s="250"/>
      <c r="GWT175" s="250"/>
      <c r="GWU175" s="250"/>
      <c r="GWV175" s="250"/>
      <c r="GWW175" s="250"/>
      <c r="GWX175" s="250"/>
      <c r="GWY175" s="250"/>
      <c r="GWZ175" s="250"/>
      <c r="GXA175" s="250"/>
      <c r="GXB175" s="250"/>
      <c r="GXC175" s="250"/>
      <c r="GXD175" s="250"/>
      <c r="GXE175" s="250"/>
      <c r="GXF175" s="250"/>
      <c r="GXG175" s="250"/>
      <c r="GXH175" s="250"/>
      <c r="GXI175" s="250"/>
      <c r="GXJ175" s="250"/>
      <c r="GXK175" s="250"/>
      <c r="GXL175" s="250"/>
      <c r="GXM175" s="250"/>
      <c r="GXN175" s="250"/>
      <c r="GXO175" s="250"/>
      <c r="GXP175" s="250"/>
      <c r="GXQ175" s="250"/>
      <c r="GXR175" s="250"/>
      <c r="GXS175" s="250"/>
      <c r="GXT175" s="250"/>
      <c r="GXU175" s="250"/>
      <c r="GXV175" s="250"/>
      <c r="GXW175" s="250"/>
      <c r="GXX175" s="250"/>
      <c r="GXY175" s="250"/>
      <c r="GXZ175" s="250"/>
      <c r="GYA175" s="250"/>
      <c r="GYB175" s="250"/>
      <c r="GYC175" s="250"/>
      <c r="GYD175" s="250"/>
      <c r="GYE175" s="250"/>
      <c r="GYF175" s="250"/>
      <c r="GYG175" s="250"/>
      <c r="GYH175" s="250"/>
      <c r="GYI175" s="250"/>
      <c r="GYJ175" s="250"/>
      <c r="GYK175" s="250"/>
      <c r="GYL175" s="250"/>
      <c r="GYM175" s="250"/>
      <c r="GYN175" s="250"/>
      <c r="GYO175" s="250"/>
      <c r="GYP175" s="250"/>
      <c r="GYQ175" s="250"/>
      <c r="GYR175" s="250"/>
      <c r="GYS175" s="250"/>
      <c r="GYT175" s="250"/>
      <c r="GYU175" s="250"/>
      <c r="GYV175" s="250"/>
      <c r="GYW175" s="250"/>
      <c r="GYX175" s="250"/>
      <c r="GYY175" s="250"/>
      <c r="GYZ175" s="250"/>
      <c r="GZA175" s="250"/>
      <c r="GZB175" s="250"/>
      <c r="GZC175" s="250"/>
      <c r="GZD175" s="250"/>
      <c r="GZE175" s="250"/>
      <c r="GZF175" s="250"/>
      <c r="GZG175" s="250"/>
      <c r="GZH175" s="250"/>
      <c r="GZI175" s="250"/>
      <c r="GZJ175" s="250"/>
      <c r="GZK175" s="250"/>
      <c r="GZL175" s="250"/>
      <c r="GZM175" s="250"/>
      <c r="GZN175" s="250"/>
      <c r="GZO175" s="250"/>
      <c r="GZP175" s="250"/>
      <c r="GZQ175" s="250"/>
      <c r="GZR175" s="250"/>
      <c r="GZS175" s="250"/>
      <c r="GZT175" s="250"/>
      <c r="GZU175" s="250"/>
      <c r="GZV175" s="250"/>
      <c r="GZW175" s="250"/>
      <c r="GZX175" s="250"/>
      <c r="GZY175" s="250"/>
      <c r="GZZ175" s="250"/>
      <c r="HAA175" s="250"/>
      <c r="HAB175" s="250"/>
      <c r="HAC175" s="250"/>
      <c r="HAD175" s="250"/>
      <c r="HAE175" s="250"/>
      <c r="HAF175" s="250"/>
      <c r="HAG175" s="250"/>
      <c r="HAH175" s="250"/>
      <c r="HAI175" s="250"/>
      <c r="HAJ175" s="250"/>
      <c r="HAK175" s="250"/>
      <c r="HAL175" s="250"/>
      <c r="HAM175" s="250"/>
      <c r="HAN175" s="250"/>
      <c r="HAO175" s="250"/>
      <c r="HAP175" s="250"/>
      <c r="HAQ175" s="250"/>
      <c r="HAR175" s="250"/>
      <c r="HAS175" s="250"/>
      <c r="HAT175" s="250"/>
      <c r="HAU175" s="250"/>
      <c r="HAV175" s="250"/>
      <c r="HAW175" s="250"/>
      <c r="HAX175" s="250"/>
      <c r="HAY175" s="250"/>
      <c r="HAZ175" s="250"/>
      <c r="HBA175" s="250"/>
      <c r="HBB175" s="250"/>
      <c r="HBC175" s="250"/>
      <c r="HBD175" s="250"/>
      <c r="HBE175" s="250"/>
      <c r="HBF175" s="250"/>
      <c r="HBG175" s="250"/>
      <c r="HBH175" s="250"/>
      <c r="HBI175" s="250"/>
      <c r="HBJ175" s="250"/>
      <c r="HBK175" s="250"/>
      <c r="HBL175" s="250"/>
      <c r="HBM175" s="250"/>
      <c r="HBN175" s="250"/>
      <c r="HBO175" s="250"/>
      <c r="HBP175" s="250"/>
      <c r="HBQ175" s="250"/>
      <c r="HBR175" s="250"/>
      <c r="HBS175" s="250"/>
      <c r="HBT175" s="250"/>
      <c r="HBU175" s="250"/>
      <c r="HBV175" s="250"/>
      <c r="HBW175" s="250"/>
      <c r="HBX175" s="250"/>
      <c r="HBY175" s="250"/>
      <c r="HBZ175" s="250"/>
      <c r="HCA175" s="250"/>
      <c r="HCB175" s="250"/>
      <c r="HCC175" s="250"/>
      <c r="HCD175" s="250"/>
      <c r="HCE175" s="250"/>
      <c r="HCF175" s="250"/>
      <c r="HCG175" s="250"/>
      <c r="HCH175" s="250"/>
      <c r="HCI175" s="250"/>
      <c r="HCJ175" s="250"/>
      <c r="HCK175" s="250"/>
      <c r="HCL175" s="250"/>
      <c r="HCM175" s="250"/>
      <c r="HCN175" s="250"/>
      <c r="HCO175" s="250"/>
      <c r="HCP175" s="250"/>
      <c r="HCQ175" s="250"/>
      <c r="HCR175" s="250"/>
      <c r="HCS175" s="250"/>
      <c r="HCT175" s="250"/>
      <c r="HCU175" s="250"/>
      <c r="HCV175" s="250"/>
      <c r="HCW175" s="250"/>
      <c r="HCX175" s="250"/>
      <c r="HCY175" s="250"/>
      <c r="HCZ175" s="250"/>
      <c r="HDA175" s="250"/>
      <c r="HDB175" s="250"/>
      <c r="HDC175" s="250"/>
      <c r="HDD175" s="250"/>
      <c r="HDE175" s="250"/>
      <c r="HDF175" s="250"/>
      <c r="HDG175" s="250"/>
      <c r="HDH175" s="250"/>
      <c r="HDI175" s="250"/>
      <c r="HDJ175" s="250"/>
      <c r="HDK175" s="250"/>
      <c r="HDL175" s="250"/>
      <c r="HDM175" s="250"/>
      <c r="HDN175" s="250"/>
      <c r="HDO175" s="250"/>
      <c r="HDP175" s="250"/>
      <c r="HDQ175" s="250"/>
      <c r="HDR175" s="250"/>
      <c r="HDS175" s="250"/>
      <c r="HDT175" s="250"/>
      <c r="HDU175" s="250"/>
      <c r="HDV175" s="250"/>
      <c r="HDW175" s="250"/>
      <c r="HDX175" s="250"/>
      <c r="HDY175" s="250"/>
      <c r="HDZ175" s="250"/>
      <c r="HEA175" s="250"/>
      <c r="HEB175" s="250"/>
      <c r="HEC175" s="250"/>
      <c r="HED175" s="250"/>
      <c r="HEE175" s="250"/>
      <c r="HEF175" s="250"/>
      <c r="HEG175" s="250"/>
      <c r="HEH175" s="250"/>
      <c r="HEI175" s="250"/>
      <c r="HEJ175" s="250"/>
      <c r="HEK175" s="250"/>
      <c r="HEL175" s="250"/>
      <c r="HEM175" s="250"/>
      <c r="HEN175" s="250"/>
      <c r="HEO175" s="250"/>
      <c r="HEP175" s="250"/>
      <c r="HEQ175" s="250"/>
      <c r="HER175" s="250"/>
      <c r="HES175" s="250"/>
      <c r="HET175" s="250"/>
      <c r="HEU175" s="250"/>
      <c r="HEV175" s="250"/>
      <c r="HEW175" s="250"/>
      <c r="HEX175" s="250"/>
      <c r="HEY175" s="250"/>
      <c r="HEZ175" s="250"/>
      <c r="HFA175" s="250"/>
      <c r="HFB175" s="250"/>
      <c r="HFC175" s="250"/>
      <c r="HFD175" s="250"/>
      <c r="HFE175" s="250"/>
      <c r="HFF175" s="250"/>
      <c r="HFG175" s="250"/>
      <c r="HFH175" s="250"/>
      <c r="HFI175" s="250"/>
      <c r="HFJ175" s="250"/>
      <c r="HFK175" s="250"/>
      <c r="HFL175" s="250"/>
      <c r="HFM175" s="250"/>
      <c r="HFN175" s="250"/>
      <c r="HFO175" s="250"/>
      <c r="HFP175" s="250"/>
      <c r="HFQ175" s="250"/>
      <c r="HFR175" s="250"/>
      <c r="HFS175" s="250"/>
      <c r="HFT175" s="250"/>
      <c r="HFU175" s="250"/>
      <c r="HFV175" s="250"/>
      <c r="HFW175" s="250"/>
      <c r="HFX175" s="250"/>
      <c r="HFY175" s="250"/>
      <c r="HFZ175" s="250"/>
      <c r="HGA175" s="250"/>
      <c r="HGB175" s="250"/>
      <c r="HGC175" s="250"/>
      <c r="HGD175" s="250"/>
      <c r="HGE175" s="250"/>
      <c r="HGF175" s="250"/>
      <c r="HGG175" s="250"/>
      <c r="HGH175" s="250"/>
      <c r="HGI175" s="250"/>
      <c r="HGJ175" s="250"/>
      <c r="HGK175" s="250"/>
      <c r="HGL175" s="250"/>
      <c r="HGM175" s="250"/>
      <c r="HGN175" s="250"/>
      <c r="HGO175" s="250"/>
      <c r="HGP175" s="250"/>
      <c r="HGQ175" s="250"/>
      <c r="HGR175" s="250"/>
      <c r="HGS175" s="250"/>
      <c r="HGT175" s="250"/>
      <c r="HGU175" s="250"/>
      <c r="HGV175" s="250"/>
      <c r="HGW175" s="250"/>
      <c r="HGX175" s="250"/>
      <c r="HGY175" s="250"/>
      <c r="HGZ175" s="250"/>
      <c r="HHA175" s="250"/>
      <c r="HHB175" s="250"/>
      <c r="HHC175" s="250"/>
      <c r="HHD175" s="250"/>
      <c r="HHE175" s="250"/>
      <c r="HHF175" s="250"/>
      <c r="HHG175" s="250"/>
      <c r="HHH175" s="250"/>
      <c r="HHI175" s="250"/>
      <c r="HHJ175" s="250"/>
      <c r="HHK175" s="250"/>
      <c r="HHL175" s="250"/>
      <c r="HHM175" s="250"/>
      <c r="HHN175" s="250"/>
      <c r="HHO175" s="250"/>
      <c r="HHP175" s="250"/>
      <c r="HHQ175" s="250"/>
      <c r="HHR175" s="250"/>
      <c r="HHS175" s="250"/>
      <c r="HHT175" s="250"/>
      <c r="HHU175" s="250"/>
      <c r="HHV175" s="250"/>
      <c r="HHW175" s="250"/>
      <c r="HHX175" s="250"/>
      <c r="HHY175" s="250"/>
      <c r="HHZ175" s="250"/>
      <c r="HIA175" s="250"/>
      <c r="HIB175" s="250"/>
      <c r="HIC175" s="250"/>
      <c r="HID175" s="250"/>
      <c r="HIE175" s="250"/>
      <c r="HIF175" s="250"/>
      <c r="HIG175" s="250"/>
      <c r="HIH175" s="250"/>
      <c r="HII175" s="250"/>
      <c r="HIJ175" s="250"/>
      <c r="HIK175" s="250"/>
      <c r="HIL175" s="250"/>
      <c r="HIM175" s="250"/>
      <c r="HIN175" s="250"/>
      <c r="HIO175" s="250"/>
      <c r="HIP175" s="250"/>
      <c r="HIQ175" s="250"/>
      <c r="HIR175" s="250"/>
      <c r="HIS175" s="250"/>
      <c r="HIT175" s="250"/>
      <c r="HIU175" s="250"/>
      <c r="HIV175" s="250"/>
      <c r="HIW175" s="250"/>
      <c r="HIX175" s="250"/>
      <c r="HIY175" s="250"/>
      <c r="HIZ175" s="250"/>
      <c r="HJA175" s="250"/>
      <c r="HJB175" s="250"/>
      <c r="HJC175" s="250"/>
      <c r="HJD175" s="250"/>
      <c r="HJE175" s="250"/>
      <c r="HJF175" s="250"/>
      <c r="HJG175" s="250"/>
      <c r="HJH175" s="250"/>
      <c r="HJI175" s="250"/>
      <c r="HJJ175" s="250"/>
      <c r="HJK175" s="250"/>
      <c r="HJL175" s="250"/>
      <c r="HJM175" s="250"/>
      <c r="HJN175" s="250"/>
      <c r="HJO175" s="250"/>
      <c r="HJP175" s="250"/>
      <c r="HJQ175" s="250"/>
      <c r="HJR175" s="250"/>
      <c r="HJS175" s="250"/>
      <c r="HJT175" s="250"/>
      <c r="HJU175" s="250"/>
      <c r="HJV175" s="250"/>
      <c r="HJW175" s="250"/>
      <c r="HJX175" s="250"/>
      <c r="HJY175" s="250"/>
      <c r="HJZ175" s="250"/>
      <c r="HKA175" s="250"/>
      <c r="HKB175" s="250"/>
      <c r="HKC175" s="250"/>
      <c r="HKD175" s="250"/>
      <c r="HKE175" s="250"/>
      <c r="HKF175" s="250"/>
      <c r="HKG175" s="250"/>
      <c r="HKH175" s="250"/>
      <c r="HKI175" s="250"/>
      <c r="HKJ175" s="250"/>
      <c r="HKK175" s="250"/>
      <c r="HKL175" s="250"/>
      <c r="HKM175" s="250"/>
      <c r="HKN175" s="250"/>
      <c r="HKO175" s="250"/>
      <c r="HKP175" s="250"/>
      <c r="HKQ175" s="250"/>
      <c r="HKR175" s="250"/>
      <c r="HKS175" s="250"/>
      <c r="HKT175" s="250"/>
      <c r="HKU175" s="250"/>
      <c r="HKV175" s="250"/>
      <c r="HKW175" s="250"/>
      <c r="HKX175" s="250"/>
      <c r="HKY175" s="250"/>
      <c r="HKZ175" s="250"/>
      <c r="HLA175" s="250"/>
      <c r="HLB175" s="250"/>
      <c r="HLC175" s="250"/>
      <c r="HLD175" s="250"/>
      <c r="HLE175" s="250"/>
      <c r="HLF175" s="250"/>
      <c r="HLG175" s="250"/>
      <c r="HLH175" s="250"/>
      <c r="HLI175" s="250"/>
      <c r="HLJ175" s="250"/>
      <c r="HLK175" s="250"/>
      <c r="HLL175" s="250"/>
      <c r="HLM175" s="250"/>
      <c r="HLN175" s="250"/>
      <c r="HLO175" s="250"/>
      <c r="HLP175" s="250"/>
      <c r="HLQ175" s="250"/>
      <c r="HLR175" s="250"/>
      <c r="HLS175" s="250"/>
      <c r="HLT175" s="250"/>
      <c r="HLU175" s="250"/>
      <c r="HLV175" s="250"/>
      <c r="HLW175" s="250"/>
      <c r="HLX175" s="250"/>
      <c r="HLY175" s="250"/>
      <c r="HLZ175" s="250"/>
      <c r="HMA175" s="250"/>
      <c r="HMB175" s="250"/>
      <c r="HMC175" s="250"/>
      <c r="HMD175" s="250"/>
      <c r="HME175" s="250"/>
      <c r="HMF175" s="250"/>
      <c r="HMG175" s="250"/>
      <c r="HMH175" s="250"/>
      <c r="HMI175" s="250"/>
      <c r="HMJ175" s="250"/>
      <c r="HMK175" s="250"/>
      <c r="HML175" s="250"/>
      <c r="HMM175" s="250"/>
      <c r="HMN175" s="250"/>
      <c r="HMO175" s="250"/>
      <c r="HMP175" s="250"/>
      <c r="HMQ175" s="250"/>
      <c r="HMR175" s="250"/>
      <c r="HMS175" s="250"/>
      <c r="HMT175" s="250"/>
      <c r="HMU175" s="250"/>
      <c r="HMV175" s="250"/>
      <c r="HMW175" s="250"/>
      <c r="HMX175" s="250"/>
      <c r="HMY175" s="250"/>
      <c r="HMZ175" s="250"/>
      <c r="HNA175" s="250"/>
      <c r="HNB175" s="250"/>
      <c r="HNC175" s="250"/>
      <c r="HND175" s="250"/>
      <c r="HNE175" s="250"/>
      <c r="HNF175" s="250"/>
      <c r="HNG175" s="250"/>
      <c r="HNH175" s="250"/>
      <c r="HNI175" s="250"/>
      <c r="HNJ175" s="250"/>
      <c r="HNK175" s="250"/>
      <c r="HNL175" s="250"/>
      <c r="HNM175" s="250"/>
      <c r="HNN175" s="250"/>
      <c r="HNO175" s="250"/>
      <c r="HNP175" s="250"/>
      <c r="HNQ175" s="250"/>
      <c r="HNR175" s="250"/>
      <c r="HNS175" s="250"/>
      <c r="HNT175" s="250"/>
      <c r="HNU175" s="250"/>
      <c r="HNV175" s="250"/>
      <c r="HNW175" s="250"/>
      <c r="HNX175" s="250"/>
      <c r="HNY175" s="250"/>
      <c r="HNZ175" s="250"/>
      <c r="HOA175" s="250"/>
      <c r="HOB175" s="250"/>
      <c r="HOC175" s="250"/>
      <c r="HOD175" s="250"/>
      <c r="HOE175" s="250"/>
      <c r="HOF175" s="250"/>
      <c r="HOG175" s="250"/>
      <c r="HOH175" s="250"/>
      <c r="HOI175" s="250"/>
      <c r="HOJ175" s="250"/>
      <c r="HOK175" s="250"/>
      <c r="HOL175" s="250"/>
      <c r="HOM175" s="250"/>
      <c r="HON175" s="250"/>
      <c r="HOO175" s="250"/>
      <c r="HOP175" s="250"/>
      <c r="HOQ175" s="250"/>
      <c r="HOR175" s="250"/>
      <c r="HOS175" s="250"/>
      <c r="HOT175" s="250"/>
      <c r="HOU175" s="250"/>
      <c r="HOV175" s="250"/>
      <c r="HOW175" s="250"/>
      <c r="HOX175" s="250"/>
      <c r="HOY175" s="250"/>
      <c r="HOZ175" s="250"/>
      <c r="HPA175" s="250"/>
      <c r="HPB175" s="250"/>
      <c r="HPC175" s="250"/>
      <c r="HPD175" s="250"/>
      <c r="HPE175" s="250"/>
      <c r="HPF175" s="250"/>
      <c r="HPG175" s="250"/>
      <c r="HPH175" s="250"/>
      <c r="HPI175" s="250"/>
      <c r="HPJ175" s="250"/>
      <c r="HPK175" s="250"/>
      <c r="HPL175" s="250"/>
      <c r="HPM175" s="250"/>
      <c r="HPN175" s="250"/>
      <c r="HPO175" s="250"/>
      <c r="HPP175" s="250"/>
      <c r="HPQ175" s="250"/>
      <c r="HPR175" s="250"/>
      <c r="HPS175" s="250"/>
      <c r="HPT175" s="250"/>
      <c r="HPU175" s="250"/>
      <c r="HPV175" s="250"/>
      <c r="HPW175" s="250"/>
      <c r="HPX175" s="250"/>
      <c r="HPY175" s="250"/>
      <c r="HPZ175" s="250"/>
      <c r="HQA175" s="250"/>
      <c r="HQB175" s="250"/>
      <c r="HQC175" s="250"/>
      <c r="HQD175" s="250"/>
      <c r="HQE175" s="250"/>
      <c r="HQF175" s="250"/>
      <c r="HQG175" s="250"/>
      <c r="HQH175" s="250"/>
      <c r="HQI175" s="250"/>
      <c r="HQJ175" s="250"/>
      <c r="HQK175" s="250"/>
      <c r="HQL175" s="250"/>
      <c r="HQM175" s="250"/>
      <c r="HQN175" s="250"/>
      <c r="HQO175" s="250"/>
      <c r="HQP175" s="250"/>
      <c r="HQQ175" s="250"/>
      <c r="HQR175" s="250"/>
      <c r="HQS175" s="250"/>
      <c r="HQT175" s="250"/>
      <c r="HQU175" s="250"/>
      <c r="HQV175" s="250"/>
      <c r="HQW175" s="250"/>
      <c r="HQX175" s="250"/>
      <c r="HQY175" s="250"/>
      <c r="HQZ175" s="250"/>
      <c r="HRA175" s="250"/>
      <c r="HRB175" s="250"/>
      <c r="HRC175" s="250"/>
      <c r="HRD175" s="250"/>
      <c r="HRE175" s="250"/>
      <c r="HRF175" s="250"/>
      <c r="HRG175" s="250"/>
      <c r="HRH175" s="250"/>
      <c r="HRI175" s="250"/>
      <c r="HRJ175" s="250"/>
      <c r="HRK175" s="250"/>
      <c r="HRL175" s="250"/>
      <c r="HRM175" s="250"/>
      <c r="HRN175" s="250"/>
      <c r="HRO175" s="250"/>
      <c r="HRP175" s="250"/>
      <c r="HRQ175" s="250"/>
      <c r="HRR175" s="250"/>
      <c r="HRS175" s="250"/>
      <c r="HRT175" s="250"/>
      <c r="HRU175" s="250"/>
      <c r="HRV175" s="250"/>
      <c r="HRW175" s="250"/>
      <c r="HRX175" s="250"/>
      <c r="HRY175" s="250"/>
      <c r="HRZ175" s="250"/>
      <c r="HSA175" s="250"/>
      <c r="HSB175" s="250"/>
      <c r="HSC175" s="250"/>
      <c r="HSD175" s="250"/>
      <c r="HSE175" s="250"/>
      <c r="HSF175" s="250"/>
      <c r="HSG175" s="250"/>
      <c r="HSH175" s="250"/>
      <c r="HSI175" s="250"/>
      <c r="HSJ175" s="250"/>
      <c r="HSK175" s="250"/>
      <c r="HSL175" s="250"/>
      <c r="HSM175" s="250"/>
      <c r="HSN175" s="250"/>
      <c r="HSO175" s="250"/>
      <c r="HSP175" s="250"/>
      <c r="HSQ175" s="250"/>
      <c r="HSR175" s="250"/>
      <c r="HSS175" s="250"/>
      <c r="HST175" s="250"/>
      <c r="HSU175" s="250"/>
      <c r="HSV175" s="250"/>
      <c r="HSW175" s="250"/>
      <c r="HSX175" s="250"/>
      <c r="HSY175" s="250"/>
      <c r="HSZ175" s="250"/>
      <c r="HTA175" s="250"/>
      <c r="HTB175" s="250"/>
      <c r="HTC175" s="250"/>
      <c r="HTD175" s="250"/>
      <c r="HTE175" s="250"/>
      <c r="HTF175" s="250"/>
      <c r="HTG175" s="250"/>
      <c r="HTH175" s="250"/>
      <c r="HTI175" s="250"/>
      <c r="HTJ175" s="250"/>
      <c r="HTK175" s="250"/>
      <c r="HTL175" s="250"/>
      <c r="HTM175" s="250"/>
      <c r="HTN175" s="250"/>
      <c r="HTO175" s="250"/>
      <c r="HTP175" s="250"/>
      <c r="HTQ175" s="250"/>
      <c r="HTR175" s="250"/>
      <c r="HTS175" s="250"/>
      <c r="HTT175" s="250"/>
      <c r="HTU175" s="250"/>
      <c r="HTV175" s="250"/>
      <c r="HTW175" s="250"/>
      <c r="HTX175" s="250"/>
      <c r="HTY175" s="250"/>
      <c r="HTZ175" s="250"/>
      <c r="HUA175" s="250"/>
      <c r="HUB175" s="250"/>
      <c r="HUC175" s="250"/>
      <c r="HUD175" s="250"/>
      <c r="HUE175" s="250"/>
      <c r="HUF175" s="250"/>
      <c r="HUG175" s="250"/>
      <c r="HUH175" s="250"/>
      <c r="HUI175" s="250"/>
      <c r="HUJ175" s="250"/>
      <c r="HUK175" s="250"/>
      <c r="HUL175" s="250"/>
      <c r="HUM175" s="250"/>
      <c r="HUN175" s="250"/>
      <c r="HUO175" s="250"/>
      <c r="HUP175" s="250"/>
      <c r="HUQ175" s="250"/>
      <c r="HUR175" s="250"/>
      <c r="HUS175" s="250"/>
      <c r="HUT175" s="250"/>
      <c r="HUU175" s="250"/>
      <c r="HUV175" s="250"/>
      <c r="HUW175" s="250"/>
      <c r="HUX175" s="250"/>
      <c r="HUY175" s="250"/>
      <c r="HUZ175" s="250"/>
      <c r="HVA175" s="250"/>
      <c r="HVB175" s="250"/>
      <c r="HVC175" s="250"/>
      <c r="HVD175" s="250"/>
      <c r="HVE175" s="250"/>
      <c r="HVF175" s="250"/>
      <c r="HVG175" s="250"/>
      <c r="HVH175" s="250"/>
      <c r="HVI175" s="250"/>
      <c r="HVJ175" s="250"/>
      <c r="HVK175" s="250"/>
      <c r="HVL175" s="250"/>
      <c r="HVM175" s="250"/>
      <c r="HVN175" s="250"/>
      <c r="HVO175" s="250"/>
      <c r="HVP175" s="250"/>
      <c r="HVQ175" s="250"/>
      <c r="HVR175" s="250"/>
      <c r="HVS175" s="250"/>
      <c r="HVT175" s="250"/>
      <c r="HVU175" s="250"/>
      <c r="HVV175" s="250"/>
      <c r="HVW175" s="250"/>
      <c r="HVX175" s="250"/>
      <c r="HVY175" s="250"/>
      <c r="HVZ175" s="250"/>
      <c r="HWA175" s="250"/>
      <c r="HWB175" s="250"/>
      <c r="HWC175" s="250"/>
      <c r="HWD175" s="250"/>
      <c r="HWE175" s="250"/>
      <c r="HWF175" s="250"/>
      <c r="HWG175" s="250"/>
      <c r="HWH175" s="250"/>
      <c r="HWI175" s="250"/>
      <c r="HWJ175" s="250"/>
      <c r="HWK175" s="250"/>
      <c r="HWL175" s="250"/>
      <c r="HWM175" s="250"/>
      <c r="HWN175" s="250"/>
      <c r="HWO175" s="250"/>
      <c r="HWP175" s="250"/>
      <c r="HWQ175" s="250"/>
      <c r="HWR175" s="250"/>
      <c r="HWS175" s="250"/>
      <c r="HWT175" s="250"/>
      <c r="HWU175" s="250"/>
      <c r="HWV175" s="250"/>
      <c r="HWW175" s="250"/>
      <c r="HWX175" s="250"/>
      <c r="HWY175" s="250"/>
      <c r="HWZ175" s="250"/>
      <c r="HXA175" s="250"/>
      <c r="HXB175" s="250"/>
      <c r="HXC175" s="250"/>
      <c r="HXD175" s="250"/>
      <c r="HXE175" s="250"/>
      <c r="HXF175" s="250"/>
      <c r="HXG175" s="250"/>
      <c r="HXH175" s="250"/>
      <c r="HXI175" s="250"/>
      <c r="HXJ175" s="250"/>
      <c r="HXK175" s="250"/>
      <c r="HXL175" s="250"/>
      <c r="HXM175" s="250"/>
      <c r="HXN175" s="250"/>
      <c r="HXO175" s="250"/>
      <c r="HXP175" s="250"/>
      <c r="HXQ175" s="250"/>
      <c r="HXR175" s="250"/>
      <c r="HXS175" s="250"/>
      <c r="HXT175" s="250"/>
      <c r="HXU175" s="250"/>
      <c r="HXV175" s="250"/>
      <c r="HXW175" s="250"/>
      <c r="HXX175" s="250"/>
      <c r="HXY175" s="250"/>
      <c r="HXZ175" s="250"/>
      <c r="HYA175" s="250"/>
      <c r="HYB175" s="250"/>
      <c r="HYC175" s="250"/>
      <c r="HYD175" s="250"/>
      <c r="HYE175" s="250"/>
      <c r="HYF175" s="250"/>
      <c r="HYG175" s="250"/>
      <c r="HYH175" s="250"/>
      <c r="HYI175" s="250"/>
      <c r="HYJ175" s="250"/>
      <c r="HYK175" s="250"/>
      <c r="HYL175" s="250"/>
      <c r="HYM175" s="250"/>
      <c r="HYN175" s="250"/>
      <c r="HYO175" s="250"/>
      <c r="HYP175" s="250"/>
      <c r="HYQ175" s="250"/>
      <c r="HYR175" s="250"/>
      <c r="HYS175" s="250"/>
      <c r="HYT175" s="250"/>
      <c r="HYU175" s="250"/>
      <c r="HYV175" s="250"/>
      <c r="HYW175" s="250"/>
      <c r="HYX175" s="250"/>
      <c r="HYY175" s="250"/>
      <c r="HYZ175" s="250"/>
      <c r="HZA175" s="250"/>
      <c r="HZB175" s="250"/>
      <c r="HZC175" s="250"/>
      <c r="HZD175" s="250"/>
      <c r="HZE175" s="250"/>
      <c r="HZF175" s="250"/>
      <c r="HZG175" s="250"/>
      <c r="HZH175" s="250"/>
      <c r="HZI175" s="250"/>
      <c r="HZJ175" s="250"/>
      <c r="HZK175" s="250"/>
      <c r="HZL175" s="250"/>
      <c r="HZM175" s="250"/>
      <c r="HZN175" s="250"/>
      <c r="HZO175" s="250"/>
      <c r="HZP175" s="250"/>
      <c r="HZQ175" s="250"/>
      <c r="HZR175" s="250"/>
      <c r="HZS175" s="250"/>
      <c r="HZT175" s="250"/>
      <c r="HZU175" s="250"/>
      <c r="HZV175" s="250"/>
      <c r="HZW175" s="250"/>
      <c r="HZX175" s="250"/>
      <c r="HZY175" s="250"/>
      <c r="HZZ175" s="250"/>
      <c r="IAA175" s="250"/>
      <c r="IAB175" s="250"/>
      <c r="IAC175" s="250"/>
      <c r="IAD175" s="250"/>
      <c r="IAE175" s="250"/>
      <c r="IAF175" s="250"/>
      <c r="IAG175" s="250"/>
      <c r="IAH175" s="250"/>
      <c r="IAI175" s="250"/>
      <c r="IAJ175" s="250"/>
      <c r="IAK175" s="250"/>
      <c r="IAL175" s="250"/>
      <c r="IAM175" s="250"/>
      <c r="IAN175" s="250"/>
      <c r="IAO175" s="250"/>
      <c r="IAP175" s="250"/>
      <c r="IAQ175" s="250"/>
      <c r="IAR175" s="250"/>
      <c r="IAS175" s="250"/>
      <c r="IAT175" s="250"/>
      <c r="IAU175" s="250"/>
      <c r="IAV175" s="250"/>
      <c r="IAW175" s="250"/>
      <c r="IAX175" s="250"/>
      <c r="IAY175" s="250"/>
      <c r="IAZ175" s="250"/>
      <c r="IBA175" s="250"/>
      <c r="IBB175" s="250"/>
      <c r="IBC175" s="250"/>
      <c r="IBD175" s="250"/>
      <c r="IBE175" s="250"/>
      <c r="IBF175" s="250"/>
      <c r="IBG175" s="250"/>
      <c r="IBH175" s="250"/>
      <c r="IBI175" s="250"/>
      <c r="IBJ175" s="250"/>
      <c r="IBK175" s="250"/>
      <c r="IBL175" s="250"/>
      <c r="IBM175" s="250"/>
      <c r="IBN175" s="250"/>
      <c r="IBO175" s="250"/>
      <c r="IBP175" s="250"/>
      <c r="IBQ175" s="250"/>
      <c r="IBR175" s="250"/>
      <c r="IBS175" s="250"/>
      <c r="IBT175" s="250"/>
      <c r="IBU175" s="250"/>
      <c r="IBV175" s="250"/>
      <c r="IBW175" s="250"/>
      <c r="IBX175" s="250"/>
      <c r="IBY175" s="250"/>
      <c r="IBZ175" s="250"/>
      <c r="ICA175" s="250"/>
      <c r="ICB175" s="250"/>
      <c r="ICC175" s="250"/>
      <c r="ICD175" s="250"/>
      <c r="ICE175" s="250"/>
      <c r="ICF175" s="250"/>
      <c r="ICG175" s="250"/>
      <c r="ICH175" s="250"/>
      <c r="ICI175" s="250"/>
      <c r="ICJ175" s="250"/>
      <c r="ICK175" s="250"/>
      <c r="ICL175" s="250"/>
      <c r="ICM175" s="250"/>
      <c r="ICN175" s="250"/>
      <c r="ICO175" s="250"/>
      <c r="ICP175" s="250"/>
      <c r="ICQ175" s="250"/>
      <c r="ICR175" s="250"/>
      <c r="ICS175" s="250"/>
      <c r="ICT175" s="250"/>
      <c r="ICU175" s="250"/>
      <c r="ICV175" s="250"/>
      <c r="ICW175" s="250"/>
      <c r="ICX175" s="250"/>
      <c r="ICY175" s="250"/>
      <c r="ICZ175" s="250"/>
      <c r="IDA175" s="250"/>
      <c r="IDB175" s="250"/>
      <c r="IDC175" s="250"/>
      <c r="IDD175" s="250"/>
      <c r="IDE175" s="250"/>
      <c r="IDF175" s="250"/>
      <c r="IDG175" s="250"/>
      <c r="IDH175" s="250"/>
      <c r="IDI175" s="250"/>
      <c r="IDJ175" s="250"/>
      <c r="IDK175" s="250"/>
      <c r="IDL175" s="250"/>
      <c r="IDM175" s="250"/>
      <c r="IDN175" s="250"/>
      <c r="IDO175" s="250"/>
      <c r="IDP175" s="250"/>
      <c r="IDQ175" s="250"/>
      <c r="IDR175" s="250"/>
      <c r="IDS175" s="250"/>
      <c r="IDT175" s="250"/>
      <c r="IDU175" s="250"/>
      <c r="IDV175" s="250"/>
      <c r="IDW175" s="250"/>
      <c r="IDX175" s="250"/>
      <c r="IDY175" s="250"/>
      <c r="IDZ175" s="250"/>
      <c r="IEA175" s="250"/>
      <c r="IEB175" s="250"/>
      <c r="IEC175" s="250"/>
      <c r="IED175" s="250"/>
      <c r="IEE175" s="250"/>
      <c r="IEF175" s="250"/>
      <c r="IEG175" s="250"/>
      <c r="IEH175" s="250"/>
      <c r="IEI175" s="250"/>
      <c r="IEJ175" s="250"/>
      <c r="IEK175" s="250"/>
      <c r="IEL175" s="250"/>
      <c r="IEM175" s="250"/>
      <c r="IEN175" s="250"/>
      <c r="IEO175" s="250"/>
      <c r="IEP175" s="250"/>
      <c r="IEQ175" s="250"/>
      <c r="IER175" s="250"/>
      <c r="IES175" s="250"/>
      <c r="IET175" s="250"/>
      <c r="IEU175" s="250"/>
      <c r="IEV175" s="250"/>
      <c r="IEW175" s="250"/>
      <c r="IEX175" s="250"/>
      <c r="IEY175" s="250"/>
      <c r="IEZ175" s="250"/>
      <c r="IFA175" s="250"/>
      <c r="IFB175" s="250"/>
      <c r="IFC175" s="250"/>
      <c r="IFD175" s="250"/>
      <c r="IFE175" s="250"/>
      <c r="IFF175" s="250"/>
      <c r="IFG175" s="250"/>
      <c r="IFH175" s="250"/>
      <c r="IFI175" s="250"/>
      <c r="IFJ175" s="250"/>
      <c r="IFK175" s="250"/>
      <c r="IFL175" s="250"/>
      <c r="IFM175" s="250"/>
      <c r="IFN175" s="250"/>
      <c r="IFO175" s="250"/>
      <c r="IFP175" s="250"/>
      <c r="IFQ175" s="250"/>
      <c r="IFR175" s="250"/>
      <c r="IFS175" s="250"/>
      <c r="IFT175" s="250"/>
      <c r="IFU175" s="250"/>
      <c r="IFV175" s="250"/>
      <c r="IFW175" s="250"/>
      <c r="IFX175" s="250"/>
      <c r="IFY175" s="250"/>
      <c r="IFZ175" s="250"/>
      <c r="IGA175" s="250"/>
      <c r="IGB175" s="250"/>
      <c r="IGC175" s="250"/>
      <c r="IGD175" s="250"/>
      <c r="IGE175" s="250"/>
      <c r="IGF175" s="250"/>
      <c r="IGG175" s="250"/>
      <c r="IGH175" s="250"/>
      <c r="IGI175" s="250"/>
      <c r="IGJ175" s="250"/>
      <c r="IGK175" s="250"/>
      <c r="IGL175" s="250"/>
      <c r="IGM175" s="250"/>
      <c r="IGN175" s="250"/>
      <c r="IGO175" s="250"/>
      <c r="IGP175" s="250"/>
      <c r="IGQ175" s="250"/>
      <c r="IGR175" s="250"/>
      <c r="IGS175" s="250"/>
      <c r="IGT175" s="250"/>
      <c r="IGU175" s="250"/>
      <c r="IGV175" s="250"/>
      <c r="IGW175" s="250"/>
      <c r="IGX175" s="250"/>
      <c r="IGY175" s="250"/>
      <c r="IGZ175" s="250"/>
      <c r="IHA175" s="250"/>
      <c r="IHB175" s="250"/>
      <c r="IHC175" s="250"/>
      <c r="IHD175" s="250"/>
      <c r="IHE175" s="250"/>
      <c r="IHF175" s="250"/>
      <c r="IHG175" s="250"/>
      <c r="IHH175" s="250"/>
      <c r="IHI175" s="250"/>
      <c r="IHJ175" s="250"/>
      <c r="IHK175" s="250"/>
      <c r="IHL175" s="250"/>
      <c r="IHM175" s="250"/>
      <c r="IHN175" s="250"/>
      <c r="IHO175" s="250"/>
      <c r="IHP175" s="250"/>
      <c r="IHQ175" s="250"/>
      <c r="IHR175" s="250"/>
      <c r="IHS175" s="250"/>
      <c r="IHT175" s="250"/>
      <c r="IHU175" s="250"/>
      <c r="IHV175" s="250"/>
      <c r="IHW175" s="250"/>
      <c r="IHX175" s="250"/>
      <c r="IHY175" s="250"/>
      <c r="IHZ175" s="250"/>
      <c r="IIA175" s="250"/>
      <c r="IIB175" s="250"/>
      <c r="IIC175" s="250"/>
      <c r="IID175" s="250"/>
      <c r="IIE175" s="250"/>
      <c r="IIF175" s="250"/>
      <c r="IIG175" s="250"/>
      <c r="IIH175" s="250"/>
      <c r="III175" s="250"/>
      <c r="IIJ175" s="250"/>
      <c r="IIK175" s="250"/>
      <c r="IIL175" s="250"/>
      <c r="IIM175" s="250"/>
      <c r="IIN175" s="250"/>
      <c r="IIO175" s="250"/>
      <c r="IIP175" s="250"/>
      <c r="IIQ175" s="250"/>
      <c r="IIR175" s="250"/>
      <c r="IIS175" s="250"/>
      <c r="IIT175" s="250"/>
      <c r="IIU175" s="250"/>
      <c r="IIV175" s="250"/>
      <c r="IIW175" s="250"/>
      <c r="IIX175" s="250"/>
      <c r="IIY175" s="250"/>
      <c r="IIZ175" s="250"/>
      <c r="IJA175" s="250"/>
      <c r="IJB175" s="250"/>
      <c r="IJC175" s="250"/>
      <c r="IJD175" s="250"/>
      <c r="IJE175" s="250"/>
      <c r="IJF175" s="250"/>
      <c r="IJG175" s="250"/>
      <c r="IJH175" s="250"/>
      <c r="IJI175" s="250"/>
      <c r="IJJ175" s="250"/>
      <c r="IJK175" s="250"/>
      <c r="IJL175" s="250"/>
      <c r="IJM175" s="250"/>
      <c r="IJN175" s="250"/>
      <c r="IJO175" s="250"/>
      <c r="IJP175" s="250"/>
      <c r="IJQ175" s="250"/>
      <c r="IJR175" s="250"/>
      <c r="IJS175" s="250"/>
      <c r="IJT175" s="250"/>
      <c r="IJU175" s="250"/>
      <c r="IJV175" s="250"/>
      <c r="IJW175" s="250"/>
      <c r="IJX175" s="250"/>
      <c r="IJY175" s="250"/>
      <c r="IJZ175" s="250"/>
      <c r="IKA175" s="250"/>
      <c r="IKB175" s="250"/>
      <c r="IKC175" s="250"/>
      <c r="IKD175" s="250"/>
      <c r="IKE175" s="250"/>
      <c r="IKF175" s="250"/>
      <c r="IKG175" s="250"/>
      <c r="IKH175" s="250"/>
      <c r="IKI175" s="250"/>
      <c r="IKJ175" s="250"/>
      <c r="IKK175" s="250"/>
      <c r="IKL175" s="250"/>
      <c r="IKM175" s="250"/>
      <c r="IKN175" s="250"/>
      <c r="IKO175" s="250"/>
      <c r="IKP175" s="250"/>
      <c r="IKQ175" s="250"/>
      <c r="IKR175" s="250"/>
      <c r="IKS175" s="250"/>
      <c r="IKT175" s="250"/>
      <c r="IKU175" s="250"/>
      <c r="IKV175" s="250"/>
      <c r="IKW175" s="250"/>
      <c r="IKX175" s="250"/>
      <c r="IKY175" s="250"/>
      <c r="IKZ175" s="250"/>
      <c r="ILA175" s="250"/>
      <c r="ILB175" s="250"/>
      <c r="ILC175" s="250"/>
      <c r="ILD175" s="250"/>
      <c r="ILE175" s="250"/>
      <c r="ILF175" s="250"/>
      <c r="ILG175" s="250"/>
      <c r="ILH175" s="250"/>
      <c r="ILI175" s="250"/>
      <c r="ILJ175" s="250"/>
      <c r="ILK175" s="250"/>
      <c r="ILL175" s="250"/>
      <c r="ILM175" s="250"/>
      <c r="ILN175" s="250"/>
      <c r="ILO175" s="250"/>
      <c r="ILP175" s="250"/>
      <c r="ILQ175" s="250"/>
      <c r="ILR175" s="250"/>
      <c r="ILS175" s="250"/>
      <c r="ILT175" s="250"/>
      <c r="ILU175" s="250"/>
      <c r="ILV175" s="250"/>
      <c r="ILW175" s="250"/>
      <c r="ILX175" s="250"/>
      <c r="ILY175" s="250"/>
      <c r="ILZ175" s="250"/>
      <c r="IMA175" s="250"/>
      <c r="IMB175" s="250"/>
      <c r="IMC175" s="250"/>
      <c r="IMD175" s="250"/>
      <c r="IME175" s="250"/>
      <c r="IMF175" s="250"/>
      <c r="IMG175" s="250"/>
      <c r="IMH175" s="250"/>
      <c r="IMI175" s="250"/>
      <c r="IMJ175" s="250"/>
      <c r="IMK175" s="250"/>
      <c r="IML175" s="250"/>
      <c r="IMM175" s="250"/>
      <c r="IMN175" s="250"/>
      <c r="IMO175" s="250"/>
      <c r="IMP175" s="250"/>
      <c r="IMQ175" s="250"/>
      <c r="IMR175" s="250"/>
      <c r="IMS175" s="250"/>
      <c r="IMT175" s="250"/>
      <c r="IMU175" s="250"/>
      <c r="IMV175" s="250"/>
      <c r="IMW175" s="250"/>
      <c r="IMX175" s="250"/>
      <c r="IMY175" s="250"/>
      <c r="IMZ175" s="250"/>
      <c r="INA175" s="250"/>
      <c r="INB175" s="250"/>
      <c r="INC175" s="250"/>
      <c r="IND175" s="250"/>
      <c r="INE175" s="250"/>
      <c r="INF175" s="250"/>
      <c r="ING175" s="250"/>
      <c r="INH175" s="250"/>
      <c r="INI175" s="250"/>
      <c r="INJ175" s="250"/>
      <c r="INK175" s="250"/>
      <c r="INL175" s="250"/>
      <c r="INM175" s="250"/>
      <c r="INN175" s="250"/>
      <c r="INO175" s="250"/>
      <c r="INP175" s="250"/>
      <c r="INQ175" s="250"/>
      <c r="INR175" s="250"/>
      <c r="INS175" s="250"/>
      <c r="INT175" s="250"/>
      <c r="INU175" s="250"/>
      <c r="INV175" s="250"/>
      <c r="INW175" s="250"/>
      <c r="INX175" s="250"/>
      <c r="INY175" s="250"/>
      <c r="INZ175" s="250"/>
      <c r="IOA175" s="250"/>
      <c r="IOB175" s="250"/>
      <c r="IOC175" s="250"/>
      <c r="IOD175" s="250"/>
      <c r="IOE175" s="250"/>
      <c r="IOF175" s="250"/>
      <c r="IOG175" s="250"/>
      <c r="IOH175" s="250"/>
      <c r="IOI175" s="250"/>
      <c r="IOJ175" s="250"/>
      <c r="IOK175" s="250"/>
      <c r="IOL175" s="250"/>
      <c r="IOM175" s="250"/>
      <c r="ION175" s="250"/>
      <c r="IOO175" s="250"/>
      <c r="IOP175" s="250"/>
      <c r="IOQ175" s="250"/>
      <c r="IOR175" s="250"/>
      <c r="IOS175" s="250"/>
      <c r="IOT175" s="250"/>
      <c r="IOU175" s="250"/>
      <c r="IOV175" s="250"/>
      <c r="IOW175" s="250"/>
      <c r="IOX175" s="250"/>
      <c r="IOY175" s="250"/>
      <c r="IOZ175" s="250"/>
      <c r="IPA175" s="250"/>
      <c r="IPB175" s="250"/>
      <c r="IPC175" s="250"/>
      <c r="IPD175" s="250"/>
      <c r="IPE175" s="250"/>
      <c r="IPF175" s="250"/>
      <c r="IPG175" s="250"/>
      <c r="IPH175" s="250"/>
      <c r="IPI175" s="250"/>
      <c r="IPJ175" s="250"/>
      <c r="IPK175" s="250"/>
      <c r="IPL175" s="250"/>
      <c r="IPM175" s="250"/>
      <c r="IPN175" s="250"/>
      <c r="IPO175" s="250"/>
      <c r="IPP175" s="250"/>
      <c r="IPQ175" s="250"/>
      <c r="IPR175" s="250"/>
      <c r="IPS175" s="250"/>
      <c r="IPT175" s="250"/>
      <c r="IPU175" s="250"/>
      <c r="IPV175" s="250"/>
      <c r="IPW175" s="250"/>
      <c r="IPX175" s="250"/>
      <c r="IPY175" s="250"/>
      <c r="IPZ175" s="250"/>
      <c r="IQA175" s="250"/>
      <c r="IQB175" s="250"/>
      <c r="IQC175" s="250"/>
      <c r="IQD175" s="250"/>
      <c r="IQE175" s="250"/>
      <c r="IQF175" s="250"/>
      <c r="IQG175" s="250"/>
      <c r="IQH175" s="250"/>
      <c r="IQI175" s="250"/>
      <c r="IQJ175" s="250"/>
      <c r="IQK175" s="250"/>
      <c r="IQL175" s="250"/>
      <c r="IQM175" s="250"/>
      <c r="IQN175" s="250"/>
      <c r="IQO175" s="250"/>
      <c r="IQP175" s="250"/>
      <c r="IQQ175" s="250"/>
      <c r="IQR175" s="250"/>
      <c r="IQS175" s="250"/>
      <c r="IQT175" s="250"/>
      <c r="IQU175" s="250"/>
      <c r="IQV175" s="250"/>
      <c r="IQW175" s="250"/>
      <c r="IQX175" s="250"/>
      <c r="IQY175" s="250"/>
      <c r="IQZ175" s="250"/>
      <c r="IRA175" s="250"/>
      <c r="IRB175" s="250"/>
      <c r="IRC175" s="250"/>
      <c r="IRD175" s="250"/>
      <c r="IRE175" s="250"/>
      <c r="IRF175" s="250"/>
      <c r="IRG175" s="250"/>
      <c r="IRH175" s="250"/>
      <c r="IRI175" s="250"/>
      <c r="IRJ175" s="250"/>
      <c r="IRK175" s="250"/>
      <c r="IRL175" s="250"/>
      <c r="IRM175" s="250"/>
      <c r="IRN175" s="250"/>
      <c r="IRO175" s="250"/>
      <c r="IRP175" s="250"/>
      <c r="IRQ175" s="250"/>
      <c r="IRR175" s="250"/>
      <c r="IRS175" s="250"/>
      <c r="IRT175" s="250"/>
      <c r="IRU175" s="250"/>
      <c r="IRV175" s="250"/>
      <c r="IRW175" s="250"/>
      <c r="IRX175" s="250"/>
      <c r="IRY175" s="250"/>
      <c r="IRZ175" s="250"/>
      <c r="ISA175" s="250"/>
      <c r="ISB175" s="250"/>
      <c r="ISC175" s="250"/>
      <c r="ISD175" s="250"/>
      <c r="ISE175" s="250"/>
      <c r="ISF175" s="250"/>
      <c r="ISG175" s="250"/>
      <c r="ISH175" s="250"/>
      <c r="ISI175" s="250"/>
      <c r="ISJ175" s="250"/>
      <c r="ISK175" s="250"/>
      <c r="ISL175" s="250"/>
      <c r="ISM175" s="250"/>
      <c r="ISN175" s="250"/>
      <c r="ISO175" s="250"/>
      <c r="ISP175" s="250"/>
      <c r="ISQ175" s="250"/>
      <c r="ISR175" s="250"/>
      <c r="ISS175" s="250"/>
      <c r="IST175" s="250"/>
      <c r="ISU175" s="250"/>
      <c r="ISV175" s="250"/>
      <c r="ISW175" s="250"/>
      <c r="ISX175" s="250"/>
      <c r="ISY175" s="250"/>
      <c r="ISZ175" s="250"/>
      <c r="ITA175" s="250"/>
      <c r="ITB175" s="250"/>
      <c r="ITC175" s="250"/>
      <c r="ITD175" s="250"/>
      <c r="ITE175" s="250"/>
      <c r="ITF175" s="250"/>
      <c r="ITG175" s="250"/>
      <c r="ITH175" s="250"/>
      <c r="ITI175" s="250"/>
      <c r="ITJ175" s="250"/>
      <c r="ITK175" s="250"/>
      <c r="ITL175" s="250"/>
      <c r="ITM175" s="250"/>
      <c r="ITN175" s="250"/>
      <c r="ITO175" s="250"/>
      <c r="ITP175" s="250"/>
      <c r="ITQ175" s="250"/>
      <c r="ITR175" s="250"/>
      <c r="ITS175" s="250"/>
      <c r="ITT175" s="250"/>
      <c r="ITU175" s="250"/>
      <c r="ITV175" s="250"/>
      <c r="ITW175" s="250"/>
      <c r="ITX175" s="250"/>
      <c r="ITY175" s="250"/>
      <c r="ITZ175" s="250"/>
      <c r="IUA175" s="250"/>
      <c r="IUB175" s="250"/>
      <c r="IUC175" s="250"/>
      <c r="IUD175" s="250"/>
      <c r="IUE175" s="250"/>
      <c r="IUF175" s="250"/>
      <c r="IUG175" s="250"/>
      <c r="IUH175" s="250"/>
      <c r="IUI175" s="250"/>
      <c r="IUJ175" s="250"/>
      <c r="IUK175" s="250"/>
      <c r="IUL175" s="250"/>
      <c r="IUM175" s="250"/>
      <c r="IUN175" s="250"/>
      <c r="IUO175" s="250"/>
      <c r="IUP175" s="250"/>
      <c r="IUQ175" s="250"/>
      <c r="IUR175" s="250"/>
      <c r="IUS175" s="250"/>
      <c r="IUT175" s="250"/>
      <c r="IUU175" s="250"/>
      <c r="IUV175" s="250"/>
      <c r="IUW175" s="250"/>
      <c r="IUX175" s="250"/>
      <c r="IUY175" s="250"/>
      <c r="IUZ175" s="250"/>
      <c r="IVA175" s="250"/>
      <c r="IVB175" s="250"/>
      <c r="IVC175" s="250"/>
      <c r="IVD175" s="250"/>
      <c r="IVE175" s="250"/>
      <c r="IVF175" s="250"/>
      <c r="IVG175" s="250"/>
      <c r="IVH175" s="250"/>
      <c r="IVI175" s="250"/>
      <c r="IVJ175" s="250"/>
      <c r="IVK175" s="250"/>
      <c r="IVL175" s="250"/>
      <c r="IVM175" s="250"/>
      <c r="IVN175" s="250"/>
      <c r="IVO175" s="250"/>
      <c r="IVP175" s="250"/>
      <c r="IVQ175" s="250"/>
      <c r="IVR175" s="250"/>
      <c r="IVS175" s="250"/>
      <c r="IVT175" s="250"/>
      <c r="IVU175" s="250"/>
      <c r="IVV175" s="250"/>
      <c r="IVW175" s="250"/>
      <c r="IVX175" s="250"/>
      <c r="IVY175" s="250"/>
      <c r="IVZ175" s="250"/>
      <c r="IWA175" s="250"/>
      <c r="IWB175" s="250"/>
      <c r="IWC175" s="250"/>
      <c r="IWD175" s="250"/>
      <c r="IWE175" s="250"/>
      <c r="IWF175" s="250"/>
      <c r="IWG175" s="250"/>
      <c r="IWH175" s="250"/>
      <c r="IWI175" s="250"/>
      <c r="IWJ175" s="250"/>
      <c r="IWK175" s="250"/>
      <c r="IWL175" s="250"/>
      <c r="IWM175" s="250"/>
      <c r="IWN175" s="250"/>
      <c r="IWO175" s="250"/>
      <c r="IWP175" s="250"/>
      <c r="IWQ175" s="250"/>
      <c r="IWR175" s="250"/>
      <c r="IWS175" s="250"/>
      <c r="IWT175" s="250"/>
      <c r="IWU175" s="250"/>
      <c r="IWV175" s="250"/>
      <c r="IWW175" s="250"/>
      <c r="IWX175" s="250"/>
      <c r="IWY175" s="250"/>
      <c r="IWZ175" s="250"/>
      <c r="IXA175" s="250"/>
      <c r="IXB175" s="250"/>
      <c r="IXC175" s="250"/>
      <c r="IXD175" s="250"/>
      <c r="IXE175" s="250"/>
      <c r="IXF175" s="250"/>
      <c r="IXG175" s="250"/>
      <c r="IXH175" s="250"/>
      <c r="IXI175" s="250"/>
      <c r="IXJ175" s="250"/>
      <c r="IXK175" s="250"/>
      <c r="IXL175" s="250"/>
      <c r="IXM175" s="250"/>
      <c r="IXN175" s="250"/>
      <c r="IXO175" s="250"/>
      <c r="IXP175" s="250"/>
      <c r="IXQ175" s="250"/>
      <c r="IXR175" s="250"/>
      <c r="IXS175" s="250"/>
      <c r="IXT175" s="250"/>
      <c r="IXU175" s="250"/>
      <c r="IXV175" s="250"/>
      <c r="IXW175" s="250"/>
      <c r="IXX175" s="250"/>
      <c r="IXY175" s="250"/>
      <c r="IXZ175" s="250"/>
      <c r="IYA175" s="250"/>
      <c r="IYB175" s="250"/>
      <c r="IYC175" s="250"/>
      <c r="IYD175" s="250"/>
      <c r="IYE175" s="250"/>
      <c r="IYF175" s="250"/>
      <c r="IYG175" s="250"/>
      <c r="IYH175" s="250"/>
      <c r="IYI175" s="250"/>
      <c r="IYJ175" s="250"/>
      <c r="IYK175" s="250"/>
      <c r="IYL175" s="250"/>
      <c r="IYM175" s="250"/>
      <c r="IYN175" s="250"/>
      <c r="IYO175" s="250"/>
      <c r="IYP175" s="250"/>
      <c r="IYQ175" s="250"/>
      <c r="IYR175" s="250"/>
      <c r="IYS175" s="250"/>
      <c r="IYT175" s="250"/>
      <c r="IYU175" s="250"/>
      <c r="IYV175" s="250"/>
      <c r="IYW175" s="250"/>
      <c r="IYX175" s="250"/>
      <c r="IYY175" s="250"/>
      <c r="IYZ175" s="250"/>
      <c r="IZA175" s="250"/>
      <c r="IZB175" s="250"/>
      <c r="IZC175" s="250"/>
      <c r="IZD175" s="250"/>
      <c r="IZE175" s="250"/>
      <c r="IZF175" s="250"/>
      <c r="IZG175" s="250"/>
      <c r="IZH175" s="250"/>
      <c r="IZI175" s="250"/>
      <c r="IZJ175" s="250"/>
      <c r="IZK175" s="250"/>
      <c r="IZL175" s="250"/>
      <c r="IZM175" s="250"/>
      <c r="IZN175" s="250"/>
      <c r="IZO175" s="250"/>
      <c r="IZP175" s="250"/>
      <c r="IZQ175" s="250"/>
      <c r="IZR175" s="250"/>
      <c r="IZS175" s="250"/>
      <c r="IZT175" s="250"/>
      <c r="IZU175" s="250"/>
      <c r="IZV175" s="250"/>
      <c r="IZW175" s="250"/>
      <c r="IZX175" s="250"/>
      <c r="IZY175" s="250"/>
      <c r="IZZ175" s="250"/>
      <c r="JAA175" s="250"/>
      <c r="JAB175" s="250"/>
      <c r="JAC175" s="250"/>
      <c r="JAD175" s="250"/>
      <c r="JAE175" s="250"/>
      <c r="JAF175" s="250"/>
      <c r="JAG175" s="250"/>
      <c r="JAH175" s="250"/>
      <c r="JAI175" s="250"/>
      <c r="JAJ175" s="250"/>
      <c r="JAK175" s="250"/>
      <c r="JAL175" s="250"/>
      <c r="JAM175" s="250"/>
      <c r="JAN175" s="250"/>
      <c r="JAO175" s="250"/>
      <c r="JAP175" s="250"/>
      <c r="JAQ175" s="250"/>
      <c r="JAR175" s="250"/>
      <c r="JAS175" s="250"/>
      <c r="JAT175" s="250"/>
      <c r="JAU175" s="250"/>
      <c r="JAV175" s="250"/>
      <c r="JAW175" s="250"/>
      <c r="JAX175" s="250"/>
      <c r="JAY175" s="250"/>
      <c r="JAZ175" s="250"/>
      <c r="JBA175" s="250"/>
      <c r="JBB175" s="250"/>
      <c r="JBC175" s="250"/>
      <c r="JBD175" s="250"/>
      <c r="JBE175" s="250"/>
      <c r="JBF175" s="250"/>
      <c r="JBG175" s="250"/>
      <c r="JBH175" s="250"/>
      <c r="JBI175" s="250"/>
      <c r="JBJ175" s="250"/>
      <c r="JBK175" s="250"/>
      <c r="JBL175" s="250"/>
      <c r="JBM175" s="250"/>
      <c r="JBN175" s="250"/>
      <c r="JBO175" s="250"/>
      <c r="JBP175" s="250"/>
      <c r="JBQ175" s="250"/>
      <c r="JBR175" s="250"/>
      <c r="JBS175" s="250"/>
      <c r="JBT175" s="250"/>
      <c r="JBU175" s="250"/>
      <c r="JBV175" s="250"/>
      <c r="JBW175" s="250"/>
      <c r="JBX175" s="250"/>
      <c r="JBY175" s="250"/>
      <c r="JBZ175" s="250"/>
      <c r="JCA175" s="250"/>
      <c r="JCB175" s="250"/>
      <c r="JCC175" s="250"/>
      <c r="JCD175" s="250"/>
      <c r="JCE175" s="250"/>
      <c r="JCF175" s="250"/>
      <c r="JCG175" s="250"/>
      <c r="JCH175" s="250"/>
      <c r="JCI175" s="250"/>
      <c r="JCJ175" s="250"/>
      <c r="JCK175" s="250"/>
      <c r="JCL175" s="250"/>
      <c r="JCM175" s="250"/>
      <c r="JCN175" s="250"/>
      <c r="JCO175" s="250"/>
      <c r="JCP175" s="250"/>
      <c r="JCQ175" s="250"/>
      <c r="JCR175" s="250"/>
      <c r="JCS175" s="250"/>
      <c r="JCT175" s="250"/>
      <c r="JCU175" s="250"/>
      <c r="JCV175" s="250"/>
      <c r="JCW175" s="250"/>
      <c r="JCX175" s="250"/>
      <c r="JCY175" s="250"/>
      <c r="JCZ175" s="250"/>
      <c r="JDA175" s="250"/>
      <c r="JDB175" s="250"/>
      <c r="JDC175" s="250"/>
      <c r="JDD175" s="250"/>
      <c r="JDE175" s="250"/>
      <c r="JDF175" s="250"/>
      <c r="JDG175" s="250"/>
      <c r="JDH175" s="250"/>
      <c r="JDI175" s="250"/>
      <c r="JDJ175" s="250"/>
      <c r="JDK175" s="250"/>
      <c r="JDL175" s="250"/>
      <c r="JDM175" s="250"/>
      <c r="JDN175" s="250"/>
      <c r="JDO175" s="250"/>
      <c r="JDP175" s="250"/>
      <c r="JDQ175" s="250"/>
      <c r="JDR175" s="250"/>
      <c r="JDS175" s="250"/>
      <c r="JDT175" s="250"/>
      <c r="JDU175" s="250"/>
      <c r="JDV175" s="250"/>
      <c r="JDW175" s="250"/>
      <c r="JDX175" s="250"/>
      <c r="JDY175" s="250"/>
      <c r="JDZ175" s="250"/>
      <c r="JEA175" s="250"/>
      <c r="JEB175" s="250"/>
      <c r="JEC175" s="250"/>
      <c r="JED175" s="250"/>
      <c r="JEE175" s="250"/>
      <c r="JEF175" s="250"/>
      <c r="JEG175" s="250"/>
      <c r="JEH175" s="250"/>
      <c r="JEI175" s="250"/>
      <c r="JEJ175" s="250"/>
      <c r="JEK175" s="250"/>
      <c r="JEL175" s="250"/>
      <c r="JEM175" s="250"/>
      <c r="JEN175" s="250"/>
      <c r="JEO175" s="250"/>
      <c r="JEP175" s="250"/>
      <c r="JEQ175" s="250"/>
      <c r="JER175" s="250"/>
      <c r="JES175" s="250"/>
      <c r="JET175" s="250"/>
      <c r="JEU175" s="250"/>
      <c r="JEV175" s="250"/>
      <c r="JEW175" s="250"/>
      <c r="JEX175" s="250"/>
      <c r="JEY175" s="250"/>
      <c r="JEZ175" s="250"/>
      <c r="JFA175" s="250"/>
      <c r="JFB175" s="250"/>
      <c r="JFC175" s="250"/>
      <c r="JFD175" s="250"/>
      <c r="JFE175" s="250"/>
      <c r="JFF175" s="250"/>
      <c r="JFG175" s="250"/>
      <c r="JFH175" s="250"/>
      <c r="JFI175" s="250"/>
      <c r="JFJ175" s="250"/>
      <c r="JFK175" s="250"/>
      <c r="JFL175" s="250"/>
      <c r="JFM175" s="250"/>
      <c r="JFN175" s="250"/>
      <c r="JFO175" s="250"/>
      <c r="JFP175" s="250"/>
      <c r="JFQ175" s="250"/>
      <c r="JFR175" s="250"/>
      <c r="JFS175" s="250"/>
      <c r="JFT175" s="250"/>
      <c r="JFU175" s="250"/>
      <c r="JFV175" s="250"/>
      <c r="JFW175" s="250"/>
      <c r="JFX175" s="250"/>
      <c r="JFY175" s="250"/>
      <c r="JFZ175" s="250"/>
      <c r="JGA175" s="250"/>
      <c r="JGB175" s="250"/>
      <c r="JGC175" s="250"/>
      <c r="JGD175" s="250"/>
      <c r="JGE175" s="250"/>
      <c r="JGF175" s="250"/>
      <c r="JGG175" s="250"/>
      <c r="JGH175" s="250"/>
      <c r="JGI175" s="250"/>
      <c r="JGJ175" s="250"/>
      <c r="JGK175" s="250"/>
      <c r="JGL175" s="250"/>
      <c r="JGM175" s="250"/>
      <c r="JGN175" s="250"/>
      <c r="JGO175" s="250"/>
      <c r="JGP175" s="250"/>
      <c r="JGQ175" s="250"/>
      <c r="JGR175" s="250"/>
      <c r="JGS175" s="250"/>
      <c r="JGT175" s="250"/>
      <c r="JGU175" s="250"/>
      <c r="JGV175" s="250"/>
      <c r="JGW175" s="250"/>
      <c r="JGX175" s="250"/>
      <c r="JGY175" s="250"/>
      <c r="JGZ175" s="250"/>
      <c r="JHA175" s="250"/>
      <c r="JHB175" s="250"/>
      <c r="JHC175" s="250"/>
      <c r="JHD175" s="250"/>
      <c r="JHE175" s="250"/>
      <c r="JHF175" s="250"/>
      <c r="JHG175" s="250"/>
      <c r="JHH175" s="250"/>
      <c r="JHI175" s="250"/>
      <c r="JHJ175" s="250"/>
      <c r="JHK175" s="250"/>
      <c r="JHL175" s="250"/>
      <c r="JHM175" s="250"/>
      <c r="JHN175" s="250"/>
      <c r="JHO175" s="250"/>
      <c r="JHP175" s="250"/>
      <c r="JHQ175" s="250"/>
      <c r="JHR175" s="250"/>
      <c r="JHS175" s="250"/>
      <c r="JHT175" s="250"/>
      <c r="JHU175" s="250"/>
      <c r="JHV175" s="250"/>
      <c r="JHW175" s="250"/>
      <c r="JHX175" s="250"/>
      <c r="JHY175" s="250"/>
      <c r="JHZ175" s="250"/>
      <c r="JIA175" s="250"/>
      <c r="JIB175" s="250"/>
      <c r="JIC175" s="250"/>
      <c r="JID175" s="250"/>
      <c r="JIE175" s="250"/>
      <c r="JIF175" s="250"/>
      <c r="JIG175" s="250"/>
      <c r="JIH175" s="250"/>
      <c r="JII175" s="250"/>
      <c r="JIJ175" s="250"/>
      <c r="JIK175" s="250"/>
      <c r="JIL175" s="250"/>
      <c r="JIM175" s="250"/>
      <c r="JIN175" s="250"/>
      <c r="JIO175" s="250"/>
      <c r="JIP175" s="250"/>
      <c r="JIQ175" s="250"/>
      <c r="JIR175" s="250"/>
      <c r="JIS175" s="250"/>
      <c r="JIT175" s="250"/>
      <c r="JIU175" s="250"/>
      <c r="JIV175" s="250"/>
      <c r="JIW175" s="250"/>
      <c r="JIX175" s="250"/>
      <c r="JIY175" s="250"/>
      <c r="JIZ175" s="250"/>
      <c r="JJA175" s="250"/>
      <c r="JJB175" s="250"/>
      <c r="JJC175" s="250"/>
      <c r="JJD175" s="250"/>
      <c r="JJE175" s="250"/>
      <c r="JJF175" s="250"/>
      <c r="JJG175" s="250"/>
      <c r="JJH175" s="250"/>
      <c r="JJI175" s="250"/>
      <c r="JJJ175" s="250"/>
      <c r="JJK175" s="250"/>
      <c r="JJL175" s="250"/>
      <c r="JJM175" s="250"/>
      <c r="JJN175" s="250"/>
      <c r="JJO175" s="250"/>
      <c r="JJP175" s="250"/>
      <c r="JJQ175" s="250"/>
      <c r="JJR175" s="250"/>
      <c r="JJS175" s="250"/>
      <c r="JJT175" s="250"/>
      <c r="JJU175" s="250"/>
      <c r="JJV175" s="250"/>
      <c r="JJW175" s="250"/>
      <c r="JJX175" s="250"/>
      <c r="JJY175" s="250"/>
      <c r="JJZ175" s="250"/>
      <c r="JKA175" s="250"/>
      <c r="JKB175" s="250"/>
      <c r="JKC175" s="250"/>
      <c r="JKD175" s="250"/>
      <c r="JKE175" s="250"/>
      <c r="JKF175" s="250"/>
      <c r="JKG175" s="250"/>
      <c r="JKH175" s="250"/>
      <c r="JKI175" s="250"/>
      <c r="JKJ175" s="250"/>
      <c r="JKK175" s="250"/>
      <c r="JKL175" s="250"/>
      <c r="JKM175" s="250"/>
      <c r="JKN175" s="250"/>
      <c r="JKO175" s="250"/>
      <c r="JKP175" s="250"/>
      <c r="JKQ175" s="250"/>
      <c r="JKR175" s="250"/>
      <c r="JKS175" s="250"/>
      <c r="JKT175" s="250"/>
      <c r="JKU175" s="250"/>
      <c r="JKV175" s="250"/>
      <c r="JKW175" s="250"/>
      <c r="JKX175" s="250"/>
      <c r="JKY175" s="250"/>
      <c r="JKZ175" s="250"/>
      <c r="JLA175" s="250"/>
      <c r="JLB175" s="250"/>
      <c r="JLC175" s="250"/>
      <c r="JLD175" s="250"/>
      <c r="JLE175" s="250"/>
      <c r="JLF175" s="250"/>
      <c r="JLG175" s="250"/>
      <c r="JLH175" s="250"/>
      <c r="JLI175" s="250"/>
      <c r="JLJ175" s="250"/>
      <c r="JLK175" s="250"/>
      <c r="JLL175" s="250"/>
      <c r="JLM175" s="250"/>
      <c r="JLN175" s="250"/>
      <c r="JLO175" s="250"/>
      <c r="JLP175" s="250"/>
      <c r="JLQ175" s="250"/>
      <c r="JLR175" s="250"/>
      <c r="JLS175" s="250"/>
      <c r="JLT175" s="250"/>
      <c r="JLU175" s="250"/>
      <c r="JLV175" s="250"/>
      <c r="JLW175" s="250"/>
      <c r="JLX175" s="250"/>
      <c r="JLY175" s="250"/>
      <c r="JLZ175" s="250"/>
      <c r="JMA175" s="250"/>
      <c r="JMB175" s="250"/>
      <c r="JMC175" s="250"/>
      <c r="JMD175" s="250"/>
      <c r="JME175" s="250"/>
      <c r="JMF175" s="250"/>
      <c r="JMG175" s="250"/>
      <c r="JMH175" s="250"/>
      <c r="JMI175" s="250"/>
      <c r="JMJ175" s="250"/>
      <c r="JMK175" s="250"/>
      <c r="JML175" s="250"/>
      <c r="JMM175" s="250"/>
      <c r="JMN175" s="250"/>
      <c r="JMO175" s="250"/>
      <c r="JMP175" s="250"/>
      <c r="JMQ175" s="250"/>
      <c r="JMR175" s="250"/>
      <c r="JMS175" s="250"/>
      <c r="JMT175" s="250"/>
      <c r="JMU175" s="250"/>
      <c r="JMV175" s="250"/>
      <c r="JMW175" s="250"/>
      <c r="JMX175" s="250"/>
      <c r="JMY175" s="250"/>
      <c r="JMZ175" s="250"/>
      <c r="JNA175" s="250"/>
      <c r="JNB175" s="250"/>
      <c r="JNC175" s="250"/>
      <c r="JND175" s="250"/>
      <c r="JNE175" s="250"/>
      <c r="JNF175" s="250"/>
      <c r="JNG175" s="250"/>
      <c r="JNH175" s="250"/>
      <c r="JNI175" s="250"/>
      <c r="JNJ175" s="250"/>
      <c r="JNK175" s="250"/>
      <c r="JNL175" s="250"/>
      <c r="JNM175" s="250"/>
      <c r="JNN175" s="250"/>
      <c r="JNO175" s="250"/>
      <c r="JNP175" s="250"/>
      <c r="JNQ175" s="250"/>
      <c r="JNR175" s="250"/>
      <c r="JNS175" s="250"/>
      <c r="JNT175" s="250"/>
      <c r="JNU175" s="250"/>
      <c r="JNV175" s="250"/>
      <c r="JNW175" s="250"/>
      <c r="JNX175" s="250"/>
      <c r="JNY175" s="250"/>
      <c r="JNZ175" s="250"/>
      <c r="JOA175" s="250"/>
      <c r="JOB175" s="250"/>
      <c r="JOC175" s="250"/>
      <c r="JOD175" s="250"/>
      <c r="JOE175" s="250"/>
      <c r="JOF175" s="250"/>
      <c r="JOG175" s="250"/>
      <c r="JOH175" s="250"/>
      <c r="JOI175" s="250"/>
      <c r="JOJ175" s="250"/>
      <c r="JOK175" s="250"/>
      <c r="JOL175" s="250"/>
      <c r="JOM175" s="250"/>
      <c r="JON175" s="250"/>
      <c r="JOO175" s="250"/>
      <c r="JOP175" s="250"/>
      <c r="JOQ175" s="250"/>
      <c r="JOR175" s="250"/>
      <c r="JOS175" s="250"/>
      <c r="JOT175" s="250"/>
      <c r="JOU175" s="250"/>
      <c r="JOV175" s="250"/>
      <c r="JOW175" s="250"/>
      <c r="JOX175" s="250"/>
      <c r="JOY175" s="250"/>
      <c r="JOZ175" s="250"/>
      <c r="JPA175" s="250"/>
      <c r="JPB175" s="250"/>
      <c r="JPC175" s="250"/>
      <c r="JPD175" s="250"/>
      <c r="JPE175" s="250"/>
      <c r="JPF175" s="250"/>
      <c r="JPG175" s="250"/>
      <c r="JPH175" s="250"/>
      <c r="JPI175" s="250"/>
      <c r="JPJ175" s="250"/>
      <c r="JPK175" s="250"/>
      <c r="JPL175" s="250"/>
      <c r="JPM175" s="250"/>
      <c r="JPN175" s="250"/>
      <c r="JPO175" s="250"/>
      <c r="JPP175" s="250"/>
      <c r="JPQ175" s="250"/>
      <c r="JPR175" s="250"/>
      <c r="JPS175" s="250"/>
      <c r="JPT175" s="250"/>
      <c r="JPU175" s="250"/>
      <c r="JPV175" s="250"/>
      <c r="JPW175" s="250"/>
      <c r="JPX175" s="250"/>
      <c r="JPY175" s="250"/>
      <c r="JPZ175" s="250"/>
      <c r="JQA175" s="250"/>
      <c r="JQB175" s="250"/>
      <c r="JQC175" s="250"/>
      <c r="JQD175" s="250"/>
      <c r="JQE175" s="250"/>
      <c r="JQF175" s="250"/>
      <c r="JQG175" s="250"/>
      <c r="JQH175" s="250"/>
      <c r="JQI175" s="250"/>
      <c r="JQJ175" s="250"/>
      <c r="JQK175" s="250"/>
      <c r="JQL175" s="250"/>
      <c r="JQM175" s="250"/>
      <c r="JQN175" s="250"/>
      <c r="JQO175" s="250"/>
      <c r="JQP175" s="250"/>
      <c r="JQQ175" s="250"/>
      <c r="JQR175" s="250"/>
      <c r="JQS175" s="250"/>
      <c r="JQT175" s="250"/>
      <c r="JQU175" s="250"/>
      <c r="JQV175" s="250"/>
      <c r="JQW175" s="250"/>
      <c r="JQX175" s="250"/>
      <c r="JQY175" s="250"/>
      <c r="JQZ175" s="250"/>
      <c r="JRA175" s="250"/>
      <c r="JRB175" s="250"/>
      <c r="JRC175" s="250"/>
      <c r="JRD175" s="250"/>
      <c r="JRE175" s="250"/>
      <c r="JRF175" s="250"/>
      <c r="JRG175" s="250"/>
      <c r="JRH175" s="250"/>
      <c r="JRI175" s="250"/>
      <c r="JRJ175" s="250"/>
      <c r="JRK175" s="250"/>
      <c r="JRL175" s="250"/>
      <c r="JRM175" s="250"/>
      <c r="JRN175" s="250"/>
      <c r="JRO175" s="250"/>
      <c r="JRP175" s="250"/>
      <c r="JRQ175" s="250"/>
      <c r="JRR175" s="250"/>
      <c r="JRS175" s="250"/>
      <c r="JRT175" s="250"/>
      <c r="JRU175" s="250"/>
      <c r="JRV175" s="250"/>
      <c r="JRW175" s="250"/>
      <c r="JRX175" s="250"/>
      <c r="JRY175" s="250"/>
      <c r="JRZ175" s="250"/>
      <c r="JSA175" s="250"/>
      <c r="JSB175" s="250"/>
      <c r="JSC175" s="250"/>
      <c r="JSD175" s="250"/>
      <c r="JSE175" s="250"/>
      <c r="JSF175" s="250"/>
      <c r="JSG175" s="250"/>
      <c r="JSH175" s="250"/>
      <c r="JSI175" s="250"/>
      <c r="JSJ175" s="250"/>
      <c r="JSK175" s="250"/>
      <c r="JSL175" s="250"/>
      <c r="JSM175" s="250"/>
      <c r="JSN175" s="250"/>
      <c r="JSO175" s="250"/>
      <c r="JSP175" s="250"/>
      <c r="JSQ175" s="250"/>
      <c r="JSR175" s="250"/>
      <c r="JSS175" s="250"/>
      <c r="JST175" s="250"/>
      <c r="JSU175" s="250"/>
      <c r="JSV175" s="250"/>
      <c r="JSW175" s="250"/>
      <c r="JSX175" s="250"/>
      <c r="JSY175" s="250"/>
      <c r="JSZ175" s="250"/>
      <c r="JTA175" s="250"/>
      <c r="JTB175" s="250"/>
      <c r="JTC175" s="250"/>
      <c r="JTD175" s="250"/>
      <c r="JTE175" s="250"/>
      <c r="JTF175" s="250"/>
      <c r="JTG175" s="250"/>
      <c r="JTH175" s="250"/>
      <c r="JTI175" s="250"/>
      <c r="JTJ175" s="250"/>
      <c r="JTK175" s="250"/>
      <c r="JTL175" s="250"/>
      <c r="JTM175" s="250"/>
      <c r="JTN175" s="250"/>
      <c r="JTO175" s="250"/>
      <c r="JTP175" s="250"/>
      <c r="JTQ175" s="250"/>
      <c r="JTR175" s="250"/>
      <c r="JTS175" s="250"/>
      <c r="JTT175" s="250"/>
      <c r="JTU175" s="250"/>
      <c r="JTV175" s="250"/>
      <c r="JTW175" s="250"/>
      <c r="JTX175" s="250"/>
      <c r="JTY175" s="250"/>
      <c r="JTZ175" s="250"/>
      <c r="JUA175" s="250"/>
      <c r="JUB175" s="250"/>
      <c r="JUC175" s="250"/>
      <c r="JUD175" s="250"/>
      <c r="JUE175" s="250"/>
      <c r="JUF175" s="250"/>
      <c r="JUG175" s="250"/>
      <c r="JUH175" s="250"/>
      <c r="JUI175" s="250"/>
      <c r="JUJ175" s="250"/>
      <c r="JUK175" s="250"/>
      <c r="JUL175" s="250"/>
      <c r="JUM175" s="250"/>
      <c r="JUN175" s="250"/>
      <c r="JUO175" s="250"/>
      <c r="JUP175" s="250"/>
      <c r="JUQ175" s="250"/>
      <c r="JUR175" s="250"/>
      <c r="JUS175" s="250"/>
      <c r="JUT175" s="250"/>
      <c r="JUU175" s="250"/>
      <c r="JUV175" s="250"/>
      <c r="JUW175" s="250"/>
      <c r="JUX175" s="250"/>
      <c r="JUY175" s="250"/>
      <c r="JUZ175" s="250"/>
      <c r="JVA175" s="250"/>
      <c r="JVB175" s="250"/>
      <c r="JVC175" s="250"/>
      <c r="JVD175" s="250"/>
      <c r="JVE175" s="250"/>
      <c r="JVF175" s="250"/>
      <c r="JVG175" s="250"/>
      <c r="JVH175" s="250"/>
      <c r="JVI175" s="250"/>
      <c r="JVJ175" s="250"/>
      <c r="JVK175" s="250"/>
      <c r="JVL175" s="250"/>
      <c r="JVM175" s="250"/>
      <c r="JVN175" s="250"/>
      <c r="JVO175" s="250"/>
      <c r="JVP175" s="250"/>
      <c r="JVQ175" s="250"/>
      <c r="JVR175" s="250"/>
      <c r="JVS175" s="250"/>
      <c r="JVT175" s="250"/>
      <c r="JVU175" s="250"/>
      <c r="JVV175" s="250"/>
      <c r="JVW175" s="250"/>
      <c r="JVX175" s="250"/>
      <c r="JVY175" s="250"/>
      <c r="JVZ175" s="250"/>
      <c r="JWA175" s="250"/>
      <c r="JWB175" s="250"/>
      <c r="JWC175" s="250"/>
      <c r="JWD175" s="250"/>
      <c r="JWE175" s="250"/>
      <c r="JWF175" s="250"/>
      <c r="JWG175" s="250"/>
      <c r="JWH175" s="250"/>
      <c r="JWI175" s="250"/>
      <c r="JWJ175" s="250"/>
      <c r="JWK175" s="250"/>
      <c r="JWL175" s="250"/>
      <c r="JWM175" s="250"/>
      <c r="JWN175" s="250"/>
      <c r="JWO175" s="250"/>
      <c r="JWP175" s="250"/>
      <c r="JWQ175" s="250"/>
      <c r="JWR175" s="250"/>
      <c r="JWS175" s="250"/>
      <c r="JWT175" s="250"/>
      <c r="JWU175" s="250"/>
      <c r="JWV175" s="250"/>
      <c r="JWW175" s="250"/>
      <c r="JWX175" s="250"/>
      <c r="JWY175" s="250"/>
      <c r="JWZ175" s="250"/>
      <c r="JXA175" s="250"/>
      <c r="JXB175" s="250"/>
      <c r="JXC175" s="250"/>
      <c r="JXD175" s="250"/>
      <c r="JXE175" s="250"/>
      <c r="JXF175" s="250"/>
      <c r="JXG175" s="250"/>
      <c r="JXH175" s="250"/>
      <c r="JXI175" s="250"/>
      <c r="JXJ175" s="250"/>
      <c r="JXK175" s="250"/>
      <c r="JXL175" s="250"/>
      <c r="JXM175" s="250"/>
      <c r="JXN175" s="250"/>
      <c r="JXO175" s="250"/>
      <c r="JXP175" s="250"/>
      <c r="JXQ175" s="250"/>
      <c r="JXR175" s="250"/>
      <c r="JXS175" s="250"/>
      <c r="JXT175" s="250"/>
      <c r="JXU175" s="250"/>
      <c r="JXV175" s="250"/>
      <c r="JXW175" s="250"/>
      <c r="JXX175" s="250"/>
      <c r="JXY175" s="250"/>
      <c r="JXZ175" s="250"/>
      <c r="JYA175" s="250"/>
      <c r="JYB175" s="250"/>
      <c r="JYC175" s="250"/>
      <c r="JYD175" s="250"/>
      <c r="JYE175" s="250"/>
      <c r="JYF175" s="250"/>
      <c r="JYG175" s="250"/>
      <c r="JYH175" s="250"/>
      <c r="JYI175" s="250"/>
      <c r="JYJ175" s="250"/>
      <c r="JYK175" s="250"/>
      <c r="JYL175" s="250"/>
      <c r="JYM175" s="250"/>
      <c r="JYN175" s="250"/>
      <c r="JYO175" s="250"/>
      <c r="JYP175" s="250"/>
      <c r="JYQ175" s="250"/>
      <c r="JYR175" s="250"/>
      <c r="JYS175" s="250"/>
      <c r="JYT175" s="250"/>
      <c r="JYU175" s="250"/>
      <c r="JYV175" s="250"/>
      <c r="JYW175" s="250"/>
      <c r="JYX175" s="250"/>
      <c r="JYY175" s="250"/>
      <c r="JYZ175" s="250"/>
      <c r="JZA175" s="250"/>
      <c r="JZB175" s="250"/>
      <c r="JZC175" s="250"/>
      <c r="JZD175" s="250"/>
      <c r="JZE175" s="250"/>
      <c r="JZF175" s="250"/>
      <c r="JZG175" s="250"/>
      <c r="JZH175" s="250"/>
      <c r="JZI175" s="250"/>
      <c r="JZJ175" s="250"/>
      <c r="JZK175" s="250"/>
      <c r="JZL175" s="250"/>
      <c r="JZM175" s="250"/>
      <c r="JZN175" s="250"/>
      <c r="JZO175" s="250"/>
      <c r="JZP175" s="250"/>
      <c r="JZQ175" s="250"/>
      <c r="JZR175" s="250"/>
      <c r="JZS175" s="250"/>
      <c r="JZT175" s="250"/>
      <c r="JZU175" s="250"/>
      <c r="JZV175" s="250"/>
      <c r="JZW175" s="250"/>
      <c r="JZX175" s="250"/>
      <c r="JZY175" s="250"/>
      <c r="JZZ175" s="250"/>
      <c r="KAA175" s="250"/>
      <c r="KAB175" s="250"/>
      <c r="KAC175" s="250"/>
      <c r="KAD175" s="250"/>
      <c r="KAE175" s="250"/>
      <c r="KAF175" s="250"/>
      <c r="KAG175" s="250"/>
      <c r="KAH175" s="250"/>
      <c r="KAI175" s="250"/>
      <c r="KAJ175" s="250"/>
      <c r="KAK175" s="250"/>
      <c r="KAL175" s="250"/>
      <c r="KAM175" s="250"/>
      <c r="KAN175" s="250"/>
      <c r="KAO175" s="250"/>
      <c r="KAP175" s="250"/>
      <c r="KAQ175" s="250"/>
      <c r="KAR175" s="250"/>
      <c r="KAS175" s="250"/>
      <c r="KAT175" s="250"/>
      <c r="KAU175" s="250"/>
      <c r="KAV175" s="250"/>
      <c r="KAW175" s="250"/>
      <c r="KAX175" s="250"/>
      <c r="KAY175" s="250"/>
      <c r="KAZ175" s="250"/>
      <c r="KBA175" s="250"/>
      <c r="KBB175" s="250"/>
      <c r="KBC175" s="250"/>
      <c r="KBD175" s="250"/>
      <c r="KBE175" s="250"/>
      <c r="KBF175" s="250"/>
      <c r="KBG175" s="250"/>
      <c r="KBH175" s="250"/>
      <c r="KBI175" s="250"/>
      <c r="KBJ175" s="250"/>
      <c r="KBK175" s="250"/>
      <c r="KBL175" s="250"/>
      <c r="KBM175" s="250"/>
      <c r="KBN175" s="250"/>
      <c r="KBO175" s="250"/>
      <c r="KBP175" s="250"/>
      <c r="KBQ175" s="250"/>
      <c r="KBR175" s="250"/>
      <c r="KBS175" s="250"/>
      <c r="KBT175" s="250"/>
      <c r="KBU175" s="250"/>
      <c r="KBV175" s="250"/>
      <c r="KBW175" s="250"/>
      <c r="KBX175" s="250"/>
      <c r="KBY175" s="250"/>
      <c r="KBZ175" s="250"/>
      <c r="KCA175" s="250"/>
      <c r="KCB175" s="250"/>
      <c r="KCC175" s="250"/>
      <c r="KCD175" s="250"/>
      <c r="KCE175" s="250"/>
      <c r="KCF175" s="250"/>
      <c r="KCG175" s="250"/>
      <c r="KCH175" s="250"/>
      <c r="KCI175" s="250"/>
      <c r="KCJ175" s="250"/>
      <c r="KCK175" s="250"/>
      <c r="KCL175" s="250"/>
      <c r="KCM175" s="250"/>
      <c r="KCN175" s="250"/>
      <c r="KCO175" s="250"/>
      <c r="KCP175" s="250"/>
      <c r="KCQ175" s="250"/>
      <c r="KCR175" s="250"/>
      <c r="KCS175" s="250"/>
      <c r="KCT175" s="250"/>
      <c r="KCU175" s="250"/>
      <c r="KCV175" s="250"/>
      <c r="KCW175" s="250"/>
      <c r="KCX175" s="250"/>
      <c r="KCY175" s="250"/>
      <c r="KCZ175" s="250"/>
      <c r="KDA175" s="250"/>
      <c r="KDB175" s="250"/>
      <c r="KDC175" s="250"/>
      <c r="KDD175" s="250"/>
      <c r="KDE175" s="250"/>
      <c r="KDF175" s="250"/>
      <c r="KDG175" s="250"/>
      <c r="KDH175" s="250"/>
      <c r="KDI175" s="250"/>
      <c r="KDJ175" s="250"/>
      <c r="KDK175" s="250"/>
      <c r="KDL175" s="250"/>
      <c r="KDM175" s="250"/>
      <c r="KDN175" s="250"/>
      <c r="KDO175" s="250"/>
      <c r="KDP175" s="250"/>
      <c r="KDQ175" s="250"/>
      <c r="KDR175" s="250"/>
      <c r="KDS175" s="250"/>
      <c r="KDT175" s="250"/>
      <c r="KDU175" s="250"/>
      <c r="KDV175" s="250"/>
      <c r="KDW175" s="250"/>
      <c r="KDX175" s="250"/>
      <c r="KDY175" s="250"/>
      <c r="KDZ175" s="250"/>
      <c r="KEA175" s="250"/>
      <c r="KEB175" s="250"/>
      <c r="KEC175" s="250"/>
      <c r="KED175" s="250"/>
      <c r="KEE175" s="250"/>
      <c r="KEF175" s="250"/>
      <c r="KEG175" s="250"/>
      <c r="KEH175" s="250"/>
      <c r="KEI175" s="250"/>
      <c r="KEJ175" s="250"/>
      <c r="KEK175" s="250"/>
      <c r="KEL175" s="250"/>
      <c r="KEM175" s="250"/>
      <c r="KEN175" s="250"/>
      <c r="KEO175" s="250"/>
      <c r="KEP175" s="250"/>
      <c r="KEQ175" s="250"/>
      <c r="KER175" s="250"/>
      <c r="KES175" s="250"/>
      <c r="KET175" s="250"/>
      <c r="KEU175" s="250"/>
      <c r="KEV175" s="250"/>
      <c r="KEW175" s="250"/>
      <c r="KEX175" s="250"/>
      <c r="KEY175" s="250"/>
      <c r="KEZ175" s="250"/>
      <c r="KFA175" s="250"/>
      <c r="KFB175" s="250"/>
      <c r="KFC175" s="250"/>
      <c r="KFD175" s="250"/>
      <c r="KFE175" s="250"/>
      <c r="KFF175" s="250"/>
      <c r="KFG175" s="250"/>
      <c r="KFH175" s="250"/>
      <c r="KFI175" s="250"/>
      <c r="KFJ175" s="250"/>
      <c r="KFK175" s="250"/>
      <c r="KFL175" s="250"/>
      <c r="KFM175" s="250"/>
      <c r="KFN175" s="250"/>
      <c r="KFO175" s="250"/>
      <c r="KFP175" s="250"/>
      <c r="KFQ175" s="250"/>
      <c r="KFR175" s="250"/>
      <c r="KFS175" s="250"/>
      <c r="KFT175" s="250"/>
      <c r="KFU175" s="250"/>
      <c r="KFV175" s="250"/>
      <c r="KFW175" s="250"/>
      <c r="KFX175" s="250"/>
      <c r="KFY175" s="250"/>
      <c r="KFZ175" s="250"/>
      <c r="KGA175" s="250"/>
      <c r="KGB175" s="250"/>
      <c r="KGC175" s="250"/>
      <c r="KGD175" s="250"/>
      <c r="KGE175" s="250"/>
      <c r="KGF175" s="250"/>
      <c r="KGG175" s="250"/>
      <c r="KGH175" s="250"/>
      <c r="KGI175" s="250"/>
      <c r="KGJ175" s="250"/>
      <c r="KGK175" s="250"/>
      <c r="KGL175" s="250"/>
      <c r="KGM175" s="250"/>
      <c r="KGN175" s="250"/>
      <c r="KGO175" s="250"/>
      <c r="KGP175" s="250"/>
      <c r="KGQ175" s="250"/>
      <c r="KGR175" s="250"/>
      <c r="KGS175" s="250"/>
      <c r="KGT175" s="250"/>
      <c r="KGU175" s="250"/>
      <c r="KGV175" s="250"/>
      <c r="KGW175" s="250"/>
      <c r="KGX175" s="250"/>
      <c r="KGY175" s="250"/>
      <c r="KGZ175" s="250"/>
      <c r="KHA175" s="250"/>
      <c r="KHB175" s="250"/>
      <c r="KHC175" s="250"/>
      <c r="KHD175" s="250"/>
      <c r="KHE175" s="250"/>
      <c r="KHF175" s="250"/>
      <c r="KHG175" s="250"/>
      <c r="KHH175" s="250"/>
      <c r="KHI175" s="250"/>
      <c r="KHJ175" s="250"/>
      <c r="KHK175" s="250"/>
      <c r="KHL175" s="250"/>
      <c r="KHM175" s="250"/>
      <c r="KHN175" s="250"/>
      <c r="KHO175" s="250"/>
      <c r="KHP175" s="250"/>
      <c r="KHQ175" s="250"/>
      <c r="KHR175" s="250"/>
      <c r="KHS175" s="250"/>
      <c r="KHT175" s="250"/>
      <c r="KHU175" s="250"/>
      <c r="KHV175" s="250"/>
      <c r="KHW175" s="250"/>
      <c r="KHX175" s="250"/>
      <c r="KHY175" s="250"/>
      <c r="KHZ175" s="250"/>
      <c r="KIA175" s="250"/>
      <c r="KIB175" s="250"/>
      <c r="KIC175" s="250"/>
      <c r="KID175" s="250"/>
      <c r="KIE175" s="250"/>
      <c r="KIF175" s="250"/>
      <c r="KIG175" s="250"/>
      <c r="KIH175" s="250"/>
      <c r="KII175" s="250"/>
      <c r="KIJ175" s="250"/>
      <c r="KIK175" s="250"/>
      <c r="KIL175" s="250"/>
      <c r="KIM175" s="250"/>
      <c r="KIN175" s="250"/>
      <c r="KIO175" s="250"/>
      <c r="KIP175" s="250"/>
      <c r="KIQ175" s="250"/>
      <c r="KIR175" s="250"/>
      <c r="KIS175" s="250"/>
      <c r="KIT175" s="250"/>
      <c r="KIU175" s="250"/>
      <c r="KIV175" s="250"/>
      <c r="KIW175" s="250"/>
      <c r="KIX175" s="250"/>
      <c r="KIY175" s="250"/>
      <c r="KIZ175" s="250"/>
      <c r="KJA175" s="250"/>
      <c r="KJB175" s="250"/>
      <c r="KJC175" s="250"/>
      <c r="KJD175" s="250"/>
      <c r="KJE175" s="250"/>
      <c r="KJF175" s="250"/>
      <c r="KJG175" s="250"/>
      <c r="KJH175" s="250"/>
      <c r="KJI175" s="250"/>
      <c r="KJJ175" s="250"/>
      <c r="KJK175" s="250"/>
      <c r="KJL175" s="250"/>
      <c r="KJM175" s="250"/>
      <c r="KJN175" s="250"/>
      <c r="KJO175" s="250"/>
      <c r="KJP175" s="250"/>
      <c r="KJQ175" s="250"/>
      <c r="KJR175" s="250"/>
      <c r="KJS175" s="250"/>
      <c r="KJT175" s="250"/>
      <c r="KJU175" s="250"/>
      <c r="KJV175" s="250"/>
      <c r="KJW175" s="250"/>
      <c r="KJX175" s="250"/>
      <c r="KJY175" s="250"/>
      <c r="KJZ175" s="250"/>
      <c r="KKA175" s="250"/>
      <c r="KKB175" s="250"/>
      <c r="KKC175" s="250"/>
      <c r="KKD175" s="250"/>
      <c r="KKE175" s="250"/>
      <c r="KKF175" s="250"/>
      <c r="KKG175" s="250"/>
      <c r="KKH175" s="250"/>
      <c r="KKI175" s="250"/>
      <c r="KKJ175" s="250"/>
      <c r="KKK175" s="250"/>
      <c r="KKL175" s="250"/>
      <c r="KKM175" s="250"/>
      <c r="KKN175" s="250"/>
      <c r="KKO175" s="250"/>
      <c r="KKP175" s="250"/>
      <c r="KKQ175" s="250"/>
      <c r="KKR175" s="250"/>
      <c r="KKS175" s="250"/>
      <c r="KKT175" s="250"/>
      <c r="KKU175" s="250"/>
      <c r="KKV175" s="250"/>
      <c r="KKW175" s="250"/>
      <c r="KKX175" s="250"/>
      <c r="KKY175" s="250"/>
      <c r="KKZ175" s="250"/>
      <c r="KLA175" s="250"/>
      <c r="KLB175" s="250"/>
      <c r="KLC175" s="250"/>
      <c r="KLD175" s="250"/>
      <c r="KLE175" s="250"/>
      <c r="KLF175" s="250"/>
      <c r="KLG175" s="250"/>
      <c r="KLH175" s="250"/>
      <c r="KLI175" s="250"/>
      <c r="KLJ175" s="250"/>
      <c r="KLK175" s="250"/>
      <c r="KLL175" s="250"/>
      <c r="KLM175" s="250"/>
      <c r="KLN175" s="250"/>
      <c r="KLO175" s="250"/>
      <c r="KLP175" s="250"/>
      <c r="KLQ175" s="250"/>
      <c r="KLR175" s="250"/>
      <c r="KLS175" s="250"/>
      <c r="KLT175" s="250"/>
      <c r="KLU175" s="250"/>
      <c r="KLV175" s="250"/>
      <c r="KLW175" s="250"/>
      <c r="KLX175" s="250"/>
      <c r="KLY175" s="250"/>
      <c r="KLZ175" s="250"/>
      <c r="KMA175" s="250"/>
      <c r="KMB175" s="250"/>
      <c r="KMC175" s="250"/>
      <c r="KMD175" s="250"/>
      <c r="KME175" s="250"/>
      <c r="KMF175" s="250"/>
      <c r="KMG175" s="250"/>
      <c r="KMH175" s="250"/>
      <c r="KMI175" s="250"/>
      <c r="KMJ175" s="250"/>
      <c r="KMK175" s="250"/>
      <c r="KML175" s="250"/>
      <c r="KMM175" s="250"/>
      <c r="KMN175" s="250"/>
      <c r="KMO175" s="250"/>
      <c r="KMP175" s="250"/>
      <c r="KMQ175" s="250"/>
      <c r="KMR175" s="250"/>
      <c r="KMS175" s="250"/>
      <c r="KMT175" s="250"/>
      <c r="KMU175" s="250"/>
      <c r="KMV175" s="250"/>
      <c r="KMW175" s="250"/>
      <c r="KMX175" s="250"/>
      <c r="KMY175" s="250"/>
      <c r="KMZ175" s="250"/>
      <c r="KNA175" s="250"/>
      <c r="KNB175" s="250"/>
      <c r="KNC175" s="250"/>
      <c r="KND175" s="250"/>
      <c r="KNE175" s="250"/>
      <c r="KNF175" s="250"/>
      <c r="KNG175" s="250"/>
      <c r="KNH175" s="250"/>
      <c r="KNI175" s="250"/>
      <c r="KNJ175" s="250"/>
      <c r="KNK175" s="250"/>
      <c r="KNL175" s="250"/>
      <c r="KNM175" s="250"/>
      <c r="KNN175" s="250"/>
      <c r="KNO175" s="250"/>
      <c r="KNP175" s="250"/>
      <c r="KNQ175" s="250"/>
      <c r="KNR175" s="250"/>
      <c r="KNS175" s="250"/>
      <c r="KNT175" s="250"/>
      <c r="KNU175" s="250"/>
      <c r="KNV175" s="250"/>
      <c r="KNW175" s="250"/>
      <c r="KNX175" s="250"/>
      <c r="KNY175" s="250"/>
      <c r="KNZ175" s="250"/>
      <c r="KOA175" s="250"/>
      <c r="KOB175" s="250"/>
      <c r="KOC175" s="250"/>
      <c r="KOD175" s="250"/>
      <c r="KOE175" s="250"/>
      <c r="KOF175" s="250"/>
      <c r="KOG175" s="250"/>
      <c r="KOH175" s="250"/>
      <c r="KOI175" s="250"/>
      <c r="KOJ175" s="250"/>
      <c r="KOK175" s="250"/>
      <c r="KOL175" s="250"/>
      <c r="KOM175" s="250"/>
      <c r="KON175" s="250"/>
      <c r="KOO175" s="250"/>
      <c r="KOP175" s="250"/>
      <c r="KOQ175" s="250"/>
      <c r="KOR175" s="250"/>
      <c r="KOS175" s="250"/>
      <c r="KOT175" s="250"/>
      <c r="KOU175" s="250"/>
      <c r="KOV175" s="250"/>
      <c r="KOW175" s="250"/>
      <c r="KOX175" s="250"/>
      <c r="KOY175" s="250"/>
      <c r="KOZ175" s="250"/>
      <c r="KPA175" s="250"/>
      <c r="KPB175" s="250"/>
      <c r="KPC175" s="250"/>
      <c r="KPD175" s="250"/>
      <c r="KPE175" s="250"/>
      <c r="KPF175" s="250"/>
      <c r="KPG175" s="250"/>
      <c r="KPH175" s="250"/>
      <c r="KPI175" s="250"/>
      <c r="KPJ175" s="250"/>
      <c r="KPK175" s="250"/>
      <c r="KPL175" s="250"/>
      <c r="KPM175" s="250"/>
      <c r="KPN175" s="250"/>
      <c r="KPO175" s="250"/>
      <c r="KPP175" s="250"/>
      <c r="KPQ175" s="250"/>
      <c r="KPR175" s="250"/>
      <c r="KPS175" s="250"/>
      <c r="KPT175" s="250"/>
      <c r="KPU175" s="250"/>
      <c r="KPV175" s="250"/>
      <c r="KPW175" s="250"/>
      <c r="KPX175" s="250"/>
      <c r="KPY175" s="250"/>
      <c r="KPZ175" s="250"/>
      <c r="KQA175" s="250"/>
      <c r="KQB175" s="250"/>
      <c r="KQC175" s="250"/>
      <c r="KQD175" s="250"/>
      <c r="KQE175" s="250"/>
      <c r="KQF175" s="250"/>
      <c r="KQG175" s="250"/>
      <c r="KQH175" s="250"/>
      <c r="KQI175" s="250"/>
      <c r="KQJ175" s="250"/>
      <c r="KQK175" s="250"/>
      <c r="KQL175" s="250"/>
      <c r="KQM175" s="250"/>
      <c r="KQN175" s="250"/>
      <c r="KQO175" s="250"/>
      <c r="KQP175" s="250"/>
      <c r="KQQ175" s="250"/>
      <c r="KQR175" s="250"/>
      <c r="KQS175" s="250"/>
      <c r="KQT175" s="250"/>
      <c r="KQU175" s="250"/>
      <c r="KQV175" s="250"/>
      <c r="KQW175" s="250"/>
      <c r="KQX175" s="250"/>
      <c r="KQY175" s="250"/>
      <c r="KQZ175" s="250"/>
      <c r="KRA175" s="250"/>
      <c r="KRB175" s="250"/>
      <c r="KRC175" s="250"/>
      <c r="KRD175" s="250"/>
      <c r="KRE175" s="250"/>
      <c r="KRF175" s="250"/>
      <c r="KRG175" s="250"/>
      <c r="KRH175" s="250"/>
      <c r="KRI175" s="250"/>
      <c r="KRJ175" s="250"/>
      <c r="KRK175" s="250"/>
      <c r="KRL175" s="250"/>
      <c r="KRM175" s="250"/>
      <c r="KRN175" s="250"/>
      <c r="KRO175" s="250"/>
      <c r="KRP175" s="250"/>
      <c r="KRQ175" s="250"/>
      <c r="KRR175" s="250"/>
      <c r="KRS175" s="250"/>
      <c r="KRT175" s="250"/>
      <c r="KRU175" s="250"/>
      <c r="KRV175" s="250"/>
      <c r="KRW175" s="250"/>
      <c r="KRX175" s="250"/>
      <c r="KRY175" s="250"/>
      <c r="KRZ175" s="250"/>
      <c r="KSA175" s="250"/>
      <c r="KSB175" s="250"/>
      <c r="KSC175" s="250"/>
      <c r="KSD175" s="250"/>
      <c r="KSE175" s="250"/>
      <c r="KSF175" s="250"/>
      <c r="KSG175" s="250"/>
      <c r="KSH175" s="250"/>
      <c r="KSI175" s="250"/>
      <c r="KSJ175" s="250"/>
      <c r="KSK175" s="250"/>
      <c r="KSL175" s="250"/>
      <c r="KSM175" s="250"/>
      <c r="KSN175" s="250"/>
      <c r="KSO175" s="250"/>
      <c r="KSP175" s="250"/>
      <c r="KSQ175" s="250"/>
      <c r="KSR175" s="250"/>
      <c r="KSS175" s="250"/>
      <c r="KST175" s="250"/>
      <c r="KSU175" s="250"/>
      <c r="KSV175" s="250"/>
      <c r="KSW175" s="250"/>
      <c r="KSX175" s="250"/>
      <c r="KSY175" s="250"/>
      <c r="KSZ175" s="250"/>
      <c r="KTA175" s="250"/>
      <c r="KTB175" s="250"/>
      <c r="KTC175" s="250"/>
      <c r="KTD175" s="250"/>
      <c r="KTE175" s="250"/>
      <c r="KTF175" s="250"/>
      <c r="KTG175" s="250"/>
      <c r="KTH175" s="250"/>
      <c r="KTI175" s="250"/>
      <c r="KTJ175" s="250"/>
      <c r="KTK175" s="250"/>
      <c r="KTL175" s="250"/>
      <c r="KTM175" s="250"/>
      <c r="KTN175" s="250"/>
      <c r="KTO175" s="250"/>
      <c r="KTP175" s="250"/>
      <c r="KTQ175" s="250"/>
      <c r="KTR175" s="250"/>
      <c r="KTS175" s="250"/>
      <c r="KTT175" s="250"/>
      <c r="KTU175" s="250"/>
      <c r="KTV175" s="250"/>
      <c r="KTW175" s="250"/>
      <c r="KTX175" s="250"/>
      <c r="KTY175" s="250"/>
      <c r="KTZ175" s="250"/>
      <c r="KUA175" s="250"/>
      <c r="KUB175" s="250"/>
      <c r="KUC175" s="250"/>
      <c r="KUD175" s="250"/>
      <c r="KUE175" s="250"/>
      <c r="KUF175" s="250"/>
      <c r="KUG175" s="250"/>
      <c r="KUH175" s="250"/>
      <c r="KUI175" s="250"/>
      <c r="KUJ175" s="250"/>
      <c r="KUK175" s="250"/>
      <c r="KUL175" s="250"/>
      <c r="KUM175" s="250"/>
      <c r="KUN175" s="250"/>
      <c r="KUO175" s="250"/>
      <c r="KUP175" s="250"/>
      <c r="KUQ175" s="250"/>
      <c r="KUR175" s="250"/>
      <c r="KUS175" s="250"/>
      <c r="KUT175" s="250"/>
      <c r="KUU175" s="250"/>
      <c r="KUV175" s="250"/>
      <c r="KUW175" s="250"/>
      <c r="KUX175" s="250"/>
      <c r="KUY175" s="250"/>
      <c r="KUZ175" s="250"/>
      <c r="KVA175" s="250"/>
      <c r="KVB175" s="250"/>
      <c r="KVC175" s="250"/>
      <c r="KVD175" s="250"/>
      <c r="KVE175" s="250"/>
      <c r="KVF175" s="250"/>
      <c r="KVG175" s="250"/>
      <c r="KVH175" s="250"/>
      <c r="KVI175" s="250"/>
      <c r="KVJ175" s="250"/>
      <c r="KVK175" s="250"/>
      <c r="KVL175" s="250"/>
      <c r="KVM175" s="250"/>
      <c r="KVN175" s="250"/>
      <c r="KVO175" s="250"/>
      <c r="KVP175" s="250"/>
      <c r="KVQ175" s="250"/>
      <c r="KVR175" s="250"/>
      <c r="KVS175" s="250"/>
      <c r="KVT175" s="250"/>
      <c r="KVU175" s="250"/>
      <c r="KVV175" s="250"/>
      <c r="KVW175" s="250"/>
      <c r="KVX175" s="250"/>
      <c r="KVY175" s="250"/>
      <c r="KVZ175" s="250"/>
      <c r="KWA175" s="250"/>
      <c r="KWB175" s="250"/>
      <c r="KWC175" s="250"/>
      <c r="KWD175" s="250"/>
      <c r="KWE175" s="250"/>
      <c r="KWF175" s="250"/>
      <c r="KWG175" s="250"/>
      <c r="KWH175" s="250"/>
      <c r="KWI175" s="250"/>
      <c r="KWJ175" s="250"/>
      <c r="KWK175" s="250"/>
      <c r="KWL175" s="250"/>
      <c r="KWM175" s="250"/>
      <c r="KWN175" s="250"/>
      <c r="KWO175" s="250"/>
      <c r="KWP175" s="250"/>
      <c r="KWQ175" s="250"/>
      <c r="KWR175" s="250"/>
      <c r="KWS175" s="250"/>
      <c r="KWT175" s="250"/>
      <c r="KWU175" s="250"/>
      <c r="KWV175" s="250"/>
      <c r="KWW175" s="250"/>
      <c r="KWX175" s="250"/>
      <c r="KWY175" s="250"/>
      <c r="KWZ175" s="250"/>
      <c r="KXA175" s="250"/>
      <c r="KXB175" s="250"/>
      <c r="KXC175" s="250"/>
      <c r="KXD175" s="250"/>
      <c r="KXE175" s="250"/>
      <c r="KXF175" s="250"/>
      <c r="KXG175" s="250"/>
      <c r="KXH175" s="250"/>
      <c r="KXI175" s="250"/>
      <c r="KXJ175" s="250"/>
      <c r="KXK175" s="250"/>
      <c r="KXL175" s="250"/>
      <c r="KXM175" s="250"/>
      <c r="KXN175" s="250"/>
      <c r="KXO175" s="250"/>
      <c r="KXP175" s="250"/>
      <c r="KXQ175" s="250"/>
      <c r="KXR175" s="250"/>
      <c r="KXS175" s="250"/>
      <c r="KXT175" s="250"/>
      <c r="KXU175" s="250"/>
      <c r="KXV175" s="250"/>
      <c r="KXW175" s="250"/>
      <c r="KXX175" s="250"/>
      <c r="KXY175" s="250"/>
      <c r="KXZ175" s="250"/>
      <c r="KYA175" s="250"/>
      <c r="KYB175" s="250"/>
      <c r="KYC175" s="250"/>
      <c r="KYD175" s="250"/>
      <c r="KYE175" s="250"/>
      <c r="KYF175" s="250"/>
      <c r="KYG175" s="250"/>
      <c r="KYH175" s="250"/>
      <c r="KYI175" s="250"/>
      <c r="KYJ175" s="250"/>
      <c r="KYK175" s="250"/>
      <c r="KYL175" s="250"/>
      <c r="KYM175" s="250"/>
      <c r="KYN175" s="250"/>
      <c r="KYO175" s="250"/>
      <c r="KYP175" s="250"/>
      <c r="KYQ175" s="250"/>
      <c r="KYR175" s="250"/>
      <c r="KYS175" s="250"/>
      <c r="KYT175" s="250"/>
      <c r="KYU175" s="250"/>
      <c r="KYV175" s="250"/>
      <c r="KYW175" s="250"/>
      <c r="KYX175" s="250"/>
      <c r="KYY175" s="250"/>
      <c r="KYZ175" s="250"/>
      <c r="KZA175" s="250"/>
      <c r="KZB175" s="250"/>
      <c r="KZC175" s="250"/>
      <c r="KZD175" s="250"/>
      <c r="KZE175" s="250"/>
      <c r="KZF175" s="250"/>
      <c r="KZG175" s="250"/>
      <c r="KZH175" s="250"/>
      <c r="KZI175" s="250"/>
      <c r="KZJ175" s="250"/>
      <c r="KZK175" s="250"/>
      <c r="KZL175" s="250"/>
      <c r="KZM175" s="250"/>
      <c r="KZN175" s="250"/>
      <c r="KZO175" s="250"/>
      <c r="KZP175" s="250"/>
      <c r="KZQ175" s="250"/>
      <c r="KZR175" s="250"/>
      <c r="KZS175" s="250"/>
      <c r="KZT175" s="250"/>
      <c r="KZU175" s="250"/>
      <c r="KZV175" s="250"/>
      <c r="KZW175" s="250"/>
      <c r="KZX175" s="250"/>
      <c r="KZY175" s="250"/>
      <c r="KZZ175" s="250"/>
      <c r="LAA175" s="250"/>
      <c r="LAB175" s="250"/>
      <c r="LAC175" s="250"/>
      <c r="LAD175" s="250"/>
      <c r="LAE175" s="250"/>
      <c r="LAF175" s="250"/>
      <c r="LAG175" s="250"/>
      <c r="LAH175" s="250"/>
      <c r="LAI175" s="250"/>
      <c r="LAJ175" s="250"/>
      <c r="LAK175" s="250"/>
      <c r="LAL175" s="250"/>
      <c r="LAM175" s="250"/>
      <c r="LAN175" s="250"/>
      <c r="LAO175" s="250"/>
      <c r="LAP175" s="250"/>
      <c r="LAQ175" s="250"/>
      <c r="LAR175" s="250"/>
      <c r="LAS175" s="250"/>
      <c r="LAT175" s="250"/>
      <c r="LAU175" s="250"/>
      <c r="LAV175" s="250"/>
      <c r="LAW175" s="250"/>
      <c r="LAX175" s="250"/>
      <c r="LAY175" s="250"/>
      <c r="LAZ175" s="250"/>
      <c r="LBA175" s="250"/>
      <c r="LBB175" s="250"/>
      <c r="LBC175" s="250"/>
      <c r="LBD175" s="250"/>
      <c r="LBE175" s="250"/>
      <c r="LBF175" s="250"/>
      <c r="LBG175" s="250"/>
      <c r="LBH175" s="250"/>
      <c r="LBI175" s="250"/>
      <c r="LBJ175" s="250"/>
      <c r="LBK175" s="250"/>
      <c r="LBL175" s="250"/>
      <c r="LBM175" s="250"/>
      <c r="LBN175" s="250"/>
      <c r="LBO175" s="250"/>
      <c r="LBP175" s="250"/>
      <c r="LBQ175" s="250"/>
      <c r="LBR175" s="250"/>
      <c r="LBS175" s="250"/>
      <c r="LBT175" s="250"/>
      <c r="LBU175" s="250"/>
      <c r="LBV175" s="250"/>
      <c r="LBW175" s="250"/>
      <c r="LBX175" s="250"/>
      <c r="LBY175" s="250"/>
      <c r="LBZ175" s="250"/>
      <c r="LCA175" s="250"/>
      <c r="LCB175" s="250"/>
      <c r="LCC175" s="250"/>
      <c r="LCD175" s="250"/>
      <c r="LCE175" s="250"/>
      <c r="LCF175" s="250"/>
      <c r="LCG175" s="250"/>
      <c r="LCH175" s="250"/>
      <c r="LCI175" s="250"/>
      <c r="LCJ175" s="250"/>
      <c r="LCK175" s="250"/>
      <c r="LCL175" s="250"/>
      <c r="LCM175" s="250"/>
      <c r="LCN175" s="250"/>
      <c r="LCO175" s="250"/>
      <c r="LCP175" s="250"/>
      <c r="LCQ175" s="250"/>
      <c r="LCR175" s="250"/>
      <c r="LCS175" s="250"/>
      <c r="LCT175" s="250"/>
      <c r="LCU175" s="250"/>
      <c r="LCV175" s="250"/>
      <c r="LCW175" s="250"/>
      <c r="LCX175" s="250"/>
      <c r="LCY175" s="250"/>
      <c r="LCZ175" s="250"/>
      <c r="LDA175" s="250"/>
      <c r="LDB175" s="250"/>
      <c r="LDC175" s="250"/>
      <c r="LDD175" s="250"/>
      <c r="LDE175" s="250"/>
      <c r="LDF175" s="250"/>
      <c r="LDG175" s="250"/>
      <c r="LDH175" s="250"/>
      <c r="LDI175" s="250"/>
      <c r="LDJ175" s="250"/>
      <c r="LDK175" s="250"/>
      <c r="LDL175" s="250"/>
      <c r="LDM175" s="250"/>
      <c r="LDN175" s="250"/>
      <c r="LDO175" s="250"/>
      <c r="LDP175" s="250"/>
      <c r="LDQ175" s="250"/>
      <c r="LDR175" s="250"/>
      <c r="LDS175" s="250"/>
      <c r="LDT175" s="250"/>
      <c r="LDU175" s="250"/>
      <c r="LDV175" s="250"/>
      <c r="LDW175" s="250"/>
      <c r="LDX175" s="250"/>
      <c r="LDY175" s="250"/>
      <c r="LDZ175" s="250"/>
      <c r="LEA175" s="250"/>
      <c r="LEB175" s="250"/>
      <c r="LEC175" s="250"/>
      <c r="LED175" s="250"/>
      <c r="LEE175" s="250"/>
      <c r="LEF175" s="250"/>
      <c r="LEG175" s="250"/>
      <c r="LEH175" s="250"/>
      <c r="LEI175" s="250"/>
      <c r="LEJ175" s="250"/>
      <c r="LEK175" s="250"/>
      <c r="LEL175" s="250"/>
      <c r="LEM175" s="250"/>
      <c r="LEN175" s="250"/>
      <c r="LEO175" s="250"/>
      <c r="LEP175" s="250"/>
      <c r="LEQ175" s="250"/>
      <c r="LER175" s="250"/>
      <c r="LES175" s="250"/>
      <c r="LET175" s="250"/>
      <c r="LEU175" s="250"/>
      <c r="LEV175" s="250"/>
      <c r="LEW175" s="250"/>
      <c r="LEX175" s="250"/>
      <c r="LEY175" s="250"/>
      <c r="LEZ175" s="250"/>
      <c r="LFA175" s="250"/>
      <c r="LFB175" s="250"/>
      <c r="LFC175" s="250"/>
      <c r="LFD175" s="250"/>
      <c r="LFE175" s="250"/>
      <c r="LFF175" s="250"/>
      <c r="LFG175" s="250"/>
      <c r="LFH175" s="250"/>
      <c r="LFI175" s="250"/>
      <c r="LFJ175" s="250"/>
      <c r="LFK175" s="250"/>
      <c r="LFL175" s="250"/>
      <c r="LFM175" s="250"/>
      <c r="LFN175" s="250"/>
      <c r="LFO175" s="250"/>
      <c r="LFP175" s="250"/>
      <c r="LFQ175" s="250"/>
      <c r="LFR175" s="250"/>
      <c r="LFS175" s="250"/>
      <c r="LFT175" s="250"/>
      <c r="LFU175" s="250"/>
      <c r="LFV175" s="250"/>
      <c r="LFW175" s="250"/>
      <c r="LFX175" s="250"/>
      <c r="LFY175" s="250"/>
      <c r="LFZ175" s="250"/>
      <c r="LGA175" s="250"/>
      <c r="LGB175" s="250"/>
      <c r="LGC175" s="250"/>
      <c r="LGD175" s="250"/>
      <c r="LGE175" s="250"/>
      <c r="LGF175" s="250"/>
      <c r="LGG175" s="250"/>
      <c r="LGH175" s="250"/>
      <c r="LGI175" s="250"/>
      <c r="LGJ175" s="250"/>
      <c r="LGK175" s="250"/>
      <c r="LGL175" s="250"/>
      <c r="LGM175" s="250"/>
      <c r="LGN175" s="250"/>
      <c r="LGO175" s="250"/>
      <c r="LGP175" s="250"/>
      <c r="LGQ175" s="250"/>
      <c r="LGR175" s="250"/>
      <c r="LGS175" s="250"/>
      <c r="LGT175" s="250"/>
      <c r="LGU175" s="250"/>
      <c r="LGV175" s="250"/>
      <c r="LGW175" s="250"/>
      <c r="LGX175" s="250"/>
      <c r="LGY175" s="250"/>
      <c r="LGZ175" s="250"/>
      <c r="LHA175" s="250"/>
      <c r="LHB175" s="250"/>
      <c r="LHC175" s="250"/>
      <c r="LHD175" s="250"/>
      <c r="LHE175" s="250"/>
      <c r="LHF175" s="250"/>
      <c r="LHG175" s="250"/>
      <c r="LHH175" s="250"/>
      <c r="LHI175" s="250"/>
      <c r="LHJ175" s="250"/>
      <c r="LHK175" s="250"/>
      <c r="LHL175" s="250"/>
      <c r="LHM175" s="250"/>
      <c r="LHN175" s="250"/>
      <c r="LHO175" s="250"/>
      <c r="LHP175" s="250"/>
      <c r="LHQ175" s="250"/>
      <c r="LHR175" s="250"/>
      <c r="LHS175" s="250"/>
      <c r="LHT175" s="250"/>
      <c r="LHU175" s="250"/>
      <c r="LHV175" s="250"/>
      <c r="LHW175" s="250"/>
      <c r="LHX175" s="250"/>
      <c r="LHY175" s="250"/>
      <c r="LHZ175" s="250"/>
      <c r="LIA175" s="250"/>
      <c r="LIB175" s="250"/>
      <c r="LIC175" s="250"/>
      <c r="LID175" s="250"/>
      <c r="LIE175" s="250"/>
      <c r="LIF175" s="250"/>
      <c r="LIG175" s="250"/>
      <c r="LIH175" s="250"/>
      <c r="LII175" s="250"/>
      <c r="LIJ175" s="250"/>
      <c r="LIK175" s="250"/>
      <c r="LIL175" s="250"/>
      <c r="LIM175" s="250"/>
      <c r="LIN175" s="250"/>
      <c r="LIO175" s="250"/>
      <c r="LIP175" s="250"/>
      <c r="LIQ175" s="250"/>
      <c r="LIR175" s="250"/>
      <c r="LIS175" s="250"/>
      <c r="LIT175" s="250"/>
      <c r="LIU175" s="250"/>
      <c r="LIV175" s="250"/>
      <c r="LIW175" s="250"/>
      <c r="LIX175" s="250"/>
      <c r="LIY175" s="250"/>
      <c r="LIZ175" s="250"/>
      <c r="LJA175" s="250"/>
      <c r="LJB175" s="250"/>
      <c r="LJC175" s="250"/>
      <c r="LJD175" s="250"/>
      <c r="LJE175" s="250"/>
      <c r="LJF175" s="250"/>
      <c r="LJG175" s="250"/>
      <c r="LJH175" s="250"/>
      <c r="LJI175" s="250"/>
      <c r="LJJ175" s="250"/>
      <c r="LJK175" s="250"/>
      <c r="LJL175" s="250"/>
      <c r="LJM175" s="250"/>
      <c r="LJN175" s="250"/>
      <c r="LJO175" s="250"/>
      <c r="LJP175" s="250"/>
      <c r="LJQ175" s="250"/>
      <c r="LJR175" s="250"/>
      <c r="LJS175" s="250"/>
      <c r="LJT175" s="250"/>
      <c r="LJU175" s="250"/>
      <c r="LJV175" s="250"/>
      <c r="LJW175" s="250"/>
      <c r="LJX175" s="250"/>
      <c r="LJY175" s="250"/>
      <c r="LJZ175" s="250"/>
      <c r="LKA175" s="250"/>
      <c r="LKB175" s="250"/>
      <c r="LKC175" s="250"/>
      <c r="LKD175" s="250"/>
      <c r="LKE175" s="250"/>
      <c r="LKF175" s="250"/>
      <c r="LKG175" s="250"/>
      <c r="LKH175" s="250"/>
      <c r="LKI175" s="250"/>
      <c r="LKJ175" s="250"/>
      <c r="LKK175" s="250"/>
      <c r="LKL175" s="250"/>
      <c r="LKM175" s="250"/>
      <c r="LKN175" s="250"/>
      <c r="LKO175" s="250"/>
      <c r="LKP175" s="250"/>
      <c r="LKQ175" s="250"/>
      <c r="LKR175" s="250"/>
      <c r="LKS175" s="250"/>
      <c r="LKT175" s="250"/>
      <c r="LKU175" s="250"/>
      <c r="LKV175" s="250"/>
      <c r="LKW175" s="250"/>
      <c r="LKX175" s="250"/>
      <c r="LKY175" s="250"/>
      <c r="LKZ175" s="250"/>
      <c r="LLA175" s="250"/>
      <c r="LLB175" s="250"/>
      <c r="LLC175" s="250"/>
      <c r="LLD175" s="250"/>
      <c r="LLE175" s="250"/>
      <c r="LLF175" s="250"/>
      <c r="LLG175" s="250"/>
      <c r="LLH175" s="250"/>
      <c r="LLI175" s="250"/>
      <c r="LLJ175" s="250"/>
      <c r="LLK175" s="250"/>
      <c r="LLL175" s="250"/>
      <c r="LLM175" s="250"/>
      <c r="LLN175" s="250"/>
      <c r="LLO175" s="250"/>
      <c r="LLP175" s="250"/>
      <c r="LLQ175" s="250"/>
      <c r="LLR175" s="250"/>
      <c r="LLS175" s="250"/>
      <c r="LLT175" s="250"/>
      <c r="LLU175" s="250"/>
      <c r="LLV175" s="250"/>
      <c r="LLW175" s="250"/>
      <c r="LLX175" s="250"/>
      <c r="LLY175" s="250"/>
      <c r="LLZ175" s="250"/>
      <c r="LMA175" s="250"/>
      <c r="LMB175" s="250"/>
      <c r="LMC175" s="250"/>
      <c r="LMD175" s="250"/>
      <c r="LME175" s="250"/>
      <c r="LMF175" s="250"/>
      <c r="LMG175" s="250"/>
      <c r="LMH175" s="250"/>
      <c r="LMI175" s="250"/>
      <c r="LMJ175" s="250"/>
      <c r="LMK175" s="250"/>
      <c r="LML175" s="250"/>
      <c r="LMM175" s="250"/>
      <c r="LMN175" s="250"/>
      <c r="LMO175" s="250"/>
      <c r="LMP175" s="250"/>
      <c r="LMQ175" s="250"/>
      <c r="LMR175" s="250"/>
      <c r="LMS175" s="250"/>
      <c r="LMT175" s="250"/>
      <c r="LMU175" s="250"/>
      <c r="LMV175" s="250"/>
      <c r="LMW175" s="250"/>
      <c r="LMX175" s="250"/>
      <c r="LMY175" s="250"/>
      <c r="LMZ175" s="250"/>
      <c r="LNA175" s="250"/>
      <c r="LNB175" s="250"/>
      <c r="LNC175" s="250"/>
      <c r="LND175" s="250"/>
      <c r="LNE175" s="250"/>
      <c r="LNF175" s="250"/>
      <c r="LNG175" s="250"/>
      <c r="LNH175" s="250"/>
      <c r="LNI175" s="250"/>
      <c r="LNJ175" s="250"/>
      <c r="LNK175" s="250"/>
      <c r="LNL175" s="250"/>
      <c r="LNM175" s="250"/>
      <c r="LNN175" s="250"/>
      <c r="LNO175" s="250"/>
      <c r="LNP175" s="250"/>
      <c r="LNQ175" s="250"/>
      <c r="LNR175" s="250"/>
      <c r="LNS175" s="250"/>
      <c r="LNT175" s="250"/>
      <c r="LNU175" s="250"/>
      <c r="LNV175" s="250"/>
      <c r="LNW175" s="250"/>
      <c r="LNX175" s="250"/>
      <c r="LNY175" s="250"/>
      <c r="LNZ175" s="250"/>
      <c r="LOA175" s="250"/>
      <c r="LOB175" s="250"/>
      <c r="LOC175" s="250"/>
      <c r="LOD175" s="250"/>
      <c r="LOE175" s="250"/>
      <c r="LOF175" s="250"/>
      <c r="LOG175" s="250"/>
      <c r="LOH175" s="250"/>
      <c r="LOI175" s="250"/>
      <c r="LOJ175" s="250"/>
      <c r="LOK175" s="250"/>
      <c r="LOL175" s="250"/>
      <c r="LOM175" s="250"/>
      <c r="LON175" s="250"/>
      <c r="LOO175" s="250"/>
      <c r="LOP175" s="250"/>
      <c r="LOQ175" s="250"/>
      <c r="LOR175" s="250"/>
      <c r="LOS175" s="250"/>
      <c r="LOT175" s="250"/>
      <c r="LOU175" s="250"/>
      <c r="LOV175" s="250"/>
      <c r="LOW175" s="250"/>
      <c r="LOX175" s="250"/>
      <c r="LOY175" s="250"/>
      <c r="LOZ175" s="250"/>
      <c r="LPA175" s="250"/>
      <c r="LPB175" s="250"/>
      <c r="LPC175" s="250"/>
      <c r="LPD175" s="250"/>
      <c r="LPE175" s="250"/>
      <c r="LPF175" s="250"/>
      <c r="LPG175" s="250"/>
      <c r="LPH175" s="250"/>
      <c r="LPI175" s="250"/>
      <c r="LPJ175" s="250"/>
      <c r="LPK175" s="250"/>
      <c r="LPL175" s="250"/>
      <c r="LPM175" s="250"/>
      <c r="LPN175" s="250"/>
      <c r="LPO175" s="250"/>
      <c r="LPP175" s="250"/>
      <c r="LPQ175" s="250"/>
      <c r="LPR175" s="250"/>
      <c r="LPS175" s="250"/>
      <c r="LPT175" s="250"/>
      <c r="LPU175" s="250"/>
      <c r="LPV175" s="250"/>
      <c r="LPW175" s="250"/>
      <c r="LPX175" s="250"/>
      <c r="LPY175" s="250"/>
      <c r="LPZ175" s="250"/>
      <c r="LQA175" s="250"/>
      <c r="LQB175" s="250"/>
      <c r="LQC175" s="250"/>
      <c r="LQD175" s="250"/>
      <c r="LQE175" s="250"/>
      <c r="LQF175" s="250"/>
      <c r="LQG175" s="250"/>
      <c r="LQH175" s="250"/>
      <c r="LQI175" s="250"/>
      <c r="LQJ175" s="250"/>
      <c r="LQK175" s="250"/>
      <c r="LQL175" s="250"/>
      <c r="LQM175" s="250"/>
      <c r="LQN175" s="250"/>
      <c r="LQO175" s="250"/>
      <c r="LQP175" s="250"/>
      <c r="LQQ175" s="250"/>
      <c r="LQR175" s="250"/>
      <c r="LQS175" s="250"/>
      <c r="LQT175" s="250"/>
      <c r="LQU175" s="250"/>
      <c r="LQV175" s="250"/>
      <c r="LQW175" s="250"/>
      <c r="LQX175" s="250"/>
      <c r="LQY175" s="250"/>
      <c r="LQZ175" s="250"/>
      <c r="LRA175" s="250"/>
      <c r="LRB175" s="250"/>
      <c r="LRC175" s="250"/>
      <c r="LRD175" s="250"/>
      <c r="LRE175" s="250"/>
      <c r="LRF175" s="250"/>
      <c r="LRG175" s="250"/>
      <c r="LRH175" s="250"/>
      <c r="LRI175" s="250"/>
      <c r="LRJ175" s="250"/>
      <c r="LRK175" s="250"/>
      <c r="LRL175" s="250"/>
      <c r="LRM175" s="250"/>
      <c r="LRN175" s="250"/>
      <c r="LRO175" s="250"/>
      <c r="LRP175" s="250"/>
      <c r="LRQ175" s="250"/>
      <c r="LRR175" s="250"/>
      <c r="LRS175" s="250"/>
      <c r="LRT175" s="250"/>
      <c r="LRU175" s="250"/>
      <c r="LRV175" s="250"/>
      <c r="LRW175" s="250"/>
      <c r="LRX175" s="250"/>
      <c r="LRY175" s="250"/>
      <c r="LRZ175" s="250"/>
      <c r="LSA175" s="250"/>
      <c r="LSB175" s="250"/>
      <c r="LSC175" s="250"/>
      <c r="LSD175" s="250"/>
      <c r="LSE175" s="250"/>
      <c r="LSF175" s="250"/>
      <c r="LSG175" s="250"/>
      <c r="LSH175" s="250"/>
      <c r="LSI175" s="250"/>
      <c r="LSJ175" s="250"/>
      <c r="LSK175" s="250"/>
      <c r="LSL175" s="250"/>
      <c r="LSM175" s="250"/>
      <c r="LSN175" s="250"/>
      <c r="LSO175" s="250"/>
      <c r="LSP175" s="250"/>
      <c r="LSQ175" s="250"/>
      <c r="LSR175" s="250"/>
      <c r="LSS175" s="250"/>
      <c r="LST175" s="250"/>
      <c r="LSU175" s="250"/>
      <c r="LSV175" s="250"/>
      <c r="LSW175" s="250"/>
      <c r="LSX175" s="250"/>
      <c r="LSY175" s="250"/>
      <c r="LSZ175" s="250"/>
      <c r="LTA175" s="250"/>
      <c r="LTB175" s="250"/>
      <c r="LTC175" s="250"/>
      <c r="LTD175" s="250"/>
      <c r="LTE175" s="250"/>
      <c r="LTF175" s="250"/>
      <c r="LTG175" s="250"/>
      <c r="LTH175" s="250"/>
      <c r="LTI175" s="250"/>
      <c r="LTJ175" s="250"/>
      <c r="LTK175" s="250"/>
      <c r="LTL175" s="250"/>
      <c r="LTM175" s="250"/>
      <c r="LTN175" s="250"/>
      <c r="LTO175" s="250"/>
      <c r="LTP175" s="250"/>
      <c r="LTQ175" s="250"/>
      <c r="LTR175" s="250"/>
      <c r="LTS175" s="250"/>
      <c r="LTT175" s="250"/>
      <c r="LTU175" s="250"/>
      <c r="LTV175" s="250"/>
      <c r="LTW175" s="250"/>
      <c r="LTX175" s="250"/>
      <c r="LTY175" s="250"/>
      <c r="LTZ175" s="250"/>
      <c r="LUA175" s="250"/>
      <c r="LUB175" s="250"/>
      <c r="LUC175" s="250"/>
      <c r="LUD175" s="250"/>
      <c r="LUE175" s="250"/>
      <c r="LUF175" s="250"/>
      <c r="LUG175" s="250"/>
      <c r="LUH175" s="250"/>
      <c r="LUI175" s="250"/>
      <c r="LUJ175" s="250"/>
      <c r="LUK175" s="250"/>
      <c r="LUL175" s="250"/>
      <c r="LUM175" s="250"/>
      <c r="LUN175" s="250"/>
      <c r="LUO175" s="250"/>
      <c r="LUP175" s="250"/>
      <c r="LUQ175" s="250"/>
      <c r="LUR175" s="250"/>
      <c r="LUS175" s="250"/>
      <c r="LUT175" s="250"/>
      <c r="LUU175" s="250"/>
      <c r="LUV175" s="250"/>
      <c r="LUW175" s="250"/>
      <c r="LUX175" s="250"/>
      <c r="LUY175" s="250"/>
      <c r="LUZ175" s="250"/>
      <c r="LVA175" s="250"/>
      <c r="LVB175" s="250"/>
      <c r="LVC175" s="250"/>
      <c r="LVD175" s="250"/>
      <c r="LVE175" s="250"/>
      <c r="LVF175" s="250"/>
      <c r="LVG175" s="250"/>
      <c r="LVH175" s="250"/>
      <c r="LVI175" s="250"/>
      <c r="LVJ175" s="250"/>
      <c r="LVK175" s="250"/>
      <c r="LVL175" s="250"/>
      <c r="LVM175" s="250"/>
      <c r="LVN175" s="250"/>
      <c r="LVO175" s="250"/>
      <c r="LVP175" s="250"/>
      <c r="LVQ175" s="250"/>
      <c r="LVR175" s="250"/>
      <c r="LVS175" s="250"/>
      <c r="LVT175" s="250"/>
      <c r="LVU175" s="250"/>
      <c r="LVV175" s="250"/>
      <c r="LVW175" s="250"/>
      <c r="LVX175" s="250"/>
      <c r="LVY175" s="250"/>
      <c r="LVZ175" s="250"/>
      <c r="LWA175" s="250"/>
      <c r="LWB175" s="250"/>
      <c r="LWC175" s="250"/>
      <c r="LWD175" s="250"/>
      <c r="LWE175" s="250"/>
      <c r="LWF175" s="250"/>
      <c r="LWG175" s="250"/>
      <c r="LWH175" s="250"/>
      <c r="LWI175" s="250"/>
      <c r="LWJ175" s="250"/>
      <c r="LWK175" s="250"/>
      <c r="LWL175" s="250"/>
      <c r="LWM175" s="250"/>
      <c r="LWN175" s="250"/>
      <c r="LWO175" s="250"/>
      <c r="LWP175" s="250"/>
      <c r="LWQ175" s="250"/>
      <c r="LWR175" s="250"/>
      <c r="LWS175" s="250"/>
      <c r="LWT175" s="250"/>
      <c r="LWU175" s="250"/>
      <c r="LWV175" s="250"/>
      <c r="LWW175" s="250"/>
      <c r="LWX175" s="250"/>
      <c r="LWY175" s="250"/>
      <c r="LWZ175" s="250"/>
      <c r="LXA175" s="250"/>
      <c r="LXB175" s="250"/>
      <c r="LXC175" s="250"/>
      <c r="LXD175" s="250"/>
      <c r="LXE175" s="250"/>
      <c r="LXF175" s="250"/>
      <c r="LXG175" s="250"/>
      <c r="LXH175" s="250"/>
      <c r="LXI175" s="250"/>
      <c r="LXJ175" s="250"/>
      <c r="LXK175" s="250"/>
      <c r="LXL175" s="250"/>
      <c r="LXM175" s="250"/>
      <c r="LXN175" s="250"/>
      <c r="LXO175" s="250"/>
      <c r="LXP175" s="250"/>
      <c r="LXQ175" s="250"/>
      <c r="LXR175" s="250"/>
      <c r="LXS175" s="250"/>
      <c r="LXT175" s="250"/>
      <c r="LXU175" s="250"/>
      <c r="LXV175" s="250"/>
      <c r="LXW175" s="250"/>
      <c r="LXX175" s="250"/>
      <c r="LXY175" s="250"/>
      <c r="LXZ175" s="250"/>
      <c r="LYA175" s="250"/>
      <c r="LYB175" s="250"/>
      <c r="LYC175" s="250"/>
      <c r="LYD175" s="250"/>
      <c r="LYE175" s="250"/>
      <c r="LYF175" s="250"/>
      <c r="LYG175" s="250"/>
      <c r="LYH175" s="250"/>
      <c r="LYI175" s="250"/>
      <c r="LYJ175" s="250"/>
      <c r="LYK175" s="250"/>
      <c r="LYL175" s="250"/>
      <c r="LYM175" s="250"/>
      <c r="LYN175" s="250"/>
      <c r="LYO175" s="250"/>
      <c r="LYP175" s="250"/>
      <c r="LYQ175" s="250"/>
      <c r="LYR175" s="250"/>
      <c r="LYS175" s="250"/>
      <c r="LYT175" s="250"/>
      <c r="LYU175" s="250"/>
      <c r="LYV175" s="250"/>
      <c r="LYW175" s="250"/>
      <c r="LYX175" s="250"/>
      <c r="LYY175" s="250"/>
      <c r="LYZ175" s="250"/>
      <c r="LZA175" s="250"/>
      <c r="LZB175" s="250"/>
      <c r="LZC175" s="250"/>
      <c r="LZD175" s="250"/>
      <c r="LZE175" s="250"/>
      <c r="LZF175" s="250"/>
      <c r="LZG175" s="250"/>
      <c r="LZH175" s="250"/>
      <c r="LZI175" s="250"/>
      <c r="LZJ175" s="250"/>
      <c r="LZK175" s="250"/>
      <c r="LZL175" s="250"/>
      <c r="LZM175" s="250"/>
      <c r="LZN175" s="250"/>
      <c r="LZO175" s="250"/>
      <c r="LZP175" s="250"/>
      <c r="LZQ175" s="250"/>
      <c r="LZR175" s="250"/>
      <c r="LZS175" s="250"/>
      <c r="LZT175" s="250"/>
      <c r="LZU175" s="250"/>
      <c r="LZV175" s="250"/>
      <c r="LZW175" s="250"/>
      <c r="LZX175" s="250"/>
      <c r="LZY175" s="250"/>
      <c r="LZZ175" s="250"/>
      <c r="MAA175" s="250"/>
      <c r="MAB175" s="250"/>
      <c r="MAC175" s="250"/>
      <c r="MAD175" s="250"/>
      <c r="MAE175" s="250"/>
      <c r="MAF175" s="250"/>
      <c r="MAG175" s="250"/>
      <c r="MAH175" s="250"/>
      <c r="MAI175" s="250"/>
      <c r="MAJ175" s="250"/>
      <c r="MAK175" s="250"/>
      <c r="MAL175" s="250"/>
      <c r="MAM175" s="250"/>
      <c r="MAN175" s="250"/>
      <c r="MAO175" s="250"/>
      <c r="MAP175" s="250"/>
      <c r="MAQ175" s="250"/>
      <c r="MAR175" s="250"/>
      <c r="MAS175" s="250"/>
      <c r="MAT175" s="250"/>
      <c r="MAU175" s="250"/>
      <c r="MAV175" s="250"/>
      <c r="MAW175" s="250"/>
      <c r="MAX175" s="250"/>
      <c r="MAY175" s="250"/>
      <c r="MAZ175" s="250"/>
      <c r="MBA175" s="250"/>
      <c r="MBB175" s="250"/>
      <c r="MBC175" s="250"/>
      <c r="MBD175" s="250"/>
      <c r="MBE175" s="250"/>
      <c r="MBF175" s="250"/>
      <c r="MBG175" s="250"/>
      <c r="MBH175" s="250"/>
      <c r="MBI175" s="250"/>
      <c r="MBJ175" s="250"/>
      <c r="MBK175" s="250"/>
      <c r="MBL175" s="250"/>
      <c r="MBM175" s="250"/>
      <c r="MBN175" s="250"/>
      <c r="MBO175" s="250"/>
      <c r="MBP175" s="250"/>
      <c r="MBQ175" s="250"/>
      <c r="MBR175" s="250"/>
      <c r="MBS175" s="250"/>
      <c r="MBT175" s="250"/>
      <c r="MBU175" s="250"/>
      <c r="MBV175" s="250"/>
      <c r="MBW175" s="250"/>
      <c r="MBX175" s="250"/>
      <c r="MBY175" s="250"/>
      <c r="MBZ175" s="250"/>
      <c r="MCA175" s="250"/>
      <c r="MCB175" s="250"/>
      <c r="MCC175" s="250"/>
      <c r="MCD175" s="250"/>
      <c r="MCE175" s="250"/>
      <c r="MCF175" s="250"/>
      <c r="MCG175" s="250"/>
      <c r="MCH175" s="250"/>
      <c r="MCI175" s="250"/>
      <c r="MCJ175" s="250"/>
      <c r="MCK175" s="250"/>
      <c r="MCL175" s="250"/>
      <c r="MCM175" s="250"/>
      <c r="MCN175" s="250"/>
      <c r="MCO175" s="250"/>
      <c r="MCP175" s="250"/>
      <c r="MCQ175" s="250"/>
      <c r="MCR175" s="250"/>
      <c r="MCS175" s="250"/>
      <c r="MCT175" s="250"/>
      <c r="MCU175" s="250"/>
      <c r="MCV175" s="250"/>
      <c r="MCW175" s="250"/>
      <c r="MCX175" s="250"/>
      <c r="MCY175" s="250"/>
      <c r="MCZ175" s="250"/>
      <c r="MDA175" s="250"/>
      <c r="MDB175" s="250"/>
      <c r="MDC175" s="250"/>
      <c r="MDD175" s="250"/>
      <c r="MDE175" s="250"/>
      <c r="MDF175" s="250"/>
      <c r="MDG175" s="250"/>
      <c r="MDH175" s="250"/>
      <c r="MDI175" s="250"/>
      <c r="MDJ175" s="250"/>
      <c r="MDK175" s="250"/>
      <c r="MDL175" s="250"/>
      <c r="MDM175" s="250"/>
      <c r="MDN175" s="250"/>
      <c r="MDO175" s="250"/>
      <c r="MDP175" s="250"/>
      <c r="MDQ175" s="250"/>
      <c r="MDR175" s="250"/>
      <c r="MDS175" s="250"/>
      <c r="MDT175" s="250"/>
      <c r="MDU175" s="250"/>
      <c r="MDV175" s="250"/>
      <c r="MDW175" s="250"/>
      <c r="MDX175" s="250"/>
      <c r="MDY175" s="250"/>
      <c r="MDZ175" s="250"/>
      <c r="MEA175" s="250"/>
      <c r="MEB175" s="250"/>
      <c r="MEC175" s="250"/>
      <c r="MED175" s="250"/>
      <c r="MEE175" s="250"/>
      <c r="MEF175" s="250"/>
      <c r="MEG175" s="250"/>
      <c r="MEH175" s="250"/>
      <c r="MEI175" s="250"/>
      <c r="MEJ175" s="250"/>
      <c r="MEK175" s="250"/>
      <c r="MEL175" s="250"/>
      <c r="MEM175" s="250"/>
      <c r="MEN175" s="250"/>
      <c r="MEO175" s="250"/>
      <c r="MEP175" s="250"/>
      <c r="MEQ175" s="250"/>
      <c r="MER175" s="250"/>
      <c r="MES175" s="250"/>
      <c r="MET175" s="250"/>
      <c r="MEU175" s="250"/>
      <c r="MEV175" s="250"/>
      <c r="MEW175" s="250"/>
      <c r="MEX175" s="250"/>
      <c r="MEY175" s="250"/>
      <c r="MEZ175" s="250"/>
      <c r="MFA175" s="250"/>
      <c r="MFB175" s="250"/>
      <c r="MFC175" s="250"/>
      <c r="MFD175" s="250"/>
      <c r="MFE175" s="250"/>
      <c r="MFF175" s="250"/>
      <c r="MFG175" s="250"/>
      <c r="MFH175" s="250"/>
      <c r="MFI175" s="250"/>
      <c r="MFJ175" s="250"/>
      <c r="MFK175" s="250"/>
      <c r="MFL175" s="250"/>
      <c r="MFM175" s="250"/>
      <c r="MFN175" s="250"/>
      <c r="MFO175" s="250"/>
      <c r="MFP175" s="250"/>
      <c r="MFQ175" s="250"/>
      <c r="MFR175" s="250"/>
      <c r="MFS175" s="250"/>
      <c r="MFT175" s="250"/>
      <c r="MFU175" s="250"/>
      <c r="MFV175" s="250"/>
      <c r="MFW175" s="250"/>
      <c r="MFX175" s="250"/>
      <c r="MFY175" s="250"/>
      <c r="MFZ175" s="250"/>
      <c r="MGA175" s="250"/>
      <c r="MGB175" s="250"/>
      <c r="MGC175" s="250"/>
      <c r="MGD175" s="250"/>
      <c r="MGE175" s="250"/>
      <c r="MGF175" s="250"/>
      <c r="MGG175" s="250"/>
      <c r="MGH175" s="250"/>
      <c r="MGI175" s="250"/>
      <c r="MGJ175" s="250"/>
      <c r="MGK175" s="250"/>
      <c r="MGL175" s="250"/>
      <c r="MGM175" s="250"/>
      <c r="MGN175" s="250"/>
      <c r="MGO175" s="250"/>
      <c r="MGP175" s="250"/>
      <c r="MGQ175" s="250"/>
      <c r="MGR175" s="250"/>
      <c r="MGS175" s="250"/>
      <c r="MGT175" s="250"/>
      <c r="MGU175" s="250"/>
      <c r="MGV175" s="250"/>
      <c r="MGW175" s="250"/>
      <c r="MGX175" s="250"/>
      <c r="MGY175" s="250"/>
      <c r="MGZ175" s="250"/>
      <c r="MHA175" s="250"/>
      <c r="MHB175" s="250"/>
      <c r="MHC175" s="250"/>
      <c r="MHD175" s="250"/>
      <c r="MHE175" s="250"/>
      <c r="MHF175" s="250"/>
      <c r="MHG175" s="250"/>
      <c r="MHH175" s="250"/>
      <c r="MHI175" s="250"/>
      <c r="MHJ175" s="250"/>
      <c r="MHK175" s="250"/>
      <c r="MHL175" s="250"/>
      <c r="MHM175" s="250"/>
      <c r="MHN175" s="250"/>
      <c r="MHO175" s="250"/>
      <c r="MHP175" s="250"/>
      <c r="MHQ175" s="250"/>
      <c r="MHR175" s="250"/>
      <c r="MHS175" s="250"/>
      <c r="MHT175" s="250"/>
      <c r="MHU175" s="250"/>
      <c r="MHV175" s="250"/>
      <c r="MHW175" s="250"/>
      <c r="MHX175" s="250"/>
      <c r="MHY175" s="250"/>
      <c r="MHZ175" s="250"/>
      <c r="MIA175" s="250"/>
      <c r="MIB175" s="250"/>
      <c r="MIC175" s="250"/>
      <c r="MID175" s="250"/>
      <c r="MIE175" s="250"/>
      <c r="MIF175" s="250"/>
      <c r="MIG175" s="250"/>
      <c r="MIH175" s="250"/>
      <c r="MII175" s="250"/>
      <c r="MIJ175" s="250"/>
      <c r="MIK175" s="250"/>
      <c r="MIL175" s="250"/>
      <c r="MIM175" s="250"/>
      <c r="MIN175" s="250"/>
      <c r="MIO175" s="250"/>
      <c r="MIP175" s="250"/>
      <c r="MIQ175" s="250"/>
      <c r="MIR175" s="250"/>
      <c r="MIS175" s="250"/>
      <c r="MIT175" s="250"/>
      <c r="MIU175" s="250"/>
      <c r="MIV175" s="250"/>
      <c r="MIW175" s="250"/>
      <c r="MIX175" s="250"/>
      <c r="MIY175" s="250"/>
      <c r="MIZ175" s="250"/>
      <c r="MJA175" s="250"/>
      <c r="MJB175" s="250"/>
      <c r="MJC175" s="250"/>
      <c r="MJD175" s="250"/>
      <c r="MJE175" s="250"/>
      <c r="MJF175" s="250"/>
      <c r="MJG175" s="250"/>
      <c r="MJH175" s="250"/>
      <c r="MJI175" s="250"/>
      <c r="MJJ175" s="250"/>
      <c r="MJK175" s="250"/>
      <c r="MJL175" s="250"/>
      <c r="MJM175" s="250"/>
      <c r="MJN175" s="250"/>
      <c r="MJO175" s="250"/>
      <c r="MJP175" s="250"/>
      <c r="MJQ175" s="250"/>
      <c r="MJR175" s="250"/>
      <c r="MJS175" s="250"/>
      <c r="MJT175" s="250"/>
      <c r="MJU175" s="250"/>
      <c r="MJV175" s="250"/>
      <c r="MJW175" s="250"/>
      <c r="MJX175" s="250"/>
      <c r="MJY175" s="250"/>
      <c r="MJZ175" s="250"/>
      <c r="MKA175" s="250"/>
      <c r="MKB175" s="250"/>
      <c r="MKC175" s="250"/>
      <c r="MKD175" s="250"/>
      <c r="MKE175" s="250"/>
      <c r="MKF175" s="250"/>
      <c r="MKG175" s="250"/>
      <c r="MKH175" s="250"/>
      <c r="MKI175" s="250"/>
      <c r="MKJ175" s="250"/>
      <c r="MKK175" s="250"/>
      <c r="MKL175" s="250"/>
      <c r="MKM175" s="250"/>
      <c r="MKN175" s="250"/>
      <c r="MKO175" s="250"/>
      <c r="MKP175" s="250"/>
      <c r="MKQ175" s="250"/>
      <c r="MKR175" s="250"/>
      <c r="MKS175" s="250"/>
      <c r="MKT175" s="250"/>
      <c r="MKU175" s="250"/>
      <c r="MKV175" s="250"/>
      <c r="MKW175" s="250"/>
      <c r="MKX175" s="250"/>
      <c r="MKY175" s="250"/>
      <c r="MKZ175" s="250"/>
      <c r="MLA175" s="250"/>
      <c r="MLB175" s="250"/>
      <c r="MLC175" s="250"/>
      <c r="MLD175" s="250"/>
      <c r="MLE175" s="250"/>
      <c r="MLF175" s="250"/>
      <c r="MLG175" s="250"/>
      <c r="MLH175" s="250"/>
      <c r="MLI175" s="250"/>
      <c r="MLJ175" s="250"/>
      <c r="MLK175" s="250"/>
      <c r="MLL175" s="250"/>
      <c r="MLM175" s="250"/>
      <c r="MLN175" s="250"/>
      <c r="MLO175" s="250"/>
      <c r="MLP175" s="250"/>
      <c r="MLQ175" s="250"/>
      <c r="MLR175" s="250"/>
      <c r="MLS175" s="250"/>
      <c r="MLT175" s="250"/>
      <c r="MLU175" s="250"/>
      <c r="MLV175" s="250"/>
      <c r="MLW175" s="250"/>
      <c r="MLX175" s="250"/>
      <c r="MLY175" s="250"/>
      <c r="MLZ175" s="250"/>
      <c r="MMA175" s="250"/>
      <c r="MMB175" s="250"/>
      <c r="MMC175" s="250"/>
      <c r="MMD175" s="250"/>
      <c r="MME175" s="250"/>
      <c r="MMF175" s="250"/>
      <c r="MMG175" s="250"/>
      <c r="MMH175" s="250"/>
      <c r="MMI175" s="250"/>
      <c r="MMJ175" s="250"/>
      <c r="MMK175" s="250"/>
      <c r="MML175" s="250"/>
      <c r="MMM175" s="250"/>
      <c r="MMN175" s="250"/>
      <c r="MMO175" s="250"/>
      <c r="MMP175" s="250"/>
      <c r="MMQ175" s="250"/>
      <c r="MMR175" s="250"/>
      <c r="MMS175" s="250"/>
      <c r="MMT175" s="250"/>
      <c r="MMU175" s="250"/>
      <c r="MMV175" s="250"/>
      <c r="MMW175" s="250"/>
      <c r="MMX175" s="250"/>
      <c r="MMY175" s="250"/>
      <c r="MMZ175" s="250"/>
      <c r="MNA175" s="250"/>
      <c r="MNB175" s="250"/>
      <c r="MNC175" s="250"/>
      <c r="MND175" s="250"/>
      <c r="MNE175" s="250"/>
      <c r="MNF175" s="250"/>
      <c r="MNG175" s="250"/>
      <c r="MNH175" s="250"/>
      <c r="MNI175" s="250"/>
      <c r="MNJ175" s="250"/>
      <c r="MNK175" s="250"/>
      <c r="MNL175" s="250"/>
      <c r="MNM175" s="250"/>
      <c r="MNN175" s="250"/>
      <c r="MNO175" s="250"/>
      <c r="MNP175" s="250"/>
      <c r="MNQ175" s="250"/>
      <c r="MNR175" s="250"/>
      <c r="MNS175" s="250"/>
      <c r="MNT175" s="250"/>
      <c r="MNU175" s="250"/>
      <c r="MNV175" s="250"/>
      <c r="MNW175" s="250"/>
      <c r="MNX175" s="250"/>
      <c r="MNY175" s="250"/>
      <c r="MNZ175" s="250"/>
      <c r="MOA175" s="250"/>
      <c r="MOB175" s="250"/>
      <c r="MOC175" s="250"/>
      <c r="MOD175" s="250"/>
      <c r="MOE175" s="250"/>
      <c r="MOF175" s="250"/>
      <c r="MOG175" s="250"/>
      <c r="MOH175" s="250"/>
      <c r="MOI175" s="250"/>
      <c r="MOJ175" s="250"/>
      <c r="MOK175" s="250"/>
      <c r="MOL175" s="250"/>
      <c r="MOM175" s="250"/>
      <c r="MON175" s="250"/>
      <c r="MOO175" s="250"/>
      <c r="MOP175" s="250"/>
      <c r="MOQ175" s="250"/>
      <c r="MOR175" s="250"/>
      <c r="MOS175" s="250"/>
      <c r="MOT175" s="250"/>
      <c r="MOU175" s="250"/>
      <c r="MOV175" s="250"/>
      <c r="MOW175" s="250"/>
      <c r="MOX175" s="250"/>
      <c r="MOY175" s="250"/>
      <c r="MOZ175" s="250"/>
      <c r="MPA175" s="250"/>
      <c r="MPB175" s="250"/>
      <c r="MPC175" s="250"/>
      <c r="MPD175" s="250"/>
      <c r="MPE175" s="250"/>
      <c r="MPF175" s="250"/>
      <c r="MPG175" s="250"/>
      <c r="MPH175" s="250"/>
      <c r="MPI175" s="250"/>
      <c r="MPJ175" s="250"/>
      <c r="MPK175" s="250"/>
      <c r="MPL175" s="250"/>
      <c r="MPM175" s="250"/>
      <c r="MPN175" s="250"/>
      <c r="MPO175" s="250"/>
      <c r="MPP175" s="250"/>
      <c r="MPQ175" s="250"/>
      <c r="MPR175" s="250"/>
      <c r="MPS175" s="250"/>
      <c r="MPT175" s="250"/>
      <c r="MPU175" s="250"/>
      <c r="MPV175" s="250"/>
      <c r="MPW175" s="250"/>
      <c r="MPX175" s="250"/>
      <c r="MPY175" s="250"/>
      <c r="MPZ175" s="250"/>
      <c r="MQA175" s="250"/>
      <c r="MQB175" s="250"/>
      <c r="MQC175" s="250"/>
      <c r="MQD175" s="250"/>
      <c r="MQE175" s="250"/>
      <c r="MQF175" s="250"/>
      <c r="MQG175" s="250"/>
      <c r="MQH175" s="250"/>
      <c r="MQI175" s="250"/>
      <c r="MQJ175" s="250"/>
      <c r="MQK175" s="250"/>
      <c r="MQL175" s="250"/>
      <c r="MQM175" s="250"/>
      <c r="MQN175" s="250"/>
      <c r="MQO175" s="250"/>
      <c r="MQP175" s="250"/>
      <c r="MQQ175" s="250"/>
      <c r="MQR175" s="250"/>
      <c r="MQS175" s="250"/>
      <c r="MQT175" s="250"/>
      <c r="MQU175" s="250"/>
      <c r="MQV175" s="250"/>
      <c r="MQW175" s="250"/>
      <c r="MQX175" s="250"/>
      <c r="MQY175" s="250"/>
      <c r="MQZ175" s="250"/>
      <c r="MRA175" s="250"/>
      <c r="MRB175" s="250"/>
      <c r="MRC175" s="250"/>
      <c r="MRD175" s="250"/>
      <c r="MRE175" s="250"/>
      <c r="MRF175" s="250"/>
      <c r="MRG175" s="250"/>
      <c r="MRH175" s="250"/>
      <c r="MRI175" s="250"/>
      <c r="MRJ175" s="250"/>
      <c r="MRK175" s="250"/>
      <c r="MRL175" s="250"/>
      <c r="MRM175" s="250"/>
      <c r="MRN175" s="250"/>
      <c r="MRO175" s="250"/>
      <c r="MRP175" s="250"/>
      <c r="MRQ175" s="250"/>
      <c r="MRR175" s="250"/>
      <c r="MRS175" s="250"/>
      <c r="MRT175" s="250"/>
      <c r="MRU175" s="250"/>
      <c r="MRV175" s="250"/>
      <c r="MRW175" s="250"/>
      <c r="MRX175" s="250"/>
      <c r="MRY175" s="250"/>
      <c r="MRZ175" s="250"/>
      <c r="MSA175" s="250"/>
      <c r="MSB175" s="250"/>
      <c r="MSC175" s="250"/>
      <c r="MSD175" s="250"/>
      <c r="MSE175" s="250"/>
      <c r="MSF175" s="250"/>
      <c r="MSG175" s="250"/>
      <c r="MSH175" s="250"/>
      <c r="MSI175" s="250"/>
      <c r="MSJ175" s="250"/>
      <c r="MSK175" s="250"/>
      <c r="MSL175" s="250"/>
      <c r="MSM175" s="250"/>
      <c r="MSN175" s="250"/>
      <c r="MSO175" s="250"/>
      <c r="MSP175" s="250"/>
      <c r="MSQ175" s="250"/>
      <c r="MSR175" s="250"/>
      <c r="MSS175" s="250"/>
      <c r="MST175" s="250"/>
      <c r="MSU175" s="250"/>
      <c r="MSV175" s="250"/>
      <c r="MSW175" s="250"/>
      <c r="MSX175" s="250"/>
      <c r="MSY175" s="250"/>
      <c r="MSZ175" s="250"/>
      <c r="MTA175" s="250"/>
      <c r="MTB175" s="250"/>
      <c r="MTC175" s="250"/>
      <c r="MTD175" s="250"/>
      <c r="MTE175" s="250"/>
      <c r="MTF175" s="250"/>
      <c r="MTG175" s="250"/>
      <c r="MTH175" s="250"/>
      <c r="MTI175" s="250"/>
      <c r="MTJ175" s="250"/>
      <c r="MTK175" s="250"/>
      <c r="MTL175" s="250"/>
      <c r="MTM175" s="250"/>
      <c r="MTN175" s="250"/>
      <c r="MTO175" s="250"/>
      <c r="MTP175" s="250"/>
      <c r="MTQ175" s="250"/>
      <c r="MTR175" s="250"/>
      <c r="MTS175" s="250"/>
      <c r="MTT175" s="250"/>
      <c r="MTU175" s="250"/>
      <c r="MTV175" s="250"/>
      <c r="MTW175" s="250"/>
      <c r="MTX175" s="250"/>
      <c r="MTY175" s="250"/>
      <c r="MTZ175" s="250"/>
      <c r="MUA175" s="250"/>
      <c r="MUB175" s="250"/>
      <c r="MUC175" s="250"/>
      <c r="MUD175" s="250"/>
      <c r="MUE175" s="250"/>
      <c r="MUF175" s="250"/>
      <c r="MUG175" s="250"/>
      <c r="MUH175" s="250"/>
      <c r="MUI175" s="250"/>
      <c r="MUJ175" s="250"/>
      <c r="MUK175" s="250"/>
      <c r="MUL175" s="250"/>
      <c r="MUM175" s="250"/>
      <c r="MUN175" s="250"/>
      <c r="MUO175" s="250"/>
      <c r="MUP175" s="250"/>
      <c r="MUQ175" s="250"/>
      <c r="MUR175" s="250"/>
      <c r="MUS175" s="250"/>
      <c r="MUT175" s="250"/>
      <c r="MUU175" s="250"/>
      <c r="MUV175" s="250"/>
      <c r="MUW175" s="250"/>
      <c r="MUX175" s="250"/>
      <c r="MUY175" s="250"/>
      <c r="MUZ175" s="250"/>
      <c r="MVA175" s="250"/>
      <c r="MVB175" s="250"/>
      <c r="MVC175" s="250"/>
      <c r="MVD175" s="250"/>
      <c r="MVE175" s="250"/>
      <c r="MVF175" s="250"/>
      <c r="MVG175" s="250"/>
      <c r="MVH175" s="250"/>
      <c r="MVI175" s="250"/>
      <c r="MVJ175" s="250"/>
      <c r="MVK175" s="250"/>
      <c r="MVL175" s="250"/>
      <c r="MVM175" s="250"/>
      <c r="MVN175" s="250"/>
      <c r="MVO175" s="250"/>
      <c r="MVP175" s="250"/>
      <c r="MVQ175" s="250"/>
      <c r="MVR175" s="250"/>
      <c r="MVS175" s="250"/>
      <c r="MVT175" s="250"/>
      <c r="MVU175" s="250"/>
      <c r="MVV175" s="250"/>
      <c r="MVW175" s="250"/>
      <c r="MVX175" s="250"/>
      <c r="MVY175" s="250"/>
      <c r="MVZ175" s="250"/>
      <c r="MWA175" s="250"/>
      <c r="MWB175" s="250"/>
      <c r="MWC175" s="250"/>
      <c r="MWD175" s="250"/>
      <c r="MWE175" s="250"/>
      <c r="MWF175" s="250"/>
      <c r="MWG175" s="250"/>
      <c r="MWH175" s="250"/>
      <c r="MWI175" s="250"/>
      <c r="MWJ175" s="250"/>
      <c r="MWK175" s="250"/>
      <c r="MWL175" s="250"/>
      <c r="MWM175" s="250"/>
      <c r="MWN175" s="250"/>
      <c r="MWO175" s="250"/>
      <c r="MWP175" s="250"/>
      <c r="MWQ175" s="250"/>
      <c r="MWR175" s="250"/>
      <c r="MWS175" s="250"/>
      <c r="MWT175" s="250"/>
      <c r="MWU175" s="250"/>
      <c r="MWV175" s="250"/>
      <c r="MWW175" s="250"/>
      <c r="MWX175" s="250"/>
      <c r="MWY175" s="250"/>
      <c r="MWZ175" s="250"/>
      <c r="MXA175" s="250"/>
      <c r="MXB175" s="250"/>
      <c r="MXC175" s="250"/>
      <c r="MXD175" s="250"/>
      <c r="MXE175" s="250"/>
      <c r="MXF175" s="250"/>
      <c r="MXG175" s="250"/>
      <c r="MXH175" s="250"/>
      <c r="MXI175" s="250"/>
      <c r="MXJ175" s="250"/>
      <c r="MXK175" s="250"/>
      <c r="MXL175" s="250"/>
      <c r="MXM175" s="250"/>
      <c r="MXN175" s="250"/>
      <c r="MXO175" s="250"/>
      <c r="MXP175" s="250"/>
      <c r="MXQ175" s="250"/>
      <c r="MXR175" s="250"/>
      <c r="MXS175" s="250"/>
      <c r="MXT175" s="250"/>
      <c r="MXU175" s="250"/>
      <c r="MXV175" s="250"/>
      <c r="MXW175" s="250"/>
      <c r="MXX175" s="250"/>
      <c r="MXY175" s="250"/>
      <c r="MXZ175" s="250"/>
      <c r="MYA175" s="250"/>
      <c r="MYB175" s="250"/>
      <c r="MYC175" s="250"/>
      <c r="MYD175" s="250"/>
      <c r="MYE175" s="250"/>
      <c r="MYF175" s="250"/>
      <c r="MYG175" s="250"/>
      <c r="MYH175" s="250"/>
      <c r="MYI175" s="250"/>
      <c r="MYJ175" s="250"/>
      <c r="MYK175" s="250"/>
      <c r="MYL175" s="250"/>
      <c r="MYM175" s="250"/>
      <c r="MYN175" s="250"/>
      <c r="MYO175" s="250"/>
      <c r="MYP175" s="250"/>
      <c r="MYQ175" s="250"/>
      <c r="MYR175" s="250"/>
      <c r="MYS175" s="250"/>
      <c r="MYT175" s="250"/>
      <c r="MYU175" s="250"/>
      <c r="MYV175" s="250"/>
      <c r="MYW175" s="250"/>
      <c r="MYX175" s="250"/>
      <c r="MYY175" s="250"/>
      <c r="MYZ175" s="250"/>
      <c r="MZA175" s="250"/>
      <c r="MZB175" s="250"/>
      <c r="MZC175" s="250"/>
      <c r="MZD175" s="250"/>
      <c r="MZE175" s="250"/>
      <c r="MZF175" s="250"/>
      <c r="MZG175" s="250"/>
      <c r="MZH175" s="250"/>
      <c r="MZI175" s="250"/>
      <c r="MZJ175" s="250"/>
      <c r="MZK175" s="250"/>
      <c r="MZL175" s="250"/>
      <c r="MZM175" s="250"/>
      <c r="MZN175" s="250"/>
      <c r="MZO175" s="250"/>
      <c r="MZP175" s="250"/>
      <c r="MZQ175" s="250"/>
      <c r="MZR175" s="250"/>
      <c r="MZS175" s="250"/>
      <c r="MZT175" s="250"/>
      <c r="MZU175" s="250"/>
      <c r="MZV175" s="250"/>
      <c r="MZW175" s="250"/>
      <c r="MZX175" s="250"/>
      <c r="MZY175" s="250"/>
      <c r="MZZ175" s="250"/>
      <c r="NAA175" s="250"/>
      <c r="NAB175" s="250"/>
      <c r="NAC175" s="250"/>
      <c r="NAD175" s="250"/>
      <c r="NAE175" s="250"/>
      <c r="NAF175" s="250"/>
      <c r="NAG175" s="250"/>
      <c r="NAH175" s="250"/>
      <c r="NAI175" s="250"/>
      <c r="NAJ175" s="250"/>
      <c r="NAK175" s="250"/>
      <c r="NAL175" s="250"/>
      <c r="NAM175" s="250"/>
      <c r="NAN175" s="250"/>
      <c r="NAO175" s="250"/>
      <c r="NAP175" s="250"/>
      <c r="NAQ175" s="250"/>
      <c r="NAR175" s="250"/>
      <c r="NAS175" s="250"/>
      <c r="NAT175" s="250"/>
      <c r="NAU175" s="250"/>
      <c r="NAV175" s="250"/>
      <c r="NAW175" s="250"/>
      <c r="NAX175" s="250"/>
      <c r="NAY175" s="250"/>
      <c r="NAZ175" s="250"/>
      <c r="NBA175" s="250"/>
      <c r="NBB175" s="250"/>
      <c r="NBC175" s="250"/>
      <c r="NBD175" s="250"/>
      <c r="NBE175" s="250"/>
      <c r="NBF175" s="250"/>
      <c r="NBG175" s="250"/>
      <c r="NBH175" s="250"/>
      <c r="NBI175" s="250"/>
      <c r="NBJ175" s="250"/>
      <c r="NBK175" s="250"/>
      <c r="NBL175" s="250"/>
      <c r="NBM175" s="250"/>
      <c r="NBN175" s="250"/>
      <c r="NBO175" s="250"/>
      <c r="NBP175" s="250"/>
      <c r="NBQ175" s="250"/>
      <c r="NBR175" s="250"/>
      <c r="NBS175" s="250"/>
      <c r="NBT175" s="250"/>
      <c r="NBU175" s="250"/>
      <c r="NBV175" s="250"/>
      <c r="NBW175" s="250"/>
      <c r="NBX175" s="250"/>
      <c r="NBY175" s="250"/>
      <c r="NBZ175" s="250"/>
      <c r="NCA175" s="250"/>
      <c r="NCB175" s="250"/>
      <c r="NCC175" s="250"/>
      <c r="NCD175" s="250"/>
      <c r="NCE175" s="250"/>
      <c r="NCF175" s="250"/>
      <c r="NCG175" s="250"/>
      <c r="NCH175" s="250"/>
      <c r="NCI175" s="250"/>
      <c r="NCJ175" s="250"/>
      <c r="NCK175" s="250"/>
      <c r="NCL175" s="250"/>
      <c r="NCM175" s="250"/>
      <c r="NCN175" s="250"/>
      <c r="NCO175" s="250"/>
      <c r="NCP175" s="250"/>
      <c r="NCQ175" s="250"/>
      <c r="NCR175" s="250"/>
      <c r="NCS175" s="250"/>
      <c r="NCT175" s="250"/>
      <c r="NCU175" s="250"/>
      <c r="NCV175" s="250"/>
      <c r="NCW175" s="250"/>
      <c r="NCX175" s="250"/>
      <c r="NCY175" s="250"/>
      <c r="NCZ175" s="250"/>
      <c r="NDA175" s="250"/>
      <c r="NDB175" s="250"/>
      <c r="NDC175" s="250"/>
      <c r="NDD175" s="250"/>
      <c r="NDE175" s="250"/>
      <c r="NDF175" s="250"/>
      <c r="NDG175" s="250"/>
      <c r="NDH175" s="250"/>
      <c r="NDI175" s="250"/>
      <c r="NDJ175" s="250"/>
      <c r="NDK175" s="250"/>
      <c r="NDL175" s="250"/>
      <c r="NDM175" s="250"/>
      <c r="NDN175" s="250"/>
      <c r="NDO175" s="250"/>
      <c r="NDP175" s="250"/>
      <c r="NDQ175" s="250"/>
      <c r="NDR175" s="250"/>
      <c r="NDS175" s="250"/>
      <c r="NDT175" s="250"/>
      <c r="NDU175" s="250"/>
      <c r="NDV175" s="250"/>
      <c r="NDW175" s="250"/>
      <c r="NDX175" s="250"/>
      <c r="NDY175" s="250"/>
      <c r="NDZ175" s="250"/>
      <c r="NEA175" s="250"/>
      <c r="NEB175" s="250"/>
      <c r="NEC175" s="250"/>
      <c r="NED175" s="250"/>
      <c r="NEE175" s="250"/>
      <c r="NEF175" s="250"/>
      <c r="NEG175" s="250"/>
      <c r="NEH175" s="250"/>
      <c r="NEI175" s="250"/>
      <c r="NEJ175" s="250"/>
      <c r="NEK175" s="250"/>
      <c r="NEL175" s="250"/>
      <c r="NEM175" s="250"/>
      <c r="NEN175" s="250"/>
      <c r="NEO175" s="250"/>
      <c r="NEP175" s="250"/>
      <c r="NEQ175" s="250"/>
      <c r="NER175" s="250"/>
      <c r="NES175" s="250"/>
      <c r="NET175" s="250"/>
      <c r="NEU175" s="250"/>
      <c r="NEV175" s="250"/>
      <c r="NEW175" s="250"/>
      <c r="NEX175" s="250"/>
      <c r="NEY175" s="250"/>
      <c r="NEZ175" s="250"/>
      <c r="NFA175" s="250"/>
      <c r="NFB175" s="250"/>
      <c r="NFC175" s="250"/>
      <c r="NFD175" s="250"/>
      <c r="NFE175" s="250"/>
      <c r="NFF175" s="250"/>
      <c r="NFG175" s="250"/>
      <c r="NFH175" s="250"/>
      <c r="NFI175" s="250"/>
      <c r="NFJ175" s="250"/>
      <c r="NFK175" s="250"/>
      <c r="NFL175" s="250"/>
      <c r="NFM175" s="250"/>
      <c r="NFN175" s="250"/>
      <c r="NFO175" s="250"/>
      <c r="NFP175" s="250"/>
      <c r="NFQ175" s="250"/>
      <c r="NFR175" s="250"/>
      <c r="NFS175" s="250"/>
      <c r="NFT175" s="250"/>
      <c r="NFU175" s="250"/>
      <c r="NFV175" s="250"/>
      <c r="NFW175" s="250"/>
      <c r="NFX175" s="250"/>
      <c r="NFY175" s="250"/>
      <c r="NFZ175" s="250"/>
      <c r="NGA175" s="250"/>
      <c r="NGB175" s="250"/>
      <c r="NGC175" s="250"/>
      <c r="NGD175" s="250"/>
      <c r="NGE175" s="250"/>
      <c r="NGF175" s="250"/>
      <c r="NGG175" s="250"/>
      <c r="NGH175" s="250"/>
      <c r="NGI175" s="250"/>
      <c r="NGJ175" s="250"/>
      <c r="NGK175" s="250"/>
      <c r="NGL175" s="250"/>
      <c r="NGM175" s="250"/>
      <c r="NGN175" s="250"/>
      <c r="NGO175" s="250"/>
      <c r="NGP175" s="250"/>
      <c r="NGQ175" s="250"/>
      <c r="NGR175" s="250"/>
      <c r="NGS175" s="250"/>
      <c r="NGT175" s="250"/>
      <c r="NGU175" s="250"/>
      <c r="NGV175" s="250"/>
      <c r="NGW175" s="250"/>
      <c r="NGX175" s="250"/>
      <c r="NGY175" s="250"/>
      <c r="NGZ175" s="250"/>
      <c r="NHA175" s="250"/>
      <c r="NHB175" s="250"/>
      <c r="NHC175" s="250"/>
      <c r="NHD175" s="250"/>
      <c r="NHE175" s="250"/>
      <c r="NHF175" s="250"/>
      <c r="NHG175" s="250"/>
      <c r="NHH175" s="250"/>
      <c r="NHI175" s="250"/>
      <c r="NHJ175" s="250"/>
      <c r="NHK175" s="250"/>
      <c r="NHL175" s="250"/>
      <c r="NHM175" s="250"/>
      <c r="NHN175" s="250"/>
      <c r="NHO175" s="250"/>
      <c r="NHP175" s="250"/>
      <c r="NHQ175" s="250"/>
      <c r="NHR175" s="250"/>
      <c r="NHS175" s="250"/>
      <c r="NHT175" s="250"/>
      <c r="NHU175" s="250"/>
      <c r="NHV175" s="250"/>
      <c r="NHW175" s="250"/>
      <c r="NHX175" s="250"/>
      <c r="NHY175" s="250"/>
      <c r="NHZ175" s="250"/>
      <c r="NIA175" s="250"/>
      <c r="NIB175" s="250"/>
      <c r="NIC175" s="250"/>
      <c r="NID175" s="250"/>
      <c r="NIE175" s="250"/>
      <c r="NIF175" s="250"/>
      <c r="NIG175" s="250"/>
      <c r="NIH175" s="250"/>
      <c r="NII175" s="250"/>
      <c r="NIJ175" s="250"/>
      <c r="NIK175" s="250"/>
      <c r="NIL175" s="250"/>
      <c r="NIM175" s="250"/>
      <c r="NIN175" s="250"/>
      <c r="NIO175" s="250"/>
      <c r="NIP175" s="250"/>
      <c r="NIQ175" s="250"/>
      <c r="NIR175" s="250"/>
      <c r="NIS175" s="250"/>
      <c r="NIT175" s="250"/>
      <c r="NIU175" s="250"/>
      <c r="NIV175" s="250"/>
      <c r="NIW175" s="250"/>
      <c r="NIX175" s="250"/>
      <c r="NIY175" s="250"/>
      <c r="NIZ175" s="250"/>
      <c r="NJA175" s="250"/>
      <c r="NJB175" s="250"/>
      <c r="NJC175" s="250"/>
      <c r="NJD175" s="250"/>
      <c r="NJE175" s="250"/>
      <c r="NJF175" s="250"/>
      <c r="NJG175" s="250"/>
      <c r="NJH175" s="250"/>
      <c r="NJI175" s="250"/>
      <c r="NJJ175" s="250"/>
      <c r="NJK175" s="250"/>
      <c r="NJL175" s="250"/>
      <c r="NJM175" s="250"/>
      <c r="NJN175" s="250"/>
      <c r="NJO175" s="250"/>
      <c r="NJP175" s="250"/>
      <c r="NJQ175" s="250"/>
      <c r="NJR175" s="250"/>
      <c r="NJS175" s="250"/>
      <c r="NJT175" s="250"/>
      <c r="NJU175" s="250"/>
      <c r="NJV175" s="250"/>
      <c r="NJW175" s="250"/>
      <c r="NJX175" s="250"/>
      <c r="NJY175" s="250"/>
      <c r="NJZ175" s="250"/>
      <c r="NKA175" s="250"/>
      <c r="NKB175" s="250"/>
      <c r="NKC175" s="250"/>
      <c r="NKD175" s="250"/>
      <c r="NKE175" s="250"/>
      <c r="NKF175" s="250"/>
      <c r="NKG175" s="250"/>
      <c r="NKH175" s="250"/>
      <c r="NKI175" s="250"/>
      <c r="NKJ175" s="250"/>
      <c r="NKK175" s="250"/>
      <c r="NKL175" s="250"/>
      <c r="NKM175" s="250"/>
      <c r="NKN175" s="250"/>
      <c r="NKO175" s="250"/>
      <c r="NKP175" s="250"/>
      <c r="NKQ175" s="250"/>
      <c r="NKR175" s="250"/>
      <c r="NKS175" s="250"/>
      <c r="NKT175" s="250"/>
      <c r="NKU175" s="250"/>
      <c r="NKV175" s="250"/>
      <c r="NKW175" s="250"/>
      <c r="NKX175" s="250"/>
      <c r="NKY175" s="250"/>
      <c r="NKZ175" s="250"/>
      <c r="NLA175" s="250"/>
      <c r="NLB175" s="250"/>
      <c r="NLC175" s="250"/>
      <c r="NLD175" s="250"/>
      <c r="NLE175" s="250"/>
      <c r="NLF175" s="250"/>
      <c r="NLG175" s="250"/>
      <c r="NLH175" s="250"/>
      <c r="NLI175" s="250"/>
      <c r="NLJ175" s="250"/>
      <c r="NLK175" s="250"/>
      <c r="NLL175" s="250"/>
      <c r="NLM175" s="250"/>
      <c r="NLN175" s="250"/>
      <c r="NLO175" s="250"/>
      <c r="NLP175" s="250"/>
      <c r="NLQ175" s="250"/>
      <c r="NLR175" s="250"/>
      <c r="NLS175" s="250"/>
      <c r="NLT175" s="250"/>
      <c r="NLU175" s="250"/>
      <c r="NLV175" s="250"/>
      <c r="NLW175" s="250"/>
      <c r="NLX175" s="250"/>
      <c r="NLY175" s="250"/>
      <c r="NLZ175" s="250"/>
      <c r="NMA175" s="250"/>
      <c r="NMB175" s="250"/>
      <c r="NMC175" s="250"/>
      <c r="NMD175" s="250"/>
      <c r="NME175" s="250"/>
      <c r="NMF175" s="250"/>
      <c r="NMG175" s="250"/>
      <c r="NMH175" s="250"/>
      <c r="NMI175" s="250"/>
      <c r="NMJ175" s="250"/>
      <c r="NMK175" s="250"/>
      <c r="NML175" s="250"/>
      <c r="NMM175" s="250"/>
      <c r="NMN175" s="250"/>
      <c r="NMO175" s="250"/>
      <c r="NMP175" s="250"/>
      <c r="NMQ175" s="250"/>
      <c r="NMR175" s="250"/>
      <c r="NMS175" s="250"/>
      <c r="NMT175" s="250"/>
      <c r="NMU175" s="250"/>
      <c r="NMV175" s="250"/>
      <c r="NMW175" s="250"/>
      <c r="NMX175" s="250"/>
      <c r="NMY175" s="250"/>
      <c r="NMZ175" s="250"/>
      <c r="NNA175" s="250"/>
      <c r="NNB175" s="250"/>
      <c r="NNC175" s="250"/>
      <c r="NND175" s="250"/>
      <c r="NNE175" s="250"/>
      <c r="NNF175" s="250"/>
      <c r="NNG175" s="250"/>
      <c r="NNH175" s="250"/>
      <c r="NNI175" s="250"/>
      <c r="NNJ175" s="250"/>
      <c r="NNK175" s="250"/>
      <c r="NNL175" s="250"/>
      <c r="NNM175" s="250"/>
      <c r="NNN175" s="250"/>
      <c r="NNO175" s="250"/>
      <c r="NNP175" s="250"/>
      <c r="NNQ175" s="250"/>
      <c r="NNR175" s="250"/>
      <c r="NNS175" s="250"/>
      <c r="NNT175" s="250"/>
      <c r="NNU175" s="250"/>
      <c r="NNV175" s="250"/>
      <c r="NNW175" s="250"/>
      <c r="NNX175" s="250"/>
      <c r="NNY175" s="250"/>
      <c r="NNZ175" s="250"/>
      <c r="NOA175" s="250"/>
      <c r="NOB175" s="250"/>
      <c r="NOC175" s="250"/>
      <c r="NOD175" s="250"/>
      <c r="NOE175" s="250"/>
      <c r="NOF175" s="250"/>
      <c r="NOG175" s="250"/>
      <c r="NOH175" s="250"/>
      <c r="NOI175" s="250"/>
      <c r="NOJ175" s="250"/>
      <c r="NOK175" s="250"/>
      <c r="NOL175" s="250"/>
      <c r="NOM175" s="250"/>
      <c r="NON175" s="250"/>
      <c r="NOO175" s="250"/>
      <c r="NOP175" s="250"/>
      <c r="NOQ175" s="250"/>
      <c r="NOR175" s="250"/>
      <c r="NOS175" s="250"/>
      <c r="NOT175" s="250"/>
      <c r="NOU175" s="250"/>
      <c r="NOV175" s="250"/>
      <c r="NOW175" s="250"/>
      <c r="NOX175" s="250"/>
      <c r="NOY175" s="250"/>
      <c r="NOZ175" s="250"/>
      <c r="NPA175" s="250"/>
      <c r="NPB175" s="250"/>
      <c r="NPC175" s="250"/>
      <c r="NPD175" s="250"/>
      <c r="NPE175" s="250"/>
      <c r="NPF175" s="250"/>
      <c r="NPG175" s="250"/>
      <c r="NPH175" s="250"/>
      <c r="NPI175" s="250"/>
      <c r="NPJ175" s="250"/>
      <c r="NPK175" s="250"/>
      <c r="NPL175" s="250"/>
      <c r="NPM175" s="250"/>
      <c r="NPN175" s="250"/>
      <c r="NPO175" s="250"/>
      <c r="NPP175" s="250"/>
      <c r="NPQ175" s="250"/>
      <c r="NPR175" s="250"/>
      <c r="NPS175" s="250"/>
      <c r="NPT175" s="250"/>
      <c r="NPU175" s="250"/>
      <c r="NPV175" s="250"/>
      <c r="NPW175" s="250"/>
      <c r="NPX175" s="250"/>
      <c r="NPY175" s="250"/>
      <c r="NPZ175" s="250"/>
      <c r="NQA175" s="250"/>
      <c r="NQB175" s="250"/>
      <c r="NQC175" s="250"/>
      <c r="NQD175" s="250"/>
      <c r="NQE175" s="250"/>
      <c r="NQF175" s="250"/>
      <c r="NQG175" s="250"/>
      <c r="NQH175" s="250"/>
      <c r="NQI175" s="250"/>
      <c r="NQJ175" s="250"/>
      <c r="NQK175" s="250"/>
      <c r="NQL175" s="250"/>
      <c r="NQM175" s="250"/>
      <c r="NQN175" s="250"/>
      <c r="NQO175" s="250"/>
      <c r="NQP175" s="250"/>
      <c r="NQQ175" s="250"/>
      <c r="NQR175" s="250"/>
      <c r="NQS175" s="250"/>
      <c r="NQT175" s="250"/>
      <c r="NQU175" s="250"/>
      <c r="NQV175" s="250"/>
      <c r="NQW175" s="250"/>
      <c r="NQX175" s="250"/>
      <c r="NQY175" s="250"/>
      <c r="NQZ175" s="250"/>
      <c r="NRA175" s="250"/>
      <c r="NRB175" s="250"/>
      <c r="NRC175" s="250"/>
      <c r="NRD175" s="250"/>
      <c r="NRE175" s="250"/>
      <c r="NRF175" s="250"/>
      <c r="NRG175" s="250"/>
      <c r="NRH175" s="250"/>
      <c r="NRI175" s="250"/>
      <c r="NRJ175" s="250"/>
      <c r="NRK175" s="250"/>
      <c r="NRL175" s="250"/>
      <c r="NRM175" s="250"/>
      <c r="NRN175" s="250"/>
      <c r="NRO175" s="250"/>
      <c r="NRP175" s="250"/>
      <c r="NRQ175" s="250"/>
      <c r="NRR175" s="250"/>
      <c r="NRS175" s="250"/>
      <c r="NRT175" s="250"/>
      <c r="NRU175" s="250"/>
      <c r="NRV175" s="250"/>
      <c r="NRW175" s="250"/>
      <c r="NRX175" s="250"/>
      <c r="NRY175" s="250"/>
      <c r="NRZ175" s="250"/>
      <c r="NSA175" s="250"/>
      <c r="NSB175" s="250"/>
      <c r="NSC175" s="250"/>
      <c r="NSD175" s="250"/>
      <c r="NSE175" s="250"/>
      <c r="NSF175" s="250"/>
      <c r="NSG175" s="250"/>
      <c r="NSH175" s="250"/>
      <c r="NSI175" s="250"/>
      <c r="NSJ175" s="250"/>
      <c r="NSK175" s="250"/>
      <c r="NSL175" s="250"/>
      <c r="NSM175" s="250"/>
      <c r="NSN175" s="250"/>
      <c r="NSO175" s="250"/>
      <c r="NSP175" s="250"/>
      <c r="NSQ175" s="250"/>
      <c r="NSR175" s="250"/>
      <c r="NSS175" s="250"/>
      <c r="NST175" s="250"/>
      <c r="NSU175" s="250"/>
      <c r="NSV175" s="250"/>
      <c r="NSW175" s="250"/>
      <c r="NSX175" s="250"/>
      <c r="NSY175" s="250"/>
      <c r="NSZ175" s="250"/>
      <c r="NTA175" s="250"/>
      <c r="NTB175" s="250"/>
      <c r="NTC175" s="250"/>
      <c r="NTD175" s="250"/>
      <c r="NTE175" s="250"/>
      <c r="NTF175" s="250"/>
      <c r="NTG175" s="250"/>
      <c r="NTH175" s="250"/>
      <c r="NTI175" s="250"/>
      <c r="NTJ175" s="250"/>
      <c r="NTK175" s="250"/>
      <c r="NTL175" s="250"/>
      <c r="NTM175" s="250"/>
      <c r="NTN175" s="250"/>
      <c r="NTO175" s="250"/>
      <c r="NTP175" s="250"/>
      <c r="NTQ175" s="250"/>
      <c r="NTR175" s="250"/>
      <c r="NTS175" s="250"/>
      <c r="NTT175" s="250"/>
      <c r="NTU175" s="250"/>
      <c r="NTV175" s="250"/>
      <c r="NTW175" s="250"/>
      <c r="NTX175" s="250"/>
      <c r="NTY175" s="250"/>
      <c r="NTZ175" s="250"/>
      <c r="NUA175" s="250"/>
      <c r="NUB175" s="250"/>
      <c r="NUC175" s="250"/>
      <c r="NUD175" s="250"/>
      <c r="NUE175" s="250"/>
      <c r="NUF175" s="250"/>
      <c r="NUG175" s="250"/>
      <c r="NUH175" s="250"/>
      <c r="NUI175" s="250"/>
      <c r="NUJ175" s="250"/>
      <c r="NUK175" s="250"/>
      <c r="NUL175" s="250"/>
      <c r="NUM175" s="250"/>
      <c r="NUN175" s="250"/>
      <c r="NUO175" s="250"/>
      <c r="NUP175" s="250"/>
      <c r="NUQ175" s="250"/>
      <c r="NUR175" s="250"/>
      <c r="NUS175" s="250"/>
      <c r="NUT175" s="250"/>
      <c r="NUU175" s="250"/>
      <c r="NUV175" s="250"/>
      <c r="NUW175" s="250"/>
      <c r="NUX175" s="250"/>
      <c r="NUY175" s="250"/>
      <c r="NUZ175" s="250"/>
      <c r="NVA175" s="250"/>
      <c r="NVB175" s="250"/>
      <c r="NVC175" s="250"/>
      <c r="NVD175" s="250"/>
      <c r="NVE175" s="250"/>
      <c r="NVF175" s="250"/>
      <c r="NVG175" s="250"/>
      <c r="NVH175" s="250"/>
      <c r="NVI175" s="250"/>
      <c r="NVJ175" s="250"/>
      <c r="NVK175" s="250"/>
      <c r="NVL175" s="250"/>
      <c r="NVM175" s="250"/>
      <c r="NVN175" s="250"/>
      <c r="NVO175" s="250"/>
      <c r="NVP175" s="250"/>
      <c r="NVQ175" s="250"/>
      <c r="NVR175" s="250"/>
      <c r="NVS175" s="250"/>
      <c r="NVT175" s="250"/>
      <c r="NVU175" s="250"/>
      <c r="NVV175" s="250"/>
      <c r="NVW175" s="250"/>
      <c r="NVX175" s="250"/>
      <c r="NVY175" s="250"/>
      <c r="NVZ175" s="250"/>
      <c r="NWA175" s="250"/>
      <c r="NWB175" s="250"/>
      <c r="NWC175" s="250"/>
      <c r="NWD175" s="250"/>
      <c r="NWE175" s="250"/>
      <c r="NWF175" s="250"/>
      <c r="NWG175" s="250"/>
      <c r="NWH175" s="250"/>
      <c r="NWI175" s="250"/>
      <c r="NWJ175" s="250"/>
      <c r="NWK175" s="250"/>
      <c r="NWL175" s="250"/>
      <c r="NWM175" s="250"/>
      <c r="NWN175" s="250"/>
      <c r="NWO175" s="250"/>
      <c r="NWP175" s="250"/>
      <c r="NWQ175" s="250"/>
      <c r="NWR175" s="250"/>
      <c r="NWS175" s="250"/>
      <c r="NWT175" s="250"/>
      <c r="NWU175" s="250"/>
      <c r="NWV175" s="250"/>
      <c r="NWW175" s="250"/>
      <c r="NWX175" s="250"/>
      <c r="NWY175" s="250"/>
      <c r="NWZ175" s="250"/>
      <c r="NXA175" s="250"/>
      <c r="NXB175" s="250"/>
      <c r="NXC175" s="250"/>
      <c r="NXD175" s="250"/>
      <c r="NXE175" s="250"/>
      <c r="NXF175" s="250"/>
      <c r="NXG175" s="250"/>
      <c r="NXH175" s="250"/>
      <c r="NXI175" s="250"/>
      <c r="NXJ175" s="250"/>
      <c r="NXK175" s="250"/>
      <c r="NXL175" s="250"/>
      <c r="NXM175" s="250"/>
      <c r="NXN175" s="250"/>
      <c r="NXO175" s="250"/>
      <c r="NXP175" s="250"/>
      <c r="NXQ175" s="250"/>
      <c r="NXR175" s="250"/>
      <c r="NXS175" s="250"/>
      <c r="NXT175" s="250"/>
      <c r="NXU175" s="250"/>
      <c r="NXV175" s="250"/>
      <c r="NXW175" s="250"/>
      <c r="NXX175" s="250"/>
      <c r="NXY175" s="250"/>
      <c r="NXZ175" s="250"/>
      <c r="NYA175" s="250"/>
      <c r="NYB175" s="250"/>
      <c r="NYC175" s="250"/>
      <c r="NYD175" s="250"/>
      <c r="NYE175" s="250"/>
      <c r="NYF175" s="250"/>
      <c r="NYG175" s="250"/>
      <c r="NYH175" s="250"/>
      <c r="NYI175" s="250"/>
      <c r="NYJ175" s="250"/>
      <c r="NYK175" s="250"/>
      <c r="NYL175" s="250"/>
      <c r="NYM175" s="250"/>
      <c r="NYN175" s="250"/>
      <c r="NYO175" s="250"/>
      <c r="NYP175" s="250"/>
      <c r="NYQ175" s="250"/>
      <c r="NYR175" s="250"/>
      <c r="NYS175" s="250"/>
      <c r="NYT175" s="250"/>
      <c r="NYU175" s="250"/>
      <c r="NYV175" s="250"/>
      <c r="NYW175" s="250"/>
      <c r="NYX175" s="250"/>
      <c r="NYY175" s="250"/>
      <c r="NYZ175" s="250"/>
      <c r="NZA175" s="250"/>
      <c r="NZB175" s="250"/>
      <c r="NZC175" s="250"/>
      <c r="NZD175" s="250"/>
      <c r="NZE175" s="250"/>
      <c r="NZF175" s="250"/>
      <c r="NZG175" s="250"/>
      <c r="NZH175" s="250"/>
      <c r="NZI175" s="250"/>
      <c r="NZJ175" s="250"/>
      <c r="NZK175" s="250"/>
      <c r="NZL175" s="250"/>
      <c r="NZM175" s="250"/>
      <c r="NZN175" s="250"/>
      <c r="NZO175" s="250"/>
      <c r="NZP175" s="250"/>
      <c r="NZQ175" s="250"/>
      <c r="NZR175" s="250"/>
      <c r="NZS175" s="250"/>
      <c r="NZT175" s="250"/>
      <c r="NZU175" s="250"/>
      <c r="NZV175" s="250"/>
      <c r="NZW175" s="250"/>
      <c r="NZX175" s="250"/>
      <c r="NZY175" s="250"/>
      <c r="NZZ175" s="250"/>
      <c r="OAA175" s="250"/>
      <c r="OAB175" s="250"/>
      <c r="OAC175" s="250"/>
      <c r="OAD175" s="250"/>
      <c r="OAE175" s="250"/>
      <c r="OAF175" s="250"/>
      <c r="OAG175" s="250"/>
      <c r="OAH175" s="250"/>
      <c r="OAI175" s="250"/>
      <c r="OAJ175" s="250"/>
      <c r="OAK175" s="250"/>
      <c r="OAL175" s="250"/>
      <c r="OAM175" s="250"/>
      <c r="OAN175" s="250"/>
      <c r="OAO175" s="250"/>
      <c r="OAP175" s="250"/>
      <c r="OAQ175" s="250"/>
      <c r="OAR175" s="250"/>
      <c r="OAS175" s="250"/>
      <c r="OAT175" s="250"/>
      <c r="OAU175" s="250"/>
      <c r="OAV175" s="250"/>
      <c r="OAW175" s="250"/>
      <c r="OAX175" s="250"/>
      <c r="OAY175" s="250"/>
      <c r="OAZ175" s="250"/>
      <c r="OBA175" s="250"/>
      <c r="OBB175" s="250"/>
      <c r="OBC175" s="250"/>
      <c r="OBD175" s="250"/>
      <c r="OBE175" s="250"/>
      <c r="OBF175" s="250"/>
      <c r="OBG175" s="250"/>
      <c r="OBH175" s="250"/>
      <c r="OBI175" s="250"/>
      <c r="OBJ175" s="250"/>
      <c r="OBK175" s="250"/>
      <c r="OBL175" s="250"/>
      <c r="OBM175" s="250"/>
      <c r="OBN175" s="250"/>
      <c r="OBO175" s="250"/>
      <c r="OBP175" s="250"/>
      <c r="OBQ175" s="250"/>
      <c r="OBR175" s="250"/>
      <c r="OBS175" s="250"/>
      <c r="OBT175" s="250"/>
      <c r="OBU175" s="250"/>
      <c r="OBV175" s="250"/>
      <c r="OBW175" s="250"/>
      <c r="OBX175" s="250"/>
      <c r="OBY175" s="250"/>
      <c r="OBZ175" s="250"/>
      <c r="OCA175" s="250"/>
      <c r="OCB175" s="250"/>
      <c r="OCC175" s="250"/>
      <c r="OCD175" s="250"/>
      <c r="OCE175" s="250"/>
      <c r="OCF175" s="250"/>
      <c r="OCG175" s="250"/>
      <c r="OCH175" s="250"/>
      <c r="OCI175" s="250"/>
      <c r="OCJ175" s="250"/>
      <c r="OCK175" s="250"/>
      <c r="OCL175" s="250"/>
      <c r="OCM175" s="250"/>
      <c r="OCN175" s="250"/>
      <c r="OCO175" s="250"/>
      <c r="OCP175" s="250"/>
      <c r="OCQ175" s="250"/>
      <c r="OCR175" s="250"/>
      <c r="OCS175" s="250"/>
      <c r="OCT175" s="250"/>
      <c r="OCU175" s="250"/>
      <c r="OCV175" s="250"/>
      <c r="OCW175" s="250"/>
      <c r="OCX175" s="250"/>
      <c r="OCY175" s="250"/>
      <c r="OCZ175" s="250"/>
      <c r="ODA175" s="250"/>
      <c r="ODB175" s="250"/>
      <c r="ODC175" s="250"/>
      <c r="ODD175" s="250"/>
      <c r="ODE175" s="250"/>
      <c r="ODF175" s="250"/>
      <c r="ODG175" s="250"/>
      <c r="ODH175" s="250"/>
      <c r="ODI175" s="250"/>
      <c r="ODJ175" s="250"/>
      <c r="ODK175" s="250"/>
      <c r="ODL175" s="250"/>
      <c r="ODM175" s="250"/>
      <c r="ODN175" s="250"/>
      <c r="ODO175" s="250"/>
      <c r="ODP175" s="250"/>
      <c r="ODQ175" s="250"/>
      <c r="ODR175" s="250"/>
      <c r="ODS175" s="250"/>
      <c r="ODT175" s="250"/>
      <c r="ODU175" s="250"/>
      <c r="ODV175" s="250"/>
      <c r="ODW175" s="250"/>
      <c r="ODX175" s="250"/>
      <c r="ODY175" s="250"/>
      <c r="ODZ175" s="250"/>
      <c r="OEA175" s="250"/>
      <c r="OEB175" s="250"/>
      <c r="OEC175" s="250"/>
      <c r="OED175" s="250"/>
      <c r="OEE175" s="250"/>
      <c r="OEF175" s="250"/>
      <c r="OEG175" s="250"/>
      <c r="OEH175" s="250"/>
      <c r="OEI175" s="250"/>
      <c r="OEJ175" s="250"/>
      <c r="OEK175" s="250"/>
      <c r="OEL175" s="250"/>
      <c r="OEM175" s="250"/>
      <c r="OEN175" s="250"/>
      <c r="OEO175" s="250"/>
      <c r="OEP175" s="250"/>
      <c r="OEQ175" s="250"/>
      <c r="OER175" s="250"/>
      <c r="OES175" s="250"/>
      <c r="OET175" s="250"/>
      <c r="OEU175" s="250"/>
      <c r="OEV175" s="250"/>
      <c r="OEW175" s="250"/>
      <c r="OEX175" s="250"/>
      <c r="OEY175" s="250"/>
      <c r="OEZ175" s="250"/>
      <c r="OFA175" s="250"/>
      <c r="OFB175" s="250"/>
      <c r="OFC175" s="250"/>
      <c r="OFD175" s="250"/>
      <c r="OFE175" s="250"/>
      <c r="OFF175" s="250"/>
      <c r="OFG175" s="250"/>
      <c r="OFH175" s="250"/>
      <c r="OFI175" s="250"/>
      <c r="OFJ175" s="250"/>
      <c r="OFK175" s="250"/>
      <c r="OFL175" s="250"/>
      <c r="OFM175" s="250"/>
      <c r="OFN175" s="250"/>
      <c r="OFO175" s="250"/>
      <c r="OFP175" s="250"/>
      <c r="OFQ175" s="250"/>
      <c r="OFR175" s="250"/>
      <c r="OFS175" s="250"/>
      <c r="OFT175" s="250"/>
      <c r="OFU175" s="250"/>
      <c r="OFV175" s="250"/>
      <c r="OFW175" s="250"/>
      <c r="OFX175" s="250"/>
      <c r="OFY175" s="250"/>
      <c r="OFZ175" s="250"/>
      <c r="OGA175" s="250"/>
      <c r="OGB175" s="250"/>
      <c r="OGC175" s="250"/>
      <c r="OGD175" s="250"/>
      <c r="OGE175" s="250"/>
      <c r="OGF175" s="250"/>
      <c r="OGG175" s="250"/>
      <c r="OGH175" s="250"/>
      <c r="OGI175" s="250"/>
      <c r="OGJ175" s="250"/>
      <c r="OGK175" s="250"/>
      <c r="OGL175" s="250"/>
      <c r="OGM175" s="250"/>
      <c r="OGN175" s="250"/>
      <c r="OGO175" s="250"/>
      <c r="OGP175" s="250"/>
      <c r="OGQ175" s="250"/>
      <c r="OGR175" s="250"/>
      <c r="OGS175" s="250"/>
      <c r="OGT175" s="250"/>
      <c r="OGU175" s="250"/>
      <c r="OGV175" s="250"/>
      <c r="OGW175" s="250"/>
      <c r="OGX175" s="250"/>
      <c r="OGY175" s="250"/>
      <c r="OGZ175" s="250"/>
      <c r="OHA175" s="250"/>
      <c r="OHB175" s="250"/>
      <c r="OHC175" s="250"/>
      <c r="OHD175" s="250"/>
      <c r="OHE175" s="250"/>
      <c r="OHF175" s="250"/>
      <c r="OHG175" s="250"/>
      <c r="OHH175" s="250"/>
      <c r="OHI175" s="250"/>
      <c r="OHJ175" s="250"/>
      <c r="OHK175" s="250"/>
      <c r="OHL175" s="250"/>
      <c r="OHM175" s="250"/>
      <c r="OHN175" s="250"/>
      <c r="OHO175" s="250"/>
      <c r="OHP175" s="250"/>
      <c r="OHQ175" s="250"/>
      <c r="OHR175" s="250"/>
      <c r="OHS175" s="250"/>
      <c r="OHT175" s="250"/>
      <c r="OHU175" s="250"/>
      <c r="OHV175" s="250"/>
      <c r="OHW175" s="250"/>
      <c r="OHX175" s="250"/>
      <c r="OHY175" s="250"/>
      <c r="OHZ175" s="250"/>
      <c r="OIA175" s="250"/>
      <c r="OIB175" s="250"/>
      <c r="OIC175" s="250"/>
      <c r="OID175" s="250"/>
      <c r="OIE175" s="250"/>
      <c r="OIF175" s="250"/>
      <c r="OIG175" s="250"/>
      <c r="OIH175" s="250"/>
      <c r="OII175" s="250"/>
      <c r="OIJ175" s="250"/>
      <c r="OIK175" s="250"/>
      <c r="OIL175" s="250"/>
      <c r="OIM175" s="250"/>
      <c r="OIN175" s="250"/>
      <c r="OIO175" s="250"/>
      <c r="OIP175" s="250"/>
      <c r="OIQ175" s="250"/>
      <c r="OIR175" s="250"/>
      <c r="OIS175" s="250"/>
      <c r="OIT175" s="250"/>
      <c r="OIU175" s="250"/>
      <c r="OIV175" s="250"/>
      <c r="OIW175" s="250"/>
      <c r="OIX175" s="250"/>
      <c r="OIY175" s="250"/>
      <c r="OIZ175" s="250"/>
      <c r="OJA175" s="250"/>
      <c r="OJB175" s="250"/>
      <c r="OJC175" s="250"/>
      <c r="OJD175" s="250"/>
      <c r="OJE175" s="250"/>
      <c r="OJF175" s="250"/>
      <c r="OJG175" s="250"/>
      <c r="OJH175" s="250"/>
      <c r="OJI175" s="250"/>
      <c r="OJJ175" s="250"/>
      <c r="OJK175" s="250"/>
      <c r="OJL175" s="250"/>
      <c r="OJM175" s="250"/>
      <c r="OJN175" s="250"/>
      <c r="OJO175" s="250"/>
      <c r="OJP175" s="250"/>
      <c r="OJQ175" s="250"/>
      <c r="OJR175" s="250"/>
      <c r="OJS175" s="250"/>
      <c r="OJT175" s="250"/>
      <c r="OJU175" s="250"/>
      <c r="OJV175" s="250"/>
      <c r="OJW175" s="250"/>
      <c r="OJX175" s="250"/>
      <c r="OJY175" s="250"/>
      <c r="OJZ175" s="250"/>
      <c r="OKA175" s="250"/>
      <c r="OKB175" s="250"/>
      <c r="OKC175" s="250"/>
      <c r="OKD175" s="250"/>
      <c r="OKE175" s="250"/>
      <c r="OKF175" s="250"/>
      <c r="OKG175" s="250"/>
      <c r="OKH175" s="250"/>
      <c r="OKI175" s="250"/>
      <c r="OKJ175" s="250"/>
      <c r="OKK175" s="250"/>
      <c r="OKL175" s="250"/>
      <c r="OKM175" s="250"/>
      <c r="OKN175" s="250"/>
      <c r="OKO175" s="250"/>
      <c r="OKP175" s="250"/>
      <c r="OKQ175" s="250"/>
      <c r="OKR175" s="250"/>
      <c r="OKS175" s="250"/>
      <c r="OKT175" s="250"/>
      <c r="OKU175" s="250"/>
      <c r="OKV175" s="250"/>
      <c r="OKW175" s="250"/>
      <c r="OKX175" s="250"/>
      <c r="OKY175" s="250"/>
      <c r="OKZ175" s="250"/>
      <c r="OLA175" s="250"/>
      <c r="OLB175" s="250"/>
      <c r="OLC175" s="250"/>
      <c r="OLD175" s="250"/>
      <c r="OLE175" s="250"/>
      <c r="OLF175" s="250"/>
      <c r="OLG175" s="250"/>
      <c r="OLH175" s="250"/>
      <c r="OLI175" s="250"/>
      <c r="OLJ175" s="250"/>
      <c r="OLK175" s="250"/>
      <c r="OLL175" s="250"/>
      <c r="OLM175" s="250"/>
      <c r="OLN175" s="250"/>
      <c r="OLO175" s="250"/>
      <c r="OLP175" s="250"/>
      <c r="OLQ175" s="250"/>
      <c r="OLR175" s="250"/>
      <c r="OLS175" s="250"/>
      <c r="OLT175" s="250"/>
      <c r="OLU175" s="250"/>
      <c r="OLV175" s="250"/>
      <c r="OLW175" s="250"/>
      <c r="OLX175" s="250"/>
      <c r="OLY175" s="250"/>
      <c r="OLZ175" s="250"/>
      <c r="OMA175" s="250"/>
      <c r="OMB175" s="250"/>
      <c r="OMC175" s="250"/>
      <c r="OMD175" s="250"/>
      <c r="OME175" s="250"/>
      <c r="OMF175" s="250"/>
      <c r="OMG175" s="250"/>
      <c r="OMH175" s="250"/>
      <c r="OMI175" s="250"/>
      <c r="OMJ175" s="250"/>
      <c r="OMK175" s="250"/>
      <c r="OML175" s="250"/>
      <c r="OMM175" s="250"/>
      <c r="OMN175" s="250"/>
      <c r="OMO175" s="250"/>
      <c r="OMP175" s="250"/>
      <c r="OMQ175" s="250"/>
      <c r="OMR175" s="250"/>
      <c r="OMS175" s="250"/>
      <c r="OMT175" s="250"/>
      <c r="OMU175" s="250"/>
      <c r="OMV175" s="250"/>
      <c r="OMW175" s="250"/>
      <c r="OMX175" s="250"/>
      <c r="OMY175" s="250"/>
      <c r="OMZ175" s="250"/>
      <c r="ONA175" s="250"/>
      <c r="ONB175" s="250"/>
      <c r="ONC175" s="250"/>
      <c r="OND175" s="250"/>
      <c r="ONE175" s="250"/>
      <c r="ONF175" s="250"/>
      <c r="ONG175" s="250"/>
      <c r="ONH175" s="250"/>
      <c r="ONI175" s="250"/>
      <c r="ONJ175" s="250"/>
      <c r="ONK175" s="250"/>
      <c r="ONL175" s="250"/>
      <c r="ONM175" s="250"/>
      <c r="ONN175" s="250"/>
      <c r="ONO175" s="250"/>
      <c r="ONP175" s="250"/>
      <c r="ONQ175" s="250"/>
      <c r="ONR175" s="250"/>
      <c r="ONS175" s="250"/>
      <c r="ONT175" s="250"/>
      <c r="ONU175" s="250"/>
      <c r="ONV175" s="250"/>
      <c r="ONW175" s="250"/>
      <c r="ONX175" s="250"/>
      <c r="ONY175" s="250"/>
      <c r="ONZ175" s="250"/>
      <c r="OOA175" s="250"/>
      <c r="OOB175" s="250"/>
      <c r="OOC175" s="250"/>
      <c r="OOD175" s="250"/>
      <c r="OOE175" s="250"/>
      <c r="OOF175" s="250"/>
      <c r="OOG175" s="250"/>
      <c r="OOH175" s="250"/>
      <c r="OOI175" s="250"/>
      <c r="OOJ175" s="250"/>
      <c r="OOK175" s="250"/>
      <c r="OOL175" s="250"/>
      <c r="OOM175" s="250"/>
      <c r="OON175" s="250"/>
      <c r="OOO175" s="250"/>
      <c r="OOP175" s="250"/>
      <c r="OOQ175" s="250"/>
      <c r="OOR175" s="250"/>
      <c r="OOS175" s="250"/>
      <c r="OOT175" s="250"/>
      <c r="OOU175" s="250"/>
      <c r="OOV175" s="250"/>
      <c r="OOW175" s="250"/>
      <c r="OOX175" s="250"/>
      <c r="OOY175" s="250"/>
      <c r="OOZ175" s="250"/>
      <c r="OPA175" s="250"/>
      <c r="OPB175" s="250"/>
      <c r="OPC175" s="250"/>
      <c r="OPD175" s="250"/>
      <c r="OPE175" s="250"/>
      <c r="OPF175" s="250"/>
      <c r="OPG175" s="250"/>
      <c r="OPH175" s="250"/>
      <c r="OPI175" s="250"/>
      <c r="OPJ175" s="250"/>
      <c r="OPK175" s="250"/>
      <c r="OPL175" s="250"/>
      <c r="OPM175" s="250"/>
      <c r="OPN175" s="250"/>
      <c r="OPO175" s="250"/>
      <c r="OPP175" s="250"/>
      <c r="OPQ175" s="250"/>
      <c r="OPR175" s="250"/>
      <c r="OPS175" s="250"/>
      <c r="OPT175" s="250"/>
      <c r="OPU175" s="250"/>
      <c r="OPV175" s="250"/>
      <c r="OPW175" s="250"/>
      <c r="OPX175" s="250"/>
      <c r="OPY175" s="250"/>
      <c r="OPZ175" s="250"/>
      <c r="OQA175" s="250"/>
      <c r="OQB175" s="250"/>
      <c r="OQC175" s="250"/>
      <c r="OQD175" s="250"/>
      <c r="OQE175" s="250"/>
      <c r="OQF175" s="250"/>
      <c r="OQG175" s="250"/>
      <c r="OQH175" s="250"/>
      <c r="OQI175" s="250"/>
      <c r="OQJ175" s="250"/>
      <c r="OQK175" s="250"/>
      <c r="OQL175" s="250"/>
      <c r="OQM175" s="250"/>
      <c r="OQN175" s="250"/>
      <c r="OQO175" s="250"/>
      <c r="OQP175" s="250"/>
      <c r="OQQ175" s="250"/>
      <c r="OQR175" s="250"/>
      <c r="OQS175" s="250"/>
      <c r="OQT175" s="250"/>
      <c r="OQU175" s="250"/>
      <c r="OQV175" s="250"/>
      <c r="OQW175" s="250"/>
      <c r="OQX175" s="250"/>
      <c r="OQY175" s="250"/>
      <c r="OQZ175" s="250"/>
      <c r="ORA175" s="250"/>
      <c r="ORB175" s="250"/>
      <c r="ORC175" s="250"/>
      <c r="ORD175" s="250"/>
      <c r="ORE175" s="250"/>
      <c r="ORF175" s="250"/>
      <c r="ORG175" s="250"/>
      <c r="ORH175" s="250"/>
      <c r="ORI175" s="250"/>
      <c r="ORJ175" s="250"/>
      <c r="ORK175" s="250"/>
      <c r="ORL175" s="250"/>
      <c r="ORM175" s="250"/>
      <c r="ORN175" s="250"/>
      <c r="ORO175" s="250"/>
      <c r="ORP175" s="250"/>
      <c r="ORQ175" s="250"/>
      <c r="ORR175" s="250"/>
      <c r="ORS175" s="250"/>
      <c r="ORT175" s="250"/>
      <c r="ORU175" s="250"/>
      <c r="ORV175" s="250"/>
      <c r="ORW175" s="250"/>
      <c r="ORX175" s="250"/>
      <c r="ORY175" s="250"/>
      <c r="ORZ175" s="250"/>
      <c r="OSA175" s="250"/>
      <c r="OSB175" s="250"/>
      <c r="OSC175" s="250"/>
      <c r="OSD175" s="250"/>
      <c r="OSE175" s="250"/>
      <c r="OSF175" s="250"/>
      <c r="OSG175" s="250"/>
      <c r="OSH175" s="250"/>
      <c r="OSI175" s="250"/>
      <c r="OSJ175" s="250"/>
      <c r="OSK175" s="250"/>
      <c r="OSL175" s="250"/>
      <c r="OSM175" s="250"/>
      <c r="OSN175" s="250"/>
      <c r="OSO175" s="250"/>
      <c r="OSP175" s="250"/>
      <c r="OSQ175" s="250"/>
      <c r="OSR175" s="250"/>
      <c r="OSS175" s="250"/>
      <c r="OST175" s="250"/>
      <c r="OSU175" s="250"/>
      <c r="OSV175" s="250"/>
      <c r="OSW175" s="250"/>
      <c r="OSX175" s="250"/>
      <c r="OSY175" s="250"/>
      <c r="OSZ175" s="250"/>
      <c r="OTA175" s="250"/>
      <c r="OTB175" s="250"/>
      <c r="OTC175" s="250"/>
      <c r="OTD175" s="250"/>
      <c r="OTE175" s="250"/>
      <c r="OTF175" s="250"/>
      <c r="OTG175" s="250"/>
      <c r="OTH175" s="250"/>
      <c r="OTI175" s="250"/>
      <c r="OTJ175" s="250"/>
      <c r="OTK175" s="250"/>
      <c r="OTL175" s="250"/>
      <c r="OTM175" s="250"/>
      <c r="OTN175" s="250"/>
      <c r="OTO175" s="250"/>
      <c r="OTP175" s="250"/>
      <c r="OTQ175" s="250"/>
      <c r="OTR175" s="250"/>
      <c r="OTS175" s="250"/>
      <c r="OTT175" s="250"/>
      <c r="OTU175" s="250"/>
      <c r="OTV175" s="250"/>
      <c r="OTW175" s="250"/>
      <c r="OTX175" s="250"/>
      <c r="OTY175" s="250"/>
      <c r="OTZ175" s="250"/>
      <c r="OUA175" s="250"/>
      <c r="OUB175" s="250"/>
      <c r="OUC175" s="250"/>
      <c r="OUD175" s="250"/>
      <c r="OUE175" s="250"/>
      <c r="OUF175" s="250"/>
      <c r="OUG175" s="250"/>
      <c r="OUH175" s="250"/>
      <c r="OUI175" s="250"/>
      <c r="OUJ175" s="250"/>
      <c r="OUK175" s="250"/>
      <c r="OUL175" s="250"/>
      <c r="OUM175" s="250"/>
      <c r="OUN175" s="250"/>
      <c r="OUO175" s="250"/>
      <c r="OUP175" s="250"/>
      <c r="OUQ175" s="250"/>
      <c r="OUR175" s="250"/>
      <c r="OUS175" s="250"/>
      <c r="OUT175" s="250"/>
      <c r="OUU175" s="250"/>
      <c r="OUV175" s="250"/>
      <c r="OUW175" s="250"/>
      <c r="OUX175" s="250"/>
      <c r="OUY175" s="250"/>
      <c r="OUZ175" s="250"/>
      <c r="OVA175" s="250"/>
      <c r="OVB175" s="250"/>
      <c r="OVC175" s="250"/>
      <c r="OVD175" s="250"/>
      <c r="OVE175" s="250"/>
      <c r="OVF175" s="250"/>
      <c r="OVG175" s="250"/>
      <c r="OVH175" s="250"/>
      <c r="OVI175" s="250"/>
      <c r="OVJ175" s="250"/>
      <c r="OVK175" s="250"/>
      <c r="OVL175" s="250"/>
      <c r="OVM175" s="250"/>
      <c r="OVN175" s="250"/>
      <c r="OVO175" s="250"/>
      <c r="OVP175" s="250"/>
      <c r="OVQ175" s="250"/>
      <c r="OVR175" s="250"/>
      <c r="OVS175" s="250"/>
      <c r="OVT175" s="250"/>
      <c r="OVU175" s="250"/>
      <c r="OVV175" s="250"/>
      <c r="OVW175" s="250"/>
      <c r="OVX175" s="250"/>
      <c r="OVY175" s="250"/>
      <c r="OVZ175" s="250"/>
      <c r="OWA175" s="250"/>
      <c r="OWB175" s="250"/>
      <c r="OWC175" s="250"/>
      <c r="OWD175" s="250"/>
      <c r="OWE175" s="250"/>
      <c r="OWF175" s="250"/>
      <c r="OWG175" s="250"/>
      <c r="OWH175" s="250"/>
      <c r="OWI175" s="250"/>
      <c r="OWJ175" s="250"/>
      <c r="OWK175" s="250"/>
      <c r="OWL175" s="250"/>
      <c r="OWM175" s="250"/>
      <c r="OWN175" s="250"/>
      <c r="OWO175" s="250"/>
      <c r="OWP175" s="250"/>
      <c r="OWQ175" s="250"/>
      <c r="OWR175" s="250"/>
      <c r="OWS175" s="250"/>
      <c r="OWT175" s="250"/>
      <c r="OWU175" s="250"/>
      <c r="OWV175" s="250"/>
      <c r="OWW175" s="250"/>
      <c r="OWX175" s="250"/>
      <c r="OWY175" s="250"/>
      <c r="OWZ175" s="250"/>
      <c r="OXA175" s="250"/>
      <c r="OXB175" s="250"/>
      <c r="OXC175" s="250"/>
      <c r="OXD175" s="250"/>
      <c r="OXE175" s="250"/>
      <c r="OXF175" s="250"/>
      <c r="OXG175" s="250"/>
      <c r="OXH175" s="250"/>
      <c r="OXI175" s="250"/>
      <c r="OXJ175" s="250"/>
      <c r="OXK175" s="250"/>
      <c r="OXL175" s="250"/>
      <c r="OXM175" s="250"/>
      <c r="OXN175" s="250"/>
      <c r="OXO175" s="250"/>
      <c r="OXP175" s="250"/>
      <c r="OXQ175" s="250"/>
      <c r="OXR175" s="250"/>
      <c r="OXS175" s="250"/>
      <c r="OXT175" s="250"/>
      <c r="OXU175" s="250"/>
      <c r="OXV175" s="250"/>
      <c r="OXW175" s="250"/>
      <c r="OXX175" s="250"/>
      <c r="OXY175" s="250"/>
      <c r="OXZ175" s="250"/>
      <c r="OYA175" s="250"/>
      <c r="OYB175" s="250"/>
      <c r="OYC175" s="250"/>
      <c r="OYD175" s="250"/>
      <c r="OYE175" s="250"/>
      <c r="OYF175" s="250"/>
      <c r="OYG175" s="250"/>
      <c r="OYH175" s="250"/>
      <c r="OYI175" s="250"/>
      <c r="OYJ175" s="250"/>
      <c r="OYK175" s="250"/>
      <c r="OYL175" s="250"/>
      <c r="OYM175" s="250"/>
      <c r="OYN175" s="250"/>
      <c r="OYO175" s="250"/>
      <c r="OYP175" s="250"/>
      <c r="OYQ175" s="250"/>
      <c r="OYR175" s="250"/>
      <c r="OYS175" s="250"/>
      <c r="OYT175" s="250"/>
      <c r="OYU175" s="250"/>
      <c r="OYV175" s="250"/>
      <c r="OYW175" s="250"/>
      <c r="OYX175" s="250"/>
      <c r="OYY175" s="250"/>
      <c r="OYZ175" s="250"/>
      <c r="OZA175" s="250"/>
      <c r="OZB175" s="250"/>
      <c r="OZC175" s="250"/>
      <c r="OZD175" s="250"/>
      <c r="OZE175" s="250"/>
      <c r="OZF175" s="250"/>
      <c r="OZG175" s="250"/>
      <c r="OZH175" s="250"/>
      <c r="OZI175" s="250"/>
      <c r="OZJ175" s="250"/>
      <c r="OZK175" s="250"/>
      <c r="OZL175" s="250"/>
      <c r="OZM175" s="250"/>
      <c r="OZN175" s="250"/>
      <c r="OZO175" s="250"/>
      <c r="OZP175" s="250"/>
      <c r="OZQ175" s="250"/>
      <c r="OZR175" s="250"/>
      <c r="OZS175" s="250"/>
      <c r="OZT175" s="250"/>
      <c r="OZU175" s="250"/>
      <c r="OZV175" s="250"/>
      <c r="OZW175" s="250"/>
      <c r="OZX175" s="250"/>
      <c r="OZY175" s="250"/>
      <c r="OZZ175" s="250"/>
      <c r="PAA175" s="250"/>
      <c r="PAB175" s="250"/>
      <c r="PAC175" s="250"/>
      <c r="PAD175" s="250"/>
      <c r="PAE175" s="250"/>
      <c r="PAF175" s="250"/>
      <c r="PAG175" s="250"/>
      <c r="PAH175" s="250"/>
      <c r="PAI175" s="250"/>
      <c r="PAJ175" s="250"/>
      <c r="PAK175" s="250"/>
      <c r="PAL175" s="250"/>
      <c r="PAM175" s="250"/>
      <c r="PAN175" s="250"/>
      <c r="PAO175" s="250"/>
      <c r="PAP175" s="250"/>
      <c r="PAQ175" s="250"/>
      <c r="PAR175" s="250"/>
      <c r="PAS175" s="250"/>
      <c r="PAT175" s="250"/>
      <c r="PAU175" s="250"/>
      <c r="PAV175" s="250"/>
      <c r="PAW175" s="250"/>
      <c r="PAX175" s="250"/>
      <c r="PAY175" s="250"/>
      <c r="PAZ175" s="250"/>
      <c r="PBA175" s="250"/>
      <c r="PBB175" s="250"/>
      <c r="PBC175" s="250"/>
      <c r="PBD175" s="250"/>
      <c r="PBE175" s="250"/>
      <c r="PBF175" s="250"/>
      <c r="PBG175" s="250"/>
      <c r="PBH175" s="250"/>
      <c r="PBI175" s="250"/>
      <c r="PBJ175" s="250"/>
      <c r="PBK175" s="250"/>
      <c r="PBL175" s="250"/>
      <c r="PBM175" s="250"/>
      <c r="PBN175" s="250"/>
      <c r="PBO175" s="250"/>
      <c r="PBP175" s="250"/>
      <c r="PBQ175" s="250"/>
      <c r="PBR175" s="250"/>
      <c r="PBS175" s="250"/>
      <c r="PBT175" s="250"/>
      <c r="PBU175" s="250"/>
      <c r="PBV175" s="250"/>
      <c r="PBW175" s="250"/>
      <c r="PBX175" s="250"/>
      <c r="PBY175" s="250"/>
      <c r="PBZ175" s="250"/>
      <c r="PCA175" s="250"/>
      <c r="PCB175" s="250"/>
      <c r="PCC175" s="250"/>
      <c r="PCD175" s="250"/>
      <c r="PCE175" s="250"/>
      <c r="PCF175" s="250"/>
      <c r="PCG175" s="250"/>
      <c r="PCH175" s="250"/>
      <c r="PCI175" s="250"/>
      <c r="PCJ175" s="250"/>
      <c r="PCK175" s="250"/>
      <c r="PCL175" s="250"/>
      <c r="PCM175" s="250"/>
      <c r="PCN175" s="250"/>
      <c r="PCO175" s="250"/>
      <c r="PCP175" s="250"/>
      <c r="PCQ175" s="250"/>
      <c r="PCR175" s="250"/>
      <c r="PCS175" s="250"/>
      <c r="PCT175" s="250"/>
      <c r="PCU175" s="250"/>
      <c r="PCV175" s="250"/>
      <c r="PCW175" s="250"/>
      <c r="PCX175" s="250"/>
      <c r="PCY175" s="250"/>
      <c r="PCZ175" s="250"/>
      <c r="PDA175" s="250"/>
      <c r="PDB175" s="250"/>
      <c r="PDC175" s="250"/>
      <c r="PDD175" s="250"/>
      <c r="PDE175" s="250"/>
      <c r="PDF175" s="250"/>
      <c r="PDG175" s="250"/>
      <c r="PDH175" s="250"/>
      <c r="PDI175" s="250"/>
      <c r="PDJ175" s="250"/>
      <c r="PDK175" s="250"/>
      <c r="PDL175" s="250"/>
      <c r="PDM175" s="250"/>
      <c r="PDN175" s="250"/>
      <c r="PDO175" s="250"/>
      <c r="PDP175" s="250"/>
      <c r="PDQ175" s="250"/>
      <c r="PDR175" s="250"/>
      <c r="PDS175" s="250"/>
      <c r="PDT175" s="250"/>
      <c r="PDU175" s="250"/>
      <c r="PDV175" s="250"/>
      <c r="PDW175" s="250"/>
      <c r="PDX175" s="250"/>
      <c r="PDY175" s="250"/>
      <c r="PDZ175" s="250"/>
      <c r="PEA175" s="250"/>
      <c r="PEB175" s="250"/>
      <c r="PEC175" s="250"/>
      <c r="PED175" s="250"/>
      <c r="PEE175" s="250"/>
      <c r="PEF175" s="250"/>
      <c r="PEG175" s="250"/>
      <c r="PEH175" s="250"/>
      <c r="PEI175" s="250"/>
      <c r="PEJ175" s="250"/>
      <c r="PEK175" s="250"/>
      <c r="PEL175" s="250"/>
      <c r="PEM175" s="250"/>
      <c r="PEN175" s="250"/>
      <c r="PEO175" s="250"/>
      <c r="PEP175" s="250"/>
      <c r="PEQ175" s="250"/>
      <c r="PER175" s="250"/>
      <c r="PES175" s="250"/>
      <c r="PET175" s="250"/>
      <c r="PEU175" s="250"/>
      <c r="PEV175" s="250"/>
      <c r="PEW175" s="250"/>
      <c r="PEX175" s="250"/>
      <c r="PEY175" s="250"/>
      <c r="PEZ175" s="250"/>
      <c r="PFA175" s="250"/>
      <c r="PFB175" s="250"/>
      <c r="PFC175" s="250"/>
      <c r="PFD175" s="250"/>
      <c r="PFE175" s="250"/>
      <c r="PFF175" s="250"/>
      <c r="PFG175" s="250"/>
      <c r="PFH175" s="250"/>
      <c r="PFI175" s="250"/>
      <c r="PFJ175" s="250"/>
      <c r="PFK175" s="250"/>
      <c r="PFL175" s="250"/>
      <c r="PFM175" s="250"/>
      <c r="PFN175" s="250"/>
      <c r="PFO175" s="250"/>
      <c r="PFP175" s="250"/>
      <c r="PFQ175" s="250"/>
      <c r="PFR175" s="250"/>
      <c r="PFS175" s="250"/>
      <c r="PFT175" s="250"/>
      <c r="PFU175" s="250"/>
      <c r="PFV175" s="250"/>
      <c r="PFW175" s="250"/>
      <c r="PFX175" s="250"/>
      <c r="PFY175" s="250"/>
      <c r="PFZ175" s="250"/>
      <c r="PGA175" s="250"/>
      <c r="PGB175" s="250"/>
      <c r="PGC175" s="250"/>
      <c r="PGD175" s="250"/>
      <c r="PGE175" s="250"/>
      <c r="PGF175" s="250"/>
      <c r="PGG175" s="250"/>
      <c r="PGH175" s="250"/>
      <c r="PGI175" s="250"/>
      <c r="PGJ175" s="250"/>
      <c r="PGK175" s="250"/>
      <c r="PGL175" s="250"/>
      <c r="PGM175" s="250"/>
      <c r="PGN175" s="250"/>
      <c r="PGO175" s="250"/>
      <c r="PGP175" s="250"/>
      <c r="PGQ175" s="250"/>
      <c r="PGR175" s="250"/>
      <c r="PGS175" s="250"/>
      <c r="PGT175" s="250"/>
      <c r="PGU175" s="250"/>
      <c r="PGV175" s="250"/>
      <c r="PGW175" s="250"/>
      <c r="PGX175" s="250"/>
      <c r="PGY175" s="250"/>
      <c r="PGZ175" s="250"/>
      <c r="PHA175" s="250"/>
      <c r="PHB175" s="250"/>
      <c r="PHC175" s="250"/>
      <c r="PHD175" s="250"/>
      <c r="PHE175" s="250"/>
      <c r="PHF175" s="250"/>
      <c r="PHG175" s="250"/>
      <c r="PHH175" s="250"/>
      <c r="PHI175" s="250"/>
      <c r="PHJ175" s="250"/>
      <c r="PHK175" s="250"/>
      <c r="PHL175" s="250"/>
      <c r="PHM175" s="250"/>
      <c r="PHN175" s="250"/>
      <c r="PHO175" s="250"/>
      <c r="PHP175" s="250"/>
      <c r="PHQ175" s="250"/>
      <c r="PHR175" s="250"/>
      <c r="PHS175" s="250"/>
      <c r="PHT175" s="250"/>
      <c r="PHU175" s="250"/>
      <c r="PHV175" s="250"/>
      <c r="PHW175" s="250"/>
      <c r="PHX175" s="250"/>
      <c r="PHY175" s="250"/>
      <c r="PHZ175" s="250"/>
      <c r="PIA175" s="250"/>
      <c r="PIB175" s="250"/>
      <c r="PIC175" s="250"/>
      <c r="PID175" s="250"/>
      <c r="PIE175" s="250"/>
      <c r="PIF175" s="250"/>
      <c r="PIG175" s="250"/>
      <c r="PIH175" s="250"/>
      <c r="PII175" s="250"/>
      <c r="PIJ175" s="250"/>
      <c r="PIK175" s="250"/>
      <c r="PIL175" s="250"/>
      <c r="PIM175" s="250"/>
      <c r="PIN175" s="250"/>
      <c r="PIO175" s="250"/>
      <c r="PIP175" s="250"/>
      <c r="PIQ175" s="250"/>
      <c r="PIR175" s="250"/>
      <c r="PIS175" s="250"/>
      <c r="PIT175" s="250"/>
      <c r="PIU175" s="250"/>
      <c r="PIV175" s="250"/>
      <c r="PIW175" s="250"/>
      <c r="PIX175" s="250"/>
      <c r="PIY175" s="250"/>
      <c r="PIZ175" s="250"/>
      <c r="PJA175" s="250"/>
      <c r="PJB175" s="250"/>
      <c r="PJC175" s="250"/>
      <c r="PJD175" s="250"/>
      <c r="PJE175" s="250"/>
      <c r="PJF175" s="250"/>
      <c r="PJG175" s="250"/>
      <c r="PJH175" s="250"/>
      <c r="PJI175" s="250"/>
      <c r="PJJ175" s="250"/>
      <c r="PJK175" s="250"/>
      <c r="PJL175" s="250"/>
      <c r="PJM175" s="250"/>
      <c r="PJN175" s="250"/>
      <c r="PJO175" s="250"/>
      <c r="PJP175" s="250"/>
      <c r="PJQ175" s="250"/>
      <c r="PJR175" s="250"/>
      <c r="PJS175" s="250"/>
      <c r="PJT175" s="250"/>
      <c r="PJU175" s="250"/>
      <c r="PJV175" s="250"/>
      <c r="PJW175" s="250"/>
      <c r="PJX175" s="250"/>
      <c r="PJY175" s="250"/>
      <c r="PJZ175" s="250"/>
      <c r="PKA175" s="250"/>
      <c r="PKB175" s="250"/>
      <c r="PKC175" s="250"/>
      <c r="PKD175" s="250"/>
      <c r="PKE175" s="250"/>
      <c r="PKF175" s="250"/>
      <c r="PKG175" s="250"/>
      <c r="PKH175" s="250"/>
      <c r="PKI175" s="250"/>
      <c r="PKJ175" s="250"/>
      <c r="PKK175" s="250"/>
      <c r="PKL175" s="250"/>
      <c r="PKM175" s="250"/>
      <c r="PKN175" s="250"/>
      <c r="PKO175" s="250"/>
      <c r="PKP175" s="250"/>
      <c r="PKQ175" s="250"/>
      <c r="PKR175" s="250"/>
      <c r="PKS175" s="250"/>
      <c r="PKT175" s="250"/>
      <c r="PKU175" s="250"/>
      <c r="PKV175" s="250"/>
      <c r="PKW175" s="250"/>
      <c r="PKX175" s="250"/>
      <c r="PKY175" s="250"/>
      <c r="PKZ175" s="250"/>
      <c r="PLA175" s="250"/>
      <c r="PLB175" s="250"/>
      <c r="PLC175" s="250"/>
      <c r="PLD175" s="250"/>
      <c r="PLE175" s="250"/>
      <c r="PLF175" s="250"/>
      <c r="PLG175" s="250"/>
      <c r="PLH175" s="250"/>
      <c r="PLI175" s="250"/>
      <c r="PLJ175" s="250"/>
      <c r="PLK175" s="250"/>
      <c r="PLL175" s="250"/>
      <c r="PLM175" s="250"/>
      <c r="PLN175" s="250"/>
      <c r="PLO175" s="250"/>
      <c r="PLP175" s="250"/>
      <c r="PLQ175" s="250"/>
      <c r="PLR175" s="250"/>
      <c r="PLS175" s="250"/>
      <c r="PLT175" s="250"/>
      <c r="PLU175" s="250"/>
      <c r="PLV175" s="250"/>
      <c r="PLW175" s="250"/>
      <c r="PLX175" s="250"/>
      <c r="PLY175" s="250"/>
      <c r="PLZ175" s="250"/>
      <c r="PMA175" s="250"/>
      <c r="PMB175" s="250"/>
      <c r="PMC175" s="250"/>
      <c r="PMD175" s="250"/>
      <c r="PME175" s="250"/>
      <c r="PMF175" s="250"/>
      <c r="PMG175" s="250"/>
      <c r="PMH175" s="250"/>
      <c r="PMI175" s="250"/>
      <c r="PMJ175" s="250"/>
      <c r="PMK175" s="250"/>
      <c r="PML175" s="250"/>
      <c r="PMM175" s="250"/>
      <c r="PMN175" s="250"/>
      <c r="PMO175" s="250"/>
      <c r="PMP175" s="250"/>
      <c r="PMQ175" s="250"/>
      <c r="PMR175" s="250"/>
      <c r="PMS175" s="250"/>
      <c r="PMT175" s="250"/>
      <c r="PMU175" s="250"/>
      <c r="PMV175" s="250"/>
      <c r="PMW175" s="250"/>
      <c r="PMX175" s="250"/>
      <c r="PMY175" s="250"/>
      <c r="PMZ175" s="250"/>
      <c r="PNA175" s="250"/>
      <c r="PNB175" s="250"/>
      <c r="PNC175" s="250"/>
      <c r="PND175" s="250"/>
      <c r="PNE175" s="250"/>
      <c r="PNF175" s="250"/>
      <c r="PNG175" s="250"/>
      <c r="PNH175" s="250"/>
      <c r="PNI175" s="250"/>
      <c r="PNJ175" s="250"/>
      <c r="PNK175" s="250"/>
      <c r="PNL175" s="250"/>
      <c r="PNM175" s="250"/>
      <c r="PNN175" s="250"/>
      <c r="PNO175" s="250"/>
      <c r="PNP175" s="250"/>
      <c r="PNQ175" s="250"/>
      <c r="PNR175" s="250"/>
      <c r="PNS175" s="250"/>
      <c r="PNT175" s="250"/>
      <c r="PNU175" s="250"/>
      <c r="PNV175" s="250"/>
      <c r="PNW175" s="250"/>
      <c r="PNX175" s="250"/>
      <c r="PNY175" s="250"/>
      <c r="PNZ175" s="250"/>
      <c r="POA175" s="250"/>
      <c r="POB175" s="250"/>
      <c r="POC175" s="250"/>
      <c r="POD175" s="250"/>
      <c r="POE175" s="250"/>
      <c r="POF175" s="250"/>
      <c r="POG175" s="250"/>
      <c r="POH175" s="250"/>
      <c r="POI175" s="250"/>
      <c r="POJ175" s="250"/>
      <c r="POK175" s="250"/>
      <c r="POL175" s="250"/>
      <c r="POM175" s="250"/>
      <c r="PON175" s="250"/>
      <c r="POO175" s="250"/>
      <c r="POP175" s="250"/>
      <c r="POQ175" s="250"/>
      <c r="POR175" s="250"/>
      <c r="POS175" s="250"/>
      <c r="POT175" s="250"/>
      <c r="POU175" s="250"/>
      <c r="POV175" s="250"/>
      <c r="POW175" s="250"/>
      <c r="POX175" s="250"/>
      <c r="POY175" s="250"/>
      <c r="POZ175" s="250"/>
      <c r="PPA175" s="250"/>
      <c r="PPB175" s="250"/>
      <c r="PPC175" s="250"/>
      <c r="PPD175" s="250"/>
      <c r="PPE175" s="250"/>
      <c r="PPF175" s="250"/>
      <c r="PPG175" s="250"/>
      <c r="PPH175" s="250"/>
      <c r="PPI175" s="250"/>
      <c r="PPJ175" s="250"/>
      <c r="PPK175" s="250"/>
      <c r="PPL175" s="250"/>
      <c r="PPM175" s="250"/>
      <c r="PPN175" s="250"/>
      <c r="PPO175" s="250"/>
      <c r="PPP175" s="250"/>
      <c r="PPQ175" s="250"/>
      <c r="PPR175" s="250"/>
      <c r="PPS175" s="250"/>
      <c r="PPT175" s="250"/>
      <c r="PPU175" s="250"/>
      <c r="PPV175" s="250"/>
      <c r="PPW175" s="250"/>
      <c r="PPX175" s="250"/>
      <c r="PPY175" s="250"/>
      <c r="PPZ175" s="250"/>
      <c r="PQA175" s="250"/>
      <c r="PQB175" s="250"/>
      <c r="PQC175" s="250"/>
      <c r="PQD175" s="250"/>
      <c r="PQE175" s="250"/>
      <c r="PQF175" s="250"/>
      <c r="PQG175" s="250"/>
      <c r="PQH175" s="250"/>
      <c r="PQI175" s="250"/>
      <c r="PQJ175" s="250"/>
      <c r="PQK175" s="250"/>
      <c r="PQL175" s="250"/>
      <c r="PQM175" s="250"/>
      <c r="PQN175" s="250"/>
      <c r="PQO175" s="250"/>
      <c r="PQP175" s="250"/>
      <c r="PQQ175" s="250"/>
      <c r="PQR175" s="250"/>
      <c r="PQS175" s="250"/>
      <c r="PQT175" s="250"/>
      <c r="PQU175" s="250"/>
      <c r="PQV175" s="250"/>
      <c r="PQW175" s="250"/>
      <c r="PQX175" s="250"/>
      <c r="PQY175" s="250"/>
      <c r="PQZ175" s="250"/>
      <c r="PRA175" s="250"/>
      <c r="PRB175" s="250"/>
      <c r="PRC175" s="250"/>
      <c r="PRD175" s="250"/>
      <c r="PRE175" s="250"/>
      <c r="PRF175" s="250"/>
      <c r="PRG175" s="250"/>
      <c r="PRH175" s="250"/>
      <c r="PRI175" s="250"/>
      <c r="PRJ175" s="250"/>
      <c r="PRK175" s="250"/>
      <c r="PRL175" s="250"/>
      <c r="PRM175" s="250"/>
      <c r="PRN175" s="250"/>
      <c r="PRO175" s="250"/>
      <c r="PRP175" s="250"/>
      <c r="PRQ175" s="250"/>
      <c r="PRR175" s="250"/>
      <c r="PRS175" s="250"/>
      <c r="PRT175" s="250"/>
      <c r="PRU175" s="250"/>
      <c r="PRV175" s="250"/>
      <c r="PRW175" s="250"/>
      <c r="PRX175" s="250"/>
      <c r="PRY175" s="250"/>
      <c r="PRZ175" s="250"/>
      <c r="PSA175" s="250"/>
      <c r="PSB175" s="250"/>
      <c r="PSC175" s="250"/>
      <c r="PSD175" s="250"/>
      <c r="PSE175" s="250"/>
      <c r="PSF175" s="250"/>
      <c r="PSG175" s="250"/>
      <c r="PSH175" s="250"/>
      <c r="PSI175" s="250"/>
      <c r="PSJ175" s="250"/>
      <c r="PSK175" s="250"/>
      <c r="PSL175" s="250"/>
      <c r="PSM175" s="250"/>
      <c r="PSN175" s="250"/>
      <c r="PSO175" s="250"/>
      <c r="PSP175" s="250"/>
      <c r="PSQ175" s="250"/>
      <c r="PSR175" s="250"/>
      <c r="PSS175" s="250"/>
      <c r="PST175" s="250"/>
      <c r="PSU175" s="250"/>
      <c r="PSV175" s="250"/>
      <c r="PSW175" s="250"/>
      <c r="PSX175" s="250"/>
      <c r="PSY175" s="250"/>
      <c r="PSZ175" s="250"/>
      <c r="PTA175" s="250"/>
      <c r="PTB175" s="250"/>
      <c r="PTC175" s="250"/>
      <c r="PTD175" s="250"/>
      <c r="PTE175" s="250"/>
      <c r="PTF175" s="250"/>
      <c r="PTG175" s="250"/>
      <c r="PTH175" s="250"/>
      <c r="PTI175" s="250"/>
      <c r="PTJ175" s="250"/>
      <c r="PTK175" s="250"/>
      <c r="PTL175" s="250"/>
      <c r="PTM175" s="250"/>
      <c r="PTN175" s="250"/>
      <c r="PTO175" s="250"/>
      <c r="PTP175" s="250"/>
      <c r="PTQ175" s="250"/>
      <c r="PTR175" s="250"/>
      <c r="PTS175" s="250"/>
      <c r="PTT175" s="250"/>
      <c r="PTU175" s="250"/>
      <c r="PTV175" s="250"/>
      <c r="PTW175" s="250"/>
      <c r="PTX175" s="250"/>
      <c r="PTY175" s="250"/>
      <c r="PTZ175" s="250"/>
      <c r="PUA175" s="250"/>
      <c r="PUB175" s="250"/>
      <c r="PUC175" s="250"/>
      <c r="PUD175" s="250"/>
      <c r="PUE175" s="250"/>
      <c r="PUF175" s="250"/>
      <c r="PUG175" s="250"/>
      <c r="PUH175" s="250"/>
      <c r="PUI175" s="250"/>
      <c r="PUJ175" s="250"/>
      <c r="PUK175" s="250"/>
      <c r="PUL175" s="250"/>
      <c r="PUM175" s="250"/>
      <c r="PUN175" s="250"/>
      <c r="PUO175" s="250"/>
      <c r="PUP175" s="250"/>
      <c r="PUQ175" s="250"/>
      <c r="PUR175" s="250"/>
      <c r="PUS175" s="250"/>
      <c r="PUT175" s="250"/>
      <c r="PUU175" s="250"/>
      <c r="PUV175" s="250"/>
      <c r="PUW175" s="250"/>
      <c r="PUX175" s="250"/>
      <c r="PUY175" s="250"/>
      <c r="PUZ175" s="250"/>
      <c r="PVA175" s="250"/>
      <c r="PVB175" s="250"/>
      <c r="PVC175" s="250"/>
      <c r="PVD175" s="250"/>
      <c r="PVE175" s="250"/>
      <c r="PVF175" s="250"/>
      <c r="PVG175" s="250"/>
      <c r="PVH175" s="250"/>
      <c r="PVI175" s="250"/>
      <c r="PVJ175" s="250"/>
      <c r="PVK175" s="250"/>
      <c r="PVL175" s="250"/>
      <c r="PVM175" s="250"/>
      <c r="PVN175" s="250"/>
      <c r="PVO175" s="250"/>
      <c r="PVP175" s="250"/>
      <c r="PVQ175" s="250"/>
      <c r="PVR175" s="250"/>
      <c r="PVS175" s="250"/>
      <c r="PVT175" s="250"/>
      <c r="PVU175" s="250"/>
      <c r="PVV175" s="250"/>
      <c r="PVW175" s="250"/>
      <c r="PVX175" s="250"/>
      <c r="PVY175" s="250"/>
      <c r="PVZ175" s="250"/>
      <c r="PWA175" s="250"/>
      <c r="PWB175" s="250"/>
      <c r="PWC175" s="250"/>
      <c r="PWD175" s="250"/>
      <c r="PWE175" s="250"/>
      <c r="PWF175" s="250"/>
      <c r="PWG175" s="250"/>
      <c r="PWH175" s="250"/>
      <c r="PWI175" s="250"/>
      <c r="PWJ175" s="250"/>
      <c r="PWK175" s="250"/>
      <c r="PWL175" s="250"/>
      <c r="PWM175" s="250"/>
      <c r="PWN175" s="250"/>
      <c r="PWO175" s="250"/>
      <c r="PWP175" s="250"/>
      <c r="PWQ175" s="250"/>
      <c r="PWR175" s="250"/>
      <c r="PWS175" s="250"/>
      <c r="PWT175" s="250"/>
      <c r="PWU175" s="250"/>
      <c r="PWV175" s="250"/>
      <c r="PWW175" s="250"/>
      <c r="PWX175" s="250"/>
      <c r="PWY175" s="250"/>
      <c r="PWZ175" s="250"/>
      <c r="PXA175" s="250"/>
      <c r="PXB175" s="250"/>
      <c r="PXC175" s="250"/>
      <c r="PXD175" s="250"/>
      <c r="PXE175" s="250"/>
      <c r="PXF175" s="250"/>
      <c r="PXG175" s="250"/>
      <c r="PXH175" s="250"/>
      <c r="PXI175" s="250"/>
      <c r="PXJ175" s="250"/>
      <c r="PXK175" s="250"/>
      <c r="PXL175" s="250"/>
      <c r="PXM175" s="250"/>
      <c r="PXN175" s="250"/>
      <c r="PXO175" s="250"/>
      <c r="PXP175" s="250"/>
      <c r="PXQ175" s="250"/>
      <c r="PXR175" s="250"/>
      <c r="PXS175" s="250"/>
      <c r="PXT175" s="250"/>
      <c r="PXU175" s="250"/>
      <c r="PXV175" s="250"/>
      <c r="PXW175" s="250"/>
      <c r="PXX175" s="250"/>
      <c r="PXY175" s="250"/>
      <c r="PXZ175" s="250"/>
      <c r="PYA175" s="250"/>
      <c r="PYB175" s="250"/>
      <c r="PYC175" s="250"/>
      <c r="PYD175" s="250"/>
      <c r="PYE175" s="250"/>
      <c r="PYF175" s="250"/>
      <c r="PYG175" s="250"/>
      <c r="PYH175" s="250"/>
      <c r="PYI175" s="250"/>
      <c r="PYJ175" s="250"/>
      <c r="PYK175" s="250"/>
      <c r="PYL175" s="250"/>
      <c r="PYM175" s="250"/>
      <c r="PYN175" s="250"/>
      <c r="PYO175" s="250"/>
      <c r="PYP175" s="250"/>
      <c r="PYQ175" s="250"/>
      <c r="PYR175" s="250"/>
      <c r="PYS175" s="250"/>
      <c r="PYT175" s="250"/>
      <c r="PYU175" s="250"/>
      <c r="PYV175" s="250"/>
      <c r="PYW175" s="250"/>
      <c r="PYX175" s="250"/>
      <c r="PYY175" s="250"/>
      <c r="PYZ175" s="250"/>
      <c r="PZA175" s="250"/>
      <c r="PZB175" s="250"/>
      <c r="PZC175" s="250"/>
      <c r="PZD175" s="250"/>
      <c r="PZE175" s="250"/>
      <c r="PZF175" s="250"/>
      <c r="PZG175" s="250"/>
      <c r="PZH175" s="250"/>
      <c r="PZI175" s="250"/>
      <c r="PZJ175" s="250"/>
      <c r="PZK175" s="250"/>
      <c r="PZL175" s="250"/>
      <c r="PZM175" s="250"/>
      <c r="PZN175" s="250"/>
      <c r="PZO175" s="250"/>
      <c r="PZP175" s="250"/>
      <c r="PZQ175" s="250"/>
      <c r="PZR175" s="250"/>
      <c r="PZS175" s="250"/>
      <c r="PZT175" s="250"/>
      <c r="PZU175" s="250"/>
      <c r="PZV175" s="250"/>
      <c r="PZW175" s="250"/>
      <c r="PZX175" s="250"/>
      <c r="PZY175" s="250"/>
      <c r="PZZ175" s="250"/>
      <c r="QAA175" s="250"/>
      <c r="QAB175" s="250"/>
      <c r="QAC175" s="250"/>
      <c r="QAD175" s="250"/>
      <c r="QAE175" s="250"/>
      <c r="QAF175" s="250"/>
      <c r="QAG175" s="250"/>
      <c r="QAH175" s="250"/>
      <c r="QAI175" s="250"/>
      <c r="QAJ175" s="250"/>
      <c r="QAK175" s="250"/>
      <c r="QAL175" s="250"/>
      <c r="QAM175" s="250"/>
      <c r="QAN175" s="250"/>
      <c r="QAO175" s="250"/>
      <c r="QAP175" s="250"/>
      <c r="QAQ175" s="250"/>
      <c r="QAR175" s="250"/>
      <c r="QAS175" s="250"/>
      <c r="QAT175" s="250"/>
      <c r="QAU175" s="250"/>
      <c r="QAV175" s="250"/>
      <c r="QAW175" s="250"/>
      <c r="QAX175" s="250"/>
      <c r="QAY175" s="250"/>
      <c r="QAZ175" s="250"/>
      <c r="QBA175" s="250"/>
      <c r="QBB175" s="250"/>
      <c r="QBC175" s="250"/>
      <c r="QBD175" s="250"/>
      <c r="QBE175" s="250"/>
      <c r="QBF175" s="250"/>
      <c r="QBG175" s="250"/>
      <c r="QBH175" s="250"/>
      <c r="QBI175" s="250"/>
      <c r="QBJ175" s="250"/>
      <c r="QBK175" s="250"/>
      <c r="QBL175" s="250"/>
      <c r="QBM175" s="250"/>
      <c r="QBN175" s="250"/>
      <c r="QBO175" s="250"/>
      <c r="QBP175" s="250"/>
      <c r="QBQ175" s="250"/>
      <c r="QBR175" s="250"/>
      <c r="QBS175" s="250"/>
      <c r="QBT175" s="250"/>
      <c r="QBU175" s="250"/>
      <c r="QBV175" s="250"/>
      <c r="QBW175" s="250"/>
      <c r="QBX175" s="250"/>
      <c r="QBY175" s="250"/>
      <c r="QBZ175" s="250"/>
      <c r="QCA175" s="250"/>
      <c r="QCB175" s="250"/>
      <c r="QCC175" s="250"/>
      <c r="QCD175" s="250"/>
      <c r="QCE175" s="250"/>
      <c r="QCF175" s="250"/>
      <c r="QCG175" s="250"/>
      <c r="QCH175" s="250"/>
      <c r="QCI175" s="250"/>
      <c r="QCJ175" s="250"/>
      <c r="QCK175" s="250"/>
      <c r="QCL175" s="250"/>
      <c r="QCM175" s="250"/>
      <c r="QCN175" s="250"/>
      <c r="QCO175" s="250"/>
      <c r="QCP175" s="250"/>
      <c r="QCQ175" s="250"/>
      <c r="QCR175" s="250"/>
      <c r="QCS175" s="250"/>
      <c r="QCT175" s="250"/>
      <c r="QCU175" s="250"/>
      <c r="QCV175" s="250"/>
      <c r="QCW175" s="250"/>
      <c r="QCX175" s="250"/>
      <c r="QCY175" s="250"/>
      <c r="QCZ175" s="250"/>
      <c r="QDA175" s="250"/>
      <c r="QDB175" s="250"/>
      <c r="QDC175" s="250"/>
      <c r="QDD175" s="250"/>
      <c r="QDE175" s="250"/>
      <c r="QDF175" s="250"/>
      <c r="QDG175" s="250"/>
      <c r="QDH175" s="250"/>
      <c r="QDI175" s="250"/>
      <c r="QDJ175" s="250"/>
      <c r="QDK175" s="250"/>
      <c r="QDL175" s="250"/>
      <c r="QDM175" s="250"/>
      <c r="QDN175" s="250"/>
      <c r="QDO175" s="250"/>
      <c r="QDP175" s="250"/>
      <c r="QDQ175" s="250"/>
      <c r="QDR175" s="250"/>
      <c r="QDS175" s="250"/>
      <c r="QDT175" s="250"/>
      <c r="QDU175" s="250"/>
      <c r="QDV175" s="250"/>
      <c r="QDW175" s="250"/>
      <c r="QDX175" s="250"/>
      <c r="QDY175" s="250"/>
      <c r="QDZ175" s="250"/>
      <c r="QEA175" s="250"/>
      <c r="QEB175" s="250"/>
      <c r="QEC175" s="250"/>
      <c r="QED175" s="250"/>
      <c r="QEE175" s="250"/>
      <c r="QEF175" s="250"/>
      <c r="QEG175" s="250"/>
      <c r="QEH175" s="250"/>
      <c r="QEI175" s="250"/>
      <c r="QEJ175" s="250"/>
      <c r="QEK175" s="250"/>
      <c r="QEL175" s="250"/>
      <c r="QEM175" s="250"/>
      <c r="QEN175" s="250"/>
      <c r="QEO175" s="250"/>
      <c r="QEP175" s="250"/>
      <c r="QEQ175" s="250"/>
      <c r="QER175" s="250"/>
      <c r="QES175" s="250"/>
      <c r="QET175" s="250"/>
      <c r="QEU175" s="250"/>
      <c r="QEV175" s="250"/>
      <c r="QEW175" s="250"/>
      <c r="QEX175" s="250"/>
      <c r="QEY175" s="250"/>
      <c r="QEZ175" s="250"/>
      <c r="QFA175" s="250"/>
      <c r="QFB175" s="250"/>
      <c r="QFC175" s="250"/>
      <c r="QFD175" s="250"/>
      <c r="QFE175" s="250"/>
      <c r="QFF175" s="250"/>
      <c r="QFG175" s="250"/>
      <c r="QFH175" s="250"/>
      <c r="QFI175" s="250"/>
      <c r="QFJ175" s="250"/>
      <c r="QFK175" s="250"/>
      <c r="QFL175" s="250"/>
      <c r="QFM175" s="250"/>
      <c r="QFN175" s="250"/>
      <c r="QFO175" s="250"/>
      <c r="QFP175" s="250"/>
      <c r="QFQ175" s="250"/>
      <c r="QFR175" s="250"/>
      <c r="QFS175" s="250"/>
      <c r="QFT175" s="250"/>
      <c r="QFU175" s="250"/>
      <c r="QFV175" s="250"/>
      <c r="QFW175" s="250"/>
      <c r="QFX175" s="250"/>
      <c r="QFY175" s="250"/>
      <c r="QFZ175" s="250"/>
      <c r="QGA175" s="250"/>
      <c r="QGB175" s="250"/>
      <c r="QGC175" s="250"/>
      <c r="QGD175" s="250"/>
      <c r="QGE175" s="250"/>
      <c r="QGF175" s="250"/>
      <c r="QGG175" s="250"/>
      <c r="QGH175" s="250"/>
      <c r="QGI175" s="250"/>
      <c r="QGJ175" s="250"/>
      <c r="QGK175" s="250"/>
      <c r="QGL175" s="250"/>
      <c r="QGM175" s="250"/>
      <c r="QGN175" s="250"/>
      <c r="QGO175" s="250"/>
      <c r="QGP175" s="250"/>
      <c r="QGQ175" s="250"/>
      <c r="QGR175" s="250"/>
      <c r="QGS175" s="250"/>
      <c r="QGT175" s="250"/>
      <c r="QGU175" s="250"/>
      <c r="QGV175" s="250"/>
      <c r="QGW175" s="250"/>
      <c r="QGX175" s="250"/>
      <c r="QGY175" s="250"/>
      <c r="QGZ175" s="250"/>
      <c r="QHA175" s="250"/>
      <c r="QHB175" s="250"/>
      <c r="QHC175" s="250"/>
      <c r="QHD175" s="250"/>
      <c r="QHE175" s="250"/>
      <c r="QHF175" s="250"/>
      <c r="QHG175" s="250"/>
      <c r="QHH175" s="250"/>
      <c r="QHI175" s="250"/>
      <c r="QHJ175" s="250"/>
      <c r="QHK175" s="250"/>
      <c r="QHL175" s="250"/>
      <c r="QHM175" s="250"/>
      <c r="QHN175" s="250"/>
      <c r="QHO175" s="250"/>
      <c r="QHP175" s="250"/>
      <c r="QHQ175" s="250"/>
      <c r="QHR175" s="250"/>
      <c r="QHS175" s="250"/>
      <c r="QHT175" s="250"/>
      <c r="QHU175" s="250"/>
      <c r="QHV175" s="250"/>
      <c r="QHW175" s="250"/>
      <c r="QHX175" s="250"/>
      <c r="QHY175" s="250"/>
      <c r="QHZ175" s="250"/>
      <c r="QIA175" s="250"/>
      <c r="QIB175" s="250"/>
      <c r="QIC175" s="250"/>
      <c r="QID175" s="250"/>
      <c r="QIE175" s="250"/>
      <c r="QIF175" s="250"/>
      <c r="QIG175" s="250"/>
      <c r="QIH175" s="250"/>
      <c r="QII175" s="250"/>
      <c r="QIJ175" s="250"/>
      <c r="QIK175" s="250"/>
      <c r="QIL175" s="250"/>
      <c r="QIM175" s="250"/>
      <c r="QIN175" s="250"/>
      <c r="QIO175" s="250"/>
      <c r="QIP175" s="250"/>
      <c r="QIQ175" s="250"/>
      <c r="QIR175" s="250"/>
      <c r="QIS175" s="250"/>
      <c r="QIT175" s="250"/>
      <c r="QIU175" s="250"/>
      <c r="QIV175" s="250"/>
      <c r="QIW175" s="250"/>
      <c r="QIX175" s="250"/>
      <c r="QIY175" s="250"/>
      <c r="QIZ175" s="250"/>
      <c r="QJA175" s="250"/>
      <c r="QJB175" s="250"/>
      <c r="QJC175" s="250"/>
      <c r="QJD175" s="250"/>
      <c r="QJE175" s="250"/>
      <c r="QJF175" s="250"/>
      <c r="QJG175" s="250"/>
      <c r="QJH175" s="250"/>
      <c r="QJI175" s="250"/>
      <c r="QJJ175" s="250"/>
      <c r="QJK175" s="250"/>
      <c r="QJL175" s="250"/>
      <c r="QJM175" s="250"/>
      <c r="QJN175" s="250"/>
      <c r="QJO175" s="250"/>
      <c r="QJP175" s="250"/>
      <c r="QJQ175" s="250"/>
      <c r="QJR175" s="250"/>
      <c r="QJS175" s="250"/>
      <c r="QJT175" s="250"/>
      <c r="QJU175" s="250"/>
      <c r="QJV175" s="250"/>
      <c r="QJW175" s="250"/>
      <c r="QJX175" s="250"/>
      <c r="QJY175" s="250"/>
      <c r="QJZ175" s="250"/>
      <c r="QKA175" s="250"/>
      <c r="QKB175" s="250"/>
      <c r="QKC175" s="250"/>
      <c r="QKD175" s="250"/>
      <c r="QKE175" s="250"/>
      <c r="QKF175" s="250"/>
      <c r="QKG175" s="250"/>
      <c r="QKH175" s="250"/>
      <c r="QKI175" s="250"/>
      <c r="QKJ175" s="250"/>
      <c r="QKK175" s="250"/>
      <c r="QKL175" s="250"/>
      <c r="QKM175" s="250"/>
      <c r="QKN175" s="250"/>
      <c r="QKO175" s="250"/>
      <c r="QKP175" s="250"/>
      <c r="QKQ175" s="250"/>
      <c r="QKR175" s="250"/>
      <c r="QKS175" s="250"/>
      <c r="QKT175" s="250"/>
      <c r="QKU175" s="250"/>
      <c r="QKV175" s="250"/>
      <c r="QKW175" s="250"/>
      <c r="QKX175" s="250"/>
      <c r="QKY175" s="250"/>
      <c r="QKZ175" s="250"/>
      <c r="QLA175" s="250"/>
      <c r="QLB175" s="250"/>
      <c r="QLC175" s="250"/>
      <c r="QLD175" s="250"/>
      <c r="QLE175" s="250"/>
      <c r="QLF175" s="250"/>
      <c r="QLG175" s="250"/>
      <c r="QLH175" s="250"/>
      <c r="QLI175" s="250"/>
      <c r="QLJ175" s="250"/>
      <c r="QLK175" s="250"/>
      <c r="QLL175" s="250"/>
      <c r="QLM175" s="250"/>
      <c r="QLN175" s="250"/>
      <c r="QLO175" s="250"/>
      <c r="QLP175" s="250"/>
      <c r="QLQ175" s="250"/>
      <c r="QLR175" s="250"/>
      <c r="QLS175" s="250"/>
      <c r="QLT175" s="250"/>
      <c r="QLU175" s="250"/>
      <c r="QLV175" s="250"/>
      <c r="QLW175" s="250"/>
      <c r="QLX175" s="250"/>
      <c r="QLY175" s="250"/>
      <c r="QLZ175" s="250"/>
      <c r="QMA175" s="250"/>
      <c r="QMB175" s="250"/>
      <c r="QMC175" s="250"/>
      <c r="QMD175" s="250"/>
      <c r="QME175" s="250"/>
      <c r="QMF175" s="250"/>
      <c r="QMG175" s="250"/>
      <c r="QMH175" s="250"/>
      <c r="QMI175" s="250"/>
      <c r="QMJ175" s="250"/>
      <c r="QMK175" s="250"/>
      <c r="QML175" s="250"/>
      <c r="QMM175" s="250"/>
      <c r="QMN175" s="250"/>
      <c r="QMO175" s="250"/>
      <c r="QMP175" s="250"/>
      <c r="QMQ175" s="250"/>
      <c r="QMR175" s="250"/>
      <c r="QMS175" s="250"/>
      <c r="QMT175" s="250"/>
      <c r="QMU175" s="250"/>
      <c r="QMV175" s="250"/>
      <c r="QMW175" s="250"/>
      <c r="QMX175" s="250"/>
      <c r="QMY175" s="250"/>
      <c r="QMZ175" s="250"/>
      <c r="QNA175" s="250"/>
      <c r="QNB175" s="250"/>
      <c r="QNC175" s="250"/>
      <c r="QND175" s="250"/>
      <c r="QNE175" s="250"/>
      <c r="QNF175" s="250"/>
      <c r="QNG175" s="250"/>
      <c r="QNH175" s="250"/>
      <c r="QNI175" s="250"/>
      <c r="QNJ175" s="250"/>
      <c r="QNK175" s="250"/>
      <c r="QNL175" s="250"/>
      <c r="QNM175" s="250"/>
      <c r="QNN175" s="250"/>
      <c r="QNO175" s="250"/>
      <c r="QNP175" s="250"/>
      <c r="QNQ175" s="250"/>
      <c r="QNR175" s="250"/>
      <c r="QNS175" s="250"/>
      <c r="QNT175" s="250"/>
      <c r="QNU175" s="250"/>
      <c r="QNV175" s="250"/>
      <c r="QNW175" s="250"/>
      <c r="QNX175" s="250"/>
      <c r="QNY175" s="250"/>
      <c r="QNZ175" s="250"/>
      <c r="QOA175" s="250"/>
      <c r="QOB175" s="250"/>
      <c r="QOC175" s="250"/>
      <c r="QOD175" s="250"/>
      <c r="QOE175" s="250"/>
      <c r="QOF175" s="250"/>
      <c r="QOG175" s="250"/>
      <c r="QOH175" s="250"/>
      <c r="QOI175" s="250"/>
      <c r="QOJ175" s="250"/>
      <c r="QOK175" s="250"/>
      <c r="QOL175" s="250"/>
      <c r="QOM175" s="250"/>
      <c r="QON175" s="250"/>
      <c r="QOO175" s="250"/>
      <c r="QOP175" s="250"/>
      <c r="QOQ175" s="250"/>
      <c r="QOR175" s="250"/>
      <c r="QOS175" s="250"/>
      <c r="QOT175" s="250"/>
      <c r="QOU175" s="250"/>
      <c r="QOV175" s="250"/>
      <c r="QOW175" s="250"/>
      <c r="QOX175" s="250"/>
      <c r="QOY175" s="250"/>
      <c r="QOZ175" s="250"/>
      <c r="QPA175" s="250"/>
      <c r="QPB175" s="250"/>
      <c r="QPC175" s="250"/>
      <c r="QPD175" s="250"/>
      <c r="QPE175" s="250"/>
      <c r="QPF175" s="250"/>
      <c r="QPG175" s="250"/>
      <c r="QPH175" s="250"/>
      <c r="QPI175" s="250"/>
      <c r="QPJ175" s="250"/>
      <c r="QPK175" s="250"/>
      <c r="QPL175" s="250"/>
      <c r="QPM175" s="250"/>
      <c r="QPN175" s="250"/>
      <c r="QPO175" s="250"/>
      <c r="QPP175" s="250"/>
      <c r="QPQ175" s="250"/>
      <c r="QPR175" s="250"/>
      <c r="QPS175" s="250"/>
      <c r="QPT175" s="250"/>
      <c r="QPU175" s="250"/>
      <c r="QPV175" s="250"/>
      <c r="QPW175" s="250"/>
      <c r="QPX175" s="250"/>
      <c r="QPY175" s="250"/>
      <c r="QPZ175" s="250"/>
      <c r="QQA175" s="250"/>
      <c r="QQB175" s="250"/>
      <c r="QQC175" s="250"/>
      <c r="QQD175" s="250"/>
      <c r="QQE175" s="250"/>
      <c r="QQF175" s="250"/>
      <c r="QQG175" s="250"/>
      <c r="QQH175" s="250"/>
      <c r="QQI175" s="250"/>
      <c r="QQJ175" s="250"/>
      <c r="QQK175" s="250"/>
      <c r="QQL175" s="250"/>
      <c r="QQM175" s="250"/>
      <c r="QQN175" s="250"/>
      <c r="QQO175" s="250"/>
      <c r="QQP175" s="250"/>
      <c r="QQQ175" s="250"/>
      <c r="QQR175" s="250"/>
      <c r="QQS175" s="250"/>
      <c r="QQT175" s="250"/>
      <c r="QQU175" s="250"/>
      <c r="QQV175" s="250"/>
      <c r="QQW175" s="250"/>
      <c r="QQX175" s="250"/>
      <c r="QQY175" s="250"/>
      <c r="QQZ175" s="250"/>
      <c r="QRA175" s="250"/>
      <c r="QRB175" s="250"/>
      <c r="QRC175" s="250"/>
      <c r="QRD175" s="250"/>
      <c r="QRE175" s="250"/>
      <c r="QRF175" s="250"/>
      <c r="QRG175" s="250"/>
      <c r="QRH175" s="250"/>
      <c r="QRI175" s="250"/>
      <c r="QRJ175" s="250"/>
      <c r="QRK175" s="250"/>
      <c r="QRL175" s="250"/>
      <c r="QRM175" s="250"/>
      <c r="QRN175" s="250"/>
      <c r="QRO175" s="250"/>
      <c r="QRP175" s="250"/>
      <c r="QRQ175" s="250"/>
      <c r="QRR175" s="250"/>
      <c r="QRS175" s="250"/>
      <c r="QRT175" s="250"/>
      <c r="QRU175" s="250"/>
      <c r="QRV175" s="250"/>
      <c r="QRW175" s="250"/>
      <c r="QRX175" s="250"/>
      <c r="QRY175" s="250"/>
      <c r="QRZ175" s="250"/>
      <c r="QSA175" s="250"/>
      <c r="QSB175" s="250"/>
      <c r="QSC175" s="250"/>
      <c r="QSD175" s="250"/>
      <c r="QSE175" s="250"/>
      <c r="QSF175" s="250"/>
      <c r="QSG175" s="250"/>
      <c r="QSH175" s="250"/>
      <c r="QSI175" s="250"/>
      <c r="QSJ175" s="250"/>
      <c r="QSK175" s="250"/>
      <c r="QSL175" s="250"/>
      <c r="QSM175" s="250"/>
      <c r="QSN175" s="250"/>
      <c r="QSO175" s="250"/>
      <c r="QSP175" s="250"/>
      <c r="QSQ175" s="250"/>
      <c r="QSR175" s="250"/>
      <c r="QSS175" s="250"/>
      <c r="QST175" s="250"/>
      <c r="QSU175" s="250"/>
      <c r="QSV175" s="250"/>
      <c r="QSW175" s="250"/>
      <c r="QSX175" s="250"/>
      <c r="QSY175" s="250"/>
      <c r="QSZ175" s="250"/>
      <c r="QTA175" s="250"/>
      <c r="QTB175" s="250"/>
      <c r="QTC175" s="250"/>
      <c r="QTD175" s="250"/>
      <c r="QTE175" s="250"/>
      <c r="QTF175" s="250"/>
      <c r="QTG175" s="250"/>
      <c r="QTH175" s="250"/>
      <c r="QTI175" s="250"/>
      <c r="QTJ175" s="250"/>
      <c r="QTK175" s="250"/>
      <c r="QTL175" s="250"/>
      <c r="QTM175" s="250"/>
      <c r="QTN175" s="250"/>
      <c r="QTO175" s="250"/>
      <c r="QTP175" s="250"/>
      <c r="QTQ175" s="250"/>
      <c r="QTR175" s="250"/>
      <c r="QTS175" s="250"/>
      <c r="QTT175" s="250"/>
      <c r="QTU175" s="250"/>
      <c r="QTV175" s="250"/>
      <c r="QTW175" s="250"/>
      <c r="QTX175" s="250"/>
      <c r="QTY175" s="250"/>
      <c r="QTZ175" s="250"/>
      <c r="QUA175" s="250"/>
      <c r="QUB175" s="250"/>
      <c r="QUC175" s="250"/>
      <c r="QUD175" s="250"/>
      <c r="QUE175" s="250"/>
      <c r="QUF175" s="250"/>
      <c r="QUG175" s="250"/>
      <c r="QUH175" s="250"/>
      <c r="QUI175" s="250"/>
      <c r="QUJ175" s="250"/>
      <c r="QUK175" s="250"/>
      <c r="QUL175" s="250"/>
      <c r="QUM175" s="250"/>
      <c r="QUN175" s="250"/>
      <c r="QUO175" s="250"/>
      <c r="QUP175" s="250"/>
      <c r="QUQ175" s="250"/>
      <c r="QUR175" s="250"/>
      <c r="QUS175" s="250"/>
      <c r="QUT175" s="250"/>
      <c r="QUU175" s="250"/>
      <c r="QUV175" s="250"/>
      <c r="QUW175" s="250"/>
      <c r="QUX175" s="250"/>
      <c r="QUY175" s="250"/>
      <c r="QUZ175" s="250"/>
      <c r="QVA175" s="250"/>
      <c r="QVB175" s="250"/>
      <c r="QVC175" s="250"/>
      <c r="QVD175" s="250"/>
      <c r="QVE175" s="250"/>
      <c r="QVF175" s="250"/>
      <c r="QVG175" s="250"/>
      <c r="QVH175" s="250"/>
      <c r="QVI175" s="250"/>
      <c r="QVJ175" s="250"/>
      <c r="QVK175" s="250"/>
      <c r="QVL175" s="250"/>
      <c r="QVM175" s="250"/>
      <c r="QVN175" s="250"/>
      <c r="QVO175" s="250"/>
      <c r="QVP175" s="250"/>
      <c r="QVQ175" s="250"/>
      <c r="QVR175" s="250"/>
      <c r="QVS175" s="250"/>
      <c r="QVT175" s="250"/>
      <c r="QVU175" s="250"/>
      <c r="QVV175" s="250"/>
      <c r="QVW175" s="250"/>
      <c r="QVX175" s="250"/>
      <c r="QVY175" s="250"/>
      <c r="QVZ175" s="250"/>
      <c r="QWA175" s="250"/>
      <c r="QWB175" s="250"/>
      <c r="QWC175" s="250"/>
      <c r="QWD175" s="250"/>
      <c r="QWE175" s="250"/>
      <c r="QWF175" s="250"/>
      <c r="QWG175" s="250"/>
      <c r="QWH175" s="250"/>
      <c r="QWI175" s="250"/>
      <c r="QWJ175" s="250"/>
      <c r="QWK175" s="250"/>
      <c r="QWL175" s="250"/>
      <c r="QWM175" s="250"/>
      <c r="QWN175" s="250"/>
      <c r="QWO175" s="250"/>
      <c r="QWP175" s="250"/>
      <c r="QWQ175" s="250"/>
      <c r="QWR175" s="250"/>
      <c r="QWS175" s="250"/>
      <c r="QWT175" s="250"/>
      <c r="QWU175" s="250"/>
      <c r="QWV175" s="250"/>
      <c r="QWW175" s="250"/>
      <c r="QWX175" s="250"/>
      <c r="QWY175" s="250"/>
      <c r="QWZ175" s="250"/>
      <c r="QXA175" s="250"/>
      <c r="QXB175" s="250"/>
      <c r="QXC175" s="250"/>
      <c r="QXD175" s="250"/>
      <c r="QXE175" s="250"/>
      <c r="QXF175" s="250"/>
      <c r="QXG175" s="250"/>
      <c r="QXH175" s="250"/>
      <c r="QXI175" s="250"/>
      <c r="QXJ175" s="250"/>
      <c r="QXK175" s="250"/>
      <c r="QXL175" s="250"/>
      <c r="QXM175" s="250"/>
      <c r="QXN175" s="250"/>
      <c r="QXO175" s="250"/>
      <c r="QXP175" s="250"/>
      <c r="QXQ175" s="250"/>
      <c r="QXR175" s="250"/>
      <c r="QXS175" s="250"/>
      <c r="QXT175" s="250"/>
      <c r="QXU175" s="250"/>
      <c r="QXV175" s="250"/>
      <c r="QXW175" s="250"/>
      <c r="QXX175" s="250"/>
      <c r="QXY175" s="250"/>
      <c r="QXZ175" s="250"/>
      <c r="QYA175" s="250"/>
      <c r="QYB175" s="250"/>
      <c r="QYC175" s="250"/>
      <c r="QYD175" s="250"/>
      <c r="QYE175" s="250"/>
      <c r="QYF175" s="250"/>
      <c r="QYG175" s="250"/>
      <c r="QYH175" s="250"/>
      <c r="QYI175" s="250"/>
      <c r="QYJ175" s="250"/>
      <c r="QYK175" s="250"/>
      <c r="QYL175" s="250"/>
      <c r="QYM175" s="250"/>
      <c r="QYN175" s="250"/>
      <c r="QYO175" s="250"/>
      <c r="QYP175" s="250"/>
      <c r="QYQ175" s="250"/>
      <c r="QYR175" s="250"/>
      <c r="QYS175" s="250"/>
      <c r="QYT175" s="250"/>
      <c r="QYU175" s="250"/>
      <c r="QYV175" s="250"/>
      <c r="QYW175" s="250"/>
      <c r="QYX175" s="250"/>
      <c r="QYY175" s="250"/>
      <c r="QYZ175" s="250"/>
      <c r="QZA175" s="250"/>
      <c r="QZB175" s="250"/>
      <c r="QZC175" s="250"/>
      <c r="QZD175" s="250"/>
      <c r="QZE175" s="250"/>
      <c r="QZF175" s="250"/>
      <c r="QZG175" s="250"/>
      <c r="QZH175" s="250"/>
      <c r="QZI175" s="250"/>
      <c r="QZJ175" s="250"/>
      <c r="QZK175" s="250"/>
      <c r="QZL175" s="250"/>
      <c r="QZM175" s="250"/>
      <c r="QZN175" s="250"/>
      <c r="QZO175" s="250"/>
      <c r="QZP175" s="250"/>
      <c r="QZQ175" s="250"/>
      <c r="QZR175" s="250"/>
      <c r="QZS175" s="250"/>
      <c r="QZT175" s="250"/>
      <c r="QZU175" s="250"/>
      <c r="QZV175" s="250"/>
      <c r="QZW175" s="250"/>
      <c r="QZX175" s="250"/>
      <c r="QZY175" s="250"/>
      <c r="QZZ175" s="250"/>
      <c r="RAA175" s="250"/>
      <c r="RAB175" s="250"/>
      <c r="RAC175" s="250"/>
      <c r="RAD175" s="250"/>
      <c r="RAE175" s="250"/>
      <c r="RAF175" s="250"/>
      <c r="RAG175" s="250"/>
      <c r="RAH175" s="250"/>
      <c r="RAI175" s="250"/>
      <c r="RAJ175" s="250"/>
      <c r="RAK175" s="250"/>
      <c r="RAL175" s="250"/>
      <c r="RAM175" s="250"/>
      <c r="RAN175" s="250"/>
      <c r="RAO175" s="250"/>
      <c r="RAP175" s="250"/>
      <c r="RAQ175" s="250"/>
      <c r="RAR175" s="250"/>
      <c r="RAS175" s="250"/>
      <c r="RAT175" s="250"/>
      <c r="RAU175" s="250"/>
      <c r="RAV175" s="250"/>
      <c r="RAW175" s="250"/>
      <c r="RAX175" s="250"/>
      <c r="RAY175" s="250"/>
      <c r="RAZ175" s="250"/>
      <c r="RBA175" s="250"/>
      <c r="RBB175" s="250"/>
      <c r="RBC175" s="250"/>
      <c r="RBD175" s="250"/>
      <c r="RBE175" s="250"/>
      <c r="RBF175" s="250"/>
      <c r="RBG175" s="250"/>
      <c r="RBH175" s="250"/>
      <c r="RBI175" s="250"/>
      <c r="RBJ175" s="250"/>
      <c r="RBK175" s="250"/>
      <c r="RBL175" s="250"/>
      <c r="RBM175" s="250"/>
      <c r="RBN175" s="250"/>
      <c r="RBO175" s="250"/>
      <c r="RBP175" s="250"/>
      <c r="RBQ175" s="250"/>
      <c r="RBR175" s="250"/>
      <c r="RBS175" s="250"/>
      <c r="RBT175" s="250"/>
      <c r="RBU175" s="250"/>
      <c r="RBV175" s="250"/>
      <c r="RBW175" s="250"/>
      <c r="RBX175" s="250"/>
      <c r="RBY175" s="250"/>
      <c r="RBZ175" s="250"/>
      <c r="RCA175" s="250"/>
      <c r="RCB175" s="250"/>
      <c r="RCC175" s="250"/>
      <c r="RCD175" s="250"/>
      <c r="RCE175" s="250"/>
      <c r="RCF175" s="250"/>
      <c r="RCG175" s="250"/>
      <c r="RCH175" s="250"/>
      <c r="RCI175" s="250"/>
      <c r="RCJ175" s="250"/>
      <c r="RCK175" s="250"/>
      <c r="RCL175" s="250"/>
      <c r="RCM175" s="250"/>
      <c r="RCN175" s="250"/>
      <c r="RCO175" s="250"/>
      <c r="RCP175" s="250"/>
      <c r="RCQ175" s="250"/>
      <c r="RCR175" s="250"/>
      <c r="RCS175" s="250"/>
      <c r="RCT175" s="250"/>
      <c r="RCU175" s="250"/>
      <c r="RCV175" s="250"/>
      <c r="RCW175" s="250"/>
      <c r="RCX175" s="250"/>
      <c r="RCY175" s="250"/>
      <c r="RCZ175" s="250"/>
      <c r="RDA175" s="250"/>
      <c r="RDB175" s="250"/>
      <c r="RDC175" s="250"/>
      <c r="RDD175" s="250"/>
      <c r="RDE175" s="250"/>
      <c r="RDF175" s="250"/>
      <c r="RDG175" s="250"/>
      <c r="RDH175" s="250"/>
      <c r="RDI175" s="250"/>
      <c r="RDJ175" s="250"/>
      <c r="RDK175" s="250"/>
      <c r="RDL175" s="250"/>
      <c r="RDM175" s="250"/>
      <c r="RDN175" s="250"/>
      <c r="RDO175" s="250"/>
      <c r="RDP175" s="250"/>
      <c r="RDQ175" s="250"/>
      <c r="RDR175" s="250"/>
      <c r="RDS175" s="250"/>
      <c r="RDT175" s="250"/>
      <c r="RDU175" s="250"/>
      <c r="RDV175" s="250"/>
      <c r="RDW175" s="250"/>
      <c r="RDX175" s="250"/>
      <c r="RDY175" s="250"/>
      <c r="RDZ175" s="250"/>
      <c r="REA175" s="250"/>
      <c r="REB175" s="250"/>
      <c r="REC175" s="250"/>
      <c r="RED175" s="250"/>
      <c r="REE175" s="250"/>
      <c r="REF175" s="250"/>
      <c r="REG175" s="250"/>
      <c r="REH175" s="250"/>
      <c r="REI175" s="250"/>
      <c r="REJ175" s="250"/>
      <c r="REK175" s="250"/>
      <c r="REL175" s="250"/>
      <c r="REM175" s="250"/>
      <c r="REN175" s="250"/>
      <c r="REO175" s="250"/>
      <c r="REP175" s="250"/>
      <c r="REQ175" s="250"/>
      <c r="RER175" s="250"/>
      <c r="RES175" s="250"/>
      <c r="RET175" s="250"/>
      <c r="REU175" s="250"/>
      <c r="REV175" s="250"/>
      <c r="REW175" s="250"/>
      <c r="REX175" s="250"/>
      <c r="REY175" s="250"/>
      <c r="REZ175" s="250"/>
      <c r="RFA175" s="250"/>
      <c r="RFB175" s="250"/>
      <c r="RFC175" s="250"/>
      <c r="RFD175" s="250"/>
      <c r="RFE175" s="250"/>
      <c r="RFF175" s="250"/>
      <c r="RFG175" s="250"/>
      <c r="RFH175" s="250"/>
      <c r="RFI175" s="250"/>
      <c r="RFJ175" s="250"/>
      <c r="RFK175" s="250"/>
      <c r="RFL175" s="250"/>
      <c r="RFM175" s="250"/>
      <c r="RFN175" s="250"/>
      <c r="RFO175" s="250"/>
      <c r="RFP175" s="250"/>
      <c r="RFQ175" s="250"/>
      <c r="RFR175" s="250"/>
      <c r="RFS175" s="250"/>
      <c r="RFT175" s="250"/>
      <c r="RFU175" s="250"/>
      <c r="RFV175" s="250"/>
      <c r="RFW175" s="250"/>
      <c r="RFX175" s="250"/>
      <c r="RFY175" s="250"/>
      <c r="RFZ175" s="250"/>
      <c r="RGA175" s="250"/>
      <c r="RGB175" s="250"/>
      <c r="RGC175" s="250"/>
      <c r="RGD175" s="250"/>
      <c r="RGE175" s="250"/>
      <c r="RGF175" s="250"/>
      <c r="RGG175" s="250"/>
      <c r="RGH175" s="250"/>
      <c r="RGI175" s="250"/>
      <c r="RGJ175" s="250"/>
      <c r="RGK175" s="250"/>
      <c r="RGL175" s="250"/>
      <c r="RGM175" s="250"/>
      <c r="RGN175" s="250"/>
      <c r="RGO175" s="250"/>
      <c r="RGP175" s="250"/>
      <c r="RGQ175" s="250"/>
      <c r="RGR175" s="250"/>
      <c r="RGS175" s="250"/>
      <c r="RGT175" s="250"/>
      <c r="RGU175" s="250"/>
      <c r="RGV175" s="250"/>
      <c r="RGW175" s="250"/>
      <c r="RGX175" s="250"/>
      <c r="RGY175" s="250"/>
      <c r="RGZ175" s="250"/>
      <c r="RHA175" s="250"/>
      <c r="RHB175" s="250"/>
      <c r="RHC175" s="250"/>
      <c r="RHD175" s="250"/>
      <c r="RHE175" s="250"/>
      <c r="RHF175" s="250"/>
      <c r="RHG175" s="250"/>
      <c r="RHH175" s="250"/>
      <c r="RHI175" s="250"/>
      <c r="RHJ175" s="250"/>
      <c r="RHK175" s="250"/>
      <c r="RHL175" s="250"/>
      <c r="RHM175" s="250"/>
      <c r="RHN175" s="250"/>
      <c r="RHO175" s="250"/>
      <c r="RHP175" s="250"/>
      <c r="RHQ175" s="250"/>
      <c r="RHR175" s="250"/>
      <c r="RHS175" s="250"/>
      <c r="RHT175" s="250"/>
      <c r="RHU175" s="250"/>
      <c r="RHV175" s="250"/>
      <c r="RHW175" s="250"/>
      <c r="RHX175" s="250"/>
      <c r="RHY175" s="250"/>
      <c r="RHZ175" s="250"/>
      <c r="RIA175" s="250"/>
      <c r="RIB175" s="250"/>
      <c r="RIC175" s="250"/>
      <c r="RID175" s="250"/>
      <c r="RIE175" s="250"/>
      <c r="RIF175" s="250"/>
      <c r="RIG175" s="250"/>
      <c r="RIH175" s="250"/>
      <c r="RII175" s="250"/>
      <c r="RIJ175" s="250"/>
      <c r="RIK175" s="250"/>
      <c r="RIL175" s="250"/>
      <c r="RIM175" s="250"/>
      <c r="RIN175" s="250"/>
      <c r="RIO175" s="250"/>
      <c r="RIP175" s="250"/>
      <c r="RIQ175" s="250"/>
      <c r="RIR175" s="250"/>
      <c r="RIS175" s="250"/>
      <c r="RIT175" s="250"/>
      <c r="RIU175" s="250"/>
      <c r="RIV175" s="250"/>
      <c r="RIW175" s="250"/>
      <c r="RIX175" s="250"/>
      <c r="RIY175" s="250"/>
      <c r="RIZ175" s="250"/>
      <c r="RJA175" s="250"/>
      <c r="RJB175" s="250"/>
      <c r="RJC175" s="250"/>
      <c r="RJD175" s="250"/>
      <c r="RJE175" s="250"/>
      <c r="RJF175" s="250"/>
      <c r="RJG175" s="250"/>
      <c r="RJH175" s="250"/>
      <c r="RJI175" s="250"/>
      <c r="RJJ175" s="250"/>
      <c r="RJK175" s="250"/>
      <c r="RJL175" s="250"/>
      <c r="RJM175" s="250"/>
      <c r="RJN175" s="250"/>
      <c r="RJO175" s="250"/>
      <c r="RJP175" s="250"/>
      <c r="RJQ175" s="250"/>
      <c r="RJR175" s="250"/>
      <c r="RJS175" s="250"/>
      <c r="RJT175" s="250"/>
      <c r="RJU175" s="250"/>
      <c r="RJV175" s="250"/>
      <c r="RJW175" s="250"/>
      <c r="RJX175" s="250"/>
      <c r="RJY175" s="250"/>
      <c r="RJZ175" s="250"/>
      <c r="RKA175" s="250"/>
      <c r="RKB175" s="250"/>
      <c r="RKC175" s="250"/>
      <c r="RKD175" s="250"/>
      <c r="RKE175" s="250"/>
      <c r="RKF175" s="250"/>
      <c r="RKG175" s="250"/>
      <c r="RKH175" s="250"/>
      <c r="RKI175" s="250"/>
      <c r="RKJ175" s="250"/>
      <c r="RKK175" s="250"/>
      <c r="RKL175" s="250"/>
      <c r="RKM175" s="250"/>
      <c r="RKN175" s="250"/>
      <c r="RKO175" s="250"/>
      <c r="RKP175" s="250"/>
      <c r="RKQ175" s="250"/>
      <c r="RKR175" s="250"/>
      <c r="RKS175" s="250"/>
      <c r="RKT175" s="250"/>
      <c r="RKU175" s="250"/>
      <c r="RKV175" s="250"/>
      <c r="RKW175" s="250"/>
      <c r="RKX175" s="250"/>
      <c r="RKY175" s="250"/>
      <c r="RKZ175" s="250"/>
      <c r="RLA175" s="250"/>
      <c r="RLB175" s="250"/>
      <c r="RLC175" s="250"/>
      <c r="RLD175" s="250"/>
      <c r="RLE175" s="250"/>
      <c r="RLF175" s="250"/>
      <c r="RLG175" s="250"/>
      <c r="RLH175" s="250"/>
      <c r="RLI175" s="250"/>
      <c r="RLJ175" s="250"/>
      <c r="RLK175" s="250"/>
      <c r="RLL175" s="250"/>
      <c r="RLM175" s="250"/>
      <c r="RLN175" s="250"/>
      <c r="RLO175" s="250"/>
      <c r="RLP175" s="250"/>
      <c r="RLQ175" s="250"/>
      <c r="RLR175" s="250"/>
      <c r="RLS175" s="250"/>
      <c r="RLT175" s="250"/>
      <c r="RLU175" s="250"/>
      <c r="RLV175" s="250"/>
      <c r="RLW175" s="250"/>
      <c r="RLX175" s="250"/>
      <c r="RLY175" s="250"/>
      <c r="RLZ175" s="250"/>
      <c r="RMA175" s="250"/>
      <c r="RMB175" s="250"/>
      <c r="RMC175" s="250"/>
      <c r="RMD175" s="250"/>
      <c r="RME175" s="250"/>
      <c r="RMF175" s="250"/>
      <c r="RMG175" s="250"/>
      <c r="RMH175" s="250"/>
      <c r="RMI175" s="250"/>
      <c r="RMJ175" s="250"/>
      <c r="RMK175" s="250"/>
      <c r="RML175" s="250"/>
      <c r="RMM175" s="250"/>
      <c r="RMN175" s="250"/>
      <c r="RMO175" s="250"/>
      <c r="RMP175" s="250"/>
      <c r="RMQ175" s="250"/>
      <c r="RMR175" s="250"/>
      <c r="RMS175" s="250"/>
      <c r="RMT175" s="250"/>
      <c r="RMU175" s="250"/>
      <c r="RMV175" s="250"/>
      <c r="RMW175" s="250"/>
      <c r="RMX175" s="250"/>
      <c r="RMY175" s="250"/>
      <c r="RMZ175" s="250"/>
      <c r="RNA175" s="250"/>
      <c r="RNB175" s="250"/>
      <c r="RNC175" s="250"/>
      <c r="RND175" s="250"/>
      <c r="RNE175" s="250"/>
      <c r="RNF175" s="250"/>
      <c r="RNG175" s="250"/>
      <c r="RNH175" s="250"/>
      <c r="RNI175" s="250"/>
      <c r="RNJ175" s="250"/>
      <c r="RNK175" s="250"/>
      <c r="RNL175" s="250"/>
      <c r="RNM175" s="250"/>
      <c r="RNN175" s="250"/>
      <c r="RNO175" s="250"/>
      <c r="RNP175" s="250"/>
      <c r="RNQ175" s="250"/>
      <c r="RNR175" s="250"/>
      <c r="RNS175" s="250"/>
      <c r="RNT175" s="250"/>
      <c r="RNU175" s="250"/>
      <c r="RNV175" s="250"/>
      <c r="RNW175" s="250"/>
      <c r="RNX175" s="250"/>
      <c r="RNY175" s="250"/>
      <c r="RNZ175" s="250"/>
      <c r="ROA175" s="250"/>
      <c r="ROB175" s="250"/>
      <c r="ROC175" s="250"/>
      <c r="ROD175" s="250"/>
      <c r="ROE175" s="250"/>
      <c r="ROF175" s="250"/>
      <c r="ROG175" s="250"/>
      <c r="ROH175" s="250"/>
      <c r="ROI175" s="250"/>
      <c r="ROJ175" s="250"/>
      <c r="ROK175" s="250"/>
      <c r="ROL175" s="250"/>
      <c r="ROM175" s="250"/>
      <c r="RON175" s="250"/>
      <c r="ROO175" s="250"/>
      <c r="ROP175" s="250"/>
      <c r="ROQ175" s="250"/>
      <c r="ROR175" s="250"/>
      <c r="ROS175" s="250"/>
      <c r="ROT175" s="250"/>
      <c r="ROU175" s="250"/>
      <c r="ROV175" s="250"/>
      <c r="ROW175" s="250"/>
      <c r="ROX175" s="250"/>
      <c r="ROY175" s="250"/>
      <c r="ROZ175" s="250"/>
      <c r="RPA175" s="250"/>
      <c r="RPB175" s="250"/>
      <c r="RPC175" s="250"/>
      <c r="RPD175" s="250"/>
      <c r="RPE175" s="250"/>
      <c r="RPF175" s="250"/>
      <c r="RPG175" s="250"/>
      <c r="RPH175" s="250"/>
      <c r="RPI175" s="250"/>
      <c r="RPJ175" s="250"/>
      <c r="RPK175" s="250"/>
      <c r="RPL175" s="250"/>
      <c r="RPM175" s="250"/>
      <c r="RPN175" s="250"/>
      <c r="RPO175" s="250"/>
      <c r="RPP175" s="250"/>
      <c r="RPQ175" s="250"/>
      <c r="RPR175" s="250"/>
      <c r="RPS175" s="250"/>
      <c r="RPT175" s="250"/>
      <c r="RPU175" s="250"/>
      <c r="RPV175" s="250"/>
      <c r="RPW175" s="250"/>
      <c r="RPX175" s="250"/>
      <c r="RPY175" s="250"/>
      <c r="RPZ175" s="250"/>
      <c r="RQA175" s="250"/>
      <c r="RQB175" s="250"/>
      <c r="RQC175" s="250"/>
      <c r="RQD175" s="250"/>
      <c r="RQE175" s="250"/>
      <c r="RQF175" s="250"/>
      <c r="RQG175" s="250"/>
      <c r="RQH175" s="250"/>
      <c r="RQI175" s="250"/>
      <c r="RQJ175" s="250"/>
      <c r="RQK175" s="250"/>
      <c r="RQL175" s="250"/>
      <c r="RQM175" s="250"/>
      <c r="RQN175" s="250"/>
      <c r="RQO175" s="250"/>
      <c r="RQP175" s="250"/>
      <c r="RQQ175" s="250"/>
      <c r="RQR175" s="250"/>
      <c r="RQS175" s="250"/>
      <c r="RQT175" s="250"/>
      <c r="RQU175" s="250"/>
      <c r="RQV175" s="250"/>
      <c r="RQW175" s="250"/>
      <c r="RQX175" s="250"/>
      <c r="RQY175" s="250"/>
      <c r="RQZ175" s="250"/>
      <c r="RRA175" s="250"/>
      <c r="RRB175" s="250"/>
      <c r="RRC175" s="250"/>
      <c r="RRD175" s="250"/>
      <c r="RRE175" s="250"/>
      <c r="RRF175" s="250"/>
      <c r="RRG175" s="250"/>
      <c r="RRH175" s="250"/>
      <c r="RRI175" s="250"/>
      <c r="RRJ175" s="250"/>
      <c r="RRK175" s="250"/>
      <c r="RRL175" s="250"/>
      <c r="RRM175" s="250"/>
      <c r="RRN175" s="250"/>
      <c r="RRO175" s="250"/>
      <c r="RRP175" s="250"/>
      <c r="RRQ175" s="250"/>
      <c r="RRR175" s="250"/>
      <c r="RRS175" s="250"/>
      <c r="RRT175" s="250"/>
      <c r="RRU175" s="250"/>
      <c r="RRV175" s="250"/>
      <c r="RRW175" s="250"/>
      <c r="RRX175" s="250"/>
      <c r="RRY175" s="250"/>
      <c r="RRZ175" s="250"/>
      <c r="RSA175" s="250"/>
      <c r="RSB175" s="250"/>
      <c r="RSC175" s="250"/>
      <c r="RSD175" s="250"/>
      <c r="RSE175" s="250"/>
      <c r="RSF175" s="250"/>
      <c r="RSG175" s="250"/>
      <c r="RSH175" s="250"/>
      <c r="RSI175" s="250"/>
      <c r="RSJ175" s="250"/>
      <c r="RSK175" s="250"/>
      <c r="RSL175" s="250"/>
      <c r="RSM175" s="250"/>
      <c r="RSN175" s="250"/>
      <c r="RSO175" s="250"/>
      <c r="RSP175" s="250"/>
      <c r="RSQ175" s="250"/>
      <c r="RSR175" s="250"/>
      <c r="RSS175" s="250"/>
      <c r="RST175" s="250"/>
      <c r="RSU175" s="250"/>
      <c r="RSV175" s="250"/>
      <c r="RSW175" s="250"/>
      <c r="RSX175" s="250"/>
      <c r="RSY175" s="250"/>
      <c r="RSZ175" s="250"/>
      <c r="RTA175" s="250"/>
      <c r="RTB175" s="250"/>
      <c r="RTC175" s="250"/>
      <c r="RTD175" s="250"/>
      <c r="RTE175" s="250"/>
      <c r="RTF175" s="250"/>
      <c r="RTG175" s="250"/>
      <c r="RTH175" s="250"/>
      <c r="RTI175" s="250"/>
      <c r="RTJ175" s="250"/>
      <c r="RTK175" s="250"/>
      <c r="RTL175" s="250"/>
      <c r="RTM175" s="250"/>
      <c r="RTN175" s="250"/>
      <c r="RTO175" s="250"/>
      <c r="RTP175" s="250"/>
      <c r="RTQ175" s="250"/>
      <c r="RTR175" s="250"/>
      <c r="RTS175" s="250"/>
      <c r="RTT175" s="250"/>
      <c r="RTU175" s="250"/>
      <c r="RTV175" s="250"/>
      <c r="RTW175" s="250"/>
      <c r="RTX175" s="250"/>
      <c r="RTY175" s="250"/>
      <c r="RTZ175" s="250"/>
      <c r="RUA175" s="250"/>
      <c r="RUB175" s="250"/>
      <c r="RUC175" s="250"/>
      <c r="RUD175" s="250"/>
      <c r="RUE175" s="250"/>
      <c r="RUF175" s="250"/>
      <c r="RUG175" s="250"/>
      <c r="RUH175" s="250"/>
      <c r="RUI175" s="250"/>
      <c r="RUJ175" s="250"/>
      <c r="RUK175" s="250"/>
      <c r="RUL175" s="250"/>
      <c r="RUM175" s="250"/>
      <c r="RUN175" s="250"/>
      <c r="RUO175" s="250"/>
      <c r="RUP175" s="250"/>
      <c r="RUQ175" s="250"/>
      <c r="RUR175" s="250"/>
      <c r="RUS175" s="250"/>
      <c r="RUT175" s="250"/>
      <c r="RUU175" s="250"/>
      <c r="RUV175" s="250"/>
      <c r="RUW175" s="250"/>
      <c r="RUX175" s="250"/>
      <c r="RUY175" s="250"/>
      <c r="RUZ175" s="250"/>
      <c r="RVA175" s="250"/>
      <c r="RVB175" s="250"/>
      <c r="RVC175" s="250"/>
      <c r="RVD175" s="250"/>
      <c r="RVE175" s="250"/>
      <c r="RVF175" s="250"/>
      <c r="RVG175" s="250"/>
      <c r="RVH175" s="250"/>
      <c r="RVI175" s="250"/>
      <c r="RVJ175" s="250"/>
      <c r="RVK175" s="250"/>
      <c r="RVL175" s="250"/>
      <c r="RVM175" s="250"/>
      <c r="RVN175" s="250"/>
      <c r="RVO175" s="250"/>
      <c r="RVP175" s="250"/>
      <c r="RVQ175" s="250"/>
      <c r="RVR175" s="250"/>
      <c r="RVS175" s="250"/>
      <c r="RVT175" s="250"/>
      <c r="RVU175" s="250"/>
      <c r="RVV175" s="250"/>
      <c r="RVW175" s="250"/>
      <c r="RVX175" s="250"/>
      <c r="RVY175" s="250"/>
      <c r="RVZ175" s="250"/>
      <c r="RWA175" s="250"/>
      <c r="RWB175" s="250"/>
      <c r="RWC175" s="250"/>
      <c r="RWD175" s="250"/>
      <c r="RWE175" s="250"/>
      <c r="RWF175" s="250"/>
      <c r="RWG175" s="250"/>
      <c r="RWH175" s="250"/>
      <c r="RWI175" s="250"/>
      <c r="RWJ175" s="250"/>
      <c r="RWK175" s="250"/>
      <c r="RWL175" s="250"/>
      <c r="RWM175" s="250"/>
      <c r="RWN175" s="250"/>
      <c r="RWO175" s="250"/>
      <c r="RWP175" s="250"/>
      <c r="RWQ175" s="250"/>
      <c r="RWR175" s="250"/>
      <c r="RWS175" s="250"/>
      <c r="RWT175" s="250"/>
      <c r="RWU175" s="250"/>
      <c r="RWV175" s="250"/>
      <c r="RWW175" s="250"/>
      <c r="RWX175" s="250"/>
      <c r="RWY175" s="250"/>
      <c r="RWZ175" s="250"/>
      <c r="RXA175" s="250"/>
      <c r="RXB175" s="250"/>
      <c r="RXC175" s="250"/>
      <c r="RXD175" s="250"/>
      <c r="RXE175" s="250"/>
      <c r="RXF175" s="250"/>
      <c r="RXG175" s="250"/>
      <c r="RXH175" s="250"/>
      <c r="RXI175" s="250"/>
      <c r="RXJ175" s="250"/>
      <c r="RXK175" s="250"/>
      <c r="RXL175" s="250"/>
      <c r="RXM175" s="250"/>
      <c r="RXN175" s="250"/>
      <c r="RXO175" s="250"/>
      <c r="RXP175" s="250"/>
      <c r="RXQ175" s="250"/>
      <c r="RXR175" s="250"/>
      <c r="RXS175" s="250"/>
      <c r="RXT175" s="250"/>
      <c r="RXU175" s="250"/>
      <c r="RXV175" s="250"/>
      <c r="RXW175" s="250"/>
      <c r="RXX175" s="250"/>
      <c r="RXY175" s="250"/>
      <c r="RXZ175" s="250"/>
      <c r="RYA175" s="250"/>
      <c r="RYB175" s="250"/>
      <c r="RYC175" s="250"/>
      <c r="RYD175" s="250"/>
      <c r="RYE175" s="250"/>
      <c r="RYF175" s="250"/>
      <c r="RYG175" s="250"/>
      <c r="RYH175" s="250"/>
      <c r="RYI175" s="250"/>
      <c r="RYJ175" s="250"/>
      <c r="RYK175" s="250"/>
      <c r="RYL175" s="250"/>
      <c r="RYM175" s="250"/>
      <c r="RYN175" s="250"/>
      <c r="RYO175" s="250"/>
      <c r="RYP175" s="250"/>
      <c r="RYQ175" s="250"/>
      <c r="RYR175" s="250"/>
      <c r="RYS175" s="250"/>
      <c r="RYT175" s="250"/>
      <c r="RYU175" s="250"/>
      <c r="RYV175" s="250"/>
      <c r="RYW175" s="250"/>
      <c r="RYX175" s="250"/>
      <c r="RYY175" s="250"/>
      <c r="RYZ175" s="250"/>
      <c r="RZA175" s="250"/>
      <c r="RZB175" s="250"/>
      <c r="RZC175" s="250"/>
      <c r="RZD175" s="250"/>
      <c r="RZE175" s="250"/>
      <c r="RZF175" s="250"/>
      <c r="RZG175" s="250"/>
      <c r="RZH175" s="250"/>
      <c r="RZI175" s="250"/>
      <c r="RZJ175" s="250"/>
      <c r="RZK175" s="250"/>
      <c r="RZL175" s="250"/>
      <c r="RZM175" s="250"/>
      <c r="RZN175" s="250"/>
      <c r="RZO175" s="250"/>
      <c r="RZP175" s="250"/>
      <c r="RZQ175" s="250"/>
      <c r="RZR175" s="250"/>
      <c r="RZS175" s="250"/>
      <c r="RZT175" s="250"/>
      <c r="RZU175" s="250"/>
      <c r="RZV175" s="250"/>
      <c r="RZW175" s="250"/>
      <c r="RZX175" s="250"/>
      <c r="RZY175" s="250"/>
      <c r="RZZ175" s="250"/>
      <c r="SAA175" s="250"/>
      <c r="SAB175" s="250"/>
      <c r="SAC175" s="250"/>
      <c r="SAD175" s="250"/>
      <c r="SAE175" s="250"/>
      <c r="SAF175" s="250"/>
      <c r="SAG175" s="250"/>
      <c r="SAH175" s="250"/>
      <c r="SAI175" s="250"/>
      <c r="SAJ175" s="250"/>
      <c r="SAK175" s="250"/>
      <c r="SAL175" s="250"/>
      <c r="SAM175" s="250"/>
      <c r="SAN175" s="250"/>
      <c r="SAO175" s="250"/>
      <c r="SAP175" s="250"/>
      <c r="SAQ175" s="250"/>
      <c r="SAR175" s="250"/>
      <c r="SAS175" s="250"/>
      <c r="SAT175" s="250"/>
      <c r="SAU175" s="250"/>
      <c r="SAV175" s="250"/>
      <c r="SAW175" s="250"/>
      <c r="SAX175" s="250"/>
      <c r="SAY175" s="250"/>
      <c r="SAZ175" s="250"/>
      <c r="SBA175" s="250"/>
      <c r="SBB175" s="250"/>
      <c r="SBC175" s="250"/>
      <c r="SBD175" s="250"/>
      <c r="SBE175" s="250"/>
      <c r="SBF175" s="250"/>
      <c r="SBG175" s="250"/>
      <c r="SBH175" s="250"/>
      <c r="SBI175" s="250"/>
      <c r="SBJ175" s="250"/>
      <c r="SBK175" s="250"/>
      <c r="SBL175" s="250"/>
      <c r="SBM175" s="250"/>
      <c r="SBN175" s="250"/>
      <c r="SBO175" s="250"/>
      <c r="SBP175" s="250"/>
      <c r="SBQ175" s="250"/>
      <c r="SBR175" s="250"/>
      <c r="SBS175" s="250"/>
      <c r="SBT175" s="250"/>
      <c r="SBU175" s="250"/>
      <c r="SBV175" s="250"/>
      <c r="SBW175" s="250"/>
      <c r="SBX175" s="250"/>
      <c r="SBY175" s="250"/>
      <c r="SBZ175" s="250"/>
      <c r="SCA175" s="250"/>
      <c r="SCB175" s="250"/>
      <c r="SCC175" s="250"/>
      <c r="SCD175" s="250"/>
      <c r="SCE175" s="250"/>
      <c r="SCF175" s="250"/>
      <c r="SCG175" s="250"/>
      <c r="SCH175" s="250"/>
      <c r="SCI175" s="250"/>
      <c r="SCJ175" s="250"/>
      <c r="SCK175" s="250"/>
      <c r="SCL175" s="250"/>
      <c r="SCM175" s="250"/>
      <c r="SCN175" s="250"/>
      <c r="SCO175" s="250"/>
      <c r="SCP175" s="250"/>
      <c r="SCQ175" s="250"/>
      <c r="SCR175" s="250"/>
      <c r="SCS175" s="250"/>
      <c r="SCT175" s="250"/>
      <c r="SCU175" s="250"/>
      <c r="SCV175" s="250"/>
      <c r="SCW175" s="250"/>
      <c r="SCX175" s="250"/>
      <c r="SCY175" s="250"/>
      <c r="SCZ175" s="250"/>
      <c r="SDA175" s="250"/>
      <c r="SDB175" s="250"/>
      <c r="SDC175" s="250"/>
      <c r="SDD175" s="250"/>
      <c r="SDE175" s="250"/>
      <c r="SDF175" s="250"/>
      <c r="SDG175" s="250"/>
      <c r="SDH175" s="250"/>
      <c r="SDI175" s="250"/>
      <c r="SDJ175" s="250"/>
      <c r="SDK175" s="250"/>
      <c r="SDL175" s="250"/>
      <c r="SDM175" s="250"/>
      <c r="SDN175" s="250"/>
      <c r="SDO175" s="250"/>
      <c r="SDP175" s="250"/>
      <c r="SDQ175" s="250"/>
      <c r="SDR175" s="250"/>
      <c r="SDS175" s="250"/>
      <c r="SDT175" s="250"/>
      <c r="SDU175" s="250"/>
      <c r="SDV175" s="250"/>
      <c r="SDW175" s="250"/>
      <c r="SDX175" s="250"/>
      <c r="SDY175" s="250"/>
      <c r="SDZ175" s="250"/>
      <c r="SEA175" s="250"/>
      <c r="SEB175" s="250"/>
      <c r="SEC175" s="250"/>
      <c r="SED175" s="250"/>
      <c r="SEE175" s="250"/>
      <c r="SEF175" s="250"/>
      <c r="SEG175" s="250"/>
      <c r="SEH175" s="250"/>
      <c r="SEI175" s="250"/>
      <c r="SEJ175" s="250"/>
      <c r="SEK175" s="250"/>
      <c r="SEL175" s="250"/>
      <c r="SEM175" s="250"/>
      <c r="SEN175" s="250"/>
      <c r="SEO175" s="250"/>
      <c r="SEP175" s="250"/>
      <c r="SEQ175" s="250"/>
      <c r="SER175" s="250"/>
      <c r="SES175" s="250"/>
      <c r="SET175" s="250"/>
      <c r="SEU175" s="250"/>
      <c r="SEV175" s="250"/>
      <c r="SEW175" s="250"/>
      <c r="SEX175" s="250"/>
      <c r="SEY175" s="250"/>
      <c r="SEZ175" s="250"/>
      <c r="SFA175" s="250"/>
      <c r="SFB175" s="250"/>
      <c r="SFC175" s="250"/>
      <c r="SFD175" s="250"/>
      <c r="SFE175" s="250"/>
      <c r="SFF175" s="250"/>
      <c r="SFG175" s="250"/>
      <c r="SFH175" s="250"/>
      <c r="SFI175" s="250"/>
      <c r="SFJ175" s="250"/>
      <c r="SFK175" s="250"/>
      <c r="SFL175" s="250"/>
      <c r="SFM175" s="250"/>
      <c r="SFN175" s="250"/>
      <c r="SFO175" s="250"/>
      <c r="SFP175" s="250"/>
      <c r="SFQ175" s="250"/>
      <c r="SFR175" s="250"/>
      <c r="SFS175" s="250"/>
      <c r="SFT175" s="250"/>
      <c r="SFU175" s="250"/>
      <c r="SFV175" s="250"/>
      <c r="SFW175" s="250"/>
      <c r="SFX175" s="250"/>
      <c r="SFY175" s="250"/>
      <c r="SFZ175" s="250"/>
      <c r="SGA175" s="250"/>
      <c r="SGB175" s="250"/>
      <c r="SGC175" s="250"/>
      <c r="SGD175" s="250"/>
      <c r="SGE175" s="250"/>
      <c r="SGF175" s="250"/>
      <c r="SGG175" s="250"/>
      <c r="SGH175" s="250"/>
      <c r="SGI175" s="250"/>
      <c r="SGJ175" s="250"/>
      <c r="SGK175" s="250"/>
      <c r="SGL175" s="250"/>
      <c r="SGM175" s="250"/>
      <c r="SGN175" s="250"/>
      <c r="SGO175" s="250"/>
      <c r="SGP175" s="250"/>
      <c r="SGQ175" s="250"/>
      <c r="SGR175" s="250"/>
      <c r="SGS175" s="250"/>
      <c r="SGT175" s="250"/>
      <c r="SGU175" s="250"/>
      <c r="SGV175" s="250"/>
      <c r="SGW175" s="250"/>
      <c r="SGX175" s="250"/>
      <c r="SGY175" s="250"/>
      <c r="SGZ175" s="250"/>
      <c r="SHA175" s="250"/>
      <c r="SHB175" s="250"/>
      <c r="SHC175" s="250"/>
      <c r="SHD175" s="250"/>
      <c r="SHE175" s="250"/>
      <c r="SHF175" s="250"/>
      <c r="SHG175" s="250"/>
      <c r="SHH175" s="250"/>
      <c r="SHI175" s="250"/>
      <c r="SHJ175" s="250"/>
      <c r="SHK175" s="250"/>
      <c r="SHL175" s="250"/>
      <c r="SHM175" s="250"/>
      <c r="SHN175" s="250"/>
      <c r="SHO175" s="250"/>
      <c r="SHP175" s="250"/>
      <c r="SHQ175" s="250"/>
      <c r="SHR175" s="250"/>
      <c r="SHS175" s="250"/>
      <c r="SHT175" s="250"/>
      <c r="SHU175" s="250"/>
      <c r="SHV175" s="250"/>
      <c r="SHW175" s="250"/>
      <c r="SHX175" s="250"/>
      <c r="SHY175" s="250"/>
      <c r="SHZ175" s="250"/>
      <c r="SIA175" s="250"/>
      <c r="SIB175" s="250"/>
      <c r="SIC175" s="250"/>
      <c r="SID175" s="250"/>
      <c r="SIE175" s="250"/>
      <c r="SIF175" s="250"/>
      <c r="SIG175" s="250"/>
      <c r="SIH175" s="250"/>
      <c r="SII175" s="250"/>
      <c r="SIJ175" s="250"/>
      <c r="SIK175" s="250"/>
      <c r="SIL175" s="250"/>
      <c r="SIM175" s="250"/>
      <c r="SIN175" s="250"/>
      <c r="SIO175" s="250"/>
      <c r="SIP175" s="250"/>
      <c r="SIQ175" s="250"/>
      <c r="SIR175" s="250"/>
      <c r="SIS175" s="250"/>
      <c r="SIT175" s="250"/>
      <c r="SIU175" s="250"/>
      <c r="SIV175" s="250"/>
      <c r="SIW175" s="250"/>
      <c r="SIX175" s="250"/>
      <c r="SIY175" s="250"/>
      <c r="SIZ175" s="250"/>
      <c r="SJA175" s="250"/>
      <c r="SJB175" s="250"/>
      <c r="SJC175" s="250"/>
      <c r="SJD175" s="250"/>
      <c r="SJE175" s="250"/>
      <c r="SJF175" s="250"/>
      <c r="SJG175" s="250"/>
      <c r="SJH175" s="250"/>
      <c r="SJI175" s="250"/>
      <c r="SJJ175" s="250"/>
      <c r="SJK175" s="250"/>
      <c r="SJL175" s="250"/>
      <c r="SJM175" s="250"/>
      <c r="SJN175" s="250"/>
      <c r="SJO175" s="250"/>
      <c r="SJP175" s="250"/>
      <c r="SJQ175" s="250"/>
      <c r="SJR175" s="250"/>
      <c r="SJS175" s="250"/>
      <c r="SJT175" s="250"/>
      <c r="SJU175" s="250"/>
      <c r="SJV175" s="250"/>
      <c r="SJW175" s="250"/>
      <c r="SJX175" s="250"/>
      <c r="SJY175" s="250"/>
      <c r="SJZ175" s="250"/>
      <c r="SKA175" s="250"/>
      <c r="SKB175" s="250"/>
      <c r="SKC175" s="250"/>
      <c r="SKD175" s="250"/>
      <c r="SKE175" s="250"/>
      <c r="SKF175" s="250"/>
      <c r="SKG175" s="250"/>
      <c r="SKH175" s="250"/>
      <c r="SKI175" s="250"/>
      <c r="SKJ175" s="250"/>
      <c r="SKK175" s="250"/>
      <c r="SKL175" s="250"/>
      <c r="SKM175" s="250"/>
      <c r="SKN175" s="250"/>
      <c r="SKO175" s="250"/>
      <c r="SKP175" s="250"/>
      <c r="SKQ175" s="250"/>
      <c r="SKR175" s="250"/>
      <c r="SKS175" s="250"/>
      <c r="SKT175" s="250"/>
      <c r="SKU175" s="250"/>
      <c r="SKV175" s="250"/>
      <c r="SKW175" s="250"/>
      <c r="SKX175" s="250"/>
      <c r="SKY175" s="250"/>
      <c r="SKZ175" s="250"/>
      <c r="SLA175" s="250"/>
      <c r="SLB175" s="250"/>
      <c r="SLC175" s="250"/>
      <c r="SLD175" s="250"/>
      <c r="SLE175" s="250"/>
      <c r="SLF175" s="250"/>
      <c r="SLG175" s="250"/>
      <c r="SLH175" s="250"/>
      <c r="SLI175" s="250"/>
      <c r="SLJ175" s="250"/>
      <c r="SLK175" s="250"/>
      <c r="SLL175" s="250"/>
      <c r="SLM175" s="250"/>
      <c r="SLN175" s="250"/>
      <c r="SLO175" s="250"/>
      <c r="SLP175" s="250"/>
      <c r="SLQ175" s="250"/>
      <c r="SLR175" s="250"/>
      <c r="SLS175" s="250"/>
      <c r="SLT175" s="250"/>
      <c r="SLU175" s="250"/>
      <c r="SLV175" s="250"/>
      <c r="SLW175" s="250"/>
      <c r="SLX175" s="250"/>
      <c r="SLY175" s="250"/>
      <c r="SLZ175" s="250"/>
      <c r="SMA175" s="250"/>
      <c r="SMB175" s="250"/>
      <c r="SMC175" s="250"/>
      <c r="SMD175" s="250"/>
      <c r="SME175" s="250"/>
      <c r="SMF175" s="250"/>
      <c r="SMG175" s="250"/>
      <c r="SMH175" s="250"/>
      <c r="SMI175" s="250"/>
      <c r="SMJ175" s="250"/>
      <c r="SMK175" s="250"/>
      <c r="SML175" s="250"/>
      <c r="SMM175" s="250"/>
      <c r="SMN175" s="250"/>
      <c r="SMO175" s="250"/>
      <c r="SMP175" s="250"/>
      <c r="SMQ175" s="250"/>
      <c r="SMR175" s="250"/>
      <c r="SMS175" s="250"/>
      <c r="SMT175" s="250"/>
      <c r="SMU175" s="250"/>
      <c r="SMV175" s="250"/>
      <c r="SMW175" s="250"/>
      <c r="SMX175" s="250"/>
      <c r="SMY175" s="250"/>
      <c r="SMZ175" s="250"/>
      <c r="SNA175" s="250"/>
      <c r="SNB175" s="250"/>
      <c r="SNC175" s="250"/>
      <c r="SND175" s="250"/>
      <c r="SNE175" s="250"/>
      <c r="SNF175" s="250"/>
      <c r="SNG175" s="250"/>
      <c r="SNH175" s="250"/>
      <c r="SNI175" s="250"/>
      <c r="SNJ175" s="250"/>
      <c r="SNK175" s="250"/>
      <c r="SNL175" s="250"/>
      <c r="SNM175" s="250"/>
      <c r="SNN175" s="250"/>
      <c r="SNO175" s="250"/>
      <c r="SNP175" s="250"/>
      <c r="SNQ175" s="250"/>
      <c r="SNR175" s="250"/>
      <c r="SNS175" s="250"/>
      <c r="SNT175" s="250"/>
      <c r="SNU175" s="250"/>
      <c r="SNV175" s="250"/>
      <c r="SNW175" s="250"/>
      <c r="SNX175" s="250"/>
      <c r="SNY175" s="250"/>
      <c r="SNZ175" s="250"/>
      <c r="SOA175" s="250"/>
      <c r="SOB175" s="250"/>
      <c r="SOC175" s="250"/>
      <c r="SOD175" s="250"/>
      <c r="SOE175" s="250"/>
      <c r="SOF175" s="250"/>
      <c r="SOG175" s="250"/>
      <c r="SOH175" s="250"/>
      <c r="SOI175" s="250"/>
      <c r="SOJ175" s="250"/>
      <c r="SOK175" s="250"/>
      <c r="SOL175" s="250"/>
      <c r="SOM175" s="250"/>
      <c r="SON175" s="250"/>
      <c r="SOO175" s="250"/>
      <c r="SOP175" s="250"/>
      <c r="SOQ175" s="250"/>
      <c r="SOR175" s="250"/>
      <c r="SOS175" s="250"/>
      <c r="SOT175" s="250"/>
      <c r="SOU175" s="250"/>
      <c r="SOV175" s="250"/>
      <c r="SOW175" s="250"/>
      <c r="SOX175" s="250"/>
      <c r="SOY175" s="250"/>
      <c r="SOZ175" s="250"/>
      <c r="SPA175" s="250"/>
      <c r="SPB175" s="250"/>
      <c r="SPC175" s="250"/>
      <c r="SPD175" s="250"/>
      <c r="SPE175" s="250"/>
      <c r="SPF175" s="250"/>
      <c r="SPG175" s="250"/>
      <c r="SPH175" s="250"/>
      <c r="SPI175" s="250"/>
      <c r="SPJ175" s="250"/>
      <c r="SPK175" s="250"/>
      <c r="SPL175" s="250"/>
      <c r="SPM175" s="250"/>
      <c r="SPN175" s="250"/>
      <c r="SPO175" s="250"/>
      <c r="SPP175" s="250"/>
      <c r="SPQ175" s="250"/>
      <c r="SPR175" s="250"/>
      <c r="SPS175" s="250"/>
      <c r="SPT175" s="250"/>
      <c r="SPU175" s="250"/>
      <c r="SPV175" s="250"/>
      <c r="SPW175" s="250"/>
      <c r="SPX175" s="250"/>
      <c r="SPY175" s="250"/>
      <c r="SPZ175" s="250"/>
      <c r="SQA175" s="250"/>
      <c r="SQB175" s="250"/>
      <c r="SQC175" s="250"/>
      <c r="SQD175" s="250"/>
      <c r="SQE175" s="250"/>
      <c r="SQF175" s="250"/>
      <c r="SQG175" s="250"/>
      <c r="SQH175" s="250"/>
      <c r="SQI175" s="250"/>
      <c r="SQJ175" s="250"/>
      <c r="SQK175" s="250"/>
      <c r="SQL175" s="250"/>
      <c r="SQM175" s="250"/>
      <c r="SQN175" s="250"/>
      <c r="SQO175" s="250"/>
      <c r="SQP175" s="250"/>
      <c r="SQQ175" s="250"/>
      <c r="SQR175" s="250"/>
      <c r="SQS175" s="250"/>
      <c r="SQT175" s="250"/>
      <c r="SQU175" s="250"/>
      <c r="SQV175" s="250"/>
      <c r="SQW175" s="250"/>
      <c r="SQX175" s="250"/>
      <c r="SQY175" s="250"/>
      <c r="SQZ175" s="250"/>
      <c r="SRA175" s="250"/>
      <c r="SRB175" s="250"/>
      <c r="SRC175" s="250"/>
      <c r="SRD175" s="250"/>
      <c r="SRE175" s="250"/>
      <c r="SRF175" s="250"/>
      <c r="SRG175" s="250"/>
      <c r="SRH175" s="250"/>
      <c r="SRI175" s="250"/>
      <c r="SRJ175" s="250"/>
      <c r="SRK175" s="250"/>
      <c r="SRL175" s="250"/>
      <c r="SRM175" s="250"/>
      <c r="SRN175" s="250"/>
      <c r="SRO175" s="250"/>
      <c r="SRP175" s="250"/>
      <c r="SRQ175" s="250"/>
      <c r="SRR175" s="250"/>
      <c r="SRS175" s="250"/>
      <c r="SRT175" s="250"/>
      <c r="SRU175" s="250"/>
      <c r="SRV175" s="250"/>
      <c r="SRW175" s="250"/>
      <c r="SRX175" s="250"/>
      <c r="SRY175" s="250"/>
      <c r="SRZ175" s="250"/>
      <c r="SSA175" s="250"/>
      <c r="SSB175" s="250"/>
      <c r="SSC175" s="250"/>
      <c r="SSD175" s="250"/>
      <c r="SSE175" s="250"/>
      <c r="SSF175" s="250"/>
      <c r="SSG175" s="250"/>
      <c r="SSH175" s="250"/>
      <c r="SSI175" s="250"/>
      <c r="SSJ175" s="250"/>
      <c r="SSK175" s="250"/>
      <c r="SSL175" s="250"/>
      <c r="SSM175" s="250"/>
      <c r="SSN175" s="250"/>
      <c r="SSO175" s="250"/>
      <c r="SSP175" s="250"/>
      <c r="SSQ175" s="250"/>
      <c r="SSR175" s="250"/>
      <c r="SSS175" s="250"/>
      <c r="SST175" s="250"/>
      <c r="SSU175" s="250"/>
      <c r="SSV175" s="250"/>
      <c r="SSW175" s="250"/>
      <c r="SSX175" s="250"/>
      <c r="SSY175" s="250"/>
      <c r="SSZ175" s="250"/>
      <c r="STA175" s="250"/>
      <c r="STB175" s="250"/>
      <c r="STC175" s="250"/>
      <c r="STD175" s="250"/>
      <c r="STE175" s="250"/>
      <c r="STF175" s="250"/>
      <c r="STG175" s="250"/>
      <c r="STH175" s="250"/>
      <c r="STI175" s="250"/>
      <c r="STJ175" s="250"/>
      <c r="STK175" s="250"/>
      <c r="STL175" s="250"/>
      <c r="STM175" s="250"/>
      <c r="STN175" s="250"/>
      <c r="STO175" s="250"/>
      <c r="STP175" s="250"/>
      <c r="STQ175" s="250"/>
      <c r="STR175" s="250"/>
      <c r="STS175" s="250"/>
      <c r="STT175" s="250"/>
      <c r="STU175" s="250"/>
      <c r="STV175" s="250"/>
      <c r="STW175" s="250"/>
      <c r="STX175" s="250"/>
      <c r="STY175" s="250"/>
      <c r="STZ175" s="250"/>
      <c r="SUA175" s="250"/>
      <c r="SUB175" s="250"/>
      <c r="SUC175" s="250"/>
      <c r="SUD175" s="250"/>
      <c r="SUE175" s="250"/>
      <c r="SUF175" s="250"/>
      <c r="SUG175" s="250"/>
      <c r="SUH175" s="250"/>
      <c r="SUI175" s="250"/>
      <c r="SUJ175" s="250"/>
      <c r="SUK175" s="250"/>
      <c r="SUL175" s="250"/>
      <c r="SUM175" s="250"/>
      <c r="SUN175" s="250"/>
      <c r="SUO175" s="250"/>
      <c r="SUP175" s="250"/>
      <c r="SUQ175" s="250"/>
      <c r="SUR175" s="250"/>
      <c r="SUS175" s="250"/>
      <c r="SUT175" s="250"/>
      <c r="SUU175" s="250"/>
      <c r="SUV175" s="250"/>
      <c r="SUW175" s="250"/>
      <c r="SUX175" s="250"/>
      <c r="SUY175" s="250"/>
      <c r="SUZ175" s="250"/>
      <c r="SVA175" s="250"/>
      <c r="SVB175" s="250"/>
      <c r="SVC175" s="250"/>
      <c r="SVD175" s="250"/>
      <c r="SVE175" s="250"/>
      <c r="SVF175" s="250"/>
      <c r="SVG175" s="250"/>
      <c r="SVH175" s="250"/>
      <c r="SVI175" s="250"/>
      <c r="SVJ175" s="250"/>
      <c r="SVK175" s="250"/>
      <c r="SVL175" s="250"/>
      <c r="SVM175" s="250"/>
      <c r="SVN175" s="250"/>
      <c r="SVO175" s="250"/>
      <c r="SVP175" s="250"/>
      <c r="SVQ175" s="250"/>
      <c r="SVR175" s="250"/>
      <c r="SVS175" s="250"/>
      <c r="SVT175" s="250"/>
      <c r="SVU175" s="250"/>
      <c r="SVV175" s="250"/>
      <c r="SVW175" s="250"/>
      <c r="SVX175" s="250"/>
      <c r="SVY175" s="250"/>
      <c r="SVZ175" s="250"/>
      <c r="SWA175" s="250"/>
      <c r="SWB175" s="250"/>
      <c r="SWC175" s="250"/>
      <c r="SWD175" s="250"/>
      <c r="SWE175" s="250"/>
      <c r="SWF175" s="250"/>
      <c r="SWG175" s="250"/>
      <c r="SWH175" s="250"/>
      <c r="SWI175" s="250"/>
      <c r="SWJ175" s="250"/>
      <c r="SWK175" s="250"/>
      <c r="SWL175" s="250"/>
      <c r="SWM175" s="250"/>
      <c r="SWN175" s="250"/>
      <c r="SWO175" s="250"/>
      <c r="SWP175" s="250"/>
      <c r="SWQ175" s="250"/>
      <c r="SWR175" s="250"/>
      <c r="SWS175" s="250"/>
      <c r="SWT175" s="250"/>
      <c r="SWU175" s="250"/>
      <c r="SWV175" s="250"/>
      <c r="SWW175" s="250"/>
      <c r="SWX175" s="250"/>
      <c r="SWY175" s="250"/>
      <c r="SWZ175" s="250"/>
      <c r="SXA175" s="250"/>
      <c r="SXB175" s="250"/>
      <c r="SXC175" s="250"/>
      <c r="SXD175" s="250"/>
      <c r="SXE175" s="250"/>
      <c r="SXF175" s="250"/>
      <c r="SXG175" s="250"/>
      <c r="SXH175" s="250"/>
      <c r="SXI175" s="250"/>
      <c r="SXJ175" s="250"/>
      <c r="SXK175" s="250"/>
      <c r="SXL175" s="250"/>
      <c r="SXM175" s="250"/>
      <c r="SXN175" s="250"/>
      <c r="SXO175" s="250"/>
      <c r="SXP175" s="250"/>
      <c r="SXQ175" s="250"/>
      <c r="SXR175" s="250"/>
      <c r="SXS175" s="250"/>
      <c r="SXT175" s="250"/>
      <c r="SXU175" s="250"/>
      <c r="SXV175" s="250"/>
      <c r="SXW175" s="250"/>
      <c r="SXX175" s="250"/>
      <c r="SXY175" s="250"/>
      <c r="SXZ175" s="250"/>
      <c r="SYA175" s="250"/>
      <c r="SYB175" s="250"/>
      <c r="SYC175" s="250"/>
      <c r="SYD175" s="250"/>
      <c r="SYE175" s="250"/>
      <c r="SYF175" s="250"/>
      <c r="SYG175" s="250"/>
      <c r="SYH175" s="250"/>
      <c r="SYI175" s="250"/>
      <c r="SYJ175" s="250"/>
      <c r="SYK175" s="250"/>
      <c r="SYL175" s="250"/>
      <c r="SYM175" s="250"/>
      <c r="SYN175" s="250"/>
      <c r="SYO175" s="250"/>
      <c r="SYP175" s="250"/>
      <c r="SYQ175" s="250"/>
      <c r="SYR175" s="250"/>
      <c r="SYS175" s="250"/>
      <c r="SYT175" s="250"/>
      <c r="SYU175" s="250"/>
      <c r="SYV175" s="250"/>
      <c r="SYW175" s="250"/>
      <c r="SYX175" s="250"/>
      <c r="SYY175" s="250"/>
      <c r="SYZ175" s="250"/>
      <c r="SZA175" s="250"/>
      <c r="SZB175" s="250"/>
      <c r="SZC175" s="250"/>
      <c r="SZD175" s="250"/>
      <c r="SZE175" s="250"/>
      <c r="SZF175" s="250"/>
      <c r="SZG175" s="250"/>
      <c r="SZH175" s="250"/>
      <c r="SZI175" s="250"/>
      <c r="SZJ175" s="250"/>
      <c r="SZK175" s="250"/>
      <c r="SZL175" s="250"/>
      <c r="SZM175" s="250"/>
      <c r="SZN175" s="250"/>
      <c r="SZO175" s="250"/>
      <c r="SZP175" s="250"/>
      <c r="SZQ175" s="250"/>
      <c r="SZR175" s="250"/>
      <c r="SZS175" s="250"/>
      <c r="SZT175" s="250"/>
      <c r="SZU175" s="250"/>
      <c r="SZV175" s="250"/>
      <c r="SZW175" s="250"/>
      <c r="SZX175" s="250"/>
      <c r="SZY175" s="250"/>
      <c r="SZZ175" s="250"/>
      <c r="TAA175" s="250"/>
      <c r="TAB175" s="250"/>
      <c r="TAC175" s="250"/>
      <c r="TAD175" s="250"/>
      <c r="TAE175" s="250"/>
      <c r="TAF175" s="250"/>
      <c r="TAG175" s="250"/>
      <c r="TAH175" s="250"/>
      <c r="TAI175" s="250"/>
      <c r="TAJ175" s="250"/>
      <c r="TAK175" s="250"/>
      <c r="TAL175" s="250"/>
      <c r="TAM175" s="250"/>
      <c r="TAN175" s="250"/>
      <c r="TAO175" s="250"/>
      <c r="TAP175" s="250"/>
      <c r="TAQ175" s="250"/>
      <c r="TAR175" s="250"/>
      <c r="TAS175" s="250"/>
      <c r="TAT175" s="250"/>
      <c r="TAU175" s="250"/>
      <c r="TAV175" s="250"/>
      <c r="TAW175" s="250"/>
      <c r="TAX175" s="250"/>
      <c r="TAY175" s="250"/>
      <c r="TAZ175" s="250"/>
      <c r="TBA175" s="250"/>
      <c r="TBB175" s="250"/>
      <c r="TBC175" s="250"/>
      <c r="TBD175" s="250"/>
      <c r="TBE175" s="250"/>
      <c r="TBF175" s="250"/>
      <c r="TBG175" s="250"/>
      <c r="TBH175" s="250"/>
      <c r="TBI175" s="250"/>
      <c r="TBJ175" s="250"/>
      <c r="TBK175" s="250"/>
      <c r="TBL175" s="250"/>
      <c r="TBM175" s="250"/>
      <c r="TBN175" s="250"/>
      <c r="TBO175" s="250"/>
      <c r="TBP175" s="250"/>
      <c r="TBQ175" s="250"/>
      <c r="TBR175" s="250"/>
      <c r="TBS175" s="250"/>
      <c r="TBT175" s="250"/>
      <c r="TBU175" s="250"/>
      <c r="TBV175" s="250"/>
      <c r="TBW175" s="250"/>
      <c r="TBX175" s="250"/>
      <c r="TBY175" s="250"/>
      <c r="TBZ175" s="250"/>
      <c r="TCA175" s="250"/>
      <c r="TCB175" s="250"/>
      <c r="TCC175" s="250"/>
      <c r="TCD175" s="250"/>
      <c r="TCE175" s="250"/>
      <c r="TCF175" s="250"/>
      <c r="TCG175" s="250"/>
      <c r="TCH175" s="250"/>
      <c r="TCI175" s="250"/>
      <c r="TCJ175" s="250"/>
      <c r="TCK175" s="250"/>
      <c r="TCL175" s="250"/>
      <c r="TCM175" s="250"/>
      <c r="TCN175" s="250"/>
      <c r="TCO175" s="250"/>
      <c r="TCP175" s="250"/>
      <c r="TCQ175" s="250"/>
      <c r="TCR175" s="250"/>
      <c r="TCS175" s="250"/>
      <c r="TCT175" s="250"/>
      <c r="TCU175" s="250"/>
      <c r="TCV175" s="250"/>
      <c r="TCW175" s="250"/>
      <c r="TCX175" s="250"/>
      <c r="TCY175" s="250"/>
      <c r="TCZ175" s="250"/>
      <c r="TDA175" s="250"/>
      <c r="TDB175" s="250"/>
      <c r="TDC175" s="250"/>
      <c r="TDD175" s="250"/>
      <c r="TDE175" s="250"/>
      <c r="TDF175" s="250"/>
      <c r="TDG175" s="250"/>
      <c r="TDH175" s="250"/>
      <c r="TDI175" s="250"/>
      <c r="TDJ175" s="250"/>
      <c r="TDK175" s="250"/>
      <c r="TDL175" s="250"/>
      <c r="TDM175" s="250"/>
      <c r="TDN175" s="250"/>
      <c r="TDO175" s="250"/>
      <c r="TDP175" s="250"/>
      <c r="TDQ175" s="250"/>
      <c r="TDR175" s="250"/>
      <c r="TDS175" s="250"/>
      <c r="TDT175" s="250"/>
      <c r="TDU175" s="250"/>
      <c r="TDV175" s="250"/>
      <c r="TDW175" s="250"/>
      <c r="TDX175" s="250"/>
      <c r="TDY175" s="250"/>
      <c r="TDZ175" s="250"/>
      <c r="TEA175" s="250"/>
      <c r="TEB175" s="250"/>
      <c r="TEC175" s="250"/>
      <c r="TED175" s="250"/>
      <c r="TEE175" s="250"/>
      <c r="TEF175" s="250"/>
      <c r="TEG175" s="250"/>
      <c r="TEH175" s="250"/>
      <c r="TEI175" s="250"/>
      <c r="TEJ175" s="250"/>
      <c r="TEK175" s="250"/>
      <c r="TEL175" s="250"/>
      <c r="TEM175" s="250"/>
      <c r="TEN175" s="250"/>
      <c r="TEO175" s="250"/>
      <c r="TEP175" s="250"/>
      <c r="TEQ175" s="250"/>
      <c r="TER175" s="250"/>
      <c r="TES175" s="250"/>
      <c r="TET175" s="250"/>
      <c r="TEU175" s="250"/>
      <c r="TEV175" s="250"/>
      <c r="TEW175" s="250"/>
      <c r="TEX175" s="250"/>
      <c r="TEY175" s="250"/>
      <c r="TEZ175" s="250"/>
      <c r="TFA175" s="250"/>
      <c r="TFB175" s="250"/>
      <c r="TFC175" s="250"/>
      <c r="TFD175" s="250"/>
      <c r="TFE175" s="250"/>
      <c r="TFF175" s="250"/>
      <c r="TFG175" s="250"/>
      <c r="TFH175" s="250"/>
      <c r="TFI175" s="250"/>
      <c r="TFJ175" s="250"/>
      <c r="TFK175" s="250"/>
      <c r="TFL175" s="250"/>
      <c r="TFM175" s="250"/>
      <c r="TFN175" s="250"/>
      <c r="TFO175" s="250"/>
      <c r="TFP175" s="250"/>
      <c r="TFQ175" s="250"/>
      <c r="TFR175" s="250"/>
      <c r="TFS175" s="250"/>
      <c r="TFT175" s="250"/>
      <c r="TFU175" s="250"/>
      <c r="TFV175" s="250"/>
      <c r="TFW175" s="250"/>
      <c r="TFX175" s="250"/>
      <c r="TFY175" s="250"/>
      <c r="TFZ175" s="250"/>
      <c r="TGA175" s="250"/>
      <c r="TGB175" s="250"/>
      <c r="TGC175" s="250"/>
      <c r="TGD175" s="250"/>
      <c r="TGE175" s="250"/>
      <c r="TGF175" s="250"/>
      <c r="TGG175" s="250"/>
      <c r="TGH175" s="250"/>
      <c r="TGI175" s="250"/>
      <c r="TGJ175" s="250"/>
      <c r="TGK175" s="250"/>
      <c r="TGL175" s="250"/>
      <c r="TGM175" s="250"/>
      <c r="TGN175" s="250"/>
      <c r="TGO175" s="250"/>
      <c r="TGP175" s="250"/>
      <c r="TGQ175" s="250"/>
      <c r="TGR175" s="250"/>
      <c r="TGS175" s="250"/>
      <c r="TGT175" s="250"/>
      <c r="TGU175" s="250"/>
      <c r="TGV175" s="250"/>
      <c r="TGW175" s="250"/>
      <c r="TGX175" s="250"/>
      <c r="TGY175" s="250"/>
      <c r="TGZ175" s="250"/>
      <c r="THA175" s="250"/>
      <c r="THB175" s="250"/>
      <c r="THC175" s="250"/>
      <c r="THD175" s="250"/>
      <c r="THE175" s="250"/>
      <c r="THF175" s="250"/>
      <c r="THG175" s="250"/>
      <c r="THH175" s="250"/>
      <c r="THI175" s="250"/>
      <c r="THJ175" s="250"/>
      <c r="THK175" s="250"/>
      <c r="THL175" s="250"/>
      <c r="THM175" s="250"/>
      <c r="THN175" s="250"/>
      <c r="THO175" s="250"/>
      <c r="THP175" s="250"/>
      <c r="THQ175" s="250"/>
      <c r="THR175" s="250"/>
      <c r="THS175" s="250"/>
      <c r="THT175" s="250"/>
      <c r="THU175" s="250"/>
      <c r="THV175" s="250"/>
      <c r="THW175" s="250"/>
      <c r="THX175" s="250"/>
      <c r="THY175" s="250"/>
      <c r="THZ175" s="250"/>
      <c r="TIA175" s="250"/>
      <c r="TIB175" s="250"/>
      <c r="TIC175" s="250"/>
      <c r="TID175" s="250"/>
      <c r="TIE175" s="250"/>
      <c r="TIF175" s="250"/>
      <c r="TIG175" s="250"/>
      <c r="TIH175" s="250"/>
      <c r="TII175" s="250"/>
      <c r="TIJ175" s="250"/>
      <c r="TIK175" s="250"/>
      <c r="TIL175" s="250"/>
      <c r="TIM175" s="250"/>
      <c r="TIN175" s="250"/>
      <c r="TIO175" s="250"/>
      <c r="TIP175" s="250"/>
      <c r="TIQ175" s="250"/>
      <c r="TIR175" s="250"/>
      <c r="TIS175" s="250"/>
      <c r="TIT175" s="250"/>
      <c r="TIU175" s="250"/>
      <c r="TIV175" s="250"/>
      <c r="TIW175" s="250"/>
      <c r="TIX175" s="250"/>
      <c r="TIY175" s="250"/>
      <c r="TIZ175" s="250"/>
      <c r="TJA175" s="250"/>
      <c r="TJB175" s="250"/>
      <c r="TJC175" s="250"/>
      <c r="TJD175" s="250"/>
      <c r="TJE175" s="250"/>
      <c r="TJF175" s="250"/>
      <c r="TJG175" s="250"/>
      <c r="TJH175" s="250"/>
      <c r="TJI175" s="250"/>
      <c r="TJJ175" s="250"/>
      <c r="TJK175" s="250"/>
      <c r="TJL175" s="250"/>
      <c r="TJM175" s="250"/>
      <c r="TJN175" s="250"/>
      <c r="TJO175" s="250"/>
      <c r="TJP175" s="250"/>
      <c r="TJQ175" s="250"/>
      <c r="TJR175" s="250"/>
      <c r="TJS175" s="250"/>
      <c r="TJT175" s="250"/>
      <c r="TJU175" s="250"/>
      <c r="TJV175" s="250"/>
      <c r="TJW175" s="250"/>
      <c r="TJX175" s="250"/>
      <c r="TJY175" s="250"/>
      <c r="TJZ175" s="250"/>
      <c r="TKA175" s="250"/>
      <c r="TKB175" s="250"/>
      <c r="TKC175" s="250"/>
      <c r="TKD175" s="250"/>
      <c r="TKE175" s="250"/>
      <c r="TKF175" s="250"/>
      <c r="TKG175" s="250"/>
      <c r="TKH175" s="250"/>
      <c r="TKI175" s="250"/>
      <c r="TKJ175" s="250"/>
      <c r="TKK175" s="250"/>
      <c r="TKL175" s="250"/>
      <c r="TKM175" s="250"/>
      <c r="TKN175" s="250"/>
      <c r="TKO175" s="250"/>
      <c r="TKP175" s="250"/>
      <c r="TKQ175" s="250"/>
      <c r="TKR175" s="250"/>
      <c r="TKS175" s="250"/>
      <c r="TKT175" s="250"/>
      <c r="TKU175" s="250"/>
      <c r="TKV175" s="250"/>
      <c r="TKW175" s="250"/>
      <c r="TKX175" s="250"/>
      <c r="TKY175" s="250"/>
      <c r="TKZ175" s="250"/>
      <c r="TLA175" s="250"/>
      <c r="TLB175" s="250"/>
      <c r="TLC175" s="250"/>
      <c r="TLD175" s="250"/>
      <c r="TLE175" s="250"/>
      <c r="TLF175" s="250"/>
      <c r="TLG175" s="250"/>
      <c r="TLH175" s="250"/>
      <c r="TLI175" s="250"/>
      <c r="TLJ175" s="250"/>
      <c r="TLK175" s="250"/>
      <c r="TLL175" s="250"/>
      <c r="TLM175" s="250"/>
      <c r="TLN175" s="250"/>
      <c r="TLO175" s="250"/>
      <c r="TLP175" s="250"/>
      <c r="TLQ175" s="250"/>
      <c r="TLR175" s="250"/>
      <c r="TLS175" s="250"/>
      <c r="TLT175" s="250"/>
      <c r="TLU175" s="250"/>
      <c r="TLV175" s="250"/>
      <c r="TLW175" s="250"/>
      <c r="TLX175" s="250"/>
      <c r="TLY175" s="250"/>
      <c r="TLZ175" s="250"/>
      <c r="TMA175" s="250"/>
      <c r="TMB175" s="250"/>
      <c r="TMC175" s="250"/>
      <c r="TMD175" s="250"/>
      <c r="TME175" s="250"/>
      <c r="TMF175" s="250"/>
      <c r="TMG175" s="250"/>
      <c r="TMH175" s="250"/>
      <c r="TMI175" s="250"/>
      <c r="TMJ175" s="250"/>
      <c r="TMK175" s="250"/>
      <c r="TML175" s="250"/>
      <c r="TMM175" s="250"/>
      <c r="TMN175" s="250"/>
      <c r="TMO175" s="250"/>
      <c r="TMP175" s="250"/>
      <c r="TMQ175" s="250"/>
      <c r="TMR175" s="250"/>
      <c r="TMS175" s="250"/>
      <c r="TMT175" s="250"/>
      <c r="TMU175" s="250"/>
      <c r="TMV175" s="250"/>
      <c r="TMW175" s="250"/>
      <c r="TMX175" s="250"/>
      <c r="TMY175" s="250"/>
      <c r="TMZ175" s="250"/>
      <c r="TNA175" s="250"/>
      <c r="TNB175" s="250"/>
      <c r="TNC175" s="250"/>
      <c r="TND175" s="250"/>
      <c r="TNE175" s="250"/>
      <c r="TNF175" s="250"/>
      <c r="TNG175" s="250"/>
      <c r="TNH175" s="250"/>
      <c r="TNI175" s="250"/>
      <c r="TNJ175" s="250"/>
      <c r="TNK175" s="250"/>
      <c r="TNL175" s="250"/>
      <c r="TNM175" s="250"/>
      <c r="TNN175" s="250"/>
      <c r="TNO175" s="250"/>
      <c r="TNP175" s="250"/>
      <c r="TNQ175" s="250"/>
      <c r="TNR175" s="250"/>
      <c r="TNS175" s="250"/>
      <c r="TNT175" s="250"/>
      <c r="TNU175" s="250"/>
      <c r="TNV175" s="250"/>
      <c r="TNW175" s="250"/>
      <c r="TNX175" s="250"/>
      <c r="TNY175" s="250"/>
      <c r="TNZ175" s="250"/>
      <c r="TOA175" s="250"/>
      <c r="TOB175" s="250"/>
      <c r="TOC175" s="250"/>
      <c r="TOD175" s="250"/>
      <c r="TOE175" s="250"/>
      <c r="TOF175" s="250"/>
      <c r="TOG175" s="250"/>
      <c r="TOH175" s="250"/>
      <c r="TOI175" s="250"/>
      <c r="TOJ175" s="250"/>
      <c r="TOK175" s="250"/>
      <c r="TOL175" s="250"/>
      <c r="TOM175" s="250"/>
      <c r="TON175" s="250"/>
      <c r="TOO175" s="250"/>
      <c r="TOP175" s="250"/>
      <c r="TOQ175" s="250"/>
      <c r="TOR175" s="250"/>
      <c r="TOS175" s="250"/>
      <c r="TOT175" s="250"/>
      <c r="TOU175" s="250"/>
      <c r="TOV175" s="250"/>
      <c r="TOW175" s="250"/>
      <c r="TOX175" s="250"/>
      <c r="TOY175" s="250"/>
      <c r="TOZ175" s="250"/>
      <c r="TPA175" s="250"/>
      <c r="TPB175" s="250"/>
      <c r="TPC175" s="250"/>
      <c r="TPD175" s="250"/>
      <c r="TPE175" s="250"/>
      <c r="TPF175" s="250"/>
      <c r="TPG175" s="250"/>
      <c r="TPH175" s="250"/>
      <c r="TPI175" s="250"/>
      <c r="TPJ175" s="250"/>
      <c r="TPK175" s="250"/>
      <c r="TPL175" s="250"/>
      <c r="TPM175" s="250"/>
      <c r="TPN175" s="250"/>
      <c r="TPO175" s="250"/>
      <c r="TPP175" s="250"/>
      <c r="TPQ175" s="250"/>
      <c r="TPR175" s="250"/>
      <c r="TPS175" s="250"/>
      <c r="TPT175" s="250"/>
      <c r="TPU175" s="250"/>
      <c r="TPV175" s="250"/>
      <c r="TPW175" s="250"/>
      <c r="TPX175" s="250"/>
      <c r="TPY175" s="250"/>
      <c r="TPZ175" s="250"/>
      <c r="TQA175" s="250"/>
      <c r="TQB175" s="250"/>
      <c r="TQC175" s="250"/>
      <c r="TQD175" s="250"/>
      <c r="TQE175" s="250"/>
      <c r="TQF175" s="250"/>
      <c r="TQG175" s="250"/>
      <c r="TQH175" s="250"/>
      <c r="TQI175" s="250"/>
      <c r="TQJ175" s="250"/>
      <c r="TQK175" s="250"/>
      <c r="TQL175" s="250"/>
      <c r="TQM175" s="250"/>
      <c r="TQN175" s="250"/>
      <c r="TQO175" s="250"/>
      <c r="TQP175" s="250"/>
      <c r="TQQ175" s="250"/>
      <c r="TQR175" s="250"/>
      <c r="TQS175" s="250"/>
      <c r="TQT175" s="250"/>
      <c r="TQU175" s="250"/>
      <c r="TQV175" s="250"/>
      <c r="TQW175" s="250"/>
      <c r="TQX175" s="250"/>
      <c r="TQY175" s="250"/>
      <c r="TQZ175" s="250"/>
      <c r="TRA175" s="250"/>
      <c r="TRB175" s="250"/>
      <c r="TRC175" s="250"/>
      <c r="TRD175" s="250"/>
      <c r="TRE175" s="250"/>
      <c r="TRF175" s="250"/>
      <c r="TRG175" s="250"/>
      <c r="TRH175" s="250"/>
      <c r="TRI175" s="250"/>
      <c r="TRJ175" s="250"/>
      <c r="TRK175" s="250"/>
      <c r="TRL175" s="250"/>
      <c r="TRM175" s="250"/>
      <c r="TRN175" s="250"/>
      <c r="TRO175" s="250"/>
      <c r="TRP175" s="250"/>
      <c r="TRQ175" s="250"/>
      <c r="TRR175" s="250"/>
      <c r="TRS175" s="250"/>
      <c r="TRT175" s="250"/>
      <c r="TRU175" s="250"/>
      <c r="TRV175" s="250"/>
      <c r="TRW175" s="250"/>
      <c r="TRX175" s="250"/>
      <c r="TRY175" s="250"/>
      <c r="TRZ175" s="250"/>
      <c r="TSA175" s="250"/>
      <c r="TSB175" s="250"/>
      <c r="TSC175" s="250"/>
      <c r="TSD175" s="250"/>
      <c r="TSE175" s="250"/>
      <c r="TSF175" s="250"/>
      <c r="TSG175" s="250"/>
      <c r="TSH175" s="250"/>
      <c r="TSI175" s="250"/>
      <c r="TSJ175" s="250"/>
      <c r="TSK175" s="250"/>
      <c r="TSL175" s="250"/>
      <c r="TSM175" s="250"/>
      <c r="TSN175" s="250"/>
      <c r="TSO175" s="250"/>
      <c r="TSP175" s="250"/>
      <c r="TSQ175" s="250"/>
      <c r="TSR175" s="250"/>
      <c r="TSS175" s="250"/>
      <c r="TST175" s="250"/>
      <c r="TSU175" s="250"/>
      <c r="TSV175" s="250"/>
      <c r="TSW175" s="250"/>
      <c r="TSX175" s="250"/>
      <c r="TSY175" s="250"/>
      <c r="TSZ175" s="250"/>
      <c r="TTA175" s="250"/>
      <c r="TTB175" s="250"/>
      <c r="TTC175" s="250"/>
      <c r="TTD175" s="250"/>
      <c r="TTE175" s="250"/>
      <c r="TTF175" s="250"/>
      <c r="TTG175" s="250"/>
      <c r="TTH175" s="250"/>
      <c r="TTI175" s="250"/>
      <c r="TTJ175" s="250"/>
      <c r="TTK175" s="250"/>
      <c r="TTL175" s="250"/>
      <c r="TTM175" s="250"/>
      <c r="TTN175" s="250"/>
      <c r="TTO175" s="250"/>
      <c r="TTP175" s="250"/>
      <c r="TTQ175" s="250"/>
      <c r="TTR175" s="250"/>
      <c r="TTS175" s="250"/>
      <c r="TTT175" s="250"/>
      <c r="TTU175" s="250"/>
      <c r="TTV175" s="250"/>
      <c r="TTW175" s="250"/>
      <c r="TTX175" s="250"/>
      <c r="TTY175" s="250"/>
      <c r="TTZ175" s="250"/>
      <c r="TUA175" s="250"/>
      <c r="TUB175" s="250"/>
      <c r="TUC175" s="250"/>
      <c r="TUD175" s="250"/>
      <c r="TUE175" s="250"/>
      <c r="TUF175" s="250"/>
      <c r="TUG175" s="250"/>
      <c r="TUH175" s="250"/>
      <c r="TUI175" s="250"/>
      <c r="TUJ175" s="250"/>
      <c r="TUK175" s="250"/>
      <c r="TUL175" s="250"/>
      <c r="TUM175" s="250"/>
      <c r="TUN175" s="250"/>
      <c r="TUO175" s="250"/>
      <c r="TUP175" s="250"/>
      <c r="TUQ175" s="250"/>
      <c r="TUR175" s="250"/>
      <c r="TUS175" s="250"/>
      <c r="TUT175" s="250"/>
      <c r="TUU175" s="250"/>
      <c r="TUV175" s="250"/>
      <c r="TUW175" s="250"/>
      <c r="TUX175" s="250"/>
      <c r="TUY175" s="250"/>
      <c r="TUZ175" s="250"/>
      <c r="TVA175" s="250"/>
      <c r="TVB175" s="250"/>
      <c r="TVC175" s="250"/>
      <c r="TVD175" s="250"/>
      <c r="TVE175" s="250"/>
      <c r="TVF175" s="250"/>
      <c r="TVG175" s="250"/>
      <c r="TVH175" s="250"/>
      <c r="TVI175" s="250"/>
      <c r="TVJ175" s="250"/>
      <c r="TVK175" s="250"/>
      <c r="TVL175" s="250"/>
      <c r="TVM175" s="250"/>
      <c r="TVN175" s="250"/>
      <c r="TVO175" s="250"/>
      <c r="TVP175" s="250"/>
      <c r="TVQ175" s="250"/>
      <c r="TVR175" s="250"/>
      <c r="TVS175" s="250"/>
      <c r="TVT175" s="250"/>
      <c r="TVU175" s="250"/>
      <c r="TVV175" s="250"/>
      <c r="TVW175" s="250"/>
      <c r="TVX175" s="250"/>
      <c r="TVY175" s="250"/>
      <c r="TVZ175" s="250"/>
      <c r="TWA175" s="250"/>
      <c r="TWB175" s="250"/>
      <c r="TWC175" s="250"/>
      <c r="TWD175" s="250"/>
      <c r="TWE175" s="250"/>
      <c r="TWF175" s="250"/>
      <c r="TWG175" s="250"/>
      <c r="TWH175" s="250"/>
      <c r="TWI175" s="250"/>
      <c r="TWJ175" s="250"/>
      <c r="TWK175" s="250"/>
      <c r="TWL175" s="250"/>
      <c r="TWM175" s="250"/>
      <c r="TWN175" s="250"/>
      <c r="TWO175" s="250"/>
      <c r="TWP175" s="250"/>
      <c r="TWQ175" s="250"/>
      <c r="TWR175" s="250"/>
      <c r="TWS175" s="250"/>
      <c r="TWT175" s="250"/>
      <c r="TWU175" s="250"/>
      <c r="TWV175" s="250"/>
      <c r="TWW175" s="250"/>
      <c r="TWX175" s="250"/>
      <c r="TWY175" s="250"/>
      <c r="TWZ175" s="250"/>
      <c r="TXA175" s="250"/>
      <c r="TXB175" s="250"/>
      <c r="TXC175" s="250"/>
      <c r="TXD175" s="250"/>
      <c r="TXE175" s="250"/>
      <c r="TXF175" s="250"/>
      <c r="TXG175" s="250"/>
      <c r="TXH175" s="250"/>
      <c r="TXI175" s="250"/>
      <c r="TXJ175" s="250"/>
      <c r="TXK175" s="250"/>
      <c r="TXL175" s="250"/>
      <c r="TXM175" s="250"/>
      <c r="TXN175" s="250"/>
      <c r="TXO175" s="250"/>
      <c r="TXP175" s="250"/>
      <c r="TXQ175" s="250"/>
      <c r="TXR175" s="250"/>
      <c r="TXS175" s="250"/>
      <c r="TXT175" s="250"/>
      <c r="TXU175" s="250"/>
      <c r="TXV175" s="250"/>
      <c r="TXW175" s="250"/>
      <c r="TXX175" s="250"/>
      <c r="TXY175" s="250"/>
      <c r="TXZ175" s="250"/>
      <c r="TYA175" s="250"/>
      <c r="TYB175" s="250"/>
      <c r="TYC175" s="250"/>
      <c r="TYD175" s="250"/>
      <c r="TYE175" s="250"/>
      <c r="TYF175" s="250"/>
      <c r="TYG175" s="250"/>
      <c r="TYH175" s="250"/>
      <c r="TYI175" s="250"/>
      <c r="TYJ175" s="250"/>
      <c r="TYK175" s="250"/>
      <c r="TYL175" s="250"/>
      <c r="TYM175" s="250"/>
      <c r="TYN175" s="250"/>
      <c r="TYO175" s="250"/>
      <c r="TYP175" s="250"/>
      <c r="TYQ175" s="250"/>
      <c r="TYR175" s="250"/>
      <c r="TYS175" s="250"/>
      <c r="TYT175" s="250"/>
      <c r="TYU175" s="250"/>
      <c r="TYV175" s="250"/>
      <c r="TYW175" s="250"/>
      <c r="TYX175" s="250"/>
      <c r="TYY175" s="250"/>
      <c r="TYZ175" s="250"/>
      <c r="TZA175" s="250"/>
      <c r="TZB175" s="250"/>
      <c r="TZC175" s="250"/>
      <c r="TZD175" s="250"/>
      <c r="TZE175" s="250"/>
      <c r="TZF175" s="250"/>
      <c r="TZG175" s="250"/>
      <c r="TZH175" s="250"/>
      <c r="TZI175" s="250"/>
      <c r="TZJ175" s="250"/>
      <c r="TZK175" s="250"/>
      <c r="TZL175" s="250"/>
      <c r="TZM175" s="250"/>
      <c r="TZN175" s="250"/>
      <c r="TZO175" s="250"/>
      <c r="TZP175" s="250"/>
      <c r="TZQ175" s="250"/>
      <c r="TZR175" s="250"/>
      <c r="TZS175" s="250"/>
      <c r="TZT175" s="250"/>
      <c r="TZU175" s="250"/>
      <c r="TZV175" s="250"/>
      <c r="TZW175" s="250"/>
      <c r="TZX175" s="250"/>
      <c r="TZY175" s="250"/>
      <c r="TZZ175" s="250"/>
      <c r="UAA175" s="250"/>
      <c r="UAB175" s="250"/>
      <c r="UAC175" s="250"/>
      <c r="UAD175" s="250"/>
      <c r="UAE175" s="250"/>
      <c r="UAF175" s="250"/>
      <c r="UAG175" s="250"/>
      <c r="UAH175" s="250"/>
      <c r="UAI175" s="250"/>
      <c r="UAJ175" s="250"/>
      <c r="UAK175" s="250"/>
      <c r="UAL175" s="250"/>
      <c r="UAM175" s="250"/>
      <c r="UAN175" s="250"/>
      <c r="UAO175" s="250"/>
      <c r="UAP175" s="250"/>
      <c r="UAQ175" s="250"/>
      <c r="UAR175" s="250"/>
      <c r="UAS175" s="250"/>
      <c r="UAT175" s="250"/>
      <c r="UAU175" s="250"/>
      <c r="UAV175" s="250"/>
      <c r="UAW175" s="250"/>
      <c r="UAX175" s="250"/>
      <c r="UAY175" s="250"/>
      <c r="UAZ175" s="250"/>
      <c r="UBA175" s="250"/>
      <c r="UBB175" s="250"/>
      <c r="UBC175" s="250"/>
      <c r="UBD175" s="250"/>
      <c r="UBE175" s="250"/>
      <c r="UBF175" s="250"/>
      <c r="UBG175" s="250"/>
      <c r="UBH175" s="250"/>
      <c r="UBI175" s="250"/>
      <c r="UBJ175" s="250"/>
      <c r="UBK175" s="250"/>
      <c r="UBL175" s="250"/>
      <c r="UBM175" s="250"/>
      <c r="UBN175" s="250"/>
      <c r="UBO175" s="250"/>
      <c r="UBP175" s="250"/>
      <c r="UBQ175" s="250"/>
      <c r="UBR175" s="250"/>
      <c r="UBS175" s="250"/>
      <c r="UBT175" s="250"/>
      <c r="UBU175" s="250"/>
      <c r="UBV175" s="250"/>
      <c r="UBW175" s="250"/>
      <c r="UBX175" s="250"/>
      <c r="UBY175" s="250"/>
      <c r="UBZ175" s="250"/>
      <c r="UCA175" s="250"/>
      <c r="UCB175" s="250"/>
      <c r="UCC175" s="250"/>
      <c r="UCD175" s="250"/>
      <c r="UCE175" s="250"/>
      <c r="UCF175" s="250"/>
      <c r="UCG175" s="250"/>
      <c r="UCH175" s="250"/>
      <c r="UCI175" s="250"/>
      <c r="UCJ175" s="250"/>
      <c r="UCK175" s="250"/>
      <c r="UCL175" s="250"/>
      <c r="UCM175" s="250"/>
      <c r="UCN175" s="250"/>
      <c r="UCO175" s="250"/>
      <c r="UCP175" s="250"/>
      <c r="UCQ175" s="250"/>
      <c r="UCR175" s="250"/>
      <c r="UCS175" s="250"/>
      <c r="UCT175" s="250"/>
      <c r="UCU175" s="250"/>
      <c r="UCV175" s="250"/>
      <c r="UCW175" s="250"/>
      <c r="UCX175" s="250"/>
      <c r="UCY175" s="250"/>
      <c r="UCZ175" s="250"/>
      <c r="UDA175" s="250"/>
      <c r="UDB175" s="250"/>
      <c r="UDC175" s="250"/>
      <c r="UDD175" s="250"/>
      <c r="UDE175" s="250"/>
      <c r="UDF175" s="250"/>
      <c r="UDG175" s="250"/>
      <c r="UDH175" s="250"/>
      <c r="UDI175" s="250"/>
      <c r="UDJ175" s="250"/>
      <c r="UDK175" s="250"/>
      <c r="UDL175" s="250"/>
      <c r="UDM175" s="250"/>
      <c r="UDN175" s="250"/>
      <c r="UDO175" s="250"/>
      <c r="UDP175" s="250"/>
      <c r="UDQ175" s="250"/>
      <c r="UDR175" s="250"/>
      <c r="UDS175" s="250"/>
      <c r="UDT175" s="250"/>
      <c r="UDU175" s="250"/>
      <c r="UDV175" s="250"/>
      <c r="UDW175" s="250"/>
      <c r="UDX175" s="250"/>
      <c r="UDY175" s="250"/>
      <c r="UDZ175" s="250"/>
      <c r="UEA175" s="250"/>
      <c r="UEB175" s="250"/>
      <c r="UEC175" s="250"/>
      <c r="UED175" s="250"/>
      <c r="UEE175" s="250"/>
      <c r="UEF175" s="250"/>
      <c r="UEG175" s="250"/>
      <c r="UEH175" s="250"/>
      <c r="UEI175" s="250"/>
      <c r="UEJ175" s="250"/>
      <c r="UEK175" s="250"/>
      <c r="UEL175" s="250"/>
      <c r="UEM175" s="250"/>
      <c r="UEN175" s="250"/>
      <c r="UEO175" s="250"/>
      <c r="UEP175" s="250"/>
      <c r="UEQ175" s="250"/>
      <c r="UER175" s="250"/>
      <c r="UES175" s="250"/>
      <c r="UET175" s="250"/>
      <c r="UEU175" s="250"/>
      <c r="UEV175" s="250"/>
      <c r="UEW175" s="250"/>
      <c r="UEX175" s="250"/>
      <c r="UEY175" s="250"/>
      <c r="UEZ175" s="250"/>
      <c r="UFA175" s="250"/>
      <c r="UFB175" s="250"/>
      <c r="UFC175" s="250"/>
      <c r="UFD175" s="250"/>
      <c r="UFE175" s="250"/>
      <c r="UFF175" s="250"/>
      <c r="UFG175" s="250"/>
      <c r="UFH175" s="250"/>
      <c r="UFI175" s="250"/>
      <c r="UFJ175" s="250"/>
      <c r="UFK175" s="250"/>
      <c r="UFL175" s="250"/>
      <c r="UFM175" s="250"/>
      <c r="UFN175" s="250"/>
      <c r="UFO175" s="250"/>
      <c r="UFP175" s="250"/>
      <c r="UFQ175" s="250"/>
      <c r="UFR175" s="250"/>
      <c r="UFS175" s="250"/>
      <c r="UFT175" s="250"/>
      <c r="UFU175" s="250"/>
      <c r="UFV175" s="250"/>
      <c r="UFW175" s="250"/>
      <c r="UFX175" s="250"/>
      <c r="UFY175" s="250"/>
      <c r="UFZ175" s="250"/>
      <c r="UGA175" s="250"/>
      <c r="UGB175" s="250"/>
      <c r="UGC175" s="250"/>
      <c r="UGD175" s="250"/>
      <c r="UGE175" s="250"/>
      <c r="UGF175" s="250"/>
      <c r="UGG175" s="250"/>
      <c r="UGH175" s="250"/>
      <c r="UGI175" s="250"/>
      <c r="UGJ175" s="250"/>
      <c r="UGK175" s="250"/>
      <c r="UGL175" s="250"/>
      <c r="UGM175" s="250"/>
      <c r="UGN175" s="250"/>
      <c r="UGO175" s="250"/>
      <c r="UGP175" s="250"/>
      <c r="UGQ175" s="250"/>
      <c r="UGR175" s="250"/>
      <c r="UGS175" s="250"/>
      <c r="UGT175" s="250"/>
      <c r="UGU175" s="250"/>
      <c r="UGV175" s="250"/>
      <c r="UGW175" s="250"/>
      <c r="UGX175" s="250"/>
      <c r="UGY175" s="250"/>
      <c r="UGZ175" s="250"/>
      <c r="UHA175" s="250"/>
      <c r="UHB175" s="250"/>
      <c r="UHC175" s="250"/>
      <c r="UHD175" s="250"/>
      <c r="UHE175" s="250"/>
      <c r="UHF175" s="250"/>
      <c r="UHG175" s="250"/>
      <c r="UHH175" s="250"/>
      <c r="UHI175" s="250"/>
      <c r="UHJ175" s="250"/>
      <c r="UHK175" s="250"/>
      <c r="UHL175" s="250"/>
      <c r="UHM175" s="250"/>
      <c r="UHN175" s="250"/>
      <c r="UHO175" s="250"/>
      <c r="UHP175" s="250"/>
      <c r="UHQ175" s="250"/>
      <c r="UHR175" s="250"/>
      <c r="UHS175" s="250"/>
      <c r="UHT175" s="250"/>
      <c r="UHU175" s="250"/>
      <c r="UHV175" s="250"/>
      <c r="UHW175" s="250"/>
      <c r="UHX175" s="250"/>
      <c r="UHY175" s="250"/>
      <c r="UHZ175" s="250"/>
      <c r="UIA175" s="250"/>
      <c r="UIB175" s="250"/>
      <c r="UIC175" s="250"/>
      <c r="UID175" s="250"/>
      <c r="UIE175" s="250"/>
      <c r="UIF175" s="250"/>
      <c r="UIG175" s="250"/>
      <c r="UIH175" s="250"/>
      <c r="UII175" s="250"/>
      <c r="UIJ175" s="250"/>
      <c r="UIK175" s="250"/>
      <c r="UIL175" s="250"/>
      <c r="UIM175" s="250"/>
      <c r="UIN175" s="250"/>
      <c r="UIO175" s="250"/>
      <c r="UIP175" s="250"/>
      <c r="UIQ175" s="250"/>
      <c r="UIR175" s="250"/>
      <c r="UIS175" s="250"/>
      <c r="UIT175" s="250"/>
      <c r="UIU175" s="250"/>
      <c r="UIV175" s="250"/>
      <c r="UIW175" s="250"/>
      <c r="UIX175" s="250"/>
      <c r="UIY175" s="250"/>
      <c r="UIZ175" s="250"/>
      <c r="UJA175" s="250"/>
      <c r="UJB175" s="250"/>
      <c r="UJC175" s="250"/>
      <c r="UJD175" s="250"/>
      <c r="UJE175" s="250"/>
      <c r="UJF175" s="250"/>
      <c r="UJG175" s="250"/>
      <c r="UJH175" s="250"/>
      <c r="UJI175" s="250"/>
      <c r="UJJ175" s="250"/>
      <c r="UJK175" s="250"/>
      <c r="UJL175" s="250"/>
      <c r="UJM175" s="250"/>
      <c r="UJN175" s="250"/>
      <c r="UJO175" s="250"/>
      <c r="UJP175" s="250"/>
      <c r="UJQ175" s="250"/>
      <c r="UJR175" s="250"/>
      <c r="UJS175" s="250"/>
      <c r="UJT175" s="250"/>
      <c r="UJU175" s="250"/>
      <c r="UJV175" s="250"/>
      <c r="UJW175" s="250"/>
      <c r="UJX175" s="250"/>
      <c r="UJY175" s="250"/>
      <c r="UJZ175" s="250"/>
      <c r="UKA175" s="250"/>
      <c r="UKB175" s="250"/>
      <c r="UKC175" s="250"/>
      <c r="UKD175" s="250"/>
      <c r="UKE175" s="250"/>
      <c r="UKF175" s="250"/>
      <c r="UKG175" s="250"/>
      <c r="UKH175" s="250"/>
      <c r="UKI175" s="250"/>
      <c r="UKJ175" s="250"/>
      <c r="UKK175" s="250"/>
      <c r="UKL175" s="250"/>
      <c r="UKM175" s="250"/>
      <c r="UKN175" s="250"/>
      <c r="UKO175" s="250"/>
      <c r="UKP175" s="250"/>
      <c r="UKQ175" s="250"/>
      <c r="UKR175" s="250"/>
      <c r="UKS175" s="250"/>
      <c r="UKT175" s="250"/>
      <c r="UKU175" s="250"/>
      <c r="UKV175" s="250"/>
      <c r="UKW175" s="250"/>
      <c r="UKX175" s="250"/>
      <c r="UKY175" s="250"/>
      <c r="UKZ175" s="250"/>
      <c r="ULA175" s="250"/>
      <c r="ULB175" s="250"/>
      <c r="ULC175" s="250"/>
      <c r="ULD175" s="250"/>
      <c r="ULE175" s="250"/>
      <c r="ULF175" s="250"/>
      <c r="ULG175" s="250"/>
      <c r="ULH175" s="250"/>
      <c r="ULI175" s="250"/>
      <c r="ULJ175" s="250"/>
      <c r="ULK175" s="250"/>
      <c r="ULL175" s="250"/>
      <c r="ULM175" s="250"/>
      <c r="ULN175" s="250"/>
      <c r="ULO175" s="250"/>
      <c r="ULP175" s="250"/>
      <c r="ULQ175" s="250"/>
      <c r="ULR175" s="250"/>
      <c r="ULS175" s="250"/>
      <c r="ULT175" s="250"/>
      <c r="ULU175" s="250"/>
      <c r="ULV175" s="250"/>
      <c r="ULW175" s="250"/>
      <c r="ULX175" s="250"/>
      <c r="ULY175" s="250"/>
      <c r="ULZ175" s="250"/>
      <c r="UMA175" s="250"/>
      <c r="UMB175" s="250"/>
      <c r="UMC175" s="250"/>
      <c r="UMD175" s="250"/>
      <c r="UME175" s="250"/>
      <c r="UMF175" s="250"/>
      <c r="UMG175" s="250"/>
      <c r="UMH175" s="250"/>
      <c r="UMI175" s="250"/>
      <c r="UMJ175" s="250"/>
      <c r="UMK175" s="250"/>
      <c r="UML175" s="250"/>
      <c r="UMM175" s="250"/>
      <c r="UMN175" s="250"/>
      <c r="UMO175" s="250"/>
      <c r="UMP175" s="250"/>
      <c r="UMQ175" s="250"/>
      <c r="UMR175" s="250"/>
      <c r="UMS175" s="250"/>
      <c r="UMT175" s="250"/>
      <c r="UMU175" s="250"/>
      <c r="UMV175" s="250"/>
      <c r="UMW175" s="250"/>
      <c r="UMX175" s="250"/>
      <c r="UMY175" s="250"/>
      <c r="UMZ175" s="250"/>
      <c r="UNA175" s="250"/>
      <c r="UNB175" s="250"/>
      <c r="UNC175" s="250"/>
      <c r="UND175" s="250"/>
      <c r="UNE175" s="250"/>
      <c r="UNF175" s="250"/>
      <c r="UNG175" s="250"/>
      <c r="UNH175" s="250"/>
      <c r="UNI175" s="250"/>
      <c r="UNJ175" s="250"/>
      <c r="UNK175" s="250"/>
      <c r="UNL175" s="250"/>
      <c r="UNM175" s="250"/>
      <c r="UNN175" s="250"/>
      <c r="UNO175" s="250"/>
      <c r="UNP175" s="250"/>
      <c r="UNQ175" s="250"/>
      <c r="UNR175" s="250"/>
      <c r="UNS175" s="250"/>
      <c r="UNT175" s="250"/>
      <c r="UNU175" s="250"/>
      <c r="UNV175" s="250"/>
      <c r="UNW175" s="250"/>
      <c r="UNX175" s="250"/>
      <c r="UNY175" s="250"/>
      <c r="UNZ175" s="250"/>
      <c r="UOA175" s="250"/>
      <c r="UOB175" s="250"/>
      <c r="UOC175" s="250"/>
      <c r="UOD175" s="250"/>
      <c r="UOE175" s="250"/>
      <c r="UOF175" s="250"/>
      <c r="UOG175" s="250"/>
      <c r="UOH175" s="250"/>
      <c r="UOI175" s="250"/>
      <c r="UOJ175" s="250"/>
      <c r="UOK175" s="250"/>
      <c r="UOL175" s="250"/>
      <c r="UOM175" s="250"/>
      <c r="UON175" s="250"/>
      <c r="UOO175" s="250"/>
      <c r="UOP175" s="250"/>
      <c r="UOQ175" s="250"/>
      <c r="UOR175" s="250"/>
      <c r="UOS175" s="250"/>
      <c r="UOT175" s="250"/>
      <c r="UOU175" s="250"/>
      <c r="UOV175" s="250"/>
      <c r="UOW175" s="250"/>
      <c r="UOX175" s="250"/>
      <c r="UOY175" s="250"/>
      <c r="UOZ175" s="250"/>
      <c r="UPA175" s="250"/>
      <c r="UPB175" s="250"/>
      <c r="UPC175" s="250"/>
      <c r="UPD175" s="250"/>
      <c r="UPE175" s="250"/>
      <c r="UPF175" s="250"/>
      <c r="UPG175" s="250"/>
      <c r="UPH175" s="250"/>
      <c r="UPI175" s="250"/>
      <c r="UPJ175" s="250"/>
      <c r="UPK175" s="250"/>
      <c r="UPL175" s="250"/>
      <c r="UPM175" s="250"/>
      <c r="UPN175" s="250"/>
      <c r="UPO175" s="250"/>
      <c r="UPP175" s="250"/>
      <c r="UPQ175" s="250"/>
      <c r="UPR175" s="250"/>
      <c r="UPS175" s="250"/>
      <c r="UPT175" s="250"/>
      <c r="UPU175" s="250"/>
      <c r="UPV175" s="250"/>
      <c r="UPW175" s="250"/>
      <c r="UPX175" s="250"/>
      <c r="UPY175" s="250"/>
      <c r="UPZ175" s="250"/>
      <c r="UQA175" s="250"/>
      <c r="UQB175" s="250"/>
      <c r="UQC175" s="250"/>
      <c r="UQD175" s="250"/>
      <c r="UQE175" s="250"/>
      <c r="UQF175" s="250"/>
      <c r="UQG175" s="250"/>
      <c r="UQH175" s="250"/>
      <c r="UQI175" s="250"/>
      <c r="UQJ175" s="250"/>
      <c r="UQK175" s="250"/>
      <c r="UQL175" s="250"/>
      <c r="UQM175" s="250"/>
      <c r="UQN175" s="250"/>
      <c r="UQO175" s="250"/>
      <c r="UQP175" s="250"/>
      <c r="UQQ175" s="250"/>
      <c r="UQR175" s="250"/>
      <c r="UQS175" s="250"/>
      <c r="UQT175" s="250"/>
      <c r="UQU175" s="250"/>
      <c r="UQV175" s="250"/>
      <c r="UQW175" s="250"/>
      <c r="UQX175" s="250"/>
      <c r="UQY175" s="250"/>
      <c r="UQZ175" s="250"/>
      <c r="URA175" s="250"/>
      <c r="URB175" s="250"/>
      <c r="URC175" s="250"/>
      <c r="URD175" s="250"/>
      <c r="URE175" s="250"/>
      <c r="URF175" s="250"/>
      <c r="URG175" s="250"/>
      <c r="URH175" s="250"/>
      <c r="URI175" s="250"/>
      <c r="URJ175" s="250"/>
      <c r="URK175" s="250"/>
      <c r="URL175" s="250"/>
      <c r="URM175" s="250"/>
      <c r="URN175" s="250"/>
      <c r="URO175" s="250"/>
      <c r="URP175" s="250"/>
      <c r="URQ175" s="250"/>
      <c r="URR175" s="250"/>
      <c r="URS175" s="250"/>
      <c r="URT175" s="250"/>
      <c r="URU175" s="250"/>
      <c r="URV175" s="250"/>
      <c r="URW175" s="250"/>
      <c r="URX175" s="250"/>
      <c r="URY175" s="250"/>
      <c r="URZ175" s="250"/>
      <c r="USA175" s="250"/>
      <c r="USB175" s="250"/>
      <c r="USC175" s="250"/>
      <c r="USD175" s="250"/>
      <c r="USE175" s="250"/>
      <c r="USF175" s="250"/>
      <c r="USG175" s="250"/>
      <c r="USH175" s="250"/>
      <c r="USI175" s="250"/>
      <c r="USJ175" s="250"/>
      <c r="USK175" s="250"/>
      <c r="USL175" s="250"/>
      <c r="USM175" s="250"/>
      <c r="USN175" s="250"/>
      <c r="USO175" s="250"/>
      <c r="USP175" s="250"/>
      <c r="USQ175" s="250"/>
      <c r="USR175" s="250"/>
      <c r="USS175" s="250"/>
      <c r="UST175" s="250"/>
      <c r="USU175" s="250"/>
      <c r="USV175" s="250"/>
      <c r="USW175" s="250"/>
      <c r="USX175" s="250"/>
      <c r="USY175" s="250"/>
      <c r="USZ175" s="250"/>
      <c r="UTA175" s="250"/>
      <c r="UTB175" s="250"/>
      <c r="UTC175" s="250"/>
      <c r="UTD175" s="250"/>
      <c r="UTE175" s="250"/>
      <c r="UTF175" s="250"/>
      <c r="UTG175" s="250"/>
      <c r="UTH175" s="250"/>
      <c r="UTI175" s="250"/>
      <c r="UTJ175" s="250"/>
      <c r="UTK175" s="250"/>
      <c r="UTL175" s="250"/>
      <c r="UTM175" s="250"/>
      <c r="UTN175" s="250"/>
      <c r="UTO175" s="250"/>
      <c r="UTP175" s="250"/>
      <c r="UTQ175" s="250"/>
      <c r="UTR175" s="250"/>
      <c r="UTS175" s="250"/>
      <c r="UTT175" s="250"/>
      <c r="UTU175" s="250"/>
      <c r="UTV175" s="250"/>
      <c r="UTW175" s="250"/>
      <c r="UTX175" s="250"/>
      <c r="UTY175" s="250"/>
      <c r="UTZ175" s="250"/>
      <c r="UUA175" s="250"/>
      <c r="UUB175" s="250"/>
      <c r="UUC175" s="250"/>
      <c r="UUD175" s="250"/>
      <c r="UUE175" s="250"/>
      <c r="UUF175" s="250"/>
      <c r="UUG175" s="250"/>
      <c r="UUH175" s="250"/>
      <c r="UUI175" s="250"/>
      <c r="UUJ175" s="250"/>
      <c r="UUK175" s="250"/>
      <c r="UUL175" s="250"/>
      <c r="UUM175" s="250"/>
      <c r="UUN175" s="250"/>
      <c r="UUO175" s="250"/>
      <c r="UUP175" s="250"/>
      <c r="UUQ175" s="250"/>
      <c r="UUR175" s="250"/>
      <c r="UUS175" s="250"/>
      <c r="UUT175" s="250"/>
      <c r="UUU175" s="250"/>
      <c r="UUV175" s="250"/>
      <c r="UUW175" s="250"/>
      <c r="UUX175" s="250"/>
      <c r="UUY175" s="250"/>
      <c r="UUZ175" s="250"/>
      <c r="UVA175" s="250"/>
      <c r="UVB175" s="250"/>
      <c r="UVC175" s="250"/>
      <c r="UVD175" s="250"/>
      <c r="UVE175" s="250"/>
      <c r="UVF175" s="250"/>
      <c r="UVG175" s="250"/>
      <c r="UVH175" s="250"/>
      <c r="UVI175" s="250"/>
      <c r="UVJ175" s="250"/>
      <c r="UVK175" s="250"/>
      <c r="UVL175" s="250"/>
      <c r="UVM175" s="250"/>
      <c r="UVN175" s="250"/>
      <c r="UVO175" s="250"/>
      <c r="UVP175" s="250"/>
      <c r="UVQ175" s="250"/>
      <c r="UVR175" s="250"/>
      <c r="UVS175" s="250"/>
      <c r="UVT175" s="250"/>
      <c r="UVU175" s="250"/>
      <c r="UVV175" s="250"/>
      <c r="UVW175" s="250"/>
      <c r="UVX175" s="250"/>
      <c r="UVY175" s="250"/>
      <c r="UVZ175" s="250"/>
      <c r="UWA175" s="250"/>
      <c r="UWB175" s="250"/>
      <c r="UWC175" s="250"/>
      <c r="UWD175" s="250"/>
      <c r="UWE175" s="250"/>
      <c r="UWF175" s="250"/>
      <c r="UWG175" s="250"/>
      <c r="UWH175" s="250"/>
      <c r="UWI175" s="250"/>
      <c r="UWJ175" s="250"/>
      <c r="UWK175" s="250"/>
      <c r="UWL175" s="250"/>
      <c r="UWM175" s="250"/>
      <c r="UWN175" s="250"/>
      <c r="UWO175" s="250"/>
      <c r="UWP175" s="250"/>
      <c r="UWQ175" s="250"/>
      <c r="UWR175" s="250"/>
      <c r="UWS175" s="250"/>
      <c r="UWT175" s="250"/>
      <c r="UWU175" s="250"/>
      <c r="UWV175" s="250"/>
      <c r="UWW175" s="250"/>
      <c r="UWX175" s="250"/>
      <c r="UWY175" s="250"/>
      <c r="UWZ175" s="250"/>
      <c r="UXA175" s="250"/>
      <c r="UXB175" s="250"/>
      <c r="UXC175" s="250"/>
      <c r="UXD175" s="250"/>
      <c r="UXE175" s="250"/>
      <c r="UXF175" s="250"/>
      <c r="UXG175" s="250"/>
      <c r="UXH175" s="250"/>
      <c r="UXI175" s="250"/>
      <c r="UXJ175" s="250"/>
      <c r="UXK175" s="250"/>
      <c r="UXL175" s="250"/>
      <c r="UXM175" s="250"/>
      <c r="UXN175" s="250"/>
      <c r="UXO175" s="250"/>
      <c r="UXP175" s="250"/>
      <c r="UXQ175" s="250"/>
      <c r="UXR175" s="250"/>
      <c r="UXS175" s="250"/>
      <c r="UXT175" s="250"/>
      <c r="UXU175" s="250"/>
      <c r="UXV175" s="250"/>
      <c r="UXW175" s="250"/>
      <c r="UXX175" s="250"/>
      <c r="UXY175" s="250"/>
      <c r="UXZ175" s="250"/>
      <c r="UYA175" s="250"/>
      <c r="UYB175" s="250"/>
      <c r="UYC175" s="250"/>
      <c r="UYD175" s="250"/>
      <c r="UYE175" s="250"/>
      <c r="UYF175" s="250"/>
      <c r="UYG175" s="250"/>
      <c r="UYH175" s="250"/>
      <c r="UYI175" s="250"/>
      <c r="UYJ175" s="250"/>
      <c r="UYK175" s="250"/>
      <c r="UYL175" s="250"/>
      <c r="UYM175" s="250"/>
      <c r="UYN175" s="250"/>
      <c r="UYO175" s="250"/>
      <c r="UYP175" s="250"/>
      <c r="UYQ175" s="250"/>
      <c r="UYR175" s="250"/>
      <c r="UYS175" s="250"/>
      <c r="UYT175" s="250"/>
      <c r="UYU175" s="250"/>
      <c r="UYV175" s="250"/>
      <c r="UYW175" s="250"/>
      <c r="UYX175" s="250"/>
      <c r="UYY175" s="250"/>
      <c r="UYZ175" s="250"/>
      <c r="UZA175" s="250"/>
      <c r="UZB175" s="250"/>
      <c r="UZC175" s="250"/>
      <c r="UZD175" s="250"/>
      <c r="UZE175" s="250"/>
      <c r="UZF175" s="250"/>
      <c r="UZG175" s="250"/>
      <c r="UZH175" s="250"/>
      <c r="UZI175" s="250"/>
      <c r="UZJ175" s="250"/>
      <c r="UZK175" s="250"/>
      <c r="UZL175" s="250"/>
      <c r="UZM175" s="250"/>
      <c r="UZN175" s="250"/>
      <c r="UZO175" s="250"/>
      <c r="UZP175" s="250"/>
      <c r="UZQ175" s="250"/>
      <c r="UZR175" s="250"/>
      <c r="UZS175" s="250"/>
      <c r="UZT175" s="250"/>
      <c r="UZU175" s="250"/>
      <c r="UZV175" s="250"/>
      <c r="UZW175" s="250"/>
      <c r="UZX175" s="250"/>
      <c r="UZY175" s="250"/>
      <c r="UZZ175" s="250"/>
      <c r="VAA175" s="250"/>
      <c r="VAB175" s="250"/>
      <c r="VAC175" s="250"/>
      <c r="VAD175" s="250"/>
      <c r="VAE175" s="250"/>
      <c r="VAF175" s="250"/>
      <c r="VAG175" s="250"/>
      <c r="VAH175" s="250"/>
      <c r="VAI175" s="250"/>
      <c r="VAJ175" s="250"/>
      <c r="VAK175" s="250"/>
      <c r="VAL175" s="250"/>
      <c r="VAM175" s="250"/>
      <c r="VAN175" s="250"/>
      <c r="VAO175" s="250"/>
      <c r="VAP175" s="250"/>
      <c r="VAQ175" s="250"/>
      <c r="VAR175" s="250"/>
      <c r="VAS175" s="250"/>
      <c r="VAT175" s="250"/>
      <c r="VAU175" s="250"/>
      <c r="VAV175" s="250"/>
      <c r="VAW175" s="250"/>
      <c r="VAX175" s="250"/>
      <c r="VAY175" s="250"/>
      <c r="VAZ175" s="250"/>
      <c r="VBA175" s="250"/>
      <c r="VBB175" s="250"/>
      <c r="VBC175" s="250"/>
      <c r="VBD175" s="250"/>
      <c r="VBE175" s="250"/>
      <c r="VBF175" s="250"/>
      <c r="VBG175" s="250"/>
      <c r="VBH175" s="250"/>
      <c r="VBI175" s="250"/>
      <c r="VBJ175" s="250"/>
      <c r="VBK175" s="250"/>
      <c r="VBL175" s="250"/>
      <c r="VBM175" s="250"/>
      <c r="VBN175" s="250"/>
      <c r="VBO175" s="250"/>
      <c r="VBP175" s="250"/>
      <c r="VBQ175" s="250"/>
      <c r="VBR175" s="250"/>
      <c r="VBS175" s="250"/>
      <c r="VBT175" s="250"/>
      <c r="VBU175" s="250"/>
      <c r="VBV175" s="250"/>
      <c r="VBW175" s="250"/>
      <c r="VBX175" s="250"/>
      <c r="VBY175" s="250"/>
      <c r="VBZ175" s="250"/>
      <c r="VCA175" s="250"/>
      <c r="VCB175" s="250"/>
      <c r="VCC175" s="250"/>
      <c r="VCD175" s="250"/>
      <c r="VCE175" s="250"/>
      <c r="VCF175" s="250"/>
      <c r="VCG175" s="250"/>
      <c r="VCH175" s="250"/>
      <c r="VCI175" s="250"/>
      <c r="VCJ175" s="250"/>
      <c r="VCK175" s="250"/>
      <c r="VCL175" s="250"/>
      <c r="VCM175" s="250"/>
      <c r="VCN175" s="250"/>
      <c r="VCO175" s="250"/>
      <c r="VCP175" s="250"/>
      <c r="VCQ175" s="250"/>
      <c r="VCR175" s="250"/>
      <c r="VCS175" s="250"/>
      <c r="VCT175" s="250"/>
      <c r="VCU175" s="250"/>
      <c r="VCV175" s="250"/>
      <c r="VCW175" s="250"/>
      <c r="VCX175" s="250"/>
      <c r="VCY175" s="250"/>
      <c r="VCZ175" s="250"/>
      <c r="VDA175" s="250"/>
      <c r="VDB175" s="250"/>
      <c r="VDC175" s="250"/>
      <c r="VDD175" s="250"/>
      <c r="VDE175" s="250"/>
      <c r="VDF175" s="250"/>
      <c r="VDG175" s="250"/>
      <c r="VDH175" s="250"/>
      <c r="VDI175" s="250"/>
      <c r="VDJ175" s="250"/>
      <c r="VDK175" s="250"/>
      <c r="VDL175" s="250"/>
      <c r="VDM175" s="250"/>
      <c r="VDN175" s="250"/>
      <c r="VDO175" s="250"/>
      <c r="VDP175" s="250"/>
      <c r="VDQ175" s="250"/>
      <c r="VDR175" s="250"/>
      <c r="VDS175" s="250"/>
      <c r="VDT175" s="250"/>
      <c r="VDU175" s="250"/>
      <c r="VDV175" s="250"/>
      <c r="VDW175" s="250"/>
      <c r="VDX175" s="250"/>
      <c r="VDY175" s="250"/>
      <c r="VDZ175" s="250"/>
      <c r="VEA175" s="250"/>
      <c r="VEB175" s="250"/>
      <c r="VEC175" s="250"/>
      <c r="VED175" s="250"/>
      <c r="VEE175" s="250"/>
      <c r="VEF175" s="250"/>
      <c r="VEG175" s="250"/>
      <c r="VEH175" s="250"/>
      <c r="VEI175" s="250"/>
      <c r="VEJ175" s="250"/>
      <c r="VEK175" s="250"/>
      <c r="VEL175" s="250"/>
      <c r="VEM175" s="250"/>
      <c r="VEN175" s="250"/>
      <c r="VEO175" s="250"/>
      <c r="VEP175" s="250"/>
      <c r="VEQ175" s="250"/>
      <c r="VER175" s="250"/>
      <c r="VES175" s="250"/>
      <c r="VET175" s="250"/>
      <c r="VEU175" s="250"/>
      <c r="VEV175" s="250"/>
      <c r="VEW175" s="250"/>
      <c r="VEX175" s="250"/>
      <c r="VEY175" s="250"/>
      <c r="VEZ175" s="250"/>
      <c r="VFA175" s="250"/>
      <c r="VFB175" s="250"/>
      <c r="VFC175" s="250"/>
      <c r="VFD175" s="250"/>
      <c r="VFE175" s="250"/>
      <c r="VFF175" s="250"/>
      <c r="VFG175" s="250"/>
      <c r="VFH175" s="250"/>
      <c r="VFI175" s="250"/>
      <c r="VFJ175" s="250"/>
      <c r="VFK175" s="250"/>
      <c r="VFL175" s="250"/>
      <c r="VFM175" s="250"/>
      <c r="VFN175" s="250"/>
      <c r="VFO175" s="250"/>
      <c r="VFP175" s="250"/>
      <c r="VFQ175" s="250"/>
      <c r="VFR175" s="250"/>
      <c r="VFS175" s="250"/>
      <c r="VFT175" s="250"/>
      <c r="VFU175" s="250"/>
      <c r="VFV175" s="250"/>
      <c r="VFW175" s="250"/>
      <c r="VFX175" s="250"/>
      <c r="VFY175" s="250"/>
      <c r="VFZ175" s="250"/>
      <c r="VGA175" s="250"/>
      <c r="VGB175" s="250"/>
      <c r="VGC175" s="250"/>
      <c r="VGD175" s="250"/>
      <c r="VGE175" s="250"/>
      <c r="VGF175" s="250"/>
      <c r="VGG175" s="250"/>
      <c r="VGH175" s="250"/>
      <c r="VGI175" s="250"/>
      <c r="VGJ175" s="250"/>
      <c r="VGK175" s="250"/>
      <c r="VGL175" s="250"/>
      <c r="VGM175" s="250"/>
      <c r="VGN175" s="250"/>
      <c r="VGO175" s="250"/>
      <c r="VGP175" s="250"/>
      <c r="VGQ175" s="250"/>
      <c r="VGR175" s="250"/>
      <c r="VGS175" s="250"/>
      <c r="VGT175" s="250"/>
      <c r="VGU175" s="250"/>
      <c r="VGV175" s="250"/>
      <c r="VGW175" s="250"/>
      <c r="VGX175" s="250"/>
      <c r="VGY175" s="250"/>
      <c r="VGZ175" s="250"/>
      <c r="VHA175" s="250"/>
      <c r="VHB175" s="250"/>
      <c r="VHC175" s="250"/>
      <c r="VHD175" s="250"/>
      <c r="VHE175" s="250"/>
      <c r="VHF175" s="250"/>
      <c r="VHG175" s="250"/>
      <c r="VHH175" s="250"/>
      <c r="VHI175" s="250"/>
      <c r="VHJ175" s="250"/>
      <c r="VHK175" s="250"/>
      <c r="VHL175" s="250"/>
      <c r="VHM175" s="250"/>
      <c r="VHN175" s="250"/>
      <c r="VHO175" s="250"/>
      <c r="VHP175" s="250"/>
      <c r="VHQ175" s="250"/>
      <c r="VHR175" s="250"/>
      <c r="VHS175" s="250"/>
      <c r="VHT175" s="250"/>
      <c r="VHU175" s="250"/>
      <c r="VHV175" s="250"/>
      <c r="VHW175" s="250"/>
      <c r="VHX175" s="250"/>
      <c r="VHY175" s="250"/>
      <c r="VHZ175" s="250"/>
      <c r="VIA175" s="250"/>
      <c r="VIB175" s="250"/>
      <c r="VIC175" s="250"/>
      <c r="VID175" s="250"/>
      <c r="VIE175" s="250"/>
      <c r="VIF175" s="250"/>
      <c r="VIG175" s="250"/>
      <c r="VIH175" s="250"/>
      <c r="VII175" s="250"/>
      <c r="VIJ175" s="250"/>
      <c r="VIK175" s="250"/>
      <c r="VIL175" s="250"/>
      <c r="VIM175" s="250"/>
      <c r="VIN175" s="250"/>
      <c r="VIO175" s="250"/>
      <c r="VIP175" s="250"/>
      <c r="VIQ175" s="250"/>
      <c r="VIR175" s="250"/>
      <c r="VIS175" s="250"/>
      <c r="VIT175" s="250"/>
      <c r="VIU175" s="250"/>
      <c r="VIV175" s="250"/>
      <c r="VIW175" s="250"/>
      <c r="VIX175" s="250"/>
      <c r="VIY175" s="250"/>
      <c r="VIZ175" s="250"/>
      <c r="VJA175" s="250"/>
      <c r="VJB175" s="250"/>
      <c r="VJC175" s="250"/>
      <c r="VJD175" s="250"/>
      <c r="VJE175" s="250"/>
      <c r="VJF175" s="250"/>
      <c r="VJG175" s="250"/>
      <c r="VJH175" s="250"/>
      <c r="VJI175" s="250"/>
      <c r="VJJ175" s="250"/>
      <c r="VJK175" s="250"/>
      <c r="VJL175" s="250"/>
      <c r="VJM175" s="250"/>
      <c r="VJN175" s="250"/>
      <c r="VJO175" s="250"/>
      <c r="VJP175" s="250"/>
      <c r="VJQ175" s="250"/>
      <c r="VJR175" s="250"/>
      <c r="VJS175" s="250"/>
      <c r="VJT175" s="250"/>
      <c r="VJU175" s="250"/>
      <c r="VJV175" s="250"/>
      <c r="VJW175" s="250"/>
      <c r="VJX175" s="250"/>
      <c r="VJY175" s="250"/>
      <c r="VJZ175" s="250"/>
      <c r="VKA175" s="250"/>
      <c r="VKB175" s="250"/>
      <c r="VKC175" s="250"/>
      <c r="VKD175" s="250"/>
      <c r="VKE175" s="250"/>
      <c r="VKF175" s="250"/>
      <c r="VKG175" s="250"/>
      <c r="VKH175" s="250"/>
      <c r="VKI175" s="250"/>
      <c r="VKJ175" s="250"/>
      <c r="VKK175" s="250"/>
      <c r="VKL175" s="250"/>
      <c r="VKM175" s="250"/>
      <c r="VKN175" s="250"/>
      <c r="VKO175" s="250"/>
      <c r="VKP175" s="250"/>
      <c r="VKQ175" s="250"/>
      <c r="VKR175" s="250"/>
      <c r="VKS175" s="250"/>
      <c r="VKT175" s="250"/>
      <c r="VKU175" s="250"/>
      <c r="VKV175" s="250"/>
      <c r="VKW175" s="250"/>
      <c r="VKX175" s="250"/>
      <c r="VKY175" s="250"/>
      <c r="VKZ175" s="250"/>
      <c r="VLA175" s="250"/>
      <c r="VLB175" s="250"/>
      <c r="VLC175" s="250"/>
      <c r="VLD175" s="250"/>
      <c r="VLE175" s="250"/>
      <c r="VLF175" s="250"/>
      <c r="VLG175" s="250"/>
      <c r="VLH175" s="250"/>
      <c r="VLI175" s="250"/>
      <c r="VLJ175" s="250"/>
      <c r="VLK175" s="250"/>
      <c r="VLL175" s="250"/>
      <c r="VLM175" s="250"/>
      <c r="VLN175" s="250"/>
      <c r="VLO175" s="250"/>
      <c r="VLP175" s="250"/>
      <c r="VLQ175" s="250"/>
      <c r="VLR175" s="250"/>
      <c r="VLS175" s="250"/>
      <c r="VLT175" s="250"/>
      <c r="VLU175" s="250"/>
      <c r="VLV175" s="250"/>
      <c r="VLW175" s="250"/>
      <c r="VLX175" s="250"/>
      <c r="VLY175" s="250"/>
      <c r="VLZ175" s="250"/>
      <c r="VMA175" s="250"/>
      <c r="VMB175" s="250"/>
      <c r="VMC175" s="250"/>
      <c r="VMD175" s="250"/>
      <c r="VME175" s="250"/>
      <c r="VMF175" s="250"/>
      <c r="VMG175" s="250"/>
      <c r="VMH175" s="250"/>
      <c r="VMI175" s="250"/>
      <c r="VMJ175" s="250"/>
      <c r="VMK175" s="250"/>
      <c r="VML175" s="250"/>
      <c r="VMM175" s="250"/>
      <c r="VMN175" s="250"/>
      <c r="VMO175" s="250"/>
      <c r="VMP175" s="250"/>
      <c r="VMQ175" s="250"/>
      <c r="VMR175" s="250"/>
      <c r="VMS175" s="250"/>
      <c r="VMT175" s="250"/>
      <c r="VMU175" s="250"/>
      <c r="VMV175" s="250"/>
      <c r="VMW175" s="250"/>
      <c r="VMX175" s="250"/>
      <c r="VMY175" s="250"/>
      <c r="VMZ175" s="250"/>
      <c r="VNA175" s="250"/>
      <c r="VNB175" s="250"/>
      <c r="VNC175" s="250"/>
      <c r="VND175" s="250"/>
      <c r="VNE175" s="250"/>
      <c r="VNF175" s="250"/>
      <c r="VNG175" s="250"/>
      <c r="VNH175" s="250"/>
      <c r="VNI175" s="250"/>
      <c r="VNJ175" s="250"/>
      <c r="VNK175" s="250"/>
      <c r="VNL175" s="250"/>
      <c r="VNM175" s="250"/>
      <c r="VNN175" s="250"/>
      <c r="VNO175" s="250"/>
      <c r="VNP175" s="250"/>
      <c r="VNQ175" s="250"/>
      <c r="VNR175" s="250"/>
      <c r="VNS175" s="250"/>
      <c r="VNT175" s="250"/>
      <c r="VNU175" s="250"/>
      <c r="VNV175" s="250"/>
      <c r="VNW175" s="250"/>
      <c r="VNX175" s="250"/>
      <c r="VNY175" s="250"/>
      <c r="VNZ175" s="250"/>
      <c r="VOA175" s="250"/>
      <c r="VOB175" s="250"/>
      <c r="VOC175" s="250"/>
      <c r="VOD175" s="250"/>
      <c r="VOE175" s="250"/>
      <c r="VOF175" s="250"/>
      <c r="VOG175" s="250"/>
      <c r="VOH175" s="250"/>
      <c r="VOI175" s="250"/>
      <c r="VOJ175" s="250"/>
      <c r="VOK175" s="250"/>
      <c r="VOL175" s="250"/>
      <c r="VOM175" s="250"/>
      <c r="VON175" s="250"/>
      <c r="VOO175" s="250"/>
      <c r="VOP175" s="250"/>
      <c r="VOQ175" s="250"/>
      <c r="VOR175" s="250"/>
      <c r="VOS175" s="250"/>
      <c r="VOT175" s="250"/>
      <c r="VOU175" s="250"/>
      <c r="VOV175" s="250"/>
      <c r="VOW175" s="250"/>
      <c r="VOX175" s="250"/>
      <c r="VOY175" s="250"/>
      <c r="VOZ175" s="250"/>
      <c r="VPA175" s="250"/>
      <c r="VPB175" s="250"/>
      <c r="VPC175" s="250"/>
      <c r="VPD175" s="250"/>
      <c r="VPE175" s="250"/>
      <c r="VPF175" s="250"/>
      <c r="VPG175" s="250"/>
      <c r="VPH175" s="250"/>
      <c r="VPI175" s="250"/>
      <c r="VPJ175" s="250"/>
      <c r="VPK175" s="250"/>
      <c r="VPL175" s="250"/>
      <c r="VPM175" s="250"/>
      <c r="VPN175" s="250"/>
      <c r="VPO175" s="250"/>
      <c r="VPP175" s="250"/>
      <c r="VPQ175" s="250"/>
      <c r="VPR175" s="250"/>
      <c r="VPS175" s="250"/>
      <c r="VPT175" s="250"/>
      <c r="VPU175" s="250"/>
      <c r="VPV175" s="250"/>
      <c r="VPW175" s="250"/>
      <c r="VPX175" s="250"/>
      <c r="VPY175" s="250"/>
      <c r="VPZ175" s="250"/>
      <c r="VQA175" s="250"/>
      <c r="VQB175" s="250"/>
      <c r="VQC175" s="250"/>
      <c r="VQD175" s="250"/>
      <c r="VQE175" s="250"/>
      <c r="VQF175" s="250"/>
      <c r="VQG175" s="250"/>
      <c r="VQH175" s="250"/>
      <c r="VQI175" s="250"/>
      <c r="VQJ175" s="250"/>
      <c r="VQK175" s="250"/>
      <c r="VQL175" s="250"/>
      <c r="VQM175" s="250"/>
      <c r="VQN175" s="250"/>
      <c r="VQO175" s="250"/>
      <c r="VQP175" s="250"/>
      <c r="VQQ175" s="250"/>
      <c r="VQR175" s="250"/>
      <c r="VQS175" s="250"/>
      <c r="VQT175" s="250"/>
      <c r="VQU175" s="250"/>
      <c r="VQV175" s="250"/>
      <c r="VQW175" s="250"/>
      <c r="VQX175" s="250"/>
      <c r="VQY175" s="250"/>
      <c r="VQZ175" s="250"/>
      <c r="VRA175" s="250"/>
      <c r="VRB175" s="250"/>
      <c r="VRC175" s="250"/>
      <c r="VRD175" s="250"/>
      <c r="VRE175" s="250"/>
      <c r="VRF175" s="250"/>
      <c r="VRG175" s="250"/>
      <c r="VRH175" s="250"/>
      <c r="VRI175" s="250"/>
      <c r="VRJ175" s="250"/>
      <c r="VRK175" s="250"/>
      <c r="VRL175" s="250"/>
      <c r="VRM175" s="250"/>
      <c r="VRN175" s="250"/>
      <c r="VRO175" s="250"/>
      <c r="VRP175" s="250"/>
      <c r="VRQ175" s="250"/>
      <c r="VRR175" s="250"/>
      <c r="VRS175" s="250"/>
      <c r="VRT175" s="250"/>
      <c r="VRU175" s="250"/>
      <c r="VRV175" s="250"/>
      <c r="VRW175" s="250"/>
      <c r="VRX175" s="250"/>
      <c r="VRY175" s="250"/>
      <c r="VRZ175" s="250"/>
      <c r="VSA175" s="250"/>
      <c r="VSB175" s="250"/>
      <c r="VSC175" s="250"/>
      <c r="VSD175" s="250"/>
      <c r="VSE175" s="250"/>
      <c r="VSF175" s="250"/>
      <c r="VSG175" s="250"/>
      <c r="VSH175" s="250"/>
      <c r="VSI175" s="250"/>
      <c r="VSJ175" s="250"/>
      <c r="VSK175" s="250"/>
      <c r="VSL175" s="250"/>
      <c r="VSM175" s="250"/>
      <c r="VSN175" s="250"/>
      <c r="VSO175" s="250"/>
      <c r="VSP175" s="250"/>
      <c r="VSQ175" s="250"/>
      <c r="VSR175" s="250"/>
      <c r="VSS175" s="250"/>
      <c r="VST175" s="250"/>
      <c r="VSU175" s="250"/>
      <c r="VSV175" s="250"/>
      <c r="VSW175" s="250"/>
      <c r="VSX175" s="250"/>
      <c r="VSY175" s="250"/>
      <c r="VSZ175" s="250"/>
      <c r="VTA175" s="250"/>
      <c r="VTB175" s="250"/>
      <c r="VTC175" s="250"/>
      <c r="VTD175" s="250"/>
      <c r="VTE175" s="250"/>
      <c r="VTF175" s="250"/>
      <c r="VTG175" s="250"/>
      <c r="VTH175" s="250"/>
      <c r="VTI175" s="250"/>
      <c r="VTJ175" s="250"/>
      <c r="VTK175" s="250"/>
      <c r="VTL175" s="250"/>
      <c r="VTM175" s="250"/>
      <c r="VTN175" s="250"/>
      <c r="VTO175" s="250"/>
      <c r="VTP175" s="250"/>
      <c r="VTQ175" s="250"/>
      <c r="VTR175" s="250"/>
      <c r="VTS175" s="250"/>
      <c r="VTT175" s="250"/>
      <c r="VTU175" s="250"/>
      <c r="VTV175" s="250"/>
      <c r="VTW175" s="250"/>
      <c r="VTX175" s="250"/>
      <c r="VTY175" s="250"/>
      <c r="VTZ175" s="250"/>
      <c r="VUA175" s="250"/>
      <c r="VUB175" s="250"/>
      <c r="VUC175" s="250"/>
      <c r="VUD175" s="250"/>
      <c r="VUE175" s="250"/>
      <c r="VUF175" s="250"/>
      <c r="VUG175" s="250"/>
      <c r="VUH175" s="250"/>
      <c r="VUI175" s="250"/>
      <c r="VUJ175" s="250"/>
      <c r="VUK175" s="250"/>
      <c r="VUL175" s="250"/>
      <c r="VUM175" s="250"/>
      <c r="VUN175" s="250"/>
      <c r="VUO175" s="250"/>
      <c r="VUP175" s="250"/>
      <c r="VUQ175" s="250"/>
      <c r="VUR175" s="250"/>
      <c r="VUS175" s="250"/>
      <c r="VUT175" s="250"/>
      <c r="VUU175" s="250"/>
      <c r="VUV175" s="250"/>
      <c r="VUW175" s="250"/>
      <c r="VUX175" s="250"/>
      <c r="VUY175" s="250"/>
      <c r="VUZ175" s="250"/>
      <c r="VVA175" s="250"/>
      <c r="VVB175" s="250"/>
      <c r="VVC175" s="250"/>
      <c r="VVD175" s="250"/>
      <c r="VVE175" s="250"/>
      <c r="VVF175" s="250"/>
      <c r="VVG175" s="250"/>
      <c r="VVH175" s="250"/>
      <c r="VVI175" s="250"/>
      <c r="VVJ175" s="250"/>
      <c r="VVK175" s="250"/>
      <c r="VVL175" s="250"/>
      <c r="VVM175" s="250"/>
      <c r="VVN175" s="250"/>
      <c r="VVO175" s="250"/>
      <c r="VVP175" s="250"/>
      <c r="VVQ175" s="250"/>
      <c r="VVR175" s="250"/>
      <c r="VVS175" s="250"/>
      <c r="VVT175" s="250"/>
      <c r="VVU175" s="250"/>
      <c r="VVV175" s="250"/>
      <c r="VVW175" s="250"/>
      <c r="VVX175" s="250"/>
      <c r="VVY175" s="250"/>
      <c r="VVZ175" s="250"/>
      <c r="VWA175" s="250"/>
      <c r="VWB175" s="250"/>
      <c r="VWC175" s="250"/>
      <c r="VWD175" s="250"/>
      <c r="VWE175" s="250"/>
      <c r="VWF175" s="250"/>
      <c r="VWG175" s="250"/>
      <c r="VWH175" s="250"/>
      <c r="VWI175" s="250"/>
      <c r="VWJ175" s="250"/>
      <c r="VWK175" s="250"/>
      <c r="VWL175" s="250"/>
      <c r="VWM175" s="250"/>
      <c r="VWN175" s="250"/>
      <c r="VWO175" s="250"/>
      <c r="VWP175" s="250"/>
      <c r="VWQ175" s="250"/>
      <c r="VWR175" s="250"/>
      <c r="VWS175" s="250"/>
      <c r="VWT175" s="250"/>
      <c r="VWU175" s="250"/>
      <c r="VWV175" s="250"/>
      <c r="VWW175" s="250"/>
      <c r="VWX175" s="250"/>
      <c r="VWY175" s="250"/>
      <c r="VWZ175" s="250"/>
      <c r="VXA175" s="250"/>
      <c r="VXB175" s="250"/>
      <c r="VXC175" s="250"/>
      <c r="VXD175" s="250"/>
      <c r="VXE175" s="250"/>
      <c r="VXF175" s="250"/>
      <c r="VXG175" s="250"/>
      <c r="VXH175" s="250"/>
      <c r="VXI175" s="250"/>
      <c r="VXJ175" s="250"/>
      <c r="VXK175" s="250"/>
      <c r="VXL175" s="250"/>
      <c r="VXM175" s="250"/>
      <c r="VXN175" s="250"/>
      <c r="VXO175" s="250"/>
      <c r="VXP175" s="250"/>
      <c r="VXQ175" s="250"/>
      <c r="VXR175" s="250"/>
      <c r="VXS175" s="250"/>
      <c r="VXT175" s="250"/>
      <c r="VXU175" s="250"/>
      <c r="VXV175" s="250"/>
      <c r="VXW175" s="250"/>
      <c r="VXX175" s="250"/>
      <c r="VXY175" s="250"/>
      <c r="VXZ175" s="250"/>
      <c r="VYA175" s="250"/>
      <c r="VYB175" s="250"/>
      <c r="VYC175" s="250"/>
      <c r="VYD175" s="250"/>
      <c r="VYE175" s="250"/>
      <c r="VYF175" s="250"/>
      <c r="VYG175" s="250"/>
      <c r="VYH175" s="250"/>
      <c r="VYI175" s="250"/>
      <c r="VYJ175" s="250"/>
      <c r="VYK175" s="250"/>
      <c r="VYL175" s="250"/>
      <c r="VYM175" s="250"/>
      <c r="VYN175" s="250"/>
      <c r="VYO175" s="250"/>
      <c r="VYP175" s="250"/>
      <c r="VYQ175" s="250"/>
      <c r="VYR175" s="250"/>
      <c r="VYS175" s="250"/>
      <c r="VYT175" s="250"/>
      <c r="VYU175" s="250"/>
      <c r="VYV175" s="250"/>
      <c r="VYW175" s="250"/>
      <c r="VYX175" s="250"/>
      <c r="VYY175" s="250"/>
      <c r="VYZ175" s="250"/>
      <c r="VZA175" s="250"/>
      <c r="VZB175" s="250"/>
      <c r="VZC175" s="250"/>
      <c r="VZD175" s="250"/>
      <c r="VZE175" s="250"/>
      <c r="VZF175" s="250"/>
      <c r="VZG175" s="250"/>
      <c r="VZH175" s="250"/>
      <c r="VZI175" s="250"/>
      <c r="VZJ175" s="250"/>
      <c r="VZK175" s="250"/>
      <c r="VZL175" s="250"/>
      <c r="VZM175" s="250"/>
      <c r="VZN175" s="250"/>
      <c r="VZO175" s="250"/>
      <c r="VZP175" s="250"/>
      <c r="VZQ175" s="250"/>
      <c r="VZR175" s="250"/>
      <c r="VZS175" s="250"/>
      <c r="VZT175" s="250"/>
      <c r="VZU175" s="250"/>
      <c r="VZV175" s="250"/>
      <c r="VZW175" s="250"/>
      <c r="VZX175" s="250"/>
      <c r="VZY175" s="250"/>
      <c r="VZZ175" s="250"/>
      <c r="WAA175" s="250"/>
      <c r="WAB175" s="250"/>
      <c r="WAC175" s="250"/>
      <c r="WAD175" s="250"/>
      <c r="WAE175" s="250"/>
      <c r="WAF175" s="250"/>
      <c r="WAG175" s="250"/>
      <c r="WAH175" s="250"/>
      <c r="WAI175" s="250"/>
      <c r="WAJ175" s="250"/>
      <c r="WAK175" s="250"/>
      <c r="WAL175" s="250"/>
      <c r="WAM175" s="250"/>
      <c r="WAN175" s="250"/>
      <c r="WAO175" s="250"/>
      <c r="WAP175" s="250"/>
      <c r="WAQ175" s="250"/>
      <c r="WAR175" s="250"/>
      <c r="WAS175" s="250"/>
      <c r="WAT175" s="250"/>
      <c r="WAU175" s="250"/>
      <c r="WAV175" s="250"/>
      <c r="WAW175" s="250"/>
      <c r="WAX175" s="250"/>
      <c r="WAY175" s="250"/>
      <c r="WAZ175" s="250"/>
      <c r="WBA175" s="250"/>
      <c r="WBB175" s="250"/>
      <c r="WBC175" s="250"/>
      <c r="WBD175" s="250"/>
      <c r="WBE175" s="250"/>
      <c r="WBF175" s="250"/>
      <c r="WBG175" s="250"/>
      <c r="WBH175" s="250"/>
      <c r="WBI175" s="250"/>
      <c r="WBJ175" s="250"/>
      <c r="WBK175" s="250"/>
      <c r="WBL175" s="250"/>
      <c r="WBM175" s="250"/>
      <c r="WBN175" s="250"/>
      <c r="WBO175" s="250"/>
      <c r="WBP175" s="250"/>
      <c r="WBQ175" s="250"/>
      <c r="WBR175" s="250"/>
      <c r="WBS175" s="250"/>
      <c r="WBT175" s="250"/>
      <c r="WBU175" s="250"/>
      <c r="WBV175" s="250"/>
      <c r="WBW175" s="250"/>
      <c r="WBX175" s="250"/>
      <c r="WBY175" s="250"/>
      <c r="WBZ175" s="250"/>
      <c r="WCA175" s="250"/>
      <c r="WCB175" s="250"/>
      <c r="WCC175" s="250"/>
      <c r="WCD175" s="250"/>
      <c r="WCE175" s="250"/>
      <c r="WCF175" s="250"/>
      <c r="WCG175" s="250"/>
      <c r="WCH175" s="250"/>
      <c r="WCI175" s="250"/>
      <c r="WCJ175" s="250"/>
      <c r="WCK175" s="250"/>
      <c r="WCL175" s="250"/>
      <c r="WCM175" s="250"/>
      <c r="WCN175" s="250"/>
      <c r="WCO175" s="250"/>
      <c r="WCP175" s="250"/>
      <c r="WCQ175" s="250"/>
      <c r="WCR175" s="250"/>
      <c r="WCS175" s="250"/>
      <c r="WCT175" s="250"/>
      <c r="WCU175" s="250"/>
      <c r="WCV175" s="250"/>
      <c r="WCW175" s="250"/>
      <c r="WCX175" s="250"/>
      <c r="WCY175" s="250"/>
      <c r="WCZ175" s="250"/>
      <c r="WDA175" s="250"/>
      <c r="WDB175" s="250"/>
      <c r="WDC175" s="250"/>
      <c r="WDD175" s="250"/>
      <c r="WDE175" s="250"/>
      <c r="WDF175" s="250"/>
      <c r="WDG175" s="250"/>
      <c r="WDH175" s="250"/>
      <c r="WDI175" s="250"/>
      <c r="WDJ175" s="250"/>
      <c r="WDK175" s="250"/>
      <c r="WDL175" s="250"/>
      <c r="WDM175" s="250"/>
      <c r="WDN175" s="250"/>
      <c r="WDO175" s="250"/>
      <c r="WDP175" s="250"/>
      <c r="WDQ175" s="250"/>
      <c r="WDR175" s="250"/>
      <c r="WDS175" s="250"/>
      <c r="WDT175" s="250"/>
      <c r="WDU175" s="250"/>
      <c r="WDV175" s="250"/>
      <c r="WDW175" s="250"/>
      <c r="WDX175" s="250"/>
      <c r="WDY175" s="250"/>
      <c r="WDZ175" s="250"/>
      <c r="WEA175" s="250"/>
      <c r="WEB175" s="250"/>
      <c r="WEC175" s="250"/>
      <c r="WED175" s="250"/>
      <c r="WEE175" s="250"/>
      <c r="WEF175" s="250"/>
      <c r="WEG175" s="250"/>
      <c r="WEH175" s="250"/>
      <c r="WEI175" s="250"/>
      <c r="WEJ175" s="250"/>
      <c r="WEK175" s="250"/>
      <c r="WEL175" s="250"/>
      <c r="WEM175" s="250"/>
      <c r="WEN175" s="250"/>
      <c r="WEO175" s="250"/>
      <c r="WEP175" s="250"/>
      <c r="WEQ175" s="250"/>
      <c r="WER175" s="250"/>
      <c r="WES175" s="250"/>
      <c r="WET175" s="250"/>
      <c r="WEU175" s="250"/>
      <c r="WEV175" s="250"/>
      <c r="WEW175" s="250"/>
      <c r="WEX175" s="250"/>
      <c r="WEY175" s="250"/>
      <c r="WEZ175" s="250"/>
      <c r="WFA175" s="250"/>
      <c r="WFB175" s="250"/>
      <c r="WFC175" s="250"/>
      <c r="WFD175" s="250"/>
      <c r="WFE175" s="250"/>
      <c r="WFF175" s="250"/>
      <c r="WFG175" s="250"/>
      <c r="WFH175" s="250"/>
      <c r="WFI175" s="250"/>
      <c r="WFJ175" s="250"/>
      <c r="WFK175" s="250"/>
      <c r="WFL175" s="250"/>
      <c r="WFM175" s="250"/>
      <c r="WFN175" s="250"/>
      <c r="WFO175" s="250"/>
      <c r="WFP175" s="250"/>
      <c r="WFQ175" s="250"/>
      <c r="WFR175" s="250"/>
      <c r="WFS175" s="250"/>
      <c r="WFT175" s="250"/>
      <c r="WFU175" s="250"/>
      <c r="WFV175" s="250"/>
      <c r="WFW175" s="250"/>
      <c r="WFX175" s="250"/>
      <c r="WFY175" s="250"/>
      <c r="WFZ175" s="250"/>
      <c r="WGA175" s="250"/>
      <c r="WGB175" s="250"/>
      <c r="WGC175" s="250"/>
      <c r="WGD175" s="250"/>
      <c r="WGE175" s="250"/>
      <c r="WGF175" s="250"/>
      <c r="WGG175" s="250"/>
      <c r="WGH175" s="250"/>
      <c r="WGI175" s="250"/>
      <c r="WGJ175" s="250"/>
      <c r="WGK175" s="250"/>
      <c r="WGL175" s="250"/>
      <c r="WGM175" s="250"/>
      <c r="WGN175" s="250"/>
      <c r="WGO175" s="250"/>
      <c r="WGP175" s="250"/>
      <c r="WGQ175" s="250"/>
      <c r="WGR175" s="250"/>
      <c r="WGS175" s="250"/>
      <c r="WGT175" s="250"/>
      <c r="WGU175" s="250"/>
      <c r="WGV175" s="250"/>
      <c r="WGW175" s="250"/>
      <c r="WGX175" s="250"/>
      <c r="WGY175" s="250"/>
      <c r="WGZ175" s="250"/>
      <c r="WHA175" s="250"/>
      <c r="WHB175" s="250"/>
      <c r="WHC175" s="250"/>
      <c r="WHD175" s="250"/>
      <c r="WHE175" s="250"/>
      <c r="WHF175" s="250"/>
      <c r="WHG175" s="250"/>
      <c r="WHH175" s="250"/>
      <c r="WHI175" s="250"/>
      <c r="WHJ175" s="250"/>
      <c r="WHK175" s="250"/>
      <c r="WHL175" s="250"/>
      <c r="WHM175" s="250"/>
      <c r="WHN175" s="250"/>
      <c r="WHO175" s="250"/>
      <c r="WHP175" s="250"/>
      <c r="WHQ175" s="250"/>
      <c r="WHR175" s="250"/>
      <c r="WHS175" s="250"/>
      <c r="WHT175" s="250"/>
      <c r="WHU175" s="250"/>
      <c r="WHV175" s="250"/>
      <c r="WHW175" s="250"/>
      <c r="WHX175" s="250"/>
      <c r="WHY175" s="250"/>
      <c r="WHZ175" s="250"/>
      <c r="WIA175" s="250"/>
      <c r="WIB175" s="250"/>
      <c r="WIC175" s="250"/>
      <c r="WID175" s="250"/>
      <c r="WIE175" s="250"/>
      <c r="WIF175" s="250"/>
      <c r="WIG175" s="250"/>
      <c r="WIH175" s="250"/>
      <c r="WII175" s="250"/>
      <c r="WIJ175" s="250"/>
      <c r="WIK175" s="250"/>
      <c r="WIL175" s="250"/>
      <c r="WIM175" s="250"/>
      <c r="WIN175" s="250"/>
      <c r="WIO175" s="250"/>
      <c r="WIP175" s="250"/>
      <c r="WIQ175" s="250"/>
      <c r="WIR175" s="250"/>
      <c r="WIS175" s="250"/>
      <c r="WIT175" s="250"/>
      <c r="WIU175" s="250"/>
      <c r="WIV175" s="250"/>
      <c r="WIW175" s="250"/>
      <c r="WIX175" s="250"/>
      <c r="WIY175" s="250"/>
      <c r="WIZ175" s="250"/>
      <c r="WJA175" s="250"/>
      <c r="WJB175" s="250"/>
      <c r="WJC175" s="250"/>
      <c r="WJD175" s="250"/>
      <c r="WJE175" s="250"/>
      <c r="WJF175" s="250"/>
      <c r="WJG175" s="250"/>
      <c r="WJH175" s="250"/>
      <c r="WJI175" s="250"/>
      <c r="WJJ175" s="250"/>
      <c r="WJK175" s="250"/>
      <c r="WJL175" s="250"/>
      <c r="WJM175" s="250"/>
      <c r="WJN175" s="250"/>
      <c r="WJO175" s="250"/>
      <c r="WJP175" s="250"/>
      <c r="WJQ175" s="250"/>
      <c r="WJR175" s="250"/>
      <c r="WJS175" s="250"/>
      <c r="WJT175" s="250"/>
      <c r="WJU175" s="250"/>
      <c r="WJV175" s="250"/>
      <c r="WJW175" s="250"/>
      <c r="WJX175" s="250"/>
      <c r="WJY175" s="250"/>
      <c r="WJZ175" s="250"/>
      <c r="WKA175" s="250"/>
      <c r="WKB175" s="250"/>
      <c r="WKC175" s="250"/>
      <c r="WKD175" s="250"/>
      <c r="WKE175" s="250"/>
      <c r="WKF175" s="250"/>
      <c r="WKG175" s="250"/>
      <c r="WKH175" s="250"/>
      <c r="WKI175" s="250"/>
      <c r="WKJ175" s="250"/>
      <c r="WKK175" s="250"/>
      <c r="WKL175" s="250"/>
      <c r="WKM175" s="250"/>
      <c r="WKN175" s="250"/>
      <c r="WKO175" s="250"/>
      <c r="WKP175" s="250"/>
      <c r="WKQ175" s="250"/>
      <c r="WKR175" s="250"/>
      <c r="WKS175" s="250"/>
      <c r="WKT175" s="250"/>
      <c r="WKU175" s="250"/>
      <c r="WKV175" s="250"/>
      <c r="WKW175" s="250"/>
      <c r="WKX175" s="250"/>
      <c r="WKY175" s="250"/>
      <c r="WKZ175" s="250"/>
      <c r="WLA175" s="250"/>
      <c r="WLB175" s="250"/>
      <c r="WLC175" s="250"/>
      <c r="WLD175" s="250"/>
      <c r="WLE175" s="250"/>
      <c r="WLF175" s="250"/>
      <c r="WLG175" s="250"/>
      <c r="WLH175" s="250"/>
      <c r="WLI175" s="250"/>
      <c r="WLJ175" s="250"/>
      <c r="WLK175" s="250"/>
      <c r="WLL175" s="250"/>
      <c r="WLM175" s="250"/>
      <c r="WLN175" s="250"/>
      <c r="WLO175" s="250"/>
      <c r="WLP175" s="250"/>
      <c r="WLQ175" s="250"/>
      <c r="WLR175" s="250"/>
      <c r="WLS175" s="250"/>
      <c r="WLT175" s="250"/>
      <c r="WLU175" s="250"/>
      <c r="WLV175" s="250"/>
      <c r="WLW175" s="250"/>
      <c r="WLX175" s="250"/>
      <c r="WLY175" s="250"/>
      <c r="WLZ175" s="250"/>
      <c r="WMA175" s="250"/>
      <c r="WMB175" s="250"/>
      <c r="WMC175" s="250"/>
      <c r="WMD175" s="250"/>
      <c r="WME175" s="250"/>
      <c r="WMF175" s="250"/>
      <c r="WMG175" s="250"/>
      <c r="WMH175" s="250"/>
      <c r="WMI175" s="250"/>
      <c r="WMJ175" s="250"/>
      <c r="WMK175" s="250"/>
      <c r="WML175" s="250"/>
      <c r="WMM175" s="250"/>
      <c r="WMN175" s="250"/>
      <c r="WMO175" s="250"/>
      <c r="WMP175" s="250"/>
      <c r="WMQ175" s="250"/>
      <c r="WMR175" s="250"/>
      <c r="WMS175" s="250"/>
      <c r="WMT175" s="250"/>
      <c r="WMU175" s="250"/>
      <c r="WMV175" s="250"/>
      <c r="WMW175" s="250"/>
      <c r="WMX175" s="250"/>
      <c r="WMY175" s="250"/>
      <c r="WMZ175" s="250"/>
      <c r="WNA175" s="250"/>
      <c r="WNB175" s="250"/>
      <c r="WNC175" s="250"/>
      <c r="WND175" s="250"/>
      <c r="WNE175" s="250"/>
      <c r="WNF175" s="250"/>
      <c r="WNG175" s="250"/>
      <c r="WNH175" s="250"/>
      <c r="WNI175" s="250"/>
      <c r="WNJ175" s="250"/>
      <c r="WNK175" s="250"/>
      <c r="WNL175" s="250"/>
      <c r="WNM175" s="250"/>
      <c r="WNN175" s="250"/>
      <c r="WNO175" s="250"/>
      <c r="WNP175" s="250"/>
      <c r="WNQ175" s="250"/>
      <c r="WNR175" s="250"/>
      <c r="WNS175" s="250"/>
      <c r="WNT175" s="250"/>
      <c r="WNU175" s="250"/>
      <c r="WNV175" s="250"/>
      <c r="WNW175" s="250"/>
      <c r="WNX175" s="250"/>
      <c r="WNY175" s="250"/>
      <c r="WNZ175" s="250"/>
      <c r="WOA175" s="250"/>
      <c r="WOB175" s="250"/>
      <c r="WOC175" s="250"/>
      <c r="WOD175" s="250"/>
      <c r="WOE175" s="250"/>
      <c r="WOF175" s="250"/>
      <c r="WOG175" s="250"/>
      <c r="WOH175" s="250"/>
      <c r="WOI175" s="250"/>
      <c r="WOJ175" s="250"/>
      <c r="WOK175" s="250"/>
      <c r="WOL175" s="250"/>
      <c r="WOM175" s="250"/>
      <c r="WON175" s="250"/>
      <c r="WOO175" s="250"/>
      <c r="WOP175" s="250"/>
      <c r="WOQ175" s="250"/>
      <c r="WOR175" s="250"/>
      <c r="WOS175" s="250"/>
      <c r="WOT175" s="250"/>
      <c r="WOU175" s="250"/>
      <c r="WOV175" s="250"/>
      <c r="WOW175" s="250"/>
      <c r="WOX175" s="250"/>
      <c r="WOY175" s="250"/>
      <c r="WOZ175" s="250"/>
      <c r="WPA175" s="250"/>
      <c r="WPB175" s="250"/>
      <c r="WPC175" s="250"/>
      <c r="WPD175" s="250"/>
      <c r="WPE175" s="250"/>
      <c r="WPF175" s="250"/>
      <c r="WPG175" s="250"/>
      <c r="WPH175" s="250"/>
      <c r="WPI175" s="250"/>
      <c r="WPJ175" s="250"/>
      <c r="WPK175" s="250"/>
      <c r="WPL175" s="250"/>
      <c r="WPM175" s="250"/>
      <c r="WPN175" s="250"/>
      <c r="WPO175" s="250"/>
      <c r="WPP175" s="250"/>
      <c r="WPQ175" s="250"/>
      <c r="WPR175" s="250"/>
      <c r="WPS175" s="250"/>
      <c r="WPT175" s="250"/>
      <c r="WPU175" s="250"/>
      <c r="WPV175" s="250"/>
      <c r="WPW175" s="250"/>
      <c r="WPX175" s="250"/>
      <c r="WPY175" s="250"/>
      <c r="WPZ175" s="250"/>
      <c r="WQA175" s="250"/>
      <c r="WQB175" s="250"/>
      <c r="WQC175" s="250"/>
      <c r="WQD175" s="250"/>
      <c r="WQE175" s="250"/>
      <c r="WQF175" s="250"/>
      <c r="WQG175" s="250"/>
      <c r="WQH175" s="250"/>
      <c r="WQI175" s="250"/>
      <c r="WQJ175" s="250"/>
      <c r="WQK175" s="250"/>
      <c r="WQL175" s="250"/>
      <c r="WQM175" s="250"/>
      <c r="WQN175" s="250"/>
      <c r="WQO175" s="250"/>
      <c r="WQP175" s="250"/>
      <c r="WQQ175" s="250"/>
      <c r="WQR175" s="250"/>
      <c r="WQS175" s="250"/>
      <c r="WQT175" s="250"/>
      <c r="WQU175" s="250"/>
      <c r="WQV175" s="250"/>
      <c r="WQW175" s="250"/>
      <c r="WQX175" s="250"/>
      <c r="WQY175" s="250"/>
      <c r="WQZ175" s="250"/>
      <c r="WRA175" s="250"/>
      <c r="WRB175" s="250"/>
      <c r="WRC175" s="250"/>
      <c r="WRD175" s="250"/>
      <c r="WRE175" s="250"/>
      <c r="WRF175" s="250"/>
      <c r="WRG175" s="250"/>
      <c r="WRH175" s="250"/>
      <c r="WRI175" s="250"/>
      <c r="WRJ175" s="250"/>
      <c r="WRK175" s="250"/>
      <c r="WRL175" s="250"/>
      <c r="WRM175" s="250"/>
      <c r="WRN175" s="250"/>
      <c r="WRO175" s="250"/>
      <c r="WRP175" s="250"/>
      <c r="WRQ175" s="250"/>
      <c r="WRR175" s="250"/>
      <c r="WRS175" s="250"/>
      <c r="WRT175" s="250"/>
      <c r="WRU175" s="250"/>
      <c r="WRV175" s="250"/>
      <c r="WRW175" s="250"/>
      <c r="WRX175" s="250"/>
      <c r="WRY175" s="250"/>
      <c r="WRZ175" s="250"/>
      <c r="WSA175" s="250"/>
      <c r="WSB175" s="250"/>
      <c r="WSC175" s="250"/>
      <c r="WSD175" s="250"/>
      <c r="WSE175" s="250"/>
      <c r="WSF175" s="250"/>
      <c r="WSG175" s="250"/>
      <c r="WSH175" s="250"/>
      <c r="WSI175" s="250"/>
      <c r="WSJ175" s="250"/>
      <c r="WSK175" s="250"/>
      <c r="WSL175" s="250"/>
      <c r="WSM175" s="250"/>
      <c r="WSN175" s="250"/>
      <c r="WSO175" s="250"/>
      <c r="WSP175" s="250"/>
      <c r="WSQ175" s="250"/>
      <c r="WSR175" s="250"/>
      <c r="WSS175" s="250"/>
      <c r="WST175" s="250"/>
      <c r="WSU175" s="250"/>
      <c r="WSV175" s="250"/>
      <c r="WSW175" s="250"/>
      <c r="WSX175" s="250"/>
      <c r="WSY175" s="250"/>
      <c r="WSZ175" s="250"/>
      <c r="WTA175" s="250"/>
      <c r="WTB175" s="250"/>
      <c r="WTC175" s="250"/>
      <c r="WTD175" s="250"/>
      <c r="WTE175" s="250"/>
      <c r="WTF175" s="250"/>
      <c r="WTG175" s="250"/>
      <c r="WTH175" s="250"/>
      <c r="WTI175" s="250"/>
      <c r="WTJ175" s="250"/>
      <c r="WTK175" s="250"/>
      <c r="WTL175" s="250"/>
      <c r="WTM175" s="250"/>
      <c r="WTN175" s="250"/>
      <c r="WTO175" s="250"/>
      <c r="WTP175" s="250"/>
      <c r="WTQ175" s="250"/>
      <c r="WTR175" s="250"/>
      <c r="WTS175" s="250"/>
      <c r="WTT175" s="250"/>
      <c r="WTU175" s="250"/>
      <c r="WTV175" s="250"/>
      <c r="WTW175" s="250"/>
      <c r="WTX175" s="250"/>
      <c r="WTY175" s="250"/>
      <c r="WTZ175" s="250"/>
      <c r="WUA175" s="250"/>
      <c r="WUB175" s="250"/>
      <c r="WUC175" s="250"/>
      <c r="WUD175" s="250"/>
      <c r="WUE175" s="250"/>
      <c r="WUF175" s="250"/>
      <c r="WUG175" s="250"/>
      <c r="WUH175" s="250"/>
      <c r="WUI175" s="250"/>
      <c r="WUJ175" s="250"/>
      <c r="WUK175" s="250"/>
      <c r="WUL175" s="250"/>
      <c r="WUM175" s="250"/>
      <c r="WUN175" s="250"/>
      <c r="WUO175" s="250"/>
      <c r="WUP175" s="250"/>
      <c r="WUQ175" s="250"/>
      <c r="WUR175" s="250"/>
      <c r="WUS175" s="250"/>
      <c r="WUT175" s="250"/>
      <c r="WUU175" s="250"/>
      <c r="WUV175" s="250"/>
      <c r="WUW175" s="250"/>
      <c r="WUX175" s="250"/>
      <c r="WUY175" s="250"/>
      <c r="WUZ175" s="250"/>
      <c r="WVA175" s="250"/>
      <c r="WVB175" s="250"/>
      <c r="WVC175" s="250"/>
      <c r="WVD175" s="250"/>
      <c r="WVE175" s="250"/>
      <c r="WVF175" s="250"/>
      <c r="WVG175" s="250"/>
      <c r="WVH175" s="250"/>
      <c r="WVI175" s="250"/>
      <c r="WVJ175" s="250"/>
      <c r="WVK175" s="250"/>
      <c r="WVL175" s="250"/>
      <c r="WVM175" s="250"/>
      <c r="WVN175" s="250"/>
      <c r="WVO175" s="250"/>
      <c r="WVP175" s="250"/>
      <c r="WVQ175" s="250"/>
      <c r="WVR175" s="250"/>
      <c r="WVS175" s="250"/>
      <c r="WVT175" s="250"/>
      <c r="WVU175" s="250"/>
      <c r="WVV175" s="250"/>
      <c r="WVW175" s="250"/>
      <c r="WVX175" s="250"/>
      <c r="WVY175" s="250"/>
      <c r="WVZ175" s="250"/>
      <c r="WWA175" s="250"/>
      <c r="WWB175" s="250"/>
      <c r="WWC175" s="250"/>
      <c r="WWD175" s="250"/>
      <c r="WWE175" s="250"/>
      <c r="WWF175" s="250"/>
      <c r="WWG175" s="250"/>
      <c r="WWH175" s="250"/>
      <c r="WWI175" s="250"/>
      <c r="WWJ175" s="250"/>
      <c r="WWK175" s="250"/>
      <c r="WWL175" s="250"/>
      <c r="WWM175" s="250"/>
      <c r="WWN175" s="250"/>
      <c r="WWO175" s="250"/>
      <c r="WWP175" s="250"/>
      <c r="WWQ175" s="250"/>
      <c r="WWR175" s="250"/>
      <c r="WWS175" s="250"/>
      <c r="WWT175" s="250"/>
      <c r="WWU175" s="250"/>
      <c r="WWV175" s="250"/>
      <c r="WWW175" s="250"/>
      <c r="WWX175" s="250"/>
      <c r="WWY175" s="250"/>
      <c r="WWZ175" s="250"/>
      <c r="WXA175" s="250"/>
      <c r="WXB175" s="250"/>
      <c r="WXC175" s="250"/>
      <c r="WXD175" s="250"/>
      <c r="WXE175" s="250"/>
      <c r="WXF175" s="250"/>
      <c r="WXG175" s="250"/>
      <c r="WXH175" s="250"/>
      <c r="WXI175" s="250"/>
      <c r="WXJ175" s="250"/>
      <c r="WXK175" s="250"/>
      <c r="WXL175" s="250"/>
      <c r="WXM175" s="250"/>
      <c r="WXN175" s="250"/>
      <c r="WXO175" s="250"/>
      <c r="WXP175" s="250"/>
      <c r="WXQ175" s="250"/>
      <c r="WXR175" s="250"/>
      <c r="WXS175" s="250"/>
      <c r="WXT175" s="250"/>
      <c r="WXU175" s="250"/>
      <c r="WXV175" s="250"/>
      <c r="WXW175" s="250"/>
      <c r="WXX175" s="250"/>
      <c r="WXY175" s="250"/>
      <c r="WXZ175" s="250"/>
      <c r="WYA175" s="250"/>
      <c r="WYB175" s="250"/>
      <c r="WYC175" s="250"/>
      <c r="WYD175" s="250"/>
      <c r="WYE175" s="250"/>
      <c r="WYF175" s="250"/>
      <c r="WYG175" s="250"/>
      <c r="WYH175" s="250"/>
      <c r="WYI175" s="250"/>
      <c r="WYJ175" s="250"/>
      <c r="WYK175" s="250"/>
      <c r="WYL175" s="250"/>
      <c r="WYM175" s="250"/>
      <c r="WYN175" s="250"/>
      <c r="WYO175" s="250"/>
      <c r="WYP175" s="250"/>
      <c r="WYQ175" s="250"/>
      <c r="WYR175" s="250"/>
      <c r="WYS175" s="250"/>
      <c r="WYT175" s="250"/>
      <c r="WYU175" s="250"/>
      <c r="WYV175" s="250"/>
      <c r="WYW175" s="250"/>
      <c r="WYX175" s="250"/>
      <c r="WYY175" s="250"/>
      <c r="WYZ175" s="250"/>
      <c r="WZA175" s="250"/>
      <c r="WZB175" s="250"/>
      <c r="WZC175" s="250"/>
      <c r="WZD175" s="250"/>
      <c r="WZE175" s="250"/>
      <c r="WZF175" s="250"/>
      <c r="WZG175" s="250"/>
      <c r="WZH175" s="250"/>
      <c r="WZI175" s="250"/>
      <c r="WZJ175" s="250"/>
      <c r="WZK175" s="250"/>
      <c r="WZL175" s="250"/>
      <c r="WZM175" s="250"/>
      <c r="WZN175" s="250"/>
      <c r="WZO175" s="250"/>
      <c r="WZP175" s="250"/>
      <c r="WZQ175" s="250"/>
      <c r="WZR175" s="250"/>
      <c r="WZS175" s="250"/>
      <c r="WZT175" s="250"/>
      <c r="WZU175" s="250"/>
      <c r="WZV175" s="250"/>
      <c r="WZW175" s="250"/>
      <c r="WZX175" s="250"/>
      <c r="WZY175" s="250"/>
      <c r="WZZ175" s="250"/>
      <c r="XAA175" s="250"/>
      <c r="XAB175" s="250"/>
      <c r="XAC175" s="250"/>
      <c r="XAD175" s="250"/>
      <c r="XAE175" s="250"/>
      <c r="XAF175" s="250"/>
      <c r="XAG175" s="250"/>
      <c r="XAH175" s="250"/>
      <c r="XAI175" s="250"/>
      <c r="XAJ175" s="250"/>
      <c r="XAK175" s="250"/>
      <c r="XAL175" s="250"/>
      <c r="XAM175" s="250"/>
      <c r="XAN175" s="250"/>
      <c r="XAO175" s="250"/>
      <c r="XAP175" s="250"/>
      <c r="XAQ175" s="250"/>
      <c r="XAR175" s="250"/>
      <c r="XAS175" s="250"/>
      <c r="XAT175" s="250"/>
      <c r="XAU175" s="250"/>
      <c r="XAV175" s="250"/>
      <c r="XAW175" s="250"/>
      <c r="XAX175" s="250"/>
      <c r="XAY175" s="250"/>
      <c r="XAZ175" s="250"/>
      <c r="XBA175" s="250"/>
      <c r="XBB175" s="250"/>
      <c r="XBC175" s="250"/>
      <c r="XBD175" s="250"/>
      <c r="XBE175" s="250"/>
      <c r="XBF175" s="250"/>
      <c r="XBG175" s="250"/>
      <c r="XBH175" s="250"/>
      <c r="XBI175" s="250"/>
      <c r="XBJ175" s="250"/>
      <c r="XBK175" s="250"/>
      <c r="XBL175" s="250"/>
      <c r="XBM175" s="250"/>
      <c r="XBN175" s="250"/>
      <c r="XBO175" s="250"/>
      <c r="XBP175" s="250"/>
      <c r="XBQ175" s="250"/>
      <c r="XBR175" s="250"/>
      <c r="XBS175" s="250"/>
      <c r="XBT175" s="250"/>
      <c r="XBU175" s="250"/>
      <c r="XBV175" s="250"/>
      <c r="XBW175" s="250"/>
      <c r="XBX175" s="250"/>
      <c r="XBY175" s="250"/>
      <c r="XBZ175" s="250"/>
      <c r="XCA175" s="250"/>
      <c r="XCB175" s="250"/>
      <c r="XCC175" s="250"/>
      <c r="XCD175" s="250"/>
      <c r="XCE175" s="250"/>
      <c r="XCF175" s="250"/>
      <c r="XCG175" s="250"/>
      <c r="XCH175" s="250"/>
      <c r="XCI175" s="250"/>
      <c r="XCJ175" s="250"/>
      <c r="XCK175" s="250"/>
      <c r="XCL175" s="250"/>
      <c r="XCM175" s="250"/>
      <c r="XCN175" s="250"/>
      <c r="XCO175" s="250"/>
      <c r="XCP175" s="250"/>
      <c r="XCQ175" s="250"/>
      <c r="XCR175" s="250"/>
      <c r="XCS175" s="250"/>
      <c r="XCT175" s="250"/>
      <c r="XCU175" s="250"/>
      <c r="XCV175" s="250"/>
      <c r="XCW175" s="250"/>
      <c r="XCX175" s="250"/>
      <c r="XCY175" s="250"/>
      <c r="XCZ175" s="250"/>
      <c r="XDA175" s="250"/>
      <c r="XDB175" s="250"/>
      <c r="XDC175" s="250"/>
      <c r="XDD175" s="250"/>
      <c r="XDE175" s="250"/>
      <c r="XDF175" s="250"/>
      <c r="XDG175" s="250"/>
      <c r="XDH175" s="250"/>
      <c r="XDI175" s="250"/>
      <c r="XDJ175" s="250"/>
      <c r="XDK175" s="250"/>
      <c r="XDL175" s="250"/>
      <c r="XDM175" s="250"/>
      <c r="XDN175" s="250"/>
      <c r="XDO175" s="250"/>
      <c r="XDP175" s="250"/>
      <c r="XDQ175" s="250"/>
      <c r="XDR175" s="250"/>
      <c r="XDS175" s="250"/>
      <c r="XDT175" s="250"/>
      <c r="XDU175" s="250"/>
      <c r="XDV175" s="250"/>
      <c r="XDW175" s="250"/>
      <c r="XDX175" s="250"/>
      <c r="XDY175" s="250"/>
      <c r="XDZ175" s="250"/>
      <c r="XEA175" s="250"/>
      <c r="XEB175" s="250"/>
      <c r="XEC175" s="250"/>
      <c r="XED175" s="250"/>
      <c r="XEE175" s="250"/>
      <c r="XEF175" s="250"/>
      <c r="XEG175" s="250"/>
      <c r="XEH175" s="250"/>
      <c r="XEI175" s="250"/>
      <c r="XEJ175" s="250"/>
      <c r="XEK175" s="250"/>
      <c r="XEL175" s="250"/>
      <c r="XEM175" s="250"/>
      <c r="XEN175" s="250"/>
      <c r="XEO175" s="250"/>
      <c r="XEP175" s="250"/>
      <c r="XEQ175" s="250"/>
      <c r="XER175" s="250"/>
      <c r="XES175" s="250"/>
      <c r="XET175" s="250"/>
      <c r="XEU175" s="250"/>
      <c r="XEV175" s="250"/>
      <c r="XEW175" s="250"/>
      <c r="XEX175" s="250"/>
      <c r="XEY175" s="250"/>
      <c r="XEZ175" s="250"/>
      <c r="XFA175" s="250"/>
      <c r="XFB175" s="250"/>
      <c r="XFC175" s="250"/>
    </row>
    <row r="176" spans="1:16383" ht="12" customHeight="1" x14ac:dyDescent="0.2">
      <c r="A176" s="229"/>
      <c r="B176" s="250" t="s">
        <v>234</v>
      </c>
      <c r="C176" s="303" t="s">
        <v>69</v>
      </c>
      <c r="D176" s="250"/>
      <c r="E176" s="250"/>
      <c r="F176" s="250"/>
      <c r="G176" s="250"/>
      <c r="H176" s="250"/>
      <c r="I176" s="250"/>
      <c r="J176" s="250"/>
      <c r="K176" s="250"/>
      <c r="L176" s="250"/>
      <c r="M176" s="317">
        <f>Escalators!N$137</f>
        <v>3.5000000000000003E-2</v>
      </c>
      <c r="N176" s="317">
        <f>Escalators!O$137</f>
        <v>3.5000000000000003E-2</v>
      </c>
      <c r="O176" s="317">
        <f>Escalators!P$137</f>
        <v>3.5000000000000003E-2</v>
      </c>
      <c r="P176" s="317">
        <f>Escalators!Q$137</f>
        <v>3.5000000000000003E-2</v>
      </c>
      <c r="Q176" s="317">
        <f>Escalators!R$137</f>
        <v>3.5000000000000003E-2</v>
      </c>
      <c r="R176" s="317">
        <f>Escalators!S$137</f>
        <v>3.5000000000000003E-2</v>
      </c>
      <c r="S176" s="317">
        <f>Escalators!T$137</f>
        <v>3.5000000000000003E-2</v>
      </c>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c r="DY176" s="250"/>
      <c r="DZ176" s="250"/>
      <c r="EA176" s="250"/>
      <c r="EB176" s="250"/>
      <c r="EC176" s="250"/>
      <c r="ED176" s="250"/>
      <c r="EE176" s="250"/>
      <c r="EF176" s="250"/>
      <c r="EG176" s="250"/>
      <c r="EH176" s="250"/>
      <c r="EI176" s="250"/>
      <c r="EJ176" s="250"/>
      <c r="EK176" s="250"/>
      <c r="EL176" s="250"/>
      <c r="EM176" s="250"/>
      <c r="EN176" s="250"/>
      <c r="EO176" s="250"/>
      <c r="EP176" s="250"/>
      <c r="EQ176" s="250"/>
      <c r="ER176" s="250"/>
      <c r="ES176" s="250"/>
      <c r="ET176" s="250"/>
      <c r="EU176" s="250"/>
      <c r="EV176" s="250"/>
      <c r="EW176" s="250"/>
      <c r="EX176" s="250"/>
      <c r="EY176" s="250"/>
      <c r="EZ176" s="250"/>
      <c r="FA176" s="250"/>
      <c r="FB176" s="250"/>
      <c r="FC176" s="250"/>
      <c r="FD176" s="250"/>
      <c r="FE176" s="250"/>
      <c r="FF176" s="250"/>
      <c r="FG176" s="250"/>
      <c r="FH176" s="250"/>
      <c r="FI176" s="250"/>
      <c r="FJ176" s="250"/>
      <c r="FK176" s="250"/>
      <c r="FL176" s="250"/>
      <c r="FM176" s="250"/>
      <c r="FN176" s="250"/>
      <c r="FO176" s="250"/>
      <c r="FP176" s="250"/>
      <c r="FQ176" s="250"/>
      <c r="FR176" s="250"/>
      <c r="FS176" s="250"/>
      <c r="FT176" s="250"/>
      <c r="FU176" s="250"/>
      <c r="FV176" s="250"/>
      <c r="FW176" s="250"/>
      <c r="FX176" s="250"/>
      <c r="FY176" s="250"/>
      <c r="FZ176" s="250"/>
      <c r="GA176" s="250"/>
      <c r="GB176" s="250"/>
      <c r="GC176" s="250"/>
      <c r="GD176" s="250"/>
      <c r="GE176" s="250"/>
      <c r="GF176" s="250"/>
      <c r="GG176" s="250"/>
      <c r="GH176" s="250"/>
      <c r="GI176" s="250"/>
      <c r="GJ176" s="250"/>
      <c r="GK176" s="250"/>
      <c r="GL176" s="250"/>
      <c r="GM176" s="250"/>
      <c r="GN176" s="250"/>
      <c r="GO176" s="250"/>
      <c r="GP176" s="250"/>
      <c r="GQ176" s="250"/>
      <c r="GR176" s="250"/>
      <c r="GS176" s="250"/>
      <c r="GT176" s="250"/>
      <c r="GU176" s="250"/>
      <c r="GV176" s="250"/>
      <c r="GW176" s="250"/>
      <c r="GX176" s="250"/>
      <c r="GY176" s="250"/>
      <c r="GZ176" s="250"/>
      <c r="HA176" s="250"/>
      <c r="HB176" s="250"/>
      <c r="HC176" s="250"/>
      <c r="HD176" s="250"/>
      <c r="HE176" s="250"/>
      <c r="HF176" s="250"/>
      <c r="HG176" s="250"/>
      <c r="HH176" s="250"/>
      <c r="HI176" s="250"/>
      <c r="HJ176" s="250"/>
      <c r="HK176" s="250"/>
      <c r="HL176" s="250"/>
      <c r="HM176" s="250"/>
      <c r="HN176" s="250"/>
      <c r="HO176" s="250"/>
      <c r="HP176" s="250"/>
      <c r="HQ176" s="250"/>
      <c r="HR176" s="250"/>
      <c r="HS176" s="250"/>
      <c r="HT176" s="250"/>
      <c r="HU176" s="250"/>
      <c r="HV176" s="250"/>
      <c r="HW176" s="250"/>
      <c r="HX176" s="250"/>
      <c r="HY176" s="250"/>
      <c r="HZ176" s="250"/>
      <c r="IA176" s="250"/>
      <c r="IB176" s="250"/>
      <c r="IC176" s="250"/>
      <c r="ID176" s="250"/>
      <c r="IE176" s="250"/>
      <c r="IF176" s="250"/>
      <c r="IG176" s="250"/>
      <c r="IH176" s="250"/>
      <c r="II176" s="250"/>
      <c r="IJ176" s="250"/>
      <c r="IK176" s="250"/>
      <c r="IL176" s="250"/>
      <c r="IM176" s="250"/>
      <c r="IN176" s="250"/>
      <c r="IO176" s="250"/>
      <c r="IP176" s="250"/>
      <c r="IQ176" s="250"/>
      <c r="IR176" s="250"/>
      <c r="IS176" s="250"/>
      <c r="IT176" s="250"/>
      <c r="IU176" s="250"/>
      <c r="IV176" s="250"/>
      <c r="IW176" s="250"/>
      <c r="IX176" s="250"/>
      <c r="IY176" s="250"/>
      <c r="IZ176" s="250"/>
      <c r="JA176" s="250"/>
      <c r="JB176" s="250"/>
      <c r="JC176" s="250"/>
      <c r="JD176" s="250"/>
      <c r="JE176" s="250"/>
      <c r="JF176" s="250"/>
      <c r="JG176" s="250"/>
      <c r="JH176" s="250"/>
      <c r="JI176" s="250"/>
      <c r="JJ176" s="250"/>
      <c r="JK176" s="250"/>
      <c r="JL176" s="250"/>
      <c r="JM176" s="250"/>
      <c r="JN176" s="250"/>
      <c r="JO176" s="250"/>
      <c r="JP176" s="250"/>
      <c r="JQ176" s="250"/>
      <c r="JR176" s="250"/>
      <c r="JS176" s="250"/>
      <c r="JT176" s="250"/>
      <c r="JU176" s="250"/>
      <c r="JV176" s="250"/>
      <c r="JW176" s="250"/>
      <c r="JX176" s="250"/>
      <c r="JY176" s="250"/>
      <c r="JZ176" s="250"/>
      <c r="KA176" s="250"/>
      <c r="KB176" s="250"/>
      <c r="KC176" s="250"/>
      <c r="KD176" s="250"/>
      <c r="KE176" s="250"/>
      <c r="KF176" s="250"/>
      <c r="KG176" s="250"/>
      <c r="KH176" s="250"/>
      <c r="KI176" s="250"/>
      <c r="KJ176" s="250"/>
      <c r="KK176" s="250"/>
      <c r="KL176" s="250"/>
      <c r="KM176" s="250"/>
      <c r="KN176" s="250"/>
      <c r="KO176" s="250"/>
      <c r="KP176" s="250"/>
      <c r="KQ176" s="250"/>
      <c r="KR176" s="250"/>
      <c r="KS176" s="250"/>
      <c r="KT176" s="250"/>
      <c r="KU176" s="250"/>
      <c r="KV176" s="250"/>
      <c r="KW176" s="250"/>
      <c r="KX176" s="250"/>
      <c r="KY176" s="250"/>
      <c r="KZ176" s="250"/>
      <c r="LA176" s="250"/>
      <c r="LB176" s="250"/>
      <c r="LC176" s="250"/>
      <c r="LD176" s="250"/>
      <c r="LE176" s="250"/>
      <c r="LF176" s="250"/>
      <c r="LG176" s="250"/>
      <c r="LH176" s="250"/>
      <c r="LI176" s="250"/>
      <c r="LJ176" s="250"/>
      <c r="LK176" s="250"/>
      <c r="LL176" s="250"/>
      <c r="LM176" s="250"/>
      <c r="LN176" s="250"/>
      <c r="LO176" s="250"/>
      <c r="LP176" s="250"/>
      <c r="LQ176" s="250"/>
      <c r="LR176" s="250"/>
      <c r="LS176" s="250"/>
      <c r="LT176" s="250"/>
      <c r="LU176" s="250"/>
      <c r="LV176" s="250"/>
      <c r="LW176" s="250"/>
      <c r="LX176" s="250"/>
      <c r="LY176" s="250"/>
      <c r="LZ176" s="250"/>
      <c r="MA176" s="250"/>
      <c r="MB176" s="250"/>
      <c r="MC176" s="250"/>
      <c r="MD176" s="250"/>
      <c r="ME176" s="250"/>
      <c r="MF176" s="250"/>
      <c r="MG176" s="250"/>
      <c r="MH176" s="250"/>
      <c r="MI176" s="250"/>
      <c r="MJ176" s="250"/>
      <c r="MK176" s="250"/>
      <c r="ML176" s="250"/>
      <c r="MM176" s="250"/>
      <c r="MN176" s="250"/>
      <c r="MO176" s="250"/>
      <c r="MP176" s="250"/>
      <c r="MQ176" s="250"/>
      <c r="MR176" s="250"/>
      <c r="MS176" s="250"/>
      <c r="MT176" s="250"/>
      <c r="MU176" s="250"/>
      <c r="MV176" s="250"/>
      <c r="MW176" s="250"/>
      <c r="MX176" s="250"/>
      <c r="MY176" s="250"/>
      <c r="MZ176" s="250"/>
      <c r="NA176" s="250"/>
      <c r="NB176" s="250"/>
      <c r="NC176" s="250"/>
      <c r="ND176" s="250"/>
      <c r="NE176" s="250"/>
      <c r="NF176" s="250"/>
      <c r="NG176" s="250"/>
      <c r="NH176" s="250"/>
      <c r="NI176" s="250"/>
      <c r="NJ176" s="250"/>
      <c r="NK176" s="250"/>
      <c r="NL176" s="250"/>
      <c r="NM176" s="250"/>
      <c r="NN176" s="250"/>
      <c r="NO176" s="250"/>
      <c r="NP176" s="250"/>
      <c r="NQ176" s="250"/>
      <c r="NR176" s="250"/>
      <c r="NS176" s="250"/>
      <c r="NT176" s="250"/>
      <c r="NU176" s="250"/>
      <c r="NV176" s="250"/>
      <c r="NW176" s="250"/>
      <c r="NX176" s="250"/>
      <c r="NY176" s="250"/>
      <c r="NZ176" s="250"/>
      <c r="OA176" s="250"/>
      <c r="OB176" s="250"/>
      <c r="OC176" s="250"/>
      <c r="OD176" s="250"/>
      <c r="OE176" s="250"/>
      <c r="OF176" s="250"/>
      <c r="OG176" s="250"/>
      <c r="OH176" s="250"/>
      <c r="OI176" s="250"/>
      <c r="OJ176" s="250"/>
      <c r="OK176" s="250"/>
      <c r="OL176" s="250"/>
      <c r="OM176" s="250"/>
      <c r="ON176" s="250"/>
      <c r="OO176" s="250"/>
      <c r="OP176" s="250"/>
      <c r="OQ176" s="250"/>
      <c r="OR176" s="250"/>
      <c r="OS176" s="250"/>
      <c r="OT176" s="250"/>
      <c r="OU176" s="250"/>
      <c r="OV176" s="250"/>
      <c r="OW176" s="250"/>
      <c r="OX176" s="250"/>
      <c r="OY176" s="250"/>
      <c r="OZ176" s="250"/>
      <c r="PA176" s="250"/>
      <c r="PB176" s="250"/>
      <c r="PC176" s="250"/>
      <c r="PD176" s="250"/>
      <c r="PE176" s="250"/>
      <c r="PF176" s="250"/>
      <c r="PG176" s="250"/>
      <c r="PH176" s="250"/>
      <c r="PI176" s="250"/>
      <c r="PJ176" s="250"/>
      <c r="PK176" s="250"/>
      <c r="PL176" s="250"/>
      <c r="PM176" s="250"/>
      <c r="PN176" s="250"/>
      <c r="PO176" s="250"/>
      <c r="PP176" s="250"/>
      <c r="PQ176" s="250"/>
      <c r="PR176" s="250"/>
      <c r="PS176" s="250"/>
      <c r="PT176" s="250"/>
      <c r="PU176" s="250"/>
      <c r="PV176" s="250"/>
      <c r="PW176" s="250"/>
      <c r="PX176" s="250"/>
      <c r="PY176" s="250"/>
      <c r="PZ176" s="250"/>
      <c r="QA176" s="250"/>
      <c r="QB176" s="250"/>
      <c r="QC176" s="250"/>
      <c r="QD176" s="250"/>
      <c r="QE176" s="250"/>
      <c r="QF176" s="250"/>
      <c r="QG176" s="250"/>
      <c r="QH176" s="250"/>
      <c r="QI176" s="250"/>
      <c r="QJ176" s="250"/>
      <c r="QK176" s="250"/>
      <c r="QL176" s="250"/>
      <c r="QM176" s="250"/>
      <c r="QN176" s="250"/>
      <c r="QO176" s="250"/>
      <c r="QP176" s="250"/>
      <c r="QQ176" s="250"/>
      <c r="QR176" s="250"/>
      <c r="QS176" s="250"/>
      <c r="QT176" s="250"/>
      <c r="QU176" s="250"/>
      <c r="QV176" s="250"/>
      <c r="QW176" s="250"/>
      <c r="QX176" s="250"/>
      <c r="QY176" s="250"/>
      <c r="QZ176" s="250"/>
      <c r="RA176" s="250"/>
      <c r="RB176" s="250"/>
      <c r="RC176" s="250"/>
      <c r="RD176" s="250"/>
      <c r="RE176" s="250"/>
      <c r="RF176" s="250"/>
      <c r="RG176" s="250"/>
      <c r="RH176" s="250"/>
      <c r="RI176" s="250"/>
      <c r="RJ176" s="250"/>
      <c r="RK176" s="250"/>
      <c r="RL176" s="250"/>
      <c r="RM176" s="250"/>
      <c r="RN176" s="250"/>
      <c r="RO176" s="250"/>
      <c r="RP176" s="250"/>
      <c r="RQ176" s="250"/>
      <c r="RR176" s="250"/>
      <c r="RS176" s="250"/>
      <c r="RT176" s="250"/>
      <c r="RU176" s="250"/>
      <c r="RV176" s="250"/>
      <c r="RW176" s="250"/>
      <c r="RX176" s="250"/>
      <c r="RY176" s="250"/>
      <c r="RZ176" s="250"/>
      <c r="SA176" s="250"/>
      <c r="SB176" s="250"/>
      <c r="SC176" s="250"/>
      <c r="SD176" s="250"/>
      <c r="SE176" s="250"/>
      <c r="SF176" s="250"/>
      <c r="SG176" s="250"/>
      <c r="SH176" s="250"/>
      <c r="SI176" s="250"/>
      <c r="SJ176" s="250"/>
      <c r="SK176" s="250"/>
      <c r="SL176" s="250"/>
      <c r="SM176" s="250"/>
      <c r="SN176" s="250"/>
      <c r="SO176" s="250"/>
      <c r="SP176" s="250"/>
      <c r="SQ176" s="250"/>
      <c r="SR176" s="250"/>
      <c r="SS176" s="250"/>
      <c r="ST176" s="250"/>
      <c r="SU176" s="250"/>
      <c r="SV176" s="250"/>
      <c r="SW176" s="250"/>
      <c r="SX176" s="250"/>
      <c r="SY176" s="250"/>
      <c r="SZ176" s="250"/>
      <c r="TA176" s="250"/>
      <c r="TB176" s="250"/>
      <c r="TC176" s="250"/>
      <c r="TD176" s="250"/>
      <c r="TE176" s="250"/>
      <c r="TF176" s="250"/>
      <c r="TG176" s="250"/>
      <c r="TH176" s="250"/>
      <c r="TI176" s="250"/>
      <c r="TJ176" s="250"/>
      <c r="TK176" s="250"/>
      <c r="TL176" s="250"/>
      <c r="TM176" s="250"/>
      <c r="TN176" s="250"/>
      <c r="TO176" s="250"/>
      <c r="TP176" s="250"/>
      <c r="TQ176" s="250"/>
      <c r="TR176" s="250"/>
      <c r="TS176" s="250"/>
      <c r="TT176" s="250"/>
      <c r="TU176" s="250"/>
      <c r="TV176" s="250"/>
      <c r="TW176" s="250"/>
      <c r="TX176" s="250"/>
      <c r="TY176" s="250"/>
      <c r="TZ176" s="250"/>
      <c r="UA176" s="250"/>
      <c r="UB176" s="250"/>
      <c r="UC176" s="250"/>
      <c r="UD176" s="250"/>
      <c r="UE176" s="250"/>
      <c r="UF176" s="250"/>
      <c r="UG176" s="250"/>
      <c r="UH176" s="250"/>
      <c r="UI176" s="250"/>
      <c r="UJ176" s="250"/>
      <c r="UK176" s="250"/>
      <c r="UL176" s="250"/>
      <c r="UM176" s="250"/>
      <c r="UN176" s="250"/>
      <c r="UO176" s="250"/>
      <c r="UP176" s="250"/>
      <c r="UQ176" s="250"/>
      <c r="UR176" s="250"/>
      <c r="US176" s="250"/>
      <c r="UT176" s="250"/>
      <c r="UU176" s="250"/>
      <c r="UV176" s="250"/>
      <c r="UW176" s="250"/>
      <c r="UX176" s="250"/>
      <c r="UY176" s="250"/>
      <c r="UZ176" s="250"/>
      <c r="VA176" s="250"/>
      <c r="VB176" s="250"/>
      <c r="VC176" s="250"/>
      <c r="VD176" s="250"/>
      <c r="VE176" s="250"/>
      <c r="VF176" s="250"/>
      <c r="VG176" s="250"/>
      <c r="VH176" s="250"/>
      <c r="VI176" s="250"/>
      <c r="VJ176" s="250"/>
      <c r="VK176" s="250"/>
      <c r="VL176" s="250"/>
      <c r="VM176" s="250"/>
      <c r="VN176" s="250"/>
      <c r="VO176" s="250"/>
      <c r="VP176" s="250"/>
      <c r="VQ176" s="250"/>
      <c r="VR176" s="250"/>
      <c r="VS176" s="250"/>
      <c r="VT176" s="250"/>
      <c r="VU176" s="250"/>
      <c r="VV176" s="250"/>
      <c r="VW176" s="250"/>
      <c r="VX176" s="250"/>
      <c r="VY176" s="250"/>
      <c r="VZ176" s="250"/>
      <c r="WA176" s="250"/>
      <c r="WB176" s="250"/>
      <c r="WC176" s="250"/>
      <c r="WD176" s="250"/>
      <c r="WE176" s="250"/>
      <c r="WF176" s="250"/>
      <c r="WG176" s="250"/>
      <c r="WH176" s="250"/>
      <c r="WI176" s="250"/>
      <c r="WJ176" s="250"/>
      <c r="WK176" s="250"/>
      <c r="WL176" s="250"/>
      <c r="WM176" s="250"/>
      <c r="WN176" s="250"/>
      <c r="WO176" s="250"/>
      <c r="WP176" s="250"/>
      <c r="WQ176" s="250"/>
      <c r="WR176" s="250"/>
      <c r="WS176" s="250"/>
      <c r="WT176" s="250"/>
      <c r="WU176" s="250"/>
      <c r="WV176" s="250"/>
      <c r="WW176" s="250"/>
      <c r="WX176" s="250"/>
      <c r="WY176" s="250"/>
      <c r="WZ176" s="250"/>
      <c r="XA176" s="250"/>
      <c r="XB176" s="250"/>
      <c r="XC176" s="250"/>
      <c r="XD176" s="250"/>
      <c r="XE176" s="250"/>
      <c r="XF176" s="250"/>
      <c r="XG176" s="250"/>
      <c r="XH176" s="250"/>
      <c r="XI176" s="250"/>
      <c r="XJ176" s="250"/>
      <c r="XK176" s="250"/>
      <c r="XL176" s="250"/>
      <c r="XM176" s="250"/>
      <c r="XN176" s="250"/>
      <c r="XO176" s="250"/>
      <c r="XP176" s="250"/>
      <c r="XQ176" s="250"/>
      <c r="XR176" s="250"/>
      <c r="XS176" s="250"/>
      <c r="XT176" s="250"/>
      <c r="XU176" s="250"/>
      <c r="XV176" s="250"/>
      <c r="XW176" s="250"/>
      <c r="XX176" s="250"/>
      <c r="XY176" s="250"/>
      <c r="XZ176" s="250"/>
      <c r="YA176" s="250"/>
      <c r="YB176" s="250"/>
      <c r="YC176" s="250"/>
      <c r="YD176" s="250"/>
      <c r="YE176" s="250"/>
      <c r="YF176" s="250"/>
      <c r="YG176" s="250"/>
      <c r="YH176" s="250"/>
      <c r="YI176" s="250"/>
      <c r="YJ176" s="250"/>
      <c r="YK176" s="250"/>
      <c r="YL176" s="250"/>
      <c r="YM176" s="250"/>
      <c r="YN176" s="250"/>
      <c r="YO176" s="250"/>
      <c r="YP176" s="250"/>
      <c r="YQ176" s="250"/>
      <c r="YR176" s="250"/>
      <c r="YS176" s="250"/>
      <c r="YT176" s="250"/>
      <c r="YU176" s="250"/>
      <c r="YV176" s="250"/>
      <c r="YW176" s="250"/>
      <c r="YX176" s="250"/>
      <c r="YY176" s="250"/>
      <c r="YZ176" s="250"/>
      <c r="ZA176" s="250"/>
      <c r="ZB176" s="250"/>
      <c r="ZC176" s="250"/>
      <c r="ZD176" s="250"/>
      <c r="ZE176" s="250"/>
      <c r="ZF176" s="250"/>
      <c r="ZG176" s="250"/>
      <c r="ZH176" s="250"/>
      <c r="ZI176" s="250"/>
      <c r="ZJ176" s="250"/>
      <c r="ZK176" s="250"/>
      <c r="ZL176" s="250"/>
      <c r="ZM176" s="250"/>
      <c r="ZN176" s="250"/>
      <c r="ZO176" s="250"/>
      <c r="ZP176" s="250"/>
      <c r="ZQ176" s="250"/>
      <c r="ZR176" s="250"/>
      <c r="ZS176" s="250"/>
      <c r="ZT176" s="250"/>
      <c r="ZU176" s="250"/>
      <c r="ZV176" s="250"/>
      <c r="ZW176" s="250"/>
      <c r="ZX176" s="250"/>
      <c r="ZY176" s="250"/>
      <c r="ZZ176" s="250"/>
      <c r="AAA176" s="250"/>
      <c r="AAB176" s="250"/>
      <c r="AAC176" s="250"/>
      <c r="AAD176" s="250"/>
      <c r="AAE176" s="250"/>
      <c r="AAF176" s="250"/>
      <c r="AAG176" s="250"/>
      <c r="AAH176" s="250"/>
      <c r="AAI176" s="250"/>
      <c r="AAJ176" s="250"/>
      <c r="AAK176" s="250"/>
      <c r="AAL176" s="250"/>
      <c r="AAM176" s="250"/>
      <c r="AAN176" s="250"/>
      <c r="AAO176" s="250"/>
      <c r="AAP176" s="250"/>
      <c r="AAQ176" s="250"/>
      <c r="AAR176" s="250"/>
      <c r="AAS176" s="250"/>
      <c r="AAT176" s="250"/>
      <c r="AAU176" s="250"/>
      <c r="AAV176" s="250"/>
      <c r="AAW176" s="250"/>
      <c r="AAX176" s="250"/>
      <c r="AAY176" s="250"/>
      <c r="AAZ176" s="250"/>
      <c r="ABA176" s="250"/>
      <c r="ABB176" s="250"/>
      <c r="ABC176" s="250"/>
      <c r="ABD176" s="250"/>
      <c r="ABE176" s="250"/>
      <c r="ABF176" s="250"/>
      <c r="ABG176" s="250"/>
      <c r="ABH176" s="250"/>
      <c r="ABI176" s="250"/>
      <c r="ABJ176" s="250"/>
      <c r="ABK176" s="250"/>
      <c r="ABL176" s="250"/>
      <c r="ABM176" s="250"/>
      <c r="ABN176" s="250"/>
      <c r="ABO176" s="250"/>
      <c r="ABP176" s="250"/>
      <c r="ABQ176" s="250"/>
      <c r="ABR176" s="250"/>
      <c r="ABS176" s="250"/>
      <c r="ABT176" s="250"/>
      <c r="ABU176" s="250"/>
      <c r="ABV176" s="250"/>
      <c r="ABW176" s="250"/>
      <c r="ABX176" s="250"/>
      <c r="ABY176" s="250"/>
      <c r="ABZ176" s="250"/>
      <c r="ACA176" s="250"/>
      <c r="ACB176" s="250"/>
      <c r="ACC176" s="250"/>
      <c r="ACD176" s="250"/>
      <c r="ACE176" s="250"/>
      <c r="ACF176" s="250"/>
      <c r="ACG176" s="250"/>
      <c r="ACH176" s="250"/>
      <c r="ACI176" s="250"/>
      <c r="ACJ176" s="250"/>
      <c r="ACK176" s="250"/>
      <c r="ACL176" s="250"/>
      <c r="ACM176" s="250"/>
      <c r="ACN176" s="250"/>
      <c r="ACO176" s="250"/>
      <c r="ACP176" s="250"/>
      <c r="ACQ176" s="250"/>
      <c r="ACR176" s="250"/>
      <c r="ACS176" s="250"/>
      <c r="ACT176" s="250"/>
      <c r="ACU176" s="250"/>
      <c r="ACV176" s="250"/>
      <c r="ACW176" s="250"/>
      <c r="ACX176" s="250"/>
      <c r="ACY176" s="250"/>
      <c r="ACZ176" s="250"/>
      <c r="ADA176" s="250"/>
      <c r="ADB176" s="250"/>
      <c r="ADC176" s="250"/>
      <c r="ADD176" s="250"/>
      <c r="ADE176" s="250"/>
      <c r="ADF176" s="250"/>
      <c r="ADG176" s="250"/>
      <c r="ADH176" s="250"/>
      <c r="ADI176" s="250"/>
      <c r="ADJ176" s="250"/>
      <c r="ADK176" s="250"/>
      <c r="ADL176" s="250"/>
      <c r="ADM176" s="250"/>
      <c r="ADN176" s="250"/>
      <c r="ADO176" s="250"/>
      <c r="ADP176" s="250"/>
      <c r="ADQ176" s="250"/>
      <c r="ADR176" s="250"/>
      <c r="ADS176" s="250"/>
      <c r="ADT176" s="250"/>
      <c r="ADU176" s="250"/>
      <c r="ADV176" s="250"/>
      <c r="ADW176" s="250"/>
      <c r="ADX176" s="250"/>
      <c r="ADY176" s="250"/>
      <c r="ADZ176" s="250"/>
      <c r="AEA176" s="250"/>
      <c r="AEB176" s="250"/>
      <c r="AEC176" s="250"/>
      <c r="AED176" s="250"/>
      <c r="AEE176" s="250"/>
      <c r="AEF176" s="250"/>
      <c r="AEG176" s="250"/>
      <c r="AEH176" s="250"/>
      <c r="AEI176" s="250"/>
      <c r="AEJ176" s="250"/>
      <c r="AEK176" s="250"/>
      <c r="AEL176" s="250"/>
      <c r="AEM176" s="250"/>
      <c r="AEN176" s="250"/>
      <c r="AEO176" s="250"/>
      <c r="AEP176" s="250"/>
      <c r="AEQ176" s="250"/>
      <c r="AER176" s="250"/>
      <c r="AES176" s="250"/>
      <c r="AET176" s="250"/>
      <c r="AEU176" s="250"/>
      <c r="AEV176" s="250"/>
      <c r="AEW176" s="250"/>
      <c r="AEX176" s="250"/>
      <c r="AEY176" s="250"/>
      <c r="AEZ176" s="250"/>
      <c r="AFA176" s="250"/>
      <c r="AFB176" s="250"/>
      <c r="AFC176" s="250"/>
      <c r="AFD176" s="250"/>
      <c r="AFE176" s="250"/>
      <c r="AFF176" s="250"/>
      <c r="AFG176" s="250"/>
      <c r="AFH176" s="250"/>
      <c r="AFI176" s="250"/>
      <c r="AFJ176" s="250"/>
      <c r="AFK176" s="250"/>
      <c r="AFL176" s="250"/>
      <c r="AFM176" s="250"/>
      <c r="AFN176" s="250"/>
      <c r="AFO176" s="250"/>
      <c r="AFP176" s="250"/>
      <c r="AFQ176" s="250"/>
      <c r="AFR176" s="250"/>
      <c r="AFS176" s="250"/>
      <c r="AFT176" s="250"/>
      <c r="AFU176" s="250"/>
      <c r="AFV176" s="250"/>
      <c r="AFW176" s="250"/>
      <c r="AFX176" s="250"/>
      <c r="AFY176" s="250"/>
      <c r="AFZ176" s="250"/>
      <c r="AGA176" s="250"/>
      <c r="AGB176" s="250"/>
      <c r="AGC176" s="250"/>
      <c r="AGD176" s="250"/>
      <c r="AGE176" s="250"/>
      <c r="AGF176" s="250"/>
      <c r="AGG176" s="250"/>
      <c r="AGH176" s="250"/>
      <c r="AGI176" s="250"/>
      <c r="AGJ176" s="250"/>
      <c r="AGK176" s="250"/>
      <c r="AGL176" s="250"/>
      <c r="AGM176" s="250"/>
      <c r="AGN176" s="250"/>
      <c r="AGO176" s="250"/>
      <c r="AGP176" s="250"/>
      <c r="AGQ176" s="250"/>
      <c r="AGR176" s="250"/>
      <c r="AGS176" s="250"/>
      <c r="AGT176" s="250"/>
      <c r="AGU176" s="250"/>
      <c r="AGV176" s="250"/>
      <c r="AGW176" s="250"/>
      <c r="AGX176" s="250"/>
      <c r="AGY176" s="250"/>
      <c r="AGZ176" s="250"/>
      <c r="AHA176" s="250"/>
      <c r="AHB176" s="250"/>
      <c r="AHC176" s="250"/>
      <c r="AHD176" s="250"/>
      <c r="AHE176" s="250"/>
      <c r="AHF176" s="250"/>
      <c r="AHG176" s="250"/>
      <c r="AHH176" s="250"/>
      <c r="AHI176" s="250"/>
      <c r="AHJ176" s="250"/>
      <c r="AHK176" s="250"/>
      <c r="AHL176" s="250"/>
      <c r="AHM176" s="250"/>
      <c r="AHN176" s="250"/>
      <c r="AHO176" s="250"/>
      <c r="AHP176" s="250"/>
      <c r="AHQ176" s="250"/>
      <c r="AHR176" s="250"/>
      <c r="AHS176" s="250"/>
      <c r="AHT176" s="250"/>
      <c r="AHU176" s="250"/>
      <c r="AHV176" s="250"/>
      <c r="AHW176" s="250"/>
      <c r="AHX176" s="250"/>
      <c r="AHY176" s="250"/>
      <c r="AHZ176" s="250"/>
      <c r="AIA176" s="250"/>
      <c r="AIB176" s="250"/>
      <c r="AIC176" s="250"/>
      <c r="AID176" s="250"/>
      <c r="AIE176" s="250"/>
      <c r="AIF176" s="250"/>
      <c r="AIG176" s="250"/>
      <c r="AIH176" s="250"/>
      <c r="AII176" s="250"/>
      <c r="AIJ176" s="250"/>
      <c r="AIK176" s="250"/>
      <c r="AIL176" s="250"/>
      <c r="AIM176" s="250"/>
      <c r="AIN176" s="250"/>
      <c r="AIO176" s="250"/>
      <c r="AIP176" s="250"/>
      <c r="AIQ176" s="250"/>
      <c r="AIR176" s="250"/>
      <c r="AIS176" s="250"/>
      <c r="AIT176" s="250"/>
      <c r="AIU176" s="250"/>
      <c r="AIV176" s="250"/>
      <c r="AIW176" s="250"/>
      <c r="AIX176" s="250"/>
      <c r="AIY176" s="250"/>
      <c r="AIZ176" s="250"/>
      <c r="AJA176" s="250"/>
      <c r="AJB176" s="250"/>
      <c r="AJC176" s="250"/>
      <c r="AJD176" s="250"/>
      <c r="AJE176" s="250"/>
      <c r="AJF176" s="250"/>
      <c r="AJG176" s="250"/>
      <c r="AJH176" s="250"/>
      <c r="AJI176" s="250"/>
      <c r="AJJ176" s="250"/>
      <c r="AJK176" s="250"/>
      <c r="AJL176" s="250"/>
      <c r="AJM176" s="250"/>
      <c r="AJN176" s="250"/>
      <c r="AJO176" s="250"/>
      <c r="AJP176" s="250"/>
      <c r="AJQ176" s="250"/>
      <c r="AJR176" s="250"/>
      <c r="AJS176" s="250"/>
      <c r="AJT176" s="250"/>
      <c r="AJU176" s="250"/>
      <c r="AJV176" s="250"/>
      <c r="AJW176" s="250"/>
      <c r="AJX176" s="250"/>
      <c r="AJY176" s="250"/>
      <c r="AJZ176" s="250"/>
      <c r="AKA176" s="250"/>
      <c r="AKB176" s="250"/>
      <c r="AKC176" s="250"/>
      <c r="AKD176" s="250"/>
      <c r="AKE176" s="250"/>
      <c r="AKF176" s="250"/>
      <c r="AKG176" s="250"/>
      <c r="AKH176" s="250"/>
      <c r="AKI176" s="250"/>
      <c r="AKJ176" s="250"/>
      <c r="AKK176" s="250"/>
      <c r="AKL176" s="250"/>
      <c r="AKM176" s="250"/>
      <c r="AKN176" s="250"/>
      <c r="AKO176" s="250"/>
      <c r="AKP176" s="250"/>
      <c r="AKQ176" s="250"/>
      <c r="AKR176" s="250"/>
      <c r="AKS176" s="250"/>
      <c r="AKT176" s="250"/>
      <c r="AKU176" s="250"/>
      <c r="AKV176" s="250"/>
      <c r="AKW176" s="250"/>
      <c r="AKX176" s="250"/>
      <c r="AKY176" s="250"/>
      <c r="AKZ176" s="250"/>
      <c r="ALA176" s="250"/>
      <c r="ALB176" s="250"/>
      <c r="ALC176" s="250"/>
      <c r="ALD176" s="250"/>
      <c r="ALE176" s="250"/>
      <c r="ALF176" s="250"/>
      <c r="ALG176" s="250"/>
      <c r="ALH176" s="250"/>
      <c r="ALI176" s="250"/>
      <c r="ALJ176" s="250"/>
      <c r="ALK176" s="250"/>
      <c r="ALL176" s="250"/>
      <c r="ALM176" s="250"/>
      <c r="ALN176" s="250"/>
      <c r="ALO176" s="250"/>
      <c r="ALP176" s="250"/>
      <c r="ALQ176" s="250"/>
      <c r="ALR176" s="250"/>
      <c r="ALS176" s="250"/>
      <c r="ALT176" s="250"/>
      <c r="ALU176" s="250"/>
      <c r="ALV176" s="250"/>
      <c r="ALW176" s="250"/>
      <c r="ALX176" s="250"/>
      <c r="ALY176" s="250"/>
      <c r="ALZ176" s="250"/>
      <c r="AMA176" s="250"/>
      <c r="AMB176" s="250"/>
      <c r="AMC176" s="250"/>
      <c r="AMD176" s="250"/>
      <c r="AME176" s="250"/>
      <c r="AMF176" s="250"/>
      <c r="AMG176" s="250"/>
      <c r="AMH176" s="250"/>
      <c r="AMI176" s="250"/>
      <c r="AMJ176" s="250"/>
      <c r="AMK176" s="250"/>
      <c r="AML176" s="250"/>
      <c r="AMM176" s="250"/>
      <c r="AMN176" s="250"/>
      <c r="AMO176" s="250"/>
      <c r="AMP176" s="250"/>
      <c r="AMQ176" s="250"/>
      <c r="AMR176" s="250"/>
      <c r="AMS176" s="250"/>
      <c r="AMT176" s="250"/>
      <c r="AMU176" s="250"/>
      <c r="AMV176" s="250"/>
      <c r="AMW176" s="250"/>
      <c r="AMX176" s="250"/>
      <c r="AMY176" s="250"/>
      <c r="AMZ176" s="250"/>
      <c r="ANA176" s="250"/>
      <c r="ANB176" s="250"/>
      <c r="ANC176" s="250"/>
      <c r="AND176" s="250"/>
      <c r="ANE176" s="250"/>
      <c r="ANF176" s="250"/>
      <c r="ANG176" s="250"/>
      <c r="ANH176" s="250"/>
      <c r="ANI176" s="250"/>
      <c r="ANJ176" s="250"/>
      <c r="ANK176" s="250"/>
      <c r="ANL176" s="250"/>
      <c r="ANM176" s="250"/>
      <c r="ANN176" s="250"/>
      <c r="ANO176" s="250"/>
      <c r="ANP176" s="250"/>
      <c r="ANQ176" s="250"/>
      <c r="ANR176" s="250"/>
      <c r="ANS176" s="250"/>
      <c r="ANT176" s="250"/>
      <c r="ANU176" s="250"/>
      <c r="ANV176" s="250"/>
      <c r="ANW176" s="250"/>
      <c r="ANX176" s="250"/>
      <c r="ANY176" s="250"/>
      <c r="ANZ176" s="250"/>
      <c r="AOA176" s="250"/>
      <c r="AOB176" s="250"/>
      <c r="AOC176" s="250"/>
      <c r="AOD176" s="250"/>
      <c r="AOE176" s="250"/>
      <c r="AOF176" s="250"/>
      <c r="AOG176" s="250"/>
      <c r="AOH176" s="250"/>
      <c r="AOI176" s="250"/>
      <c r="AOJ176" s="250"/>
      <c r="AOK176" s="250"/>
      <c r="AOL176" s="250"/>
      <c r="AOM176" s="250"/>
      <c r="AON176" s="250"/>
      <c r="AOO176" s="250"/>
      <c r="AOP176" s="250"/>
      <c r="AOQ176" s="250"/>
      <c r="AOR176" s="250"/>
      <c r="AOS176" s="250"/>
      <c r="AOT176" s="250"/>
      <c r="AOU176" s="250"/>
      <c r="AOV176" s="250"/>
      <c r="AOW176" s="250"/>
      <c r="AOX176" s="250"/>
      <c r="AOY176" s="250"/>
      <c r="AOZ176" s="250"/>
      <c r="APA176" s="250"/>
      <c r="APB176" s="250"/>
      <c r="APC176" s="250"/>
      <c r="APD176" s="250"/>
      <c r="APE176" s="250"/>
      <c r="APF176" s="250"/>
      <c r="APG176" s="250"/>
      <c r="APH176" s="250"/>
      <c r="API176" s="250"/>
      <c r="APJ176" s="250"/>
      <c r="APK176" s="250"/>
      <c r="APL176" s="250"/>
      <c r="APM176" s="250"/>
      <c r="APN176" s="250"/>
      <c r="APO176" s="250"/>
      <c r="APP176" s="250"/>
      <c r="APQ176" s="250"/>
      <c r="APR176" s="250"/>
      <c r="APS176" s="250"/>
      <c r="APT176" s="250"/>
      <c r="APU176" s="250"/>
      <c r="APV176" s="250"/>
      <c r="APW176" s="250"/>
      <c r="APX176" s="250"/>
      <c r="APY176" s="250"/>
      <c r="APZ176" s="250"/>
      <c r="AQA176" s="250"/>
      <c r="AQB176" s="250"/>
      <c r="AQC176" s="250"/>
      <c r="AQD176" s="250"/>
      <c r="AQE176" s="250"/>
      <c r="AQF176" s="250"/>
      <c r="AQG176" s="250"/>
      <c r="AQH176" s="250"/>
      <c r="AQI176" s="250"/>
      <c r="AQJ176" s="250"/>
      <c r="AQK176" s="250"/>
      <c r="AQL176" s="250"/>
      <c r="AQM176" s="250"/>
      <c r="AQN176" s="250"/>
      <c r="AQO176" s="250"/>
      <c r="AQP176" s="250"/>
      <c r="AQQ176" s="250"/>
      <c r="AQR176" s="250"/>
      <c r="AQS176" s="250"/>
      <c r="AQT176" s="250"/>
      <c r="AQU176" s="250"/>
      <c r="AQV176" s="250"/>
      <c r="AQW176" s="250"/>
      <c r="AQX176" s="250"/>
      <c r="AQY176" s="250"/>
      <c r="AQZ176" s="250"/>
      <c r="ARA176" s="250"/>
      <c r="ARB176" s="250"/>
      <c r="ARC176" s="250"/>
      <c r="ARD176" s="250"/>
      <c r="ARE176" s="250"/>
      <c r="ARF176" s="250"/>
      <c r="ARG176" s="250"/>
      <c r="ARH176" s="250"/>
      <c r="ARI176" s="250"/>
      <c r="ARJ176" s="250"/>
      <c r="ARK176" s="250"/>
      <c r="ARL176" s="250"/>
      <c r="ARM176" s="250"/>
      <c r="ARN176" s="250"/>
      <c r="ARO176" s="250"/>
      <c r="ARP176" s="250"/>
      <c r="ARQ176" s="250"/>
      <c r="ARR176" s="250"/>
      <c r="ARS176" s="250"/>
      <c r="ART176" s="250"/>
      <c r="ARU176" s="250"/>
      <c r="ARV176" s="250"/>
      <c r="ARW176" s="250"/>
      <c r="ARX176" s="250"/>
      <c r="ARY176" s="250"/>
      <c r="ARZ176" s="250"/>
      <c r="ASA176" s="250"/>
      <c r="ASB176" s="250"/>
      <c r="ASC176" s="250"/>
      <c r="ASD176" s="250"/>
      <c r="ASE176" s="250"/>
      <c r="ASF176" s="250"/>
      <c r="ASG176" s="250"/>
      <c r="ASH176" s="250"/>
      <c r="ASI176" s="250"/>
      <c r="ASJ176" s="250"/>
      <c r="ASK176" s="250"/>
      <c r="ASL176" s="250"/>
      <c r="ASM176" s="250"/>
      <c r="ASN176" s="250"/>
      <c r="ASO176" s="250"/>
      <c r="ASP176" s="250"/>
      <c r="ASQ176" s="250"/>
      <c r="ASR176" s="250"/>
      <c r="ASS176" s="250"/>
      <c r="AST176" s="250"/>
      <c r="ASU176" s="250"/>
      <c r="ASV176" s="250"/>
      <c r="ASW176" s="250"/>
      <c r="ASX176" s="250"/>
      <c r="ASY176" s="250"/>
      <c r="ASZ176" s="250"/>
      <c r="ATA176" s="250"/>
      <c r="ATB176" s="250"/>
      <c r="ATC176" s="250"/>
      <c r="ATD176" s="250"/>
      <c r="ATE176" s="250"/>
      <c r="ATF176" s="250"/>
      <c r="ATG176" s="250"/>
      <c r="ATH176" s="250"/>
      <c r="ATI176" s="250"/>
      <c r="ATJ176" s="250"/>
      <c r="ATK176" s="250"/>
      <c r="ATL176" s="250"/>
      <c r="ATM176" s="250"/>
      <c r="ATN176" s="250"/>
      <c r="ATO176" s="250"/>
      <c r="ATP176" s="250"/>
      <c r="ATQ176" s="250"/>
      <c r="ATR176" s="250"/>
      <c r="ATS176" s="250"/>
      <c r="ATT176" s="250"/>
      <c r="ATU176" s="250"/>
      <c r="ATV176" s="250"/>
      <c r="ATW176" s="250"/>
      <c r="ATX176" s="250"/>
      <c r="ATY176" s="250"/>
      <c r="ATZ176" s="250"/>
      <c r="AUA176" s="250"/>
      <c r="AUB176" s="250"/>
      <c r="AUC176" s="250"/>
      <c r="AUD176" s="250"/>
      <c r="AUE176" s="250"/>
      <c r="AUF176" s="250"/>
      <c r="AUG176" s="250"/>
      <c r="AUH176" s="250"/>
      <c r="AUI176" s="250"/>
      <c r="AUJ176" s="250"/>
      <c r="AUK176" s="250"/>
      <c r="AUL176" s="250"/>
      <c r="AUM176" s="250"/>
      <c r="AUN176" s="250"/>
      <c r="AUO176" s="250"/>
      <c r="AUP176" s="250"/>
      <c r="AUQ176" s="250"/>
      <c r="AUR176" s="250"/>
      <c r="AUS176" s="250"/>
      <c r="AUT176" s="250"/>
      <c r="AUU176" s="250"/>
      <c r="AUV176" s="250"/>
      <c r="AUW176" s="250"/>
      <c r="AUX176" s="250"/>
      <c r="AUY176" s="250"/>
      <c r="AUZ176" s="250"/>
      <c r="AVA176" s="250"/>
      <c r="AVB176" s="250"/>
      <c r="AVC176" s="250"/>
      <c r="AVD176" s="250"/>
      <c r="AVE176" s="250"/>
      <c r="AVF176" s="250"/>
      <c r="AVG176" s="250"/>
      <c r="AVH176" s="250"/>
      <c r="AVI176" s="250"/>
      <c r="AVJ176" s="250"/>
      <c r="AVK176" s="250"/>
      <c r="AVL176" s="250"/>
      <c r="AVM176" s="250"/>
      <c r="AVN176" s="250"/>
      <c r="AVO176" s="250"/>
      <c r="AVP176" s="250"/>
      <c r="AVQ176" s="250"/>
      <c r="AVR176" s="250"/>
      <c r="AVS176" s="250"/>
      <c r="AVT176" s="250"/>
      <c r="AVU176" s="250"/>
      <c r="AVV176" s="250"/>
      <c r="AVW176" s="250"/>
      <c r="AVX176" s="250"/>
      <c r="AVY176" s="250"/>
      <c r="AVZ176" s="250"/>
      <c r="AWA176" s="250"/>
      <c r="AWB176" s="250"/>
      <c r="AWC176" s="250"/>
      <c r="AWD176" s="250"/>
      <c r="AWE176" s="250"/>
      <c r="AWF176" s="250"/>
      <c r="AWG176" s="250"/>
      <c r="AWH176" s="250"/>
      <c r="AWI176" s="250"/>
      <c r="AWJ176" s="250"/>
      <c r="AWK176" s="250"/>
      <c r="AWL176" s="250"/>
      <c r="AWM176" s="250"/>
      <c r="AWN176" s="250"/>
      <c r="AWO176" s="250"/>
      <c r="AWP176" s="250"/>
      <c r="AWQ176" s="250"/>
      <c r="AWR176" s="250"/>
      <c r="AWS176" s="250"/>
      <c r="AWT176" s="250"/>
      <c r="AWU176" s="250"/>
      <c r="AWV176" s="250"/>
      <c r="AWW176" s="250"/>
      <c r="AWX176" s="250"/>
      <c r="AWY176" s="250"/>
      <c r="AWZ176" s="250"/>
      <c r="AXA176" s="250"/>
      <c r="AXB176" s="250"/>
      <c r="AXC176" s="250"/>
      <c r="AXD176" s="250"/>
      <c r="AXE176" s="250"/>
      <c r="AXF176" s="250"/>
      <c r="AXG176" s="250"/>
      <c r="AXH176" s="250"/>
      <c r="AXI176" s="250"/>
      <c r="AXJ176" s="250"/>
      <c r="AXK176" s="250"/>
      <c r="AXL176" s="250"/>
      <c r="AXM176" s="250"/>
      <c r="AXN176" s="250"/>
      <c r="AXO176" s="250"/>
      <c r="AXP176" s="250"/>
      <c r="AXQ176" s="250"/>
      <c r="AXR176" s="250"/>
      <c r="AXS176" s="250"/>
      <c r="AXT176" s="250"/>
      <c r="AXU176" s="250"/>
      <c r="AXV176" s="250"/>
      <c r="AXW176" s="250"/>
      <c r="AXX176" s="250"/>
      <c r="AXY176" s="250"/>
      <c r="AXZ176" s="250"/>
      <c r="AYA176" s="250"/>
      <c r="AYB176" s="250"/>
      <c r="AYC176" s="250"/>
      <c r="AYD176" s="250"/>
      <c r="AYE176" s="250"/>
      <c r="AYF176" s="250"/>
      <c r="AYG176" s="250"/>
      <c r="AYH176" s="250"/>
      <c r="AYI176" s="250"/>
      <c r="AYJ176" s="250"/>
      <c r="AYK176" s="250"/>
      <c r="AYL176" s="250"/>
      <c r="AYM176" s="250"/>
      <c r="AYN176" s="250"/>
      <c r="AYO176" s="250"/>
      <c r="AYP176" s="250"/>
      <c r="AYQ176" s="250"/>
      <c r="AYR176" s="250"/>
      <c r="AYS176" s="250"/>
      <c r="AYT176" s="250"/>
      <c r="AYU176" s="250"/>
      <c r="AYV176" s="250"/>
      <c r="AYW176" s="250"/>
      <c r="AYX176" s="250"/>
      <c r="AYY176" s="250"/>
      <c r="AYZ176" s="250"/>
      <c r="AZA176" s="250"/>
      <c r="AZB176" s="250"/>
      <c r="AZC176" s="250"/>
      <c r="AZD176" s="250"/>
      <c r="AZE176" s="250"/>
      <c r="AZF176" s="250"/>
      <c r="AZG176" s="250"/>
      <c r="AZH176" s="250"/>
      <c r="AZI176" s="250"/>
      <c r="AZJ176" s="250"/>
      <c r="AZK176" s="250"/>
      <c r="AZL176" s="250"/>
      <c r="AZM176" s="250"/>
      <c r="AZN176" s="250"/>
      <c r="AZO176" s="250"/>
      <c r="AZP176" s="250"/>
      <c r="AZQ176" s="250"/>
      <c r="AZR176" s="250"/>
      <c r="AZS176" s="250"/>
      <c r="AZT176" s="250"/>
      <c r="AZU176" s="250"/>
      <c r="AZV176" s="250"/>
      <c r="AZW176" s="250"/>
      <c r="AZX176" s="250"/>
      <c r="AZY176" s="250"/>
      <c r="AZZ176" s="250"/>
      <c r="BAA176" s="250"/>
      <c r="BAB176" s="250"/>
      <c r="BAC176" s="250"/>
      <c r="BAD176" s="250"/>
      <c r="BAE176" s="250"/>
      <c r="BAF176" s="250"/>
      <c r="BAG176" s="250"/>
      <c r="BAH176" s="250"/>
      <c r="BAI176" s="250"/>
      <c r="BAJ176" s="250"/>
      <c r="BAK176" s="250"/>
      <c r="BAL176" s="250"/>
      <c r="BAM176" s="250"/>
      <c r="BAN176" s="250"/>
      <c r="BAO176" s="250"/>
      <c r="BAP176" s="250"/>
      <c r="BAQ176" s="250"/>
      <c r="BAR176" s="250"/>
      <c r="BAS176" s="250"/>
      <c r="BAT176" s="250"/>
      <c r="BAU176" s="250"/>
      <c r="BAV176" s="250"/>
      <c r="BAW176" s="250"/>
      <c r="BAX176" s="250"/>
      <c r="BAY176" s="250"/>
      <c r="BAZ176" s="250"/>
      <c r="BBA176" s="250"/>
      <c r="BBB176" s="250"/>
      <c r="BBC176" s="250"/>
      <c r="BBD176" s="250"/>
      <c r="BBE176" s="250"/>
      <c r="BBF176" s="250"/>
      <c r="BBG176" s="250"/>
      <c r="BBH176" s="250"/>
      <c r="BBI176" s="250"/>
      <c r="BBJ176" s="250"/>
      <c r="BBK176" s="250"/>
      <c r="BBL176" s="250"/>
      <c r="BBM176" s="250"/>
      <c r="BBN176" s="250"/>
      <c r="BBO176" s="250"/>
      <c r="BBP176" s="250"/>
      <c r="BBQ176" s="250"/>
      <c r="BBR176" s="250"/>
      <c r="BBS176" s="250"/>
      <c r="BBT176" s="250"/>
      <c r="BBU176" s="250"/>
      <c r="BBV176" s="250"/>
      <c r="BBW176" s="250"/>
      <c r="BBX176" s="250"/>
      <c r="BBY176" s="250"/>
      <c r="BBZ176" s="250"/>
      <c r="BCA176" s="250"/>
      <c r="BCB176" s="250"/>
      <c r="BCC176" s="250"/>
      <c r="BCD176" s="250"/>
      <c r="BCE176" s="250"/>
      <c r="BCF176" s="250"/>
      <c r="BCG176" s="250"/>
      <c r="BCH176" s="250"/>
      <c r="BCI176" s="250"/>
      <c r="BCJ176" s="250"/>
      <c r="BCK176" s="250"/>
      <c r="BCL176" s="250"/>
      <c r="BCM176" s="250"/>
      <c r="BCN176" s="250"/>
      <c r="BCO176" s="250"/>
      <c r="BCP176" s="250"/>
      <c r="BCQ176" s="250"/>
      <c r="BCR176" s="250"/>
      <c r="BCS176" s="250"/>
      <c r="BCT176" s="250"/>
      <c r="BCU176" s="250"/>
      <c r="BCV176" s="250"/>
      <c r="BCW176" s="250"/>
      <c r="BCX176" s="250"/>
      <c r="BCY176" s="250"/>
      <c r="BCZ176" s="250"/>
      <c r="BDA176" s="250"/>
      <c r="BDB176" s="250"/>
      <c r="BDC176" s="250"/>
      <c r="BDD176" s="250"/>
      <c r="BDE176" s="250"/>
      <c r="BDF176" s="250"/>
      <c r="BDG176" s="250"/>
      <c r="BDH176" s="250"/>
      <c r="BDI176" s="250"/>
      <c r="BDJ176" s="250"/>
      <c r="BDK176" s="250"/>
      <c r="BDL176" s="250"/>
      <c r="BDM176" s="250"/>
      <c r="BDN176" s="250"/>
      <c r="BDO176" s="250"/>
      <c r="BDP176" s="250"/>
      <c r="BDQ176" s="250"/>
      <c r="BDR176" s="250"/>
      <c r="BDS176" s="250"/>
      <c r="BDT176" s="250"/>
      <c r="BDU176" s="250"/>
      <c r="BDV176" s="250"/>
      <c r="BDW176" s="250"/>
      <c r="BDX176" s="250"/>
      <c r="BDY176" s="250"/>
      <c r="BDZ176" s="250"/>
      <c r="BEA176" s="250"/>
      <c r="BEB176" s="250"/>
      <c r="BEC176" s="250"/>
      <c r="BED176" s="250"/>
      <c r="BEE176" s="250"/>
      <c r="BEF176" s="250"/>
      <c r="BEG176" s="250"/>
      <c r="BEH176" s="250"/>
      <c r="BEI176" s="250"/>
      <c r="BEJ176" s="250"/>
      <c r="BEK176" s="250"/>
      <c r="BEL176" s="250"/>
      <c r="BEM176" s="250"/>
      <c r="BEN176" s="250"/>
      <c r="BEO176" s="250"/>
      <c r="BEP176" s="250"/>
      <c r="BEQ176" s="250"/>
      <c r="BER176" s="250"/>
      <c r="BES176" s="250"/>
      <c r="BET176" s="250"/>
      <c r="BEU176" s="250"/>
      <c r="BEV176" s="250"/>
      <c r="BEW176" s="250"/>
      <c r="BEX176" s="250"/>
      <c r="BEY176" s="250"/>
      <c r="BEZ176" s="250"/>
      <c r="BFA176" s="250"/>
      <c r="BFB176" s="250"/>
      <c r="BFC176" s="250"/>
      <c r="BFD176" s="250"/>
      <c r="BFE176" s="250"/>
      <c r="BFF176" s="250"/>
      <c r="BFG176" s="250"/>
      <c r="BFH176" s="250"/>
      <c r="BFI176" s="250"/>
      <c r="BFJ176" s="250"/>
      <c r="BFK176" s="250"/>
      <c r="BFL176" s="250"/>
      <c r="BFM176" s="250"/>
      <c r="BFN176" s="250"/>
      <c r="BFO176" s="250"/>
      <c r="BFP176" s="250"/>
      <c r="BFQ176" s="250"/>
      <c r="BFR176" s="250"/>
      <c r="BFS176" s="250"/>
      <c r="BFT176" s="250"/>
      <c r="BFU176" s="250"/>
      <c r="BFV176" s="250"/>
      <c r="BFW176" s="250"/>
      <c r="BFX176" s="250"/>
      <c r="BFY176" s="250"/>
      <c r="BFZ176" s="250"/>
      <c r="BGA176" s="250"/>
      <c r="BGB176" s="250"/>
      <c r="BGC176" s="250"/>
      <c r="BGD176" s="250"/>
      <c r="BGE176" s="250"/>
      <c r="BGF176" s="250"/>
      <c r="BGG176" s="250"/>
      <c r="BGH176" s="250"/>
      <c r="BGI176" s="250"/>
      <c r="BGJ176" s="250"/>
      <c r="BGK176" s="250"/>
      <c r="BGL176" s="250"/>
      <c r="BGM176" s="250"/>
      <c r="BGN176" s="250"/>
      <c r="BGO176" s="250"/>
      <c r="BGP176" s="250"/>
      <c r="BGQ176" s="250"/>
      <c r="BGR176" s="250"/>
      <c r="BGS176" s="250"/>
      <c r="BGT176" s="250"/>
      <c r="BGU176" s="250"/>
      <c r="BGV176" s="250"/>
      <c r="BGW176" s="250"/>
      <c r="BGX176" s="250"/>
      <c r="BGY176" s="250"/>
      <c r="BGZ176" s="250"/>
      <c r="BHA176" s="250"/>
      <c r="BHB176" s="250"/>
      <c r="BHC176" s="250"/>
      <c r="BHD176" s="250"/>
      <c r="BHE176" s="250"/>
      <c r="BHF176" s="250"/>
      <c r="BHG176" s="250"/>
      <c r="BHH176" s="250"/>
      <c r="BHI176" s="250"/>
      <c r="BHJ176" s="250"/>
      <c r="BHK176" s="250"/>
      <c r="BHL176" s="250"/>
      <c r="BHM176" s="250"/>
      <c r="BHN176" s="250"/>
      <c r="BHO176" s="250"/>
      <c r="BHP176" s="250"/>
      <c r="BHQ176" s="250"/>
      <c r="BHR176" s="250"/>
      <c r="BHS176" s="250"/>
      <c r="BHT176" s="250"/>
      <c r="BHU176" s="250"/>
      <c r="BHV176" s="250"/>
      <c r="BHW176" s="250"/>
      <c r="BHX176" s="250"/>
      <c r="BHY176" s="250"/>
      <c r="BHZ176" s="250"/>
      <c r="BIA176" s="250"/>
      <c r="BIB176" s="250"/>
      <c r="BIC176" s="250"/>
      <c r="BID176" s="250"/>
      <c r="BIE176" s="250"/>
      <c r="BIF176" s="250"/>
      <c r="BIG176" s="250"/>
      <c r="BIH176" s="250"/>
      <c r="BII176" s="250"/>
      <c r="BIJ176" s="250"/>
      <c r="BIK176" s="250"/>
      <c r="BIL176" s="250"/>
      <c r="BIM176" s="250"/>
      <c r="BIN176" s="250"/>
      <c r="BIO176" s="250"/>
      <c r="BIP176" s="250"/>
      <c r="BIQ176" s="250"/>
      <c r="BIR176" s="250"/>
      <c r="BIS176" s="250"/>
      <c r="BIT176" s="250"/>
      <c r="BIU176" s="250"/>
      <c r="BIV176" s="250"/>
      <c r="BIW176" s="250"/>
      <c r="BIX176" s="250"/>
      <c r="BIY176" s="250"/>
      <c r="BIZ176" s="250"/>
      <c r="BJA176" s="250"/>
      <c r="BJB176" s="250"/>
      <c r="BJC176" s="250"/>
      <c r="BJD176" s="250"/>
      <c r="BJE176" s="250"/>
      <c r="BJF176" s="250"/>
      <c r="BJG176" s="250"/>
      <c r="BJH176" s="250"/>
      <c r="BJI176" s="250"/>
      <c r="BJJ176" s="250"/>
      <c r="BJK176" s="250"/>
      <c r="BJL176" s="250"/>
      <c r="BJM176" s="250"/>
      <c r="BJN176" s="250"/>
      <c r="BJO176" s="250"/>
      <c r="BJP176" s="250"/>
      <c r="BJQ176" s="250"/>
      <c r="BJR176" s="250"/>
      <c r="BJS176" s="250"/>
      <c r="BJT176" s="250"/>
      <c r="BJU176" s="250"/>
      <c r="BJV176" s="250"/>
      <c r="BJW176" s="250"/>
      <c r="BJX176" s="250"/>
      <c r="BJY176" s="250"/>
      <c r="BJZ176" s="250"/>
      <c r="BKA176" s="250"/>
      <c r="BKB176" s="250"/>
      <c r="BKC176" s="250"/>
      <c r="BKD176" s="250"/>
      <c r="BKE176" s="250"/>
      <c r="BKF176" s="250"/>
      <c r="BKG176" s="250"/>
      <c r="BKH176" s="250"/>
      <c r="BKI176" s="250"/>
      <c r="BKJ176" s="250"/>
      <c r="BKK176" s="250"/>
      <c r="BKL176" s="250"/>
      <c r="BKM176" s="250"/>
      <c r="BKN176" s="250"/>
      <c r="BKO176" s="250"/>
      <c r="BKP176" s="250"/>
      <c r="BKQ176" s="250"/>
      <c r="BKR176" s="250"/>
      <c r="BKS176" s="250"/>
      <c r="BKT176" s="250"/>
      <c r="BKU176" s="250"/>
      <c r="BKV176" s="250"/>
      <c r="BKW176" s="250"/>
      <c r="BKX176" s="250"/>
      <c r="BKY176" s="250"/>
      <c r="BKZ176" s="250"/>
      <c r="BLA176" s="250"/>
      <c r="BLB176" s="250"/>
      <c r="BLC176" s="250"/>
      <c r="BLD176" s="250"/>
      <c r="BLE176" s="250"/>
      <c r="BLF176" s="250"/>
      <c r="BLG176" s="250"/>
      <c r="BLH176" s="250"/>
      <c r="BLI176" s="250"/>
      <c r="BLJ176" s="250"/>
      <c r="BLK176" s="250"/>
      <c r="BLL176" s="250"/>
      <c r="BLM176" s="250"/>
      <c r="BLN176" s="250"/>
      <c r="BLO176" s="250"/>
      <c r="BLP176" s="250"/>
      <c r="BLQ176" s="250"/>
      <c r="BLR176" s="250"/>
      <c r="BLS176" s="250"/>
      <c r="BLT176" s="250"/>
      <c r="BLU176" s="250"/>
      <c r="BLV176" s="250"/>
      <c r="BLW176" s="250"/>
      <c r="BLX176" s="250"/>
      <c r="BLY176" s="250"/>
      <c r="BLZ176" s="250"/>
      <c r="BMA176" s="250"/>
      <c r="BMB176" s="250"/>
      <c r="BMC176" s="250"/>
      <c r="BMD176" s="250"/>
      <c r="BME176" s="250"/>
      <c r="BMF176" s="250"/>
      <c r="BMG176" s="250"/>
      <c r="BMH176" s="250"/>
      <c r="BMI176" s="250"/>
      <c r="BMJ176" s="250"/>
      <c r="BMK176" s="250"/>
      <c r="BML176" s="250"/>
      <c r="BMM176" s="250"/>
      <c r="BMN176" s="250"/>
      <c r="BMO176" s="250"/>
      <c r="BMP176" s="250"/>
      <c r="BMQ176" s="250"/>
      <c r="BMR176" s="250"/>
      <c r="BMS176" s="250"/>
      <c r="BMT176" s="250"/>
      <c r="BMU176" s="250"/>
      <c r="BMV176" s="250"/>
      <c r="BMW176" s="250"/>
      <c r="BMX176" s="250"/>
      <c r="BMY176" s="250"/>
      <c r="BMZ176" s="250"/>
      <c r="BNA176" s="250"/>
      <c r="BNB176" s="250"/>
      <c r="BNC176" s="250"/>
      <c r="BND176" s="250"/>
      <c r="BNE176" s="250"/>
      <c r="BNF176" s="250"/>
      <c r="BNG176" s="250"/>
      <c r="BNH176" s="250"/>
      <c r="BNI176" s="250"/>
      <c r="BNJ176" s="250"/>
      <c r="BNK176" s="250"/>
      <c r="BNL176" s="250"/>
      <c r="BNM176" s="250"/>
      <c r="BNN176" s="250"/>
      <c r="BNO176" s="250"/>
      <c r="BNP176" s="250"/>
      <c r="BNQ176" s="250"/>
      <c r="BNR176" s="250"/>
      <c r="BNS176" s="250"/>
      <c r="BNT176" s="250"/>
      <c r="BNU176" s="250"/>
      <c r="BNV176" s="250"/>
      <c r="BNW176" s="250"/>
      <c r="BNX176" s="250"/>
      <c r="BNY176" s="250"/>
      <c r="BNZ176" s="250"/>
      <c r="BOA176" s="250"/>
      <c r="BOB176" s="250"/>
      <c r="BOC176" s="250"/>
      <c r="BOD176" s="250"/>
      <c r="BOE176" s="250"/>
      <c r="BOF176" s="250"/>
      <c r="BOG176" s="250"/>
      <c r="BOH176" s="250"/>
      <c r="BOI176" s="250"/>
      <c r="BOJ176" s="250"/>
      <c r="BOK176" s="250"/>
      <c r="BOL176" s="250"/>
      <c r="BOM176" s="250"/>
      <c r="BON176" s="250"/>
      <c r="BOO176" s="250"/>
      <c r="BOP176" s="250"/>
      <c r="BOQ176" s="250"/>
      <c r="BOR176" s="250"/>
      <c r="BOS176" s="250"/>
      <c r="BOT176" s="250"/>
      <c r="BOU176" s="250"/>
      <c r="BOV176" s="250"/>
      <c r="BOW176" s="250"/>
      <c r="BOX176" s="250"/>
      <c r="BOY176" s="250"/>
      <c r="BOZ176" s="250"/>
      <c r="BPA176" s="250"/>
      <c r="BPB176" s="250"/>
      <c r="BPC176" s="250"/>
      <c r="BPD176" s="250"/>
      <c r="BPE176" s="250"/>
      <c r="BPF176" s="250"/>
      <c r="BPG176" s="250"/>
      <c r="BPH176" s="250"/>
      <c r="BPI176" s="250"/>
      <c r="BPJ176" s="250"/>
      <c r="BPK176" s="250"/>
      <c r="BPL176" s="250"/>
      <c r="BPM176" s="250"/>
      <c r="BPN176" s="250"/>
      <c r="BPO176" s="250"/>
      <c r="BPP176" s="250"/>
      <c r="BPQ176" s="250"/>
      <c r="BPR176" s="250"/>
      <c r="BPS176" s="250"/>
      <c r="BPT176" s="250"/>
      <c r="BPU176" s="250"/>
      <c r="BPV176" s="250"/>
      <c r="BPW176" s="250"/>
      <c r="BPX176" s="250"/>
      <c r="BPY176" s="250"/>
      <c r="BPZ176" s="250"/>
      <c r="BQA176" s="250"/>
      <c r="BQB176" s="250"/>
      <c r="BQC176" s="250"/>
      <c r="BQD176" s="250"/>
      <c r="BQE176" s="250"/>
      <c r="BQF176" s="250"/>
      <c r="BQG176" s="250"/>
      <c r="BQH176" s="250"/>
      <c r="BQI176" s="250"/>
      <c r="BQJ176" s="250"/>
      <c r="BQK176" s="250"/>
      <c r="BQL176" s="250"/>
      <c r="BQM176" s="250"/>
      <c r="BQN176" s="250"/>
      <c r="BQO176" s="250"/>
      <c r="BQP176" s="250"/>
      <c r="BQQ176" s="250"/>
      <c r="BQR176" s="250"/>
      <c r="BQS176" s="250"/>
      <c r="BQT176" s="250"/>
      <c r="BQU176" s="250"/>
      <c r="BQV176" s="250"/>
      <c r="BQW176" s="250"/>
      <c r="BQX176" s="250"/>
      <c r="BQY176" s="250"/>
      <c r="BQZ176" s="250"/>
      <c r="BRA176" s="250"/>
      <c r="BRB176" s="250"/>
      <c r="BRC176" s="250"/>
      <c r="BRD176" s="250"/>
      <c r="BRE176" s="250"/>
      <c r="BRF176" s="250"/>
      <c r="BRG176" s="250"/>
      <c r="BRH176" s="250"/>
      <c r="BRI176" s="250"/>
      <c r="BRJ176" s="250"/>
      <c r="BRK176" s="250"/>
      <c r="BRL176" s="250"/>
      <c r="BRM176" s="250"/>
      <c r="BRN176" s="250"/>
      <c r="BRO176" s="250"/>
      <c r="BRP176" s="250"/>
      <c r="BRQ176" s="250"/>
      <c r="BRR176" s="250"/>
      <c r="BRS176" s="250"/>
      <c r="BRT176" s="250"/>
      <c r="BRU176" s="250"/>
      <c r="BRV176" s="250"/>
      <c r="BRW176" s="250"/>
      <c r="BRX176" s="250"/>
      <c r="BRY176" s="250"/>
      <c r="BRZ176" s="250"/>
      <c r="BSA176" s="250"/>
      <c r="BSB176" s="250"/>
      <c r="BSC176" s="250"/>
      <c r="BSD176" s="250"/>
      <c r="BSE176" s="250"/>
      <c r="BSF176" s="250"/>
      <c r="BSG176" s="250"/>
      <c r="BSH176" s="250"/>
      <c r="BSI176" s="250"/>
      <c r="BSJ176" s="250"/>
      <c r="BSK176" s="250"/>
      <c r="BSL176" s="250"/>
      <c r="BSM176" s="250"/>
      <c r="BSN176" s="250"/>
      <c r="BSO176" s="250"/>
      <c r="BSP176" s="250"/>
      <c r="BSQ176" s="250"/>
      <c r="BSR176" s="250"/>
      <c r="BSS176" s="250"/>
      <c r="BST176" s="250"/>
      <c r="BSU176" s="250"/>
      <c r="BSV176" s="250"/>
      <c r="BSW176" s="250"/>
      <c r="BSX176" s="250"/>
      <c r="BSY176" s="250"/>
      <c r="BSZ176" s="250"/>
      <c r="BTA176" s="250"/>
      <c r="BTB176" s="250"/>
      <c r="BTC176" s="250"/>
      <c r="BTD176" s="250"/>
      <c r="BTE176" s="250"/>
      <c r="BTF176" s="250"/>
      <c r="BTG176" s="250"/>
      <c r="BTH176" s="250"/>
      <c r="BTI176" s="250"/>
      <c r="BTJ176" s="250"/>
      <c r="BTK176" s="250"/>
      <c r="BTL176" s="250"/>
      <c r="BTM176" s="250"/>
      <c r="BTN176" s="250"/>
      <c r="BTO176" s="250"/>
      <c r="BTP176" s="250"/>
      <c r="BTQ176" s="250"/>
      <c r="BTR176" s="250"/>
      <c r="BTS176" s="250"/>
      <c r="BTT176" s="250"/>
      <c r="BTU176" s="250"/>
      <c r="BTV176" s="250"/>
      <c r="BTW176" s="250"/>
      <c r="BTX176" s="250"/>
      <c r="BTY176" s="250"/>
      <c r="BTZ176" s="250"/>
      <c r="BUA176" s="250"/>
      <c r="BUB176" s="250"/>
      <c r="BUC176" s="250"/>
      <c r="BUD176" s="250"/>
      <c r="BUE176" s="250"/>
      <c r="BUF176" s="250"/>
      <c r="BUG176" s="250"/>
      <c r="BUH176" s="250"/>
      <c r="BUI176" s="250"/>
      <c r="BUJ176" s="250"/>
      <c r="BUK176" s="250"/>
      <c r="BUL176" s="250"/>
      <c r="BUM176" s="250"/>
      <c r="BUN176" s="250"/>
      <c r="BUO176" s="250"/>
      <c r="BUP176" s="250"/>
      <c r="BUQ176" s="250"/>
      <c r="BUR176" s="250"/>
      <c r="BUS176" s="250"/>
      <c r="BUT176" s="250"/>
      <c r="BUU176" s="250"/>
      <c r="BUV176" s="250"/>
      <c r="BUW176" s="250"/>
      <c r="BUX176" s="250"/>
      <c r="BUY176" s="250"/>
      <c r="BUZ176" s="250"/>
      <c r="BVA176" s="250"/>
      <c r="BVB176" s="250"/>
      <c r="BVC176" s="250"/>
      <c r="BVD176" s="250"/>
      <c r="BVE176" s="250"/>
      <c r="BVF176" s="250"/>
      <c r="BVG176" s="250"/>
      <c r="BVH176" s="250"/>
      <c r="BVI176" s="250"/>
      <c r="BVJ176" s="250"/>
      <c r="BVK176" s="250"/>
      <c r="BVL176" s="250"/>
      <c r="BVM176" s="250"/>
      <c r="BVN176" s="250"/>
      <c r="BVO176" s="250"/>
      <c r="BVP176" s="250"/>
      <c r="BVQ176" s="250"/>
      <c r="BVR176" s="250"/>
      <c r="BVS176" s="250"/>
      <c r="BVT176" s="250"/>
      <c r="BVU176" s="250"/>
      <c r="BVV176" s="250"/>
      <c r="BVW176" s="250"/>
      <c r="BVX176" s="250"/>
      <c r="BVY176" s="250"/>
      <c r="BVZ176" s="250"/>
      <c r="BWA176" s="250"/>
      <c r="BWB176" s="250"/>
      <c r="BWC176" s="250"/>
      <c r="BWD176" s="250"/>
      <c r="BWE176" s="250"/>
      <c r="BWF176" s="250"/>
      <c r="BWG176" s="250"/>
      <c r="BWH176" s="250"/>
      <c r="BWI176" s="250"/>
      <c r="BWJ176" s="250"/>
      <c r="BWK176" s="250"/>
      <c r="BWL176" s="250"/>
      <c r="BWM176" s="250"/>
      <c r="BWN176" s="250"/>
      <c r="BWO176" s="250"/>
      <c r="BWP176" s="250"/>
      <c r="BWQ176" s="250"/>
      <c r="BWR176" s="250"/>
      <c r="BWS176" s="250"/>
      <c r="BWT176" s="250"/>
      <c r="BWU176" s="250"/>
      <c r="BWV176" s="250"/>
      <c r="BWW176" s="250"/>
      <c r="BWX176" s="250"/>
      <c r="BWY176" s="250"/>
      <c r="BWZ176" s="250"/>
      <c r="BXA176" s="250"/>
      <c r="BXB176" s="250"/>
      <c r="BXC176" s="250"/>
      <c r="BXD176" s="250"/>
      <c r="BXE176" s="250"/>
      <c r="BXF176" s="250"/>
      <c r="BXG176" s="250"/>
      <c r="BXH176" s="250"/>
      <c r="BXI176" s="250"/>
      <c r="BXJ176" s="250"/>
      <c r="BXK176" s="250"/>
      <c r="BXL176" s="250"/>
      <c r="BXM176" s="250"/>
      <c r="BXN176" s="250"/>
      <c r="BXO176" s="250"/>
      <c r="BXP176" s="250"/>
      <c r="BXQ176" s="250"/>
      <c r="BXR176" s="250"/>
      <c r="BXS176" s="250"/>
      <c r="BXT176" s="250"/>
      <c r="BXU176" s="250"/>
      <c r="BXV176" s="250"/>
      <c r="BXW176" s="250"/>
      <c r="BXX176" s="250"/>
      <c r="BXY176" s="250"/>
      <c r="BXZ176" s="250"/>
      <c r="BYA176" s="250"/>
      <c r="BYB176" s="250"/>
      <c r="BYC176" s="250"/>
      <c r="BYD176" s="250"/>
      <c r="BYE176" s="250"/>
      <c r="BYF176" s="250"/>
      <c r="BYG176" s="250"/>
      <c r="BYH176" s="250"/>
      <c r="BYI176" s="250"/>
      <c r="BYJ176" s="250"/>
      <c r="BYK176" s="250"/>
      <c r="BYL176" s="250"/>
      <c r="BYM176" s="250"/>
      <c r="BYN176" s="250"/>
      <c r="BYO176" s="250"/>
      <c r="BYP176" s="250"/>
      <c r="BYQ176" s="250"/>
      <c r="BYR176" s="250"/>
      <c r="BYS176" s="250"/>
      <c r="BYT176" s="250"/>
      <c r="BYU176" s="250"/>
      <c r="BYV176" s="250"/>
      <c r="BYW176" s="250"/>
      <c r="BYX176" s="250"/>
      <c r="BYY176" s="250"/>
      <c r="BYZ176" s="250"/>
      <c r="BZA176" s="250"/>
      <c r="BZB176" s="250"/>
      <c r="BZC176" s="250"/>
      <c r="BZD176" s="250"/>
      <c r="BZE176" s="250"/>
      <c r="BZF176" s="250"/>
      <c r="BZG176" s="250"/>
      <c r="BZH176" s="250"/>
      <c r="BZI176" s="250"/>
      <c r="BZJ176" s="250"/>
      <c r="BZK176" s="250"/>
      <c r="BZL176" s="250"/>
      <c r="BZM176" s="250"/>
      <c r="BZN176" s="250"/>
      <c r="BZO176" s="250"/>
      <c r="BZP176" s="250"/>
      <c r="BZQ176" s="250"/>
      <c r="BZR176" s="250"/>
      <c r="BZS176" s="250"/>
      <c r="BZT176" s="250"/>
      <c r="BZU176" s="250"/>
      <c r="BZV176" s="250"/>
      <c r="BZW176" s="250"/>
      <c r="BZX176" s="250"/>
      <c r="BZY176" s="250"/>
      <c r="BZZ176" s="250"/>
      <c r="CAA176" s="250"/>
      <c r="CAB176" s="250"/>
      <c r="CAC176" s="250"/>
      <c r="CAD176" s="250"/>
      <c r="CAE176" s="250"/>
      <c r="CAF176" s="250"/>
      <c r="CAG176" s="250"/>
      <c r="CAH176" s="250"/>
      <c r="CAI176" s="250"/>
      <c r="CAJ176" s="250"/>
      <c r="CAK176" s="250"/>
      <c r="CAL176" s="250"/>
      <c r="CAM176" s="250"/>
      <c r="CAN176" s="250"/>
      <c r="CAO176" s="250"/>
      <c r="CAP176" s="250"/>
      <c r="CAQ176" s="250"/>
      <c r="CAR176" s="250"/>
      <c r="CAS176" s="250"/>
      <c r="CAT176" s="250"/>
      <c r="CAU176" s="250"/>
      <c r="CAV176" s="250"/>
      <c r="CAW176" s="250"/>
      <c r="CAX176" s="250"/>
      <c r="CAY176" s="250"/>
      <c r="CAZ176" s="250"/>
      <c r="CBA176" s="250"/>
      <c r="CBB176" s="250"/>
      <c r="CBC176" s="250"/>
      <c r="CBD176" s="250"/>
      <c r="CBE176" s="250"/>
      <c r="CBF176" s="250"/>
      <c r="CBG176" s="250"/>
      <c r="CBH176" s="250"/>
      <c r="CBI176" s="250"/>
      <c r="CBJ176" s="250"/>
      <c r="CBK176" s="250"/>
      <c r="CBL176" s="250"/>
      <c r="CBM176" s="250"/>
      <c r="CBN176" s="250"/>
      <c r="CBO176" s="250"/>
      <c r="CBP176" s="250"/>
      <c r="CBQ176" s="250"/>
      <c r="CBR176" s="250"/>
      <c r="CBS176" s="250"/>
      <c r="CBT176" s="250"/>
      <c r="CBU176" s="250"/>
      <c r="CBV176" s="250"/>
      <c r="CBW176" s="250"/>
      <c r="CBX176" s="250"/>
      <c r="CBY176" s="250"/>
      <c r="CBZ176" s="250"/>
      <c r="CCA176" s="250"/>
      <c r="CCB176" s="250"/>
      <c r="CCC176" s="250"/>
      <c r="CCD176" s="250"/>
      <c r="CCE176" s="250"/>
      <c r="CCF176" s="250"/>
      <c r="CCG176" s="250"/>
      <c r="CCH176" s="250"/>
      <c r="CCI176" s="250"/>
      <c r="CCJ176" s="250"/>
      <c r="CCK176" s="250"/>
      <c r="CCL176" s="250"/>
      <c r="CCM176" s="250"/>
      <c r="CCN176" s="250"/>
      <c r="CCO176" s="250"/>
      <c r="CCP176" s="250"/>
      <c r="CCQ176" s="250"/>
      <c r="CCR176" s="250"/>
      <c r="CCS176" s="250"/>
      <c r="CCT176" s="250"/>
      <c r="CCU176" s="250"/>
      <c r="CCV176" s="250"/>
      <c r="CCW176" s="250"/>
      <c r="CCX176" s="250"/>
      <c r="CCY176" s="250"/>
      <c r="CCZ176" s="250"/>
      <c r="CDA176" s="250"/>
      <c r="CDB176" s="250"/>
      <c r="CDC176" s="250"/>
      <c r="CDD176" s="250"/>
      <c r="CDE176" s="250"/>
      <c r="CDF176" s="250"/>
      <c r="CDG176" s="250"/>
      <c r="CDH176" s="250"/>
      <c r="CDI176" s="250"/>
      <c r="CDJ176" s="250"/>
      <c r="CDK176" s="250"/>
      <c r="CDL176" s="250"/>
      <c r="CDM176" s="250"/>
      <c r="CDN176" s="250"/>
      <c r="CDO176" s="250"/>
      <c r="CDP176" s="250"/>
      <c r="CDQ176" s="250"/>
      <c r="CDR176" s="250"/>
      <c r="CDS176" s="250"/>
      <c r="CDT176" s="250"/>
      <c r="CDU176" s="250"/>
      <c r="CDV176" s="250"/>
      <c r="CDW176" s="250"/>
      <c r="CDX176" s="250"/>
      <c r="CDY176" s="250"/>
      <c r="CDZ176" s="250"/>
      <c r="CEA176" s="250"/>
      <c r="CEB176" s="250"/>
      <c r="CEC176" s="250"/>
      <c r="CED176" s="250"/>
      <c r="CEE176" s="250"/>
      <c r="CEF176" s="250"/>
      <c r="CEG176" s="250"/>
      <c r="CEH176" s="250"/>
      <c r="CEI176" s="250"/>
      <c r="CEJ176" s="250"/>
      <c r="CEK176" s="250"/>
      <c r="CEL176" s="250"/>
      <c r="CEM176" s="250"/>
      <c r="CEN176" s="250"/>
      <c r="CEO176" s="250"/>
      <c r="CEP176" s="250"/>
      <c r="CEQ176" s="250"/>
      <c r="CER176" s="250"/>
      <c r="CES176" s="250"/>
      <c r="CET176" s="250"/>
      <c r="CEU176" s="250"/>
      <c r="CEV176" s="250"/>
      <c r="CEW176" s="250"/>
      <c r="CEX176" s="250"/>
      <c r="CEY176" s="250"/>
      <c r="CEZ176" s="250"/>
      <c r="CFA176" s="250"/>
      <c r="CFB176" s="250"/>
      <c r="CFC176" s="250"/>
      <c r="CFD176" s="250"/>
      <c r="CFE176" s="250"/>
      <c r="CFF176" s="250"/>
      <c r="CFG176" s="250"/>
      <c r="CFH176" s="250"/>
      <c r="CFI176" s="250"/>
      <c r="CFJ176" s="250"/>
      <c r="CFK176" s="250"/>
      <c r="CFL176" s="250"/>
      <c r="CFM176" s="250"/>
      <c r="CFN176" s="250"/>
      <c r="CFO176" s="250"/>
      <c r="CFP176" s="250"/>
      <c r="CFQ176" s="250"/>
      <c r="CFR176" s="250"/>
      <c r="CFS176" s="250"/>
      <c r="CFT176" s="250"/>
      <c r="CFU176" s="250"/>
      <c r="CFV176" s="250"/>
      <c r="CFW176" s="250"/>
      <c r="CFX176" s="250"/>
      <c r="CFY176" s="250"/>
      <c r="CFZ176" s="250"/>
      <c r="CGA176" s="250"/>
      <c r="CGB176" s="250"/>
      <c r="CGC176" s="250"/>
      <c r="CGD176" s="250"/>
      <c r="CGE176" s="250"/>
      <c r="CGF176" s="250"/>
      <c r="CGG176" s="250"/>
      <c r="CGH176" s="250"/>
      <c r="CGI176" s="250"/>
      <c r="CGJ176" s="250"/>
      <c r="CGK176" s="250"/>
      <c r="CGL176" s="250"/>
      <c r="CGM176" s="250"/>
      <c r="CGN176" s="250"/>
      <c r="CGO176" s="250"/>
      <c r="CGP176" s="250"/>
      <c r="CGQ176" s="250"/>
      <c r="CGR176" s="250"/>
      <c r="CGS176" s="250"/>
      <c r="CGT176" s="250"/>
      <c r="CGU176" s="250"/>
      <c r="CGV176" s="250"/>
      <c r="CGW176" s="250"/>
      <c r="CGX176" s="250"/>
      <c r="CGY176" s="250"/>
      <c r="CGZ176" s="250"/>
      <c r="CHA176" s="250"/>
      <c r="CHB176" s="250"/>
      <c r="CHC176" s="250"/>
      <c r="CHD176" s="250"/>
      <c r="CHE176" s="250"/>
      <c r="CHF176" s="250"/>
      <c r="CHG176" s="250"/>
      <c r="CHH176" s="250"/>
      <c r="CHI176" s="250"/>
      <c r="CHJ176" s="250"/>
      <c r="CHK176" s="250"/>
      <c r="CHL176" s="250"/>
      <c r="CHM176" s="250"/>
      <c r="CHN176" s="250"/>
      <c r="CHO176" s="250"/>
      <c r="CHP176" s="250"/>
      <c r="CHQ176" s="250"/>
      <c r="CHR176" s="250"/>
      <c r="CHS176" s="250"/>
      <c r="CHT176" s="250"/>
      <c r="CHU176" s="250"/>
      <c r="CHV176" s="250"/>
      <c r="CHW176" s="250"/>
      <c r="CHX176" s="250"/>
      <c r="CHY176" s="250"/>
      <c r="CHZ176" s="250"/>
      <c r="CIA176" s="250"/>
      <c r="CIB176" s="250"/>
      <c r="CIC176" s="250"/>
      <c r="CID176" s="250"/>
      <c r="CIE176" s="250"/>
      <c r="CIF176" s="250"/>
      <c r="CIG176" s="250"/>
      <c r="CIH176" s="250"/>
      <c r="CII176" s="250"/>
      <c r="CIJ176" s="250"/>
      <c r="CIK176" s="250"/>
      <c r="CIL176" s="250"/>
      <c r="CIM176" s="250"/>
      <c r="CIN176" s="250"/>
      <c r="CIO176" s="250"/>
      <c r="CIP176" s="250"/>
      <c r="CIQ176" s="250"/>
      <c r="CIR176" s="250"/>
      <c r="CIS176" s="250"/>
      <c r="CIT176" s="250"/>
      <c r="CIU176" s="250"/>
      <c r="CIV176" s="250"/>
      <c r="CIW176" s="250"/>
      <c r="CIX176" s="250"/>
      <c r="CIY176" s="250"/>
      <c r="CIZ176" s="250"/>
      <c r="CJA176" s="250"/>
      <c r="CJB176" s="250"/>
      <c r="CJC176" s="250"/>
      <c r="CJD176" s="250"/>
      <c r="CJE176" s="250"/>
      <c r="CJF176" s="250"/>
      <c r="CJG176" s="250"/>
      <c r="CJH176" s="250"/>
      <c r="CJI176" s="250"/>
      <c r="CJJ176" s="250"/>
      <c r="CJK176" s="250"/>
      <c r="CJL176" s="250"/>
      <c r="CJM176" s="250"/>
      <c r="CJN176" s="250"/>
      <c r="CJO176" s="250"/>
      <c r="CJP176" s="250"/>
      <c r="CJQ176" s="250"/>
      <c r="CJR176" s="250"/>
      <c r="CJS176" s="250"/>
      <c r="CJT176" s="250"/>
      <c r="CJU176" s="250"/>
      <c r="CJV176" s="250"/>
      <c r="CJW176" s="250"/>
      <c r="CJX176" s="250"/>
      <c r="CJY176" s="250"/>
      <c r="CJZ176" s="250"/>
      <c r="CKA176" s="250"/>
      <c r="CKB176" s="250"/>
      <c r="CKC176" s="250"/>
      <c r="CKD176" s="250"/>
      <c r="CKE176" s="250"/>
      <c r="CKF176" s="250"/>
      <c r="CKG176" s="250"/>
      <c r="CKH176" s="250"/>
      <c r="CKI176" s="250"/>
      <c r="CKJ176" s="250"/>
      <c r="CKK176" s="250"/>
      <c r="CKL176" s="250"/>
      <c r="CKM176" s="250"/>
      <c r="CKN176" s="250"/>
      <c r="CKO176" s="250"/>
      <c r="CKP176" s="250"/>
      <c r="CKQ176" s="250"/>
      <c r="CKR176" s="250"/>
      <c r="CKS176" s="250"/>
      <c r="CKT176" s="250"/>
      <c r="CKU176" s="250"/>
      <c r="CKV176" s="250"/>
      <c r="CKW176" s="250"/>
      <c r="CKX176" s="250"/>
      <c r="CKY176" s="250"/>
      <c r="CKZ176" s="250"/>
      <c r="CLA176" s="250"/>
      <c r="CLB176" s="250"/>
      <c r="CLC176" s="250"/>
      <c r="CLD176" s="250"/>
      <c r="CLE176" s="250"/>
      <c r="CLF176" s="250"/>
      <c r="CLG176" s="250"/>
      <c r="CLH176" s="250"/>
      <c r="CLI176" s="250"/>
      <c r="CLJ176" s="250"/>
      <c r="CLK176" s="250"/>
      <c r="CLL176" s="250"/>
      <c r="CLM176" s="250"/>
      <c r="CLN176" s="250"/>
      <c r="CLO176" s="250"/>
      <c r="CLP176" s="250"/>
      <c r="CLQ176" s="250"/>
      <c r="CLR176" s="250"/>
      <c r="CLS176" s="250"/>
      <c r="CLT176" s="250"/>
      <c r="CLU176" s="250"/>
      <c r="CLV176" s="250"/>
      <c r="CLW176" s="250"/>
      <c r="CLX176" s="250"/>
      <c r="CLY176" s="250"/>
      <c r="CLZ176" s="250"/>
      <c r="CMA176" s="250"/>
      <c r="CMB176" s="250"/>
      <c r="CMC176" s="250"/>
      <c r="CMD176" s="250"/>
      <c r="CME176" s="250"/>
      <c r="CMF176" s="250"/>
      <c r="CMG176" s="250"/>
      <c r="CMH176" s="250"/>
      <c r="CMI176" s="250"/>
      <c r="CMJ176" s="250"/>
      <c r="CMK176" s="250"/>
      <c r="CML176" s="250"/>
      <c r="CMM176" s="250"/>
      <c r="CMN176" s="250"/>
      <c r="CMO176" s="250"/>
      <c r="CMP176" s="250"/>
      <c r="CMQ176" s="250"/>
      <c r="CMR176" s="250"/>
      <c r="CMS176" s="250"/>
      <c r="CMT176" s="250"/>
      <c r="CMU176" s="250"/>
      <c r="CMV176" s="250"/>
      <c r="CMW176" s="250"/>
      <c r="CMX176" s="250"/>
      <c r="CMY176" s="250"/>
      <c r="CMZ176" s="250"/>
      <c r="CNA176" s="250"/>
      <c r="CNB176" s="250"/>
      <c r="CNC176" s="250"/>
      <c r="CND176" s="250"/>
      <c r="CNE176" s="250"/>
      <c r="CNF176" s="250"/>
      <c r="CNG176" s="250"/>
      <c r="CNH176" s="250"/>
      <c r="CNI176" s="250"/>
      <c r="CNJ176" s="250"/>
      <c r="CNK176" s="250"/>
      <c r="CNL176" s="250"/>
      <c r="CNM176" s="250"/>
      <c r="CNN176" s="250"/>
      <c r="CNO176" s="250"/>
      <c r="CNP176" s="250"/>
      <c r="CNQ176" s="250"/>
      <c r="CNR176" s="250"/>
      <c r="CNS176" s="250"/>
      <c r="CNT176" s="250"/>
      <c r="CNU176" s="250"/>
      <c r="CNV176" s="250"/>
      <c r="CNW176" s="250"/>
      <c r="CNX176" s="250"/>
      <c r="CNY176" s="250"/>
      <c r="CNZ176" s="250"/>
      <c r="COA176" s="250"/>
      <c r="COB176" s="250"/>
      <c r="COC176" s="250"/>
      <c r="COD176" s="250"/>
      <c r="COE176" s="250"/>
      <c r="COF176" s="250"/>
      <c r="COG176" s="250"/>
      <c r="COH176" s="250"/>
      <c r="COI176" s="250"/>
      <c r="COJ176" s="250"/>
      <c r="COK176" s="250"/>
      <c r="COL176" s="250"/>
      <c r="COM176" s="250"/>
      <c r="CON176" s="250"/>
      <c r="COO176" s="250"/>
      <c r="COP176" s="250"/>
      <c r="COQ176" s="250"/>
      <c r="COR176" s="250"/>
      <c r="COS176" s="250"/>
      <c r="COT176" s="250"/>
      <c r="COU176" s="250"/>
      <c r="COV176" s="250"/>
      <c r="COW176" s="250"/>
      <c r="COX176" s="250"/>
      <c r="COY176" s="250"/>
      <c r="COZ176" s="250"/>
      <c r="CPA176" s="250"/>
      <c r="CPB176" s="250"/>
      <c r="CPC176" s="250"/>
      <c r="CPD176" s="250"/>
      <c r="CPE176" s="250"/>
      <c r="CPF176" s="250"/>
      <c r="CPG176" s="250"/>
      <c r="CPH176" s="250"/>
      <c r="CPI176" s="250"/>
      <c r="CPJ176" s="250"/>
      <c r="CPK176" s="250"/>
      <c r="CPL176" s="250"/>
      <c r="CPM176" s="250"/>
      <c r="CPN176" s="250"/>
      <c r="CPO176" s="250"/>
      <c r="CPP176" s="250"/>
      <c r="CPQ176" s="250"/>
      <c r="CPR176" s="250"/>
      <c r="CPS176" s="250"/>
      <c r="CPT176" s="250"/>
      <c r="CPU176" s="250"/>
      <c r="CPV176" s="250"/>
      <c r="CPW176" s="250"/>
      <c r="CPX176" s="250"/>
      <c r="CPY176" s="250"/>
      <c r="CPZ176" s="250"/>
      <c r="CQA176" s="250"/>
      <c r="CQB176" s="250"/>
      <c r="CQC176" s="250"/>
      <c r="CQD176" s="250"/>
      <c r="CQE176" s="250"/>
      <c r="CQF176" s="250"/>
      <c r="CQG176" s="250"/>
      <c r="CQH176" s="250"/>
      <c r="CQI176" s="250"/>
      <c r="CQJ176" s="250"/>
      <c r="CQK176" s="250"/>
      <c r="CQL176" s="250"/>
      <c r="CQM176" s="250"/>
      <c r="CQN176" s="250"/>
      <c r="CQO176" s="250"/>
      <c r="CQP176" s="250"/>
      <c r="CQQ176" s="250"/>
      <c r="CQR176" s="250"/>
      <c r="CQS176" s="250"/>
      <c r="CQT176" s="250"/>
      <c r="CQU176" s="250"/>
      <c r="CQV176" s="250"/>
      <c r="CQW176" s="250"/>
      <c r="CQX176" s="250"/>
      <c r="CQY176" s="250"/>
      <c r="CQZ176" s="250"/>
      <c r="CRA176" s="250"/>
      <c r="CRB176" s="250"/>
      <c r="CRC176" s="250"/>
      <c r="CRD176" s="250"/>
      <c r="CRE176" s="250"/>
      <c r="CRF176" s="250"/>
      <c r="CRG176" s="250"/>
      <c r="CRH176" s="250"/>
      <c r="CRI176" s="250"/>
      <c r="CRJ176" s="250"/>
      <c r="CRK176" s="250"/>
      <c r="CRL176" s="250"/>
      <c r="CRM176" s="250"/>
      <c r="CRN176" s="250"/>
      <c r="CRO176" s="250"/>
      <c r="CRP176" s="250"/>
      <c r="CRQ176" s="250"/>
      <c r="CRR176" s="250"/>
      <c r="CRS176" s="250"/>
      <c r="CRT176" s="250"/>
      <c r="CRU176" s="250"/>
      <c r="CRV176" s="250"/>
      <c r="CRW176" s="250"/>
      <c r="CRX176" s="250"/>
      <c r="CRY176" s="250"/>
      <c r="CRZ176" s="250"/>
      <c r="CSA176" s="250"/>
      <c r="CSB176" s="250"/>
      <c r="CSC176" s="250"/>
      <c r="CSD176" s="250"/>
      <c r="CSE176" s="250"/>
      <c r="CSF176" s="250"/>
      <c r="CSG176" s="250"/>
      <c r="CSH176" s="250"/>
      <c r="CSI176" s="250"/>
      <c r="CSJ176" s="250"/>
      <c r="CSK176" s="250"/>
      <c r="CSL176" s="250"/>
      <c r="CSM176" s="250"/>
      <c r="CSN176" s="250"/>
      <c r="CSO176" s="250"/>
      <c r="CSP176" s="250"/>
      <c r="CSQ176" s="250"/>
      <c r="CSR176" s="250"/>
      <c r="CSS176" s="250"/>
      <c r="CST176" s="250"/>
      <c r="CSU176" s="250"/>
      <c r="CSV176" s="250"/>
      <c r="CSW176" s="250"/>
      <c r="CSX176" s="250"/>
      <c r="CSY176" s="250"/>
      <c r="CSZ176" s="250"/>
      <c r="CTA176" s="250"/>
      <c r="CTB176" s="250"/>
      <c r="CTC176" s="250"/>
      <c r="CTD176" s="250"/>
      <c r="CTE176" s="250"/>
      <c r="CTF176" s="250"/>
      <c r="CTG176" s="250"/>
      <c r="CTH176" s="250"/>
      <c r="CTI176" s="250"/>
      <c r="CTJ176" s="250"/>
      <c r="CTK176" s="250"/>
      <c r="CTL176" s="250"/>
      <c r="CTM176" s="250"/>
      <c r="CTN176" s="250"/>
      <c r="CTO176" s="250"/>
      <c r="CTP176" s="250"/>
      <c r="CTQ176" s="250"/>
      <c r="CTR176" s="250"/>
      <c r="CTS176" s="250"/>
      <c r="CTT176" s="250"/>
      <c r="CTU176" s="250"/>
      <c r="CTV176" s="250"/>
      <c r="CTW176" s="250"/>
      <c r="CTX176" s="250"/>
      <c r="CTY176" s="250"/>
      <c r="CTZ176" s="250"/>
      <c r="CUA176" s="250"/>
      <c r="CUB176" s="250"/>
      <c r="CUC176" s="250"/>
      <c r="CUD176" s="250"/>
      <c r="CUE176" s="250"/>
      <c r="CUF176" s="250"/>
      <c r="CUG176" s="250"/>
      <c r="CUH176" s="250"/>
      <c r="CUI176" s="250"/>
      <c r="CUJ176" s="250"/>
      <c r="CUK176" s="250"/>
      <c r="CUL176" s="250"/>
      <c r="CUM176" s="250"/>
      <c r="CUN176" s="250"/>
      <c r="CUO176" s="250"/>
      <c r="CUP176" s="250"/>
      <c r="CUQ176" s="250"/>
      <c r="CUR176" s="250"/>
      <c r="CUS176" s="250"/>
      <c r="CUT176" s="250"/>
      <c r="CUU176" s="250"/>
      <c r="CUV176" s="250"/>
      <c r="CUW176" s="250"/>
      <c r="CUX176" s="250"/>
      <c r="CUY176" s="250"/>
      <c r="CUZ176" s="250"/>
      <c r="CVA176" s="250"/>
      <c r="CVB176" s="250"/>
      <c r="CVC176" s="250"/>
      <c r="CVD176" s="250"/>
      <c r="CVE176" s="250"/>
      <c r="CVF176" s="250"/>
      <c r="CVG176" s="250"/>
      <c r="CVH176" s="250"/>
      <c r="CVI176" s="250"/>
      <c r="CVJ176" s="250"/>
      <c r="CVK176" s="250"/>
      <c r="CVL176" s="250"/>
      <c r="CVM176" s="250"/>
      <c r="CVN176" s="250"/>
      <c r="CVO176" s="250"/>
      <c r="CVP176" s="250"/>
      <c r="CVQ176" s="250"/>
      <c r="CVR176" s="250"/>
      <c r="CVS176" s="250"/>
      <c r="CVT176" s="250"/>
      <c r="CVU176" s="250"/>
      <c r="CVV176" s="250"/>
      <c r="CVW176" s="250"/>
      <c r="CVX176" s="250"/>
      <c r="CVY176" s="250"/>
      <c r="CVZ176" s="250"/>
      <c r="CWA176" s="250"/>
      <c r="CWB176" s="250"/>
      <c r="CWC176" s="250"/>
      <c r="CWD176" s="250"/>
      <c r="CWE176" s="250"/>
      <c r="CWF176" s="250"/>
      <c r="CWG176" s="250"/>
      <c r="CWH176" s="250"/>
      <c r="CWI176" s="250"/>
      <c r="CWJ176" s="250"/>
      <c r="CWK176" s="250"/>
      <c r="CWL176" s="250"/>
      <c r="CWM176" s="250"/>
      <c r="CWN176" s="250"/>
      <c r="CWO176" s="250"/>
      <c r="CWP176" s="250"/>
      <c r="CWQ176" s="250"/>
      <c r="CWR176" s="250"/>
      <c r="CWS176" s="250"/>
      <c r="CWT176" s="250"/>
      <c r="CWU176" s="250"/>
      <c r="CWV176" s="250"/>
      <c r="CWW176" s="250"/>
      <c r="CWX176" s="250"/>
      <c r="CWY176" s="250"/>
      <c r="CWZ176" s="250"/>
      <c r="CXA176" s="250"/>
      <c r="CXB176" s="250"/>
      <c r="CXC176" s="250"/>
      <c r="CXD176" s="250"/>
      <c r="CXE176" s="250"/>
      <c r="CXF176" s="250"/>
      <c r="CXG176" s="250"/>
      <c r="CXH176" s="250"/>
      <c r="CXI176" s="250"/>
      <c r="CXJ176" s="250"/>
      <c r="CXK176" s="250"/>
      <c r="CXL176" s="250"/>
      <c r="CXM176" s="250"/>
      <c r="CXN176" s="250"/>
      <c r="CXO176" s="250"/>
      <c r="CXP176" s="250"/>
      <c r="CXQ176" s="250"/>
      <c r="CXR176" s="250"/>
      <c r="CXS176" s="250"/>
      <c r="CXT176" s="250"/>
      <c r="CXU176" s="250"/>
      <c r="CXV176" s="250"/>
      <c r="CXW176" s="250"/>
      <c r="CXX176" s="250"/>
      <c r="CXY176" s="250"/>
      <c r="CXZ176" s="250"/>
      <c r="CYA176" s="250"/>
      <c r="CYB176" s="250"/>
      <c r="CYC176" s="250"/>
      <c r="CYD176" s="250"/>
      <c r="CYE176" s="250"/>
      <c r="CYF176" s="250"/>
      <c r="CYG176" s="250"/>
      <c r="CYH176" s="250"/>
      <c r="CYI176" s="250"/>
      <c r="CYJ176" s="250"/>
      <c r="CYK176" s="250"/>
      <c r="CYL176" s="250"/>
      <c r="CYM176" s="250"/>
      <c r="CYN176" s="250"/>
      <c r="CYO176" s="250"/>
      <c r="CYP176" s="250"/>
      <c r="CYQ176" s="250"/>
      <c r="CYR176" s="250"/>
      <c r="CYS176" s="250"/>
      <c r="CYT176" s="250"/>
      <c r="CYU176" s="250"/>
      <c r="CYV176" s="250"/>
      <c r="CYW176" s="250"/>
      <c r="CYX176" s="250"/>
      <c r="CYY176" s="250"/>
      <c r="CYZ176" s="250"/>
      <c r="CZA176" s="250"/>
      <c r="CZB176" s="250"/>
      <c r="CZC176" s="250"/>
      <c r="CZD176" s="250"/>
      <c r="CZE176" s="250"/>
      <c r="CZF176" s="250"/>
      <c r="CZG176" s="250"/>
      <c r="CZH176" s="250"/>
      <c r="CZI176" s="250"/>
      <c r="CZJ176" s="250"/>
      <c r="CZK176" s="250"/>
      <c r="CZL176" s="250"/>
      <c r="CZM176" s="250"/>
      <c r="CZN176" s="250"/>
      <c r="CZO176" s="250"/>
      <c r="CZP176" s="250"/>
      <c r="CZQ176" s="250"/>
      <c r="CZR176" s="250"/>
      <c r="CZS176" s="250"/>
      <c r="CZT176" s="250"/>
      <c r="CZU176" s="250"/>
      <c r="CZV176" s="250"/>
      <c r="CZW176" s="250"/>
      <c r="CZX176" s="250"/>
      <c r="CZY176" s="250"/>
      <c r="CZZ176" s="250"/>
      <c r="DAA176" s="250"/>
      <c r="DAB176" s="250"/>
      <c r="DAC176" s="250"/>
      <c r="DAD176" s="250"/>
      <c r="DAE176" s="250"/>
      <c r="DAF176" s="250"/>
      <c r="DAG176" s="250"/>
      <c r="DAH176" s="250"/>
      <c r="DAI176" s="250"/>
      <c r="DAJ176" s="250"/>
      <c r="DAK176" s="250"/>
      <c r="DAL176" s="250"/>
      <c r="DAM176" s="250"/>
      <c r="DAN176" s="250"/>
      <c r="DAO176" s="250"/>
      <c r="DAP176" s="250"/>
      <c r="DAQ176" s="250"/>
      <c r="DAR176" s="250"/>
      <c r="DAS176" s="250"/>
      <c r="DAT176" s="250"/>
      <c r="DAU176" s="250"/>
      <c r="DAV176" s="250"/>
      <c r="DAW176" s="250"/>
      <c r="DAX176" s="250"/>
      <c r="DAY176" s="250"/>
      <c r="DAZ176" s="250"/>
      <c r="DBA176" s="250"/>
      <c r="DBB176" s="250"/>
      <c r="DBC176" s="250"/>
      <c r="DBD176" s="250"/>
      <c r="DBE176" s="250"/>
      <c r="DBF176" s="250"/>
      <c r="DBG176" s="250"/>
      <c r="DBH176" s="250"/>
      <c r="DBI176" s="250"/>
      <c r="DBJ176" s="250"/>
      <c r="DBK176" s="250"/>
      <c r="DBL176" s="250"/>
      <c r="DBM176" s="250"/>
      <c r="DBN176" s="250"/>
      <c r="DBO176" s="250"/>
      <c r="DBP176" s="250"/>
      <c r="DBQ176" s="250"/>
      <c r="DBR176" s="250"/>
      <c r="DBS176" s="250"/>
      <c r="DBT176" s="250"/>
      <c r="DBU176" s="250"/>
      <c r="DBV176" s="250"/>
      <c r="DBW176" s="250"/>
      <c r="DBX176" s="250"/>
      <c r="DBY176" s="250"/>
      <c r="DBZ176" s="250"/>
      <c r="DCA176" s="250"/>
      <c r="DCB176" s="250"/>
      <c r="DCC176" s="250"/>
      <c r="DCD176" s="250"/>
      <c r="DCE176" s="250"/>
      <c r="DCF176" s="250"/>
      <c r="DCG176" s="250"/>
      <c r="DCH176" s="250"/>
      <c r="DCI176" s="250"/>
      <c r="DCJ176" s="250"/>
      <c r="DCK176" s="250"/>
      <c r="DCL176" s="250"/>
      <c r="DCM176" s="250"/>
      <c r="DCN176" s="250"/>
      <c r="DCO176" s="250"/>
      <c r="DCP176" s="250"/>
      <c r="DCQ176" s="250"/>
      <c r="DCR176" s="250"/>
      <c r="DCS176" s="250"/>
      <c r="DCT176" s="250"/>
      <c r="DCU176" s="250"/>
      <c r="DCV176" s="250"/>
      <c r="DCW176" s="250"/>
      <c r="DCX176" s="250"/>
      <c r="DCY176" s="250"/>
      <c r="DCZ176" s="250"/>
      <c r="DDA176" s="250"/>
      <c r="DDB176" s="250"/>
      <c r="DDC176" s="250"/>
      <c r="DDD176" s="250"/>
      <c r="DDE176" s="250"/>
      <c r="DDF176" s="250"/>
      <c r="DDG176" s="250"/>
      <c r="DDH176" s="250"/>
      <c r="DDI176" s="250"/>
      <c r="DDJ176" s="250"/>
      <c r="DDK176" s="250"/>
      <c r="DDL176" s="250"/>
      <c r="DDM176" s="250"/>
      <c r="DDN176" s="250"/>
      <c r="DDO176" s="250"/>
      <c r="DDP176" s="250"/>
      <c r="DDQ176" s="250"/>
      <c r="DDR176" s="250"/>
      <c r="DDS176" s="250"/>
      <c r="DDT176" s="250"/>
      <c r="DDU176" s="250"/>
      <c r="DDV176" s="250"/>
      <c r="DDW176" s="250"/>
      <c r="DDX176" s="250"/>
      <c r="DDY176" s="250"/>
      <c r="DDZ176" s="250"/>
      <c r="DEA176" s="250"/>
      <c r="DEB176" s="250"/>
      <c r="DEC176" s="250"/>
      <c r="DED176" s="250"/>
      <c r="DEE176" s="250"/>
      <c r="DEF176" s="250"/>
      <c r="DEG176" s="250"/>
      <c r="DEH176" s="250"/>
      <c r="DEI176" s="250"/>
      <c r="DEJ176" s="250"/>
      <c r="DEK176" s="250"/>
      <c r="DEL176" s="250"/>
      <c r="DEM176" s="250"/>
      <c r="DEN176" s="250"/>
      <c r="DEO176" s="250"/>
      <c r="DEP176" s="250"/>
      <c r="DEQ176" s="250"/>
      <c r="DER176" s="250"/>
      <c r="DES176" s="250"/>
      <c r="DET176" s="250"/>
      <c r="DEU176" s="250"/>
      <c r="DEV176" s="250"/>
      <c r="DEW176" s="250"/>
      <c r="DEX176" s="250"/>
      <c r="DEY176" s="250"/>
      <c r="DEZ176" s="250"/>
      <c r="DFA176" s="250"/>
      <c r="DFB176" s="250"/>
      <c r="DFC176" s="250"/>
      <c r="DFD176" s="250"/>
      <c r="DFE176" s="250"/>
      <c r="DFF176" s="250"/>
      <c r="DFG176" s="250"/>
      <c r="DFH176" s="250"/>
      <c r="DFI176" s="250"/>
      <c r="DFJ176" s="250"/>
      <c r="DFK176" s="250"/>
      <c r="DFL176" s="250"/>
      <c r="DFM176" s="250"/>
      <c r="DFN176" s="250"/>
      <c r="DFO176" s="250"/>
      <c r="DFP176" s="250"/>
      <c r="DFQ176" s="250"/>
      <c r="DFR176" s="250"/>
      <c r="DFS176" s="250"/>
      <c r="DFT176" s="250"/>
      <c r="DFU176" s="250"/>
      <c r="DFV176" s="250"/>
      <c r="DFW176" s="250"/>
      <c r="DFX176" s="250"/>
      <c r="DFY176" s="250"/>
      <c r="DFZ176" s="250"/>
      <c r="DGA176" s="250"/>
      <c r="DGB176" s="250"/>
      <c r="DGC176" s="250"/>
      <c r="DGD176" s="250"/>
      <c r="DGE176" s="250"/>
      <c r="DGF176" s="250"/>
      <c r="DGG176" s="250"/>
      <c r="DGH176" s="250"/>
      <c r="DGI176" s="250"/>
      <c r="DGJ176" s="250"/>
      <c r="DGK176" s="250"/>
      <c r="DGL176" s="250"/>
      <c r="DGM176" s="250"/>
      <c r="DGN176" s="250"/>
      <c r="DGO176" s="250"/>
      <c r="DGP176" s="250"/>
      <c r="DGQ176" s="250"/>
      <c r="DGR176" s="250"/>
      <c r="DGS176" s="250"/>
      <c r="DGT176" s="250"/>
      <c r="DGU176" s="250"/>
      <c r="DGV176" s="250"/>
      <c r="DGW176" s="250"/>
      <c r="DGX176" s="250"/>
      <c r="DGY176" s="250"/>
      <c r="DGZ176" s="250"/>
      <c r="DHA176" s="250"/>
      <c r="DHB176" s="250"/>
      <c r="DHC176" s="250"/>
      <c r="DHD176" s="250"/>
      <c r="DHE176" s="250"/>
      <c r="DHF176" s="250"/>
      <c r="DHG176" s="250"/>
      <c r="DHH176" s="250"/>
      <c r="DHI176" s="250"/>
      <c r="DHJ176" s="250"/>
      <c r="DHK176" s="250"/>
      <c r="DHL176" s="250"/>
      <c r="DHM176" s="250"/>
      <c r="DHN176" s="250"/>
      <c r="DHO176" s="250"/>
      <c r="DHP176" s="250"/>
      <c r="DHQ176" s="250"/>
      <c r="DHR176" s="250"/>
      <c r="DHS176" s="250"/>
      <c r="DHT176" s="250"/>
      <c r="DHU176" s="250"/>
      <c r="DHV176" s="250"/>
      <c r="DHW176" s="250"/>
      <c r="DHX176" s="250"/>
      <c r="DHY176" s="250"/>
      <c r="DHZ176" s="250"/>
      <c r="DIA176" s="250"/>
      <c r="DIB176" s="250"/>
      <c r="DIC176" s="250"/>
      <c r="DID176" s="250"/>
      <c r="DIE176" s="250"/>
      <c r="DIF176" s="250"/>
      <c r="DIG176" s="250"/>
      <c r="DIH176" s="250"/>
      <c r="DII176" s="250"/>
      <c r="DIJ176" s="250"/>
      <c r="DIK176" s="250"/>
      <c r="DIL176" s="250"/>
      <c r="DIM176" s="250"/>
      <c r="DIN176" s="250"/>
      <c r="DIO176" s="250"/>
      <c r="DIP176" s="250"/>
      <c r="DIQ176" s="250"/>
      <c r="DIR176" s="250"/>
      <c r="DIS176" s="250"/>
      <c r="DIT176" s="250"/>
      <c r="DIU176" s="250"/>
      <c r="DIV176" s="250"/>
      <c r="DIW176" s="250"/>
      <c r="DIX176" s="250"/>
      <c r="DIY176" s="250"/>
      <c r="DIZ176" s="250"/>
      <c r="DJA176" s="250"/>
      <c r="DJB176" s="250"/>
      <c r="DJC176" s="250"/>
      <c r="DJD176" s="250"/>
      <c r="DJE176" s="250"/>
      <c r="DJF176" s="250"/>
      <c r="DJG176" s="250"/>
      <c r="DJH176" s="250"/>
      <c r="DJI176" s="250"/>
      <c r="DJJ176" s="250"/>
      <c r="DJK176" s="250"/>
      <c r="DJL176" s="250"/>
      <c r="DJM176" s="250"/>
      <c r="DJN176" s="250"/>
      <c r="DJO176" s="250"/>
      <c r="DJP176" s="250"/>
      <c r="DJQ176" s="250"/>
      <c r="DJR176" s="250"/>
      <c r="DJS176" s="250"/>
      <c r="DJT176" s="250"/>
      <c r="DJU176" s="250"/>
      <c r="DJV176" s="250"/>
      <c r="DJW176" s="250"/>
      <c r="DJX176" s="250"/>
      <c r="DJY176" s="250"/>
      <c r="DJZ176" s="250"/>
      <c r="DKA176" s="250"/>
      <c r="DKB176" s="250"/>
      <c r="DKC176" s="250"/>
      <c r="DKD176" s="250"/>
      <c r="DKE176" s="250"/>
      <c r="DKF176" s="250"/>
      <c r="DKG176" s="250"/>
      <c r="DKH176" s="250"/>
      <c r="DKI176" s="250"/>
      <c r="DKJ176" s="250"/>
      <c r="DKK176" s="250"/>
      <c r="DKL176" s="250"/>
      <c r="DKM176" s="250"/>
      <c r="DKN176" s="250"/>
      <c r="DKO176" s="250"/>
      <c r="DKP176" s="250"/>
      <c r="DKQ176" s="250"/>
      <c r="DKR176" s="250"/>
      <c r="DKS176" s="250"/>
      <c r="DKT176" s="250"/>
      <c r="DKU176" s="250"/>
      <c r="DKV176" s="250"/>
      <c r="DKW176" s="250"/>
      <c r="DKX176" s="250"/>
      <c r="DKY176" s="250"/>
      <c r="DKZ176" s="250"/>
      <c r="DLA176" s="250"/>
      <c r="DLB176" s="250"/>
      <c r="DLC176" s="250"/>
      <c r="DLD176" s="250"/>
      <c r="DLE176" s="250"/>
      <c r="DLF176" s="250"/>
      <c r="DLG176" s="250"/>
      <c r="DLH176" s="250"/>
      <c r="DLI176" s="250"/>
      <c r="DLJ176" s="250"/>
      <c r="DLK176" s="250"/>
      <c r="DLL176" s="250"/>
      <c r="DLM176" s="250"/>
      <c r="DLN176" s="250"/>
      <c r="DLO176" s="250"/>
      <c r="DLP176" s="250"/>
      <c r="DLQ176" s="250"/>
      <c r="DLR176" s="250"/>
      <c r="DLS176" s="250"/>
      <c r="DLT176" s="250"/>
      <c r="DLU176" s="250"/>
      <c r="DLV176" s="250"/>
      <c r="DLW176" s="250"/>
      <c r="DLX176" s="250"/>
      <c r="DLY176" s="250"/>
      <c r="DLZ176" s="250"/>
      <c r="DMA176" s="250"/>
      <c r="DMB176" s="250"/>
      <c r="DMC176" s="250"/>
      <c r="DMD176" s="250"/>
      <c r="DME176" s="250"/>
      <c r="DMF176" s="250"/>
      <c r="DMG176" s="250"/>
      <c r="DMH176" s="250"/>
      <c r="DMI176" s="250"/>
      <c r="DMJ176" s="250"/>
      <c r="DMK176" s="250"/>
      <c r="DML176" s="250"/>
      <c r="DMM176" s="250"/>
      <c r="DMN176" s="250"/>
      <c r="DMO176" s="250"/>
      <c r="DMP176" s="250"/>
      <c r="DMQ176" s="250"/>
      <c r="DMR176" s="250"/>
      <c r="DMS176" s="250"/>
      <c r="DMT176" s="250"/>
      <c r="DMU176" s="250"/>
      <c r="DMV176" s="250"/>
      <c r="DMW176" s="250"/>
      <c r="DMX176" s="250"/>
      <c r="DMY176" s="250"/>
      <c r="DMZ176" s="250"/>
      <c r="DNA176" s="250"/>
      <c r="DNB176" s="250"/>
      <c r="DNC176" s="250"/>
      <c r="DND176" s="250"/>
      <c r="DNE176" s="250"/>
      <c r="DNF176" s="250"/>
      <c r="DNG176" s="250"/>
      <c r="DNH176" s="250"/>
      <c r="DNI176" s="250"/>
      <c r="DNJ176" s="250"/>
      <c r="DNK176" s="250"/>
      <c r="DNL176" s="250"/>
      <c r="DNM176" s="250"/>
      <c r="DNN176" s="250"/>
      <c r="DNO176" s="250"/>
      <c r="DNP176" s="250"/>
      <c r="DNQ176" s="250"/>
      <c r="DNR176" s="250"/>
      <c r="DNS176" s="250"/>
      <c r="DNT176" s="250"/>
      <c r="DNU176" s="250"/>
      <c r="DNV176" s="250"/>
      <c r="DNW176" s="250"/>
      <c r="DNX176" s="250"/>
      <c r="DNY176" s="250"/>
      <c r="DNZ176" s="250"/>
      <c r="DOA176" s="250"/>
      <c r="DOB176" s="250"/>
      <c r="DOC176" s="250"/>
      <c r="DOD176" s="250"/>
      <c r="DOE176" s="250"/>
      <c r="DOF176" s="250"/>
      <c r="DOG176" s="250"/>
      <c r="DOH176" s="250"/>
      <c r="DOI176" s="250"/>
      <c r="DOJ176" s="250"/>
      <c r="DOK176" s="250"/>
      <c r="DOL176" s="250"/>
      <c r="DOM176" s="250"/>
      <c r="DON176" s="250"/>
      <c r="DOO176" s="250"/>
      <c r="DOP176" s="250"/>
      <c r="DOQ176" s="250"/>
      <c r="DOR176" s="250"/>
      <c r="DOS176" s="250"/>
      <c r="DOT176" s="250"/>
      <c r="DOU176" s="250"/>
      <c r="DOV176" s="250"/>
      <c r="DOW176" s="250"/>
      <c r="DOX176" s="250"/>
      <c r="DOY176" s="250"/>
      <c r="DOZ176" s="250"/>
      <c r="DPA176" s="250"/>
      <c r="DPB176" s="250"/>
      <c r="DPC176" s="250"/>
      <c r="DPD176" s="250"/>
      <c r="DPE176" s="250"/>
      <c r="DPF176" s="250"/>
      <c r="DPG176" s="250"/>
      <c r="DPH176" s="250"/>
      <c r="DPI176" s="250"/>
      <c r="DPJ176" s="250"/>
      <c r="DPK176" s="250"/>
      <c r="DPL176" s="250"/>
      <c r="DPM176" s="250"/>
      <c r="DPN176" s="250"/>
      <c r="DPO176" s="250"/>
      <c r="DPP176" s="250"/>
      <c r="DPQ176" s="250"/>
      <c r="DPR176" s="250"/>
      <c r="DPS176" s="250"/>
      <c r="DPT176" s="250"/>
      <c r="DPU176" s="250"/>
      <c r="DPV176" s="250"/>
      <c r="DPW176" s="250"/>
      <c r="DPX176" s="250"/>
      <c r="DPY176" s="250"/>
      <c r="DPZ176" s="250"/>
      <c r="DQA176" s="250"/>
      <c r="DQB176" s="250"/>
      <c r="DQC176" s="250"/>
      <c r="DQD176" s="250"/>
      <c r="DQE176" s="250"/>
      <c r="DQF176" s="250"/>
      <c r="DQG176" s="250"/>
      <c r="DQH176" s="250"/>
      <c r="DQI176" s="250"/>
      <c r="DQJ176" s="250"/>
      <c r="DQK176" s="250"/>
      <c r="DQL176" s="250"/>
      <c r="DQM176" s="250"/>
      <c r="DQN176" s="250"/>
      <c r="DQO176" s="250"/>
      <c r="DQP176" s="250"/>
      <c r="DQQ176" s="250"/>
      <c r="DQR176" s="250"/>
      <c r="DQS176" s="250"/>
      <c r="DQT176" s="250"/>
      <c r="DQU176" s="250"/>
      <c r="DQV176" s="250"/>
      <c r="DQW176" s="250"/>
      <c r="DQX176" s="250"/>
      <c r="DQY176" s="250"/>
      <c r="DQZ176" s="250"/>
      <c r="DRA176" s="250"/>
      <c r="DRB176" s="250"/>
      <c r="DRC176" s="250"/>
      <c r="DRD176" s="250"/>
      <c r="DRE176" s="250"/>
      <c r="DRF176" s="250"/>
      <c r="DRG176" s="250"/>
      <c r="DRH176" s="250"/>
      <c r="DRI176" s="250"/>
      <c r="DRJ176" s="250"/>
      <c r="DRK176" s="250"/>
      <c r="DRL176" s="250"/>
      <c r="DRM176" s="250"/>
      <c r="DRN176" s="250"/>
      <c r="DRO176" s="250"/>
      <c r="DRP176" s="250"/>
      <c r="DRQ176" s="250"/>
      <c r="DRR176" s="250"/>
      <c r="DRS176" s="250"/>
      <c r="DRT176" s="250"/>
      <c r="DRU176" s="250"/>
      <c r="DRV176" s="250"/>
      <c r="DRW176" s="250"/>
      <c r="DRX176" s="250"/>
      <c r="DRY176" s="250"/>
      <c r="DRZ176" s="250"/>
      <c r="DSA176" s="250"/>
      <c r="DSB176" s="250"/>
      <c r="DSC176" s="250"/>
      <c r="DSD176" s="250"/>
      <c r="DSE176" s="250"/>
      <c r="DSF176" s="250"/>
      <c r="DSG176" s="250"/>
      <c r="DSH176" s="250"/>
      <c r="DSI176" s="250"/>
      <c r="DSJ176" s="250"/>
      <c r="DSK176" s="250"/>
      <c r="DSL176" s="250"/>
      <c r="DSM176" s="250"/>
      <c r="DSN176" s="250"/>
      <c r="DSO176" s="250"/>
      <c r="DSP176" s="250"/>
      <c r="DSQ176" s="250"/>
      <c r="DSR176" s="250"/>
      <c r="DSS176" s="250"/>
      <c r="DST176" s="250"/>
      <c r="DSU176" s="250"/>
      <c r="DSV176" s="250"/>
      <c r="DSW176" s="250"/>
      <c r="DSX176" s="250"/>
      <c r="DSY176" s="250"/>
      <c r="DSZ176" s="250"/>
      <c r="DTA176" s="250"/>
      <c r="DTB176" s="250"/>
      <c r="DTC176" s="250"/>
      <c r="DTD176" s="250"/>
      <c r="DTE176" s="250"/>
      <c r="DTF176" s="250"/>
      <c r="DTG176" s="250"/>
      <c r="DTH176" s="250"/>
      <c r="DTI176" s="250"/>
      <c r="DTJ176" s="250"/>
      <c r="DTK176" s="250"/>
      <c r="DTL176" s="250"/>
      <c r="DTM176" s="250"/>
      <c r="DTN176" s="250"/>
      <c r="DTO176" s="250"/>
      <c r="DTP176" s="250"/>
      <c r="DTQ176" s="250"/>
      <c r="DTR176" s="250"/>
      <c r="DTS176" s="250"/>
      <c r="DTT176" s="250"/>
      <c r="DTU176" s="250"/>
      <c r="DTV176" s="250"/>
      <c r="DTW176" s="250"/>
      <c r="DTX176" s="250"/>
      <c r="DTY176" s="250"/>
      <c r="DTZ176" s="250"/>
      <c r="DUA176" s="250"/>
      <c r="DUB176" s="250"/>
      <c r="DUC176" s="250"/>
      <c r="DUD176" s="250"/>
      <c r="DUE176" s="250"/>
      <c r="DUF176" s="250"/>
      <c r="DUG176" s="250"/>
      <c r="DUH176" s="250"/>
      <c r="DUI176" s="250"/>
      <c r="DUJ176" s="250"/>
      <c r="DUK176" s="250"/>
      <c r="DUL176" s="250"/>
      <c r="DUM176" s="250"/>
      <c r="DUN176" s="250"/>
      <c r="DUO176" s="250"/>
      <c r="DUP176" s="250"/>
      <c r="DUQ176" s="250"/>
      <c r="DUR176" s="250"/>
      <c r="DUS176" s="250"/>
      <c r="DUT176" s="250"/>
      <c r="DUU176" s="250"/>
      <c r="DUV176" s="250"/>
      <c r="DUW176" s="250"/>
      <c r="DUX176" s="250"/>
      <c r="DUY176" s="250"/>
      <c r="DUZ176" s="250"/>
      <c r="DVA176" s="250"/>
      <c r="DVB176" s="250"/>
      <c r="DVC176" s="250"/>
      <c r="DVD176" s="250"/>
      <c r="DVE176" s="250"/>
      <c r="DVF176" s="250"/>
      <c r="DVG176" s="250"/>
      <c r="DVH176" s="250"/>
      <c r="DVI176" s="250"/>
      <c r="DVJ176" s="250"/>
      <c r="DVK176" s="250"/>
      <c r="DVL176" s="250"/>
      <c r="DVM176" s="250"/>
      <c r="DVN176" s="250"/>
      <c r="DVO176" s="250"/>
      <c r="DVP176" s="250"/>
      <c r="DVQ176" s="250"/>
      <c r="DVR176" s="250"/>
      <c r="DVS176" s="250"/>
      <c r="DVT176" s="250"/>
      <c r="DVU176" s="250"/>
      <c r="DVV176" s="250"/>
      <c r="DVW176" s="250"/>
      <c r="DVX176" s="250"/>
      <c r="DVY176" s="250"/>
      <c r="DVZ176" s="250"/>
      <c r="DWA176" s="250"/>
      <c r="DWB176" s="250"/>
      <c r="DWC176" s="250"/>
      <c r="DWD176" s="250"/>
      <c r="DWE176" s="250"/>
      <c r="DWF176" s="250"/>
      <c r="DWG176" s="250"/>
      <c r="DWH176" s="250"/>
      <c r="DWI176" s="250"/>
      <c r="DWJ176" s="250"/>
      <c r="DWK176" s="250"/>
      <c r="DWL176" s="250"/>
      <c r="DWM176" s="250"/>
      <c r="DWN176" s="250"/>
      <c r="DWO176" s="250"/>
      <c r="DWP176" s="250"/>
      <c r="DWQ176" s="250"/>
      <c r="DWR176" s="250"/>
      <c r="DWS176" s="250"/>
      <c r="DWT176" s="250"/>
      <c r="DWU176" s="250"/>
      <c r="DWV176" s="250"/>
      <c r="DWW176" s="250"/>
      <c r="DWX176" s="250"/>
      <c r="DWY176" s="250"/>
      <c r="DWZ176" s="250"/>
      <c r="DXA176" s="250"/>
      <c r="DXB176" s="250"/>
      <c r="DXC176" s="250"/>
      <c r="DXD176" s="250"/>
      <c r="DXE176" s="250"/>
      <c r="DXF176" s="250"/>
      <c r="DXG176" s="250"/>
      <c r="DXH176" s="250"/>
      <c r="DXI176" s="250"/>
      <c r="DXJ176" s="250"/>
      <c r="DXK176" s="250"/>
      <c r="DXL176" s="250"/>
      <c r="DXM176" s="250"/>
      <c r="DXN176" s="250"/>
      <c r="DXO176" s="250"/>
      <c r="DXP176" s="250"/>
      <c r="DXQ176" s="250"/>
      <c r="DXR176" s="250"/>
      <c r="DXS176" s="250"/>
      <c r="DXT176" s="250"/>
      <c r="DXU176" s="250"/>
      <c r="DXV176" s="250"/>
      <c r="DXW176" s="250"/>
      <c r="DXX176" s="250"/>
      <c r="DXY176" s="250"/>
      <c r="DXZ176" s="250"/>
      <c r="DYA176" s="250"/>
      <c r="DYB176" s="250"/>
      <c r="DYC176" s="250"/>
      <c r="DYD176" s="250"/>
      <c r="DYE176" s="250"/>
      <c r="DYF176" s="250"/>
      <c r="DYG176" s="250"/>
      <c r="DYH176" s="250"/>
      <c r="DYI176" s="250"/>
      <c r="DYJ176" s="250"/>
      <c r="DYK176" s="250"/>
      <c r="DYL176" s="250"/>
      <c r="DYM176" s="250"/>
      <c r="DYN176" s="250"/>
      <c r="DYO176" s="250"/>
      <c r="DYP176" s="250"/>
      <c r="DYQ176" s="250"/>
      <c r="DYR176" s="250"/>
      <c r="DYS176" s="250"/>
      <c r="DYT176" s="250"/>
      <c r="DYU176" s="250"/>
      <c r="DYV176" s="250"/>
      <c r="DYW176" s="250"/>
      <c r="DYX176" s="250"/>
      <c r="DYY176" s="250"/>
      <c r="DYZ176" s="250"/>
      <c r="DZA176" s="250"/>
      <c r="DZB176" s="250"/>
      <c r="DZC176" s="250"/>
      <c r="DZD176" s="250"/>
      <c r="DZE176" s="250"/>
      <c r="DZF176" s="250"/>
      <c r="DZG176" s="250"/>
      <c r="DZH176" s="250"/>
      <c r="DZI176" s="250"/>
      <c r="DZJ176" s="250"/>
      <c r="DZK176" s="250"/>
      <c r="DZL176" s="250"/>
      <c r="DZM176" s="250"/>
      <c r="DZN176" s="250"/>
      <c r="DZO176" s="250"/>
      <c r="DZP176" s="250"/>
      <c r="DZQ176" s="250"/>
      <c r="DZR176" s="250"/>
      <c r="DZS176" s="250"/>
      <c r="DZT176" s="250"/>
      <c r="DZU176" s="250"/>
      <c r="DZV176" s="250"/>
      <c r="DZW176" s="250"/>
      <c r="DZX176" s="250"/>
      <c r="DZY176" s="250"/>
      <c r="DZZ176" s="250"/>
      <c r="EAA176" s="250"/>
      <c r="EAB176" s="250"/>
      <c r="EAC176" s="250"/>
      <c r="EAD176" s="250"/>
      <c r="EAE176" s="250"/>
      <c r="EAF176" s="250"/>
      <c r="EAG176" s="250"/>
      <c r="EAH176" s="250"/>
      <c r="EAI176" s="250"/>
      <c r="EAJ176" s="250"/>
      <c r="EAK176" s="250"/>
      <c r="EAL176" s="250"/>
      <c r="EAM176" s="250"/>
      <c r="EAN176" s="250"/>
      <c r="EAO176" s="250"/>
      <c r="EAP176" s="250"/>
      <c r="EAQ176" s="250"/>
      <c r="EAR176" s="250"/>
      <c r="EAS176" s="250"/>
      <c r="EAT176" s="250"/>
      <c r="EAU176" s="250"/>
      <c r="EAV176" s="250"/>
      <c r="EAW176" s="250"/>
      <c r="EAX176" s="250"/>
      <c r="EAY176" s="250"/>
      <c r="EAZ176" s="250"/>
      <c r="EBA176" s="250"/>
      <c r="EBB176" s="250"/>
      <c r="EBC176" s="250"/>
      <c r="EBD176" s="250"/>
      <c r="EBE176" s="250"/>
      <c r="EBF176" s="250"/>
      <c r="EBG176" s="250"/>
      <c r="EBH176" s="250"/>
      <c r="EBI176" s="250"/>
      <c r="EBJ176" s="250"/>
      <c r="EBK176" s="250"/>
      <c r="EBL176" s="250"/>
      <c r="EBM176" s="250"/>
      <c r="EBN176" s="250"/>
      <c r="EBO176" s="250"/>
      <c r="EBP176" s="250"/>
      <c r="EBQ176" s="250"/>
      <c r="EBR176" s="250"/>
      <c r="EBS176" s="250"/>
      <c r="EBT176" s="250"/>
      <c r="EBU176" s="250"/>
      <c r="EBV176" s="250"/>
      <c r="EBW176" s="250"/>
      <c r="EBX176" s="250"/>
      <c r="EBY176" s="250"/>
      <c r="EBZ176" s="250"/>
      <c r="ECA176" s="250"/>
      <c r="ECB176" s="250"/>
      <c r="ECC176" s="250"/>
      <c r="ECD176" s="250"/>
      <c r="ECE176" s="250"/>
      <c r="ECF176" s="250"/>
      <c r="ECG176" s="250"/>
      <c r="ECH176" s="250"/>
      <c r="ECI176" s="250"/>
      <c r="ECJ176" s="250"/>
      <c r="ECK176" s="250"/>
      <c r="ECL176" s="250"/>
      <c r="ECM176" s="250"/>
      <c r="ECN176" s="250"/>
      <c r="ECO176" s="250"/>
      <c r="ECP176" s="250"/>
      <c r="ECQ176" s="250"/>
      <c r="ECR176" s="250"/>
      <c r="ECS176" s="250"/>
      <c r="ECT176" s="250"/>
      <c r="ECU176" s="250"/>
      <c r="ECV176" s="250"/>
      <c r="ECW176" s="250"/>
      <c r="ECX176" s="250"/>
      <c r="ECY176" s="250"/>
      <c r="ECZ176" s="250"/>
      <c r="EDA176" s="250"/>
      <c r="EDB176" s="250"/>
      <c r="EDC176" s="250"/>
      <c r="EDD176" s="250"/>
      <c r="EDE176" s="250"/>
      <c r="EDF176" s="250"/>
      <c r="EDG176" s="250"/>
      <c r="EDH176" s="250"/>
      <c r="EDI176" s="250"/>
      <c r="EDJ176" s="250"/>
      <c r="EDK176" s="250"/>
      <c r="EDL176" s="250"/>
      <c r="EDM176" s="250"/>
      <c r="EDN176" s="250"/>
      <c r="EDO176" s="250"/>
      <c r="EDP176" s="250"/>
      <c r="EDQ176" s="250"/>
      <c r="EDR176" s="250"/>
      <c r="EDS176" s="250"/>
      <c r="EDT176" s="250"/>
      <c r="EDU176" s="250"/>
      <c r="EDV176" s="250"/>
      <c r="EDW176" s="250"/>
      <c r="EDX176" s="250"/>
      <c r="EDY176" s="250"/>
      <c r="EDZ176" s="250"/>
      <c r="EEA176" s="250"/>
      <c r="EEB176" s="250"/>
      <c r="EEC176" s="250"/>
      <c r="EED176" s="250"/>
      <c r="EEE176" s="250"/>
      <c r="EEF176" s="250"/>
      <c r="EEG176" s="250"/>
      <c r="EEH176" s="250"/>
      <c r="EEI176" s="250"/>
      <c r="EEJ176" s="250"/>
      <c r="EEK176" s="250"/>
      <c r="EEL176" s="250"/>
      <c r="EEM176" s="250"/>
      <c r="EEN176" s="250"/>
      <c r="EEO176" s="250"/>
      <c r="EEP176" s="250"/>
      <c r="EEQ176" s="250"/>
      <c r="EER176" s="250"/>
      <c r="EES176" s="250"/>
      <c r="EET176" s="250"/>
      <c r="EEU176" s="250"/>
      <c r="EEV176" s="250"/>
      <c r="EEW176" s="250"/>
      <c r="EEX176" s="250"/>
      <c r="EEY176" s="250"/>
      <c r="EEZ176" s="250"/>
      <c r="EFA176" s="250"/>
      <c r="EFB176" s="250"/>
      <c r="EFC176" s="250"/>
      <c r="EFD176" s="250"/>
      <c r="EFE176" s="250"/>
      <c r="EFF176" s="250"/>
      <c r="EFG176" s="250"/>
      <c r="EFH176" s="250"/>
      <c r="EFI176" s="250"/>
      <c r="EFJ176" s="250"/>
      <c r="EFK176" s="250"/>
      <c r="EFL176" s="250"/>
      <c r="EFM176" s="250"/>
      <c r="EFN176" s="250"/>
      <c r="EFO176" s="250"/>
      <c r="EFP176" s="250"/>
      <c r="EFQ176" s="250"/>
      <c r="EFR176" s="250"/>
      <c r="EFS176" s="250"/>
      <c r="EFT176" s="250"/>
      <c r="EFU176" s="250"/>
      <c r="EFV176" s="250"/>
      <c r="EFW176" s="250"/>
      <c r="EFX176" s="250"/>
      <c r="EFY176" s="250"/>
      <c r="EFZ176" s="250"/>
      <c r="EGA176" s="250"/>
      <c r="EGB176" s="250"/>
      <c r="EGC176" s="250"/>
      <c r="EGD176" s="250"/>
      <c r="EGE176" s="250"/>
      <c r="EGF176" s="250"/>
      <c r="EGG176" s="250"/>
      <c r="EGH176" s="250"/>
      <c r="EGI176" s="250"/>
      <c r="EGJ176" s="250"/>
      <c r="EGK176" s="250"/>
      <c r="EGL176" s="250"/>
      <c r="EGM176" s="250"/>
      <c r="EGN176" s="250"/>
      <c r="EGO176" s="250"/>
      <c r="EGP176" s="250"/>
      <c r="EGQ176" s="250"/>
      <c r="EGR176" s="250"/>
      <c r="EGS176" s="250"/>
      <c r="EGT176" s="250"/>
      <c r="EGU176" s="250"/>
      <c r="EGV176" s="250"/>
      <c r="EGW176" s="250"/>
      <c r="EGX176" s="250"/>
      <c r="EGY176" s="250"/>
      <c r="EGZ176" s="250"/>
      <c r="EHA176" s="250"/>
      <c r="EHB176" s="250"/>
      <c r="EHC176" s="250"/>
      <c r="EHD176" s="250"/>
      <c r="EHE176" s="250"/>
      <c r="EHF176" s="250"/>
      <c r="EHG176" s="250"/>
      <c r="EHH176" s="250"/>
      <c r="EHI176" s="250"/>
      <c r="EHJ176" s="250"/>
      <c r="EHK176" s="250"/>
      <c r="EHL176" s="250"/>
      <c r="EHM176" s="250"/>
      <c r="EHN176" s="250"/>
      <c r="EHO176" s="250"/>
      <c r="EHP176" s="250"/>
      <c r="EHQ176" s="250"/>
      <c r="EHR176" s="250"/>
      <c r="EHS176" s="250"/>
      <c r="EHT176" s="250"/>
      <c r="EHU176" s="250"/>
      <c r="EHV176" s="250"/>
      <c r="EHW176" s="250"/>
      <c r="EHX176" s="250"/>
      <c r="EHY176" s="250"/>
      <c r="EHZ176" s="250"/>
      <c r="EIA176" s="250"/>
      <c r="EIB176" s="250"/>
      <c r="EIC176" s="250"/>
      <c r="EID176" s="250"/>
      <c r="EIE176" s="250"/>
      <c r="EIF176" s="250"/>
      <c r="EIG176" s="250"/>
      <c r="EIH176" s="250"/>
      <c r="EII176" s="250"/>
      <c r="EIJ176" s="250"/>
      <c r="EIK176" s="250"/>
      <c r="EIL176" s="250"/>
      <c r="EIM176" s="250"/>
      <c r="EIN176" s="250"/>
      <c r="EIO176" s="250"/>
      <c r="EIP176" s="250"/>
      <c r="EIQ176" s="250"/>
      <c r="EIR176" s="250"/>
      <c r="EIS176" s="250"/>
      <c r="EIT176" s="250"/>
      <c r="EIU176" s="250"/>
      <c r="EIV176" s="250"/>
      <c r="EIW176" s="250"/>
      <c r="EIX176" s="250"/>
      <c r="EIY176" s="250"/>
      <c r="EIZ176" s="250"/>
      <c r="EJA176" s="250"/>
      <c r="EJB176" s="250"/>
      <c r="EJC176" s="250"/>
      <c r="EJD176" s="250"/>
      <c r="EJE176" s="250"/>
      <c r="EJF176" s="250"/>
      <c r="EJG176" s="250"/>
      <c r="EJH176" s="250"/>
      <c r="EJI176" s="250"/>
      <c r="EJJ176" s="250"/>
      <c r="EJK176" s="250"/>
      <c r="EJL176" s="250"/>
      <c r="EJM176" s="250"/>
      <c r="EJN176" s="250"/>
      <c r="EJO176" s="250"/>
      <c r="EJP176" s="250"/>
      <c r="EJQ176" s="250"/>
      <c r="EJR176" s="250"/>
      <c r="EJS176" s="250"/>
      <c r="EJT176" s="250"/>
      <c r="EJU176" s="250"/>
      <c r="EJV176" s="250"/>
      <c r="EJW176" s="250"/>
      <c r="EJX176" s="250"/>
      <c r="EJY176" s="250"/>
      <c r="EJZ176" s="250"/>
      <c r="EKA176" s="250"/>
      <c r="EKB176" s="250"/>
      <c r="EKC176" s="250"/>
      <c r="EKD176" s="250"/>
      <c r="EKE176" s="250"/>
      <c r="EKF176" s="250"/>
      <c r="EKG176" s="250"/>
      <c r="EKH176" s="250"/>
      <c r="EKI176" s="250"/>
      <c r="EKJ176" s="250"/>
      <c r="EKK176" s="250"/>
      <c r="EKL176" s="250"/>
      <c r="EKM176" s="250"/>
      <c r="EKN176" s="250"/>
      <c r="EKO176" s="250"/>
      <c r="EKP176" s="250"/>
      <c r="EKQ176" s="250"/>
      <c r="EKR176" s="250"/>
      <c r="EKS176" s="250"/>
      <c r="EKT176" s="250"/>
      <c r="EKU176" s="250"/>
      <c r="EKV176" s="250"/>
      <c r="EKW176" s="250"/>
      <c r="EKX176" s="250"/>
      <c r="EKY176" s="250"/>
      <c r="EKZ176" s="250"/>
      <c r="ELA176" s="250"/>
      <c r="ELB176" s="250"/>
      <c r="ELC176" s="250"/>
      <c r="ELD176" s="250"/>
      <c r="ELE176" s="250"/>
      <c r="ELF176" s="250"/>
      <c r="ELG176" s="250"/>
      <c r="ELH176" s="250"/>
      <c r="ELI176" s="250"/>
      <c r="ELJ176" s="250"/>
      <c r="ELK176" s="250"/>
      <c r="ELL176" s="250"/>
      <c r="ELM176" s="250"/>
      <c r="ELN176" s="250"/>
      <c r="ELO176" s="250"/>
      <c r="ELP176" s="250"/>
      <c r="ELQ176" s="250"/>
      <c r="ELR176" s="250"/>
      <c r="ELS176" s="250"/>
      <c r="ELT176" s="250"/>
      <c r="ELU176" s="250"/>
      <c r="ELV176" s="250"/>
      <c r="ELW176" s="250"/>
      <c r="ELX176" s="250"/>
      <c r="ELY176" s="250"/>
      <c r="ELZ176" s="250"/>
      <c r="EMA176" s="250"/>
      <c r="EMB176" s="250"/>
      <c r="EMC176" s="250"/>
      <c r="EMD176" s="250"/>
      <c r="EME176" s="250"/>
      <c r="EMF176" s="250"/>
      <c r="EMG176" s="250"/>
      <c r="EMH176" s="250"/>
      <c r="EMI176" s="250"/>
      <c r="EMJ176" s="250"/>
      <c r="EMK176" s="250"/>
      <c r="EML176" s="250"/>
      <c r="EMM176" s="250"/>
      <c r="EMN176" s="250"/>
      <c r="EMO176" s="250"/>
      <c r="EMP176" s="250"/>
      <c r="EMQ176" s="250"/>
      <c r="EMR176" s="250"/>
      <c r="EMS176" s="250"/>
      <c r="EMT176" s="250"/>
      <c r="EMU176" s="250"/>
      <c r="EMV176" s="250"/>
      <c r="EMW176" s="250"/>
      <c r="EMX176" s="250"/>
      <c r="EMY176" s="250"/>
      <c r="EMZ176" s="250"/>
      <c r="ENA176" s="250"/>
      <c r="ENB176" s="250"/>
      <c r="ENC176" s="250"/>
      <c r="END176" s="250"/>
      <c r="ENE176" s="250"/>
      <c r="ENF176" s="250"/>
      <c r="ENG176" s="250"/>
      <c r="ENH176" s="250"/>
      <c r="ENI176" s="250"/>
      <c r="ENJ176" s="250"/>
      <c r="ENK176" s="250"/>
      <c r="ENL176" s="250"/>
      <c r="ENM176" s="250"/>
      <c r="ENN176" s="250"/>
      <c r="ENO176" s="250"/>
      <c r="ENP176" s="250"/>
      <c r="ENQ176" s="250"/>
      <c r="ENR176" s="250"/>
      <c r="ENS176" s="250"/>
      <c r="ENT176" s="250"/>
      <c r="ENU176" s="250"/>
      <c r="ENV176" s="250"/>
      <c r="ENW176" s="250"/>
      <c r="ENX176" s="250"/>
      <c r="ENY176" s="250"/>
      <c r="ENZ176" s="250"/>
      <c r="EOA176" s="250"/>
      <c r="EOB176" s="250"/>
      <c r="EOC176" s="250"/>
      <c r="EOD176" s="250"/>
      <c r="EOE176" s="250"/>
      <c r="EOF176" s="250"/>
      <c r="EOG176" s="250"/>
      <c r="EOH176" s="250"/>
      <c r="EOI176" s="250"/>
      <c r="EOJ176" s="250"/>
      <c r="EOK176" s="250"/>
      <c r="EOL176" s="250"/>
      <c r="EOM176" s="250"/>
      <c r="EON176" s="250"/>
      <c r="EOO176" s="250"/>
      <c r="EOP176" s="250"/>
      <c r="EOQ176" s="250"/>
      <c r="EOR176" s="250"/>
      <c r="EOS176" s="250"/>
      <c r="EOT176" s="250"/>
      <c r="EOU176" s="250"/>
      <c r="EOV176" s="250"/>
      <c r="EOW176" s="250"/>
      <c r="EOX176" s="250"/>
      <c r="EOY176" s="250"/>
      <c r="EOZ176" s="250"/>
      <c r="EPA176" s="250"/>
      <c r="EPB176" s="250"/>
      <c r="EPC176" s="250"/>
      <c r="EPD176" s="250"/>
      <c r="EPE176" s="250"/>
      <c r="EPF176" s="250"/>
      <c r="EPG176" s="250"/>
      <c r="EPH176" s="250"/>
      <c r="EPI176" s="250"/>
      <c r="EPJ176" s="250"/>
      <c r="EPK176" s="250"/>
      <c r="EPL176" s="250"/>
      <c r="EPM176" s="250"/>
      <c r="EPN176" s="250"/>
      <c r="EPO176" s="250"/>
      <c r="EPP176" s="250"/>
      <c r="EPQ176" s="250"/>
      <c r="EPR176" s="250"/>
      <c r="EPS176" s="250"/>
      <c r="EPT176" s="250"/>
      <c r="EPU176" s="250"/>
      <c r="EPV176" s="250"/>
      <c r="EPW176" s="250"/>
      <c r="EPX176" s="250"/>
      <c r="EPY176" s="250"/>
      <c r="EPZ176" s="250"/>
      <c r="EQA176" s="250"/>
      <c r="EQB176" s="250"/>
      <c r="EQC176" s="250"/>
      <c r="EQD176" s="250"/>
      <c r="EQE176" s="250"/>
      <c r="EQF176" s="250"/>
      <c r="EQG176" s="250"/>
      <c r="EQH176" s="250"/>
      <c r="EQI176" s="250"/>
      <c r="EQJ176" s="250"/>
      <c r="EQK176" s="250"/>
      <c r="EQL176" s="250"/>
      <c r="EQM176" s="250"/>
      <c r="EQN176" s="250"/>
      <c r="EQO176" s="250"/>
      <c r="EQP176" s="250"/>
      <c r="EQQ176" s="250"/>
      <c r="EQR176" s="250"/>
      <c r="EQS176" s="250"/>
      <c r="EQT176" s="250"/>
      <c r="EQU176" s="250"/>
      <c r="EQV176" s="250"/>
      <c r="EQW176" s="250"/>
      <c r="EQX176" s="250"/>
      <c r="EQY176" s="250"/>
      <c r="EQZ176" s="250"/>
      <c r="ERA176" s="250"/>
      <c r="ERB176" s="250"/>
      <c r="ERC176" s="250"/>
      <c r="ERD176" s="250"/>
      <c r="ERE176" s="250"/>
      <c r="ERF176" s="250"/>
      <c r="ERG176" s="250"/>
      <c r="ERH176" s="250"/>
      <c r="ERI176" s="250"/>
      <c r="ERJ176" s="250"/>
      <c r="ERK176" s="250"/>
      <c r="ERL176" s="250"/>
      <c r="ERM176" s="250"/>
      <c r="ERN176" s="250"/>
      <c r="ERO176" s="250"/>
      <c r="ERP176" s="250"/>
      <c r="ERQ176" s="250"/>
      <c r="ERR176" s="250"/>
      <c r="ERS176" s="250"/>
      <c r="ERT176" s="250"/>
      <c r="ERU176" s="250"/>
      <c r="ERV176" s="250"/>
      <c r="ERW176" s="250"/>
      <c r="ERX176" s="250"/>
      <c r="ERY176" s="250"/>
      <c r="ERZ176" s="250"/>
      <c r="ESA176" s="250"/>
      <c r="ESB176" s="250"/>
      <c r="ESC176" s="250"/>
      <c r="ESD176" s="250"/>
      <c r="ESE176" s="250"/>
      <c r="ESF176" s="250"/>
      <c r="ESG176" s="250"/>
      <c r="ESH176" s="250"/>
      <c r="ESI176" s="250"/>
      <c r="ESJ176" s="250"/>
      <c r="ESK176" s="250"/>
      <c r="ESL176" s="250"/>
      <c r="ESM176" s="250"/>
      <c r="ESN176" s="250"/>
      <c r="ESO176" s="250"/>
      <c r="ESP176" s="250"/>
      <c r="ESQ176" s="250"/>
      <c r="ESR176" s="250"/>
      <c r="ESS176" s="250"/>
      <c r="EST176" s="250"/>
      <c r="ESU176" s="250"/>
      <c r="ESV176" s="250"/>
      <c r="ESW176" s="250"/>
      <c r="ESX176" s="250"/>
      <c r="ESY176" s="250"/>
      <c r="ESZ176" s="250"/>
      <c r="ETA176" s="250"/>
      <c r="ETB176" s="250"/>
      <c r="ETC176" s="250"/>
      <c r="ETD176" s="250"/>
      <c r="ETE176" s="250"/>
      <c r="ETF176" s="250"/>
      <c r="ETG176" s="250"/>
      <c r="ETH176" s="250"/>
      <c r="ETI176" s="250"/>
      <c r="ETJ176" s="250"/>
      <c r="ETK176" s="250"/>
      <c r="ETL176" s="250"/>
      <c r="ETM176" s="250"/>
      <c r="ETN176" s="250"/>
      <c r="ETO176" s="250"/>
      <c r="ETP176" s="250"/>
      <c r="ETQ176" s="250"/>
      <c r="ETR176" s="250"/>
      <c r="ETS176" s="250"/>
      <c r="ETT176" s="250"/>
      <c r="ETU176" s="250"/>
      <c r="ETV176" s="250"/>
      <c r="ETW176" s="250"/>
      <c r="ETX176" s="250"/>
      <c r="ETY176" s="250"/>
      <c r="ETZ176" s="250"/>
      <c r="EUA176" s="250"/>
      <c r="EUB176" s="250"/>
      <c r="EUC176" s="250"/>
      <c r="EUD176" s="250"/>
      <c r="EUE176" s="250"/>
      <c r="EUF176" s="250"/>
      <c r="EUG176" s="250"/>
      <c r="EUH176" s="250"/>
      <c r="EUI176" s="250"/>
      <c r="EUJ176" s="250"/>
      <c r="EUK176" s="250"/>
      <c r="EUL176" s="250"/>
      <c r="EUM176" s="250"/>
      <c r="EUN176" s="250"/>
      <c r="EUO176" s="250"/>
      <c r="EUP176" s="250"/>
      <c r="EUQ176" s="250"/>
      <c r="EUR176" s="250"/>
      <c r="EUS176" s="250"/>
      <c r="EUT176" s="250"/>
      <c r="EUU176" s="250"/>
      <c r="EUV176" s="250"/>
      <c r="EUW176" s="250"/>
      <c r="EUX176" s="250"/>
      <c r="EUY176" s="250"/>
      <c r="EUZ176" s="250"/>
      <c r="EVA176" s="250"/>
      <c r="EVB176" s="250"/>
      <c r="EVC176" s="250"/>
      <c r="EVD176" s="250"/>
      <c r="EVE176" s="250"/>
      <c r="EVF176" s="250"/>
      <c r="EVG176" s="250"/>
      <c r="EVH176" s="250"/>
      <c r="EVI176" s="250"/>
      <c r="EVJ176" s="250"/>
      <c r="EVK176" s="250"/>
      <c r="EVL176" s="250"/>
      <c r="EVM176" s="250"/>
      <c r="EVN176" s="250"/>
      <c r="EVO176" s="250"/>
      <c r="EVP176" s="250"/>
      <c r="EVQ176" s="250"/>
      <c r="EVR176" s="250"/>
      <c r="EVS176" s="250"/>
      <c r="EVT176" s="250"/>
      <c r="EVU176" s="250"/>
      <c r="EVV176" s="250"/>
      <c r="EVW176" s="250"/>
      <c r="EVX176" s="250"/>
      <c r="EVY176" s="250"/>
      <c r="EVZ176" s="250"/>
      <c r="EWA176" s="250"/>
      <c r="EWB176" s="250"/>
      <c r="EWC176" s="250"/>
      <c r="EWD176" s="250"/>
      <c r="EWE176" s="250"/>
      <c r="EWF176" s="250"/>
      <c r="EWG176" s="250"/>
      <c r="EWH176" s="250"/>
      <c r="EWI176" s="250"/>
      <c r="EWJ176" s="250"/>
      <c r="EWK176" s="250"/>
      <c r="EWL176" s="250"/>
      <c r="EWM176" s="250"/>
      <c r="EWN176" s="250"/>
      <c r="EWO176" s="250"/>
      <c r="EWP176" s="250"/>
      <c r="EWQ176" s="250"/>
      <c r="EWR176" s="250"/>
      <c r="EWS176" s="250"/>
      <c r="EWT176" s="250"/>
      <c r="EWU176" s="250"/>
      <c r="EWV176" s="250"/>
      <c r="EWW176" s="250"/>
      <c r="EWX176" s="250"/>
      <c r="EWY176" s="250"/>
      <c r="EWZ176" s="250"/>
      <c r="EXA176" s="250"/>
      <c r="EXB176" s="250"/>
      <c r="EXC176" s="250"/>
      <c r="EXD176" s="250"/>
      <c r="EXE176" s="250"/>
      <c r="EXF176" s="250"/>
      <c r="EXG176" s="250"/>
      <c r="EXH176" s="250"/>
      <c r="EXI176" s="250"/>
      <c r="EXJ176" s="250"/>
      <c r="EXK176" s="250"/>
      <c r="EXL176" s="250"/>
      <c r="EXM176" s="250"/>
      <c r="EXN176" s="250"/>
      <c r="EXO176" s="250"/>
      <c r="EXP176" s="250"/>
      <c r="EXQ176" s="250"/>
      <c r="EXR176" s="250"/>
      <c r="EXS176" s="250"/>
      <c r="EXT176" s="250"/>
      <c r="EXU176" s="250"/>
      <c r="EXV176" s="250"/>
      <c r="EXW176" s="250"/>
      <c r="EXX176" s="250"/>
      <c r="EXY176" s="250"/>
      <c r="EXZ176" s="250"/>
      <c r="EYA176" s="250"/>
      <c r="EYB176" s="250"/>
      <c r="EYC176" s="250"/>
      <c r="EYD176" s="250"/>
      <c r="EYE176" s="250"/>
      <c r="EYF176" s="250"/>
      <c r="EYG176" s="250"/>
      <c r="EYH176" s="250"/>
      <c r="EYI176" s="250"/>
      <c r="EYJ176" s="250"/>
      <c r="EYK176" s="250"/>
      <c r="EYL176" s="250"/>
      <c r="EYM176" s="250"/>
      <c r="EYN176" s="250"/>
      <c r="EYO176" s="250"/>
      <c r="EYP176" s="250"/>
      <c r="EYQ176" s="250"/>
      <c r="EYR176" s="250"/>
      <c r="EYS176" s="250"/>
      <c r="EYT176" s="250"/>
      <c r="EYU176" s="250"/>
      <c r="EYV176" s="250"/>
      <c r="EYW176" s="250"/>
      <c r="EYX176" s="250"/>
      <c r="EYY176" s="250"/>
      <c r="EYZ176" s="250"/>
      <c r="EZA176" s="250"/>
      <c r="EZB176" s="250"/>
      <c r="EZC176" s="250"/>
      <c r="EZD176" s="250"/>
      <c r="EZE176" s="250"/>
      <c r="EZF176" s="250"/>
      <c r="EZG176" s="250"/>
      <c r="EZH176" s="250"/>
      <c r="EZI176" s="250"/>
      <c r="EZJ176" s="250"/>
      <c r="EZK176" s="250"/>
      <c r="EZL176" s="250"/>
      <c r="EZM176" s="250"/>
      <c r="EZN176" s="250"/>
      <c r="EZO176" s="250"/>
      <c r="EZP176" s="250"/>
      <c r="EZQ176" s="250"/>
      <c r="EZR176" s="250"/>
      <c r="EZS176" s="250"/>
      <c r="EZT176" s="250"/>
      <c r="EZU176" s="250"/>
      <c r="EZV176" s="250"/>
      <c r="EZW176" s="250"/>
      <c r="EZX176" s="250"/>
      <c r="EZY176" s="250"/>
      <c r="EZZ176" s="250"/>
      <c r="FAA176" s="250"/>
      <c r="FAB176" s="250"/>
      <c r="FAC176" s="250"/>
      <c r="FAD176" s="250"/>
      <c r="FAE176" s="250"/>
      <c r="FAF176" s="250"/>
      <c r="FAG176" s="250"/>
      <c r="FAH176" s="250"/>
      <c r="FAI176" s="250"/>
      <c r="FAJ176" s="250"/>
      <c r="FAK176" s="250"/>
      <c r="FAL176" s="250"/>
      <c r="FAM176" s="250"/>
      <c r="FAN176" s="250"/>
      <c r="FAO176" s="250"/>
      <c r="FAP176" s="250"/>
      <c r="FAQ176" s="250"/>
      <c r="FAR176" s="250"/>
      <c r="FAS176" s="250"/>
      <c r="FAT176" s="250"/>
      <c r="FAU176" s="250"/>
      <c r="FAV176" s="250"/>
      <c r="FAW176" s="250"/>
      <c r="FAX176" s="250"/>
      <c r="FAY176" s="250"/>
      <c r="FAZ176" s="250"/>
      <c r="FBA176" s="250"/>
      <c r="FBB176" s="250"/>
      <c r="FBC176" s="250"/>
      <c r="FBD176" s="250"/>
      <c r="FBE176" s="250"/>
      <c r="FBF176" s="250"/>
      <c r="FBG176" s="250"/>
      <c r="FBH176" s="250"/>
      <c r="FBI176" s="250"/>
      <c r="FBJ176" s="250"/>
      <c r="FBK176" s="250"/>
      <c r="FBL176" s="250"/>
      <c r="FBM176" s="250"/>
      <c r="FBN176" s="250"/>
      <c r="FBO176" s="250"/>
      <c r="FBP176" s="250"/>
      <c r="FBQ176" s="250"/>
      <c r="FBR176" s="250"/>
      <c r="FBS176" s="250"/>
      <c r="FBT176" s="250"/>
      <c r="FBU176" s="250"/>
      <c r="FBV176" s="250"/>
      <c r="FBW176" s="250"/>
      <c r="FBX176" s="250"/>
      <c r="FBY176" s="250"/>
      <c r="FBZ176" s="250"/>
      <c r="FCA176" s="250"/>
      <c r="FCB176" s="250"/>
      <c r="FCC176" s="250"/>
      <c r="FCD176" s="250"/>
      <c r="FCE176" s="250"/>
      <c r="FCF176" s="250"/>
      <c r="FCG176" s="250"/>
      <c r="FCH176" s="250"/>
      <c r="FCI176" s="250"/>
      <c r="FCJ176" s="250"/>
      <c r="FCK176" s="250"/>
      <c r="FCL176" s="250"/>
      <c r="FCM176" s="250"/>
      <c r="FCN176" s="250"/>
      <c r="FCO176" s="250"/>
      <c r="FCP176" s="250"/>
      <c r="FCQ176" s="250"/>
      <c r="FCR176" s="250"/>
      <c r="FCS176" s="250"/>
      <c r="FCT176" s="250"/>
      <c r="FCU176" s="250"/>
      <c r="FCV176" s="250"/>
      <c r="FCW176" s="250"/>
      <c r="FCX176" s="250"/>
      <c r="FCY176" s="250"/>
      <c r="FCZ176" s="250"/>
      <c r="FDA176" s="250"/>
      <c r="FDB176" s="250"/>
      <c r="FDC176" s="250"/>
      <c r="FDD176" s="250"/>
      <c r="FDE176" s="250"/>
      <c r="FDF176" s="250"/>
      <c r="FDG176" s="250"/>
      <c r="FDH176" s="250"/>
      <c r="FDI176" s="250"/>
      <c r="FDJ176" s="250"/>
      <c r="FDK176" s="250"/>
      <c r="FDL176" s="250"/>
      <c r="FDM176" s="250"/>
      <c r="FDN176" s="250"/>
      <c r="FDO176" s="250"/>
      <c r="FDP176" s="250"/>
      <c r="FDQ176" s="250"/>
      <c r="FDR176" s="250"/>
      <c r="FDS176" s="250"/>
      <c r="FDT176" s="250"/>
      <c r="FDU176" s="250"/>
      <c r="FDV176" s="250"/>
      <c r="FDW176" s="250"/>
      <c r="FDX176" s="250"/>
      <c r="FDY176" s="250"/>
      <c r="FDZ176" s="250"/>
      <c r="FEA176" s="250"/>
      <c r="FEB176" s="250"/>
      <c r="FEC176" s="250"/>
      <c r="FED176" s="250"/>
      <c r="FEE176" s="250"/>
      <c r="FEF176" s="250"/>
      <c r="FEG176" s="250"/>
      <c r="FEH176" s="250"/>
      <c r="FEI176" s="250"/>
      <c r="FEJ176" s="250"/>
      <c r="FEK176" s="250"/>
      <c r="FEL176" s="250"/>
      <c r="FEM176" s="250"/>
      <c r="FEN176" s="250"/>
      <c r="FEO176" s="250"/>
      <c r="FEP176" s="250"/>
      <c r="FEQ176" s="250"/>
      <c r="FER176" s="250"/>
      <c r="FES176" s="250"/>
      <c r="FET176" s="250"/>
      <c r="FEU176" s="250"/>
      <c r="FEV176" s="250"/>
      <c r="FEW176" s="250"/>
      <c r="FEX176" s="250"/>
      <c r="FEY176" s="250"/>
      <c r="FEZ176" s="250"/>
      <c r="FFA176" s="250"/>
      <c r="FFB176" s="250"/>
      <c r="FFC176" s="250"/>
      <c r="FFD176" s="250"/>
      <c r="FFE176" s="250"/>
      <c r="FFF176" s="250"/>
      <c r="FFG176" s="250"/>
      <c r="FFH176" s="250"/>
      <c r="FFI176" s="250"/>
      <c r="FFJ176" s="250"/>
      <c r="FFK176" s="250"/>
      <c r="FFL176" s="250"/>
      <c r="FFM176" s="250"/>
      <c r="FFN176" s="250"/>
      <c r="FFO176" s="250"/>
      <c r="FFP176" s="250"/>
      <c r="FFQ176" s="250"/>
      <c r="FFR176" s="250"/>
      <c r="FFS176" s="250"/>
      <c r="FFT176" s="250"/>
      <c r="FFU176" s="250"/>
      <c r="FFV176" s="250"/>
      <c r="FFW176" s="250"/>
      <c r="FFX176" s="250"/>
      <c r="FFY176" s="250"/>
      <c r="FFZ176" s="250"/>
      <c r="FGA176" s="250"/>
      <c r="FGB176" s="250"/>
      <c r="FGC176" s="250"/>
      <c r="FGD176" s="250"/>
      <c r="FGE176" s="250"/>
      <c r="FGF176" s="250"/>
      <c r="FGG176" s="250"/>
      <c r="FGH176" s="250"/>
      <c r="FGI176" s="250"/>
      <c r="FGJ176" s="250"/>
      <c r="FGK176" s="250"/>
      <c r="FGL176" s="250"/>
      <c r="FGM176" s="250"/>
      <c r="FGN176" s="250"/>
      <c r="FGO176" s="250"/>
      <c r="FGP176" s="250"/>
      <c r="FGQ176" s="250"/>
      <c r="FGR176" s="250"/>
      <c r="FGS176" s="250"/>
      <c r="FGT176" s="250"/>
      <c r="FGU176" s="250"/>
      <c r="FGV176" s="250"/>
      <c r="FGW176" s="250"/>
      <c r="FGX176" s="250"/>
      <c r="FGY176" s="250"/>
      <c r="FGZ176" s="250"/>
      <c r="FHA176" s="250"/>
      <c r="FHB176" s="250"/>
      <c r="FHC176" s="250"/>
      <c r="FHD176" s="250"/>
      <c r="FHE176" s="250"/>
      <c r="FHF176" s="250"/>
      <c r="FHG176" s="250"/>
      <c r="FHH176" s="250"/>
      <c r="FHI176" s="250"/>
      <c r="FHJ176" s="250"/>
      <c r="FHK176" s="250"/>
      <c r="FHL176" s="250"/>
      <c r="FHM176" s="250"/>
      <c r="FHN176" s="250"/>
      <c r="FHO176" s="250"/>
      <c r="FHP176" s="250"/>
      <c r="FHQ176" s="250"/>
      <c r="FHR176" s="250"/>
      <c r="FHS176" s="250"/>
      <c r="FHT176" s="250"/>
      <c r="FHU176" s="250"/>
      <c r="FHV176" s="250"/>
      <c r="FHW176" s="250"/>
      <c r="FHX176" s="250"/>
      <c r="FHY176" s="250"/>
      <c r="FHZ176" s="250"/>
      <c r="FIA176" s="250"/>
      <c r="FIB176" s="250"/>
      <c r="FIC176" s="250"/>
      <c r="FID176" s="250"/>
      <c r="FIE176" s="250"/>
      <c r="FIF176" s="250"/>
      <c r="FIG176" s="250"/>
      <c r="FIH176" s="250"/>
      <c r="FII176" s="250"/>
      <c r="FIJ176" s="250"/>
      <c r="FIK176" s="250"/>
      <c r="FIL176" s="250"/>
      <c r="FIM176" s="250"/>
      <c r="FIN176" s="250"/>
      <c r="FIO176" s="250"/>
      <c r="FIP176" s="250"/>
      <c r="FIQ176" s="250"/>
      <c r="FIR176" s="250"/>
      <c r="FIS176" s="250"/>
      <c r="FIT176" s="250"/>
      <c r="FIU176" s="250"/>
      <c r="FIV176" s="250"/>
      <c r="FIW176" s="250"/>
      <c r="FIX176" s="250"/>
      <c r="FIY176" s="250"/>
      <c r="FIZ176" s="250"/>
      <c r="FJA176" s="250"/>
      <c r="FJB176" s="250"/>
      <c r="FJC176" s="250"/>
      <c r="FJD176" s="250"/>
      <c r="FJE176" s="250"/>
      <c r="FJF176" s="250"/>
      <c r="FJG176" s="250"/>
      <c r="FJH176" s="250"/>
      <c r="FJI176" s="250"/>
      <c r="FJJ176" s="250"/>
      <c r="FJK176" s="250"/>
      <c r="FJL176" s="250"/>
      <c r="FJM176" s="250"/>
      <c r="FJN176" s="250"/>
      <c r="FJO176" s="250"/>
      <c r="FJP176" s="250"/>
      <c r="FJQ176" s="250"/>
      <c r="FJR176" s="250"/>
      <c r="FJS176" s="250"/>
      <c r="FJT176" s="250"/>
      <c r="FJU176" s="250"/>
      <c r="FJV176" s="250"/>
      <c r="FJW176" s="250"/>
      <c r="FJX176" s="250"/>
      <c r="FJY176" s="250"/>
      <c r="FJZ176" s="250"/>
      <c r="FKA176" s="250"/>
      <c r="FKB176" s="250"/>
      <c r="FKC176" s="250"/>
      <c r="FKD176" s="250"/>
      <c r="FKE176" s="250"/>
      <c r="FKF176" s="250"/>
      <c r="FKG176" s="250"/>
      <c r="FKH176" s="250"/>
      <c r="FKI176" s="250"/>
      <c r="FKJ176" s="250"/>
      <c r="FKK176" s="250"/>
      <c r="FKL176" s="250"/>
      <c r="FKM176" s="250"/>
      <c r="FKN176" s="250"/>
      <c r="FKO176" s="250"/>
      <c r="FKP176" s="250"/>
      <c r="FKQ176" s="250"/>
      <c r="FKR176" s="250"/>
      <c r="FKS176" s="250"/>
      <c r="FKT176" s="250"/>
      <c r="FKU176" s="250"/>
      <c r="FKV176" s="250"/>
      <c r="FKW176" s="250"/>
      <c r="FKX176" s="250"/>
      <c r="FKY176" s="250"/>
      <c r="FKZ176" s="250"/>
      <c r="FLA176" s="250"/>
      <c r="FLB176" s="250"/>
      <c r="FLC176" s="250"/>
      <c r="FLD176" s="250"/>
      <c r="FLE176" s="250"/>
      <c r="FLF176" s="250"/>
      <c r="FLG176" s="250"/>
      <c r="FLH176" s="250"/>
      <c r="FLI176" s="250"/>
      <c r="FLJ176" s="250"/>
      <c r="FLK176" s="250"/>
      <c r="FLL176" s="250"/>
      <c r="FLM176" s="250"/>
      <c r="FLN176" s="250"/>
      <c r="FLO176" s="250"/>
      <c r="FLP176" s="250"/>
      <c r="FLQ176" s="250"/>
      <c r="FLR176" s="250"/>
      <c r="FLS176" s="250"/>
      <c r="FLT176" s="250"/>
      <c r="FLU176" s="250"/>
      <c r="FLV176" s="250"/>
      <c r="FLW176" s="250"/>
      <c r="FLX176" s="250"/>
      <c r="FLY176" s="250"/>
      <c r="FLZ176" s="250"/>
      <c r="FMA176" s="250"/>
      <c r="FMB176" s="250"/>
      <c r="FMC176" s="250"/>
      <c r="FMD176" s="250"/>
      <c r="FME176" s="250"/>
      <c r="FMF176" s="250"/>
      <c r="FMG176" s="250"/>
      <c r="FMH176" s="250"/>
      <c r="FMI176" s="250"/>
      <c r="FMJ176" s="250"/>
      <c r="FMK176" s="250"/>
      <c r="FML176" s="250"/>
      <c r="FMM176" s="250"/>
      <c r="FMN176" s="250"/>
      <c r="FMO176" s="250"/>
      <c r="FMP176" s="250"/>
      <c r="FMQ176" s="250"/>
      <c r="FMR176" s="250"/>
      <c r="FMS176" s="250"/>
      <c r="FMT176" s="250"/>
      <c r="FMU176" s="250"/>
      <c r="FMV176" s="250"/>
      <c r="FMW176" s="250"/>
      <c r="FMX176" s="250"/>
      <c r="FMY176" s="250"/>
      <c r="FMZ176" s="250"/>
      <c r="FNA176" s="250"/>
      <c r="FNB176" s="250"/>
      <c r="FNC176" s="250"/>
      <c r="FND176" s="250"/>
      <c r="FNE176" s="250"/>
      <c r="FNF176" s="250"/>
      <c r="FNG176" s="250"/>
      <c r="FNH176" s="250"/>
      <c r="FNI176" s="250"/>
      <c r="FNJ176" s="250"/>
      <c r="FNK176" s="250"/>
      <c r="FNL176" s="250"/>
      <c r="FNM176" s="250"/>
      <c r="FNN176" s="250"/>
      <c r="FNO176" s="250"/>
      <c r="FNP176" s="250"/>
      <c r="FNQ176" s="250"/>
      <c r="FNR176" s="250"/>
      <c r="FNS176" s="250"/>
      <c r="FNT176" s="250"/>
      <c r="FNU176" s="250"/>
      <c r="FNV176" s="250"/>
      <c r="FNW176" s="250"/>
      <c r="FNX176" s="250"/>
      <c r="FNY176" s="250"/>
      <c r="FNZ176" s="250"/>
      <c r="FOA176" s="250"/>
      <c r="FOB176" s="250"/>
      <c r="FOC176" s="250"/>
      <c r="FOD176" s="250"/>
      <c r="FOE176" s="250"/>
      <c r="FOF176" s="250"/>
      <c r="FOG176" s="250"/>
      <c r="FOH176" s="250"/>
      <c r="FOI176" s="250"/>
      <c r="FOJ176" s="250"/>
      <c r="FOK176" s="250"/>
      <c r="FOL176" s="250"/>
      <c r="FOM176" s="250"/>
      <c r="FON176" s="250"/>
      <c r="FOO176" s="250"/>
      <c r="FOP176" s="250"/>
      <c r="FOQ176" s="250"/>
      <c r="FOR176" s="250"/>
      <c r="FOS176" s="250"/>
      <c r="FOT176" s="250"/>
      <c r="FOU176" s="250"/>
      <c r="FOV176" s="250"/>
      <c r="FOW176" s="250"/>
      <c r="FOX176" s="250"/>
      <c r="FOY176" s="250"/>
      <c r="FOZ176" s="250"/>
      <c r="FPA176" s="250"/>
      <c r="FPB176" s="250"/>
      <c r="FPC176" s="250"/>
      <c r="FPD176" s="250"/>
      <c r="FPE176" s="250"/>
      <c r="FPF176" s="250"/>
      <c r="FPG176" s="250"/>
      <c r="FPH176" s="250"/>
      <c r="FPI176" s="250"/>
      <c r="FPJ176" s="250"/>
      <c r="FPK176" s="250"/>
      <c r="FPL176" s="250"/>
      <c r="FPM176" s="250"/>
      <c r="FPN176" s="250"/>
      <c r="FPO176" s="250"/>
      <c r="FPP176" s="250"/>
      <c r="FPQ176" s="250"/>
      <c r="FPR176" s="250"/>
      <c r="FPS176" s="250"/>
      <c r="FPT176" s="250"/>
      <c r="FPU176" s="250"/>
      <c r="FPV176" s="250"/>
      <c r="FPW176" s="250"/>
      <c r="FPX176" s="250"/>
      <c r="FPY176" s="250"/>
      <c r="FPZ176" s="250"/>
      <c r="FQA176" s="250"/>
      <c r="FQB176" s="250"/>
      <c r="FQC176" s="250"/>
      <c r="FQD176" s="250"/>
      <c r="FQE176" s="250"/>
      <c r="FQF176" s="250"/>
      <c r="FQG176" s="250"/>
      <c r="FQH176" s="250"/>
      <c r="FQI176" s="250"/>
      <c r="FQJ176" s="250"/>
      <c r="FQK176" s="250"/>
      <c r="FQL176" s="250"/>
      <c r="FQM176" s="250"/>
      <c r="FQN176" s="250"/>
      <c r="FQO176" s="250"/>
      <c r="FQP176" s="250"/>
      <c r="FQQ176" s="250"/>
      <c r="FQR176" s="250"/>
      <c r="FQS176" s="250"/>
      <c r="FQT176" s="250"/>
      <c r="FQU176" s="250"/>
      <c r="FQV176" s="250"/>
      <c r="FQW176" s="250"/>
      <c r="FQX176" s="250"/>
      <c r="FQY176" s="250"/>
      <c r="FQZ176" s="250"/>
      <c r="FRA176" s="250"/>
      <c r="FRB176" s="250"/>
      <c r="FRC176" s="250"/>
      <c r="FRD176" s="250"/>
      <c r="FRE176" s="250"/>
      <c r="FRF176" s="250"/>
      <c r="FRG176" s="250"/>
      <c r="FRH176" s="250"/>
      <c r="FRI176" s="250"/>
      <c r="FRJ176" s="250"/>
      <c r="FRK176" s="250"/>
      <c r="FRL176" s="250"/>
      <c r="FRM176" s="250"/>
      <c r="FRN176" s="250"/>
      <c r="FRO176" s="250"/>
      <c r="FRP176" s="250"/>
      <c r="FRQ176" s="250"/>
      <c r="FRR176" s="250"/>
      <c r="FRS176" s="250"/>
      <c r="FRT176" s="250"/>
      <c r="FRU176" s="250"/>
      <c r="FRV176" s="250"/>
      <c r="FRW176" s="250"/>
      <c r="FRX176" s="250"/>
      <c r="FRY176" s="250"/>
      <c r="FRZ176" s="250"/>
      <c r="FSA176" s="250"/>
      <c r="FSB176" s="250"/>
      <c r="FSC176" s="250"/>
      <c r="FSD176" s="250"/>
      <c r="FSE176" s="250"/>
      <c r="FSF176" s="250"/>
      <c r="FSG176" s="250"/>
      <c r="FSH176" s="250"/>
      <c r="FSI176" s="250"/>
      <c r="FSJ176" s="250"/>
      <c r="FSK176" s="250"/>
      <c r="FSL176" s="250"/>
      <c r="FSM176" s="250"/>
      <c r="FSN176" s="250"/>
      <c r="FSO176" s="250"/>
      <c r="FSP176" s="250"/>
      <c r="FSQ176" s="250"/>
      <c r="FSR176" s="250"/>
      <c r="FSS176" s="250"/>
      <c r="FST176" s="250"/>
      <c r="FSU176" s="250"/>
      <c r="FSV176" s="250"/>
      <c r="FSW176" s="250"/>
      <c r="FSX176" s="250"/>
      <c r="FSY176" s="250"/>
      <c r="FSZ176" s="250"/>
      <c r="FTA176" s="250"/>
      <c r="FTB176" s="250"/>
      <c r="FTC176" s="250"/>
      <c r="FTD176" s="250"/>
      <c r="FTE176" s="250"/>
      <c r="FTF176" s="250"/>
      <c r="FTG176" s="250"/>
      <c r="FTH176" s="250"/>
      <c r="FTI176" s="250"/>
      <c r="FTJ176" s="250"/>
      <c r="FTK176" s="250"/>
      <c r="FTL176" s="250"/>
      <c r="FTM176" s="250"/>
      <c r="FTN176" s="250"/>
      <c r="FTO176" s="250"/>
      <c r="FTP176" s="250"/>
      <c r="FTQ176" s="250"/>
      <c r="FTR176" s="250"/>
      <c r="FTS176" s="250"/>
      <c r="FTT176" s="250"/>
      <c r="FTU176" s="250"/>
      <c r="FTV176" s="250"/>
      <c r="FTW176" s="250"/>
      <c r="FTX176" s="250"/>
      <c r="FTY176" s="250"/>
      <c r="FTZ176" s="250"/>
      <c r="FUA176" s="250"/>
      <c r="FUB176" s="250"/>
      <c r="FUC176" s="250"/>
      <c r="FUD176" s="250"/>
      <c r="FUE176" s="250"/>
      <c r="FUF176" s="250"/>
      <c r="FUG176" s="250"/>
      <c r="FUH176" s="250"/>
      <c r="FUI176" s="250"/>
      <c r="FUJ176" s="250"/>
      <c r="FUK176" s="250"/>
      <c r="FUL176" s="250"/>
      <c r="FUM176" s="250"/>
      <c r="FUN176" s="250"/>
      <c r="FUO176" s="250"/>
      <c r="FUP176" s="250"/>
      <c r="FUQ176" s="250"/>
      <c r="FUR176" s="250"/>
      <c r="FUS176" s="250"/>
      <c r="FUT176" s="250"/>
      <c r="FUU176" s="250"/>
      <c r="FUV176" s="250"/>
      <c r="FUW176" s="250"/>
      <c r="FUX176" s="250"/>
      <c r="FUY176" s="250"/>
      <c r="FUZ176" s="250"/>
      <c r="FVA176" s="250"/>
      <c r="FVB176" s="250"/>
      <c r="FVC176" s="250"/>
      <c r="FVD176" s="250"/>
      <c r="FVE176" s="250"/>
      <c r="FVF176" s="250"/>
      <c r="FVG176" s="250"/>
      <c r="FVH176" s="250"/>
      <c r="FVI176" s="250"/>
      <c r="FVJ176" s="250"/>
      <c r="FVK176" s="250"/>
      <c r="FVL176" s="250"/>
      <c r="FVM176" s="250"/>
      <c r="FVN176" s="250"/>
      <c r="FVO176" s="250"/>
      <c r="FVP176" s="250"/>
      <c r="FVQ176" s="250"/>
      <c r="FVR176" s="250"/>
      <c r="FVS176" s="250"/>
      <c r="FVT176" s="250"/>
      <c r="FVU176" s="250"/>
      <c r="FVV176" s="250"/>
      <c r="FVW176" s="250"/>
      <c r="FVX176" s="250"/>
      <c r="FVY176" s="250"/>
      <c r="FVZ176" s="250"/>
      <c r="FWA176" s="250"/>
      <c r="FWB176" s="250"/>
      <c r="FWC176" s="250"/>
      <c r="FWD176" s="250"/>
      <c r="FWE176" s="250"/>
      <c r="FWF176" s="250"/>
      <c r="FWG176" s="250"/>
      <c r="FWH176" s="250"/>
      <c r="FWI176" s="250"/>
      <c r="FWJ176" s="250"/>
      <c r="FWK176" s="250"/>
      <c r="FWL176" s="250"/>
      <c r="FWM176" s="250"/>
      <c r="FWN176" s="250"/>
      <c r="FWO176" s="250"/>
      <c r="FWP176" s="250"/>
      <c r="FWQ176" s="250"/>
      <c r="FWR176" s="250"/>
      <c r="FWS176" s="250"/>
      <c r="FWT176" s="250"/>
      <c r="FWU176" s="250"/>
      <c r="FWV176" s="250"/>
      <c r="FWW176" s="250"/>
      <c r="FWX176" s="250"/>
      <c r="FWY176" s="250"/>
      <c r="FWZ176" s="250"/>
      <c r="FXA176" s="250"/>
      <c r="FXB176" s="250"/>
      <c r="FXC176" s="250"/>
      <c r="FXD176" s="250"/>
      <c r="FXE176" s="250"/>
      <c r="FXF176" s="250"/>
      <c r="FXG176" s="250"/>
      <c r="FXH176" s="250"/>
      <c r="FXI176" s="250"/>
      <c r="FXJ176" s="250"/>
      <c r="FXK176" s="250"/>
      <c r="FXL176" s="250"/>
      <c r="FXM176" s="250"/>
      <c r="FXN176" s="250"/>
      <c r="FXO176" s="250"/>
      <c r="FXP176" s="250"/>
      <c r="FXQ176" s="250"/>
      <c r="FXR176" s="250"/>
      <c r="FXS176" s="250"/>
      <c r="FXT176" s="250"/>
      <c r="FXU176" s="250"/>
      <c r="FXV176" s="250"/>
      <c r="FXW176" s="250"/>
      <c r="FXX176" s="250"/>
      <c r="FXY176" s="250"/>
      <c r="FXZ176" s="250"/>
      <c r="FYA176" s="250"/>
      <c r="FYB176" s="250"/>
      <c r="FYC176" s="250"/>
      <c r="FYD176" s="250"/>
      <c r="FYE176" s="250"/>
      <c r="FYF176" s="250"/>
      <c r="FYG176" s="250"/>
      <c r="FYH176" s="250"/>
      <c r="FYI176" s="250"/>
      <c r="FYJ176" s="250"/>
      <c r="FYK176" s="250"/>
      <c r="FYL176" s="250"/>
      <c r="FYM176" s="250"/>
      <c r="FYN176" s="250"/>
      <c r="FYO176" s="250"/>
      <c r="FYP176" s="250"/>
      <c r="FYQ176" s="250"/>
      <c r="FYR176" s="250"/>
      <c r="FYS176" s="250"/>
      <c r="FYT176" s="250"/>
      <c r="FYU176" s="250"/>
      <c r="FYV176" s="250"/>
      <c r="FYW176" s="250"/>
      <c r="FYX176" s="250"/>
      <c r="FYY176" s="250"/>
      <c r="FYZ176" s="250"/>
      <c r="FZA176" s="250"/>
      <c r="FZB176" s="250"/>
      <c r="FZC176" s="250"/>
      <c r="FZD176" s="250"/>
      <c r="FZE176" s="250"/>
      <c r="FZF176" s="250"/>
      <c r="FZG176" s="250"/>
      <c r="FZH176" s="250"/>
      <c r="FZI176" s="250"/>
      <c r="FZJ176" s="250"/>
      <c r="FZK176" s="250"/>
      <c r="FZL176" s="250"/>
      <c r="FZM176" s="250"/>
      <c r="FZN176" s="250"/>
      <c r="FZO176" s="250"/>
      <c r="FZP176" s="250"/>
      <c r="FZQ176" s="250"/>
      <c r="FZR176" s="250"/>
      <c r="FZS176" s="250"/>
      <c r="FZT176" s="250"/>
      <c r="FZU176" s="250"/>
      <c r="FZV176" s="250"/>
      <c r="FZW176" s="250"/>
      <c r="FZX176" s="250"/>
      <c r="FZY176" s="250"/>
      <c r="FZZ176" s="250"/>
      <c r="GAA176" s="250"/>
      <c r="GAB176" s="250"/>
      <c r="GAC176" s="250"/>
      <c r="GAD176" s="250"/>
      <c r="GAE176" s="250"/>
      <c r="GAF176" s="250"/>
      <c r="GAG176" s="250"/>
      <c r="GAH176" s="250"/>
      <c r="GAI176" s="250"/>
      <c r="GAJ176" s="250"/>
      <c r="GAK176" s="250"/>
      <c r="GAL176" s="250"/>
      <c r="GAM176" s="250"/>
      <c r="GAN176" s="250"/>
      <c r="GAO176" s="250"/>
      <c r="GAP176" s="250"/>
      <c r="GAQ176" s="250"/>
      <c r="GAR176" s="250"/>
      <c r="GAS176" s="250"/>
      <c r="GAT176" s="250"/>
      <c r="GAU176" s="250"/>
      <c r="GAV176" s="250"/>
      <c r="GAW176" s="250"/>
      <c r="GAX176" s="250"/>
      <c r="GAY176" s="250"/>
      <c r="GAZ176" s="250"/>
      <c r="GBA176" s="250"/>
      <c r="GBB176" s="250"/>
      <c r="GBC176" s="250"/>
      <c r="GBD176" s="250"/>
      <c r="GBE176" s="250"/>
      <c r="GBF176" s="250"/>
      <c r="GBG176" s="250"/>
      <c r="GBH176" s="250"/>
      <c r="GBI176" s="250"/>
      <c r="GBJ176" s="250"/>
      <c r="GBK176" s="250"/>
      <c r="GBL176" s="250"/>
      <c r="GBM176" s="250"/>
      <c r="GBN176" s="250"/>
      <c r="GBO176" s="250"/>
      <c r="GBP176" s="250"/>
      <c r="GBQ176" s="250"/>
      <c r="GBR176" s="250"/>
      <c r="GBS176" s="250"/>
      <c r="GBT176" s="250"/>
      <c r="GBU176" s="250"/>
      <c r="GBV176" s="250"/>
      <c r="GBW176" s="250"/>
      <c r="GBX176" s="250"/>
      <c r="GBY176" s="250"/>
      <c r="GBZ176" s="250"/>
      <c r="GCA176" s="250"/>
      <c r="GCB176" s="250"/>
      <c r="GCC176" s="250"/>
      <c r="GCD176" s="250"/>
      <c r="GCE176" s="250"/>
      <c r="GCF176" s="250"/>
      <c r="GCG176" s="250"/>
      <c r="GCH176" s="250"/>
      <c r="GCI176" s="250"/>
      <c r="GCJ176" s="250"/>
      <c r="GCK176" s="250"/>
      <c r="GCL176" s="250"/>
      <c r="GCM176" s="250"/>
      <c r="GCN176" s="250"/>
      <c r="GCO176" s="250"/>
      <c r="GCP176" s="250"/>
      <c r="GCQ176" s="250"/>
      <c r="GCR176" s="250"/>
      <c r="GCS176" s="250"/>
      <c r="GCT176" s="250"/>
      <c r="GCU176" s="250"/>
      <c r="GCV176" s="250"/>
      <c r="GCW176" s="250"/>
      <c r="GCX176" s="250"/>
      <c r="GCY176" s="250"/>
      <c r="GCZ176" s="250"/>
      <c r="GDA176" s="250"/>
      <c r="GDB176" s="250"/>
      <c r="GDC176" s="250"/>
      <c r="GDD176" s="250"/>
      <c r="GDE176" s="250"/>
      <c r="GDF176" s="250"/>
      <c r="GDG176" s="250"/>
      <c r="GDH176" s="250"/>
      <c r="GDI176" s="250"/>
      <c r="GDJ176" s="250"/>
      <c r="GDK176" s="250"/>
      <c r="GDL176" s="250"/>
      <c r="GDM176" s="250"/>
      <c r="GDN176" s="250"/>
      <c r="GDO176" s="250"/>
      <c r="GDP176" s="250"/>
      <c r="GDQ176" s="250"/>
      <c r="GDR176" s="250"/>
      <c r="GDS176" s="250"/>
      <c r="GDT176" s="250"/>
      <c r="GDU176" s="250"/>
      <c r="GDV176" s="250"/>
      <c r="GDW176" s="250"/>
      <c r="GDX176" s="250"/>
      <c r="GDY176" s="250"/>
      <c r="GDZ176" s="250"/>
      <c r="GEA176" s="250"/>
      <c r="GEB176" s="250"/>
      <c r="GEC176" s="250"/>
      <c r="GED176" s="250"/>
      <c r="GEE176" s="250"/>
      <c r="GEF176" s="250"/>
      <c r="GEG176" s="250"/>
      <c r="GEH176" s="250"/>
      <c r="GEI176" s="250"/>
      <c r="GEJ176" s="250"/>
      <c r="GEK176" s="250"/>
      <c r="GEL176" s="250"/>
      <c r="GEM176" s="250"/>
      <c r="GEN176" s="250"/>
      <c r="GEO176" s="250"/>
      <c r="GEP176" s="250"/>
      <c r="GEQ176" s="250"/>
      <c r="GER176" s="250"/>
      <c r="GES176" s="250"/>
      <c r="GET176" s="250"/>
      <c r="GEU176" s="250"/>
      <c r="GEV176" s="250"/>
      <c r="GEW176" s="250"/>
      <c r="GEX176" s="250"/>
      <c r="GEY176" s="250"/>
      <c r="GEZ176" s="250"/>
      <c r="GFA176" s="250"/>
      <c r="GFB176" s="250"/>
      <c r="GFC176" s="250"/>
      <c r="GFD176" s="250"/>
      <c r="GFE176" s="250"/>
      <c r="GFF176" s="250"/>
      <c r="GFG176" s="250"/>
      <c r="GFH176" s="250"/>
      <c r="GFI176" s="250"/>
      <c r="GFJ176" s="250"/>
      <c r="GFK176" s="250"/>
      <c r="GFL176" s="250"/>
      <c r="GFM176" s="250"/>
      <c r="GFN176" s="250"/>
      <c r="GFO176" s="250"/>
      <c r="GFP176" s="250"/>
      <c r="GFQ176" s="250"/>
      <c r="GFR176" s="250"/>
      <c r="GFS176" s="250"/>
      <c r="GFT176" s="250"/>
      <c r="GFU176" s="250"/>
      <c r="GFV176" s="250"/>
      <c r="GFW176" s="250"/>
      <c r="GFX176" s="250"/>
      <c r="GFY176" s="250"/>
      <c r="GFZ176" s="250"/>
      <c r="GGA176" s="250"/>
      <c r="GGB176" s="250"/>
      <c r="GGC176" s="250"/>
      <c r="GGD176" s="250"/>
      <c r="GGE176" s="250"/>
      <c r="GGF176" s="250"/>
      <c r="GGG176" s="250"/>
      <c r="GGH176" s="250"/>
      <c r="GGI176" s="250"/>
      <c r="GGJ176" s="250"/>
      <c r="GGK176" s="250"/>
      <c r="GGL176" s="250"/>
      <c r="GGM176" s="250"/>
      <c r="GGN176" s="250"/>
      <c r="GGO176" s="250"/>
      <c r="GGP176" s="250"/>
      <c r="GGQ176" s="250"/>
      <c r="GGR176" s="250"/>
      <c r="GGS176" s="250"/>
      <c r="GGT176" s="250"/>
      <c r="GGU176" s="250"/>
      <c r="GGV176" s="250"/>
      <c r="GGW176" s="250"/>
      <c r="GGX176" s="250"/>
      <c r="GGY176" s="250"/>
      <c r="GGZ176" s="250"/>
      <c r="GHA176" s="250"/>
      <c r="GHB176" s="250"/>
      <c r="GHC176" s="250"/>
      <c r="GHD176" s="250"/>
      <c r="GHE176" s="250"/>
      <c r="GHF176" s="250"/>
      <c r="GHG176" s="250"/>
      <c r="GHH176" s="250"/>
      <c r="GHI176" s="250"/>
      <c r="GHJ176" s="250"/>
      <c r="GHK176" s="250"/>
      <c r="GHL176" s="250"/>
      <c r="GHM176" s="250"/>
      <c r="GHN176" s="250"/>
      <c r="GHO176" s="250"/>
      <c r="GHP176" s="250"/>
      <c r="GHQ176" s="250"/>
      <c r="GHR176" s="250"/>
      <c r="GHS176" s="250"/>
      <c r="GHT176" s="250"/>
      <c r="GHU176" s="250"/>
      <c r="GHV176" s="250"/>
      <c r="GHW176" s="250"/>
      <c r="GHX176" s="250"/>
      <c r="GHY176" s="250"/>
      <c r="GHZ176" s="250"/>
      <c r="GIA176" s="250"/>
      <c r="GIB176" s="250"/>
      <c r="GIC176" s="250"/>
      <c r="GID176" s="250"/>
      <c r="GIE176" s="250"/>
      <c r="GIF176" s="250"/>
      <c r="GIG176" s="250"/>
      <c r="GIH176" s="250"/>
      <c r="GII176" s="250"/>
      <c r="GIJ176" s="250"/>
      <c r="GIK176" s="250"/>
      <c r="GIL176" s="250"/>
      <c r="GIM176" s="250"/>
      <c r="GIN176" s="250"/>
      <c r="GIO176" s="250"/>
      <c r="GIP176" s="250"/>
      <c r="GIQ176" s="250"/>
      <c r="GIR176" s="250"/>
      <c r="GIS176" s="250"/>
      <c r="GIT176" s="250"/>
      <c r="GIU176" s="250"/>
      <c r="GIV176" s="250"/>
      <c r="GIW176" s="250"/>
      <c r="GIX176" s="250"/>
      <c r="GIY176" s="250"/>
      <c r="GIZ176" s="250"/>
      <c r="GJA176" s="250"/>
      <c r="GJB176" s="250"/>
      <c r="GJC176" s="250"/>
      <c r="GJD176" s="250"/>
      <c r="GJE176" s="250"/>
      <c r="GJF176" s="250"/>
      <c r="GJG176" s="250"/>
      <c r="GJH176" s="250"/>
      <c r="GJI176" s="250"/>
      <c r="GJJ176" s="250"/>
      <c r="GJK176" s="250"/>
      <c r="GJL176" s="250"/>
      <c r="GJM176" s="250"/>
      <c r="GJN176" s="250"/>
      <c r="GJO176" s="250"/>
      <c r="GJP176" s="250"/>
      <c r="GJQ176" s="250"/>
      <c r="GJR176" s="250"/>
      <c r="GJS176" s="250"/>
      <c r="GJT176" s="250"/>
      <c r="GJU176" s="250"/>
      <c r="GJV176" s="250"/>
      <c r="GJW176" s="250"/>
      <c r="GJX176" s="250"/>
      <c r="GJY176" s="250"/>
      <c r="GJZ176" s="250"/>
      <c r="GKA176" s="250"/>
      <c r="GKB176" s="250"/>
      <c r="GKC176" s="250"/>
      <c r="GKD176" s="250"/>
      <c r="GKE176" s="250"/>
      <c r="GKF176" s="250"/>
      <c r="GKG176" s="250"/>
      <c r="GKH176" s="250"/>
      <c r="GKI176" s="250"/>
      <c r="GKJ176" s="250"/>
      <c r="GKK176" s="250"/>
      <c r="GKL176" s="250"/>
      <c r="GKM176" s="250"/>
      <c r="GKN176" s="250"/>
      <c r="GKO176" s="250"/>
      <c r="GKP176" s="250"/>
      <c r="GKQ176" s="250"/>
      <c r="GKR176" s="250"/>
      <c r="GKS176" s="250"/>
      <c r="GKT176" s="250"/>
      <c r="GKU176" s="250"/>
      <c r="GKV176" s="250"/>
      <c r="GKW176" s="250"/>
      <c r="GKX176" s="250"/>
      <c r="GKY176" s="250"/>
      <c r="GKZ176" s="250"/>
      <c r="GLA176" s="250"/>
      <c r="GLB176" s="250"/>
      <c r="GLC176" s="250"/>
      <c r="GLD176" s="250"/>
      <c r="GLE176" s="250"/>
      <c r="GLF176" s="250"/>
      <c r="GLG176" s="250"/>
      <c r="GLH176" s="250"/>
      <c r="GLI176" s="250"/>
      <c r="GLJ176" s="250"/>
      <c r="GLK176" s="250"/>
      <c r="GLL176" s="250"/>
      <c r="GLM176" s="250"/>
      <c r="GLN176" s="250"/>
      <c r="GLO176" s="250"/>
      <c r="GLP176" s="250"/>
      <c r="GLQ176" s="250"/>
      <c r="GLR176" s="250"/>
      <c r="GLS176" s="250"/>
      <c r="GLT176" s="250"/>
      <c r="GLU176" s="250"/>
      <c r="GLV176" s="250"/>
      <c r="GLW176" s="250"/>
      <c r="GLX176" s="250"/>
      <c r="GLY176" s="250"/>
      <c r="GLZ176" s="250"/>
      <c r="GMA176" s="250"/>
      <c r="GMB176" s="250"/>
      <c r="GMC176" s="250"/>
      <c r="GMD176" s="250"/>
      <c r="GME176" s="250"/>
      <c r="GMF176" s="250"/>
      <c r="GMG176" s="250"/>
      <c r="GMH176" s="250"/>
      <c r="GMI176" s="250"/>
      <c r="GMJ176" s="250"/>
      <c r="GMK176" s="250"/>
      <c r="GML176" s="250"/>
      <c r="GMM176" s="250"/>
      <c r="GMN176" s="250"/>
      <c r="GMO176" s="250"/>
      <c r="GMP176" s="250"/>
      <c r="GMQ176" s="250"/>
      <c r="GMR176" s="250"/>
      <c r="GMS176" s="250"/>
      <c r="GMT176" s="250"/>
      <c r="GMU176" s="250"/>
      <c r="GMV176" s="250"/>
      <c r="GMW176" s="250"/>
      <c r="GMX176" s="250"/>
      <c r="GMY176" s="250"/>
      <c r="GMZ176" s="250"/>
      <c r="GNA176" s="250"/>
      <c r="GNB176" s="250"/>
      <c r="GNC176" s="250"/>
      <c r="GND176" s="250"/>
      <c r="GNE176" s="250"/>
      <c r="GNF176" s="250"/>
      <c r="GNG176" s="250"/>
      <c r="GNH176" s="250"/>
      <c r="GNI176" s="250"/>
      <c r="GNJ176" s="250"/>
      <c r="GNK176" s="250"/>
      <c r="GNL176" s="250"/>
      <c r="GNM176" s="250"/>
      <c r="GNN176" s="250"/>
      <c r="GNO176" s="250"/>
      <c r="GNP176" s="250"/>
      <c r="GNQ176" s="250"/>
      <c r="GNR176" s="250"/>
      <c r="GNS176" s="250"/>
      <c r="GNT176" s="250"/>
      <c r="GNU176" s="250"/>
      <c r="GNV176" s="250"/>
      <c r="GNW176" s="250"/>
      <c r="GNX176" s="250"/>
      <c r="GNY176" s="250"/>
      <c r="GNZ176" s="250"/>
      <c r="GOA176" s="250"/>
      <c r="GOB176" s="250"/>
      <c r="GOC176" s="250"/>
      <c r="GOD176" s="250"/>
      <c r="GOE176" s="250"/>
      <c r="GOF176" s="250"/>
      <c r="GOG176" s="250"/>
      <c r="GOH176" s="250"/>
      <c r="GOI176" s="250"/>
      <c r="GOJ176" s="250"/>
      <c r="GOK176" s="250"/>
      <c r="GOL176" s="250"/>
      <c r="GOM176" s="250"/>
      <c r="GON176" s="250"/>
      <c r="GOO176" s="250"/>
      <c r="GOP176" s="250"/>
      <c r="GOQ176" s="250"/>
      <c r="GOR176" s="250"/>
      <c r="GOS176" s="250"/>
      <c r="GOT176" s="250"/>
      <c r="GOU176" s="250"/>
      <c r="GOV176" s="250"/>
      <c r="GOW176" s="250"/>
      <c r="GOX176" s="250"/>
      <c r="GOY176" s="250"/>
      <c r="GOZ176" s="250"/>
      <c r="GPA176" s="250"/>
      <c r="GPB176" s="250"/>
      <c r="GPC176" s="250"/>
      <c r="GPD176" s="250"/>
      <c r="GPE176" s="250"/>
      <c r="GPF176" s="250"/>
      <c r="GPG176" s="250"/>
      <c r="GPH176" s="250"/>
      <c r="GPI176" s="250"/>
      <c r="GPJ176" s="250"/>
      <c r="GPK176" s="250"/>
      <c r="GPL176" s="250"/>
      <c r="GPM176" s="250"/>
      <c r="GPN176" s="250"/>
      <c r="GPO176" s="250"/>
      <c r="GPP176" s="250"/>
      <c r="GPQ176" s="250"/>
      <c r="GPR176" s="250"/>
      <c r="GPS176" s="250"/>
      <c r="GPT176" s="250"/>
      <c r="GPU176" s="250"/>
      <c r="GPV176" s="250"/>
      <c r="GPW176" s="250"/>
      <c r="GPX176" s="250"/>
      <c r="GPY176" s="250"/>
      <c r="GPZ176" s="250"/>
      <c r="GQA176" s="250"/>
      <c r="GQB176" s="250"/>
      <c r="GQC176" s="250"/>
      <c r="GQD176" s="250"/>
      <c r="GQE176" s="250"/>
      <c r="GQF176" s="250"/>
      <c r="GQG176" s="250"/>
      <c r="GQH176" s="250"/>
      <c r="GQI176" s="250"/>
      <c r="GQJ176" s="250"/>
      <c r="GQK176" s="250"/>
      <c r="GQL176" s="250"/>
      <c r="GQM176" s="250"/>
      <c r="GQN176" s="250"/>
      <c r="GQO176" s="250"/>
      <c r="GQP176" s="250"/>
      <c r="GQQ176" s="250"/>
      <c r="GQR176" s="250"/>
      <c r="GQS176" s="250"/>
      <c r="GQT176" s="250"/>
      <c r="GQU176" s="250"/>
      <c r="GQV176" s="250"/>
      <c r="GQW176" s="250"/>
      <c r="GQX176" s="250"/>
      <c r="GQY176" s="250"/>
      <c r="GQZ176" s="250"/>
      <c r="GRA176" s="250"/>
      <c r="GRB176" s="250"/>
      <c r="GRC176" s="250"/>
      <c r="GRD176" s="250"/>
      <c r="GRE176" s="250"/>
      <c r="GRF176" s="250"/>
      <c r="GRG176" s="250"/>
      <c r="GRH176" s="250"/>
      <c r="GRI176" s="250"/>
      <c r="GRJ176" s="250"/>
      <c r="GRK176" s="250"/>
      <c r="GRL176" s="250"/>
      <c r="GRM176" s="250"/>
      <c r="GRN176" s="250"/>
      <c r="GRO176" s="250"/>
      <c r="GRP176" s="250"/>
      <c r="GRQ176" s="250"/>
      <c r="GRR176" s="250"/>
      <c r="GRS176" s="250"/>
      <c r="GRT176" s="250"/>
      <c r="GRU176" s="250"/>
      <c r="GRV176" s="250"/>
      <c r="GRW176" s="250"/>
      <c r="GRX176" s="250"/>
      <c r="GRY176" s="250"/>
      <c r="GRZ176" s="250"/>
      <c r="GSA176" s="250"/>
      <c r="GSB176" s="250"/>
      <c r="GSC176" s="250"/>
      <c r="GSD176" s="250"/>
      <c r="GSE176" s="250"/>
      <c r="GSF176" s="250"/>
      <c r="GSG176" s="250"/>
      <c r="GSH176" s="250"/>
      <c r="GSI176" s="250"/>
      <c r="GSJ176" s="250"/>
      <c r="GSK176" s="250"/>
      <c r="GSL176" s="250"/>
      <c r="GSM176" s="250"/>
      <c r="GSN176" s="250"/>
      <c r="GSO176" s="250"/>
      <c r="GSP176" s="250"/>
      <c r="GSQ176" s="250"/>
      <c r="GSR176" s="250"/>
      <c r="GSS176" s="250"/>
      <c r="GST176" s="250"/>
      <c r="GSU176" s="250"/>
      <c r="GSV176" s="250"/>
      <c r="GSW176" s="250"/>
      <c r="GSX176" s="250"/>
      <c r="GSY176" s="250"/>
      <c r="GSZ176" s="250"/>
      <c r="GTA176" s="250"/>
      <c r="GTB176" s="250"/>
      <c r="GTC176" s="250"/>
      <c r="GTD176" s="250"/>
      <c r="GTE176" s="250"/>
      <c r="GTF176" s="250"/>
      <c r="GTG176" s="250"/>
      <c r="GTH176" s="250"/>
      <c r="GTI176" s="250"/>
      <c r="GTJ176" s="250"/>
      <c r="GTK176" s="250"/>
      <c r="GTL176" s="250"/>
      <c r="GTM176" s="250"/>
      <c r="GTN176" s="250"/>
      <c r="GTO176" s="250"/>
      <c r="GTP176" s="250"/>
      <c r="GTQ176" s="250"/>
      <c r="GTR176" s="250"/>
      <c r="GTS176" s="250"/>
      <c r="GTT176" s="250"/>
      <c r="GTU176" s="250"/>
      <c r="GTV176" s="250"/>
      <c r="GTW176" s="250"/>
      <c r="GTX176" s="250"/>
      <c r="GTY176" s="250"/>
      <c r="GTZ176" s="250"/>
      <c r="GUA176" s="250"/>
      <c r="GUB176" s="250"/>
      <c r="GUC176" s="250"/>
      <c r="GUD176" s="250"/>
      <c r="GUE176" s="250"/>
      <c r="GUF176" s="250"/>
      <c r="GUG176" s="250"/>
      <c r="GUH176" s="250"/>
      <c r="GUI176" s="250"/>
      <c r="GUJ176" s="250"/>
      <c r="GUK176" s="250"/>
      <c r="GUL176" s="250"/>
      <c r="GUM176" s="250"/>
      <c r="GUN176" s="250"/>
      <c r="GUO176" s="250"/>
      <c r="GUP176" s="250"/>
      <c r="GUQ176" s="250"/>
      <c r="GUR176" s="250"/>
      <c r="GUS176" s="250"/>
      <c r="GUT176" s="250"/>
      <c r="GUU176" s="250"/>
      <c r="GUV176" s="250"/>
      <c r="GUW176" s="250"/>
      <c r="GUX176" s="250"/>
      <c r="GUY176" s="250"/>
      <c r="GUZ176" s="250"/>
      <c r="GVA176" s="250"/>
      <c r="GVB176" s="250"/>
      <c r="GVC176" s="250"/>
      <c r="GVD176" s="250"/>
      <c r="GVE176" s="250"/>
      <c r="GVF176" s="250"/>
      <c r="GVG176" s="250"/>
      <c r="GVH176" s="250"/>
      <c r="GVI176" s="250"/>
      <c r="GVJ176" s="250"/>
      <c r="GVK176" s="250"/>
      <c r="GVL176" s="250"/>
      <c r="GVM176" s="250"/>
      <c r="GVN176" s="250"/>
      <c r="GVO176" s="250"/>
      <c r="GVP176" s="250"/>
      <c r="GVQ176" s="250"/>
      <c r="GVR176" s="250"/>
      <c r="GVS176" s="250"/>
      <c r="GVT176" s="250"/>
      <c r="GVU176" s="250"/>
      <c r="GVV176" s="250"/>
      <c r="GVW176" s="250"/>
      <c r="GVX176" s="250"/>
      <c r="GVY176" s="250"/>
      <c r="GVZ176" s="250"/>
      <c r="GWA176" s="250"/>
      <c r="GWB176" s="250"/>
      <c r="GWC176" s="250"/>
      <c r="GWD176" s="250"/>
      <c r="GWE176" s="250"/>
      <c r="GWF176" s="250"/>
      <c r="GWG176" s="250"/>
      <c r="GWH176" s="250"/>
      <c r="GWI176" s="250"/>
      <c r="GWJ176" s="250"/>
      <c r="GWK176" s="250"/>
      <c r="GWL176" s="250"/>
      <c r="GWM176" s="250"/>
      <c r="GWN176" s="250"/>
      <c r="GWO176" s="250"/>
      <c r="GWP176" s="250"/>
      <c r="GWQ176" s="250"/>
      <c r="GWR176" s="250"/>
      <c r="GWS176" s="250"/>
      <c r="GWT176" s="250"/>
      <c r="GWU176" s="250"/>
      <c r="GWV176" s="250"/>
      <c r="GWW176" s="250"/>
      <c r="GWX176" s="250"/>
      <c r="GWY176" s="250"/>
      <c r="GWZ176" s="250"/>
      <c r="GXA176" s="250"/>
      <c r="GXB176" s="250"/>
      <c r="GXC176" s="250"/>
      <c r="GXD176" s="250"/>
      <c r="GXE176" s="250"/>
      <c r="GXF176" s="250"/>
      <c r="GXG176" s="250"/>
      <c r="GXH176" s="250"/>
      <c r="GXI176" s="250"/>
      <c r="GXJ176" s="250"/>
      <c r="GXK176" s="250"/>
      <c r="GXL176" s="250"/>
      <c r="GXM176" s="250"/>
      <c r="GXN176" s="250"/>
      <c r="GXO176" s="250"/>
      <c r="GXP176" s="250"/>
      <c r="GXQ176" s="250"/>
      <c r="GXR176" s="250"/>
      <c r="GXS176" s="250"/>
      <c r="GXT176" s="250"/>
      <c r="GXU176" s="250"/>
      <c r="GXV176" s="250"/>
      <c r="GXW176" s="250"/>
      <c r="GXX176" s="250"/>
      <c r="GXY176" s="250"/>
      <c r="GXZ176" s="250"/>
      <c r="GYA176" s="250"/>
      <c r="GYB176" s="250"/>
      <c r="GYC176" s="250"/>
      <c r="GYD176" s="250"/>
      <c r="GYE176" s="250"/>
      <c r="GYF176" s="250"/>
      <c r="GYG176" s="250"/>
      <c r="GYH176" s="250"/>
      <c r="GYI176" s="250"/>
      <c r="GYJ176" s="250"/>
      <c r="GYK176" s="250"/>
      <c r="GYL176" s="250"/>
      <c r="GYM176" s="250"/>
      <c r="GYN176" s="250"/>
      <c r="GYO176" s="250"/>
      <c r="GYP176" s="250"/>
      <c r="GYQ176" s="250"/>
      <c r="GYR176" s="250"/>
      <c r="GYS176" s="250"/>
      <c r="GYT176" s="250"/>
      <c r="GYU176" s="250"/>
      <c r="GYV176" s="250"/>
      <c r="GYW176" s="250"/>
      <c r="GYX176" s="250"/>
      <c r="GYY176" s="250"/>
      <c r="GYZ176" s="250"/>
      <c r="GZA176" s="250"/>
      <c r="GZB176" s="250"/>
      <c r="GZC176" s="250"/>
      <c r="GZD176" s="250"/>
      <c r="GZE176" s="250"/>
      <c r="GZF176" s="250"/>
      <c r="GZG176" s="250"/>
      <c r="GZH176" s="250"/>
      <c r="GZI176" s="250"/>
      <c r="GZJ176" s="250"/>
      <c r="GZK176" s="250"/>
      <c r="GZL176" s="250"/>
      <c r="GZM176" s="250"/>
      <c r="GZN176" s="250"/>
      <c r="GZO176" s="250"/>
      <c r="GZP176" s="250"/>
      <c r="GZQ176" s="250"/>
      <c r="GZR176" s="250"/>
      <c r="GZS176" s="250"/>
      <c r="GZT176" s="250"/>
      <c r="GZU176" s="250"/>
      <c r="GZV176" s="250"/>
      <c r="GZW176" s="250"/>
      <c r="GZX176" s="250"/>
      <c r="GZY176" s="250"/>
      <c r="GZZ176" s="250"/>
      <c r="HAA176" s="250"/>
      <c r="HAB176" s="250"/>
      <c r="HAC176" s="250"/>
      <c r="HAD176" s="250"/>
      <c r="HAE176" s="250"/>
      <c r="HAF176" s="250"/>
      <c r="HAG176" s="250"/>
      <c r="HAH176" s="250"/>
      <c r="HAI176" s="250"/>
      <c r="HAJ176" s="250"/>
      <c r="HAK176" s="250"/>
      <c r="HAL176" s="250"/>
      <c r="HAM176" s="250"/>
      <c r="HAN176" s="250"/>
      <c r="HAO176" s="250"/>
      <c r="HAP176" s="250"/>
      <c r="HAQ176" s="250"/>
      <c r="HAR176" s="250"/>
      <c r="HAS176" s="250"/>
      <c r="HAT176" s="250"/>
      <c r="HAU176" s="250"/>
      <c r="HAV176" s="250"/>
      <c r="HAW176" s="250"/>
      <c r="HAX176" s="250"/>
      <c r="HAY176" s="250"/>
      <c r="HAZ176" s="250"/>
      <c r="HBA176" s="250"/>
      <c r="HBB176" s="250"/>
      <c r="HBC176" s="250"/>
      <c r="HBD176" s="250"/>
      <c r="HBE176" s="250"/>
      <c r="HBF176" s="250"/>
      <c r="HBG176" s="250"/>
      <c r="HBH176" s="250"/>
      <c r="HBI176" s="250"/>
      <c r="HBJ176" s="250"/>
      <c r="HBK176" s="250"/>
      <c r="HBL176" s="250"/>
      <c r="HBM176" s="250"/>
      <c r="HBN176" s="250"/>
      <c r="HBO176" s="250"/>
      <c r="HBP176" s="250"/>
      <c r="HBQ176" s="250"/>
      <c r="HBR176" s="250"/>
      <c r="HBS176" s="250"/>
      <c r="HBT176" s="250"/>
      <c r="HBU176" s="250"/>
      <c r="HBV176" s="250"/>
      <c r="HBW176" s="250"/>
      <c r="HBX176" s="250"/>
      <c r="HBY176" s="250"/>
      <c r="HBZ176" s="250"/>
      <c r="HCA176" s="250"/>
      <c r="HCB176" s="250"/>
      <c r="HCC176" s="250"/>
      <c r="HCD176" s="250"/>
      <c r="HCE176" s="250"/>
      <c r="HCF176" s="250"/>
      <c r="HCG176" s="250"/>
      <c r="HCH176" s="250"/>
      <c r="HCI176" s="250"/>
      <c r="HCJ176" s="250"/>
      <c r="HCK176" s="250"/>
      <c r="HCL176" s="250"/>
      <c r="HCM176" s="250"/>
      <c r="HCN176" s="250"/>
      <c r="HCO176" s="250"/>
      <c r="HCP176" s="250"/>
      <c r="HCQ176" s="250"/>
      <c r="HCR176" s="250"/>
      <c r="HCS176" s="250"/>
      <c r="HCT176" s="250"/>
      <c r="HCU176" s="250"/>
      <c r="HCV176" s="250"/>
      <c r="HCW176" s="250"/>
      <c r="HCX176" s="250"/>
      <c r="HCY176" s="250"/>
      <c r="HCZ176" s="250"/>
      <c r="HDA176" s="250"/>
      <c r="HDB176" s="250"/>
      <c r="HDC176" s="250"/>
      <c r="HDD176" s="250"/>
      <c r="HDE176" s="250"/>
      <c r="HDF176" s="250"/>
      <c r="HDG176" s="250"/>
      <c r="HDH176" s="250"/>
      <c r="HDI176" s="250"/>
      <c r="HDJ176" s="250"/>
      <c r="HDK176" s="250"/>
      <c r="HDL176" s="250"/>
      <c r="HDM176" s="250"/>
      <c r="HDN176" s="250"/>
      <c r="HDO176" s="250"/>
      <c r="HDP176" s="250"/>
      <c r="HDQ176" s="250"/>
      <c r="HDR176" s="250"/>
      <c r="HDS176" s="250"/>
      <c r="HDT176" s="250"/>
      <c r="HDU176" s="250"/>
      <c r="HDV176" s="250"/>
      <c r="HDW176" s="250"/>
      <c r="HDX176" s="250"/>
      <c r="HDY176" s="250"/>
      <c r="HDZ176" s="250"/>
      <c r="HEA176" s="250"/>
      <c r="HEB176" s="250"/>
      <c r="HEC176" s="250"/>
      <c r="HED176" s="250"/>
      <c r="HEE176" s="250"/>
      <c r="HEF176" s="250"/>
      <c r="HEG176" s="250"/>
      <c r="HEH176" s="250"/>
      <c r="HEI176" s="250"/>
      <c r="HEJ176" s="250"/>
      <c r="HEK176" s="250"/>
      <c r="HEL176" s="250"/>
      <c r="HEM176" s="250"/>
      <c r="HEN176" s="250"/>
      <c r="HEO176" s="250"/>
      <c r="HEP176" s="250"/>
      <c r="HEQ176" s="250"/>
      <c r="HER176" s="250"/>
      <c r="HES176" s="250"/>
      <c r="HET176" s="250"/>
      <c r="HEU176" s="250"/>
      <c r="HEV176" s="250"/>
      <c r="HEW176" s="250"/>
      <c r="HEX176" s="250"/>
      <c r="HEY176" s="250"/>
      <c r="HEZ176" s="250"/>
      <c r="HFA176" s="250"/>
      <c r="HFB176" s="250"/>
      <c r="HFC176" s="250"/>
      <c r="HFD176" s="250"/>
      <c r="HFE176" s="250"/>
      <c r="HFF176" s="250"/>
      <c r="HFG176" s="250"/>
      <c r="HFH176" s="250"/>
      <c r="HFI176" s="250"/>
      <c r="HFJ176" s="250"/>
      <c r="HFK176" s="250"/>
      <c r="HFL176" s="250"/>
      <c r="HFM176" s="250"/>
      <c r="HFN176" s="250"/>
      <c r="HFO176" s="250"/>
      <c r="HFP176" s="250"/>
      <c r="HFQ176" s="250"/>
      <c r="HFR176" s="250"/>
      <c r="HFS176" s="250"/>
      <c r="HFT176" s="250"/>
      <c r="HFU176" s="250"/>
      <c r="HFV176" s="250"/>
      <c r="HFW176" s="250"/>
      <c r="HFX176" s="250"/>
      <c r="HFY176" s="250"/>
      <c r="HFZ176" s="250"/>
      <c r="HGA176" s="250"/>
      <c r="HGB176" s="250"/>
      <c r="HGC176" s="250"/>
      <c r="HGD176" s="250"/>
      <c r="HGE176" s="250"/>
      <c r="HGF176" s="250"/>
      <c r="HGG176" s="250"/>
      <c r="HGH176" s="250"/>
      <c r="HGI176" s="250"/>
      <c r="HGJ176" s="250"/>
      <c r="HGK176" s="250"/>
      <c r="HGL176" s="250"/>
      <c r="HGM176" s="250"/>
      <c r="HGN176" s="250"/>
      <c r="HGO176" s="250"/>
      <c r="HGP176" s="250"/>
      <c r="HGQ176" s="250"/>
      <c r="HGR176" s="250"/>
      <c r="HGS176" s="250"/>
      <c r="HGT176" s="250"/>
      <c r="HGU176" s="250"/>
      <c r="HGV176" s="250"/>
      <c r="HGW176" s="250"/>
      <c r="HGX176" s="250"/>
      <c r="HGY176" s="250"/>
      <c r="HGZ176" s="250"/>
      <c r="HHA176" s="250"/>
      <c r="HHB176" s="250"/>
      <c r="HHC176" s="250"/>
      <c r="HHD176" s="250"/>
      <c r="HHE176" s="250"/>
      <c r="HHF176" s="250"/>
      <c r="HHG176" s="250"/>
      <c r="HHH176" s="250"/>
      <c r="HHI176" s="250"/>
      <c r="HHJ176" s="250"/>
      <c r="HHK176" s="250"/>
      <c r="HHL176" s="250"/>
      <c r="HHM176" s="250"/>
      <c r="HHN176" s="250"/>
      <c r="HHO176" s="250"/>
      <c r="HHP176" s="250"/>
      <c r="HHQ176" s="250"/>
      <c r="HHR176" s="250"/>
      <c r="HHS176" s="250"/>
      <c r="HHT176" s="250"/>
      <c r="HHU176" s="250"/>
      <c r="HHV176" s="250"/>
      <c r="HHW176" s="250"/>
      <c r="HHX176" s="250"/>
      <c r="HHY176" s="250"/>
      <c r="HHZ176" s="250"/>
      <c r="HIA176" s="250"/>
      <c r="HIB176" s="250"/>
      <c r="HIC176" s="250"/>
      <c r="HID176" s="250"/>
      <c r="HIE176" s="250"/>
      <c r="HIF176" s="250"/>
      <c r="HIG176" s="250"/>
      <c r="HIH176" s="250"/>
      <c r="HII176" s="250"/>
      <c r="HIJ176" s="250"/>
      <c r="HIK176" s="250"/>
      <c r="HIL176" s="250"/>
      <c r="HIM176" s="250"/>
      <c r="HIN176" s="250"/>
      <c r="HIO176" s="250"/>
      <c r="HIP176" s="250"/>
      <c r="HIQ176" s="250"/>
      <c r="HIR176" s="250"/>
      <c r="HIS176" s="250"/>
      <c r="HIT176" s="250"/>
      <c r="HIU176" s="250"/>
      <c r="HIV176" s="250"/>
      <c r="HIW176" s="250"/>
      <c r="HIX176" s="250"/>
      <c r="HIY176" s="250"/>
      <c r="HIZ176" s="250"/>
      <c r="HJA176" s="250"/>
      <c r="HJB176" s="250"/>
      <c r="HJC176" s="250"/>
      <c r="HJD176" s="250"/>
      <c r="HJE176" s="250"/>
      <c r="HJF176" s="250"/>
      <c r="HJG176" s="250"/>
      <c r="HJH176" s="250"/>
      <c r="HJI176" s="250"/>
      <c r="HJJ176" s="250"/>
      <c r="HJK176" s="250"/>
      <c r="HJL176" s="250"/>
      <c r="HJM176" s="250"/>
      <c r="HJN176" s="250"/>
      <c r="HJO176" s="250"/>
      <c r="HJP176" s="250"/>
      <c r="HJQ176" s="250"/>
      <c r="HJR176" s="250"/>
      <c r="HJS176" s="250"/>
      <c r="HJT176" s="250"/>
      <c r="HJU176" s="250"/>
      <c r="HJV176" s="250"/>
      <c r="HJW176" s="250"/>
      <c r="HJX176" s="250"/>
      <c r="HJY176" s="250"/>
      <c r="HJZ176" s="250"/>
      <c r="HKA176" s="250"/>
      <c r="HKB176" s="250"/>
      <c r="HKC176" s="250"/>
      <c r="HKD176" s="250"/>
      <c r="HKE176" s="250"/>
      <c r="HKF176" s="250"/>
      <c r="HKG176" s="250"/>
      <c r="HKH176" s="250"/>
      <c r="HKI176" s="250"/>
      <c r="HKJ176" s="250"/>
      <c r="HKK176" s="250"/>
      <c r="HKL176" s="250"/>
      <c r="HKM176" s="250"/>
      <c r="HKN176" s="250"/>
      <c r="HKO176" s="250"/>
      <c r="HKP176" s="250"/>
      <c r="HKQ176" s="250"/>
      <c r="HKR176" s="250"/>
      <c r="HKS176" s="250"/>
      <c r="HKT176" s="250"/>
      <c r="HKU176" s="250"/>
      <c r="HKV176" s="250"/>
      <c r="HKW176" s="250"/>
      <c r="HKX176" s="250"/>
      <c r="HKY176" s="250"/>
      <c r="HKZ176" s="250"/>
      <c r="HLA176" s="250"/>
      <c r="HLB176" s="250"/>
      <c r="HLC176" s="250"/>
      <c r="HLD176" s="250"/>
      <c r="HLE176" s="250"/>
      <c r="HLF176" s="250"/>
      <c r="HLG176" s="250"/>
      <c r="HLH176" s="250"/>
      <c r="HLI176" s="250"/>
      <c r="HLJ176" s="250"/>
      <c r="HLK176" s="250"/>
      <c r="HLL176" s="250"/>
      <c r="HLM176" s="250"/>
      <c r="HLN176" s="250"/>
      <c r="HLO176" s="250"/>
      <c r="HLP176" s="250"/>
      <c r="HLQ176" s="250"/>
      <c r="HLR176" s="250"/>
      <c r="HLS176" s="250"/>
      <c r="HLT176" s="250"/>
      <c r="HLU176" s="250"/>
      <c r="HLV176" s="250"/>
      <c r="HLW176" s="250"/>
      <c r="HLX176" s="250"/>
      <c r="HLY176" s="250"/>
      <c r="HLZ176" s="250"/>
      <c r="HMA176" s="250"/>
      <c r="HMB176" s="250"/>
      <c r="HMC176" s="250"/>
      <c r="HMD176" s="250"/>
      <c r="HME176" s="250"/>
      <c r="HMF176" s="250"/>
      <c r="HMG176" s="250"/>
      <c r="HMH176" s="250"/>
      <c r="HMI176" s="250"/>
      <c r="HMJ176" s="250"/>
      <c r="HMK176" s="250"/>
      <c r="HML176" s="250"/>
      <c r="HMM176" s="250"/>
      <c r="HMN176" s="250"/>
      <c r="HMO176" s="250"/>
      <c r="HMP176" s="250"/>
      <c r="HMQ176" s="250"/>
      <c r="HMR176" s="250"/>
      <c r="HMS176" s="250"/>
      <c r="HMT176" s="250"/>
      <c r="HMU176" s="250"/>
      <c r="HMV176" s="250"/>
      <c r="HMW176" s="250"/>
      <c r="HMX176" s="250"/>
      <c r="HMY176" s="250"/>
      <c r="HMZ176" s="250"/>
      <c r="HNA176" s="250"/>
      <c r="HNB176" s="250"/>
      <c r="HNC176" s="250"/>
      <c r="HND176" s="250"/>
      <c r="HNE176" s="250"/>
      <c r="HNF176" s="250"/>
      <c r="HNG176" s="250"/>
      <c r="HNH176" s="250"/>
      <c r="HNI176" s="250"/>
      <c r="HNJ176" s="250"/>
      <c r="HNK176" s="250"/>
      <c r="HNL176" s="250"/>
      <c r="HNM176" s="250"/>
      <c r="HNN176" s="250"/>
      <c r="HNO176" s="250"/>
      <c r="HNP176" s="250"/>
      <c r="HNQ176" s="250"/>
      <c r="HNR176" s="250"/>
      <c r="HNS176" s="250"/>
      <c r="HNT176" s="250"/>
      <c r="HNU176" s="250"/>
      <c r="HNV176" s="250"/>
      <c r="HNW176" s="250"/>
      <c r="HNX176" s="250"/>
      <c r="HNY176" s="250"/>
      <c r="HNZ176" s="250"/>
      <c r="HOA176" s="250"/>
      <c r="HOB176" s="250"/>
      <c r="HOC176" s="250"/>
      <c r="HOD176" s="250"/>
      <c r="HOE176" s="250"/>
      <c r="HOF176" s="250"/>
      <c r="HOG176" s="250"/>
      <c r="HOH176" s="250"/>
      <c r="HOI176" s="250"/>
      <c r="HOJ176" s="250"/>
      <c r="HOK176" s="250"/>
      <c r="HOL176" s="250"/>
      <c r="HOM176" s="250"/>
      <c r="HON176" s="250"/>
      <c r="HOO176" s="250"/>
      <c r="HOP176" s="250"/>
      <c r="HOQ176" s="250"/>
      <c r="HOR176" s="250"/>
      <c r="HOS176" s="250"/>
      <c r="HOT176" s="250"/>
      <c r="HOU176" s="250"/>
      <c r="HOV176" s="250"/>
      <c r="HOW176" s="250"/>
      <c r="HOX176" s="250"/>
      <c r="HOY176" s="250"/>
      <c r="HOZ176" s="250"/>
      <c r="HPA176" s="250"/>
      <c r="HPB176" s="250"/>
      <c r="HPC176" s="250"/>
      <c r="HPD176" s="250"/>
      <c r="HPE176" s="250"/>
      <c r="HPF176" s="250"/>
      <c r="HPG176" s="250"/>
      <c r="HPH176" s="250"/>
      <c r="HPI176" s="250"/>
      <c r="HPJ176" s="250"/>
      <c r="HPK176" s="250"/>
      <c r="HPL176" s="250"/>
      <c r="HPM176" s="250"/>
      <c r="HPN176" s="250"/>
      <c r="HPO176" s="250"/>
      <c r="HPP176" s="250"/>
      <c r="HPQ176" s="250"/>
      <c r="HPR176" s="250"/>
      <c r="HPS176" s="250"/>
      <c r="HPT176" s="250"/>
      <c r="HPU176" s="250"/>
      <c r="HPV176" s="250"/>
      <c r="HPW176" s="250"/>
      <c r="HPX176" s="250"/>
      <c r="HPY176" s="250"/>
      <c r="HPZ176" s="250"/>
      <c r="HQA176" s="250"/>
      <c r="HQB176" s="250"/>
      <c r="HQC176" s="250"/>
      <c r="HQD176" s="250"/>
      <c r="HQE176" s="250"/>
      <c r="HQF176" s="250"/>
      <c r="HQG176" s="250"/>
      <c r="HQH176" s="250"/>
      <c r="HQI176" s="250"/>
      <c r="HQJ176" s="250"/>
      <c r="HQK176" s="250"/>
      <c r="HQL176" s="250"/>
      <c r="HQM176" s="250"/>
      <c r="HQN176" s="250"/>
      <c r="HQO176" s="250"/>
      <c r="HQP176" s="250"/>
      <c r="HQQ176" s="250"/>
      <c r="HQR176" s="250"/>
      <c r="HQS176" s="250"/>
      <c r="HQT176" s="250"/>
      <c r="HQU176" s="250"/>
      <c r="HQV176" s="250"/>
      <c r="HQW176" s="250"/>
      <c r="HQX176" s="250"/>
      <c r="HQY176" s="250"/>
      <c r="HQZ176" s="250"/>
      <c r="HRA176" s="250"/>
      <c r="HRB176" s="250"/>
      <c r="HRC176" s="250"/>
      <c r="HRD176" s="250"/>
      <c r="HRE176" s="250"/>
      <c r="HRF176" s="250"/>
      <c r="HRG176" s="250"/>
      <c r="HRH176" s="250"/>
      <c r="HRI176" s="250"/>
      <c r="HRJ176" s="250"/>
      <c r="HRK176" s="250"/>
      <c r="HRL176" s="250"/>
      <c r="HRM176" s="250"/>
      <c r="HRN176" s="250"/>
      <c r="HRO176" s="250"/>
      <c r="HRP176" s="250"/>
      <c r="HRQ176" s="250"/>
      <c r="HRR176" s="250"/>
      <c r="HRS176" s="250"/>
      <c r="HRT176" s="250"/>
      <c r="HRU176" s="250"/>
      <c r="HRV176" s="250"/>
      <c r="HRW176" s="250"/>
      <c r="HRX176" s="250"/>
      <c r="HRY176" s="250"/>
      <c r="HRZ176" s="250"/>
      <c r="HSA176" s="250"/>
      <c r="HSB176" s="250"/>
      <c r="HSC176" s="250"/>
      <c r="HSD176" s="250"/>
      <c r="HSE176" s="250"/>
      <c r="HSF176" s="250"/>
      <c r="HSG176" s="250"/>
      <c r="HSH176" s="250"/>
      <c r="HSI176" s="250"/>
      <c r="HSJ176" s="250"/>
      <c r="HSK176" s="250"/>
      <c r="HSL176" s="250"/>
      <c r="HSM176" s="250"/>
      <c r="HSN176" s="250"/>
      <c r="HSO176" s="250"/>
      <c r="HSP176" s="250"/>
      <c r="HSQ176" s="250"/>
      <c r="HSR176" s="250"/>
      <c r="HSS176" s="250"/>
      <c r="HST176" s="250"/>
      <c r="HSU176" s="250"/>
      <c r="HSV176" s="250"/>
      <c r="HSW176" s="250"/>
      <c r="HSX176" s="250"/>
      <c r="HSY176" s="250"/>
      <c r="HSZ176" s="250"/>
      <c r="HTA176" s="250"/>
      <c r="HTB176" s="250"/>
      <c r="HTC176" s="250"/>
      <c r="HTD176" s="250"/>
      <c r="HTE176" s="250"/>
      <c r="HTF176" s="250"/>
      <c r="HTG176" s="250"/>
      <c r="HTH176" s="250"/>
      <c r="HTI176" s="250"/>
      <c r="HTJ176" s="250"/>
      <c r="HTK176" s="250"/>
      <c r="HTL176" s="250"/>
      <c r="HTM176" s="250"/>
      <c r="HTN176" s="250"/>
      <c r="HTO176" s="250"/>
      <c r="HTP176" s="250"/>
      <c r="HTQ176" s="250"/>
      <c r="HTR176" s="250"/>
      <c r="HTS176" s="250"/>
      <c r="HTT176" s="250"/>
      <c r="HTU176" s="250"/>
      <c r="HTV176" s="250"/>
      <c r="HTW176" s="250"/>
      <c r="HTX176" s="250"/>
      <c r="HTY176" s="250"/>
      <c r="HTZ176" s="250"/>
      <c r="HUA176" s="250"/>
      <c r="HUB176" s="250"/>
      <c r="HUC176" s="250"/>
      <c r="HUD176" s="250"/>
      <c r="HUE176" s="250"/>
      <c r="HUF176" s="250"/>
      <c r="HUG176" s="250"/>
      <c r="HUH176" s="250"/>
      <c r="HUI176" s="250"/>
      <c r="HUJ176" s="250"/>
      <c r="HUK176" s="250"/>
      <c r="HUL176" s="250"/>
      <c r="HUM176" s="250"/>
      <c r="HUN176" s="250"/>
      <c r="HUO176" s="250"/>
      <c r="HUP176" s="250"/>
      <c r="HUQ176" s="250"/>
      <c r="HUR176" s="250"/>
      <c r="HUS176" s="250"/>
      <c r="HUT176" s="250"/>
      <c r="HUU176" s="250"/>
      <c r="HUV176" s="250"/>
      <c r="HUW176" s="250"/>
      <c r="HUX176" s="250"/>
      <c r="HUY176" s="250"/>
      <c r="HUZ176" s="250"/>
      <c r="HVA176" s="250"/>
      <c r="HVB176" s="250"/>
      <c r="HVC176" s="250"/>
      <c r="HVD176" s="250"/>
      <c r="HVE176" s="250"/>
      <c r="HVF176" s="250"/>
      <c r="HVG176" s="250"/>
      <c r="HVH176" s="250"/>
      <c r="HVI176" s="250"/>
      <c r="HVJ176" s="250"/>
      <c r="HVK176" s="250"/>
      <c r="HVL176" s="250"/>
      <c r="HVM176" s="250"/>
      <c r="HVN176" s="250"/>
      <c r="HVO176" s="250"/>
      <c r="HVP176" s="250"/>
      <c r="HVQ176" s="250"/>
      <c r="HVR176" s="250"/>
      <c r="HVS176" s="250"/>
      <c r="HVT176" s="250"/>
      <c r="HVU176" s="250"/>
      <c r="HVV176" s="250"/>
      <c r="HVW176" s="250"/>
      <c r="HVX176" s="250"/>
      <c r="HVY176" s="250"/>
      <c r="HVZ176" s="250"/>
      <c r="HWA176" s="250"/>
      <c r="HWB176" s="250"/>
      <c r="HWC176" s="250"/>
      <c r="HWD176" s="250"/>
      <c r="HWE176" s="250"/>
      <c r="HWF176" s="250"/>
      <c r="HWG176" s="250"/>
      <c r="HWH176" s="250"/>
      <c r="HWI176" s="250"/>
      <c r="HWJ176" s="250"/>
      <c r="HWK176" s="250"/>
      <c r="HWL176" s="250"/>
      <c r="HWM176" s="250"/>
      <c r="HWN176" s="250"/>
      <c r="HWO176" s="250"/>
      <c r="HWP176" s="250"/>
      <c r="HWQ176" s="250"/>
      <c r="HWR176" s="250"/>
      <c r="HWS176" s="250"/>
      <c r="HWT176" s="250"/>
      <c r="HWU176" s="250"/>
      <c r="HWV176" s="250"/>
      <c r="HWW176" s="250"/>
      <c r="HWX176" s="250"/>
      <c r="HWY176" s="250"/>
      <c r="HWZ176" s="250"/>
      <c r="HXA176" s="250"/>
      <c r="HXB176" s="250"/>
      <c r="HXC176" s="250"/>
      <c r="HXD176" s="250"/>
      <c r="HXE176" s="250"/>
      <c r="HXF176" s="250"/>
      <c r="HXG176" s="250"/>
      <c r="HXH176" s="250"/>
      <c r="HXI176" s="250"/>
      <c r="HXJ176" s="250"/>
      <c r="HXK176" s="250"/>
      <c r="HXL176" s="250"/>
      <c r="HXM176" s="250"/>
      <c r="HXN176" s="250"/>
      <c r="HXO176" s="250"/>
      <c r="HXP176" s="250"/>
      <c r="HXQ176" s="250"/>
      <c r="HXR176" s="250"/>
      <c r="HXS176" s="250"/>
      <c r="HXT176" s="250"/>
      <c r="HXU176" s="250"/>
      <c r="HXV176" s="250"/>
      <c r="HXW176" s="250"/>
      <c r="HXX176" s="250"/>
      <c r="HXY176" s="250"/>
      <c r="HXZ176" s="250"/>
      <c r="HYA176" s="250"/>
      <c r="HYB176" s="250"/>
      <c r="HYC176" s="250"/>
      <c r="HYD176" s="250"/>
      <c r="HYE176" s="250"/>
      <c r="HYF176" s="250"/>
      <c r="HYG176" s="250"/>
      <c r="HYH176" s="250"/>
      <c r="HYI176" s="250"/>
      <c r="HYJ176" s="250"/>
      <c r="HYK176" s="250"/>
      <c r="HYL176" s="250"/>
      <c r="HYM176" s="250"/>
      <c r="HYN176" s="250"/>
      <c r="HYO176" s="250"/>
      <c r="HYP176" s="250"/>
      <c r="HYQ176" s="250"/>
      <c r="HYR176" s="250"/>
      <c r="HYS176" s="250"/>
      <c r="HYT176" s="250"/>
      <c r="HYU176" s="250"/>
      <c r="HYV176" s="250"/>
      <c r="HYW176" s="250"/>
      <c r="HYX176" s="250"/>
      <c r="HYY176" s="250"/>
      <c r="HYZ176" s="250"/>
      <c r="HZA176" s="250"/>
      <c r="HZB176" s="250"/>
      <c r="HZC176" s="250"/>
      <c r="HZD176" s="250"/>
      <c r="HZE176" s="250"/>
      <c r="HZF176" s="250"/>
      <c r="HZG176" s="250"/>
      <c r="HZH176" s="250"/>
      <c r="HZI176" s="250"/>
      <c r="HZJ176" s="250"/>
      <c r="HZK176" s="250"/>
      <c r="HZL176" s="250"/>
      <c r="HZM176" s="250"/>
      <c r="HZN176" s="250"/>
      <c r="HZO176" s="250"/>
      <c r="HZP176" s="250"/>
      <c r="HZQ176" s="250"/>
      <c r="HZR176" s="250"/>
      <c r="HZS176" s="250"/>
      <c r="HZT176" s="250"/>
      <c r="HZU176" s="250"/>
      <c r="HZV176" s="250"/>
      <c r="HZW176" s="250"/>
      <c r="HZX176" s="250"/>
      <c r="HZY176" s="250"/>
      <c r="HZZ176" s="250"/>
      <c r="IAA176" s="250"/>
      <c r="IAB176" s="250"/>
      <c r="IAC176" s="250"/>
      <c r="IAD176" s="250"/>
      <c r="IAE176" s="250"/>
      <c r="IAF176" s="250"/>
      <c r="IAG176" s="250"/>
      <c r="IAH176" s="250"/>
      <c r="IAI176" s="250"/>
      <c r="IAJ176" s="250"/>
      <c r="IAK176" s="250"/>
      <c r="IAL176" s="250"/>
      <c r="IAM176" s="250"/>
      <c r="IAN176" s="250"/>
      <c r="IAO176" s="250"/>
      <c r="IAP176" s="250"/>
      <c r="IAQ176" s="250"/>
      <c r="IAR176" s="250"/>
      <c r="IAS176" s="250"/>
      <c r="IAT176" s="250"/>
      <c r="IAU176" s="250"/>
      <c r="IAV176" s="250"/>
      <c r="IAW176" s="250"/>
      <c r="IAX176" s="250"/>
      <c r="IAY176" s="250"/>
      <c r="IAZ176" s="250"/>
      <c r="IBA176" s="250"/>
      <c r="IBB176" s="250"/>
      <c r="IBC176" s="250"/>
      <c r="IBD176" s="250"/>
      <c r="IBE176" s="250"/>
      <c r="IBF176" s="250"/>
      <c r="IBG176" s="250"/>
      <c r="IBH176" s="250"/>
      <c r="IBI176" s="250"/>
      <c r="IBJ176" s="250"/>
      <c r="IBK176" s="250"/>
      <c r="IBL176" s="250"/>
      <c r="IBM176" s="250"/>
      <c r="IBN176" s="250"/>
      <c r="IBO176" s="250"/>
      <c r="IBP176" s="250"/>
      <c r="IBQ176" s="250"/>
      <c r="IBR176" s="250"/>
      <c r="IBS176" s="250"/>
      <c r="IBT176" s="250"/>
      <c r="IBU176" s="250"/>
      <c r="IBV176" s="250"/>
      <c r="IBW176" s="250"/>
      <c r="IBX176" s="250"/>
      <c r="IBY176" s="250"/>
      <c r="IBZ176" s="250"/>
      <c r="ICA176" s="250"/>
      <c r="ICB176" s="250"/>
      <c r="ICC176" s="250"/>
      <c r="ICD176" s="250"/>
      <c r="ICE176" s="250"/>
      <c r="ICF176" s="250"/>
      <c r="ICG176" s="250"/>
      <c r="ICH176" s="250"/>
      <c r="ICI176" s="250"/>
      <c r="ICJ176" s="250"/>
      <c r="ICK176" s="250"/>
      <c r="ICL176" s="250"/>
      <c r="ICM176" s="250"/>
      <c r="ICN176" s="250"/>
      <c r="ICO176" s="250"/>
      <c r="ICP176" s="250"/>
      <c r="ICQ176" s="250"/>
      <c r="ICR176" s="250"/>
      <c r="ICS176" s="250"/>
      <c r="ICT176" s="250"/>
      <c r="ICU176" s="250"/>
      <c r="ICV176" s="250"/>
      <c r="ICW176" s="250"/>
      <c r="ICX176" s="250"/>
      <c r="ICY176" s="250"/>
      <c r="ICZ176" s="250"/>
      <c r="IDA176" s="250"/>
      <c r="IDB176" s="250"/>
      <c r="IDC176" s="250"/>
      <c r="IDD176" s="250"/>
      <c r="IDE176" s="250"/>
      <c r="IDF176" s="250"/>
      <c r="IDG176" s="250"/>
      <c r="IDH176" s="250"/>
      <c r="IDI176" s="250"/>
      <c r="IDJ176" s="250"/>
      <c r="IDK176" s="250"/>
      <c r="IDL176" s="250"/>
      <c r="IDM176" s="250"/>
      <c r="IDN176" s="250"/>
      <c r="IDO176" s="250"/>
      <c r="IDP176" s="250"/>
      <c r="IDQ176" s="250"/>
      <c r="IDR176" s="250"/>
      <c r="IDS176" s="250"/>
      <c r="IDT176" s="250"/>
      <c r="IDU176" s="250"/>
      <c r="IDV176" s="250"/>
      <c r="IDW176" s="250"/>
      <c r="IDX176" s="250"/>
      <c r="IDY176" s="250"/>
      <c r="IDZ176" s="250"/>
      <c r="IEA176" s="250"/>
      <c r="IEB176" s="250"/>
      <c r="IEC176" s="250"/>
      <c r="IED176" s="250"/>
      <c r="IEE176" s="250"/>
      <c r="IEF176" s="250"/>
      <c r="IEG176" s="250"/>
      <c r="IEH176" s="250"/>
      <c r="IEI176" s="250"/>
      <c r="IEJ176" s="250"/>
      <c r="IEK176" s="250"/>
      <c r="IEL176" s="250"/>
      <c r="IEM176" s="250"/>
      <c r="IEN176" s="250"/>
      <c r="IEO176" s="250"/>
      <c r="IEP176" s="250"/>
      <c r="IEQ176" s="250"/>
      <c r="IER176" s="250"/>
      <c r="IES176" s="250"/>
      <c r="IET176" s="250"/>
      <c r="IEU176" s="250"/>
      <c r="IEV176" s="250"/>
      <c r="IEW176" s="250"/>
      <c r="IEX176" s="250"/>
      <c r="IEY176" s="250"/>
      <c r="IEZ176" s="250"/>
      <c r="IFA176" s="250"/>
      <c r="IFB176" s="250"/>
      <c r="IFC176" s="250"/>
      <c r="IFD176" s="250"/>
      <c r="IFE176" s="250"/>
      <c r="IFF176" s="250"/>
      <c r="IFG176" s="250"/>
      <c r="IFH176" s="250"/>
      <c r="IFI176" s="250"/>
      <c r="IFJ176" s="250"/>
      <c r="IFK176" s="250"/>
      <c r="IFL176" s="250"/>
      <c r="IFM176" s="250"/>
      <c r="IFN176" s="250"/>
      <c r="IFO176" s="250"/>
      <c r="IFP176" s="250"/>
      <c r="IFQ176" s="250"/>
      <c r="IFR176" s="250"/>
      <c r="IFS176" s="250"/>
      <c r="IFT176" s="250"/>
      <c r="IFU176" s="250"/>
      <c r="IFV176" s="250"/>
      <c r="IFW176" s="250"/>
      <c r="IFX176" s="250"/>
      <c r="IFY176" s="250"/>
      <c r="IFZ176" s="250"/>
      <c r="IGA176" s="250"/>
      <c r="IGB176" s="250"/>
      <c r="IGC176" s="250"/>
      <c r="IGD176" s="250"/>
      <c r="IGE176" s="250"/>
      <c r="IGF176" s="250"/>
      <c r="IGG176" s="250"/>
      <c r="IGH176" s="250"/>
      <c r="IGI176" s="250"/>
      <c r="IGJ176" s="250"/>
      <c r="IGK176" s="250"/>
      <c r="IGL176" s="250"/>
      <c r="IGM176" s="250"/>
      <c r="IGN176" s="250"/>
      <c r="IGO176" s="250"/>
      <c r="IGP176" s="250"/>
      <c r="IGQ176" s="250"/>
      <c r="IGR176" s="250"/>
      <c r="IGS176" s="250"/>
      <c r="IGT176" s="250"/>
      <c r="IGU176" s="250"/>
      <c r="IGV176" s="250"/>
      <c r="IGW176" s="250"/>
      <c r="IGX176" s="250"/>
      <c r="IGY176" s="250"/>
      <c r="IGZ176" s="250"/>
      <c r="IHA176" s="250"/>
      <c r="IHB176" s="250"/>
      <c r="IHC176" s="250"/>
      <c r="IHD176" s="250"/>
      <c r="IHE176" s="250"/>
      <c r="IHF176" s="250"/>
      <c r="IHG176" s="250"/>
      <c r="IHH176" s="250"/>
      <c r="IHI176" s="250"/>
      <c r="IHJ176" s="250"/>
      <c r="IHK176" s="250"/>
      <c r="IHL176" s="250"/>
      <c r="IHM176" s="250"/>
      <c r="IHN176" s="250"/>
      <c r="IHO176" s="250"/>
      <c r="IHP176" s="250"/>
      <c r="IHQ176" s="250"/>
      <c r="IHR176" s="250"/>
      <c r="IHS176" s="250"/>
      <c r="IHT176" s="250"/>
      <c r="IHU176" s="250"/>
      <c r="IHV176" s="250"/>
      <c r="IHW176" s="250"/>
      <c r="IHX176" s="250"/>
      <c r="IHY176" s="250"/>
      <c r="IHZ176" s="250"/>
      <c r="IIA176" s="250"/>
      <c r="IIB176" s="250"/>
      <c r="IIC176" s="250"/>
      <c r="IID176" s="250"/>
      <c r="IIE176" s="250"/>
      <c r="IIF176" s="250"/>
      <c r="IIG176" s="250"/>
      <c r="IIH176" s="250"/>
      <c r="III176" s="250"/>
      <c r="IIJ176" s="250"/>
      <c r="IIK176" s="250"/>
      <c r="IIL176" s="250"/>
      <c r="IIM176" s="250"/>
      <c r="IIN176" s="250"/>
      <c r="IIO176" s="250"/>
      <c r="IIP176" s="250"/>
      <c r="IIQ176" s="250"/>
      <c r="IIR176" s="250"/>
      <c r="IIS176" s="250"/>
      <c r="IIT176" s="250"/>
      <c r="IIU176" s="250"/>
      <c r="IIV176" s="250"/>
      <c r="IIW176" s="250"/>
      <c r="IIX176" s="250"/>
      <c r="IIY176" s="250"/>
      <c r="IIZ176" s="250"/>
      <c r="IJA176" s="250"/>
      <c r="IJB176" s="250"/>
      <c r="IJC176" s="250"/>
      <c r="IJD176" s="250"/>
      <c r="IJE176" s="250"/>
      <c r="IJF176" s="250"/>
      <c r="IJG176" s="250"/>
      <c r="IJH176" s="250"/>
      <c r="IJI176" s="250"/>
      <c r="IJJ176" s="250"/>
      <c r="IJK176" s="250"/>
      <c r="IJL176" s="250"/>
      <c r="IJM176" s="250"/>
      <c r="IJN176" s="250"/>
      <c r="IJO176" s="250"/>
      <c r="IJP176" s="250"/>
      <c r="IJQ176" s="250"/>
      <c r="IJR176" s="250"/>
      <c r="IJS176" s="250"/>
      <c r="IJT176" s="250"/>
      <c r="IJU176" s="250"/>
      <c r="IJV176" s="250"/>
      <c r="IJW176" s="250"/>
      <c r="IJX176" s="250"/>
      <c r="IJY176" s="250"/>
      <c r="IJZ176" s="250"/>
      <c r="IKA176" s="250"/>
      <c r="IKB176" s="250"/>
      <c r="IKC176" s="250"/>
      <c r="IKD176" s="250"/>
      <c r="IKE176" s="250"/>
      <c r="IKF176" s="250"/>
      <c r="IKG176" s="250"/>
      <c r="IKH176" s="250"/>
      <c r="IKI176" s="250"/>
      <c r="IKJ176" s="250"/>
      <c r="IKK176" s="250"/>
      <c r="IKL176" s="250"/>
      <c r="IKM176" s="250"/>
      <c r="IKN176" s="250"/>
      <c r="IKO176" s="250"/>
      <c r="IKP176" s="250"/>
      <c r="IKQ176" s="250"/>
      <c r="IKR176" s="250"/>
      <c r="IKS176" s="250"/>
      <c r="IKT176" s="250"/>
      <c r="IKU176" s="250"/>
      <c r="IKV176" s="250"/>
      <c r="IKW176" s="250"/>
      <c r="IKX176" s="250"/>
      <c r="IKY176" s="250"/>
      <c r="IKZ176" s="250"/>
      <c r="ILA176" s="250"/>
      <c r="ILB176" s="250"/>
      <c r="ILC176" s="250"/>
      <c r="ILD176" s="250"/>
      <c r="ILE176" s="250"/>
      <c r="ILF176" s="250"/>
      <c r="ILG176" s="250"/>
      <c r="ILH176" s="250"/>
      <c r="ILI176" s="250"/>
      <c r="ILJ176" s="250"/>
      <c r="ILK176" s="250"/>
      <c r="ILL176" s="250"/>
      <c r="ILM176" s="250"/>
      <c r="ILN176" s="250"/>
      <c r="ILO176" s="250"/>
      <c r="ILP176" s="250"/>
      <c r="ILQ176" s="250"/>
      <c r="ILR176" s="250"/>
      <c r="ILS176" s="250"/>
      <c r="ILT176" s="250"/>
      <c r="ILU176" s="250"/>
      <c r="ILV176" s="250"/>
      <c r="ILW176" s="250"/>
      <c r="ILX176" s="250"/>
      <c r="ILY176" s="250"/>
      <c r="ILZ176" s="250"/>
      <c r="IMA176" s="250"/>
      <c r="IMB176" s="250"/>
      <c r="IMC176" s="250"/>
      <c r="IMD176" s="250"/>
      <c r="IME176" s="250"/>
      <c r="IMF176" s="250"/>
      <c r="IMG176" s="250"/>
      <c r="IMH176" s="250"/>
      <c r="IMI176" s="250"/>
      <c r="IMJ176" s="250"/>
      <c r="IMK176" s="250"/>
      <c r="IML176" s="250"/>
      <c r="IMM176" s="250"/>
      <c r="IMN176" s="250"/>
      <c r="IMO176" s="250"/>
      <c r="IMP176" s="250"/>
      <c r="IMQ176" s="250"/>
      <c r="IMR176" s="250"/>
      <c r="IMS176" s="250"/>
      <c r="IMT176" s="250"/>
      <c r="IMU176" s="250"/>
      <c r="IMV176" s="250"/>
      <c r="IMW176" s="250"/>
      <c r="IMX176" s="250"/>
      <c r="IMY176" s="250"/>
      <c r="IMZ176" s="250"/>
      <c r="INA176" s="250"/>
      <c r="INB176" s="250"/>
      <c r="INC176" s="250"/>
      <c r="IND176" s="250"/>
      <c r="INE176" s="250"/>
      <c r="INF176" s="250"/>
      <c r="ING176" s="250"/>
      <c r="INH176" s="250"/>
      <c r="INI176" s="250"/>
      <c r="INJ176" s="250"/>
      <c r="INK176" s="250"/>
      <c r="INL176" s="250"/>
      <c r="INM176" s="250"/>
      <c r="INN176" s="250"/>
      <c r="INO176" s="250"/>
      <c r="INP176" s="250"/>
      <c r="INQ176" s="250"/>
      <c r="INR176" s="250"/>
      <c r="INS176" s="250"/>
      <c r="INT176" s="250"/>
      <c r="INU176" s="250"/>
      <c r="INV176" s="250"/>
      <c r="INW176" s="250"/>
      <c r="INX176" s="250"/>
      <c r="INY176" s="250"/>
      <c r="INZ176" s="250"/>
      <c r="IOA176" s="250"/>
      <c r="IOB176" s="250"/>
      <c r="IOC176" s="250"/>
      <c r="IOD176" s="250"/>
      <c r="IOE176" s="250"/>
      <c r="IOF176" s="250"/>
      <c r="IOG176" s="250"/>
      <c r="IOH176" s="250"/>
      <c r="IOI176" s="250"/>
      <c r="IOJ176" s="250"/>
      <c r="IOK176" s="250"/>
      <c r="IOL176" s="250"/>
      <c r="IOM176" s="250"/>
      <c r="ION176" s="250"/>
      <c r="IOO176" s="250"/>
      <c r="IOP176" s="250"/>
      <c r="IOQ176" s="250"/>
      <c r="IOR176" s="250"/>
      <c r="IOS176" s="250"/>
      <c r="IOT176" s="250"/>
      <c r="IOU176" s="250"/>
      <c r="IOV176" s="250"/>
      <c r="IOW176" s="250"/>
      <c r="IOX176" s="250"/>
      <c r="IOY176" s="250"/>
      <c r="IOZ176" s="250"/>
      <c r="IPA176" s="250"/>
      <c r="IPB176" s="250"/>
      <c r="IPC176" s="250"/>
      <c r="IPD176" s="250"/>
      <c r="IPE176" s="250"/>
      <c r="IPF176" s="250"/>
      <c r="IPG176" s="250"/>
      <c r="IPH176" s="250"/>
      <c r="IPI176" s="250"/>
      <c r="IPJ176" s="250"/>
      <c r="IPK176" s="250"/>
      <c r="IPL176" s="250"/>
      <c r="IPM176" s="250"/>
      <c r="IPN176" s="250"/>
      <c r="IPO176" s="250"/>
      <c r="IPP176" s="250"/>
      <c r="IPQ176" s="250"/>
      <c r="IPR176" s="250"/>
      <c r="IPS176" s="250"/>
      <c r="IPT176" s="250"/>
      <c r="IPU176" s="250"/>
      <c r="IPV176" s="250"/>
      <c r="IPW176" s="250"/>
      <c r="IPX176" s="250"/>
      <c r="IPY176" s="250"/>
      <c r="IPZ176" s="250"/>
      <c r="IQA176" s="250"/>
      <c r="IQB176" s="250"/>
      <c r="IQC176" s="250"/>
      <c r="IQD176" s="250"/>
      <c r="IQE176" s="250"/>
      <c r="IQF176" s="250"/>
      <c r="IQG176" s="250"/>
      <c r="IQH176" s="250"/>
      <c r="IQI176" s="250"/>
      <c r="IQJ176" s="250"/>
      <c r="IQK176" s="250"/>
      <c r="IQL176" s="250"/>
      <c r="IQM176" s="250"/>
      <c r="IQN176" s="250"/>
      <c r="IQO176" s="250"/>
      <c r="IQP176" s="250"/>
      <c r="IQQ176" s="250"/>
      <c r="IQR176" s="250"/>
      <c r="IQS176" s="250"/>
      <c r="IQT176" s="250"/>
      <c r="IQU176" s="250"/>
      <c r="IQV176" s="250"/>
      <c r="IQW176" s="250"/>
      <c r="IQX176" s="250"/>
      <c r="IQY176" s="250"/>
      <c r="IQZ176" s="250"/>
      <c r="IRA176" s="250"/>
      <c r="IRB176" s="250"/>
      <c r="IRC176" s="250"/>
      <c r="IRD176" s="250"/>
      <c r="IRE176" s="250"/>
      <c r="IRF176" s="250"/>
      <c r="IRG176" s="250"/>
      <c r="IRH176" s="250"/>
      <c r="IRI176" s="250"/>
      <c r="IRJ176" s="250"/>
      <c r="IRK176" s="250"/>
      <c r="IRL176" s="250"/>
      <c r="IRM176" s="250"/>
      <c r="IRN176" s="250"/>
      <c r="IRO176" s="250"/>
      <c r="IRP176" s="250"/>
      <c r="IRQ176" s="250"/>
      <c r="IRR176" s="250"/>
      <c r="IRS176" s="250"/>
      <c r="IRT176" s="250"/>
      <c r="IRU176" s="250"/>
      <c r="IRV176" s="250"/>
      <c r="IRW176" s="250"/>
      <c r="IRX176" s="250"/>
      <c r="IRY176" s="250"/>
      <c r="IRZ176" s="250"/>
      <c r="ISA176" s="250"/>
      <c r="ISB176" s="250"/>
      <c r="ISC176" s="250"/>
      <c r="ISD176" s="250"/>
      <c r="ISE176" s="250"/>
      <c r="ISF176" s="250"/>
      <c r="ISG176" s="250"/>
      <c r="ISH176" s="250"/>
      <c r="ISI176" s="250"/>
      <c r="ISJ176" s="250"/>
      <c r="ISK176" s="250"/>
      <c r="ISL176" s="250"/>
      <c r="ISM176" s="250"/>
      <c r="ISN176" s="250"/>
      <c r="ISO176" s="250"/>
      <c r="ISP176" s="250"/>
      <c r="ISQ176" s="250"/>
      <c r="ISR176" s="250"/>
      <c r="ISS176" s="250"/>
      <c r="IST176" s="250"/>
      <c r="ISU176" s="250"/>
      <c r="ISV176" s="250"/>
      <c r="ISW176" s="250"/>
      <c r="ISX176" s="250"/>
      <c r="ISY176" s="250"/>
      <c r="ISZ176" s="250"/>
      <c r="ITA176" s="250"/>
      <c r="ITB176" s="250"/>
      <c r="ITC176" s="250"/>
      <c r="ITD176" s="250"/>
      <c r="ITE176" s="250"/>
      <c r="ITF176" s="250"/>
      <c r="ITG176" s="250"/>
      <c r="ITH176" s="250"/>
      <c r="ITI176" s="250"/>
      <c r="ITJ176" s="250"/>
      <c r="ITK176" s="250"/>
      <c r="ITL176" s="250"/>
      <c r="ITM176" s="250"/>
      <c r="ITN176" s="250"/>
      <c r="ITO176" s="250"/>
      <c r="ITP176" s="250"/>
      <c r="ITQ176" s="250"/>
      <c r="ITR176" s="250"/>
      <c r="ITS176" s="250"/>
      <c r="ITT176" s="250"/>
      <c r="ITU176" s="250"/>
      <c r="ITV176" s="250"/>
      <c r="ITW176" s="250"/>
      <c r="ITX176" s="250"/>
      <c r="ITY176" s="250"/>
      <c r="ITZ176" s="250"/>
      <c r="IUA176" s="250"/>
      <c r="IUB176" s="250"/>
      <c r="IUC176" s="250"/>
      <c r="IUD176" s="250"/>
      <c r="IUE176" s="250"/>
      <c r="IUF176" s="250"/>
      <c r="IUG176" s="250"/>
      <c r="IUH176" s="250"/>
      <c r="IUI176" s="250"/>
      <c r="IUJ176" s="250"/>
      <c r="IUK176" s="250"/>
      <c r="IUL176" s="250"/>
      <c r="IUM176" s="250"/>
      <c r="IUN176" s="250"/>
      <c r="IUO176" s="250"/>
      <c r="IUP176" s="250"/>
      <c r="IUQ176" s="250"/>
      <c r="IUR176" s="250"/>
      <c r="IUS176" s="250"/>
      <c r="IUT176" s="250"/>
      <c r="IUU176" s="250"/>
      <c r="IUV176" s="250"/>
      <c r="IUW176" s="250"/>
      <c r="IUX176" s="250"/>
      <c r="IUY176" s="250"/>
      <c r="IUZ176" s="250"/>
      <c r="IVA176" s="250"/>
      <c r="IVB176" s="250"/>
      <c r="IVC176" s="250"/>
      <c r="IVD176" s="250"/>
      <c r="IVE176" s="250"/>
      <c r="IVF176" s="250"/>
      <c r="IVG176" s="250"/>
      <c r="IVH176" s="250"/>
      <c r="IVI176" s="250"/>
      <c r="IVJ176" s="250"/>
      <c r="IVK176" s="250"/>
      <c r="IVL176" s="250"/>
      <c r="IVM176" s="250"/>
      <c r="IVN176" s="250"/>
      <c r="IVO176" s="250"/>
      <c r="IVP176" s="250"/>
      <c r="IVQ176" s="250"/>
      <c r="IVR176" s="250"/>
      <c r="IVS176" s="250"/>
      <c r="IVT176" s="250"/>
      <c r="IVU176" s="250"/>
      <c r="IVV176" s="250"/>
      <c r="IVW176" s="250"/>
      <c r="IVX176" s="250"/>
      <c r="IVY176" s="250"/>
      <c r="IVZ176" s="250"/>
      <c r="IWA176" s="250"/>
      <c r="IWB176" s="250"/>
      <c r="IWC176" s="250"/>
      <c r="IWD176" s="250"/>
      <c r="IWE176" s="250"/>
      <c r="IWF176" s="250"/>
      <c r="IWG176" s="250"/>
      <c r="IWH176" s="250"/>
      <c r="IWI176" s="250"/>
      <c r="IWJ176" s="250"/>
      <c r="IWK176" s="250"/>
      <c r="IWL176" s="250"/>
      <c r="IWM176" s="250"/>
      <c r="IWN176" s="250"/>
      <c r="IWO176" s="250"/>
      <c r="IWP176" s="250"/>
      <c r="IWQ176" s="250"/>
      <c r="IWR176" s="250"/>
      <c r="IWS176" s="250"/>
      <c r="IWT176" s="250"/>
      <c r="IWU176" s="250"/>
      <c r="IWV176" s="250"/>
      <c r="IWW176" s="250"/>
      <c r="IWX176" s="250"/>
      <c r="IWY176" s="250"/>
      <c r="IWZ176" s="250"/>
      <c r="IXA176" s="250"/>
      <c r="IXB176" s="250"/>
      <c r="IXC176" s="250"/>
      <c r="IXD176" s="250"/>
      <c r="IXE176" s="250"/>
      <c r="IXF176" s="250"/>
      <c r="IXG176" s="250"/>
      <c r="IXH176" s="250"/>
      <c r="IXI176" s="250"/>
      <c r="IXJ176" s="250"/>
      <c r="IXK176" s="250"/>
      <c r="IXL176" s="250"/>
      <c r="IXM176" s="250"/>
      <c r="IXN176" s="250"/>
      <c r="IXO176" s="250"/>
      <c r="IXP176" s="250"/>
      <c r="IXQ176" s="250"/>
      <c r="IXR176" s="250"/>
      <c r="IXS176" s="250"/>
      <c r="IXT176" s="250"/>
      <c r="IXU176" s="250"/>
      <c r="IXV176" s="250"/>
      <c r="IXW176" s="250"/>
      <c r="IXX176" s="250"/>
      <c r="IXY176" s="250"/>
      <c r="IXZ176" s="250"/>
      <c r="IYA176" s="250"/>
      <c r="IYB176" s="250"/>
      <c r="IYC176" s="250"/>
      <c r="IYD176" s="250"/>
      <c r="IYE176" s="250"/>
      <c r="IYF176" s="250"/>
      <c r="IYG176" s="250"/>
      <c r="IYH176" s="250"/>
      <c r="IYI176" s="250"/>
      <c r="IYJ176" s="250"/>
      <c r="IYK176" s="250"/>
      <c r="IYL176" s="250"/>
      <c r="IYM176" s="250"/>
      <c r="IYN176" s="250"/>
      <c r="IYO176" s="250"/>
      <c r="IYP176" s="250"/>
      <c r="IYQ176" s="250"/>
      <c r="IYR176" s="250"/>
      <c r="IYS176" s="250"/>
      <c r="IYT176" s="250"/>
      <c r="IYU176" s="250"/>
      <c r="IYV176" s="250"/>
      <c r="IYW176" s="250"/>
      <c r="IYX176" s="250"/>
      <c r="IYY176" s="250"/>
      <c r="IYZ176" s="250"/>
      <c r="IZA176" s="250"/>
      <c r="IZB176" s="250"/>
      <c r="IZC176" s="250"/>
      <c r="IZD176" s="250"/>
      <c r="IZE176" s="250"/>
      <c r="IZF176" s="250"/>
      <c r="IZG176" s="250"/>
      <c r="IZH176" s="250"/>
      <c r="IZI176" s="250"/>
      <c r="IZJ176" s="250"/>
      <c r="IZK176" s="250"/>
      <c r="IZL176" s="250"/>
      <c r="IZM176" s="250"/>
      <c r="IZN176" s="250"/>
      <c r="IZO176" s="250"/>
      <c r="IZP176" s="250"/>
      <c r="IZQ176" s="250"/>
      <c r="IZR176" s="250"/>
      <c r="IZS176" s="250"/>
      <c r="IZT176" s="250"/>
      <c r="IZU176" s="250"/>
      <c r="IZV176" s="250"/>
      <c r="IZW176" s="250"/>
      <c r="IZX176" s="250"/>
      <c r="IZY176" s="250"/>
      <c r="IZZ176" s="250"/>
      <c r="JAA176" s="250"/>
      <c r="JAB176" s="250"/>
      <c r="JAC176" s="250"/>
      <c r="JAD176" s="250"/>
      <c r="JAE176" s="250"/>
      <c r="JAF176" s="250"/>
      <c r="JAG176" s="250"/>
      <c r="JAH176" s="250"/>
      <c r="JAI176" s="250"/>
      <c r="JAJ176" s="250"/>
      <c r="JAK176" s="250"/>
      <c r="JAL176" s="250"/>
      <c r="JAM176" s="250"/>
      <c r="JAN176" s="250"/>
      <c r="JAO176" s="250"/>
      <c r="JAP176" s="250"/>
      <c r="JAQ176" s="250"/>
      <c r="JAR176" s="250"/>
      <c r="JAS176" s="250"/>
      <c r="JAT176" s="250"/>
      <c r="JAU176" s="250"/>
      <c r="JAV176" s="250"/>
      <c r="JAW176" s="250"/>
      <c r="JAX176" s="250"/>
      <c r="JAY176" s="250"/>
      <c r="JAZ176" s="250"/>
      <c r="JBA176" s="250"/>
      <c r="JBB176" s="250"/>
      <c r="JBC176" s="250"/>
      <c r="JBD176" s="250"/>
      <c r="JBE176" s="250"/>
      <c r="JBF176" s="250"/>
      <c r="JBG176" s="250"/>
      <c r="JBH176" s="250"/>
      <c r="JBI176" s="250"/>
      <c r="JBJ176" s="250"/>
      <c r="JBK176" s="250"/>
      <c r="JBL176" s="250"/>
      <c r="JBM176" s="250"/>
      <c r="JBN176" s="250"/>
      <c r="JBO176" s="250"/>
      <c r="JBP176" s="250"/>
      <c r="JBQ176" s="250"/>
      <c r="JBR176" s="250"/>
      <c r="JBS176" s="250"/>
      <c r="JBT176" s="250"/>
      <c r="JBU176" s="250"/>
      <c r="JBV176" s="250"/>
      <c r="JBW176" s="250"/>
      <c r="JBX176" s="250"/>
      <c r="JBY176" s="250"/>
      <c r="JBZ176" s="250"/>
      <c r="JCA176" s="250"/>
      <c r="JCB176" s="250"/>
      <c r="JCC176" s="250"/>
      <c r="JCD176" s="250"/>
      <c r="JCE176" s="250"/>
      <c r="JCF176" s="250"/>
      <c r="JCG176" s="250"/>
      <c r="JCH176" s="250"/>
      <c r="JCI176" s="250"/>
      <c r="JCJ176" s="250"/>
      <c r="JCK176" s="250"/>
      <c r="JCL176" s="250"/>
      <c r="JCM176" s="250"/>
      <c r="JCN176" s="250"/>
      <c r="JCO176" s="250"/>
      <c r="JCP176" s="250"/>
      <c r="JCQ176" s="250"/>
      <c r="JCR176" s="250"/>
      <c r="JCS176" s="250"/>
      <c r="JCT176" s="250"/>
      <c r="JCU176" s="250"/>
      <c r="JCV176" s="250"/>
      <c r="JCW176" s="250"/>
      <c r="JCX176" s="250"/>
      <c r="JCY176" s="250"/>
      <c r="JCZ176" s="250"/>
      <c r="JDA176" s="250"/>
      <c r="JDB176" s="250"/>
      <c r="JDC176" s="250"/>
      <c r="JDD176" s="250"/>
      <c r="JDE176" s="250"/>
      <c r="JDF176" s="250"/>
      <c r="JDG176" s="250"/>
      <c r="JDH176" s="250"/>
      <c r="JDI176" s="250"/>
      <c r="JDJ176" s="250"/>
      <c r="JDK176" s="250"/>
      <c r="JDL176" s="250"/>
      <c r="JDM176" s="250"/>
      <c r="JDN176" s="250"/>
      <c r="JDO176" s="250"/>
      <c r="JDP176" s="250"/>
      <c r="JDQ176" s="250"/>
      <c r="JDR176" s="250"/>
      <c r="JDS176" s="250"/>
      <c r="JDT176" s="250"/>
      <c r="JDU176" s="250"/>
      <c r="JDV176" s="250"/>
      <c r="JDW176" s="250"/>
      <c r="JDX176" s="250"/>
      <c r="JDY176" s="250"/>
      <c r="JDZ176" s="250"/>
      <c r="JEA176" s="250"/>
      <c r="JEB176" s="250"/>
      <c r="JEC176" s="250"/>
      <c r="JED176" s="250"/>
      <c r="JEE176" s="250"/>
      <c r="JEF176" s="250"/>
      <c r="JEG176" s="250"/>
      <c r="JEH176" s="250"/>
      <c r="JEI176" s="250"/>
      <c r="JEJ176" s="250"/>
      <c r="JEK176" s="250"/>
      <c r="JEL176" s="250"/>
      <c r="JEM176" s="250"/>
      <c r="JEN176" s="250"/>
      <c r="JEO176" s="250"/>
      <c r="JEP176" s="250"/>
      <c r="JEQ176" s="250"/>
      <c r="JER176" s="250"/>
      <c r="JES176" s="250"/>
      <c r="JET176" s="250"/>
      <c r="JEU176" s="250"/>
      <c r="JEV176" s="250"/>
      <c r="JEW176" s="250"/>
      <c r="JEX176" s="250"/>
      <c r="JEY176" s="250"/>
      <c r="JEZ176" s="250"/>
      <c r="JFA176" s="250"/>
      <c r="JFB176" s="250"/>
      <c r="JFC176" s="250"/>
      <c r="JFD176" s="250"/>
      <c r="JFE176" s="250"/>
      <c r="JFF176" s="250"/>
      <c r="JFG176" s="250"/>
      <c r="JFH176" s="250"/>
      <c r="JFI176" s="250"/>
      <c r="JFJ176" s="250"/>
      <c r="JFK176" s="250"/>
      <c r="JFL176" s="250"/>
      <c r="JFM176" s="250"/>
      <c r="JFN176" s="250"/>
      <c r="JFO176" s="250"/>
      <c r="JFP176" s="250"/>
      <c r="JFQ176" s="250"/>
      <c r="JFR176" s="250"/>
      <c r="JFS176" s="250"/>
      <c r="JFT176" s="250"/>
      <c r="JFU176" s="250"/>
      <c r="JFV176" s="250"/>
      <c r="JFW176" s="250"/>
      <c r="JFX176" s="250"/>
      <c r="JFY176" s="250"/>
      <c r="JFZ176" s="250"/>
      <c r="JGA176" s="250"/>
      <c r="JGB176" s="250"/>
      <c r="JGC176" s="250"/>
      <c r="JGD176" s="250"/>
      <c r="JGE176" s="250"/>
      <c r="JGF176" s="250"/>
      <c r="JGG176" s="250"/>
      <c r="JGH176" s="250"/>
      <c r="JGI176" s="250"/>
      <c r="JGJ176" s="250"/>
      <c r="JGK176" s="250"/>
      <c r="JGL176" s="250"/>
      <c r="JGM176" s="250"/>
      <c r="JGN176" s="250"/>
      <c r="JGO176" s="250"/>
      <c r="JGP176" s="250"/>
      <c r="JGQ176" s="250"/>
      <c r="JGR176" s="250"/>
      <c r="JGS176" s="250"/>
      <c r="JGT176" s="250"/>
      <c r="JGU176" s="250"/>
      <c r="JGV176" s="250"/>
      <c r="JGW176" s="250"/>
      <c r="JGX176" s="250"/>
      <c r="JGY176" s="250"/>
      <c r="JGZ176" s="250"/>
      <c r="JHA176" s="250"/>
      <c r="JHB176" s="250"/>
      <c r="JHC176" s="250"/>
      <c r="JHD176" s="250"/>
      <c r="JHE176" s="250"/>
      <c r="JHF176" s="250"/>
      <c r="JHG176" s="250"/>
      <c r="JHH176" s="250"/>
      <c r="JHI176" s="250"/>
      <c r="JHJ176" s="250"/>
      <c r="JHK176" s="250"/>
      <c r="JHL176" s="250"/>
      <c r="JHM176" s="250"/>
      <c r="JHN176" s="250"/>
      <c r="JHO176" s="250"/>
      <c r="JHP176" s="250"/>
      <c r="JHQ176" s="250"/>
      <c r="JHR176" s="250"/>
      <c r="JHS176" s="250"/>
      <c r="JHT176" s="250"/>
      <c r="JHU176" s="250"/>
      <c r="JHV176" s="250"/>
      <c r="JHW176" s="250"/>
      <c r="JHX176" s="250"/>
      <c r="JHY176" s="250"/>
      <c r="JHZ176" s="250"/>
      <c r="JIA176" s="250"/>
      <c r="JIB176" s="250"/>
      <c r="JIC176" s="250"/>
      <c r="JID176" s="250"/>
      <c r="JIE176" s="250"/>
      <c r="JIF176" s="250"/>
      <c r="JIG176" s="250"/>
      <c r="JIH176" s="250"/>
      <c r="JII176" s="250"/>
      <c r="JIJ176" s="250"/>
      <c r="JIK176" s="250"/>
      <c r="JIL176" s="250"/>
      <c r="JIM176" s="250"/>
      <c r="JIN176" s="250"/>
      <c r="JIO176" s="250"/>
      <c r="JIP176" s="250"/>
      <c r="JIQ176" s="250"/>
      <c r="JIR176" s="250"/>
      <c r="JIS176" s="250"/>
      <c r="JIT176" s="250"/>
      <c r="JIU176" s="250"/>
      <c r="JIV176" s="250"/>
      <c r="JIW176" s="250"/>
      <c r="JIX176" s="250"/>
      <c r="JIY176" s="250"/>
      <c r="JIZ176" s="250"/>
      <c r="JJA176" s="250"/>
      <c r="JJB176" s="250"/>
      <c r="JJC176" s="250"/>
      <c r="JJD176" s="250"/>
      <c r="JJE176" s="250"/>
      <c r="JJF176" s="250"/>
      <c r="JJG176" s="250"/>
      <c r="JJH176" s="250"/>
      <c r="JJI176" s="250"/>
      <c r="JJJ176" s="250"/>
      <c r="JJK176" s="250"/>
      <c r="JJL176" s="250"/>
      <c r="JJM176" s="250"/>
      <c r="JJN176" s="250"/>
      <c r="JJO176" s="250"/>
      <c r="JJP176" s="250"/>
      <c r="JJQ176" s="250"/>
      <c r="JJR176" s="250"/>
      <c r="JJS176" s="250"/>
      <c r="JJT176" s="250"/>
      <c r="JJU176" s="250"/>
      <c r="JJV176" s="250"/>
      <c r="JJW176" s="250"/>
      <c r="JJX176" s="250"/>
      <c r="JJY176" s="250"/>
      <c r="JJZ176" s="250"/>
      <c r="JKA176" s="250"/>
      <c r="JKB176" s="250"/>
      <c r="JKC176" s="250"/>
      <c r="JKD176" s="250"/>
      <c r="JKE176" s="250"/>
      <c r="JKF176" s="250"/>
      <c r="JKG176" s="250"/>
      <c r="JKH176" s="250"/>
      <c r="JKI176" s="250"/>
      <c r="JKJ176" s="250"/>
      <c r="JKK176" s="250"/>
      <c r="JKL176" s="250"/>
      <c r="JKM176" s="250"/>
      <c r="JKN176" s="250"/>
      <c r="JKO176" s="250"/>
      <c r="JKP176" s="250"/>
      <c r="JKQ176" s="250"/>
      <c r="JKR176" s="250"/>
      <c r="JKS176" s="250"/>
      <c r="JKT176" s="250"/>
      <c r="JKU176" s="250"/>
      <c r="JKV176" s="250"/>
      <c r="JKW176" s="250"/>
      <c r="JKX176" s="250"/>
      <c r="JKY176" s="250"/>
      <c r="JKZ176" s="250"/>
      <c r="JLA176" s="250"/>
      <c r="JLB176" s="250"/>
      <c r="JLC176" s="250"/>
      <c r="JLD176" s="250"/>
      <c r="JLE176" s="250"/>
      <c r="JLF176" s="250"/>
      <c r="JLG176" s="250"/>
      <c r="JLH176" s="250"/>
      <c r="JLI176" s="250"/>
      <c r="JLJ176" s="250"/>
      <c r="JLK176" s="250"/>
      <c r="JLL176" s="250"/>
      <c r="JLM176" s="250"/>
      <c r="JLN176" s="250"/>
      <c r="JLO176" s="250"/>
      <c r="JLP176" s="250"/>
      <c r="JLQ176" s="250"/>
      <c r="JLR176" s="250"/>
      <c r="JLS176" s="250"/>
      <c r="JLT176" s="250"/>
      <c r="JLU176" s="250"/>
      <c r="JLV176" s="250"/>
      <c r="JLW176" s="250"/>
      <c r="JLX176" s="250"/>
      <c r="JLY176" s="250"/>
      <c r="JLZ176" s="250"/>
      <c r="JMA176" s="250"/>
      <c r="JMB176" s="250"/>
      <c r="JMC176" s="250"/>
      <c r="JMD176" s="250"/>
      <c r="JME176" s="250"/>
      <c r="JMF176" s="250"/>
      <c r="JMG176" s="250"/>
      <c r="JMH176" s="250"/>
      <c r="JMI176" s="250"/>
      <c r="JMJ176" s="250"/>
      <c r="JMK176" s="250"/>
      <c r="JML176" s="250"/>
      <c r="JMM176" s="250"/>
      <c r="JMN176" s="250"/>
      <c r="JMO176" s="250"/>
      <c r="JMP176" s="250"/>
      <c r="JMQ176" s="250"/>
      <c r="JMR176" s="250"/>
      <c r="JMS176" s="250"/>
      <c r="JMT176" s="250"/>
      <c r="JMU176" s="250"/>
      <c r="JMV176" s="250"/>
      <c r="JMW176" s="250"/>
      <c r="JMX176" s="250"/>
      <c r="JMY176" s="250"/>
      <c r="JMZ176" s="250"/>
      <c r="JNA176" s="250"/>
      <c r="JNB176" s="250"/>
      <c r="JNC176" s="250"/>
      <c r="JND176" s="250"/>
      <c r="JNE176" s="250"/>
      <c r="JNF176" s="250"/>
      <c r="JNG176" s="250"/>
      <c r="JNH176" s="250"/>
      <c r="JNI176" s="250"/>
      <c r="JNJ176" s="250"/>
      <c r="JNK176" s="250"/>
      <c r="JNL176" s="250"/>
      <c r="JNM176" s="250"/>
      <c r="JNN176" s="250"/>
      <c r="JNO176" s="250"/>
      <c r="JNP176" s="250"/>
      <c r="JNQ176" s="250"/>
      <c r="JNR176" s="250"/>
      <c r="JNS176" s="250"/>
      <c r="JNT176" s="250"/>
      <c r="JNU176" s="250"/>
      <c r="JNV176" s="250"/>
      <c r="JNW176" s="250"/>
      <c r="JNX176" s="250"/>
      <c r="JNY176" s="250"/>
      <c r="JNZ176" s="250"/>
      <c r="JOA176" s="250"/>
      <c r="JOB176" s="250"/>
      <c r="JOC176" s="250"/>
      <c r="JOD176" s="250"/>
      <c r="JOE176" s="250"/>
      <c r="JOF176" s="250"/>
      <c r="JOG176" s="250"/>
      <c r="JOH176" s="250"/>
      <c r="JOI176" s="250"/>
      <c r="JOJ176" s="250"/>
      <c r="JOK176" s="250"/>
      <c r="JOL176" s="250"/>
      <c r="JOM176" s="250"/>
      <c r="JON176" s="250"/>
      <c r="JOO176" s="250"/>
      <c r="JOP176" s="250"/>
      <c r="JOQ176" s="250"/>
      <c r="JOR176" s="250"/>
      <c r="JOS176" s="250"/>
      <c r="JOT176" s="250"/>
      <c r="JOU176" s="250"/>
      <c r="JOV176" s="250"/>
      <c r="JOW176" s="250"/>
      <c r="JOX176" s="250"/>
      <c r="JOY176" s="250"/>
      <c r="JOZ176" s="250"/>
      <c r="JPA176" s="250"/>
      <c r="JPB176" s="250"/>
      <c r="JPC176" s="250"/>
      <c r="JPD176" s="250"/>
      <c r="JPE176" s="250"/>
      <c r="JPF176" s="250"/>
      <c r="JPG176" s="250"/>
      <c r="JPH176" s="250"/>
      <c r="JPI176" s="250"/>
      <c r="JPJ176" s="250"/>
      <c r="JPK176" s="250"/>
      <c r="JPL176" s="250"/>
      <c r="JPM176" s="250"/>
      <c r="JPN176" s="250"/>
      <c r="JPO176" s="250"/>
      <c r="JPP176" s="250"/>
      <c r="JPQ176" s="250"/>
      <c r="JPR176" s="250"/>
      <c r="JPS176" s="250"/>
      <c r="JPT176" s="250"/>
      <c r="JPU176" s="250"/>
      <c r="JPV176" s="250"/>
      <c r="JPW176" s="250"/>
      <c r="JPX176" s="250"/>
      <c r="JPY176" s="250"/>
      <c r="JPZ176" s="250"/>
      <c r="JQA176" s="250"/>
      <c r="JQB176" s="250"/>
      <c r="JQC176" s="250"/>
      <c r="JQD176" s="250"/>
      <c r="JQE176" s="250"/>
      <c r="JQF176" s="250"/>
      <c r="JQG176" s="250"/>
      <c r="JQH176" s="250"/>
      <c r="JQI176" s="250"/>
      <c r="JQJ176" s="250"/>
      <c r="JQK176" s="250"/>
      <c r="JQL176" s="250"/>
      <c r="JQM176" s="250"/>
      <c r="JQN176" s="250"/>
      <c r="JQO176" s="250"/>
      <c r="JQP176" s="250"/>
      <c r="JQQ176" s="250"/>
      <c r="JQR176" s="250"/>
      <c r="JQS176" s="250"/>
      <c r="JQT176" s="250"/>
      <c r="JQU176" s="250"/>
      <c r="JQV176" s="250"/>
      <c r="JQW176" s="250"/>
      <c r="JQX176" s="250"/>
      <c r="JQY176" s="250"/>
      <c r="JQZ176" s="250"/>
      <c r="JRA176" s="250"/>
      <c r="JRB176" s="250"/>
      <c r="JRC176" s="250"/>
      <c r="JRD176" s="250"/>
      <c r="JRE176" s="250"/>
      <c r="JRF176" s="250"/>
      <c r="JRG176" s="250"/>
      <c r="JRH176" s="250"/>
      <c r="JRI176" s="250"/>
      <c r="JRJ176" s="250"/>
      <c r="JRK176" s="250"/>
      <c r="JRL176" s="250"/>
      <c r="JRM176" s="250"/>
      <c r="JRN176" s="250"/>
      <c r="JRO176" s="250"/>
      <c r="JRP176" s="250"/>
      <c r="JRQ176" s="250"/>
      <c r="JRR176" s="250"/>
      <c r="JRS176" s="250"/>
      <c r="JRT176" s="250"/>
      <c r="JRU176" s="250"/>
      <c r="JRV176" s="250"/>
      <c r="JRW176" s="250"/>
      <c r="JRX176" s="250"/>
      <c r="JRY176" s="250"/>
      <c r="JRZ176" s="250"/>
      <c r="JSA176" s="250"/>
      <c r="JSB176" s="250"/>
      <c r="JSC176" s="250"/>
      <c r="JSD176" s="250"/>
      <c r="JSE176" s="250"/>
      <c r="JSF176" s="250"/>
      <c r="JSG176" s="250"/>
      <c r="JSH176" s="250"/>
      <c r="JSI176" s="250"/>
      <c r="JSJ176" s="250"/>
      <c r="JSK176" s="250"/>
      <c r="JSL176" s="250"/>
      <c r="JSM176" s="250"/>
      <c r="JSN176" s="250"/>
      <c r="JSO176" s="250"/>
      <c r="JSP176" s="250"/>
      <c r="JSQ176" s="250"/>
      <c r="JSR176" s="250"/>
      <c r="JSS176" s="250"/>
      <c r="JST176" s="250"/>
      <c r="JSU176" s="250"/>
      <c r="JSV176" s="250"/>
      <c r="JSW176" s="250"/>
      <c r="JSX176" s="250"/>
      <c r="JSY176" s="250"/>
      <c r="JSZ176" s="250"/>
      <c r="JTA176" s="250"/>
      <c r="JTB176" s="250"/>
      <c r="JTC176" s="250"/>
      <c r="JTD176" s="250"/>
      <c r="JTE176" s="250"/>
      <c r="JTF176" s="250"/>
      <c r="JTG176" s="250"/>
      <c r="JTH176" s="250"/>
      <c r="JTI176" s="250"/>
      <c r="JTJ176" s="250"/>
      <c r="JTK176" s="250"/>
      <c r="JTL176" s="250"/>
      <c r="JTM176" s="250"/>
      <c r="JTN176" s="250"/>
      <c r="JTO176" s="250"/>
      <c r="JTP176" s="250"/>
      <c r="JTQ176" s="250"/>
      <c r="JTR176" s="250"/>
      <c r="JTS176" s="250"/>
      <c r="JTT176" s="250"/>
      <c r="JTU176" s="250"/>
      <c r="JTV176" s="250"/>
      <c r="JTW176" s="250"/>
      <c r="JTX176" s="250"/>
      <c r="JTY176" s="250"/>
      <c r="JTZ176" s="250"/>
      <c r="JUA176" s="250"/>
      <c r="JUB176" s="250"/>
      <c r="JUC176" s="250"/>
      <c r="JUD176" s="250"/>
      <c r="JUE176" s="250"/>
      <c r="JUF176" s="250"/>
      <c r="JUG176" s="250"/>
      <c r="JUH176" s="250"/>
      <c r="JUI176" s="250"/>
      <c r="JUJ176" s="250"/>
      <c r="JUK176" s="250"/>
      <c r="JUL176" s="250"/>
      <c r="JUM176" s="250"/>
      <c r="JUN176" s="250"/>
      <c r="JUO176" s="250"/>
      <c r="JUP176" s="250"/>
      <c r="JUQ176" s="250"/>
      <c r="JUR176" s="250"/>
      <c r="JUS176" s="250"/>
      <c r="JUT176" s="250"/>
      <c r="JUU176" s="250"/>
      <c r="JUV176" s="250"/>
      <c r="JUW176" s="250"/>
      <c r="JUX176" s="250"/>
      <c r="JUY176" s="250"/>
      <c r="JUZ176" s="250"/>
      <c r="JVA176" s="250"/>
      <c r="JVB176" s="250"/>
      <c r="JVC176" s="250"/>
      <c r="JVD176" s="250"/>
      <c r="JVE176" s="250"/>
      <c r="JVF176" s="250"/>
      <c r="JVG176" s="250"/>
      <c r="JVH176" s="250"/>
      <c r="JVI176" s="250"/>
      <c r="JVJ176" s="250"/>
      <c r="JVK176" s="250"/>
      <c r="JVL176" s="250"/>
      <c r="JVM176" s="250"/>
      <c r="JVN176" s="250"/>
      <c r="JVO176" s="250"/>
      <c r="JVP176" s="250"/>
      <c r="JVQ176" s="250"/>
      <c r="JVR176" s="250"/>
      <c r="JVS176" s="250"/>
      <c r="JVT176" s="250"/>
      <c r="JVU176" s="250"/>
      <c r="JVV176" s="250"/>
      <c r="JVW176" s="250"/>
      <c r="JVX176" s="250"/>
      <c r="JVY176" s="250"/>
      <c r="JVZ176" s="250"/>
      <c r="JWA176" s="250"/>
      <c r="JWB176" s="250"/>
      <c r="JWC176" s="250"/>
      <c r="JWD176" s="250"/>
      <c r="JWE176" s="250"/>
      <c r="JWF176" s="250"/>
      <c r="JWG176" s="250"/>
      <c r="JWH176" s="250"/>
      <c r="JWI176" s="250"/>
      <c r="JWJ176" s="250"/>
      <c r="JWK176" s="250"/>
      <c r="JWL176" s="250"/>
      <c r="JWM176" s="250"/>
      <c r="JWN176" s="250"/>
      <c r="JWO176" s="250"/>
      <c r="JWP176" s="250"/>
      <c r="JWQ176" s="250"/>
      <c r="JWR176" s="250"/>
      <c r="JWS176" s="250"/>
      <c r="JWT176" s="250"/>
      <c r="JWU176" s="250"/>
      <c r="JWV176" s="250"/>
      <c r="JWW176" s="250"/>
      <c r="JWX176" s="250"/>
      <c r="JWY176" s="250"/>
      <c r="JWZ176" s="250"/>
      <c r="JXA176" s="250"/>
      <c r="JXB176" s="250"/>
      <c r="JXC176" s="250"/>
      <c r="JXD176" s="250"/>
      <c r="JXE176" s="250"/>
      <c r="JXF176" s="250"/>
      <c r="JXG176" s="250"/>
      <c r="JXH176" s="250"/>
      <c r="JXI176" s="250"/>
      <c r="JXJ176" s="250"/>
      <c r="JXK176" s="250"/>
      <c r="JXL176" s="250"/>
      <c r="JXM176" s="250"/>
      <c r="JXN176" s="250"/>
      <c r="JXO176" s="250"/>
      <c r="JXP176" s="250"/>
      <c r="JXQ176" s="250"/>
      <c r="JXR176" s="250"/>
      <c r="JXS176" s="250"/>
      <c r="JXT176" s="250"/>
      <c r="JXU176" s="250"/>
      <c r="JXV176" s="250"/>
      <c r="JXW176" s="250"/>
      <c r="JXX176" s="250"/>
      <c r="JXY176" s="250"/>
      <c r="JXZ176" s="250"/>
      <c r="JYA176" s="250"/>
      <c r="JYB176" s="250"/>
      <c r="JYC176" s="250"/>
      <c r="JYD176" s="250"/>
      <c r="JYE176" s="250"/>
      <c r="JYF176" s="250"/>
      <c r="JYG176" s="250"/>
      <c r="JYH176" s="250"/>
      <c r="JYI176" s="250"/>
      <c r="JYJ176" s="250"/>
      <c r="JYK176" s="250"/>
      <c r="JYL176" s="250"/>
      <c r="JYM176" s="250"/>
      <c r="JYN176" s="250"/>
      <c r="JYO176" s="250"/>
      <c r="JYP176" s="250"/>
      <c r="JYQ176" s="250"/>
      <c r="JYR176" s="250"/>
      <c r="JYS176" s="250"/>
      <c r="JYT176" s="250"/>
      <c r="JYU176" s="250"/>
      <c r="JYV176" s="250"/>
      <c r="JYW176" s="250"/>
      <c r="JYX176" s="250"/>
      <c r="JYY176" s="250"/>
      <c r="JYZ176" s="250"/>
      <c r="JZA176" s="250"/>
      <c r="JZB176" s="250"/>
      <c r="JZC176" s="250"/>
      <c r="JZD176" s="250"/>
      <c r="JZE176" s="250"/>
      <c r="JZF176" s="250"/>
      <c r="JZG176" s="250"/>
      <c r="JZH176" s="250"/>
      <c r="JZI176" s="250"/>
      <c r="JZJ176" s="250"/>
      <c r="JZK176" s="250"/>
      <c r="JZL176" s="250"/>
      <c r="JZM176" s="250"/>
      <c r="JZN176" s="250"/>
      <c r="JZO176" s="250"/>
      <c r="JZP176" s="250"/>
      <c r="JZQ176" s="250"/>
      <c r="JZR176" s="250"/>
      <c r="JZS176" s="250"/>
      <c r="JZT176" s="250"/>
      <c r="JZU176" s="250"/>
      <c r="JZV176" s="250"/>
      <c r="JZW176" s="250"/>
      <c r="JZX176" s="250"/>
      <c r="JZY176" s="250"/>
      <c r="JZZ176" s="250"/>
      <c r="KAA176" s="250"/>
      <c r="KAB176" s="250"/>
      <c r="KAC176" s="250"/>
      <c r="KAD176" s="250"/>
      <c r="KAE176" s="250"/>
      <c r="KAF176" s="250"/>
      <c r="KAG176" s="250"/>
      <c r="KAH176" s="250"/>
      <c r="KAI176" s="250"/>
      <c r="KAJ176" s="250"/>
      <c r="KAK176" s="250"/>
      <c r="KAL176" s="250"/>
      <c r="KAM176" s="250"/>
      <c r="KAN176" s="250"/>
      <c r="KAO176" s="250"/>
      <c r="KAP176" s="250"/>
      <c r="KAQ176" s="250"/>
      <c r="KAR176" s="250"/>
      <c r="KAS176" s="250"/>
      <c r="KAT176" s="250"/>
      <c r="KAU176" s="250"/>
      <c r="KAV176" s="250"/>
      <c r="KAW176" s="250"/>
      <c r="KAX176" s="250"/>
      <c r="KAY176" s="250"/>
      <c r="KAZ176" s="250"/>
      <c r="KBA176" s="250"/>
      <c r="KBB176" s="250"/>
      <c r="KBC176" s="250"/>
      <c r="KBD176" s="250"/>
      <c r="KBE176" s="250"/>
      <c r="KBF176" s="250"/>
      <c r="KBG176" s="250"/>
      <c r="KBH176" s="250"/>
      <c r="KBI176" s="250"/>
      <c r="KBJ176" s="250"/>
      <c r="KBK176" s="250"/>
      <c r="KBL176" s="250"/>
      <c r="KBM176" s="250"/>
      <c r="KBN176" s="250"/>
      <c r="KBO176" s="250"/>
      <c r="KBP176" s="250"/>
      <c r="KBQ176" s="250"/>
      <c r="KBR176" s="250"/>
      <c r="KBS176" s="250"/>
      <c r="KBT176" s="250"/>
      <c r="KBU176" s="250"/>
      <c r="KBV176" s="250"/>
      <c r="KBW176" s="250"/>
      <c r="KBX176" s="250"/>
      <c r="KBY176" s="250"/>
      <c r="KBZ176" s="250"/>
      <c r="KCA176" s="250"/>
      <c r="KCB176" s="250"/>
      <c r="KCC176" s="250"/>
      <c r="KCD176" s="250"/>
      <c r="KCE176" s="250"/>
      <c r="KCF176" s="250"/>
      <c r="KCG176" s="250"/>
      <c r="KCH176" s="250"/>
      <c r="KCI176" s="250"/>
      <c r="KCJ176" s="250"/>
      <c r="KCK176" s="250"/>
      <c r="KCL176" s="250"/>
      <c r="KCM176" s="250"/>
      <c r="KCN176" s="250"/>
      <c r="KCO176" s="250"/>
      <c r="KCP176" s="250"/>
      <c r="KCQ176" s="250"/>
      <c r="KCR176" s="250"/>
      <c r="KCS176" s="250"/>
      <c r="KCT176" s="250"/>
      <c r="KCU176" s="250"/>
      <c r="KCV176" s="250"/>
      <c r="KCW176" s="250"/>
      <c r="KCX176" s="250"/>
      <c r="KCY176" s="250"/>
      <c r="KCZ176" s="250"/>
      <c r="KDA176" s="250"/>
      <c r="KDB176" s="250"/>
      <c r="KDC176" s="250"/>
      <c r="KDD176" s="250"/>
      <c r="KDE176" s="250"/>
      <c r="KDF176" s="250"/>
      <c r="KDG176" s="250"/>
      <c r="KDH176" s="250"/>
      <c r="KDI176" s="250"/>
      <c r="KDJ176" s="250"/>
      <c r="KDK176" s="250"/>
      <c r="KDL176" s="250"/>
      <c r="KDM176" s="250"/>
      <c r="KDN176" s="250"/>
      <c r="KDO176" s="250"/>
      <c r="KDP176" s="250"/>
      <c r="KDQ176" s="250"/>
      <c r="KDR176" s="250"/>
      <c r="KDS176" s="250"/>
      <c r="KDT176" s="250"/>
      <c r="KDU176" s="250"/>
      <c r="KDV176" s="250"/>
      <c r="KDW176" s="250"/>
      <c r="KDX176" s="250"/>
      <c r="KDY176" s="250"/>
      <c r="KDZ176" s="250"/>
      <c r="KEA176" s="250"/>
      <c r="KEB176" s="250"/>
      <c r="KEC176" s="250"/>
      <c r="KED176" s="250"/>
      <c r="KEE176" s="250"/>
      <c r="KEF176" s="250"/>
      <c r="KEG176" s="250"/>
      <c r="KEH176" s="250"/>
      <c r="KEI176" s="250"/>
      <c r="KEJ176" s="250"/>
      <c r="KEK176" s="250"/>
      <c r="KEL176" s="250"/>
      <c r="KEM176" s="250"/>
      <c r="KEN176" s="250"/>
      <c r="KEO176" s="250"/>
      <c r="KEP176" s="250"/>
      <c r="KEQ176" s="250"/>
      <c r="KER176" s="250"/>
      <c r="KES176" s="250"/>
      <c r="KET176" s="250"/>
      <c r="KEU176" s="250"/>
      <c r="KEV176" s="250"/>
      <c r="KEW176" s="250"/>
      <c r="KEX176" s="250"/>
      <c r="KEY176" s="250"/>
      <c r="KEZ176" s="250"/>
      <c r="KFA176" s="250"/>
      <c r="KFB176" s="250"/>
      <c r="KFC176" s="250"/>
      <c r="KFD176" s="250"/>
      <c r="KFE176" s="250"/>
      <c r="KFF176" s="250"/>
      <c r="KFG176" s="250"/>
      <c r="KFH176" s="250"/>
      <c r="KFI176" s="250"/>
      <c r="KFJ176" s="250"/>
      <c r="KFK176" s="250"/>
      <c r="KFL176" s="250"/>
      <c r="KFM176" s="250"/>
      <c r="KFN176" s="250"/>
      <c r="KFO176" s="250"/>
      <c r="KFP176" s="250"/>
      <c r="KFQ176" s="250"/>
      <c r="KFR176" s="250"/>
      <c r="KFS176" s="250"/>
      <c r="KFT176" s="250"/>
      <c r="KFU176" s="250"/>
      <c r="KFV176" s="250"/>
      <c r="KFW176" s="250"/>
      <c r="KFX176" s="250"/>
      <c r="KFY176" s="250"/>
      <c r="KFZ176" s="250"/>
      <c r="KGA176" s="250"/>
      <c r="KGB176" s="250"/>
      <c r="KGC176" s="250"/>
      <c r="KGD176" s="250"/>
      <c r="KGE176" s="250"/>
      <c r="KGF176" s="250"/>
      <c r="KGG176" s="250"/>
      <c r="KGH176" s="250"/>
      <c r="KGI176" s="250"/>
      <c r="KGJ176" s="250"/>
      <c r="KGK176" s="250"/>
      <c r="KGL176" s="250"/>
      <c r="KGM176" s="250"/>
      <c r="KGN176" s="250"/>
      <c r="KGO176" s="250"/>
      <c r="KGP176" s="250"/>
      <c r="KGQ176" s="250"/>
      <c r="KGR176" s="250"/>
      <c r="KGS176" s="250"/>
      <c r="KGT176" s="250"/>
      <c r="KGU176" s="250"/>
      <c r="KGV176" s="250"/>
      <c r="KGW176" s="250"/>
      <c r="KGX176" s="250"/>
      <c r="KGY176" s="250"/>
      <c r="KGZ176" s="250"/>
      <c r="KHA176" s="250"/>
      <c r="KHB176" s="250"/>
      <c r="KHC176" s="250"/>
      <c r="KHD176" s="250"/>
      <c r="KHE176" s="250"/>
      <c r="KHF176" s="250"/>
      <c r="KHG176" s="250"/>
      <c r="KHH176" s="250"/>
      <c r="KHI176" s="250"/>
      <c r="KHJ176" s="250"/>
      <c r="KHK176" s="250"/>
      <c r="KHL176" s="250"/>
      <c r="KHM176" s="250"/>
      <c r="KHN176" s="250"/>
      <c r="KHO176" s="250"/>
      <c r="KHP176" s="250"/>
      <c r="KHQ176" s="250"/>
      <c r="KHR176" s="250"/>
      <c r="KHS176" s="250"/>
      <c r="KHT176" s="250"/>
      <c r="KHU176" s="250"/>
      <c r="KHV176" s="250"/>
      <c r="KHW176" s="250"/>
      <c r="KHX176" s="250"/>
      <c r="KHY176" s="250"/>
      <c r="KHZ176" s="250"/>
      <c r="KIA176" s="250"/>
      <c r="KIB176" s="250"/>
      <c r="KIC176" s="250"/>
      <c r="KID176" s="250"/>
      <c r="KIE176" s="250"/>
      <c r="KIF176" s="250"/>
      <c r="KIG176" s="250"/>
      <c r="KIH176" s="250"/>
      <c r="KII176" s="250"/>
      <c r="KIJ176" s="250"/>
      <c r="KIK176" s="250"/>
      <c r="KIL176" s="250"/>
      <c r="KIM176" s="250"/>
      <c r="KIN176" s="250"/>
      <c r="KIO176" s="250"/>
      <c r="KIP176" s="250"/>
      <c r="KIQ176" s="250"/>
      <c r="KIR176" s="250"/>
      <c r="KIS176" s="250"/>
      <c r="KIT176" s="250"/>
      <c r="KIU176" s="250"/>
      <c r="KIV176" s="250"/>
      <c r="KIW176" s="250"/>
      <c r="KIX176" s="250"/>
      <c r="KIY176" s="250"/>
      <c r="KIZ176" s="250"/>
      <c r="KJA176" s="250"/>
      <c r="KJB176" s="250"/>
      <c r="KJC176" s="250"/>
      <c r="KJD176" s="250"/>
      <c r="KJE176" s="250"/>
      <c r="KJF176" s="250"/>
      <c r="KJG176" s="250"/>
      <c r="KJH176" s="250"/>
      <c r="KJI176" s="250"/>
      <c r="KJJ176" s="250"/>
      <c r="KJK176" s="250"/>
      <c r="KJL176" s="250"/>
      <c r="KJM176" s="250"/>
      <c r="KJN176" s="250"/>
      <c r="KJO176" s="250"/>
      <c r="KJP176" s="250"/>
      <c r="KJQ176" s="250"/>
      <c r="KJR176" s="250"/>
      <c r="KJS176" s="250"/>
      <c r="KJT176" s="250"/>
      <c r="KJU176" s="250"/>
      <c r="KJV176" s="250"/>
      <c r="KJW176" s="250"/>
      <c r="KJX176" s="250"/>
      <c r="KJY176" s="250"/>
      <c r="KJZ176" s="250"/>
      <c r="KKA176" s="250"/>
      <c r="KKB176" s="250"/>
      <c r="KKC176" s="250"/>
      <c r="KKD176" s="250"/>
      <c r="KKE176" s="250"/>
      <c r="KKF176" s="250"/>
      <c r="KKG176" s="250"/>
      <c r="KKH176" s="250"/>
      <c r="KKI176" s="250"/>
      <c r="KKJ176" s="250"/>
      <c r="KKK176" s="250"/>
      <c r="KKL176" s="250"/>
      <c r="KKM176" s="250"/>
      <c r="KKN176" s="250"/>
      <c r="KKO176" s="250"/>
      <c r="KKP176" s="250"/>
      <c r="KKQ176" s="250"/>
      <c r="KKR176" s="250"/>
      <c r="KKS176" s="250"/>
      <c r="KKT176" s="250"/>
      <c r="KKU176" s="250"/>
      <c r="KKV176" s="250"/>
      <c r="KKW176" s="250"/>
      <c r="KKX176" s="250"/>
      <c r="KKY176" s="250"/>
      <c r="KKZ176" s="250"/>
      <c r="KLA176" s="250"/>
      <c r="KLB176" s="250"/>
      <c r="KLC176" s="250"/>
      <c r="KLD176" s="250"/>
      <c r="KLE176" s="250"/>
      <c r="KLF176" s="250"/>
      <c r="KLG176" s="250"/>
      <c r="KLH176" s="250"/>
      <c r="KLI176" s="250"/>
      <c r="KLJ176" s="250"/>
      <c r="KLK176" s="250"/>
      <c r="KLL176" s="250"/>
      <c r="KLM176" s="250"/>
      <c r="KLN176" s="250"/>
      <c r="KLO176" s="250"/>
      <c r="KLP176" s="250"/>
      <c r="KLQ176" s="250"/>
      <c r="KLR176" s="250"/>
      <c r="KLS176" s="250"/>
      <c r="KLT176" s="250"/>
      <c r="KLU176" s="250"/>
      <c r="KLV176" s="250"/>
      <c r="KLW176" s="250"/>
      <c r="KLX176" s="250"/>
      <c r="KLY176" s="250"/>
      <c r="KLZ176" s="250"/>
      <c r="KMA176" s="250"/>
      <c r="KMB176" s="250"/>
      <c r="KMC176" s="250"/>
      <c r="KMD176" s="250"/>
      <c r="KME176" s="250"/>
      <c r="KMF176" s="250"/>
      <c r="KMG176" s="250"/>
      <c r="KMH176" s="250"/>
      <c r="KMI176" s="250"/>
      <c r="KMJ176" s="250"/>
      <c r="KMK176" s="250"/>
      <c r="KML176" s="250"/>
      <c r="KMM176" s="250"/>
      <c r="KMN176" s="250"/>
      <c r="KMO176" s="250"/>
      <c r="KMP176" s="250"/>
      <c r="KMQ176" s="250"/>
      <c r="KMR176" s="250"/>
      <c r="KMS176" s="250"/>
      <c r="KMT176" s="250"/>
      <c r="KMU176" s="250"/>
      <c r="KMV176" s="250"/>
      <c r="KMW176" s="250"/>
      <c r="KMX176" s="250"/>
      <c r="KMY176" s="250"/>
      <c r="KMZ176" s="250"/>
      <c r="KNA176" s="250"/>
      <c r="KNB176" s="250"/>
      <c r="KNC176" s="250"/>
      <c r="KND176" s="250"/>
      <c r="KNE176" s="250"/>
      <c r="KNF176" s="250"/>
      <c r="KNG176" s="250"/>
      <c r="KNH176" s="250"/>
      <c r="KNI176" s="250"/>
      <c r="KNJ176" s="250"/>
      <c r="KNK176" s="250"/>
      <c r="KNL176" s="250"/>
      <c r="KNM176" s="250"/>
      <c r="KNN176" s="250"/>
      <c r="KNO176" s="250"/>
      <c r="KNP176" s="250"/>
      <c r="KNQ176" s="250"/>
      <c r="KNR176" s="250"/>
      <c r="KNS176" s="250"/>
      <c r="KNT176" s="250"/>
      <c r="KNU176" s="250"/>
      <c r="KNV176" s="250"/>
      <c r="KNW176" s="250"/>
      <c r="KNX176" s="250"/>
      <c r="KNY176" s="250"/>
      <c r="KNZ176" s="250"/>
      <c r="KOA176" s="250"/>
      <c r="KOB176" s="250"/>
      <c r="KOC176" s="250"/>
      <c r="KOD176" s="250"/>
      <c r="KOE176" s="250"/>
      <c r="KOF176" s="250"/>
      <c r="KOG176" s="250"/>
      <c r="KOH176" s="250"/>
      <c r="KOI176" s="250"/>
      <c r="KOJ176" s="250"/>
      <c r="KOK176" s="250"/>
      <c r="KOL176" s="250"/>
      <c r="KOM176" s="250"/>
      <c r="KON176" s="250"/>
      <c r="KOO176" s="250"/>
      <c r="KOP176" s="250"/>
      <c r="KOQ176" s="250"/>
      <c r="KOR176" s="250"/>
      <c r="KOS176" s="250"/>
      <c r="KOT176" s="250"/>
      <c r="KOU176" s="250"/>
      <c r="KOV176" s="250"/>
      <c r="KOW176" s="250"/>
      <c r="KOX176" s="250"/>
      <c r="KOY176" s="250"/>
      <c r="KOZ176" s="250"/>
      <c r="KPA176" s="250"/>
      <c r="KPB176" s="250"/>
      <c r="KPC176" s="250"/>
      <c r="KPD176" s="250"/>
      <c r="KPE176" s="250"/>
      <c r="KPF176" s="250"/>
      <c r="KPG176" s="250"/>
      <c r="KPH176" s="250"/>
      <c r="KPI176" s="250"/>
      <c r="KPJ176" s="250"/>
      <c r="KPK176" s="250"/>
      <c r="KPL176" s="250"/>
      <c r="KPM176" s="250"/>
      <c r="KPN176" s="250"/>
      <c r="KPO176" s="250"/>
      <c r="KPP176" s="250"/>
      <c r="KPQ176" s="250"/>
      <c r="KPR176" s="250"/>
      <c r="KPS176" s="250"/>
      <c r="KPT176" s="250"/>
      <c r="KPU176" s="250"/>
      <c r="KPV176" s="250"/>
      <c r="KPW176" s="250"/>
      <c r="KPX176" s="250"/>
      <c r="KPY176" s="250"/>
      <c r="KPZ176" s="250"/>
      <c r="KQA176" s="250"/>
      <c r="KQB176" s="250"/>
      <c r="KQC176" s="250"/>
      <c r="KQD176" s="250"/>
      <c r="KQE176" s="250"/>
      <c r="KQF176" s="250"/>
      <c r="KQG176" s="250"/>
      <c r="KQH176" s="250"/>
      <c r="KQI176" s="250"/>
      <c r="KQJ176" s="250"/>
      <c r="KQK176" s="250"/>
      <c r="KQL176" s="250"/>
      <c r="KQM176" s="250"/>
      <c r="KQN176" s="250"/>
      <c r="KQO176" s="250"/>
      <c r="KQP176" s="250"/>
      <c r="KQQ176" s="250"/>
      <c r="KQR176" s="250"/>
      <c r="KQS176" s="250"/>
      <c r="KQT176" s="250"/>
      <c r="KQU176" s="250"/>
      <c r="KQV176" s="250"/>
      <c r="KQW176" s="250"/>
      <c r="KQX176" s="250"/>
      <c r="KQY176" s="250"/>
      <c r="KQZ176" s="250"/>
      <c r="KRA176" s="250"/>
      <c r="KRB176" s="250"/>
      <c r="KRC176" s="250"/>
      <c r="KRD176" s="250"/>
      <c r="KRE176" s="250"/>
      <c r="KRF176" s="250"/>
      <c r="KRG176" s="250"/>
      <c r="KRH176" s="250"/>
      <c r="KRI176" s="250"/>
      <c r="KRJ176" s="250"/>
      <c r="KRK176" s="250"/>
      <c r="KRL176" s="250"/>
      <c r="KRM176" s="250"/>
      <c r="KRN176" s="250"/>
      <c r="KRO176" s="250"/>
      <c r="KRP176" s="250"/>
      <c r="KRQ176" s="250"/>
      <c r="KRR176" s="250"/>
      <c r="KRS176" s="250"/>
      <c r="KRT176" s="250"/>
      <c r="KRU176" s="250"/>
      <c r="KRV176" s="250"/>
      <c r="KRW176" s="250"/>
      <c r="KRX176" s="250"/>
      <c r="KRY176" s="250"/>
      <c r="KRZ176" s="250"/>
      <c r="KSA176" s="250"/>
      <c r="KSB176" s="250"/>
      <c r="KSC176" s="250"/>
      <c r="KSD176" s="250"/>
      <c r="KSE176" s="250"/>
      <c r="KSF176" s="250"/>
      <c r="KSG176" s="250"/>
      <c r="KSH176" s="250"/>
      <c r="KSI176" s="250"/>
      <c r="KSJ176" s="250"/>
      <c r="KSK176" s="250"/>
      <c r="KSL176" s="250"/>
      <c r="KSM176" s="250"/>
      <c r="KSN176" s="250"/>
      <c r="KSO176" s="250"/>
      <c r="KSP176" s="250"/>
      <c r="KSQ176" s="250"/>
      <c r="KSR176" s="250"/>
      <c r="KSS176" s="250"/>
      <c r="KST176" s="250"/>
      <c r="KSU176" s="250"/>
      <c r="KSV176" s="250"/>
      <c r="KSW176" s="250"/>
      <c r="KSX176" s="250"/>
      <c r="KSY176" s="250"/>
      <c r="KSZ176" s="250"/>
      <c r="KTA176" s="250"/>
      <c r="KTB176" s="250"/>
      <c r="KTC176" s="250"/>
      <c r="KTD176" s="250"/>
      <c r="KTE176" s="250"/>
      <c r="KTF176" s="250"/>
      <c r="KTG176" s="250"/>
      <c r="KTH176" s="250"/>
      <c r="KTI176" s="250"/>
      <c r="KTJ176" s="250"/>
      <c r="KTK176" s="250"/>
      <c r="KTL176" s="250"/>
      <c r="KTM176" s="250"/>
      <c r="KTN176" s="250"/>
      <c r="KTO176" s="250"/>
      <c r="KTP176" s="250"/>
      <c r="KTQ176" s="250"/>
      <c r="KTR176" s="250"/>
      <c r="KTS176" s="250"/>
      <c r="KTT176" s="250"/>
      <c r="KTU176" s="250"/>
      <c r="KTV176" s="250"/>
      <c r="KTW176" s="250"/>
      <c r="KTX176" s="250"/>
      <c r="KTY176" s="250"/>
      <c r="KTZ176" s="250"/>
      <c r="KUA176" s="250"/>
      <c r="KUB176" s="250"/>
      <c r="KUC176" s="250"/>
      <c r="KUD176" s="250"/>
      <c r="KUE176" s="250"/>
      <c r="KUF176" s="250"/>
      <c r="KUG176" s="250"/>
      <c r="KUH176" s="250"/>
      <c r="KUI176" s="250"/>
      <c r="KUJ176" s="250"/>
      <c r="KUK176" s="250"/>
      <c r="KUL176" s="250"/>
      <c r="KUM176" s="250"/>
      <c r="KUN176" s="250"/>
      <c r="KUO176" s="250"/>
      <c r="KUP176" s="250"/>
      <c r="KUQ176" s="250"/>
      <c r="KUR176" s="250"/>
      <c r="KUS176" s="250"/>
      <c r="KUT176" s="250"/>
      <c r="KUU176" s="250"/>
      <c r="KUV176" s="250"/>
      <c r="KUW176" s="250"/>
      <c r="KUX176" s="250"/>
      <c r="KUY176" s="250"/>
      <c r="KUZ176" s="250"/>
      <c r="KVA176" s="250"/>
      <c r="KVB176" s="250"/>
      <c r="KVC176" s="250"/>
      <c r="KVD176" s="250"/>
      <c r="KVE176" s="250"/>
      <c r="KVF176" s="250"/>
      <c r="KVG176" s="250"/>
      <c r="KVH176" s="250"/>
      <c r="KVI176" s="250"/>
      <c r="KVJ176" s="250"/>
      <c r="KVK176" s="250"/>
      <c r="KVL176" s="250"/>
      <c r="KVM176" s="250"/>
      <c r="KVN176" s="250"/>
      <c r="KVO176" s="250"/>
      <c r="KVP176" s="250"/>
      <c r="KVQ176" s="250"/>
      <c r="KVR176" s="250"/>
      <c r="KVS176" s="250"/>
      <c r="KVT176" s="250"/>
      <c r="KVU176" s="250"/>
      <c r="KVV176" s="250"/>
      <c r="KVW176" s="250"/>
      <c r="KVX176" s="250"/>
      <c r="KVY176" s="250"/>
      <c r="KVZ176" s="250"/>
      <c r="KWA176" s="250"/>
      <c r="KWB176" s="250"/>
      <c r="KWC176" s="250"/>
      <c r="KWD176" s="250"/>
      <c r="KWE176" s="250"/>
      <c r="KWF176" s="250"/>
      <c r="KWG176" s="250"/>
      <c r="KWH176" s="250"/>
      <c r="KWI176" s="250"/>
      <c r="KWJ176" s="250"/>
      <c r="KWK176" s="250"/>
      <c r="KWL176" s="250"/>
      <c r="KWM176" s="250"/>
      <c r="KWN176" s="250"/>
      <c r="KWO176" s="250"/>
      <c r="KWP176" s="250"/>
      <c r="KWQ176" s="250"/>
      <c r="KWR176" s="250"/>
      <c r="KWS176" s="250"/>
      <c r="KWT176" s="250"/>
      <c r="KWU176" s="250"/>
      <c r="KWV176" s="250"/>
      <c r="KWW176" s="250"/>
      <c r="KWX176" s="250"/>
      <c r="KWY176" s="250"/>
      <c r="KWZ176" s="250"/>
      <c r="KXA176" s="250"/>
      <c r="KXB176" s="250"/>
      <c r="KXC176" s="250"/>
      <c r="KXD176" s="250"/>
      <c r="KXE176" s="250"/>
      <c r="KXF176" s="250"/>
      <c r="KXG176" s="250"/>
      <c r="KXH176" s="250"/>
      <c r="KXI176" s="250"/>
      <c r="KXJ176" s="250"/>
      <c r="KXK176" s="250"/>
      <c r="KXL176" s="250"/>
      <c r="KXM176" s="250"/>
      <c r="KXN176" s="250"/>
      <c r="KXO176" s="250"/>
      <c r="KXP176" s="250"/>
      <c r="KXQ176" s="250"/>
      <c r="KXR176" s="250"/>
      <c r="KXS176" s="250"/>
      <c r="KXT176" s="250"/>
      <c r="KXU176" s="250"/>
      <c r="KXV176" s="250"/>
      <c r="KXW176" s="250"/>
      <c r="KXX176" s="250"/>
      <c r="KXY176" s="250"/>
      <c r="KXZ176" s="250"/>
      <c r="KYA176" s="250"/>
      <c r="KYB176" s="250"/>
      <c r="KYC176" s="250"/>
      <c r="KYD176" s="250"/>
      <c r="KYE176" s="250"/>
      <c r="KYF176" s="250"/>
      <c r="KYG176" s="250"/>
      <c r="KYH176" s="250"/>
      <c r="KYI176" s="250"/>
      <c r="KYJ176" s="250"/>
      <c r="KYK176" s="250"/>
      <c r="KYL176" s="250"/>
      <c r="KYM176" s="250"/>
      <c r="KYN176" s="250"/>
      <c r="KYO176" s="250"/>
      <c r="KYP176" s="250"/>
      <c r="KYQ176" s="250"/>
      <c r="KYR176" s="250"/>
      <c r="KYS176" s="250"/>
      <c r="KYT176" s="250"/>
      <c r="KYU176" s="250"/>
      <c r="KYV176" s="250"/>
      <c r="KYW176" s="250"/>
      <c r="KYX176" s="250"/>
      <c r="KYY176" s="250"/>
      <c r="KYZ176" s="250"/>
      <c r="KZA176" s="250"/>
      <c r="KZB176" s="250"/>
      <c r="KZC176" s="250"/>
      <c r="KZD176" s="250"/>
      <c r="KZE176" s="250"/>
      <c r="KZF176" s="250"/>
      <c r="KZG176" s="250"/>
      <c r="KZH176" s="250"/>
      <c r="KZI176" s="250"/>
      <c r="KZJ176" s="250"/>
      <c r="KZK176" s="250"/>
      <c r="KZL176" s="250"/>
      <c r="KZM176" s="250"/>
      <c r="KZN176" s="250"/>
      <c r="KZO176" s="250"/>
      <c r="KZP176" s="250"/>
      <c r="KZQ176" s="250"/>
      <c r="KZR176" s="250"/>
      <c r="KZS176" s="250"/>
      <c r="KZT176" s="250"/>
      <c r="KZU176" s="250"/>
      <c r="KZV176" s="250"/>
      <c r="KZW176" s="250"/>
      <c r="KZX176" s="250"/>
      <c r="KZY176" s="250"/>
      <c r="KZZ176" s="250"/>
      <c r="LAA176" s="250"/>
      <c r="LAB176" s="250"/>
      <c r="LAC176" s="250"/>
      <c r="LAD176" s="250"/>
      <c r="LAE176" s="250"/>
      <c r="LAF176" s="250"/>
      <c r="LAG176" s="250"/>
      <c r="LAH176" s="250"/>
      <c r="LAI176" s="250"/>
      <c r="LAJ176" s="250"/>
      <c r="LAK176" s="250"/>
      <c r="LAL176" s="250"/>
      <c r="LAM176" s="250"/>
      <c r="LAN176" s="250"/>
      <c r="LAO176" s="250"/>
      <c r="LAP176" s="250"/>
      <c r="LAQ176" s="250"/>
      <c r="LAR176" s="250"/>
      <c r="LAS176" s="250"/>
      <c r="LAT176" s="250"/>
      <c r="LAU176" s="250"/>
      <c r="LAV176" s="250"/>
      <c r="LAW176" s="250"/>
      <c r="LAX176" s="250"/>
      <c r="LAY176" s="250"/>
      <c r="LAZ176" s="250"/>
      <c r="LBA176" s="250"/>
      <c r="LBB176" s="250"/>
      <c r="LBC176" s="250"/>
      <c r="LBD176" s="250"/>
      <c r="LBE176" s="250"/>
      <c r="LBF176" s="250"/>
      <c r="LBG176" s="250"/>
      <c r="LBH176" s="250"/>
      <c r="LBI176" s="250"/>
      <c r="LBJ176" s="250"/>
      <c r="LBK176" s="250"/>
      <c r="LBL176" s="250"/>
      <c r="LBM176" s="250"/>
      <c r="LBN176" s="250"/>
      <c r="LBO176" s="250"/>
      <c r="LBP176" s="250"/>
      <c r="LBQ176" s="250"/>
      <c r="LBR176" s="250"/>
      <c r="LBS176" s="250"/>
      <c r="LBT176" s="250"/>
      <c r="LBU176" s="250"/>
      <c r="LBV176" s="250"/>
      <c r="LBW176" s="250"/>
      <c r="LBX176" s="250"/>
      <c r="LBY176" s="250"/>
      <c r="LBZ176" s="250"/>
      <c r="LCA176" s="250"/>
      <c r="LCB176" s="250"/>
      <c r="LCC176" s="250"/>
      <c r="LCD176" s="250"/>
      <c r="LCE176" s="250"/>
      <c r="LCF176" s="250"/>
      <c r="LCG176" s="250"/>
      <c r="LCH176" s="250"/>
      <c r="LCI176" s="250"/>
      <c r="LCJ176" s="250"/>
      <c r="LCK176" s="250"/>
      <c r="LCL176" s="250"/>
      <c r="LCM176" s="250"/>
      <c r="LCN176" s="250"/>
      <c r="LCO176" s="250"/>
      <c r="LCP176" s="250"/>
      <c r="LCQ176" s="250"/>
      <c r="LCR176" s="250"/>
      <c r="LCS176" s="250"/>
      <c r="LCT176" s="250"/>
      <c r="LCU176" s="250"/>
      <c r="LCV176" s="250"/>
      <c r="LCW176" s="250"/>
      <c r="LCX176" s="250"/>
      <c r="LCY176" s="250"/>
      <c r="LCZ176" s="250"/>
      <c r="LDA176" s="250"/>
      <c r="LDB176" s="250"/>
      <c r="LDC176" s="250"/>
      <c r="LDD176" s="250"/>
      <c r="LDE176" s="250"/>
      <c r="LDF176" s="250"/>
      <c r="LDG176" s="250"/>
      <c r="LDH176" s="250"/>
      <c r="LDI176" s="250"/>
      <c r="LDJ176" s="250"/>
      <c r="LDK176" s="250"/>
      <c r="LDL176" s="250"/>
      <c r="LDM176" s="250"/>
      <c r="LDN176" s="250"/>
      <c r="LDO176" s="250"/>
      <c r="LDP176" s="250"/>
      <c r="LDQ176" s="250"/>
      <c r="LDR176" s="250"/>
      <c r="LDS176" s="250"/>
      <c r="LDT176" s="250"/>
      <c r="LDU176" s="250"/>
      <c r="LDV176" s="250"/>
      <c r="LDW176" s="250"/>
      <c r="LDX176" s="250"/>
      <c r="LDY176" s="250"/>
      <c r="LDZ176" s="250"/>
      <c r="LEA176" s="250"/>
      <c r="LEB176" s="250"/>
      <c r="LEC176" s="250"/>
      <c r="LED176" s="250"/>
      <c r="LEE176" s="250"/>
      <c r="LEF176" s="250"/>
      <c r="LEG176" s="250"/>
      <c r="LEH176" s="250"/>
      <c r="LEI176" s="250"/>
      <c r="LEJ176" s="250"/>
      <c r="LEK176" s="250"/>
      <c r="LEL176" s="250"/>
      <c r="LEM176" s="250"/>
      <c r="LEN176" s="250"/>
      <c r="LEO176" s="250"/>
      <c r="LEP176" s="250"/>
      <c r="LEQ176" s="250"/>
      <c r="LER176" s="250"/>
      <c r="LES176" s="250"/>
      <c r="LET176" s="250"/>
      <c r="LEU176" s="250"/>
      <c r="LEV176" s="250"/>
      <c r="LEW176" s="250"/>
      <c r="LEX176" s="250"/>
      <c r="LEY176" s="250"/>
      <c r="LEZ176" s="250"/>
      <c r="LFA176" s="250"/>
      <c r="LFB176" s="250"/>
      <c r="LFC176" s="250"/>
      <c r="LFD176" s="250"/>
      <c r="LFE176" s="250"/>
      <c r="LFF176" s="250"/>
      <c r="LFG176" s="250"/>
      <c r="LFH176" s="250"/>
      <c r="LFI176" s="250"/>
      <c r="LFJ176" s="250"/>
      <c r="LFK176" s="250"/>
      <c r="LFL176" s="250"/>
      <c r="LFM176" s="250"/>
      <c r="LFN176" s="250"/>
      <c r="LFO176" s="250"/>
      <c r="LFP176" s="250"/>
      <c r="LFQ176" s="250"/>
      <c r="LFR176" s="250"/>
      <c r="LFS176" s="250"/>
      <c r="LFT176" s="250"/>
      <c r="LFU176" s="250"/>
      <c r="LFV176" s="250"/>
      <c r="LFW176" s="250"/>
      <c r="LFX176" s="250"/>
      <c r="LFY176" s="250"/>
      <c r="LFZ176" s="250"/>
      <c r="LGA176" s="250"/>
      <c r="LGB176" s="250"/>
      <c r="LGC176" s="250"/>
      <c r="LGD176" s="250"/>
      <c r="LGE176" s="250"/>
      <c r="LGF176" s="250"/>
      <c r="LGG176" s="250"/>
      <c r="LGH176" s="250"/>
      <c r="LGI176" s="250"/>
      <c r="LGJ176" s="250"/>
      <c r="LGK176" s="250"/>
      <c r="LGL176" s="250"/>
      <c r="LGM176" s="250"/>
      <c r="LGN176" s="250"/>
      <c r="LGO176" s="250"/>
      <c r="LGP176" s="250"/>
      <c r="LGQ176" s="250"/>
      <c r="LGR176" s="250"/>
      <c r="LGS176" s="250"/>
      <c r="LGT176" s="250"/>
      <c r="LGU176" s="250"/>
      <c r="LGV176" s="250"/>
      <c r="LGW176" s="250"/>
      <c r="LGX176" s="250"/>
      <c r="LGY176" s="250"/>
      <c r="LGZ176" s="250"/>
      <c r="LHA176" s="250"/>
      <c r="LHB176" s="250"/>
      <c r="LHC176" s="250"/>
      <c r="LHD176" s="250"/>
      <c r="LHE176" s="250"/>
      <c r="LHF176" s="250"/>
      <c r="LHG176" s="250"/>
      <c r="LHH176" s="250"/>
      <c r="LHI176" s="250"/>
      <c r="LHJ176" s="250"/>
      <c r="LHK176" s="250"/>
      <c r="LHL176" s="250"/>
      <c r="LHM176" s="250"/>
      <c r="LHN176" s="250"/>
      <c r="LHO176" s="250"/>
      <c r="LHP176" s="250"/>
      <c r="LHQ176" s="250"/>
      <c r="LHR176" s="250"/>
      <c r="LHS176" s="250"/>
      <c r="LHT176" s="250"/>
      <c r="LHU176" s="250"/>
      <c r="LHV176" s="250"/>
      <c r="LHW176" s="250"/>
      <c r="LHX176" s="250"/>
      <c r="LHY176" s="250"/>
      <c r="LHZ176" s="250"/>
      <c r="LIA176" s="250"/>
      <c r="LIB176" s="250"/>
      <c r="LIC176" s="250"/>
      <c r="LID176" s="250"/>
      <c r="LIE176" s="250"/>
      <c r="LIF176" s="250"/>
      <c r="LIG176" s="250"/>
      <c r="LIH176" s="250"/>
      <c r="LII176" s="250"/>
      <c r="LIJ176" s="250"/>
      <c r="LIK176" s="250"/>
      <c r="LIL176" s="250"/>
      <c r="LIM176" s="250"/>
      <c r="LIN176" s="250"/>
      <c r="LIO176" s="250"/>
      <c r="LIP176" s="250"/>
      <c r="LIQ176" s="250"/>
      <c r="LIR176" s="250"/>
      <c r="LIS176" s="250"/>
      <c r="LIT176" s="250"/>
      <c r="LIU176" s="250"/>
      <c r="LIV176" s="250"/>
      <c r="LIW176" s="250"/>
      <c r="LIX176" s="250"/>
      <c r="LIY176" s="250"/>
      <c r="LIZ176" s="250"/>
      <c r="LJA176" s="250"/>
      <c r="LJB176" s="250"/>
      <c r="LJC176" s="250"/>
      <c r="LJD176" s="250"/>
      <c r="LJE176" s="250"/>
      <c r="LJF176" s="250"/>
      <c r="LJG176" s="250"/>
      <c r="LJH176" s="250"/>
      <c r="LJI176" s="250"/>
      <c r="LJJ176" s="250"/>
      <c r="LJK176" s="250"/>
      <c r="LJL176" s="250"/>
      <c r="LJM176" s="250"/>
      <c r="LJN176" s="250"/>
      <c r="LJO176" s="250"/>
      <c r="LJP176" s="250"/>
      <c r="LJQ176" s="250"/>
      <c r="LJR176" s="250"/>
      <c r="LJS176" s="250"/>
      <c r="LJT176" s="250"/>
      <c r="LJU176" s="250"/>
      <c r="LJV176" s="250"/>
      <c r="LJW176" s="250"/>
      <c r="LJX176" s="250"/>
      <c r="LJY176" s="250"/>
      <c r="LJZ176" s="250"/>
      <c r="LKA176" s="250"/>
      <c r="LKB176" s="250"/>
      <c r="LKC176" s="250"/>
      <c r="LKD176" s="250"/>
      <c r="LKE176" s="250"/>
      <c r="LKF176" s="250"/>
      <c r="LKG176" s="250"/>
      <c r="LKH176" s="250"/>
      <c r="LKI176" s="250"/>
      <c r="LKJ176" s="250"/>
      <c r="LKK176" s="250"/>
      <c r="LKL176" s="250"/>
      <c r="LKM176" s="250"/>
      <c r="LKN176" s="250"/>
      <c r="LKO176" s="250"/>
      <c r="LKP176" s="250"/>
      <c r="LKQ176" s="250"/>
      <c r="LKR176" s="250"/>
      <c r="LKS176" s="250"/>
      <c r="LKT176" s="250"/>
      <c r="LKU176" s="250"/>
      <c r="LKV176" s="250"/>
      <c r="LKW176" s="250"/>
      <c r="LKX176" s="250"/>
      <c r="LKY176" s="250"/>
      <c r="LKZ176" s="250"/>
      <c r="LLA176" s="250"/>
      <c r="LLB176" s="250"/>
      <c r="LLC176" s="250"/>
      <c r="LLD176" s="250"/>
      <c r="LLE176" s="250"/>
      <c r="LLF176" s="250"/>
      <c r="LLG176" s="250"/>
      <c r="LLH176" s="250"/>
      <c r="LLI176" s="250"/>
      <c r="LLJ176" s="250"/>
      <c r="LLK176" s="250"/>
      <c r="LLL176" s="250"/>
      <c r="LLM176" s="250"/>
      <c r="LLN176" s="250"/>
      <c r="LLO176" s="250"/>
      <c r="LLP176" s="250"/>
      <c r="LLQ176" s="250"/>
      <c r="LLR176" s="250"/>
      <c r="LLS176" s="250"/>
      <c r="LLT176" s="250"/>
      <c r="LLU176" s="250"/>
      <c r="LLV176" s="250"/>
      <c r="LLW176" s="250"/>
      <c r="LLX176" s="250"/>
      <c r="LLY176" s="250"/>
      <c r="LLZ176" s="250"/>
      <c r="LMA176" s="250"/>
      <c r="LMB176" s="250"/>
      <c r="LMC176" s="250"/>
      <c r="LMD176" s="250"/>
      <c r="LME176" s="250"/>
      <c r="LMF176" s="250"/>
      <c r="LMG176" s="250"/>
      <c r="LMH176" s="250"/>
      <c r="LMI176" s="250"/>
      <c r="LMJ176" s="250"/>
      <c r="LMK176" s="250"/>
      <c r="LML176" s="250"/>
      <c r="LMM176" s="250"/>
      <c r="LMN176" s="250"/>
      <c r="LMO176" s="250"/>
      <c r="LMP176" s="250"/>
      <c r="LMQ176" s="250"/>
      <c r="LMR176" s="250"/>
      <c r="LMS176" s="250"/>
      <c r="LMT176" s="250"/>
      <c r="LMU176" s="250"/>
      <c r="LMV176" s="250"/>
      <c r="LMW176" s="250"/>
      <c r="LMX176" s="250"/>
      <c r="LMY176" s="250"/>
      <c r="LMZ176" s="250"/>
      <c r="LNA176" s="250"/>
      <c r="LNB176" s="250"/>
      <c r="LNC176" s="250"/>
      <c r="LND176" s="250"/>
      <c r="LNE176" s="250"/>
      <c r="LNF176" s="250"/>
      <c r="LNG176" s="250"/>
      <c r="LNH176" s="250"/>
      <c r="LNI176" s="250"/>
      <c r="LNJ176" s="250"/>
      <c r="LNK176" s="250"/>
      <c r="LNL176" s="250"/>
      <c r="LNM176" s="250"/>
      <c r="LNN176" s="250"/>
      <c r="LNO176" s="250"/>
      <c r="LNP176" s="250"/>
      <c r="LNQ176" s="250"/>
      <c r="LNR176" s="250"/>
      <c r="LNS176" s="250"/>
      <c r="LNT176" s="250"/>
      <c r="LNU176" s="250"/>
      <c r="LNV176" s="250"/>
      <c r="LNW176" s="250"/>
      <c r="LNX176" s="250"/>
      <c r="LNY176" s="250"/>
      <c r="LNZ176" s="250"/>
      <c r="LOA176" s="250"/>
      <c r="LOB176" s="250"/>
      <c r="LOC176" s="250"/>
      <c r="LOD176" s="250"/>
      <c r="LOE176" s="250"/>
      <c r="LOF176" s="250"/>
      <c r="LOG176" s="250"/>
      <c r="LOH176" s="250"/>
      <c r="LOI176" s="250"/>
      <c r="LOJ176" s="250"/>
      <c r="LOK176" s="250"/>
      <c r="LOL176" s="250"/>
      <c r="LOM176" s="250"/>
      <c r="LON176" s="250"/>
      <c r="LOO176" s="250"/>
      <c r="LOP176" s="250"/>
      <c r="LOQ176" s="250"/>
      <c r="LOR176" s="250"/>
      <c r="LOS176" s="250"/>
      <c r="LOT176" s="250"/>
      <c r="LOU176" s="250"/>
      <c r="LOV176" s="250"/>
      <c r="LOW176" s="250"/>
      <c r="LOX176" s="250"/>
      <c r="LOY176" s="250"/>
      <c r="LOZ176" s="250"/>
      <c r="LPA176" s="250"/>
      <c r="LPB176" s="250"/>
      <c r="LPC176" s="250"/>
      <c r="LPD176" s="250"/>
      <c r="LPE176" s="250"/>
      <c r="LPF176" s="250"/>
      <c r="LPG176" s="250"/>
      <c r="LPH176" s="250"/>
      <c r="LPI176" s="250"/>
      <c r="LPJ176" s="250"/>
      <c r="LPK176" s="250"/>
      <c r="LPL176" s="250"/>
      <c r="LPM176" s="250"/>
      <c r="LPN176" s="250"/>
      <c r="LPO176" s="250"/>
      <c r="LPP176" s="250"/>
      <c r="LPQ176" s="250"/>
      <c r="LPR176" s="250"/>
      <c r="LPS176" s="250"/>
      <c r="LPT176" s="250"/>
      <c r="LPU176" s="250"/>
      <c r="LPV176" s="250"/>
      <c r="LPW176" s="250"/>
      <c r="LPX176" s="250"/>
      <c r="LPY176" s="250"/>
      <c r="LPZ176" s="250"/>
      <c r="LQA176" s="250"/>
      <c r="LQB176" s="250"/>
      <c r="LQC176" s="250"/>
      <c r="LQD176" s="250"/>
      <c r="LQE176" s="250"/>
      <c r="LQF176" s="250"/>
      <c r="LQG176" s="250"/>
      <c r="LQH176" s="250"/>
      <c r="LQI176" s="250"/>
      <c r="LQJ176" s="250"/>
      <c r="LQK176" s="250"/>
      <c r="LQL176" s="250"/>
      <c r="LQM176" s="250"/>
      <c r="LQN176" s="250"/>
      <c r="LQO176" s="250"/>
      <c r="LQP176" s="250"/>
      <c r="LQQ176" s="250"/>
      <c r="LQR176" s="250"/>
      <c r="LQS176" s="250"/>
      <c r="LQT176" s="250"/>
      <c r="LQU176" s="250"/>
      <c r="LQV176" s="250"/>
      <c r="LQW176" s="250"/>
      <c r="LQX176" s="250"/>
      <c r="LQY176" s="250"/>
      <c r="LQZ176" s="250"/>
      <c r="LRA176" s="250"/>
      <c r="LRB176" s="250"/>
      <c r="LRC176" s="250"/>
      <c r="LRD176" s="250"/>
      <c r="LRE176" s="250"/>
      <c r="LRF176" s="250"/>
      <c r="LRG176" s="250"/>
      <c r="LRH176" s="250"/>
      <c r="LRI176" s="250"/>
      <c r="LRJ176" s="250"/>
      <c r="LRK176" s="250"/>
      <c r="LRL176" s="250"/>
      <c r="LRM176" s="250"/>
      <c r="LRN176" s="250"/>
      <c r="LRO176" s="250"/>
      <c r="LRP176" s="250"/>
      <c r="LRQ176" s="250"/>
      <c r="LRR176" s="250"/>
      <c r="LRS176" s="250"/>
      <c r="LRT176" s="250"/>
      <c r="LRU176" s="250"/>
      <c r="LRV176" s="250"/>
      <c r="LRW176" s="250"/>
      <c r="LRX176" s="250"/>
      <c r="LRY176" s="250"/>
      <c r="LRZ176" s="250"/>
      <c r="LSA176" s="250"/>
      <c r="LSB176" s="250"/>
      <c r="LSC176" s="250"/>
      <c r="LSD176" s="250"/>
      <c r="LSE176" s="250"/>
      <c r="LSF176" s="250"/>
      <c r="LSG176" s="250"/>
      <c r="LSH176" s="250"/>
      <c r="LSI176" s="250"/>
      <c r="LSJ176" s="250"/>
      <c r="LSK176" s="250"/>
      <c r="LSL176" s="250"/>
      <c r="LSM176" s="250"/>
      <c r="LSN176" s="250"/>
      <c r="LSO176" s="250"/>
      <c r="LSP176" s="250"/>
      <c r="LSQ176" s="250"/>
      <c r="LSR176" s="250"/>
      <c r="LSS176" s="250"/>
      <c r="LST176" s="250"/>
      <c r="LSU176" s="250"/>
      <c r="LSV176" s="250"/>
      <c r="LSW176" s="250"/>
      <c r="LSX176" s="250"/>
      <c r="LSY176" s="250"/>
      <c r="LSZ176" s="250"/>
      <c r="LTA176" s="250"/>
      <c r="LTB176" s="250"/>
      <c r="LTC176" s="250"/>
      <c r="LTD176" s="250"/>
      <c r="LTE176" s="250"/>
      <c r="LTF176" s="250"/>
      <c r="LTG176" s="250"/>
      <c r="LTH176" s="250"/>
      <c r="LTI176" s="250"/>
      <c r="LTJ176" s="250"/>
      <c r="LTK176" s="250"/>
      <c r="LTL176" s="250"/>
      <c r="LTM176" s="250"/>
      <c r="LTN176" s="250"/>
      <c r="LTO176" s="250"/>
      <c r="LTP176" s="250"/>
      <c r="LTQ176" s="250"/>
      <c r="LTR176" s="250"/>
      <c r="LTS176" s="250"/>
      <c r="LTT176" s="250"/>
      <c r="LTU176" s="250"/>
      <c r="LTV176" s="250"/>
      <c r="LTW176" s="250"/>
      <c r="LTX176" s="250"/>
      <c r="LTY176" s="250"/>
      <c r="LTZ176" s="250"/>
      <c r="LUA176" s="250"/>
      <c r="LUB176" s="250"/>
      <c r="LUC176" s="250"/>
      <c r="LUD176" s="250"/>
      <c r="LUE176" s="250"/>
      <c r="LUF176" s="250"/>
      <c r="LUG176" s="250"/>
      <c r="LUH176" s="250"/>
      <c r="LUI176" s="250"/>
      <c r="LUJ176" s="250"/>
      <c r="LUK176" s="250"/>
      <c r="LUL176" s="250"/>
      <c r="LUM176" s="250"/>
      <c r="LUN176" s="250"/>
      <c r="LUO176" s="250"/>
      <c r="LUP176" s="250"/>
      <c r="LUQ176" s="250"/>
      <c r="LUR176" s="250"/>
      <c r="LUS176" s="250"/>
      <c r="LUT176" s="250"/>
      <c r="LUU176" s="250"/>
      <c r="LUV176" s="250"/>
      <c r="LUW176" s="250"/>
      <c r="LUX176" s="250"/>
      <c r="LUY176" s="250"/>
      <c r="LUZ176" s="250"/>
      <c r="LVA176" s="250"/>
      <c r="LVB176" s="250"/>
      <c r="LVC176" s="250"/>
      <c r="LVD176" s="250"/>
      <c r="LVE176" s="250"/>
      <c r="LVF176" s="250"/>
      <c r="LVG176" s="250"/>
      <c r="LVH176" s="250"/>
      <c r="LVI176" s="250"/>
      <c r="LVJ176" s="250"/>
      <c r="LVK176" s="250"/>
      <c r="LVL176" s="250"/>
      <c r="LVM176" s="250"/>
      <c r="LVN176" s="250"/>
      <c r="LVO176" s="250"/>
      <c r="LVP176" s="250"/>
      <c r="LVQ176" s="250"/>
      <c r="LVR176" s="250"/>
      <c r="LVS176" s="250"/>
      <c r="LVT176" s="250"/>
      <c r="LVU176" s="250"/>
      <c r="LVV176" s="250"/>
      <c r="LVW176" s="250"/>
      <c r="LVX176" s="250"/>
      <c r="LVY176" s="250"/>
      <c r="LVZ176" s="250"/>
      <c r="LWA176" s="250"/>
      <c r="LWB176" s="250"/>
      <c r="LWC176" s="250"/>
      <c r="LWD176" s="250"/>
      <c r="LWE176" s="250"/>
      <c r="LWF176" s="250"/>
      <c r="LWG176" s="250"/>
      <c r="LWH176" s="250"/>
      <c r="LWI176" s="250"/>
      <c r="LWJ176" s="250"/>
      <c r="LWK176" s="250"/>
      <c r="LWL176" s="250"/>
      <c r="LWM176" s="250"/>
      <c r="LWN176" s="250"/>
      <c r="LWO176" s="250"/>
      <c r="LWP176" s="250"/>
      <c r="LWQ176" s="250"/>
      <c r="LWR176" s="250"/>
      <c r="LWS176" s="250"/>
      <c r="LWT176" s="250"/>
      <c r="LWU176" s="250"/>
      <c r="LWV176" s="250"/>
      <c r="LWW176" s="250"/>
      <c r="LWX176" s="250"/>
      <c r="LWY176" s="250"/>
      <c r="LWZ176" s="250"/>
      <c r="LXA176" s="250"/>
      <c r="LXB176" s="250"/>
      <c r="LXC176" s="250"/>
      <c r="LXD176" s="250"/>
      <c r="LXE176" s="250"/>
      <c r="LXF176" s="250"/>
      <c r="LXG176" s="250"/>
      <c r="LXH176" s="250"/>
      <c r="LXI176" s="250"/>
      <c r="LXJ176" s="250"/>
      <c r="LXK176" s="250"/>
      <c r="LXL176" s="250"/>
      <c r="LXM176" s="250"/>
      <c r="LXN176" s="250"/>
      <c r="LXO176" s="250"/>
      <c r="LXP176" s="250"/>
      <c r="LXQ176" s="250"/>
      <c r="LXR176" s="250"/>
      <c r="LXS176" s="250"/>
      <c r="LXT176" s="250"/>
      <c r="LXU176" s="250"/>
      <c r="LXV176" s="250"/>
      <c r="LXW176" s="250"/>
      <c r="LXX176" s="250"/>
      <c r="LXY176" s="250"/>
      <c r="LXZ176" s="250"/>
      <c r="LYA176" s="250"/>
      <c r="LYB176" s="250"/>
      <c r="LYC176" s="250"/>
      <c r="LYD176" s="250"/>
      <c r="LYE176" s="250"/>
      <c r="LYF176" s="250"/>
      <c r="LYG176" s="250"/>
      <c r="LYH176" s="250"/>
      <c r="LYI176" s="250"/>
      <c r="LYJ176" s="250"/>
      <c r="LYK176" s="250"/>
      <c r="LYL176" s="250"/>
      <c r="LYM176" s="250"/>
      <c r="LYN176" s="250"/>
      <c r="LYO176" s="250"/>
      <c r="LYP176" s="250"/>
      <c r="LYQ176" s="250"/>
      <c r="LYR176" s="250"/>
      <c r="LYS176" s="250"/>
      <c r="LYT176" s="250"/>
      <c r="LYU176" s="250"/>
      <c r="LYV176" s="250"/>
      <c r="LYW176" s="250"/>
      <c r="LYX176" s="250"/>
      <c r="LYY176" s="250"/>
      <c r="LYZ176" s="250"/>
      <c r="LZA176" s="250"/>
      <c r="LZB176" s="250"/>
      <c r="LZC176" s="250"/>
      <c r="LZD176" s="250"/>
      <c r="LZE176" s="250"/>
      <c r="LZF176" s="250"/>
      <c r="LZG176" s="250"/>
      <c r="LZH176" s="250"/>
      <c r="LZI176" s="250"/>
      <c r="LZJ176" s="250"/>
      <c r="LZK176" s="250"/>
      <c r="LZL176" s="250"/>
      <c r="LZM176" s="250"/>
      <c r="LZN176" s="250"/>
      <c r="LZO176" s="250"/>
      <c r="LZP176" s="250"/>
      <c r="LZQ176" s="250"/>
      <c r="LZR176" s="250"/>
      <c r="LZS176" s="250"/>
      <c r="LZT176" s="250"/>
      <c r="LZU176" s="250"/>
      <c r="LZV176" s="250"/>
      <c r="LZW176" s="250"/>
      <c r="LZX176" s="250"/>
      <c r="LZY176" s="250"/>
      <c r="LZZ176" s="250"/>
      <c r="MAA176" s="250"/>
      <c r="MAB176" s="250"/>
      <c r="MAC176" s="250"/>
      <c r="MAD176" s="250"/>
      <c r="MAE176" s="250"/>
      <c r="MAF176" s="250"/>
      <c r="MAG176" s="250"/>
      <c r="MAH176" s="250"/>
      <c r="MAI176" s="250"/>
      <c r="MAJ176" s="250"/>
      <c r="MAK176" s="250"/>
      <c r="MAL176" s="250"/>
      <c r="MAM176" s="250"/>
      <c r="MAN176" s="250"/>
      <c r="MAO176" s="250"/>
      <c r="MAP176" s="250"/>
      <c r="MAQ176" s="250"/>
      <c r="MAR176" s="250"/>
      <c r="MAS176" s="250"/>
      <c r="MAT176" s="250"/>
      <c r="MAU176" s="250"/>
      <c r="MAV176" s="250"/>
      <c r="MAW176" s="250"/>
      <c r="MAX176" s="250"/>
      <c r="MAY176" s="250"/>
      <c r="MAZ176" s="250"/>
      <c r="MBA176" s="250"/>
      <c r="MBB176" s="250"/>
      <c r="MBC176" s="250"/>
      <c r="MBD176" s="250"/>
      <c r="MBE176" s="250"/>
      <c r="MBF176" s="250"/>
      <c r="MBG176" s="250"/>
      <c r="MBH176" s="250"/>
      <c r="MBI176" s="250"/>
      <c r="MBJ176" s="250"/>
      <c r="MBK176" s="250"/>
      <c r="MBL176" s="250"/>
      <c r="MBM176" s="250"/>
      <c r="MBN176" s="250"/>
      <c r="MBO176" s="250"/>
      <c r="MBP176" s="250"/>
      <c r="MBQ176" s="250"/>
      <c r="MBR176" s="250"/>
      <c r="MBS176" s="250"/>
      <c r="MBT176" s="250"/>
      <c r="MBU176" s="250"/>
      <c r="MBV176" s="250"/>
      <c r="MBW176" s="250"/>
      <c r="MBX176" s="250"/>
      <c r="MBY176" s="250"/>
      <c r="MBZ176" s="250"/>
      <c r="MCA176" s="250"/>
      <c r="MCB176" s="250"/>
      <c r="MCC176" s="250"/>
      <c r="MCD176" s="250"/>
      <c r="MCE176" s="250"/>
      <c r="MCF176" s="250"/>
      <c r="MCG176" s="250"/>
      <c r="MCH176" s="250"/>
      <c r="MCI176" s="250"/>
      <c r="MCJ176" s="250"/>
      <c r="MCK176" s="250"/>
      <c r="MCL176" s="250"/>
      <c r="MCM176" s="250"/>
      <c r="MCN176" s="250"/>
      <c r="MCO176" s="250"/>
      <c r="MCP176" s="250"/>
      <c r="MCQ176" s="250"/>
      <c r="MCR176" s="250"/>
      <c r="MCS176" s="250"/>
      <c r="MCT176" s="250"/>
      <c r="MCU176" s="250"/>
      <c r="MCV176" s="250"/>
      <c r="MCW176" s="250"/>
      <c r="MCX176" s="250"/>
      <c r="MCY176" s="250"/>
      <c r="MCZ176" s="250"/>
      <c r="MDA176" s="250"/>
      <c r="MDB176" s="250"/>
      <c r="MDC176" s="250"/>
      <c r="MDD176" s="250"/>
      <c r="MDE176" s="250"/>
      <c r="MDF176" s="250"/>
      <c r="MDG176" s="250"/>
      <c r="MDH176" s="250"/>
      <c r="MDI176" s="250"/>
      <c r="MDJ176" s="250"/>
      <c r="MDK176" s="250"/>
      <c r="MDL176" s="250"/>
      <c r="MDM176" s="250"/>
      <c r="MDN176" s="250"/>
      <c r="MDO176" s="250"/>
      <c r="MDP176" s="250"/>
      <c r="MDQ176" s="250"/>
      <c r="MDR176" s="250"/>
      <c r="MDS176" s="250"/>
      <c r="MDT176" s="250"/>
      <c r="MDU176" s="250"/>
      <c r="MDV176" s="250"/>
      <c r="MDW176" s="250"/>
      <c r="MDX176" s="250"/>
      <c r="MDY176" s="250"/>
      <c r="MDZ176" s="250"/>
      <c r="MEA176" s="250"/>
      <c r="MEB176" s="250"/>
      <c r="MEC176" s="250"/>
      <c r="MED176" s="250"/>
      <c r="MEE176" s="250"/>
      <c r="MEF176" s="250"/>
      <c r="MEG176" s="250"/>
      <c r="MEH176" s="250"/>
      <c r="MEI176" s="250"/>
      <c r="MEJ176" s="250"/>
      <c r="MEK176" s="250"/>
      <c r="MEL176" s="250"/>
      <c r="MEM176" s="250"/>
      <c r="MEN176" s="250"/>
      <c r="MEO176" s="250"/>
      <c r="MEP176" s="250"/>
      <c r="MEQ176" s="250"/>
      <c r="MER176" s="250"/>
      <c r="MES176" s="250"/>
      <c r="MET176" s="250"/>
      <c r="MEU176" s="250"/>
      <c r="MEV176" s="250"/>
      <c r="MEW176" s="250"/>
      <c r="MEX176" s="250"/>
      <c r="MEY176" s="250"/>
      <c r="MEZ176" s="250"/>
      <c r="MFA176" s="250"/>
      <c r="MFB176" s="250"/>
      <c r="MFC176" s="250"/>
      <c r="MFD176" s="250"/>
      <c r="MFE176" s="250"/>
      <c r="MFF176" s="250"/>
      <c r="MFG176" s="250"/>
      <c r="MFH176" s="250"/>
      <c r="MFI176" s="250"/>
      <c r="MFJ176" s="250"/>
      <c r="MFK176" s="250"/>
      <c r="MFL176" s="250"/>
      <c r="MFM176" s="250"/>
      <c r="MFN176" s="250"/>
      <c r="MFO176" s="250"/>
      <c r="MFP176" s="250"/>
      <c r="MFQ176" s="250"/>
      <c r="MFR176" s="250"/>
      <c r="MFS176" s="250"/>
      <c r="MFT176" s="250"/>
      <c r="MFU176" s="250"/>
      <c r="MFV176" s="250"/>
      <c r="MFW176" s="250"/>
      <c r="MFX176" s="250"/>
      <c r="MFY176" s="250"/>
      <c r="MFZ176" s="250"/>
      <c r="MGA176" s="250"/>
      <c r="MGB176" s="250"/>
      <c r="MGC176" s="250"/>
      <c r="MGD176" s="250"/>
      <c r="MGE176" s="250"/>
      <c r="MGF176" s="250"/>
      <c r="MGG176" s="250"/>
      <c r="MGH176" s="250"/>
      <c r="MGI176" s="250"/>
      <c r="MGJ176" s="250"/>
      <c r="MGK176" s="250"/>
      <c r="MGL176" s="250"/>
      <c r="MGM176" s="250"/>
      <c r="MGN176" s="250"/>
      <c r="MGO176" s="250"/>
      <c r="MGP176" s="250"/>
      <c r="MGQ176" s="250"/>
      <c r="MGR176" s="250"/>
      <c r="MGS176" s="250"/>
      <c r="MGT176" s="250"/>
      <c r="MGU176" s="250"/>
      <c r="MGV176" s="250"/>
      <c r="MGW176" s="250"/>
      <c r="MGX176" s="250"/>
      <c r="MGY176" s="250"/>
      <c r="MGZ176" s="250"/>
      <c r="MHA176" s="250"/>
      <c r="MHB176" s="250"/>
      <c r="MHC176" s="250"/>
      <c r="MHD176" s="250"/>
      <c r="MHE176" s="250"/>
      <c r="MHF176" s="250"/>
      <c r="MHG176" s="250"/>
      <c r="MHH176" s="250"/>
      <c r="MHI176" s="250"/>
      <c r="MHJ176" s="250"/>
      <c r="MHK176" s="250"/>
      <c r="MHL176" s="250"/>
      <c r="MHM176" s="250"/>
      <c r="MHN176" s="250"/>
      <c r="MHO176" s="250"/>
      <c r="MHP176" s="250"/>
      <c r="MHQ176" s="250"/>
      <c r="MHR176" s="250"/>
      <c r="MHS176" s="250"/>
      <c r="MHT176" s="250"/>
      <c r="MHU176" s="250"/>
      <c r="MHV176" s="250"/>
      <c r="MHW176" s="250"/>
      <c r="MHX176" s="250"/>
      <c r="MHY176" s="250"/>
      <c r="MHZ176" s="250"/>
      <c r="MIA176" s="250"/>
      <c r="MIB176" s="250"/>
      <c r="MIC176" s="250"/>
      <c r="MID176" s="250"/>
      <c r="MIE176" s="250"/>
      <c r="MIF176" s="250"/>
      <c r="MIG176" s="250"/>
      <c r="MIH176" s="250"/>
      <c r="MII176" s="250"/>
      <c r="MIJ176" s="250"/>
      <c r="MIK176" s="250"/>
      <c r="MIL176" s="250"/>
      <c r="MIM176" s="250"/>
      <c r="MIN176" s="250"/>
      <c r="MIO176" s="250"/>
      <c r="MIP176" s="250"/>
      <c r="MIQ176" s="250"/>
      <c r="MIR176" s="250"/>
      <c r="MIS176" s="250"/>
      <c r="MIT176" s="250"/>
      <c r="MIU176" s="250"/>
      <c r="MIV176" s="250"/>
      <c r="MIW176" s="250"/>
      <c r="MIX176" s="250"/>
      <c r="MIY176" s="250"/>
      <c r="MIZ176" s="250"/>
      <c r="MJA176" s="250"/>
      <c r="MJB176" s="250"/>
      <c r="MJC176" s="250"/>
      <c r="MJD176" s="250"/>
      <c r="MJE176" s="250"/>
      <c r="MJF176" s="250"/>
      <c r="MJG176" s="250"/>
      <c r="MJH176" s="250"/>
      <c r="MJI176" s="250"/>
      <c r="MJJ176" s="250"/>
      <c r="MJK176" s="250"/>
      <c r="MJL176" s="250"/>
      <c r="MJM176" s="250"/>
      <c r="MJN176" s="250"/>
      <c r="MJO176" s="250"/>
      <c r="MJP176" s="250"/>
      <c r="MJQ176" s="250"/>
      <c r="MJR176" s="250"/>
      <c r="MJS176" s="250"/>
      <c r="MJT176" s="250"/>
      <c r="MJU176" s="250"/>
      <c r="MJV176" s="250"/>
      <c r="MJW176" s="250"/>
      <c r="MJX176" s="250"/>
      <c r="MJY176" s="250"/>
      <c r="MJZ176" s="250"/>
      <c r="MKA176" s="250"/>
      <c r="MKB176" s="250"/>
      <c r="MKC176" s="250"/>
      <c r="MKD176" s="250"/>
      <c r="MKE176" s="250"/>
      <c r="MKF176" s="250"/>
      <c r="MKG176" s="250"/>
      <c r="MKH176" s="250"/>
      <c r="MKI176" s="250"/>
      <c r="MKJ176" s="250"/>
      <c r="MKK176" s="250"/>
      <c r="MKL176" s="250"/>
      <c r="MKM176" s="250"/>
      <c r="MKN176" s="250"/>
      <c r="MKO176" s="250"/>
      <c r="MKP176" s="250"/>
      <c r="MKQ176" s="250"/>
      <c r="MKR176" s="250"/>
      <c r="MKS176" s="250"/>
      <c r="MKT176" s="250"/>
      <c r="MKU176" s="250"/>
      <c r="MKV176" s="250"/>
      <c r="MKW176" s="250"/>
      <c r="MKX176" s="250"/>
      <c r="MKY176" s="250"/>
      <c r="MKZ176" s="250"/>
      <c r="MLA176" s="250"/>
      <c r="MLB176" s="250"/>
      <c r="MLC176" s="250"/>
      <c r="MLD176" s="250"/>
      <c r="MLE176" s="250"/>
      <c r="MLF176" s="250"/>
      <c r="MLG176" s="250"/>
      <c r="MLH176" s="250"/>
      <c r="MLI176" s="250"/>
      <c r="MLJ176" s="250"/>
      <c r="MLK176" s="250"/>
      <c r="MLL176" s="250"/>
      <c r="MLM176" s="250"/>
      <c r="MLN176" s="250"/>
      <c r="MLO176" s="250"/>
      <c r="MLP176" s="250"/>
      <c r="MLQ176" s="250"/>
      <c r="MLR176" s="250"/>
      <c r="MLS176" s="250"/>
      <c r="MLT176" s="250"/>
      <c r="MLU176" s="250"/>
      <c r="MLV176" s="250"/>
      <c r="MLW176" s="250"/>
      <c r="MLX176" s="250"/>
      <c r="MLY176" s="250"/>
      <c r="MLZ176" s="250"/>
      <c r="MMA176" s="250"/>
      <c r="MMB176" s="250"/>
      <c r="MMC176" s="250"/>
      <c r="MMD176" s="250"/>
      <c r="MME176" s="250"/>
      <c r="MMF176" s="250"/>
      <c r="MMG176" s="250"/>
      <c r="MMH176" s="250"/>
      <c r="MMI176" s="250"/>
      <c r="MMJ176" s="250"/>
      <c r="MMK176" s="250"/>
      <c r="MML176" s="250"/>
      <c r="MMM176" s="250"/>
      <c r="MMN176" s="250"/>
      <c r="MMO176" s="250"/>
      <c r="MMP176" s="250"/>
      <c r="MMQ176" s="250"/>
      <c r="MMR176" s="250"/>
      <c r="MMS176" s="250"/>
      <c r="MMT176" s="250"/>
      <c r="MMU176" s="250"/>
      <c r="MMV176" s="250"/>
      <c r="MMW176" s="250"/>
      <c r="MMX176" s="250"/>
      <c r="MMY176" s="250"/>
      <c r="MMZ176" s="250"/>
      <c r="MNA176" s="250"/>
      <c r="MNB176" s="250"/>
      <c r="MNC176" s="250"/>
      <c r="MND176" s="250"/>
      <c r="MNE176" s="250"/>
      <c r="MNF176" s="250"/>
      <c r="MNG176" s="250"/>
      <c r="MNH176" s="250"/>
      <c r="MNI176" s="250"/>
      <c r="MNJ176" s="250"/>
      <c r="MNK176" s="250"/>
      <c r="MNL176" s="250"/>
      <c r="MNM176" s="250"/>
      <c r="MNN176" s="250"/>
      <c r="MNO176" s="250"/>
      <c r="MNP176" s="250"/>
      <c r="MNQ176" s="250"/>
      <c r="MNR176" s="250"/>
      <c r="MNS176" s="250"/>
      <c r="MNT176" s="250"/>
      <c r="MNU176" s="250"/>
      <c r="MNV176" s="250"/>
      <c r="MNW176" s="250"/>
      <c r="MNX176" s="250"/>
      <c r="MNY176" s="250"/>
      <c r="MNZ176" s="250"/>
      <c r="MOA176" s="250"/>
      <c r="MOB176" s="250"/>
      <c r="MOC176" s="250"/>
      <c r="MOD176" s="250"/>
      <c r="MOE176" s="250"/>
      <c r="MOF176" s="250"/>
      <c r="MOG176" s="250"/>
      <c r="MOH176" s="250"/>
      <c r="MOI176" s="250"/>
      <c r="MOJ176" s="250"/>
      <c r="MOK176" s="250"/>
      <c r="MOL176" s="250"/>
      <c r="MOM176" s="250"/>
      <c r="MON176" s="250"/>
      <c r="MOO176" s="250"/>
      <c r="MOP176" s="250"/>
      <c r="MOQ176" s="250"/>
      <c r="MOR176" s="250"/>
      <c r="MOS176" s="250"/>
      <c r="MOT176" s="250"/>
      <c r="MOU176" s="250"/>
      <c r="MOV176" s="250"/>
      <c r="MOW176" s="250"/>
      <c r="MOX176" s="250"/>
      <c r="MOY176" s="250"/>
      <c r="MOZ176" s="250"/>
      <c r="MPA176" s="250"/>
      <c r="MPB176" s="250"/>
      <c r="MPC176" s="250"/>
      <c r="MPD176" s="250"/>
      <c r="MPE176" s="250"/>
      <c r="MPF176" s="250"/>
      <c r="MPG176" s="250"/>
      <c r="MPH176" s="250"/>
      <c r="MPI176" s="250"/>
      <c r="MPJ176" s="250"/>
      <c r="MPK176" s="250"/>
      <c r="MPL176" s="250"/>
      <c r="MPM176" s="250"/>
      <c r="MPN176" s="250"/>
      <c r="MPO176" s="250"/>
      <c r="MPP176" s="250"/>
      <c r="MPQ176" s="250"/>
      <c r="MPR176" s="250"/>
      <c r="MPS176" s="250"/>
      <c r="MPT176" s="250"/>
      <c r="MPU176" s="250"/>
      <c r="MPV176" s="250"/>
      <c r="MPW176" s="250"/>
      <c r="MPX176" s="250"/>
      <c r="MPY176" s="250"/>
      <c r="MPZ176" s="250"/>
      <c r="MQA176" s="250"/>
      <c r="MQB176" s="250"/>
      <c r="MQC176" s="250"/>
      <c r="MQD176" s="250"/>
      <c r="MQE176" s="250"/>
      <c r="MQF176" s="250"/>
      <c r="MQG176" s="250"/>
      <c r="MQH176" s="250"/>
      <c r="MQI176" s="250"/>
      <c r="MQJ176" s="250"/>
      <c r="MQK176" s="250"/>
      <c r="MQL176" s="250"/>
      <c r="MQM176" s="250"/>
      <c r="MQN176" s="250"/>
      <c r="MQO176" s="250"/>
      <c r="MQP176" s="250"/>
      <c r="MQQ176" s="250"/>
      <c r="MQR176" s="250"/>
      <c r="MQS176" s="250"/>
      <c r="MQT176" s="250"/>
      <c r="MQU176" s="250"/>
      <c r="MQV176" s="250"/>
      <c r="MQW176" s="250"/>
      <c r="MQX176" s="250"/>
      <c r="MQY176" s="250"/>
      <c r="MQZ176" s="250"/>
      <c r="MRA176" s="250"/>
      <c r="MRB176" s="250"/>
      <c r="MRC176" s="250"/>
      <c r="MRD176" s="250"/>
      <c r="MRE176" s="250"/>
      <c r="MRF176" s="250"/>
      <c r="MRG176" s="250"/>
      <c r="MRH176" s="250"/>
      <c r="MRI176" s="250"/>
      <c r="MRJ176" s="250"/>
      <c r="MRK176" s="250"/>
      <c r="MRL176" s="250"/>
      <c r="MRM176" s="250"/>
      <c r="MRN176" s="250"/>
      <c r="MRO176" s="250"/>
      <c r="MRP176" s="250"/>
      <c r="MRQ176" s="250"/>
      <c r="MRR176" s="250"/>
      <c r="MRS176" s="250"/>
      <c r="MRT176" s="250"/>
      <c r="MRU176" s="250"/>
      <c r="MRV176" s="250"/>
      <c r="MRW176" s="250"/>
      <c r="MRX176" s="250"/>
      <c r="MRY176" s="250"/>
      <c r="MRZ176" s="250"/>
      <c r="MSA176" s="250"/>
      <c r="MSB176" s="250"/>
      <c r="MSC176" s="250"/>
      <c r="MSD176" s="250"/>
      <c r="MSE176" s="250"/>
      <c r="MSF176" s="250"/>
      <c r="MSG176" s="250"/>
      <c r="MSH176" s="250"/>
      <c r="MSI176" s="250"/>
      <c r="MSJ176" s="250"/>
      <c r="MSK176" s="250"/>
      <c r="MSL176" s="250"/>
      <c r="MSM176" s="250"/>
      <c r="MSN176" s="250"/>
      <c r="MSO176" s="250"/>
      <c r="MSP176" s="250"/>
      <c r="MSQ176" s="250"/>
      <c r="MSR176" s="250"/>
      <c r="MSS176" s="250"/>
      <c r="MST176" s="250"/>
      <c r="MSU176" s="250"/>
      <c r="MSV176" s="250"/>
      <c r="MSW176" s="250"/>
      <c r="MSX176" s="250"/>
      <c r="MSY176" s="250"/>
      <c r="MSZ176" s="250"/>
      <c r="MTA176" s="250"/>
      <c r="MTB176" s="250"/>
      <c r="MTC176" s="250"/>
      <c r="MTD176" s="250"/>
      <c r="MTE176" s="250"/>
      <c r="MTF176" s="250"/>
      <c r="MTG176" s="250"/>
      <c r="MTH176" s="250"/>
      <c r="MTI176" s="250"/>
      <c r="MTJ176" s="250"/>
      <c r="MTK176" s="250"/>
      <c r="MTL176" s="250"/>
      <c r="MTM176" s="250"/>
      <c r="MTN176" s="250"/>
      <c r="MTO176" s="250"/>
      <c r="MTP176" s="250"/>
      <c r="MTQ176" s="250"/>
      <c r="MTR176" s="250"/>
      <c r="MTS176" s="250"/>
      <c r="MTT176" s="250"/>
      <c r="MTU176" s="250"/>
      <c r="MTV176" s="250"/>
      <c r="MTW176" s="250"/>
      <c r="MTX176" s="250"/>
      <c r="MTY176" s="250"/>
      <c r="MTZ176" s="250"/>
      <c r="MUA176" s="250"/>
      <c r="MUB176" s="250"/>
      <c r="MUC176" s="250"/>
      <c r="MUD176" s="250"/>
      <c r="MUE176" s="250"/>
      <c r="MUF176" s="250"/>
      <c r="MUG176" s="250"/>
      <c r="MUH176" s="250"/>
      <c r="MUI176" s="250"/>
      <c r="MUJ176" s="250"/>
      <c r="MUK176" s="250"/>
      <c r="MUL176" s="250"/>
      <c r="MUM176" s="250"/>
      <c r="MUN176" s="250"/>
      <c r="MUO176" s="250"/>
      <c r="MUP176" s="250"/>
      <c r="MUQ176" s="250"/>
      <c r="MUR176" s="250"/>
      <c r="MUS176" s="250"/>
      <c r="MUT176" s="250"/>
      <c r="MUU176" s="250"/>
      <c r="MUV176" s="250"/>
      <c r="MUW176" s="250"/>
      <c r="MUX176" s="250"/>
      <c r="MUY176" s="250"/>
      <c r="MUZ176" s="250"/>
      <c r="MVA176" s="250"/>
      <c r="MVB176" s="250"/>
      <c r="MVC176" s="250"/>
      <c r="MVD176" s="250"/>
      <c r="MVE176" s="250"/>
      <c r="MVF176" s="250"/>
      <c r="MVG176" s="250"/>
      <c r="MVH176" s="250"/>
      <c r="MVI176" s="250"/>
      <c r="MVJ176" s="250"/>
      <c r="MVK176" s="250"/>
      <c r="MVL176" s="250"/>
      <c r="MVM176" s="250"/>
      <c r="MVN176" s="250"/>
      <c r="MVO176" s="250"/>
      <c r="MVP176" s="250"/>
      <c r="MVQ176" s="250"/>
      <c r="MVR176" s="250"/>
      <c r="MVS176" s="250"/>
      <c r="MVT176" s="250"/>
      <c r="MVU176" s="250"/>
      <c r="MVV176" s="250"/>
      <c r="MVW176" s="250"/>
      <c r="MVX176" s="250"/>
      <c r="MVY176" s="250"/>
      <c r="MVZ176" s="250"/>
      <c r="MWA176" s="250"/>
      <c r="MWB176" s="250"/>
      <c r="MWC176" s="250"/>
      <c r="MWD176" s="250"/>
      <c r="MWE176" s="250"/>
      <c r="MWF176" s="250"/>
      <c r="MWG176" s="250"/>
      <c r="MWH176" s="250"/>
      <c r="MWI176" s="250"/>
      <c r="MWJ176" s="250"/>
      <c r="MWK176" s="250"/>
      <c r="MWL176" s="250"/>
      <c r="MWM176" s="250"/>
      <c r="MWN176" s="250"/>
      <c r="MWO176" s="250"/>
      <c r="MWP176" s="250"/>
      <c r="MWQ176" s="250"/>
      <c r="MWR176" s="250"/>
      <c r="MWS176" s="250"/>
      <c r="MWT176" s="250"/>
      <c r="MWU176" s="250"/>
      <c r="MWV176" s="250"/>
      <c r="MWW176" s="250"/>
      <c r="MWX176" s="250"/>
      <c r="MWY176" s="250"/>
      <c r="MWZ176" s="250"/>
      <c r="MXA176" s="250"/>
      <c r="MXB176" s="250"/>
      <c r="MXC176" s="250"/>
      <c r="MXD176" s="250"/>
      <c r="MXE176" s="250"/>
      <c r="MXF176" s="250"/>
      <c r="MXG176" s="250"/>
      <c r="MXH176" s="250"/>
      <c r="MXI176" s="250"/>
      <c r="MXJ176" s="250"/>
      <c r="MXK176" s="250"/>
      <c r="MXL176" s="250"/>
      <c r="MXM176" s="250"/>
      <c r="MXN176" s="250"/>
      <c r="MXO176" s="250"/>
      <c r="MXP176" s="250"/>
      <c r="MXQ176" s="250"/>
      <c r="MXR176" s="250"/>
      <c r="MXS176" s="250"/>
      <c r="MXT176" s="250"/>
      <c r="MXU176" s="250"/>
      <c r="MXV176" s="250"/>
      <c r="MXW176" s="250"/>
      <c r="MXX176" s="250"/>
      <c r="MXY176" s="250"/>
      <c r="MXZ176" s="250"/>
      <c r="MYA176" s="250"/>
      <c r="MYB176" s="250"/>
      <c r="MYC176" s="250"/>
      <c r="MYD176" s="250"/>
      <c r="MYE176" s="250"/>
      <c r="MYF176" s="250"/>
      <c r="MYG176" s="250"/>
      <c r="MYH176" s="250"/>
      <c r="MYI176" s="250"/>
      <c r="MYJ176" s="250"/>
      <c r="MYK176" s="250"/>
      <c r="MYL176" s="250"/>
      <c r="MYM176" s="250"/>
      <c r="MYN176" s="250"/>
      <c r="MYO176" s="250"/>
      <c r="MYP176" s="250"/>
      <c r="MYQ176" s="250"/>
      <c r="MYR176" s="250"/>
      <c r="MYS176" s="250"/>
      <c r="MYT176" s="250"/>
      <c r="MYU176" s="250"/>
      <c r="MYV176" s="250"/>
      <c r="MYW176" s="250"/>
      <c r="MYX176" s="250"/>
      <c r="MYY176" s="250"/>
      <c r="MYZ176" s="250"/>
      <c r="MZA176" s="250"/>
      <c r="MZB176" s="250"/>
      <c r="MZC176" s="250"/>
      <c r="MZD176" s="250"/>
      <c r="MZE176" s="250"/>
      <c r="MZF176" s="250"/>
      <c r="MZG176" s="250"/>
      <c r="MZH176" s="250"/>
      <c r="MZI176" s="250"/>
      <c r="MZJ176" s="250"/>
      <c r="MZK176" s="250"/>
      <c r="MZL176" s="250"/>
      <c r="MZM176" s="250"/>
      <c r="MZN176" s="250"/>
      <c r="MZO176" s="250"/>
      <c r="MZP176" s="250"/>
      <c r="MZQ176" s="250"/>
      <c r="MZR176" s="250"/>
      <c r="MZS176" s="250"/>
      <c r="MZT176" s="250"/>
      <c r="MZU176" s="250"/>
      <c r="MZV176" s="250"/>
      <c r="MZW176" s="250"/>
      <c r="MZX176" s="250"/>
      <c r="MZY176" s="250"/>
      <c r="MZZ176" s="250"/>
      <c r="NAA176" s="250"/>
      <c r="NAB176" s="250"/>
      <c r="NAC176" s="250"/>
      <c r="NAD176" s="250"/>
      <c r="NAE176" s="250"/>
      <c r="NAF176" s="250"/>
      <c r="NAG176" s="250"/>
      <c r="NAH176" s="250"/>
      <c r="NAI176" s="250"/>
      <c r="NAJ176" s="250"/>
      <c r="NAK176" s="250"/>
      <c r="NAL176" s="250"/>
      <c r="NAM176" s="250"/>
      <c r="NAN176" s="250"/>
      <c r="NAO176" s="250"/>
      <c r="NAP176" s="250"/>
      <c r="NAQ176" s="250"/>
      <c r="NAR176" s="250"/>
      <c r="NAS176" s="250"/>
      <c r="NAT176" s="250"/>
      <c r="NAU176" s="250"/>
      <c r="NAV176" s="250"/>
      <c r="NAW176" s="250"/>
      <c r="NAX176" s="250"/>
      <c r="NAY176" s="250"/>
      <c r="NAZ176" s="250"/>
      <c r="NBA176" s="250"/>
      <c r="NBB176" s="250"/>
      <c r="NBC176" s="250"/>
      <c r="NBD176" s="250"/>
      <c r="NBE176" s="250"/>
      <c r="NBF176" s="250"/>
      <c r="NBG176" s="250"/>
      <c r="NBH176" s="250"/>
      <c r="NBI176" s="250"/>
      <c r="NBJ176" s="250"/>
      <c r="NBK176" s="250"/>
      <c r="NBL176" s="250"/>
      <c r="NBM176" s="250"/>
      <c r="NBN176" s="250"/>
      <c r="NBO176" s="250"/>
      <c r="NBP176" s="250"/>
      <c r="NBQ176" s="250"/>
      <c r="NBR176" s="250"/>
      <c r="NBS176" s="250"/>
      <c r="NBT176" s="250"/>
      <c r="NBU176" s="250"/>
      <c r="NBV176" s="250"/>
      <c r="NBW176" s="250"/>
      <c r="NBX176" s="250"/>
      <c r="NBY176" s="250"/>
      <c r="NBZ176" s="250"/>
      <c r="NCA176" s="250"/>
      <c r="NCB176" s="250"/>
      <c r="NCC176" s="250"/>
      <c r="NCD176" s="250"/>
      <c r="NCE176" s="250"/>
      <c r="NCF176" s="250"/>
      <c r="NCG176" s="250"/>
      <c r="NCH176" s="250"/>
      <c r="NCI176" s="250"/>
      <c r="NCJ176" s="250"/>
      <c r="NCK176" s="250"/>
      <c r="NCL176" s="250"/>
      <c r="NCM176" s="250"/>
      <c r="NCN176" s="250"/>
      <c r="NCO176" s="250"/>
      <c r="NCP176" s="250"/>
      <c r="NCQ176" s="250"/>
      <c r="NCR176" s="250"/>
      <c r="NCS176" s="250"/>
      <c r="NCT176" s="250"/>
      <c r="NCU176" s="250"/>
      <c r="NCV176" s="250"/>
      <c r="NCW176" s="250"/>
      <c r="NCX176" s="250"/>
      <c r="NCY176" s="250"/>
      <c r="NCZ176" s="250"/>
      <c r="NDA176" s="250"/>
      <c r="NDB176" s="250"/>
      <c r="NDC176" s="250"/>
      <c r="NDD176" s="250"/>
      <c r="NDE176" s="250"/>
      <c r="NDF176" s="250"/>
      <c r="NDG176" s="250"/>
      <c r="NDH176" s="250"/>
      <c r="NDI176" s="250"/>
      <c r="NDJ176" s="250"/>
      <c r="NDK176" s="250"/>
      <c r="NDL176" s="250"/>
      <c r="NDM176" s="250"/>
      <c r="NDN176" s="250"/>
      <c r="NDO176" s="250"/>
      <c r="NDP176" s="250"/>
      <c r="NDQ176" s="250"/>
      <c r="NDR176" s="250"/>
      <c r="NDS176" s="250"/>
      <c r="NDT176" s="250"/>
      <c r="NDU176" s="250"/>
      <c r="NDV176" s="250"/>
      <c r="NDW176" s="250"/>
      <c r="NDX176" s="250"/>
      <c r="NDY176" s="250"/>
      <c r="NDZ176" s="250"/>
      <c r="NEA176" s="250"/>
      <c r="NEB176" s="250"/>
      <c r="NEC176" s="250"/>
      <c r="NED176" s="250"/>
      <c r="NEE176" s="250"/>
      <c r="NEF176" s="250"/>
      <c r="NEG176" s="250"/>
      <c r="NEH176" s="250"/>
      <c r="NEI176" s="250"/>
      <c r="NEJ176" s="250"/>
      <c r="NEK176" s="250"/>
      <c r="NEL176" s="250"/>
      <c r="NEM176" s="250"/>
      <c r="NEN176" s="250"/>
      <c r="NEO176" s="250"/>
      <c r="NEP176" s="250"/>
      <c r="NEQ176" s="250"/>
      <c r="NER176" s="250"/>
      <c r="NES176" s="250"/>
      <c r="NET176" s="250"/>
      <c r="NEU176" s="250"/>
      <c r="NEV176" s="250"/>
      <c r="NEW176" s="250"/>
      <c r="NEX176" s="250"/>
      <c r="NEY176" s="250"/>
      <c r="NEZ176" s="250"/>
      <c r="NFA176" s="250"/>
      <c r="NFB176" s="250"/>
      <c r="NFC176" s="250"/>
      <c r="NFD176" s="250"/>
      <c r="NFE176" s="250"/>
      <c r="NFF176" s="250"/>
      <c r="NFG176" s="250"/>
      <c r="NFH176" s="250"/>
      <c r="NFI176" s="250"/>
      <c r="NFJ176" s="250"/>
      <c r="NFK176" s="250"/>
      <c r="NFL176" s="250"/>
      <c r="NFM176" s="250"/>
      <c r="NFN176" s="250"/>
      <c r="NFO176" s="250"/>
      <c r="NFP176" s="250"/>
      <c r="NFQ176" s="250"/>
      <c r="NFR176" s="250"/>
      <c r="NFS176" s="250"/>
      <c r="NFT176" s="250"/>
      <c r="NFU176" s="250"/>
      <c r="NFV176" s="250"/>
      <c r="NFW176" s="250"/>
      <c r="NFX176" s="250"/>
      <c r="NFY176" s="250"/>
      <c r="NFZ176" s="250"/>
      <c r="NGA176" s="250"/>
      <c r="NGB176" s="250"/>
      <c r="NGC176" s="250"/>
      <c r="NGD176" s="250"/>
      <c r="NGE176" s="250"/>
      <c r="NGF176" s="250"/>
      <c r="NGG176" s="250"/>
      <c r="NGH176" s="250"/>
      <c r="NGI176" s="250"/>
      <c r="NGJ176" s="250"/>
      <c r="NGK176" s="250"/>
      <c r="NGL176" s="250"/>
      <c r="NGM176" s="250"/>
      <c r="NGN176" s="250"/>
      <c r="NGO176" s="250"/>
      <c r="NGP176" s="250"/>
      <c r="NGQ176" s="250"/>
      <c r="NGR176" s="250"/>
      <c r="NGS176" s="250"/>
      <c r="NGT176" s="250"/>
      <c r="NGU176" s="250"/>
      <c r="NGV176" s="250"/>
      <c r="NGW176" s="250"/>
      <c r="NGX176" s="250"/>
      <c r="NGY176" s="250"/>
      <c r="NGZ176" s="250"/>
      <c r="NHA176" s="250"/>
      <c r="NHB176" s="250"/>
      <c r="NHC176" s="250"/>
      <c r="NHD176" s="250"/>
      <c r="NHE176" s="250"/>
      <c r="NHF176" s="250"/>
      <c r="NHG176" s="250"/>
      <c r="NHH176" s="250"/>
      <c r="NHI176" s="250"/>
      <c r="NHJ176" s="250"/>
      <c r="NHK176" s="250"/>
      <c r="NHL176" s="250"/>
      <c r="NHM176" s="250"/>
      <c r="NHN176" s="250"/>
      <c r="NHO176" s="250"/>
      <c r="NHP176" s="250"/>
      <c r="NHQ176" s="250"/>
      <c r="NHR176" s="250"/>
      <c r="NHS176" s="250"/>
      <c r="NHT176" s="250"/>
      <c r="NHU176" s="250"/>
      <c r="NHV176" s="250"/>
      <c r="NHW176" s="250"/>
      <c r="NHX176" s="250"/>
      <c r="NHY176" s="250"/>
      <c r="NHZ176" s="250"/>
      <c r="NIA176" s="250"/>
      <c r="NIB176" s="250"/>
      <c r="NIC176" s="250"/>
      <c r="NID176" s="250"/>
      <c r="NIE176" s="250"/>
      <c r="NIF176" s="250"/>
      <c r="NIG176" s="250"/>
      <c r="NIH176" s="250"/>
      <c r="NII176" s="250"/>
      <c r="NIJ176" s="250"/>
      <c r="NIK176" s="250"/>
      <c r="NIL176" s="250"/>
      <c r="NIM176" s="250"/>
      <c r="NIN176" s="250"/>
      <c r="NIO176" s="250"/>
      <c r="NIP176" s="250"/>
      <c r="NIQ176" s="250"/>
      <c r="NIR176" s="250"/>
      <c r="NIS176" s="250"/>
      <c r="NIT176" s="250"/>
      <c r="NIU176" s="250"/>
      <c r="NIV176" s="250"/>
      <c r="NIW176" s="250"/>
      <c r="NIX176" s="250"/>
      <c r="NIY176" s="250"/>
      <c r="NIZ176" s="250"/>
      <c r="NJA176" s="250"/>
      <c r="NJB176" s="250"/>
      <c r="NJC176" s="250"/>
      <c r="NJD176" s="250"/>
      <c r="NJE176" s="250"/>
      <c r="NJF176" s="250"/>
      <c r="NJG176" s="250"/>
      <c r="NJH176" s="250"/>
      <c r="NJI176" s="250"/>
      <c r="NJJ176" s="250"/>
      <c r="NJK176" s="250"/>
      <c r="NJL176" s="250"/>
      <c r="NJM176" s="250"/>
      <c r="NJN176" s="250"/>
      <c r="NJO176" s="250"/>
      <c r="NJP176" s="250"/>
      <c r="NJQ176" s="250"/>
      <c r="NJR176" s="250"/>
      <c r="NJS176" s="250"/>
      <c r="NJT176" s="250"/>
      <c r="NJU176" s="250"/>
      <c r="NJV176" s="250"/>
      <c r="NJW176" s="250"/>
      <c r="NJX176" s="250"/>
      <c r="NJY176" s="250"/>
      <c r="NJZ176" s="250"/>
      <c r="NKA176" s="250"/>
      <c r="NKB176" s="250"/>
      <c r="NKC176" s="250"/>
      <c r="NKD176" s="250"/>
      <c r="NKE176" s="250"/>
      <c r="NKF176" s="250"/>
      <c r="NKG176" s="250"/>
      <c r="NKH176" s="250"/>
      <c r="NKI176" s="250"/>
      <c r="NKJ176" s="250"/>
      <c r="NKK176" s="250"/>
      <c r="NKL176" s="250"/>
      <c r="NKM176" s="250"/>
      <c r="NKN176" s="250"/>
      <c r="NKO176" s="250"/>
      <c r="NKP176" s="250"/>
      <c r="NKQ176" s="250"/>
      <c r="NKR176" s="250"/>
      <c r="NKS176" s="250"/>
      <c r="NKT176" s="250"/>
      <c r="NKU176" s="250"/>
      <c r="NKV176" s="250"/>
      <c r="NKW176" s="250"/>
      <c r="NKX176" s="250"/>
      <c r="NKY176" s="250"/>
      <c r="NKZ176" s="250"/>
      <c r="NLA176" s="250"/>
      <c r="NLB176" s="250"/>
      <c r="NLC176" s="250"/>
      <c r="NLD176" s="250"/>
      <c r="NLE176" s="250"/>
      <c r="NLF176" s="250"/>
      <c r="NLG176" s="250"/>
      <c r="NLH176" s="250"/>
      <c r="NLI176" s="250"/>
      <c r="NLJ176" s="250"/>
      <c r="NLK176" s="250"/>
      <c r="NLL176" s="250"/>
      <c r="NLM176" s="250"/>
      <c r="NLN176" s="250"/>
      <c r="NLO176" s="250"/>
      <c r="NLP176" s="250"/>
      <c r="NLQ176" s="250"/>
      <c r="NLR176" s="250"/>
      <c r="NLS176" s="250"/>
      <c r="NLT176" s="250"/>
      <c r="NLU176" s="250"/>
      <c r="NLV176" s="250"/>
      <c r="NLW176" s="250"/>
      <c r="NLX176" s="250"/>
      <c r="NLY176" s="250"/>
      <c r="NLZ176" s="250"/>
      <c r="NMA176" s="250"/>
      <c r="NMB176" s="250"/>
      <c r="NMC176" s="250"/>
      <c r="NMD176" s="250"/>
      <c r="NME176" s="250"/>
      <c r="NMF176" s="250"/>
      <c r="NMG176" s="250"/>
      <c r="NMH176" s="250"/>
      <c r="NMI176" s="250"/>
      <c r="NMJ176" s="250"/>
      <c r="NMK176" s="250"/>
      <c r="NML176" s="250"/>
      <c r="NMM176" s="250"/>
      <c r="NMN176" s="250"/>
      <c r="NMO176" s="250"/>
      <c r="NMP176" s="250"/>
      <c r="NMQ176" s="250"/>
      <c r="NMR176" s="250"/>
      <c r="NMS176" s="250"/>
      <c r="NMT176" s="250"/>
      <c r="NMU176" s="250"/>
      <c r="NMV176" s="250"/>
      <c r="NMW176" s="250"/>
      <c r="NMX176" s="250"/>
      <c r="NMY176" s="250"/>
      <c r="NMZ176" s="250"/>
      <c r="NNA176" s="250"/>
      <c r="NNB176" s="250"/>
      <c r="NNC176" s="250"/>
      <c r="NND176" s="250"/>
      <c r="NNE176" s="250"/>
      <c r="NNF176" s="250"/>
      <c r="NNG176" s="250"/>
      <c r="NNH176" s="250"/>
      <c r="NNI176" s="250"/>
      <c r="NNJ176" s="250"/>
      <c r="NNK176" s="250"/>
      <c r="NNL176" s="250"/>
      <c r="NNM176" s="250"/>
      <c r="NNN176" s="250"/>
      <c r="NNO176" s="250"/>
      <c r="NNP176" s="250"/>
      <c r="NNQ176" s="250"/>
      <c r="NNR176" s="250"/>
      <c r="NNS176" s="250"/>
      <c r="NNT176" s="250"/>
      <c r="NNU176" s="250"/>
      <c r="NNV176" s="250"/>
      <c r="NNW176" s="250"/>
      <c r="NNX176" s="250"/>
      <c r="NNY176" s="250"/>
      <c r="NNZ176" s="250"/>
      <c r="NOA176" s="250"/>
      <c r="NOB176" s="250"/>
      <c r="NOC176" s="250"/>
      <c r="NOD176" s="250"/>
      <c r="NOE176" s="250"/>
      <c r="NOF176" s="250"/>
      <c r="NOG176" s="250"/>
      <c r="NOH176" s="250"/>
      <c r="NOI176" s="250"/>
      <c r="NOJ176" s="250"/>
      <c r="NOK176" s="250"/>
      <c r="NOL176" s="250"/>
      <c r="NOM176" s="250"/>
      <c r="NON176" s="250"/>
      <c r="NOO176" s="250"/>
      <c r="NOP176" s="250"/>
      <c r="NOQ176" s="250"/>
      <c r="NOR176" s="250"/>
      <c r="NOS176" s="250"/>
      <c r="NOT176" s="250"/>
      <c r="NOU176" s="250"/>
      <c r="NOV176" s="250"/>
      <c r="NOW176" s="250"/>
      <c r="NOX176" s="250"/>
      <c r="NOY176" s="250"/>
      <c r="NOZ176" s="250"/>
      <c r="NPA176" s="250"/>
      <c r="NPB176" s="250"/>
      <c r="NPC176" s="250"/>
      <c r="NPD176" s="250"/>
      <c r="NPE176" s="250"/>
      <c r="NPF176" s="250"/>
      <c r="NPG176" s="250"/>
      <c r="NPH176" s="250"/>
      <c r="NPI176" s="250"/>
      <c r="NPJ176" s="250"/>
      <c r="NPK176" s="250"/>
      <c r="NPL176" s="250"/>
      <c r="NPM176" s="250"/>
      <c r="NPN176" s="250"/>
      <c r="NPO176" s="250"/>
      <c r="NPP176" s="250"/>
      <c r="NPQ176" s="250"/>
      <c r="NPR176" s="250"/>
      <c r="NPS176" s="250"/>
      <c r="NPT176" s="250"/>
      <c r="NPU176" s="250"/>
      <c r="NPV176" s="250"/>
      <c r="NPW176" s="250"/>
      <c r="NPX176" s="250"/>
      <c r="NPY176" s="250"/>
      <c r="NPZ176" s="250"/>
      <c r="NQA176" s="250"/>
      <c r="NQB176" s="250"/>
      <c r="NQC176" s="250"/>
      <c r="NQD176" s="250"/>
      <c r="NQE176" s="250"/>
      <c r="NQF176" s="250"/>
      <c r="NQG176" s="250"/>
      <c r="NQH176" s="250"/>
      <c r="NQI176" s="250"/>
      <c r="NQJ176" s="250"/>
      <c r="NQK176" s="250"/>
      <c r="NQL176" s="250"/>
      <c r="NQM176" s="250"/>
      <c r="NQN176" s="250"/>
      <c r="NQO176" s="250"/>
      <c r="NQP176" s="250"/>
      <c r="NQQ176" s="250"/>
      <c r="NQR176" s="250"/>
      <c r="NQS176" s="250"/>
      <c r="NQT176" s="250"/>
      <c r="NQU176" s="250"/>
      <c r="NQV176" s="250"/>
      <c r="NQW176" s="250"/>
      <c r="NQX176" s="250"/>
      <c r="NQY176" s="250"/>
      <c r="NQZ176" s="250"/>
      <c r="NRA176" s="250"/>
      <c r="NRB176" s="250"/>
      <c r="NRC176" s="250"/>
      <c r="NRD176" s="250"/>
      <c r="NRE176" s="250"/>
      <c r="NRF176" s="250"/>
      <c r="NRG176" s="250"/>
      <c r="NRH176" s="250"/>
      <c r="NRI176" s="250"/>
      <c r="NRJ176" s="250"/>
      <c r="NRK176" s="250"/>
      <c r="NRL176" s="250"/>
      <c r="NRM176" s="250"/>
      <c r="NRN176" s="250"/>
      <c r="NRO176" s="250"/>
      <c r="NRP176" s="250"/>
      <c r="NRQ176" s="250"/>
      <c r="NRR176" s="250"/>
      <c r="NRS176" s="250"/>
      <c r="NRT176" s="250"/>
      <c r="NRU176" s="250"/>
      <c r="NRV176" s="250"/>
      <c r="NRW176" s="250"/>
      <c r="NRX176" s="250"/>
      <c r="NRY176" s="250"/>
      <c r="NRZ176" s="250"/>
      <c r="NSA176" s="250"/>
      <c r="NSB176" s="250"/>
      <c r="NSC176" s="250"/>
      <c r="NSD176" s="250"/>
      <c r="NSE176" s="250"/>
      <c r="NSF176" s="250"/>
      <c r="NSG176" s="250"/>
      <c r="NSH176" s="250"/>
      <c r="NSI176" s="250"/>
      <c r="NSJ176" s="250"/>
      <c r="NSK176" s="250"/>
      <c r="NSL176" s="250"/>
      <c r="NSM176" s="250"/>
      <c r="NSN176" s="250"/>
      <c r="NSO176" s="250"/>
      <c r="NSP176" s="250"/>
      <c r="NSQ176" s="250"/>
      <c r="NSR176" s="250"/>
      <c r="NSS176" s="250"/>
      <c r="NST176" s="250"/>
      <c r="NSU176" s="250"/>
      <c r="NSV176" s="250"/>
      <c r="NSW176" s="250"/>
      <c r="NSX176" s="250"/>
      <c r="NSY176" s="250"/>
      <c r="NSZ176" s="250"/>
      <c r="NTA176" s="250"/>
      <c r="NTB176" s="250"/>
      <c r="NTC176" s="250"/>
      <c r="NTD176" s="250"/>
      <c r="NTE176" s="250"/>
      <c r="NTF176" s="250"/>
      <c r="NTG176" s="250"/>
      <c r="NTH176" s="250"/>
      <c r="NTI176" s="250"/>
      <c r="NTJ176" s="250"/>
      <c r="NTK176" s="250"/>
      <c r="NTL176" s="250"/>
      <c r="NTM176" s="250"/>
      <c r="NTN176" s="250"/>
      <c r="NTO176" s="250"/>
      <c r="NTP176" s="250"/>
      <c r="NTQ176" s="250"/>
      <c r="NTR176" s="250"/>
      <c r="NTS176" s="250"/>
      <c r="NTT176" s="250"/>
      <c r="NTU176" s="250"/>
      <c r="NTV176" s="250"/>
      <c r="NTW176" s="250"/>
      <c r="NTX176" s="250"/>
      <c r="NTY176" s="250"/>
      <c r="NTZ176" s="250"/>
      <c r="NUA176" s="250"/>
      <c r="NUB176" s="250"/>
      <c r="NUC176" s="250"/>
      <c r="NUD176" s="250"/>
      <c r="NUE176" s="250"/>
      <c r="NUF176" s="250"/>
      <c r="NUG176" s="250"/>
      <c r="NUH176" s="250"/>
      <c r="NUI176" s="250"/>
      <c r="NUJ176" s="250"/>
      <c r="NUK176" s="250"/>
      <c r="NUL176" s="250"/>
      <c r="NUM176" s="250"/>
      <c r="NUN176" s="250"/>
      <c r="NUO176" s="250"/>
      <c r="NUP176" s="250"/>
      <c r="NUQ176" s="250"/>
      <c r="NUR176" s="250"/>
      <c r="NUS176" s="250"/>
      <c r="NUT176" s="250"/>
      <c r="NUU176" s="250"/>
      <c r="NUV176" s="250"/>
      <c r="NUW176" s="250"/>
      <c r="NUX176" s="250"/>
      <c r="NUY176" s="250"/>
      <c r="NUZ176" s="250"/>
      <c r="NVA176" s="250"/>
      <c r="NVB176" s="250"/>
      <c r="NVC176" s="250"/>
      <c r="NVD176" s="250"/>
      <c r="NVE176" s="250"/>
      <c r="NVF176" s="250"/>
      <c r="NVG176" s="250"/>
      <c r="NVH176" s="250"/>
      <c r="NVI176" s="250"/>
      <c r="NVJ176" s="250"/>
      <c r="NVK176" s="250"/>
      <c r="NVL176" s="250"/>
      <c r="NVM176" s="250"/>
      <c r="NVN176" s="250"/>
      <c r="NVO176" s="250"/>
      <c r="NVP176" s="250"/>
      <c r="NVQ176" s="250"/>
      <c r="NVR176" s="250"/>
      <c r="NVS176" s="250"/>
      <c r="NVT176" s="250"/>
      <c r="NVU176" s="250"/>
      <c r="NVV176" s="250"/>
      <c r="NVW176" s="250"/>
      <c r="NVX176" s="250"/>
      <c r="NVY176" s="250"/>
      <c r="NVZ176" s="250"/>
      <c r="NWA176" s="250"/>
      <c r="NWB176" s="250"/>
      <c r="NWC176" s="250"/>
      <c r="NWD176" s="250"/>
      <c r="NWE176" s="250"/>
      <c r="NWF176" s="250"/>
      <c r="NWG176" s="250"/>
      <c r="NWH176" s="250"/>
      <c r="NWI176" s="250"/>
      <c r="NWJ176" s="250"/>
      <c r="NWK176" s="250"/>
      <c r="NWL176" s="250"/>
      <c r="NWM176" s="250"/>
      <c r="NWN176" s="250"/>
      <c r="NWO176" s="250"/>
      <c r="NWP176" s="250"/>
      <c r="NWQ176" s="250"/>
      <c r="NWR176" s="250"/>
      <c r="NWS176" s="250"/>
      <c r="NWT176" s="250"/>
      <c r="NWU176" s="250"/>
      <c r="NWV176" s="250"/>
      <c r="NWW176" s="250"/>
      <c r="NWX176" s="250"/>
      <c r="NWY176" s="250"/>
      <c r="NWZ176" s="250"/>
      <c r="NXA176" s="250"/>
      <c r="NXB176" s="250"/>
      <c r="NXC176" s="250"/>
      <c r="NXD176" s="250"/>
      <c r="NXE176" s="250"/>
      <c r="NXF176" s="250"/>
      <c r="NXG176" s="250"/>
      <c r="NXH176" s="250"/>
      <c r="NXI176" s="250"/>
      <c r="NXJ176" s="250"/>
      <c r="NXK176" s="250"/>
      <c r="NXL176" s="250"/>
      <c r="NXM176" s="250"/>
      <c r="NXN176" s="250"/>
      <c r="NXO176" s="250"/>
      <c r="NXP176" s="250"/>
      <c r="NXQ176" s="250"/>
      <c r="NXR176" s="250"/>
      <c r="NXS176" s="250"/>
      <c r="NXT176" s="250"/>
      <c r="NXU176" s="250"/>
      <c r="NXV176" s="250"/>
      <c r="NXW176" s="250"/>
      <c r="NXX176" s="250"/>
      <c r="NXY176" s="250"/>
      <c r="NXZ176" s="250"/>
      <c r="NYA176" s="250"/>
      <c r="NYB176" s="250"/>
      <c r="NYC176" s="250"/>
      <c r="NYD176" s="250"/>
      <c r="NYE176" s="250"/>
      <c r="NYF176" s="250"/>
      <c r="NYG176" s="250"/>
      <c r="NYH176" s="250"/>
      <c r="NYI176" s="250"/>
      <c r="NYJ176" s="250"/>
      <c r="NYK176" s="250"/>
      <c r="NYL176" s="250"/>
      <c r="NYM176" s="250"/>
      <c r="NYN176" s="250"/>
      <c r="NYO176" s="250"/>
      <c r="NYP176" s="250"/>
      <c r="NYQ176" s="250"/>
      <c r="NYR176" s="250"/>
      <c r="NYS176" s="250"/>
      <c r="NYT176" s="250"/>
      <c r="NYU176" s="250"/>
      <c r="NYV176" s="250"/>
      <c r="NYW176" s="250"/>
      <c r="NYX176" s="250"/>
      <c r="NYY176" s="250"/>
      <c r="NYZ176" s="250"/>
      <c r="NZA176" s="250"/>
      <c r="NZB176" s="250"/>
      <c r="NZC176" s="250"/>
      <c r="NZD176" s="250"/>
      <c r="NZE176" s="250"/>
      <c r="NZF176" s="250"/>
      <c r="NZG176" s="250"/>
      <c r="NZH176" s="250"/>
      <c r="NZI176" s="250"/>
      <c r="NZJ176" s="250"/>
      <c r="NZK176" s="250"/>
      <c r="NZL176" s="250"/>
      <c r="NZM176" s="250"/>
      <c r="NZN176" s="250"/>
      <c r="NZO176" s="250"/>
      <c r="NZP176" s="250"/>
      <c r="NZQ176" s="250"/>
      <c r="NZR176" s="250"/>
      <c r="NZS176" s="250"/>
      <c r="NZT176" s="250"/>
      <c r="NZU176" s="250"/>
      <c r="NZV176" s="250"/>
      <c r="NZW176" s="250"/>
      <c r="NZX176" s="250"/>
      <c r="NZY176" s="250"/>
      <c r="NZZ176" s="250"/>
      <c r="OAA176" s="250"/>
      <c r="OAB176" s="250"/>
      <c r="OAC176" s="250"/>
      <c r="OAD176" s="250"/>
      <c r="OAE176" s="250"/>
      <c r="OAF176" s="250"/>
      <c r="OAG176" s="250"/>
      <c r="OAH176" s="250"/>
      <c r="OAI176" s="250"/>
      <c r="OAJ176" s="250"/>
      <c r="OAK176" s="250"/>
      <c r="OAL176" s="250"/>
      <c r="OAM176" s="250"/>
      <c r="OAN176" s="250"/>
      <c r="OAO176" s="250"/>
      <c r="OAP176" s="250"/>
      <c r="OAQ176" s="250"/>
      <c r="OAR176" s="250"/>
      <c r="OAS176" s="250"/>
      <c r="OAT176" s="250"/>
      <c r="OAU176" s="250"/>
      <c r="OAV176" s="250"/>
      <c r="OAW176" s="250"/>
      <c r="OAX176" s="250"/>
      <c r="OAY176" s="250"/>
      <c r="OAZ176" s="250"/>
      <c r="OBA176" s="250"/>
      <c r="OBB176" s="250"/>
      <c r="OBC176" s="250"/>
      <c r="OBD176" s="250"/>
      <c r="OBE176" s="250"/>
      <c r="OBF176" s="250"/>
      <c r="OBG176" s="250"/>
      <c r="OBH176" s="250"/>
      <c r="OBI176" s="250"/>
      <c r="OBJ176" s="250"/>
      <c r="OBK176" s="250"/>
      <c r="OBL176" s="250"/>
      <c r="OBM176" s="250"/>
      <c r="OBN176" s="250"/>
      <c r="OBO176" s="250"/>
      <c r="OBP176" s="250"/>
      <c r="OBQ176" s="250"/>
      <c r="OBR176" s="250"/>
      <c r="OBS176" s="250"/>
      <c r="OBT176" s="250"/>
      <c r="OBU176" s="250"/>
      <c r="OBV176" s="250"/>
      <c r="OBW176" s="250"/>
      <c r="OBX176" s="250"/>
      <c r="OBY176" s="250"/>
      <c r="OBZ176" s="250"/>
      <c r="OCA176" s="250"/>
      <c r="OCB176" s="250"/>
      <c r="OCC176" s="250"/>
      <c r="OCD176" s="250"/>
      <c r="OCE176" s="250"/>
      <c r="OCF176" s="250"/>
      <c r="OCG176" s="250"/>
      <c r="OCH176" s="250"/>
      <c r="OCI176" s="250"/>
      <c r="OCJ176" s="250"/>
      <c r="OCK176" s="250"/>
      <c r="OCL176" s="250"/>
      <c r="OCM176" s="250"/>
      <c r="OCN176" s="250"/>
      <c r="OCO176" s="250"/>
      <c r="OCP176" s="250"/>
      <c r="OCQ176" s="250"/>
      <c r="OCR176" s="250"/>
      <c r="OCS176" s="250"/>
      <c r="OCT176" s="250"/>
      <c r="OCU176" s="250"/>
      <c r="OCV176" s="250"/>
      <c r="OCW176" s="250"/>
      <c r="OCX176" s="250"/>
      <c r="OCY176" s="250"/>
      <c r="OCZ176" s="250"/>
      <c r="ODA176" s="250"/>
      <c r="ODB176" s="250"/>
      <c r="ODC176" s="250"/>
      <c r="ODD176" s="250"/>
      <c r="ODE176" s="250"/>
      <c r="ODF176" s="250"/>
      <c r="ODG176" s="250"/>
      <c r="ODH176" s="250"/>
      <c r="ODI176" s="250"/>
      <c r="ODJ176" s="250"/>
      <c r="ODK176" s="250"/>
      <c r="ODL176" s="250"/>
      <c r="ODM176" s="250"/>
      <c r="ODN176" s="250"/>
      <c r="ODO176" s="250"/>
      <c r="ODP176" s="250"/>
      <c r="ODQ176" s="250"/>
      <c r="ODR176" s="250"/>
      <c r="ODS176" s="250"/>
      <c r="ODT176" s="250"/>
      <c r="ODU176" s="250"/>
      <c r="ODV176" s="250"/>
      <c r="ODW176" s="250"/>
      <c r="ODX176" s="250"/>
      <c r="ODY176" s="250"/>
      <c r="ODZ176" s="250"/>
      <c r="OEA176" s="250"/>
      <c r="OEB176" s="250"/>
      <c r="OEC176" s="250"/>
      <c r="OED176" s="250"/>
      <c r="OEE176" s="250"/>
      <c r="OEF176" s="250"/>
      <c r="OEG176" s="250"/>
      <c r="OEH176" s="250"/>
      <c r="OEI176" s="250"/>
      <c r="OEJ176" s="250"/>
      <c r="OEK176" s="250"/>
      <c r="OEL176" s="250"/>
      <c r="OEM176" s="250"/>
      <c r="OEN176" s="250"/>
      <c r="OEO176" s="250"/>
      <c r="OEP176" s="250"/>
      <c r="OEQ176" s="250"/>
      <c r="OER176" s="250"/>
      <c r="OES176" s="250"/>
      <c r="OET176" s="250"/>
      <c r="OEU176" s="250"/>
      <c r="OEV176" s="250"/>
      <c r="OEW176" s="250"/>
      <c r="OEX176" s="250"/>
      <c r="OEY176" s="250"/>
      <c r="OEZ176" s="250"/>
      <c r="OFA176" s="250"/>
      <c r="OFB176" s="250"/>
      <c r="OFC176" s="250"/>
      <c r="OFD176" s="250"/>
      <c r="OFE176" s="250"/>
      <c r="OFF176" s="250"/>
      <c r="OFG176" s="250"/>
      <c r="OFH176" s="250"/>
      <c r="OFI176" s="250"/>
      <c r="OFJ176" s="250"/>
      <c r="OFK176" s="250"/>
      <c r="OFL176" s="250"/>
      <c r="OFM176" s="250"/>
      <c r="OFN176" s="250"/>
      <c r="OFO176" s="250"/>
      <c r="OFP176" s="250"/>
      <c r="OFQ176" s="250"/>
      <c r="OFR176" s="250"/>
      <c r="OFS176" s="250"/>
      <c r="OFT176" s="250"/>
      <c r="OFU176" s="250"/>
      <c r="OFV176" s="250"/>
      <c r="OFW176" s="250"/>
      <c r="OFX176" s="250"/>
      <c r="OFY176" s="250"/>
      <c r="OFZ176" s="250"/>
      <c r="OGA176" s="250"/>
      <c r="OGB176" s="250"/>
      <c r="OGC176" s="250"/>
      <c r="OGD176" s="250"/>
      <c r="OGE176" s="250"/>
      <c r="OGF176" s="250"/>
      <c r="OGG176" s="250"/>
      <c r="OGH176" s="250"/>
      <c r="OGI176" s="250"/>
      <c r="OGJ176" s="250"/>
      <c r="OGK176" s="250"/>
      <c r="OGL176" s="250"/>
      <c r="OGM176" s="250"/>
      <c r="OGN176" s="250"/>
      <c r="OGO176" s="250"/>
      <c r="OGP176" s="250"/>
      <c r="OGQ176" s="250"/>
      <c r="OGR176" s="250"/>
      <c r="OGS176" s="250"/>
      <c r="OGT176" s="250"/>
      <c r="OGU176" s="250"/>
      <c r="OGV176" s="250"/>
      <c r="OGW176" s="250"/>
      <c r="OGX176" s="250"/>
      <c r="OGY176" s="250"/>
      <c r="OGZ176" s="250"/>
      <c r="OHA176" s="250"/>
      <c r="OHB176" s="250"/>
      <c r="OHC176" s="250"/>
      <c r="OHD176" s="250"/>
      <c r="OHE176" s="250"/>
      <c r="OHF176" s="250"/>
      <c r="OHG176" s="250"/>
      <c r="OHH176" s="250"/>
      <c r="OHI176" s="250"/>
      <c r="OHJ176" s="250"/>
      <c r="OHK176" s="250"/>
      <c r="OHL176" s="250"/>
      <c r="OHM176" s="250"/>
      <c r="OHN176" s="250"/>
      <c r="OHO176" s="250"/>
      <c r="OHP176" s="250"/>
      <c r="OHQ176" s="250"/>
      <c r="OHR176" s="250"/>
      <c r="OHS176" s="250"/>
      <c r="OHT176" s="250"/>
      <c r="OHU176" s="250"/>
      <c r="OHV176" s="250"/>
      <c r="OHW176" s="250"/>
      <c r="OHX176" s="250"/>
      <c r="OHY176" s="250"/>
      <c r="OHZ176" s="250"/>
      <c r="OIA176" s="250"/>
      <c r="OIB176" s="250"/>
      <c r="OIC176" s="250"/>
      <c r="OID176" s="250"/>
      <c r="OIE176" s="250"/>
      <c r="OIF176" s="250"/>
      <c r="OIG176" s="250"/>
      <c r="OIH176" s="250"/>
      <c r="OII176" s="250"/>
      <c r="OIJ176" s="250"/>
      <c r="OIK176" s="250"/>
      <c r="OIL176" s="250"/>
      <c r="OIM176" s="250"/>
      <c r="OIN176" s="250"/>
      <c r="OIO176" s="250"/>
      <c r="OIP176" s="250"/>
      <c r="OIQ176" s="250"/>
      <c r="OIR176" s="250"/>
      <c r="OIS176" s="250"/>
      <c r="OIT176" s="250"/>
      <c r="OIU176" s="250"/>
      <c r="OIV176" s="250"/>
      <c r="OIW176" s="250"/>
      <c r="OIX176" s="250"/>
      <c r="OIY176" s="250"/>
      <c r="OIZ176" s="250"/>
      <c r="OJA176" s="250"/>
      <c r="OJB176" s="250"/>
      <c r="OJC176" s="250"/>
      <c r="OJD176" s="250"/>
      <c r="OJE176" s="250"/>
      <c r="OJF176" s="250"/>
      <c r="OJG176" s="250"/>
      <c r="OJH176" s="250"/>
      <c r="OJI176" s="250"/>
      <c r="OJJ176" s="250"/>
      <c r="OJK176" s="250"/>
      <c r="OJL176" s="250"/>
      <c r="OJM176" s="250"/>
      <c r="OJN176" s="250"/>
      <c r="OJO176" s="250"/>
      <c r="OJP176" s="250"/>
      <c r="OJQ176" s="250"/>
      <c r="OJR176" s="250"/>
      <c r="OJS176" s="250"/>
      <c r="OJT176" s="250"/>
      <c r="OJU176" s="250"/>
      <c r="OJV176" s="250"/>
      <c r="OJW176" s="250"/>
      <c r="OJX176" s="250"/>
      <c r="OJY176" s="250"/>
      <c r="OJZ176" s="250"/>
      <c r="OKA176" s="250"/>
      <c r="OKB176" s="250"/>
      <c r="OKC176" s="250"/>
      <c r="OKD176" s="250"/>
      <c r="OKE176" s="250"/>
      <c r="OKF176" s="250"/>
      <c r="OKG176" s="250"/>
      <c r="OKH176" s="250"/>
      <c r="OKI176" s="250"/>
      <c r="OKJ176" s="250"/>
      <c r="OKK176" s="250"/>
      <c r="OKL176" s="250"/>
      <c r="OKM176" s="250"/>
      <c r="OKN176" s="250"/>
      <c r="OKO176" s="250"/>
      <c r="OKP176" s="250"/>
      <c r="OKQ176" s="250"/>
      <c r="OKR176" s="250"/>
      <c r="OKS176" s="250"/>
      <c r="OKT176" s="250"/>
      <c r="OKU176" s="250"/>
      <c r="OKV176" s="250"/>
      <c r="OKW176" s="250"/>
      <c r="OKX176" s="250"/>
      <c r="OKY176" s="250"/>
      <c r="OKZ176" s="250"/>
      <c r="OLA176" s="250"/>
      <c r="OLB176" s="250"/>
      <c r="OLC176" s="250"/>
      <c r="OLD176" s="250"/>
      <c r="OLE176" s="250"/>
      <c r="OLF176" s="250"/>
      <c r="OLG176" s="250"/>
      <c r="OLH176" s="250"/>
      <c r="OLI176" s="250"/>
      <c r="OLJ176" s="250"/>
      <c r="OLK176" s="250"/>
      <c r="OLL176" s="250"/>
      <c r="OLM176" s="250"/>
      <c r="OLN176" s="250"/>
      <c r="OLO176" s="250"/>
      <c r="OLP176" s="250"/>
      <c r="OLQ176" s="250"/>
      <c r="OLR176" s="250"/>
      <c r="OLS176" s="250"/>
      <c r="OLT176" s="250"/>
      <c r="OLU176" s="250"/>
      <c r="OLV176" s="250"/>
      <c r="OLW176" s="250"/>
      <c r="OLX176" s="250"/>
      <c r="OLY176" s="250"/>
      <c r="OLZ176" s="250"/>
      <c r="OMA176" s="250"/>
      <c r="OMB176" s="250"/>
      <c r="OMC176" s="250"/>
      <c r="OMD176" s="250"/>
      <c r="OME176" s="250"/>
      <c r="OMF176" s="250"/>
      <c r="OMG176" s="250"/>
      <c r="OMH176" s="250"/>
      <c r="OMI176" s="250"/>
      <c r="OMJ176" s="250"/>
      <c r="OMK176" s="250"/>
      <c r="OML176" s="250"/>
      <c r="OMM176" s="250"/>
      <c r="OMN176" s="250"/>
      <c r="OMO176" s="250"/>
      <c r="OMP176" s="250"/>
      <c r="OMQ176" s="250"/>
      <c r="OMR176" s="250"/>
      <c r="OMS176" s="250"/>
      <c r="OMT176" s="250"/>
      <c r="OMU176" s="250"/>
      <c r="OMV176" s="250"/>
      <c r="OMW176" s="250"/>
      <c r="OMX176" s="250"/>
      <c r="OMY176" s="250"/>
      <c r="OMZ176" s="250"/>
      <c r="ONA176" s="250"/>
      <c r="ONB176" s="250"/>
      <c r="ONC176" s="250"/>
      <c r="OND176" s="250"/>
      <c r="ONE176" s="250"/>
      <c r="ONF176" s="250"/>
      <c r="ONG176" s="250"/>
      <c r="ONH176" s="250"/>
      <c r="ONI176" s="250"/>
      <c r="ONJ176" s="250"/>
      <c r="ONK176" s="250"/>
      <c r="ONL176" s="250"/>
      <c r="ONM176" s="250"/>
      <c r="ONN176" s="250"/>
      <c r="ONO176" s="250"/>
      <c r="ONP176" s="250"/>
      <c r="ONQ176" s="250"/>
      <c r="ONR176" s="250"/>
      <c r="ONS176" s="250"/>
      <c r="ONT176" s="250"/>
      <c r="ONU176" s="250"/>
      <c r="ONV176" s="250"/>
      <c r="ONW176" s="250"/>
      <c r="ONX176" s="250"/>
      <c r="ONY176" s="250"/>
      <c r="ONZ176" s="250"/>
      <c r="OOA176" s="250"/>
      <c r="OOB176" s="250"/>
      <c r="OOC176" s="250"/>
      <c r="OOD176" s="250"/>
      <c r="OOE176" s="250"/>
      <c r="OOF176" s="250"/>
      <c r="OOG176" s="250"/>
      <c r="OOH176" s="250"/>
      <c r="OOI176" s="250"/>
      <c r="OOJ176" s="250"/>
      <c r="OOK176" s="250"/>
      <c r="OOL176" s="250"/>
      <c r="OOM176" s="250"/>
      <c r="OON176" s="250"/>
      <c r="OOO176" s="250"/>
      <c r="OOP176" s="250"/>
      <c r="OOQ176" s="250"/>
      <c r="OOR176" s="250"/>
      <c r="OOS176" s="250"/>
      <c r="OOT176" s="250"/>
      <c r="OOU176" s="250"/>
      <c r="OOV176" s="250"/>
      <c r="OOW176" s="250"/>
      <c r="OOX176" s="250"/>
      <c r="OOY176" s="250"/>
      <c r="OOZ176" s="250"/>
      <c r="OPA176" s="250"/>
      <c r="OPB176" s="250"/>
      <c r="OPC176" s="250"/>
      <c r="OPD176" s="250"/>
      <c r="OPE176" s="250"/>
      <c r="OPF176" s="250"/>
      <c r="OPG176" s="250"/>
      <c r="OPH176" s="250"/>
      <c r="OPI176" s="250"/>
      <c r="OPJ176" s="250"/>
      <c r="OPK176" s="250"/>
      <c r="OPL176" s="250"/>
      <c r="OPM176" s="250"/>
      <c r="OPN176" s="250"/>
      <c r="OPO176" s="250"/>
      <c r="OPP176" s="250"/>
      <c r="OPQ176" s="250"/>
      <c r="OPR176" s="250"/>
      <c r="OPS176" s="250"/>
      <c r="OPT176" s="250"/>
      <c r="OPU176" s="250"/>
      <c r="OPV176" s="250"/>
      <c r="OPW176" s="250"/>
      <c r="OPX176" s="250"/>
      <c r="OPY176" s="250"/>
      <c r="OPZ176" s="250"/>
      <c r="OQA176" s="250"/>
      <c r="OQB176" s="250"/>
      <c r="OQC176" s="250"/>
      <c r="OQD176" s="250"/>
      <c r="OQE176" s="250"/>
      <c r="OQF176" s="250"/>
      <c r="OQG176" s="250"/>
      <c r="OQH176" s="250"/>
      <c r="OQI176" s="250"/>
      <c r="OQJ176" s="250"/>
      <c r="OQK176" s="250"/>
      <c r="OQL176" s="250"/>
      <c r="OQM176" s="250"/>
      <c r="OQN176" s="250"/>
      <c r="OQO176" s="250"/>
      <c r="OQP176" s="250"/>
      <c r="OQQ176" s="250"/>
      <c r="OQR176" s="250"/>
      <c r="OQS176" s="250"/>
      <c r="OQT176" s="250"/>
      <c r="OQU176" s="250"/>
      <c r="OQV176" s="250"/>
      <c r="OQW176" s="250"/>
      <c r="OQX176" s="250"/>
      <c r="OQY176" s="250"/>
      <c r="OQZ176" s="250"/>
      <c r="ORA176" s="250"/>
      <c r="ORB176" s="250"/>
      <c r="ORC176" s="250"/>
      <c r="ORD176" s="250"/>
      <c r="ORE176" s="250"/>
      <c r="ORF176" s="250"/>
      <c r="ORG176" s="250"/>
      <c r="ORH176" s="250"/>
      <c r="ORI176" s="250"/>
      <c r="ORJ176" s="250"/>
      <c r="ORK176" s="250"/>
      <c r="ORL176" s="250"/>
      <c r="ORM176" s="250"/>
      <c r="ORN176" s="250"/>
      <c r="ORO176" s="250"/>
      <c r="ORP176" s="250"/>
      <c r="ORQ176" s="250"/>
      <c r="ORR176" s="250"/>
      <c r="ORS176" s="250"/>
      <c r="ORT176" s="250"/>
      <c r="ORU176" s="250"/>
      <c r="ORV176" s="250"/>
      <c r="ORW176" s="250"/>
      <c r="ORX176" s="250"/>
      <c r="ORY176" s="250"/>
      <c r="ORZ176" s="250"/>
      <c r="OSA176" s="250"/>
      <c r="OSB176" s="250"/>
      <c r="OSC176" s="250"/>
      <c r="OSD176" s="250"/>
      <c r="OSE176" s="250"/>
      <c r="OSF176" s="250"/>
      <c r="OSG176" s="250"/>
      <c r="OSH176" s="250"/>
      <c r="OSI176" s="250"/>
      <c r="OSJ176" s="250"/>
      <c r="OSK176" s="250"/>
      <c r="OSL176" s="250"/>
      <c r="OSM176" s="250"/>
      <c r="OSN176" s="250"/>
      <c r="OSO176" s="250"/>
      <c r="OSP176" s="250"/>
      <c r="OSQ176" s="250"/>
      <c r="OSR176" s="250"/>
      <c r="OSS176" s="250"/>
      <c r="OST176" s="250"/>
      <c r="OSU176" s="250"/>
      <c r="OSV176" s="250"/>
      <c r="OSW176" s="250"/>
      <c r="OSX176" s="250"/>
      <c r="OSY176" s="250"/>
      <c r="OSZ176" s="250"/>
      <c r="OTA176" s="250"/>
      <c r="OTB176" s="250"/>
      <c r="OTC176" s="250"/>
      <c r="OTD176" s="250"/>
      <c r="OTE176" s="250"/>
      <c r="OTF176" s="250"/>
      <c r="OTG176" s="250"/>
      <c r="OTH176" s="250"/>
      <c r="OTI176" s="250"/>
      <c r="OTJ176" s="250"/>
      <c r="OTK176" s="250"/>
      <c r="OTL176" s="250"/>
      <c r="OTM176" s="250"/>
      <c r="OTN176" s="250"/>
      <c r="OTO176" s="250"/>
      <c r="OTP176" s="250"/>
      <c r="OTQ176" s="250"/>
      <c r="OTR176" s="250"/>
      <c r="OTS176" s="250"/>
      <c r="OTT176" s="250"/>
      <c r="OTU176" s="250"/>
      <c r="OTV176" s="250"/>
      <c r="OTW176" s="250"/>
      <c r="OTX176" s="250"/>
      <c r="OTY176" s="250"/>
      <c r="OTZ176" s="250"/>
      <c r="OUA176" s="250"/>
      <c r="OUB176" s="250"/>
      <c r="OUC176" s="250"/>
      <c r="OUD176" s="250"/>
      <c r="OUE176" s="250"/>
      <c r="OUF176" s="250"/>
      <c r="OUG176" s="250"/>
      <c r="OUH176" s="250"/>
      <c r="OUI176" s="250"/>
      <c r="OUJ176" s="250"/>
      <c r="OUK176" s="250"/>
      <c r="OUL176" s="250"/>
      <c r="OUM176" s="250"/>
      <c r="OUN176" s="250"/>
      <c r="OUO176" s="250"/>
      <c r="OUP176" s="250"/>
      <c r="OUQ176" s="250"/>
      <c r="OUR176" s="250"/>
      <c r="OUS176" s="250"/>
      <c r="OUT176" s="250"/>
      <c r="OUU176" s="250"/>
      <c r="OUV176" s="250"/>
      <c r="OUW176" s="250"/>
      <c r="OUX176" s="250"/>
      <c r="OUY176" s="250"/>
      <c r="OUZ176" s="250"/>
      <c r="OVA176" s="250"/>
      <c r="OVB176" s="250"/>
      <c r="OVC176" s="250"/>
      <c r="OVD176" s="250"/>
      <c r="OVE176" s="250"/>
      <c r="OVF176" s="250"/>
      <c r="OVG176" s="250"/>
      <c r="OVH176" s="250"/>
      <c r="OVI176" s="250"/>
      <c r="OVJ176" s="250"/>
      <c r="OVK176" s="250"/>
      <c r="OVL176" s="250"/>
      <c r="OVM176" s="250"/>
      <c r="OVN176" s="250"/>
      <c r="OVO176" s="250"/>
      <c r="OVP176" s="250"/>
      <c r="OVQ176" s="250"/>
      <c r="OVR176" s="250"/>
      <c r="OVS176" s="250"/>
      <c r="OVT176" s="250"/>
      <c r="OVU176" s="250"/>
      <c r="OVV176" s="250"/>
      <c r="OVW176" s="250"/>
      <c r="OVX176" s="250"/>
      <c r="OVY176" s="250"/>
      <c r="OVZ176" s="250"/>
      <c r="OWA176" s="250"/>
      <c r="OWB176" s="250"/>
      <c r="OWC176" s="250"/>
      <c r="OWD176" s="250"/>
      <c r="OWE176" s="250"/>
      <c r="OWF176" s="250"/>
      <c r="OWG176" s="250"/>
      <c r="OWH176" s="250"/>
      <c r="OWI176" s="250"/>
      <c r="OWJ176" s="250"/>
      <c r="OWK176" s="250"/>
      <c r="OWL176" s="250"/>
      <c r="OWM176" s="250"/>
      <c r="OWN176" s="250"/>
      <c r="OWO176" s="250"/>
      <c r="OWP176" s="250"/>
      <c r="OWQ176" s="250"/>
      <c r="OWR176" s="250"/>
      <c r="OWS176" s="250"/>
      <c r="OWT176" s="250"/>
      <c r="OWU176" s="250"/>
      <c r="OWV176" s="250"/>
      <c r="OWW176" s="250"/>
      <c r="OWX176" s="250"/>
      <c r="OWY176" s="250"/>
      <c r="OWZ176" s="250"/>
      <c r="OXA176" s="250"/>
      <c r="OXB176" s="250"/>
      <c r="OXC176" s="250"/>
      <c r="OXD176" s="250"/>
      <c r="OXE176" s="250"/>
      <c r="OXF176" s="250"/>
      <c r="OXG176" s="250"/>
      <c r="OXH176" s="250"/>
      <c r="OXI176" s="250"/>
      <c r="OXJ176" s="250"/>
      <c r="OXK176" s="250"/>
      <c r="OXL176" s="250"/>
      <c r="OXM176" s="250"/>
      <c r="OXN176" s="250"/>
      <c r="OXO176" s="250"/>
      <c r="OXP176" s="250"/>
      <c r="OXQ176" s="250"/>
      <c r="OXR176" s="250"/>
      <c r="OXS176" s="250"/>
      <c r="OXT176" s="250"/>
      <c r="OXU176" s="250"/>
      <c r="OXV176" s="250"/>
      <c r="OXW176" s="250"/>
      <c r="OXX176" s="250"/>
      <c r="OXY176" s="250"/>
      <c r="OXZ176" s="250"/>
      <c r="OYA176" s="250"/>
      <c r="OYB176" s="250"/>
      <c r="OYC176" s="250"/>
      <c r="OYD176" s="250"/>
      <c r="OYE176" s="250"/>
      <c r="OYF176" s="250"/>
      <c r="OYG176" s="250"/>
      <c r="OYH176" s="250"/>
      <c r="OYI176" s="250"/>
      <c r="OYJ176" s="250"/>
      <c r="OYK176" s="250"/>
      <c r="OYL176" s="250"/>
      <c r="OYM176" s="250"/>
      <c r="OYN176" s="250"/>
      <c r="OYO176" s="250"/>
      <c r="OYP176" s="250"/>
      <c r="OYQ176" s="250"/>
      <c r="OYR176" s="250"/>
      <c r="OYS176" s="250"/>
      <c r="OYT176" s="250"/>
      <c r="OYU176" s="250"/>
      <c r="OYV176" s="250"/>
      <c r="OYW176" s="250"/>
      <c r="OYX176" s="250"/>
      <c r="OYY176" s="250"/>
      <c r="OYZ176" s="250"/>
      <c r="OZA176" s="250"/>
      <c r="OZB176" s="250"/>
      <c r="OZC176" s="250"/>
      <c r="OZD176" s="250"/>
      <c r="OZE176" s="250"/>
      <c r="OZF176" s="250"/>
      <c r="OZG176" s="250"/>
      <c r="OZH176" s="250"/>
      <c r="OZI176" s="250"/>
      <c r="OZJ176" s="250"/>
      <c r="OZK176" s="250"/>
      <c r="OZL176" s="250"/>
      <c r="OZM176" s="250"/>
      <c r="OZN176" s="250"/>
      <c r="OZO176" s="250"/>
      <c r="OZP176" s="250"/>
      <c r="OZQ176" s="250"/>
      <c r="OZR176" s="250"/>
      <c r="OZS176" s="250"/>
      <c r="OZT176" s="250"/>
      <c r="OZU176" s="250"/>
      <c r="OZV176" s="250"/>
      <c r="OZW176" s="250"/>
      <c r="OZX176" s="250"/>
      <c r="OZY176" s="250"/>
      <c r="OZZ176" s="250"/>
      <c r="PAA176" s="250"/>
      <c r="PAB176" s="250"/>
      <c r="PAC176" s="250"/>
      <c r="PAD176" s="250"/>
      <c r="PAE176" s="250"/>
      <c r="PAF176" s="250"/>
      <c r="PAG176" s="250"/>
      <c r="PAH176" s="250"/>
      <c r="PAI176" s="250"/>
      <c r="PAJ176" s="250"/>
      <c r="PAK176" s="250"/>
      <c r="PAL176" s="250"/>
      <c r="PAM176" s="250"/>
      <c r="PAN176" s="250"/>
      <c r="PAO176" s="250"/>
      <c r="PAP176" s="250"/>
      <c r="PAQ176" s="250"/>
      <c r="PAR176" s="250"/>
      <c r="PAS176" s="250"/>
      <c r="PAT176" s="250"/>
      <c r="PAU176" s="250"/>
      <c r="PAV176" s="250"/>
      <c r="PAW176" s="250"/>
      <c r="PAX176" s="250"/>
      <c r="PAY176" s="250"/>
      <c r="PAZ176" s="250"/>
      <c r="PBA176" s="250"/>
      <c r="PBB176" s="250"/>
      <c r="PBC176" s="250"/>
      <c r="PBD176" s="250"/>
      <c r="PBE176" s="250"/>
      <c r="PBF176" s="250"/>
      <c r="PBG176" s="250"/>
      <c r="PBH176" s="250"/>
      <c r="PBI176" s="250"/>
      <c r="PBJ176" s="250"/>
      <c r="PBK176" s="250"/>
      <c r="PBL176" s="250"/>
      <c r="PBM176" s="250"/>
      <c r="PBN176" s="250"/>
      <c r="PBO176" s="250"/>
      <c r="PBP176" s="250"/>
      <c r="PBQ176" s="250"/>
      <c r="PBR176" s="250"/>
      <c r="PBS176" s="250"/>
      <c r="PBT176" s="250"/>
      <c r="PBU176" s="250"/>
      <c r="PBV176" s="250"/>
      <c r="PBW176" s="250"/>
      <c r="PBX176" s="250"/>
      <c r="PBY176" s="250"/>
      <c r="PBZ176" s="250"/>
      <c r="PCA176" s="250"/>
      <c r="PCB176" s="250"/>
      <c r="PCC176" s="250"/>
      <c r="PCD176" s="250"/>
      <c r="PCE176" s="250"/>
      <c r="PCF176" s="250"/>
      <c r="PCG176" s="250"/>
      <c r="PCH176" s="250"/>
      <c r="PCI176" s="250"/>
      <c r="PCJ176" s="250"/>
      <c r="PCK176" s="250"/>
      <c r="PCL176" s="250"/>
      <c r="PCM176" s="250"/>
      <c r="PCN176" s="250"/>
      <c r="PCO176" s="250"/>
      <c r="PCP176" s="250"/>
      <c r="PCQ176" s="250"/>
      <c r="PCR176" s="250"/>
      <c r="PCS176" s="250"/>
      <c r="PCT176" s="250"/>
      <c r="PCU176" s="250"/>
      <c r="PCV176" s="250"/>
      <c r="PCW176" s="250"/>
      <c r="PCX176" s="250"/>
      <c r="PCY176" s="250"/>
      <c r="PCZ176" s="250"/>
      <c r="PDA176" s="250"/>
      <c r="PDB176" s="250"/>
      <c r="PDC176" s="250"/>
      <c r="PDD176" s="250"/>
      <c r="PDE176" s="250"/>
      <c r="PDF176" s="250"/>
      <c r="PDG176" s="250"/>
      <c r="PDH176" s="250"/>
      <c r="PDI176" s="250"/>
      <c r="PDJ176" s="250"/>
      <c r="PDK176" s="250"/>
      <c r="PDL176" s="250"/>
      <c r="PDM176" s="250"/>
      <c r="PDN176" s="250"/>
      <c r="PDO176" s="250"/>
      <c r="PDP176" s="250"/>
      <c r="PDQ176" s="250"/>
      <c r="PDR176" s="250"/>
      <c r="PDS176" s="250"/>
      <c r="PDT176" s="250"/>
      <c r="PDU176" s="250"/>
      <c r="PDV176" s="250"/>
      <c r="PDW176" s="250"/>
      <c r="PDX176" s="250"/>
      <c r="PDY176" s="250"/>
      <c r="PDZ176" s="250"/>
      <c r="PEA176" s="250"/>
      <c r="PEB176" s="250"/>
      <c r="PEC176" s="250"/>
      <c r="PED176" s="250"/>
      <c r="PEE176" s="250"/>
      <c r="PEF176" s="250"/>
      <c r="PEG176" s="250"/>
      <c r="PEH176" s="250"/>
      <c r="PEI176" s="250"/>
      <c r="PEJ176" s="250"/>
      <c r="PEK176" s="250"/>
      <c r="PEL176" s="250"/>
      <c r="PEM176" s="250"/>
      <c r="PEN176" s="250"/>
      <c r="PEO176" s="250"/>
      <c r="PEP176" s="250"/>
      <c r="PEQ176" s="250"/>
      <c r="PER176" s="250"/>
      <c r="PES176" s="250"/>
      <c r="PET176" s="250"/>
      <c r="PEU176" s="250"/>
      <c r="PEV176" s="250"/>
      <c r="PEW176" s="250"/>
      <c r="PEX176" s="250"/>
      <c r="PEY176" s="250"/>
      <c r="PEZ176" s="250"/>
      <c r="PFA176" s="250"/>
      <c r="PFB176" s="250"/>
      <c r="PFC176" s="250"/>
      <c r="PFD176" s="250"/>
      <c r="PFE176" s="250"/>
      <c r="PFF176" s="250"/>
      <c r="PFG176" s="250"/>
      <c r="PFH176" s="250"/>
      <c r="PFI176" s="250"/>
      <c r="PFJ176" s="250"/>
      <c r="PFK176" s="250"/>
      <c r="PFL176" s="250"/>
      <c r="PFM176" s="250"/>
      <c r="PFN176" s="250"/>
      <c r="PFO176" s="250"/>
      <c r="PFP176" s="250"/>
      <c r="PFQ176" s="250"/>
      <c r="PFR176" s="250"/>
      <c r="PFS176" s="250"/>
      <c r="PFT176" s="250"/>
      <c r="PFU176" s="250"/>
      <c r="PFV176" s="250"/>
      <c r="PFW176" s="250"/>
      <c r="PFX176" s="250"/>
      <c r="PFY176" s="250"/>
      <c r="PFZ176" s="250"/>
      <c r="PGA176" s="250"/>
      <c r="PGB176" s="250"/>
      <c r="PGC176" s="250"/>
      <c r="PGD176" s="250"/>
      <c r="PGE176" s="250"/>
      <c r="PGF176" s="250"/>
      <c r="PGG176" s="250"/>
      <c r="PGH176" s="250"/>
      <c r="PGI176" s="250"/>
      <c r="PGJ176" s="250"/>
      <c r="PGK176" s="250"/>
      <c r="PGL176" s="250"/>
      <c r="PGM176" s="250"/>
      <c r="PGN176" s="250"/>
      <c r="PGO176" s="250"/>
      <c r="PGP176" s="250"/>
      <c r="PGQ176" s="250"/>
      <c r="PGR176" s="250"/>
      <c r="PGS176" s="250"/>
      <c r="PGT176" s="250"/>
      <c r="PGU176" s="250"/>
      <c r="PGV176" s="250"/>
      <c r="PGW176" s="250"/>
      <c r="PGX176" s="250"/>
      <c r="PGY176" s="250"/>
      <c r="PGZ176" s="250"/>
      <c r="PHA176" s="250"/>
      <c r="PHB176" s="250"/>
      <c r="PHC176" s="250"/>
      <c r="PHD176" s="250"/>
      <c r="PHE176" s="250"/>
      <c r="PHF176" s="250"/>
      <c r="PHG176" s="250"/>
      <c r="PHH176" s="250"/>
      <c r="PHI176" s="250"/>
      <c r="PHJ176" s="250"/>
      <c r="PHK176" s="250"/>
      <c r="PHL176" s="250"/>
      <c r="PHM176" s="250"/>
      <c r="PHN176" s="250"/>
      <c r="PHO176" s="250"/>
      <c r="PHP176" s="250"/>
      <c r="PHQ176" s="250"/>
      <c r="PHR176" s="250"/>
      <c r="PHS176" s="250"/>
      <c r="PHT176" s="250"/>
      <c r="PHU176" s="250"/>
      <c r="PHV176" s="250"/>
      <c r="PHW176" s="250"/>
      <c r="PHX176" s="250"/>
      <c r="PHY176" s="250"/>
      <c r="PHZ176" s="250"/>
      <c r="PIA176" s="250"/>
      <c r="PIB176" s="250"/>
      <c r="PIC176" s="250"/>
      <c r="PID176" s="250"/>
      <c r="PIE176" s="250"/>
      <c r="PIF176" s="250"/>
      <c r="PIG176" s="250"/>
      <c r="PIH176" s="250"/>
      <c r="PII176" s="250"/>
      <c r="PIJ176" s="250"/>
      <c r="PIK176" s="250"/>
      <c r="PIL176" s="250"/>
      <c r="PIM176" s="250"/>
      <c r="PIN176" s="250"/>
      <c r="PIO176" s="250"/>
      <c r="PIP176" s="250"/>
      <c r="PIQ176" s="250"/>
      <c r="PIR176" s="250"/>
      <c r="PIS176" s="250"/>
      <c r="PIT176" s="250"/>
      <c r="PIU176" s="250"/>
      <c r="PIV176" s="250"/>
      <c r="PIW176" s="250"/>
      <c r="PIX176" s="250"/>
      <c r="PIY176" s="250"/>
      <c r="PIZ176" s="250"/>
      <c r="PJA176" s="250"/>
      <c r="PJB176" s="250"/>
      <c r="PJC176" s="250"/>
      <c r="PJD176" s="250"/>
      <c r="PJE176" s="250"/>
      <c r="PJF176" s="250"/>
      <c r="PJG176" s="250"/>
      <c r="PJH176" s="250"/>
      <c r="PJI176" s="250"/>
      <c r="PJJ176" s="250"/>
      <c r="PJK176" s="250"/>
      <c r="PJL176" s="250"/>
      <c r="PJM176" s="250"/>
      <c r="PJN176" s="250"/>
      <c r="PJO176" s="250"/>
      <c r="PJP176" s="250"/>
      <c r="PJQ176" s="250"/>
      <c r="PJR176" s="250"/>
      <c r="PJS176" s="250"/>
      <c r="PJT176" s="250"/>
      <c r="PJU176" s="250"/>
      <c r="PJV176" s="250"/>
      <c r="PJW176" s="250"/>
      <c r="PJX176" s="250"/>
      <c r="PJY176" s="250"/>
      <c r="PJZ176" s="250"/>
      <c r="PKA176" s="250"/>
      <c r="PKB176" s="250"/>
      <c r="PKC176" s="250"/>
      <c r="PKD176" s="250"/>
      <c r="PKE176" s="250"/>
      <c r="PKF176" s="250"/>
      <c r="PKG176" s="250"/>
      <c r="PKH176" s="250"/>
      <c r="PKI176" s="250"/>
      <c r="PKJ176" s="250"/>
      <c r="PKK176" s="250"/>
      <c r="PKL176" s="250"/>
      <c r="PKM176" s="250"/>
      <c r="PKN176" s="250"/>
      <c r="PKO176" s="250"/>
      <c r="PKP176" s="250"/>
      <c r="PKQ176" s="250"/>
      <c r="PKR176" s="250"/>
      <c r="PKS176" s="250"/>
      <c r="PKT176" s="250"/>
      <c r="PKU176" s="250"/>
      <c r="PKV176" s="250"/>
      <c r="PKW176" s="250"/>
      <c r="PKX176" s="250"/>
      <c r="PKY176" s="250"/>
      <c r="PKZ176" s="250"/>
      <c r="PLA176" s="250"/>
      <c r="PLB176" s="250"/>
      <c r="PLC176" s="250"/>
      <c r="PLD176" s="250"/>
      <c r="PLE176" s="250"/>
      <c r="PLF176" s="250"/>
      <c r="PLG176" s="250"/>
      <c r="PLH176" s="250"/>
      <c r="PLI176" s="250"/>
      <c r="PLJ176" s="250"/>
      <c r="PLK176" s="250"/>
      <c r="PLL176" s="250"/>
      <c r="PLM176" s="250"/>
      <c r="PLN176" s="250"/>
      <c r="PLO176" s="250"/>
      <c r="PLP176" s="250"/>
      <c r="PLQ176" s="250"/>
      <c r="PLR176" s="250"/>
      <c r="PLS176" s="250"/>
      <c r="PLT176" s="250"/>
      <c r="PLU176" s="250"/>
      <c r="PLV176" s="250"/>
      <c r="PLW176" s="250"/>
      <c r="PLX176" s="250"/>
      <c r="PLY176" s="250"/>
      <c r="PLZ176" s="250"/>
      <c r="PMA176" s="250"/>
      <c r="PMB176" s="250"/>
      <c r="PMC176" s="250"/>
      <c r="PMD176" s="250"/>
      <c r="PME176" s="250"/>
      <c r="PMF176" s="250"/>
      <c r="PMG176" s="250"/>
      <c r="PMH176" s="250"/>
      <c r="PMI176" s="250"/>
      <c r="PMJ176" s="250"/>
      <c r="PMK176" s="250"/>
      <c r="PML176" s="250"/>
      <c r="PMM176" s="250"/>
      <c r="PMN176" s="250"/>
      <c r="PMO176" s="250"/>
      <c r="PMP176" s="250"/>
      <c r="PMQ176" s="250"/>
      <c r="PMR176" s="250"/>
      <c r="PMS176" s="250"/>
      <c r="PMT176" s="250"/>
      <c r="PMU176" s="250"/>
      <c r="PMV176" s="250"/>
      <c r="PMW176" s="250"/>
      <c r="PMX176" s="250"/>
      <c r="PMY176" s="250"/>
      <c r="PMZ176" s="250"/>
      <c r="PNA176" s="250"/>
      <c r="PNB176" s="250"/>
      <c r="PNC176" s="250"/>
      <c r="PND176" s="250"/>
      <c r="PNE176" s="250"/>
      <c r="PNF176" s="250"/>
      <c r="PNG176" s="250"/>
      <c r="PNH176" s="250"/>
      <c r="PNI176" s="250"/>
      <c r="PNJ176" s="250"/>
      <c r="PNK176" s="250"/>
      <c r="PNL176" s="250"/>
      <c r="PNM176" s="250"/>
      <c r="PNN176" s="250"/>
      <c r="PNO176" s="250"/>
      <c r="PNP176" s="250"/>
      <c r="PNQ176" s="250"/>
      <c r="PNR176" s="250"/>
      <c r="PNS176" s="250"/>
      <c r="PNT176" s="250"/>
      <c r="PNU176" s="250"/>
      <c r="PNV176" s="250"/>
      <c r="PNW176" s="250"/>
      <c r="PNX176" s="250"/>
      <c r="PNY176" s="250"/>
      <c r="PNZ176" s="250"/>
      <c r="POA176" s="250"/>
      <c r="POB176" s="250"/>
      <c r="POC176" s="250"/>
      <c r="POD176" s="250"/>
      <c r="POE176" s="250"/>
      <c r="POF176" s="250"/>
      <c r="POG176" s="250"/>
      <c r="POH176" s="250"/>
      <c r="POI176" s="250"/>
      <c r="POJ176" s="250"/>
      <c r="POK176" s="250"/>
      <c r="POL176" s="250"/>
      <c r="POM176" s="250"/>
      <c r="PON176" s="250"/>
      <c r="POO176" s="250"/>
      <c r="POP176" s="250"/>
      <c r="POQ176" s="250"/>
      <c r="POR176" s="250"/>
      <c r="POS176" s="250"/>
      <c r="POT176" s="250"/>
      <c r="POU176" s="250"/>
      <c r="POV176" s="250"/>
      <c r="POW176" s="250"/>
      <c r="POX176" s="250"/>
      <c r="POY176" s="250"/>
      <c r="POZ176" s="250"/>
      <c r="PPA176" s="250"/>
      <c r="PPB176" s="250"/>
      <c r="PPC176" s="250"/>
      <c r="PPD176" s="250"/>
      <c r="PPE176" s="250"/>
      <c r="PPF176" s="250"/>
      <c r="PPG176" s="250"/>
      <c r="PPH176" s="250"/>
      <c r="PPI176" s="250"/>
      <c r="PPJ176" s="250"/>
      <c r="PPK176" s="250"/>
      <c r="PPL176" s="250"/>
      <c r="PPM176" s="250"/>
      <c r="PPN176" s="250"/>
      <c r="PPO176" s="250"/>
      <c r="PPP176" s="250"/>
      <c r="PPQ176" s="250"/>
      <c r="PPR176" s="250"/>
      <c r="PPS176" s="250"/>
      <c r="PPT176" s="250"/>
      <c r="PPU176" s="250"/>
      <c r="PPV176" s="250"/>
      <c r="PPW176" s="250"/>
      <c r="PPX176" s="250"/>
      <c r="PPY176" s="250"/>
      <c r="PPZ176" s="250"/>
      <c r="PQA176" s="250"/>
      <c r="PQB176" s="250"/>
      <c r="PQC176" s="250"/>
      <c r="PQD176" s="250"/>
      <c r="PQE176" s="250"/>
      <c r="PQF176" s="250"/>
      <c r="PQG176" s="250"/>
      <c r="PQH176" s="250"/>
      <c r="PQI176" s="250"/>
      <c r="PQJ176" s="250"/>
      <c r="PQK176" s="250"/>
      <c r="PQL176" s="250"/>
      <c r="PQM176" s="250"/>
      <c r="PQN176" s="250"/>
      <c r="PQO176" s="250"/>
      <c r="PQP176" s="250"/>
      <c r="PQQ176" s="250"/>
      <c r="PQR176" s="250"/>
      <c r="PQS176" s="250"/>
      <c r="PQT176" s="250"/>
      <c r="PQU176" s="250"/>
      <c r="PQV176" s="250"/>
      <c r="PQW176" s="250"/>
      <c r="PQX176" s="250"/>
      <c r="PQY176" s="250"/>
      <c r="PQZ176" s="250"/>
      <c r="PRA176" s="250"/>
      <c r="PRB176" s="250"/>
      <c r="PRC176" s="250"/>
      <c r="PRD176" s="250"/>
      <c r="PRE176" s="250"/>
      <c r="PRF176" s="250"/>
      <c r="PRG176" s="250"/>
      <c r="PRH176" s="250"/>
      <c r="PRI176" s="250"/>
      <c r="PRJ176" s="250"/>
      <c r="PRK176" s="250"/>
      <c r="PRL176" s="250"/>
      <c r="PRM176" s="250"/>
      <c r="PRN176" s="250"/>
      <c r="PRO176" s="250"/>
      <c r="PRP176" s="250"/>
      <c r="PRQ176" s="250"/>
      <c r="PRR176" s="250"/>
      <c r="PRS176" s="250"/>
      <c r="PRT176" s="250"/>
      <c r="PRU176" s="250"/>
      <c r="PRV176" s="250"/>
      <c r="PRW176" s="250"/>
      <c r="PRX176" s="250"/>
      <c r="PRY176" s="250"/>
      <c r="PRZ176" s="250"/>
      <c r="PSA176" s="250"/>
      <c r="PSB176" s="250"/>
      <c r="PSC176" s="250"/>
      <c r="PSD176" s="250"/>
      <c r="PSE176" s="250"/>
      <c r="PSF176" s="250"/>
      <c r="PSG176" s="250"/>
      <c r="PSH176" s="250"/>
      <c r="PSI176" s="250"/>
      <c r="PSJ176" s="250"/>
      <c r="PSK176" s="250"/>
      <c r="PSL176" s="250"/>
      <c r="PSM176" s="250"/>
      <c r="PSN176" s="250"/>
      <c r="PSO176" s="250"/>
      <c r="PSP176" s="250"/>
      <c r="PSQ176" s="250"/>
      <c r="PSR176" s="250"/>
      <c r="PSS176" s="250"/>
      <c r="PST176" s="250"/>
      <c r="PSU176" s="250"/>
      <c r="PSV176" s="250"/>
      <c r="PSW176" s="250"/>
      <c r="PSX176" s="250"/>
      <c r="PSY176" s="250"/>
      <c r="PSZ176" s="250"/>
      <c r="PTA176" s="250"/>
      <c r="PTB176" s="250"/>
      <c r="PTC176" s="250"/>
      <c r="PTD176" s="250"/>
      <c r="PTE176" s="250"/>
      <c r="PTF176" s="250"/>
      <c r="PTG176" s="250"/>
      <c r="PTH176" s="250"/>
      <c r="PTI176" s="250"/>
      <c r="PTJ176" s="250"/>
      <c r="PTK176" s="250"/>
      <c r="PTL176" s="250"/>
      <c r="PTM176" s="250"/>
      <c r="PTN176" s="250"/>
      <c r="PTO176" s="250"/>
      <c r="PTP176" s="250"/>
      <c r="PTQ176" s="250"/>
      <c r="PTR176" s="250"/>
      <c r="PTS176" s="250"/>
      <c r="PTT176" s="250"/>
      <c r="PTU176" s="250"/>
      <c r="PTV176" s="250"/>
      <c r="PTW176" s="250"/>
      <c r="PTX176" s="250"/>
      <c r="PTY176" s="250"/>
      <c r="PTZ176" s="250"/>
      <c r="PUA176" s="250"/>
      <c r="PUB176" s="250"/>
      <c r="PUC176" s="250"/>
      <c r="PUD176" s="250"/>
      <c r="PUE176" s="250"/>
      <c r="PUF176" s="250"/>
      <c r="PUG176" s="250"/>
      <c r="PUH176" s="250"/>
      <c r="PUI176" s="250"/>
      <c r="PUJ176" s="250"/>
      <c r="PUK176" s="250"/>
      <c r="PUL176" s="250"/>
      <c r="PUM176" s="250"/>
      <c r="PUN176" s="250"/>
      <c r="PUO176" s="250"/>
      <c r="PUP176" s="250"/>
      <c r="PUQ176" s="250"/>
      <c r="PUR176" s="250"/>
      <c r="PUS176" s="250"/>
      <c r="PUT176" s="250"/>
      <c r="PUU176" s="250"/>
      <c r="PUV176" s="250"/>
      <c r="PUW176" s="250"/>
      <c r="PUX176" s="250"/>
      <c r="PUY176" s="250"/>
      <c r="PUZ176" s="250"/>
      <c r="PVA176" s="250"/>
      <c r="PVB176" s="250"/>
      <c r="PVC176" s="250"/>
      <c r="PVD176" s="250"/>
      <c r="PVE176" s="250"/>
      <c r="PVF176" s="250"/>
      <c r="PVG176" s="250"/>
      <c r="PVH176" s="250"/>
      <c r="PVI176" s="250"/>
      <c r="PVJ176" s="250"/>
      <c r="PVK176" s="250"/>
      <c r="PVL176" s="250"/>
      <c r="PVM176" s="250"/>
      <c r="PVN176" s="250"/>
      <c r="PVO176" s="250"/>
      <c r="PVP176" s="250"/>
      <c r="PVQ176" s="250"/>
      <c r="PVR176" s="250"/>
      <c r="PVS176" s="250"/>
      <c r="PVT176" s="250"/>
      <c r="PVU176" s="250"/>
      <c r="PVV176" s="250"/>
      <c r="PVW176" s="250"/>
      <c r="PVX176" s="250"/>
      <c r="PVY176" s="250"/>
      <c r="PVZ176" s="250"/>
      <c r="PWA176" s="250"/>
      <c r="PWB176" s="250"/>
      <c r="PWC176" s="250"/>
      <c r="PWD176" s="250"/>
      <c r="PWE176" s="250"/>
      <c r="PWF176" s="250"/>
      <c r="PWG176" s="250"/>
      <c r="PWH176" s="250"/>
      <c r="PWI176" s="250"/>
      <c r="PWJ176" s="250"/>
      <c r="PWK176" s="250"/>
      <c r="PWL176" s="250"/>
      <c r="PWM176" s="250"/>
      <c r="PWN176" s="250"/>
      <c r="PWO176" s="250"/>
      <c r="PWP176" s="250"/>
      <c r="PWQ176" s="250"/>
      <c r="PWR176" s="250"/>
      <c r="PWS176" s="250"/>
      <c r="PWT176" s="250"/>
      <c r="PWU176" s="250"/>
      <c r="PWV176" s="250"/>
      <c r="PWW176" s="250"/>
      <c r="PWX176" s="250"/>
      <c r="PWY176" s="250"/>
      <c r="PWZ176" s="250"/>
      <c r="PXA176" s="250"/>
      <c r="PXB176" s="250"/>
      <c r="PXC176" s="250"/>
      <c r="PXD176" s="250"/>
      <c r="PXE176" s="250"/>
      <c r="PXF176" s="250"/>
      <c r="PXG176" s="250"/>
      <c r="PXH176" s="250"/>
      <c r="PXI176" s="250"/>
      <c r="PXJ176" s="250"/>
      <c r="PXK176" s="250"/>
      <c r="PXL176" s="250"/>
      <c r="PXM176" s="250"/>
      <c r="PXN176" s="250"/>
      <c r="PXO176" s="250"/>
      <c r="PXP176" s="250"/>
      <c r="PXQ176" s="250"/>
      <c r="PXR176" s="250"/>
      <c r="PXS176" s="250"/>
      <c r="PXT176" s="250"/>
      <c r="PXU176" s="250"/>
      <c r="PXV176" s="250"/>
      <c r="PXW176" s="250"/>
      <c r="PXX176" s="250"/>
      <c r="PXY176" s="250"/>
      <c r="PXZ176" s="250"/>
      <c r="PYA176" s="250"/>
      <c r="PYB176" s="250"/>
      <c r="PYC176" s="250"/>
      <c r="PYD176" s="250"/>
      <c r="PYE176" s="250"/>
      <c r="PYF176" s="250"/>
      <c r="PYG176" s="250"/>
      <c r="PYH176" s="250"/>
      <c r="PYI176" s="250"/>
      <c r="PYJ176" s="250"/>
      <c r="PYK176" s="250"/>
      <c r="PYL176" s="250"/>
      <c r="PYM176" s="250"/>
      <c r="PYN176" s="250"/>
      <c r="PYO176" s="250"/>
      <c r="PYP176" s="250"/>
      <c r="PYQ176" s="250"/>
      <c r="PYR176" s="250"/>
      <c r="PYS176" s="250"/>
      <c r="PYT176" s="250"/>
      <c r="PYU176" s="250"/>
      <c r="PYV176" s="250"/>
      <c r="PYW176" s="250"/>
      <c r="PYX176" s="250"/>
      <c r="PYY176" s="250"/>
      <c r="PYZ176" s="250"/>
      <c r="PZA176" s="250"/>
      <c r="PZB176" s="250"/>
      <c r="PZC176" s="250"/>
      <c r="PZD176" s="250"/>
      <c r="PZE176" s="250"/>
      <c r="PZF176" s="250"/>
      <c r="PZG176" s="250"/>
      <c r="PZH176" s="250"/>
      <c r="PZI176" s="250"/>
      <c r="PZJ176" s="250"/>
      <c r="PZK176" s="250"/>
      <c r="PZL176" s="250"/>
      <c r="PZM176" s="250"/>
      <c r="PZN176" s="250"/>
      <c r="PZO176" s="250"/>
      <c r="PZP176" s="250"/>
      <c r="PZQ176" s="250"/>
      <c r="PZR176" s="250"/>
      <c r="PZS176" s="250"/>
      <c r="PZT176" s="250"/>
      <c r="PZU176" s="250"/>
      <c r="PZV176" s="250"/>
      <c r="PZW176" s="250"/>
      <c r="PZX176" s="250"/>
      <c r="PZY176" s="250"/>
      <c r="PZZ176" s="250"/>
      <c r="QAA176" s="250"/>
      <c r="QAB176" s="250"/>
      <c r="QAC176" s="250"/>
      <c r="QAD176" s="250"/>
      <c r="QAE176" s="250"/>
      <c r="QAF176" s="250"/>
      <c r="QAG176" s="250"/>
      <c r="QAH176" s="250"/>
      <c r="QAI176" s="250"/>
      <c r="QAJ176" s="250"/>
      <c r="QAK176" s="250"/>
      <c r="QAL176" s="250"/>
      <c r="QAM176" s="250"/>
      <c r="QAN176" s="250"/>
      <c r="QAO176" s="250"/>
      <c r="QAP176" s="250"/>
      <c r="QAQ176" s="250"/>
      <c r="QAR176" s="250"/>
      <c r="QAS176" s="250"/>
      <c r="QAT176" s="250"/>
      <c r="QAU176" s="250"/>
      <c r="QAV176" s="250"/>
      <c r="QAW176" s="250"/>
      <c r="QAX176" s="250"/>
      <c r="QAY176" s="250"/>
      <c r="QAZ176" s="250"/>
      <c r="QBA176" s="250"/>
      <c r="QBB176" s="250"/>
      <c r="QBC176" s="250"/>
      <c r="QBD176" s="250"/>
      <c r="QBE176" s="250"/>
      <c r="QBF176" s="250"/>
      <c r="QBG176" s="250"/>
      <c r="QBH176" s="250"/>
      <c r="QBI176" s="250"/>
      <c r="QBJ176" s="250"/>
      <c r="QBK176" s="250"/>
      <c r="QBL176" s="250"/>
      <c r="QBM176" s="250"/>
      <c r="QBN176" s="250"/>
      <c r="QBO176" s="250"/>
      <c r="QBP176" s="250"/>
      <c r="QBQ176" s="250"/>
      <c r="QBR176" s="250"/>
      <c r="QBS176" s="250"/>
      <c r="QBT176" s="250"/>
      <c r="QBU176" s="250"/>
      <c r="QBV176" s="250"/>
      <c r="QBW176" s="250"/>
      <c r="QBX176" s="250"/>
      <c r="QBY176" s="250"/>
      <c r="QBZ176" s="250"/>
      <c r="QCA176" s="250"/>
      <c r="QCB176" s="250"/>
      <c r="QCC176" s="250"/>
      <c r="QCD176" s="250"/>
      <c r="QCE176" s="250"/>
      <c r="QCF176" s="250"/>
      <c r="QCG176" s="250"/>
      <c r="QCH176" s="250"/>
      <c r="QCI176" s="250"/>
      <c r="QCJ176" s="250"/>
      <c r="QCK176" s="250"/>
      <c r="QCL176" s="250"/>
      <c r="QCM176" s="250"/>
      <c r="QCN176" s="250"/>
      <c r="QCO176" s="250"/>
      <c r="QCP176" s="250"/>
      <c r="QCQ176" s="250"/>
      <c r="QCR176" s="250"/>
      <c r="QCS176" s="250"/>
      <c r="QCT176" s="250"/>
      <c r="QCU176" s="250"/>
      <c r="QCV176" s="250"/>
      <c r="QCW176" s="250"/>
      <c r="QCX176" s="250"/>
      <c r="QCY176" s="250"/>
      <c r="QCZ176" s="250"/>
      <c r="QDA176" s="250"/>
      <c r="QDB176" s="250"/>
      <c r="QDC176" s="250"/>
      <c r="QDD176" s="250"/>
      <c r="QDE176" s="250"/>
      <c r="QDF176" s="250"/>
      <c r="QDG176" s="250"/>
      <c r="QDH176" s="250"/>
      <c r="QDI176" s="250"/>
      <c r="QDJ176" s="250"/>
      <c r="QDK176" s="250"/>
      <c r="QDL176" s="250"/>
      <c r="QDM176" s="250"/>
      <c r="QDN176" s="250"/>
      <c r="QDO176" s="250"/>
      <c r="QDP176" s="250"/>
      <c r="QDQ176" s="250"/>
      <c r="QDR176" s="250"/>
      <c r="QDS176" s="250"/>
      <c r="QDT176" s="250"/>
      <c r="QDU176" s="250"/>
      <c r="QDV176" s="250"/>
      <c r="QDW176" s="250"/>
      <c r="QDX176" s="250"/>
      <c r="QDY176" s="250"/>
      <c r="QDZ176" s="250"/>
      <c r="QEA176" s="250"/>
      <c r="QEB176" s="250"/>
      <c r="QEC176" s="250"/>
      <c r="QED176" s="250"/>
      <c r="QEE176" s="250"/>
      <c r="QEF176" s="250"/>
      <c r="QEG176" s="250"/>
      <c r="QEH176" s="250"/>
      <c r="QEI176" s="250"/>
      <c r="QEJ176" s="250"/>
      <c r="QEK176" s="250"/>
      <c r="QEL176" s="250"/>
      <c r="QEM176" s="250"/>
      <c r="QEN176" s="250"/>
      <c r="QEO176" s="250"/>
      <c r="QEP176" s="250"/>
      <c r="QEQ176" s="250"/>
      <c r="QER176" s="250"/>
      <c r="QES176" s="250"/>
      <c r="QET176" s="250"/>
      <c r="QEU176" s="250"/>
      <c r="QEV176" s="250"/>
      <c r="QEW176" s="250"/>
      <c r="QEX176" s="250"/>
      <c r="QEY176" s="250"/>
      <c r="QEZ176" s="250"/>
      <c r="QFA176" s="250"/>
      <c r="QFB176" s="250"/>
      <c r="QFC176" s="250"/>
      <c r="QFD176" s="250"/>
      <c r="QFE176" s="250"/>
      <c r="QFF176" s="250"/>
      <c r="QFG176" s="250"/>
      <c r="QFH176" s="250"/>
      <c r="QFI176" s="250"/>
      <c r="QFJ176" s="250"/>
      <c r="QFK176" s="250"/>
      <c r="QFL176" s="250"/>
      <c r="QFM176" s="250"/>
      <c r="QFN176" s="250"/>
      <c r="QFO176" s="250"/>
      <c r="QFP176" s="250"/>
      <c r="QFQ176" s="250"/>
      <c r="QFR176" s="250"/>
      <c r="QFS176" s="250"/>
      <c r="QFT176" s="250"/>
      <c r="QFU176" s="250"/>
      <c r="QFV176" s="250"/>
      <c r="QFW176" s="250"/>
      <c r="QFX176" s="250"/>
      <c r="QFY176" s="250"/>
      <c r="QFZ176" s="250"/>
      <c r="QGA176" s="250"/>
      <c r="QGB176" s="250"/>
      <c r="QGC176" s="250"/>
      <c r="QGD176" s="250"/>
      <c r="QGE176" s="250"/>
      <c r="QGF176" s="250"/>
      <c r="QGG176" s="250"/>
      <c r="QGH176" s="250"/>
      <c r="QGI176" s="250"/>
      <c r="QGJ176" s="250"/>
      <c r="QGK176" s="250"/>
      <c r="QGL176" s="250"/>
      <c r="QGM176" s="250"/>
      <c r="QGN176" s="250"/>
      <c r="QGO176" s="250"/>
      <c r="QGP176" s="250"/>
      <c r="QGQ176" s="250"/>
      <c r="QGR176" s="250"/>
      <c r="QGS176" s="250"/>
      <c r="QGT176" s="250"/>
      <c r="QGU176" s="250"/>
      <c r="QGV176" s="250"/>
      <c r="QGW176" s="250"/>
      <c r="QGX176" s="250"/>
      <c r="QGY176" s="250"/>
      <c r="QGZ176" s="250"/>
      <c r="QHA176" s="250"/>
      <c r="QHB176" s="250"/>
      <c r="QHC176" s="250"/>
      <c r="QHD176" s="250"/>
      <c r="QHE176" s="250"/>
      <c r="QHF176" s="250"/>
      <c r="QHG176" s="250"/>
      <c r="QHH176" s="250"/>
      <c r="QHI176" s="250"/>
      <c r="QHJ176" s="250"/>
      <c r="QHK176" s="250"/>
      <c r="QHL176" s="250"/>
      <c r="QHM176" s="250"/>
      <c r="QHN176" s="250"/>
      <c r="QHO176" s="250"/>
      <c r="QHP176" s="250"/>
      <c r="QHQ176" s="250"/>
      <c r="QHR176" s="250"/>
      <c r="QHS176" s="250"/>
      <c r="QHT176" s="250"/>
      <c r="QHU176" s="250"/>
      <c r="QHV176" s="250"/>
      <c r="QHW176" s="250"/>
      <c r="QHX176" s="250"/>
      <c r="QHY176" s="250"/>
      <c r="QHZ176" s="250"/>
      <c r="QIA176" s="250"/>
      <c r="QIB176" s="250"/>
      <c r="QIC176" s="250"/>
      <c r="QID176" s="250"/>
      <c r="QIE176" s="250"/>
      <c r="QIF176" s="250"/>
      <c r="QIG176" s="250"/>
      <c r="QIH176" s="250"/>
      <c r="QII176" s="250"/>
      <c r="QIJ176" s="250"/>
      <c r="QIK176" s="250"/>
      <c r="QIL176" s="250"/>
      <c r="QIM176" s="250"/>
      <c r="QIN176" s="250"/>
      <c r="QIO176" s="250"/>
      <c r="QIP176" s="250"/>
      <c r="QIQ176" s="250"/>
      <c r="QIR176" s="250"/>
      <c r="QIS176" s="250"/>
      <c r="QIT176" s="250"/>
      <c r="QIU176" s="250"/>
      <c r="QIV176" s="250"/>
      <c r="QIW176" s="250"/>
      <c r="QIX176" s="250"/>
      <c r="QIY176" s="250"/>
      <c r="QIZ176" s="250"/>
      <c r="QJA176" s="250"/>
      <c r="QJB176" s="250"/>
      <c r="QJC176" s="250"/>
      <c r="QJD176" s="250"/>
      <c r="QJE176" s="250"/>
      <c r="QJF176" s="250"/>
      <c r="QJG176" s="250"/>
      <c r="QJH176" s="250"/>
      <c r="QJI176" s="250"/>
      <c r="QJJ176" s="250"/>
      <c r="QJK176" s="250"/>
      <c r="QJL176" s="250"/>
      <c r="QJM176" s="250"/>
      <c r="QJN176" s="250"/>
      <c r="QJO176" s="250"/>
      <c r="QJP176" s="250"/>
      <c r="QJQ176" s="250"/>
      <c r="QJR176" s="250"/>
      <c r="QJS176" s="250"/>
      <c r="QJT176" s="250"/>
      <c r="QJU176" s="250"/>
      <c r="QJV176" s="250"/>
      <c r="QJW176" s="250"/>
      <c r="QJX176" s="250"/>
      <c r="QJY176" s="250"/>
      <c r="QJZ176" s="250"/>
      <c r="QKA176" s="250"/>
      <c r="QKB176" s="250"/>
      <c r="QKC176" s="250"/>
      <c r="QKD176" s="250"/>
      <c r="QKE176" s="250"/>
      <c r="QKF176" s="250"/>
      <c r="QKG176" s="250"/>
      <c r="QKH176" s="250"/>
      <c r="QKI176" s="250"/>
      <c r="QKJ176" s="250"/>
      <c r="QKK176" s="250"/>
      <c r="QKL176" s="250"/>
      <c r="QKM176" s="250"/>
      <c r="QKN176" s="250"/>
      <c r="QKO176" s="250"/>
      <c r="QKP176" s="250"/>
      <c r="QKQ176" s="250"/>
      <c r="QKR176" s="250"/>
      <c r="QKS176" s="250"/>
      <c r="QKT176" s="250"/>
      <c r="QKU176" s="250"/>
      <c r="QKV176" s="250"/>
      <c r="QKW176" s="250"/>
      <c r="QKX176" s="250"/>
      <c r="QKY176" s="250"/>
      <c r="QKZ176" s="250"/>
      <c r="QLA176" s="250"/>
      <c r="QLB176" s="250"/>
      <c r="QLC176" s="250"/>
      <c r="QLD176" s="250"/>
      <c r="QLE176" s="250"/>
      <c r="QLF176" s="250"/>
      <c r="QLG176" s="250"/>
      <c r="QLH176" s="250"/>
      <c r="QLI176" s="250"/>
      <c r="QLJ176" s="250"/>
      <c r="QLK176" s="250"/>
      <c r="QLL176" s="250"/>
      <c r="QLM176" s="250"/>
      <c r="QLN176" s="250"/>
      <c r="QLO176" s="250"/>
      <c r="QLP176" s="250"/>
      <c r="QLQ176" s="250"/>
      <c r="QLR176" s="250"/>
      <c r="QLS176" s="250"/>
      <c r="QLT176" s="250"/>
      <c r="QLU176" s="250"/>
      <c r="QLV176" s="250"/>
      <c r="QLW176" s="250"/>
      <c r="QLX176" s="250"/>
      <c r="QLY176" s="250"/>
      <c r="QLZ176" s="250"/>
      <c r="QMA176" s="250"/>
      <c r="QMB176" s="250"/>
      <c r="QMC176" s="250"/>
      <c r="QMD176" s="250"/>
      <c r="QME176" s="250"/>
      <c r="QMF176" s="250"/>
      <c r="QMG176" s="250"/>
      <c r="QMH176" s="250"/>
      <c r="QMI176" s="250"/>
      <c r="QMJ176" s="250"/>
      <c r="QMK176" s="250"/>
      <c r="QML176" s="250"/>
      <c r="QMM176" s="250"/>
      <c r="QMN176" s="250"/>
      <c r="QMO176" s="250"/>
      <c r="QMP176" s="250"/>
      <c r="QMQ176" s="250"/>
      <c r="QMR176" s="250"/>
      <c r="QMS176" s="250"/>
      <c r="QMT176" s="250"/>
      <c r="QMU176" s="250"/>
      <c r="QMV176" s="250"/>
      <c r="QMW176" s="250"/>
      <c r="QMX176" s="250"/>
      <c r="QMY176" s="250"/>
      <c r="QMZ176" s="250"/>
      <c r="QNA176" s="250"/>
      <c r="QNB176" s="250"/>
      <c r="QNC176" s="250"/>
      <c r="QND176" s="250"/>
      <c r="QNE176" s="250"/>
      <c r="QNF176" s="250"/>
      <c r="QNG176" s="250"/>
      <c r="QNH176" s="250"/>
      <c r="QNI176" s="250"/>
      <c r="QNJ176" s="250"/>
      <c r="QNK176" s="250"/>
      <c r="QNL176" s="250"/>
      <c r="QNM176" s="250"/>
      <c r="QNN176" s="250"/>
      <c r="QNO176" s="250"/>
      <c r="QNP176" s="250"/>
      <c r="QNQ176" s="250"/>
      <c r="QNR176" s="250"/>
      <c r="QNS176" s="250"/>
      <c r="QNT176" s="250"/>
      <c r="QNU176" s="250"/>
      <c r="QNV176" s="250"/>
      <c r="QNW176" s="250"/>
      <c r="QNX176" s="250"/>
      <c r="QNY176" s="250"/>
      <c r="QNZ176" s="250"/>
      <c r="QOA176" s="250"/>
      <c r="QOB176" s="250"/>
      <c r="QOC176" s="250"/>
      <c r="QOD176" s="250"/>
      <c r="QOE176" s="250"/>
      <c r="QOF176" s="250"/>
      <c r="QOG176" s="250"/>
      <c r="QOH176" s="250"/>
      <c r="QOI176" s="250"/>
      <c r="QOJ176" s="250"/>
      <c r="QOK176" s="250"/>
      <c r="QOL176" s="250"/>
      <c r="QOM176" s="250"/>
      <c r="QON176" s="250"/>
      <c r="QOO176" s="250"/>
      <c r="QOP176" s="250"/>
      <c r="QOQ176" s="250"/>
      <c r="QOR176" s="250"/>
      <c r="QOS176" s="250"/>
      <c r="QOT176" s="250"/>
      <c r="QOU176" s="250"/>
      <c r="QOV176" s="250"/>
      <c r="QOW176" s="250"/>
      <c r="QOX176" s="250"/>
      <c r="QOY176" s="250"/>
      <c r="QOZ176" s="250"/>
      <c r="QPA176" s="250"/>
      <c r="QPB176" s="250"/>
      <c r="QPC176" s="250"/>
      <c r="QPD176" s="250"/>
      <c r="QPE176" s="250"/>
      <c r="QPF176" s="250"/>
      <c r="QPG176" s="250"/>
      <c r="QPH176" s="250"/>
      <c r="QPI176" s="250"/>
      <c r="QPJ176" s="250"/>
      <c r="QPK176" s="250"/>
      <c r="QPL176" s="250"/>
      <c r="QPM176" s="250"/>
      <c r="QPN176" s="250"/>
      <c r="QPO176" s="250"/>
      <c r="QPP176" s="250"/>
      <c r="QPQ176" s="250"/>
      <c r="QPR176" s="250"/>
      <c r="QPS176" s="250"/>
      <c r="QPT176" s="250"/>
      <c r="QPU176" s="250"/>
      <c r="QPV176" s="250"/>
      <c r="QPW176" s="250"/>
      <c r="QPX176" s="250"/>
      <c r="QPY176" s="250"/>
      <c r="QPZ176" s="250"/>
      <c r="QQA176" s="250"/>
      <c r="QQB176" s="250"/>
      <c r="QQC176" s="250"/>
      <c r="QQD176" s="250"/>
      <c r="QQE176" s="250"/>
      <c r="QQF176" s="250"/>
      <c r="QQG176" s="250"/>
      <c r="QQH176" s="250"/>
      <c r="QQI176" s="250"/>
      <c r="QQJ176" s="250"/>
      <c r="QQK176" s="250"/>
      <c r="QQL176" s="250"/>
      <c r="QQM176" s="250"/>
      <c r="QQN176" s="250"/>
      <c r="QQO176" s="250"/>
      <c r="QQP176" s="250"/>
      <c r="QQQ176" s="250"/>
      <c r="QQR176" s="250"/>
      <c r="QQS176" s="250"/>
      <c r="QQT176" s="250"/>
      <c r="QQU176" s="250"/>
      <c r="QQV176" s="250"/>
      <c r="QQW176" s="250"/>
      <c r="QQX176" s="250"/>
      <c r="QQY176" s="250"/>
      <c r="QQZ176" s="250"/>
      <c r="QRA176" s="250"/>
      <c r="QRB176" s="250"/>
      <c r="QRC176" s="250"/>
      <c r="QRD176" s="250"/>
      <c r="QRE176" s="250"/>
      <c r="QRF176" s="250"/>
      <c r="QRG176" s="250"/>
      <c r="QRH176" s="250"/>
      <c r="QRI176" s="250"/>
      <c r="QRJ176" s="250"/>
      <c r="QRK176" s="250"/>
      <c r="QRL176" s="250"/>
      <c r="QRM176" s="250"/>
      <c r="QRN176" s="250"/>
      <c r="QRO176" s="250"/>
      <c r="QRP176" s="250"/>
      <c r="QRQ176" s="250"/>
      <c r="QRR176" s="250"/>
      <c r="QRS176" s="250"/>
      <c r="QRT176" s="250"/>
      <c r="QRU176" s="250"/>
      <c r="QRV176" s="250"/>
      <c r="QRW176" s="250"/>
      <c r="QRX176" s="250"/>
      <c r="QRY176" s="250"/>
      <c r="QRZ176" s="250"/>
      <c r="QSA176" s="250"/>
      <c r="QSB176" s="250"/>
      <c r="QSC176" s="250"/>
      <c r="QSD176" s="250"/>
      <c r="QSE176" s="250"/>
      <c r="QSF176" s="250"/>
      <c r="QSG176" s="250"/>
      <c r="QSH176" s="250"/>
      <c r="QSI176" s="250"/>
      <c r="QSJ176" s="250"/>
      <c r="QSK176" s="250"/>
      <c r="QSL176" s="250"/>
      <c r="QSM176" s="250"/>
      <c r="QSN176" s="250"/>
      <c r="QSO176" s="250"/>
      <c r="QSP176" s="250"/>
      <c r="QSQ176" s="250"/>
      <c r="QSR176" s="250"/>
      <c r="QSS176" s="250"/>
      <c r="QST176" s="250"/>
      <c r="QSU176" s="250"/>
      <c r="QSV176" s="250"/>
      <c r="QSW176" s="250"/>
      <c r="QSX176" s="250"/>
      <c r="QSY176" s="250"/>
      <c r="QSZ176" s="250"/>
      <c r="QTA176" s="250"/>
      <c r="QTB176" s="250"/>
      <c r="QTC176" s="250"/>
      <c r="QTD176" s="250"/>
      <c r="QTE176" s="250"/>
      <c r="QTF176" s="250"/>
      <c r="QTG176" s="250"/>
      <c r="QTH176" s="250"/>
      <c r="QTI176" s="250"/>
      <c r="QTJ176" s="250"/>
      <c r="QTK176" s="250"/>
      <c r="QTL176" s="250"/>
      <c r="QTM176" s="250"/>
      <c r="QTN176" s="250"/>
      <c r="QTO176" s="250"/>
      <c r="QTP176" s="250"/>
      <c r="QTQ176" s="250"/>
      <c r="QTR176" s="250"/>
      <c r="QTS176" s="250"/>
      <c r="QTT176" s="250"/>
      <c r="QTU176" s="250"/>
      <c r="QTV176" s="250"/>
      <c r="QTW176" s="250"/>
      <c r="QTX176" s="250"/>
      <c r="QTY176" s="250"/>
      <c r="QTZ176" s="250"/>
      <c r="QUA176" s="250"/>
      <c r="QUB176" s="250"/>
      <c r="QUC176" s="250"/>
      <c r="QUD176" s="250"/>
      <c r="QUE176" s="250"/>
      <c r="QUF176" s="250"/>
      <c r="QUG176" s="250"/>
      <c r="QUH176" s="250"/>
      <c r="QUI176" s="250"/>
      <c r="QUJ176" s="250"/>
      <c r="QUK176" s="250"/>
      <c r="QUL176" s="250"/>
      <c r="QUM176" s="250"/>
      <c r="QUN176" s="250"/>
      <c r="QUO176" s="250"/>
      <c r="QUP176" s="250"/>
      <c r="QUQ176" s="250"/>
      <c r="QUR176" s="250"/>
      <c r="QUS176" s="250"/>
      <c r="QUT176" s="250"/>
      <c r="QUU176" s="250"/>
      <c r="QUV176" s="250"/>
      <c r="QUW176" s="250"/>
      <c r="QUX176" s="250"/>
      <c r="QUY176" s="250"/>
      <c r="QUZ176" s="250"/>
      <c r="QVA176" s="250"/>
      <c r="QVB176" s="250"/>
      <c r="QVC176" s="250"/>
      <c r="QVD176" s="250"/>
      <c r="QVE176" s="250"/>
      <c r="QVF176" s="250"/>
      <c r="QVG176" s="250"/>
      <c r="QVH176" s="250"/>
      <c r="QVI176" s="250"/>
      <c r="QVJ176" s="250"/>
      <c r="QVK176" s="250"/>
      <c r="QVL176" s="250"/>
      <c r="QVM176" s="250"/>
      <c r="QVN176" s="250"/>
      <c r="QVO176" s="250"/>
      <c r="QVP176" s="250"/>
      <c r="QVQ176" s="250"/>
      <c r="QVR176" s="250"/>
      <c r="QVS176" s="250"/>
      <c r="QVT176" s="250"/>
      <c r="QVU176" s="250"/>
      <c r="QVV176" s="250"/>
      <c r="QVW176" s="250"/>
      <c r="QVX176" s="250"/>
      <c r="QVY176" s="250"/>
      <c r="QVZ176" s="250"/>
      <c r="QWA176" s="250"/>
      <c r="QWB176" s="250"/>
      <c r="QWC176" s="250"/>
      <c r="QWD176" s="250"/>
      <c r="QWE176" s="250"/>
      <c r="QWF176" s="250"/>
      <c r="QWG176" s="250"/>
      <c r="QWH176" s="250"/>
      <c r="QWI176" s="250"/>
      <c r="QWJ176" s="250"/>
      <c r="QWK176" s="250"/>
      <c r="QWL176" s="250"/>
      <c r="QWM176" s="250"/>
      <c r="QWN176" s="250"/>
      <c r="QWO176" s="250"/>
      <c r="QWP176" s="250"/>
      <c r="QWQ176" s="250"/>
      <c r="QWR176" s="250"/>
      <c r="QWS176" s="250"/>
      <c r="QWT176" s="250"/>
      <c r="QWU176" s="250"/>
      <c r="QWV176" s="250"/>
      <c r="QWW176" s="250"/>
      <c r="QWX176" s="250"/>
      <c r="QWY176" s="250"/>
      <c r="QWZ176" s="250"/>
      <c r="QXA176" s="250"/>
      <c r="QXB176" s="250"/>
      <c r="QXC176" s="250"/>
      <c r="QXD176" s="250"/>
      <c r="QXE176" s="250"/>
      <c r="QXF176" s="250"/>
      <c r="QXG176" s="250"/>
      <c r="QXH176" s="250"/>
      <c r="QXI176" s="250"/>
      <c r="QXJ176" s="250"/>
      <c r="QXK176" s="250"/>
      <c r="QXL176" s="250"/>
      <c r="QXM176" s="250"/>
      <c r="QXN176" s="250"/>
      <c r="QXO176" s="250"/>
      <c r="QXP176" s="250"/>
      <c r="QXQ176" s="250"/>
      <c r="QXR176" s="250"/>
      <c r="QXS176" s="250"/>
      <c r="QXT176" s="250"/>
      <c r="QXU176" s="250"/>
      <c r="QXV176" s="250"/>
      <c r="QXW176" s="250"/>
      <c r="QXX176" s="250"/>
      <c r="QXY176" s="250"/>
      <c r="QXZ176" s="250"/>
      <c r="QYA176" s="250"/>
      <c r="QYB176" s="250"/>
      <c r="QYC176" s="250"/>
      <c r="QYD176" s="250"/>
      <c r="QYE176" s="250"/>
      <c r="QYF176" s="250"/>
      <c r="QYG176" s="250"/>
      <c r="QYH176" s="250"/>
      <c r="QYI176" s="250"/>
      <c r="QYJ176" s="250"/>
      <c r="QYK176" s="250"/>
      <c r="QYL176" s="250"/>
      <c r="QYM176" s="250"/>
      <c r="QYN176" s="250"/>
      <c r="QYO176" s="250"/>
      <c r="QYP176" s="250"/>
      <c r="QYQ176" s="250"/>
      <c r="QYR176" s="250"/>
      <c r="QYS176" s="250"/>
      <c r="QYT176" s="250"/>
      <c r="QYU176" s="250"/>
      <c r="QYV176" s="250"/>
      <c r="QYW176" s="250"/>
      <c r="QYX176" s="250"/>
      <c r="QYY176" s="250"/>
      <c r="QYZ176" s="250"/>
      <c r="QZA176" s="250"/>
      <c r="QZB176" s="250"/>
      <c r="QZC176" s="250"/>
      <c r="QZD176" s="250"/>
      <c r="QZE176" s="250"/>
      <c r="QZF176" s="250"/>
      <c r="QZG176" s="250"/>
      <c r="QZH176" s="250"/>
      <c r="QZI176" s="250"/>
      <c r="QZJ176" s="250"/>
      <c r="QZK176" s="250"/>
      <c r="QZL176" s="250"/>
      <c r="QZM176" s="250"/>
      <c r="QZN176" s="250"/>
      <c r="QZO176" s="250"/>
      <c r="QZP176" s="250"/>
      <c r="QZQ176" s="250"/>
      <c r="QZR176" s="250"/>
      <c r="QZS176" s="250"/>
      <c r="QZT176" s="250"/>
      <c r="QZU176" s="250"/>
      <c r="QZV176" s="250"/>
      <c r="QZW176" s="250"/>
      <c r="QZX176" s="250"/>
      <c r="QZY176" s="250"/>
      <c r="QZZ176" s="250"/>
      <c r="RAA176" s="250"/>
      <c r="RAB176" s="250"/>
      <c r="RAC176" s="250"/>
      <c r="RAD176" s="250"/>
      <c r="RAE176" s="250"/>
      <c r="RAF176" s="250"/>
      <c r="RAG176" s="250"/>
      <c r="RAH176" s="250"/>
      <c r="RAI176" s="250"/>
      <c r="RAJ176" s="250"/>
      <c r="RAK176" s="250"/>
      <c r="RAL176" s="250"/>
      <c r="RAM176" s="250"/>
      <c r="RAN176" s="250"/>
      <c r="RAO176" s="250"/>
      <c r="RAP176" s="250"/>
      <c r="RAQ176" s="250"/>
      <c r="RAR176" s="250"/>
      <c r="RAS176" s="250"/>
      <c r="RAT176" s="250"/>
      <c r="RAU176" s="250"/>
      <c r="RAV176" s="250"/>
      <c r="RAW176" s="250"/>
      <c r="RAX176" s="250"/>
      <c r="RAY176" s="250"/>
      <c r="RAZ176" s="250"/>
      <c r="RBA176" s="250"/>
      <c r="RBB176" s="250"/>
      <c r="RBC176" s="250"/>
      <c r="RBD176" s="250"/>
      <c r="RBE176" s="250"/>
      <c r="RBF176" s="250"/>
      <c r="RBG176" s="250"/>
      <c r="RBH176" s="250"/>
      <c r="RBI176" s="250"/>
      <c r="RBJ176" s="250"/>
      <c r="RBK176" s="250"/>
      <c r="RBL176" s="250"/>
      <c r="RBM176" s="250"/>
      <c r="RBN176" s="250"/>
      <c r="RBO176" s="250"/>
      <c r="RBP176" s="250"/>
      <c r="RBQ176" s="250"/>
      <c r="RBR176" s="250"/>
      <c r="RBS176" s="250"/>
      <c r="RBT176" s="250"/>
      <c r="RBU176" s="250"/>
      <c r="RBV176" s="250"/>
      <c r="RBW176" s="250"/>
      <c r="RBX176" s="250"/>
      <c r="RBY176" s="250"/>
      <c r="RBZ176" s="250"/>
      <c r="RCA176" s="250"/>
      <c r="RCB176" s="250"/>
      <c r="RCC176" s="250"/>
      <c r="RCD176" s="250"/>
      <c r="RCE176" s="250"/>
      <c r="RCF176" s="250"/>
      <c r="RCG176" s="250"/>
      <c r="RCH176" s="250"/>
      <c r="RCI176" s="250"/>
      <c r="RCJ176" s="250"/>
      <c r="RCK176" s="250"/>
      <c r="RCL176" s="250"/>
      <c r="RCM176" s="250"/>
      <c r="RCN176" s="250"/>
      <c r="RCO176" s="250"/>
      <c r="RCP176" s="250"/>
      <c r="RCQ176" s="250"/>
      <c r="RCR176" s="250"/>
      <c r="RCS176" s="250"/>
      <c r="RCT176" s="250"/>
      <c r="RCU176" s="250"/>
      <c r="RCV176" s="250"/>
      <c r="RCW176" s="250"/>
      <c r="RCX176" s="250"/>
      <c r="RCY176" s="250"/>
      <c r="RCZ176" s="250"/>
      <c r="RDA176" s="250"/>
      <c r="RDB176" s="250"/>
      <c r="RDC176" s="250"/>
      <c r="RDD176" s="250"/>
      <c r="RDE176" s="250"/>
      <c r="RDF176" s="250"/>
      <c r="RDG176" s="250"/>
      <c r="RDH176" s="250"/>
      <c r="RDI176" s="250"/>
      <c r="RDJ176" s="250"/>
      <c r="RDK176" s="250"/>
      <c r="RDL176" s="250"/>
      <c r="RDM176" s="250"/>
      <c r="RDN176" s="250"/>
      <c r="RDO176" s="250"/>
      <c r="RDP176" s="250"/>
      <c r="RDQ176" s="250"/>
      <c r="RDR176" s="250"/>
      <c r="RDS176" s="250"/>
      <c r="RDT176" s="250"/>
      <c r="RDU176" s="250"/>
      <c r="RDV176" s="250"/>
      <c r="RDW176" s="250"/>
      <c r="RDX176" s="250"/>
      <c r="RDY176" s="250"/>
      <c r="RDZ176" s="250"/>
      <c r="REA176" s="250"/>
      <c r="REB176" s="250"/>
      <c r="REC176" s="250"/>
      <c r="RED176" s="250"/>
      <c r="REE176" s="250"/>
      <c r="REF176" s="250"/>
      <c r="REG176" s="250"/>
      <c r="REH176" s="250"/>
      <c r="REI176" s="250"/>
      <c r="REJ176" s="250"/>
      <c r="REK176" s="250"/>
      <c r="REL176" s="250"/>
      <c r="REM176" s="250"/>
      <c r="REN176" s="250"/>
      <c r="REO176" s="250"/>
      <c r="REP176" s="250"/>
      <c r="REQ176" s="250"/>
      <c r="RER176" s="250"/>
      <c r="RES176" s="250"/>
      <c r="RET176" s="250"/>
      <c r="REU176" s="250"/>
      <c r="REV176" s="250"/>
      <c r="REW176" s="250"/>
      <c r="REX176" s="250"/>
      <c r="REY176" s="250"/>
      <c r="REZ176" s="250"/>
      <c r="RFA176" s="250"/>
      <c r="RFB176" s="250"/>
      <c r="RFC176" s="250"/>
      <c r="RFD176" s="250"/>
      <c r="RFE176" s="250"/>
      <c r="RFF176" s="250"/>
      <c r="RFG176" s="250"/>
      <c r="RFH176" s="250"/>
      <c r="RFI176" s="250"/>
      <c r="RFJ176" s="250"/>
      <c r="RFK176" s="250"/>
      <c r="RFL176" s="250"/>
      <c r="RFM176" s="250"/>
      <c r="RFN176" s="250"/>
      <c r="RFO176" s="250"/>
      <c r="RFP176" s="250"/>
      <c r="RFQ176" s="250"/>
      <c r="RFR176" s="250"/>
      <c r="RFS176" s="250"/>
      <c r="RFT176" s="250"/>
      <c r="RFU176" s="250"/>
      <c r="RFV176" s="250"/>
      <c r="RFW176" s="250"/>
      <c r="RFX176" s="250"/>
      <c r="RFY176" s="250"/>
      <c r="RFZ176" s="250"/>
      <c r="RGA176" s="250"/>
      <c r="RGB176" s="250"/>
      <c r="RGC176" s="250"/>
      <c r="RGD176" s="250"/>
      <c r="RGE176" s="250"/>
      <c r="RGF176" s="250"/>
      <c r="RGG176" s="250"/>
      <c r="RGH176" s="250"/>
      <c r="RGI176" s="250"/>
      <c r="RGJ176" s="250"/>
      <c r="RGK176" s="250"/>
      <c r="RGL176" s="250"/>
      <c r="RGM176" s="250"/>
      <c r="RGN176" s="250"/>
      <c r="RGO176" s="250"/>
      <c r="RGP176" s="250"/>
      <c r="RGQ176" s="250"/>
      <c r="RGR176" s="250"/>
      <c r="RGS176" s="250"/>
      <c r="RGT176" s="250"/>
      <c r="RGU176" s="250"/>
      <c r="RGV176" s="250"/>
      <c r="RGW176" s="250"/>
      <c r="RGX176" s="250"/>
      <c r="RGY176" s="250"/>
      <c r="RGZ176" s="250"/>
      <c r="RHA176" s="250"/>
      <c r="RHB176" s="250"/>
      <c r="RHC176" s="250"/>
      <c r="RHD176" s="250"/>
      <c r="RHE176" s="250"/>
      <c r="RHF176" s="250"/>
      <c r="RHG176" s="250"/>
      <c r="RHH176" s="250"/>
      <c r="RHI176" s="250"/>
      <c r="RHJ176" s="250"/>
      <c r="RHK176" s="250"/>
      <c r="RHL176" s="250"/>
      <c r="RHM176" s="250"/>
      <c r="RHN176" s="250"/>
      <c r="RHO176" s="250"/>
      <c r="RHP176" s="250"/>
      <c r="RHQ176" s="250"/>
      <c r="RHR176" s="250"/>
      <c r="RHS176" s="250"/>
      <c r="RHT176" s="250"/>
      <c r="RHU176" s="250"/>
      <c r="RHV176" s="250"/>
      <c r="RHW176" s="250"/>
      <c r="RHX176" s="250"/>
      <c r="RHY176" s="250"/>
      <c r="RHZ176" s="250"/>
      <c r="RIA176" s="250"/>
      <c r="RIB176" s="250"/>
      <c r="RIC176" s="250"/>
      <c r="RID176" s="250"/>
      <c r="RIE176" s="250"/>
      <c r="RIF176" s="250"/>
      <c r="RIG176" s="250"/>
      <c r="RIH176" s="250"/>
      <c r="RII176" s="250"/>
      <c r="RIJ176" s="250"/>
      <c r="RIK176" s="250"/>
      <c r="RIL176" s="250"/>
      <c r="RIM176" s="250"/>
      <c r="RIN176" s="250"/>
      <c r="RIO176" s="250"/>
      <c r="RIP176" s="250"/>
      <c r="RIQ176" s="250"/>
      <c r="RIR176" s="250"/>
      <c r="RIS176" s="250"/>
      <c r="RIT176" s="250"/>
      <c r="RIU176" s="250"/>
      <c r="RIV176" s="250"/>
      <c r="RIW176" s="250"/>
      <c r="RIX176" s="250"/>
      <c r="RIY176" s="250"/>
      <c r="RIZ176" s="250"/>
      <c r="RJA176" s="250"/>
      <c r="RJB176" s="250"/>
      <c r="RJC176" s="250"/>
      <c r="RJD176" s="250"/>
      <c r="RJE176" s="250"/>
      <c r="RJF176" s="250"/>
      <c r="RJG176" s="250"/>
      <c r="RJH176" s="250"/>
      <c r="RJI176" s="250"/>
      <c r="RJJ176" s="250"/>
      <c r="RJK176" s="250"/>
      <c r="RJL176" s="250"/>
      <c r="RJM176" s="250"/>
      <c r="RJN176" s="250"/>
      <c r="RJO176" s="250"/>
      <c r="RJP176" s="250"/>
      <c r="RJQ176" s="250"/>
      <c r="RJR176" s="250"/>
      <c r="RJS176" s="250"/>
      <c r="RJT176" s="250"/>
      <c r="RJU176" s="250"/>
      <c r="RJV176" s="250"/>
      <c r="RJW176" s="250"/>
      <c r="RJX176" s="250"/>
      <c r="RJY176" s="250"/>
      <c r="RJZ176" s="250"/>
      <c r="RKA176" s="250"/>
      <c r="RKB176" s="250"/>
      <c r="RKC176" s="250"/>
      <c r="RKD176" s="250"/>
      <c r="RKE176" s="250"/>
      <c r="RKF176" s="250"/>
      <c r="RKG176" s="250"/>
      <c r="RKH176" s="250"/>
      <c r="RKI176" s="250"/>
      <c r="RKJ176" s="250"/>
      <c r="RKK176" s="250"/>
      <c r="RKL176" s="250"/>
      <c r="RKM176" s="250"/>
      <c r="RKN176" s="250"/>
      <c r="RKO176" s="250"/>
      <c r="RKP176" s="250"/>
      <c r="RKQ176" s="250"/>
      <c r="RKR176" s="250"/>
      <c r="RKS176" s="250"/>
      <c r="RKT176" s="250"/>
      <c r="RKU176" s="250"/>
      <c r="RKV176" s="250"/>
      <c r="RKW176" s="250"/>
      <c r="RKX176" s="250"/>
      <c r="RKY176" s="250"/>
      <c r="RKZ176" s="250"/>
      <c r="RLA176" s="250"/>
      <c r="RLB176" s="250"/>
      <c r="RLC176" s="250"/>
      <c r="RLD176" s="250"/>
      <c r="RLE176" s="250"/>
      <c r="RLF176" s="250"/>
      <c r="RLG176" s="250"/>
      <c r="RLH176" s="250"/>
      <c r="RLI176" s="250"/>
      <c r="RLJ176" s="250"/>
      <c r="RLK176" s="250"/>
      <c r="RLL176" s="250"/>
      <c r="RLM176" s="250"/>
      <c r="RLN176" s="250"/>
      <c r="RLO176" s="250"/>
      <c r="RLP176" s="250"/>
      <c r="RLQ176" s="250"/>
      <c r="RLR176" s="250"/>
      <c r="RLS176" s="250"/>
      <c r="RLT176" s="250"/>
      <c r="RLU176" s="250"/>
      <c r="RLV176" s="250"/>
      <c r="RLW176" s="250"/>
      <c r="RLX176" s="250"/>
      <c r="RLY176" s="250"/>
      <c r="RLZ176" s="250"/>
      <c r="RMA176" s="250"/>
      <c r="RMB176" s="250"/>
      <c r="RMC176" s="250"/>
      <c r="RMD176" s="250"/>
      <c r="RME176" s="250"/>
      <c r="RMF176" s="250"/>
      <c r="RMG176" s="250"/>
      <c r="RMH176" s="250"/>
      <c r="RMI176" s="250"/>
      <c r="RMJ176" s="250"/>
      <c r="RMK176" s="250"/>
      <c r="RML176" s="250"/>
      <c r="RMM176" s="250"/>
      <c r="RMN176" s="250"/>
      <c r="RMO176" s="250"/>
      <c r="RMP176" s="250"/>
      <c r="RMQ176" s="250"/>
      <c r="RMR176" s="250"/>
      <c r="RMS176" s="250"/>
      <c r="RMT176" s="250"/>
      <c r="RMU176" s="250"/>
      <c r="RMV176" s="250"/>
      <c r="RMW176" s="250"/>
      <c r="RMX176" s="250"/>
      <c r="RMY176" s="250"/>
      <c r="RMZ176" s="250"/>
      <c r="RNA176" s="250"/>
      <c r="RNB176" s="250"/>
      <c r="RNC176" s="250"/>
      <c r="RND176" s="250"/>
      <c r="RNE176" s="250"/>
      <c r="RNF176" s="250"/>
      <c r="RNG176" s="250"/>
      <c r="RNH176" s="250"/>
      <c r="RNI176" s="250"/>
      <c r="RNJ176" s="250"/>
      <c r="RNK176" s="250"/>
      <c r="RNL176" s="250"/>
      <c r="RNM176" s="250"/>
      <c r="RNN176" s="250"/>
      <c r="RNO176" s="250"/>
      <c r="RNP176" s="250"/>
      <c r="RNQ176" s="250"/>
      <c r="RNR176" s="250"/>
      <c r="RNS176" s="250"/>
      <c r="RNT176" s="250"/>
      <c r="RNU176" s="250"/>
      <c r="RNV176" s="250"/>
      <c r="RNW176" s="250"/>
      <c r="RNX176" s="250"/>
      <c r="RNY176" s="250"/>
      <c r="RNZ176" s="250"/>
      <c r="ROA176" s="250"/>
      <c r="ROB176" s="250"/>
      <c r="ROC176" s="250"/>
      <c r="ROD176" s="250"/>
      <c r="ROE176" s="250"/>
      <c r="ROF176" s="250"/>
      <c r="ROG176" s="250"/>
      <c r="ROH176" s="250"/>
      <c r="ROI176" s="250"/>
      <c r="ROJ176" s="250"/>
      <c r="ROK176" s="250"/>
      <c r="ROL176" s="250"/>
      <c r="ROM176" s="250"/>
      <c r="RON176" s="250"/>
      <c r="ROO176" s="250"/>
      <c r="ROP176" s="250"/>
      <c r="ROQ176" s="250"/>
      <c r="ROR176" s="250"/>
      <c r="ROS176" s="250"/>
      <c r="ROT176" s="250"/>
      <c r="ROU176" s="250"/>
      <c r="ROV176" s="250"/>
      <c r="ROW176" s="250"/>
      <c r="ROX176" s="250"/>
      <c r="ROY176" s="250"/>
      <c r="ROZ176" s="250"/>
      <c r="RPA176" s="250"/>
      <c r="RPB176" s="250"/>
      <c r="RPC176" s="250"/>
      <c r="RPD176" s="250"/>
      <c r="RPE176" s="250"/>
      <c r="RPF176" s="250"/>
      <c r="RPG176" s="250"/>
      <c r="RPH176" s="250"/>
      <c r="RPI176" s="250"/>
      <c r="RPJ176" s="250"/>
      <c r="RPK176" s="250"/>
      <c r="RPL176" s="250"/>
      <c r="RPM176" s="250"/>
      <c r="RPN176" s="250"/>
      <c r="RPO176" s="250"/>
      <c r="RPP176" s="250"/>
      <c r="RPQ176" s="250"/>
      <c r="RPR176" s="250"/>
      <c r="RPS176" s="250"/>
      <c r="RPT176" s="250"/>
      <c r="RPU176" s="250"/>
      <c r="RPV176" s="250"/>
      <c r="RPW176" s="250"/>
      <c r="RPX176" s="250"/>
      <c r="RPY176" s="250"/>
      <c r="RPZ176" s="250"/>
      <c r="RQA176" s="250"/>
      <c r="RQB176" s="250"/>
      <c r="RQC176" s="250"/>
      <c r="RQD176" s="250"/>
      <c r="RQE176" s="250"/>
      <c r="RQF176" s="250"/>
      <c r="RQG176" s="250"/>
      <c r="RQH176" s="250"/>
      <c r="RQI176" s="250"/>
      <c r="RQJ176" s="250"/>
      <c r="RQK176" s="250"/>
      <c r="RQL176" s="250"/>
      <c r="RQM176" s="250"/>
      <c r="RQN176" s="250"/>
      <c r="RQO176" s="250"/>
      <c r="RQP176" s="250"/>
      <c r="RQQ176" s="250"/>
      <c r="RQR176" s="250"/>
      <c r="RQS176" s="250"/>
      <c r="RQT176" s="250"/>
      <c r="RQU176" s="250"/>
      <c r="RQV176" s="250"/>
      <c r="RQW176" s="250"/>
      <c r="RQX176" s="250"/>
      <c r="RQY176" s="250"/>
      <c r="RQZ176" s="250"/>
      <c r="RRA176" s="250"/>
      <c r="RRB176" s="250"/>
      <c r="RRC176" s="250"/>
      <c r="RRD176" s="250"/>
      <c r="RRE176" s="250"/>
      <c r="RRF176" s="250"/>
      <c r="RRG176" s="250"/>
      <c r="RRH176" s="250"/>
      <c r="RRI176" s="250"/>
      <c r="RRJ176" s="250"/>
      <c r="RRK176" s="250"/>
      <c r="RRL176" s="250"/>
      <c r="RRM176" s="250"/>
      <c r="RRN176" s="250"/>
      <c r="RRO176" s="250"/>
      <c r="RRP176" s="250"/>
      <c r="RRQ176" s="250"/>
      <c r="RRR176" s="250"/>
      <c r="RRS176" s="250"/>
      <c r="RRT176" s="250"/>
      <c r="RRU176" s="250"/>
      <c r="RRV176" s="250"/>
      <c r="RRW176" s="250"/>
      <c r="RRX176" s="250"/>
      <c r="RRY176" s="250"/>
      <c r="RRZ176" s="250"/>
      <c r="RSA176" s="250"/>
      <c r="RSB176" s="250"/>
      <c r="RSC176" s="250"/>
      <c r="RSD176" s="250"/>
      <c r="RSE176" s="250"/>
      <c r="RSF176" s="250"/>
      <c r="RSG176" s="250"/>
      <c r="RSH176" s="250"/>
      <c r="RSI176" s="250"/>
      <c r="RSJ176" s="250"/>
      <c r="RSK176" s="250"/>
      <c r="RSL176" s="250"/>
      <c r="RSM176" s="250"/>
      <c r="RSN176" s="250"/>
      <c r="RSO176" s="250"/>
      <c r="RSP176" s="250"/>
      <c r="RSQ176" s="250"/>
      <c r="RSR176" s="250"/>
      <c r="RSS176" s="250"/>
      <c r="RST176" s="250"/>
      <c r="RSU176" s="250"/>
      <c r="RSV176" s="250"/>
      <c r="RSW176" s="250"/>
      <c r="RSX176" s="250"/>
      <c r="RSY176" s="250"/>
      <c r="RSZ176" s="250"/>
      <c r="RTA176" s="250"/>
      <c r="RTB176" s="250"/>
      <c r="RTC176" s="250"/>
      <c r="RTD176" s="250"/>
      <c r="RTE176" s="250"/>
      <c r="RTF176" s="250"/>
      <c r="RTG176" s="250"/>
      <c r="RTH176" s="250"/>
      <c r="RTI176" s="250"/>
      <c r="RTJ176" s="250"/>
      <c r="RTK176" s="250"/>
      <c r="RTL176" s="250"/>
      <c r="RTM176" s="250"/>
      <c r="RTN176" s="250"/>
      <c r="RTO176" s="250"/>
      <c r="RTP176" s="250"/>
      <c r="RTQ176" s="250"/>
      <c r="RTR176" s="250"/>
      <c r="RTS176" s="250"/>
      <c r="RTT176" s="250"/>
      <c r="RTU176" s="250"/>
      <c r="RTV176" s="250"/>
      <c r="RTW176" s="250"/>
      <c r="RTX176" s="250"/>
      <c r="RTY176" s="250"/>
      <c r="RTZ176" s="250"/>
      <c r="RUA176" s="250"/>
      <c r="RUB176" s="250"/>
      <c r="RUC176" s="250"/>
      <c r="RUD176" s="250"/>
      <c r="RUE176" s="250"/>
      <c r="RUF176" s="250"/>
      <c r="RUG176" s="250"/>
      <c r="RUH176" s="250"/>
      <c r="RUI176" s="250"/>
      <c r="RUJ176" s="250"/>
      <c r="RUK176" s="250"/>
      <c r="RUL176" s="250"/>
      <c r="RUM176" s="250"/>
      <c r="RUN176" s="250"/>
      <c r="RUO176" s="250"/>
      <c r="RUP176" s="250"/>
      <c r="RUQ176" s="250"/>
      <c r="RUR176" s="250"/>
      <c r="RUS176" s="250"/>
      <c r="RUT176" s="250"/>
      <c r="RUU176" s="250"/>
      <c r="RUV176" s="250"/>
      <c r="RUW176" s="250"/>
      <c r="RUX176" s="250"/>
      <c r="RUY176" s="250"/>
      <c r="RUZ176" s="250"/>
      <c r="RVA176" s="250"/>
      <c r="RVB176" s="250"/>
      <c r="RVC176" s="250"/>
      <c r="RVD176" s="250"/>
      <c r="RVE176" s="250"/>
      <c r="RVF176" s="250"/>
      <c r="RVG176" s="250"/>
      <c r="RVH176" s="250"/>
      <c r="RVI176" s="250"/>
      <c r="RVJ176" s="250"/>
      <c r="RVK176" s="250"/>
      <c r="RVL176" s="250"/>
      <c r="RVM176" s="250"/>
      <c r="RVN176" s="250"/>
      <c r="RVO176" s="250"/>
      <c r="RVP176" s="250"/>
      <c r="RVQ176" s="250"/>
      <c r="RVR176" s="250"/>
      <c r="RVS176" s="250"/>
      <c r="RVT176" s="250"/>
      <c r="RVU176" s="250"/>
      <c r="RVV176" s="250"/>
      <c r="RVW176" s="250"/>
      <c r="RVX176" s="250"/>
      <c r="RVY176" s="250"/>
      <c r="RVZ176" s="250"/>
      <c r="RWA176" s="250"/>
      <c r="RWB176" s="250"/>
      <c r="RWC176" s="250"/>
      <c r="RWD176" s="250"/>
      <c r="RWE176" s="250"/>
      <c r="RWF176" s="250"/>
      <c r="RWG176" s="250"/>
      <c r="RWH176" s="250"/>
      <c r="RWI176" s="250"/>
      <c r="RWJ176" s="250"/>
      <c r="RWK176" s="250"/>
      <c r="RWL176" s="250"/>
      <c r="RWM176" s="250"/>
      <c r="RWN176" s="250"/>
      <c r="RWO176" s="250"/>
      <c r="RWP176" s="250"/>
      <c r="RWQ176" s="250"/>
      <c r="RWR176" s="250"/>
      <c r="RWS176" s="250"/>
      <c r="RWT176" s="250"/>
      <c r="RWU176" s="250"/>
      <c r="RWV176" s="250"/>
      <c r="RWW176" s="250"/>
      <c r="RWX176" s="250"/>
      <c r="RWY176" s="250"/>
      <c r="RWZ176" s="250"/>
      <c r="RXA176" s="250"/>
      <c r="RXB176" s="250"/>
      <c r="RXC176" s="250"/>
      <c r="RXD176" s="250"/>
      <c r="RXE176" s="250"/>
      <c r="RXF176" s="250"/>
      <c r="RXG176" s="250"/>
      <c r="RXH176" s="250"/>
      <c r="RXI176" s="250"/>
      <c r="RXJ176" s="250"/>
      <c r="RXK176" s="250"/>
      <c r="RXL176" s="250"/>
      <c r="RXM176" s="250"/>
      <c r="RXN176" s="250"/>
      <c r="RXO176" s="250"/>
      <c r="RXP176" s="250"/>
      <c r="RXQ176" s="250"/>
      <c r="RXR176" s="250"/>
      <c r="RXS176" s="250"/>
      <c r="RXT176" s="250"/>
      <c r="RXU176" s="250"/>
      <c r="RXV176" s="250"/>
      <c r="RXW176" s="250"/>
      <c r="RXX176" s="250"/>
      <c r="RXY176" s="250"/>
      <c r="RXZ176" s="250"/>
      <c r="RYA176" s="250"/>
      <c r="RYB176" s="250"/>
      <c r="RYC176" s="250"/>
      <c r="RYD176" s="250"/>
      <c r="RYE176" s="250"/>
      <c r="RYF176" s="250"/>
      <c r="RYG176" s="250"/>
      <c r="RYH176" s="250"/>
      <c r="RYI176" s="250"/>
      <c r="RYJ176" s="250"/>
      <c r="RYK176" s="250"/>
      <c r="RYL176" s="250"/>
      <c r="RYM176" s="250"/>
      <c r="RYN176" s="250"/>
      <c r="RYO176" s="250"/>
      <c r="RYP176" s="250"/>
      <c r="RYQ176" s="250"/>
      <c r="RYR176" s="250"/>
      <c r="RYS176" s="250"/>
      <c r="RYT176" s="250"/>
      <c r="RYU176" s="250"/>
      <c r="RYV176" s="250"/>
      <c r="RYW176" s="250"/>
      <c r="RYX176" s="250"/>
      <c r="RYY176" s="250"/>
      <c r="RYZ176" s="250"/>
      <c r="RZA176" s="250"/>
      <c r="RZB176" s="250"/>
      <c r="RZC176" s="250"/>
      <c r="RZD176" s="250"/>
      <c r="RZE176" s="250"/>
      <c r="RZF176" s="250"/>
      <c r="RZG176" s="250"/>
      <c r="RZH176" s="250"/>
      <c r="RZI176" s="250"/>
      <c r="RZJ176" s="250"/>
      <c r="RZK176" s="250"/>
      <c r="RZL176" s="250"/>
      <c r="RZM176" s="250"/>
      <c r="RZN176" s="250"/>
      <c r="RZO176" s="250"/>
      <c r="RZP176" s="250"/>
      <c r="RZQ176" s="250"/>
      <c r="RZR176" s="250"/>
      <c r="RZS176" s="250"/>
      <c r="RZT176" s="250"/>
      <c r="RZU176" s="250"/>
      <c r="RZV176" s="250"/>
      <c r="RZW176" s="250"/>
      <c r="RZX176" s="250"/>
      <c r="RZY176" s="250"/>
      <c r="RZZ176" s="250"/>
      <c r="SAA176" s="250"/>
      <c r="SAB176" s="250"/>
      <c r="SAC176" s="250"/>
      <c r="SAD176" s="250"/>
      <c r="SAE176" s="250"/>
      <c r="SAF176" s="250"/>
      <c r="SAG176" s="250"/>
      <c r="SAH176" s="250"/>
      <c r="SAI176" s="250"/>
      <c r="SAJ176" s="250"/>
      <c r="SAK176" s="250"/>
      <c r="SAL176" s="250"/>
      <c r="SAM176" s="250"/>
      <c r="SAN176" s="250"/>
      <c r="SAO176" s="250"/>
      <c r="SAP176" s="250"/>
      <c r="SAQ176" s="250"/>
      <c r="SAR176" s="250"/>
      <c r="SAS176" s="250"/>
      <c r="SAT176" s="250"/>
      <c r="SAU176" s="250"/>
      <c r="SAV176" s="250"/>
      <c r="SAW176" s="250"/>
      <c r="SAX176" s="250"/>
      <c r="SAY176" s="250"/>
      <c r="SAZ176" s="250"/>
      <c r="SBA176" s="250"/>
      <c r="SBB176" s="250"/>
      <c r="SBC176" s="250"/>
      <c r="SBD176" s="250"/>
      <c r="SBE176" s="250"/>
      <c r="SBF176" s="250"/>
      <c r="SBG176" s="250"/>
      <c r="SBH176" s="250"/>
      <c r="SBI176" s="250"/>
      <c r="SBJ176" s="250"/>
      <c r="SBK176" s="250"/>
      <c r="SBL176" s="250"/>
      <c r="SBM176" s="250"/>
      <c r="SBN176" s="250"/>
      <c r="SBO176" s="250"/>
      <c r="SBP176" s="250"/>
      <c r="SBQ176" s="250"/>
      <c r="SBR176" s="250"/>
      <c r="SBS176" s="250"/>
      <c r="SBT176" s="250"/>
      <c r="SBU176" s="250"/>
      <c r="SBV176" s="250"/>
      <c r="SBW176" s="250"/>
      <c r="SBX176" s="250"/>
      <c r="SBY176" s="250"/>
      <c r="SBZ176" s="250"/>
      <c r="SCA176" s="250"/>
      <c r="SCB176" s="250"/>
      <c r="SCC176" s="250"/>
      <c r="SCD176" s="250"/>
      <c r="SCE176" s="250"/>
      <c r="SCF176" s="250"/>
      <c r="SCG176" s="250"/>
      <c r="SCH176" s="250"/>
      <c r="SCI176" s="250"/>
      <c r="SCJ176" s="250"/>
      <c r="SCK176" s="250"/>
      <c r="SCL176" s="250"/>
      <c r="SCM176" s="250"/>
      <c r="SCN176" s="250"/>
      <c r="SCO176" s="250"/>
      <c r="SCP176" s="250"/>
      <c r="SCQ176" s="250"/>
      <c r="SCR176" s="250"/>
      <c r="SCS176" s="250"/>
      <c r="SCT176" s="250"/>
      <c r="SCU176" s="250"/>
      <c r="SCV176" s="250"/>
      <c r="SCW176" s="250"/>
      <c r="SCX176" s="250"/>
      <c r="SCY176" s="250"/>
      <c r="SCZ176" s="250"/>
      <c r="SDA176" s="250"/>
      <c r="SDB176" s="250"/>
      <c r="SDC176" s="250"/>
      <c r="SDD176" s="250"/>
      <c r="SDE176" s="250"/>
      <c r="SDF176" s="250"/>
      <c r="SDG176" s="250"/>
      <c r="SDH176" s="250"/>
      <c r="SDI176" s="250"/>
      <c r="SDJ176" s="250"/>
      <c r="SDK176" s="250"/>
      <c r="SDL176" s="250"/>
      <c r="SDM176" s="250"/>
      <c r="SDN176" s="250"/>
      <c r="SDO176" s="250"/>
      <c r="SDP176" s="250"/>
      <c r="SDQ176" s="250"/>
      <c r="SDR176" s="250"/>
      <c r="SDS176" s="250"/>
      <c r="SDT176" s="250"/>
      <c r="SDU176" s="250"/>
      <c r="SDV176" s="250"/>
      <c r="SDW176" s="250"/>
      <c r="SDX176" s="250"/>
      <c r="SDY176" s="250"/>
      <c r="SDZ176" s="250"/>
      <c r="SEA176" s="250"/>
      <c r="SEB176" s="250"/>
      <c r="SEC176" s="250"/>
      <c r="SED176" s="250"/>
      <c r="SEE176" s="250"/>
      <c r="SEF176" s="250"/>
      <c r="SEG176" s="250"/>
      <c r="SEH176" s="250"/>
      <c r="SEI176" s="250"/>
      <c r="SEJ176" s="250"/>
      <c r="SEK176" s="250"/>
      <c r="SEL176" s="250"/>
      <c r="SEM176" s="250"/>
      <c r="SEN176" s="250"/>
      <c r="SEO176" s="250"/>
      <c r="SEP176" s="250"/>
      <c r="SEQ176" s="250"/>
      <c r="SER176" s="250"/>
      <c r="SES176" s="250"/>
      <c r="SET176" s="250"/>
      <c r="SEU176" s="250"/>
      <c r="SEV176" s="250"/>
      <c r="SEW176" s="250"/>
      <c r="SEX176" s="250"/>
      <c r="SEY176" s="250"/>
      <c r="SEZ176" s="250"/>
      <c r="SFA176" s="250"/>
      <c r="SFB176" s="250"/>
      <c r="SFC176" s="250"/>
      <c r="SFD176" s="250"/>
      <c r="SFE176" s="250"/>
      <c r="SFF176" s="250"/>
      <c r="SFG176" s="250"/>
      <c r="SFH176" s="250"/>
      <c r="SFI176" s="250"/>
      <c r="SFJ176" s="250"/>
      <c r="SFK176" s="250"/>
      <c r="SFL176" s="250"/>
      <c r="SFM176" s="250"/>
      <c r="SFN176" s="250"/>
      <c r="SFO176" s="250"/>
      <c r="SFP176" s="250"/>
      <c r="SFQ176" s="250"/>
      <c r="SFR176" s="250"/>
      <c r="SFS176" s="250"/>
      <c r="SFT176" s="250"/>
      <c r="SFU176" s="250"/>
      <c r="SFV176" s="250"/>
      <c r="SFW176" s="250"/>
      <c r="SFX176" s="250"/>
      <c r="SFY176" s="250"/>
      <c r="SFZ176" s="250"/>
      <c r="SGA176" s="250"/>
      <c r="SGB176" s="250"/>
      <c r="SGC176" s="250"/>
      <c r="SGD176" s="250"/>
      <c r="SGE176" s="250"/>
      <c r="SGF176" s="250"/>
      <c r="SGG176" s="250"/>
      <c r="SGH176" s="250"/>
      <c r="SGI176" s="250"/>
      <c r="SGJ176" s="250"/>
      <c r="SGK176" s="250"/>
      <c r="SGL176" s="250"/>
      <c r="SGM176" s="250"/>
      <c r="SGN176" s="250"/>
      <c r="SGO176" s="250"/>
      <c r="SGP176" s="250"/>
      <c r="SGQ176" s="250"/>
      <c r="SGR176" s="250"/>
      <c r="SGS176" s="250"/>
      <c r="SGT176" s="250"/>
      <c r="SGU176" s="250"/>
      <c r="SGV176" s="250"/>
      <c r="SGW176" s="250"/>
      <c r="SGX176" s="250"/>
      <c r="SGY176" s="250"/>
      <c r="SGZ176" s="250"/>
      <c r="SHA176" s="250"/>
      <c r="SHB176" s="250"/>
      <c r="SHC176" s="250"/>
      <c r="SHD176" s="250"/>
      <c r="SHE176" s="250"/>
      <c r="SHF176" s="250"/>
      <c r="SHG176" s="250"/>
      <c r="SHH176" s="250"/>
      <c r="SHI176" s="250"/>
      <c r="SHJ176" s="250"/>
      <c r="SHK176" s="250"/>
      <c r="SHL176" s="250"/>
      <c r="SHM176" s="250"/>
      <c r="SHN176" s="250"/>
      <c r="SHO176" s="250"/>
      <c r="SHP176" s="250"/>
      <c r="SHQ176" s="250"/>
      <c r="SHR176" s="250"/>
      <c r="SHS176" s="250"/>
      <c r="SHT176" s="250"/>
      <c r="SHU176" s="250"/>
      <c r="SHV176" s="250"/>
      <c r="SHW176" s="250"/>
      <c r="SHX176" s="250"/>
      <c r="SHY176" s="250"/>
      <c r="SHZ176" s="250"/>
      <c r="SIA176" s="250"/>
      <c r="SIB176" s="250"/>
      <c r="SIC176" s="250"/>
      <c r="SID176" s="250"/>
      <c r="SIE176" s="250"/>
      <c r="SIF176" s="250"/>
      <c r="SIG176" s="250"/>
      <c r="SIH176" s="250"/>
      <c r="SII176" s="250"/>
      <c r="SIJ176" s="250"/>
      <c r="SIK176" s="250"/>
      <c r="SIL176" s="250"/>
      <c r="SIM176" s="250"/>
      <c r="SIN176" s="250"/>
      <c r="SIO176" s="250"/>
      <c r="SIP176" s="250"/>
      <c r="SIQ176" s="250"/>
      <c r="SIR176" s="250"/>
      <c r="SIS176" s="250"/>
      <c r="SIT176" s="250"/>
      <c r="SIU176" s="250"/>
      <c r="SIV176" s="250"/>
      <c r="SIW176" s="250"/>
      <c r="SIX176" s="250"/>
      <c r="SIY176" s="250"/>
      <c r="SIZ176" s="250"/>
      <c r="SJA176" s="250"/>
      <c r="SJB176" s="250"/>
      <c r="SJC176" s="250"/>
      <c r="SJD176" s="250"/>
      <c r="SJE176" s="250"/>
      <c r="SJF176" s="250"/>
      <c r="SJG176" s="250"/>
      <c r="SJH176" s="250"/>
      <c r="SJI176" s="250"/>
      <c r="SJJ176" s="250"/>
      <c r="SJK176" s="250"/>
      <c r="SJL176" s="250"/>
      <c r="SJM176" s="250"/>
      <c r="SJN176" s="250"/>
      <c r="SJO176" s="250"/>
      <c r="SJP176" s="250"/>
      <c r="SJQ176" s="250"/>
      <c r="SJR176" s="250"/>
      <c r="SJS176" s="250"/>
      <c r="SJT176" s="250"/>
      <c r="SJU176" s="250"/>
      <c r="SJV176" s="250"/>
      <c r="SJW176" s="250"/>
      <c r="SJX176" s="250"/>
      <c r="SJY176" s="250"/>
      <c r="SJZ176" s="250"/>
      <c r="SKA176" s="250"/>
      <c r="SKB176" s="250"/>
      <c r="SKC176" s="250"/>
      <c r="SKD176" s="250"/>
      <c r="SKE176" s="250"/>
      <c r="SKF176" s="250"/>
      <c r="SKG176" s="250"/>
      <c r="SKH176" s="250"/>
      <c r="SKI176" s="250"/>
      <c r="SKJ176" s="250"/>
      <c r="SKK176" s="250"/>
      <c r="SKL176" s="250"/>
      <c r="SKM176" s="250"/>
      <c r="SKN176" s="250"/>
      <c r="SKO176" s="250"/>
      <c r="SKP176" s="250"/>
      <c r="SKQ176" s="250"/>
      <c r="SKR176" s="250"/>
      <c r="SKS176" s="250"/>
      <c r="SKT176" s="250"/>
      <c r="SKU176" s="250"/>
      <c r="SKV176" s="250"/>
      <c r="SKW176" s="250"/>
      <c r="SKX176" s="250"/>
      <c r="SKY176" s="250"/>
      <c r="SKZ176" s="250"/>
      <c r="SLA176" s="250"/>
      <c r="SLB176" s="250"/>
      <c r="SLC176" s="250"/>
      <c r="SLD176" s="250"/>
      <c r="SLE176" s="250"/>
      <c r="SLF176" s="250"/>
      <c r="SLG176" s="250"/>
      <c r="SLH176" s="250"/>
      <c r="SLI176" s="250"/>
      <c r="SLJ176" s="250"/>
      <c r="SLK176" s="250"/>
      <c r="SLL176" s="250"/>
      <c r="SLM176" s="250"/>
      <c r="SLN176" s="250"/>
      <c r="SLO176" s="250"/>
      <c r="SLP176" s="250"/>
      <c r="SLQ176" s="250"/>
      <c r="SLR176" s="250"/>
      <c r="SLS176" s="250"/>
      <c r="SLT176" s="250"/>
      <c r="SLU176" s="250"/>
      <c r="SLV176" s="250"/>
      <c r="SLW176" s="250"/>
      <c r="SLX176" s="250"/>
      <c r="SLY176" s="250"/>
      <c r="SLZ176" s="250"/>
      <c r="SMA176" s="250"/>
      <c r="SMB176" s="250"/>
      <c r="SMC176" s="250"/>
      <c r="SMD176" s="250"/>
      <c r="SME176" s="250"/>
      <c r="SMF176" s="250"/>
      <c r="SMG176" s="250"/>
      <c r="SMH176" s="250"/>
      <c r="SMI176" s="250"/>
      <c r="SMJ176" s="250"/>
      <c r="SMK176" s="250"/>
      <c r="SML176" s="250"/>
      <c r="SMM176" s="250"/>
      <c r="SMN176" s="250"/>
      <c r="SMO176" s="250"/>
      <c r="SMP176" s="250"/>
      <c r="SMQ176" s="250"/>
      <c r="SMR176" s="250"/>
      <c r="SMS176" s="250"/>
      <c r="SMT176" s="250"/>
      <c r="SMU176" s="250"/>
      <c r="SMV176" s="250"/>
      <c r="SMW176" s="250"/>
      <c r="SMX176" s="250"/>
      <c r="SMY176" s="250"/>
      <c r="SMZ176" s="250"/>
      <c r="SNA176" s="250"/>
      <c r="SNB176" s="250"/>
      <c r="SNC176" s="250"/>
      <c r="SND176" s="250"/>
      <c r="SNE176" s="250"/>
      <c r="SNF176" s="250"/>
      <c r="SNG176" s="250"/>
      <c r="SNH176" s="250"/>
      <c r="SNI176" s="250"/>
      <c r="SNJ176" s="250"/>
      <c r="SNK176" s="250"/>
      <c r="SNL176" s="250"/>
      <c r="SNM176" s="250"/>
      <c r="SNN176" s="250"/>
      <c r="SNO176" s="250"/>
      <c r="SNP176" s="250"/>
      <c r="SNQ176" s="250"/>
      <c r="SNR176" s="250"/>
      <c r="SNS176" s="250"/>
      <c r="SNT176" s="250"/>
      <c r="SNU176" s="250"/>
      <c r="SNV176" s="250"/>
      <c r="SNW176" s="250"/>
      <c r="SNX176" s="250"/>
      <c r="SNY176" s="250"/>
      <c r="SNZ176" s="250"/>
      <c r="SOA176" s="250"/>
      <c r="SOB176" s="250"/>
      <c r="SOC176" s="250"/>
      <c r="SOD176" s="250"/>
      <c r="SOE176" s="250"/>
      <c r="SOF176" s="250"/>
      <c r="SOG176" s="250"/>
      <c r="SOH176" s="250"/>
      <c r="SOI176" s="250"/>
      <c r="SOJ176" s="250"/>
      <c r="SOK176" s="250"/>
      <c r="SOL176" s="250"/>
      <c r="SOM176" s="250"/>
      <c r="SON176" s="250"/>
      <c r="SOO176" s="250"/>
      <c r="SOP176" s="250"/>
      <c r="SOQ176" s="250"/>
      <c r="SOR176" s="250"/>
      <c r="SOS176" s="250"/>
      <c r="SOT176" s="250"/>
      <c r="SOU176" s="250"/>
      <c r="SOV176" s="250"/>
      <c r="SOW176" s="250"/>
      <c r="SOX176" s="250"/>
      <c r="SOY176" s="250"/>
      <c r="SOZ176" s="250"/>
      <c r="SPA176" s="250"/>
      <c r="SPB176" s="250"/>
      <c r="SPC176" s="250"/>
      <c r="SPD176" s="250"/>
      <c r="SPE176" s="250"/>
      <c r="SPF176" s="250"/>
      <c r="SPG176" s="250"/>
      <c r="SPH176" s="250"/>
      <c r="SPI176" s="250"/>
      <c r="SPJ176" s="250"/>
      <c r="SPK176" s="250"/>
      <c r="SPL176" s="250"/>
      <c r="SPM176" s="250"/>
      <c r="SPN176" s="250"/>
      <c r="SPO176" s="250"/>
      <c r="SPP176" s="250"/>
      <c r="SPQ176" s="250"/>
      <c r="SPR176" s="250"/>
      <c r="SPS176" s="250"/>
      <c r="SPT176" s="250"/>
      <c r="SPU176" s="250"/>
      <c r="SPV176" s="250"/>
      <c r="SPW176" s="250"/>
      <c r="SPX176" s="250"/>
      <c r="SPY176" s="250"/>
      <c r="SPZ176" s="250"/>
      <c r="SQA176" s="250"/>
      <c r="SQB176" s="250"/>
      <c r="SQC176" s="250"/>
      <c r="SQD176" s="250"/>
      <c r="SQE176" s="250"/>
      <c r="SQF176" s="250"/>
      <c r="SQG176" s="250"/>
      <c r="SQH176" s="250"/>
      <c r="SQI176" s="250"/>
      <c r="SQJ176" s="250"/>
      <c r="SQK176" s="250"/>
      <c r="SQL176" s="250"/>
      <c r="SQM176" s="250"/>
      <c r="SQN176" s="250"/>
      <c r="SQO176" s="250"/>
      <c r="SQP176" s="250"/>
      <c r="SQQ176" s="250"/>
      <c r="SQR176" s="250"/>
      <c r="SQS176" s="250"/>
      <c r="SQT176" s="250"/>
      <c r="SQU176" s="250"/>
      <c r="SQV176" s="250"/>
      <c r="SQW176" s="250"/>
      <c r="SQX176" s="250"/>
      <c r="SQY176" s="250"/>
      <c r="SQZ176" s="250"/>
      <c r="SRA176" s="250"/>
      <c r="SRB176" s="250"/>
      <c r="SRC176" s="250"/>
      <c r="SRD176" s="250"/>
      <c r="SRE176" s="250"/>
      <c r="SRF176" s="250"/>
      <c r="SRG176" s="250"/>
      <c r="SRH176" s="250"/>
      <c r="SRI176" s="250"/>
      <c r="SRJ176" s="250"/>
      <c r="SRK176" s="250"/>
      <c r="SRL176" s="250"/>
      <c r="SRM176" s="250"/>
      <c r="SRN176" s="250"/>
      <c r="SRO176" s="250"/>
      <c r="SRP176" s="250"/>
      <c r="SRQ176" s="250"/>
      <c r="SRR176" s="250"/>
      <c r="SRS176" s="250"/>
      <c r="SRT176" s="250"/>
      <c r="SRU176" s="250"/>
      <c r="SRV176" s="250"/>
      <c r="SRW176" s="250"/>
      <c r="SRX176" s="250"/>
      <c r="SRY176" s="250"/>
      <c r="SRZ176" s="250"/>
      <c r="SSA176" s="250"/>
      <c r="SSB176" s="250"/>
      <c r="SSC176" s="250"/>
      <c r="SSD176" s="250"/>
      <c r="SSE176" s="250"/>
      <c r="SSF176" s="250"/>
      <c r="SSG176" s="250"/>
      <c r="SSH176" s="250"/>
      <c r="SSI176" s="250"/>
      <c r="SSJ176" s="250"/>
      <c r="SSK176" s="250"/>
      <c r="SSL176" s="250"/>
      <c r="SSM176" s="250"/>
      <c r="SSN176" s="250"/>
      <c r="SSO176" s="250"/>
      <c r="SSP176" s="250"/>
      <c r="SSQ176" s="250"/>
      <c r="SSR176" s="250"/>
      <c r="SSS176" s="250"/>
      <c r="SST176" s="250"/>
      <c r="SSU176" s="250"/>
      <c r="SSV176" s="250"/>
      <c r="SSW176" s="250"/>
      <c r="SSX176" s="250"/>
      <c r="SSY176" s="250"/>
      <c r="SSZ176" s="250"/>
      <c r="STA176" s="250"/>
      <c r="STB176" s="250"/>
      <c r="STC176" s="250"/>
      <c r="STD176" s="250"/>
      <c r="STE176" s="250"/>
      <c r="STF176" s="250"/>
      <c r="STG176" s="250"/>
      <c r="STH176" s="250"/>
      <c r="STI176" s="250"/>
      <c r="STJ176" s="250"/>
      <c r="STK176" s="250"/>
      <c r="STL176" s="250"/>
      <c r="STM176" s="250"/>
      <c r="STN176" s="250"/>
      <c r="STO176" s="250"/>
      <c r="STP176" s="250"/>
      <c r="STQ176" s="250"/>
      <c r="STR176" s="250"/>
      <c r="STS176" s="250"/>
      <c r="STT176" s="250"/>
      <c r="STU176" s="250"/>
      <c r="STV176" s="250"/>
      <c r="STW176" s="250"/>
      <c r="STX176" s="250"/>
      <c r="STY176" s="250"/>
      <c r="STZ176" s="250"/>
      <c r="SUA176" s="250"/>
      <c r="SUB176" s="250"/>
      <c r="SUC176" s="250"/>
      <c r="SUD176" s="250"/>
      <c r="SUE176" s="250"/>
      <c r="SUF176" s="250"/>
      <c r="SUG176" s="250"/>
      <c r="SUH176" s="250"/>
      <c r="SUI176" s="250"/>
      <c r="SUJ176" s="250"/>
      <c r="SUK176" s="250"/>
      <c r="SUL176" s="250"/>
      <c r="SUM176" s="250"/>
      <c r="SUN176" s="250"/>
      <c r="SUO176" s="250"/>
      <c r="SUP176" s="250"/>
      <c r="SUQ176" s="250"/>
      <c r="SUR176" s="250"/>
      <c r="SUS176" s="250"/>
      <c r="SUT176" s="250"/>
      <c r="SUU176" s="250"/>
      <c r="SUV176" s="250"/>
      <c r="SUW176" s="250"/>
      <c r="SUX176" s="250"/>
      <c r="SUY176" s="250"/>
      <c r="SUZ176" s="250"/>
      <c r="SVA176" s="250"/>
      <c r="SVB176" s="250"/>
      <c r="SVC176" s="250"/>
      <c r="SVD176" s="250"/>
      <c r="SVE176" s="250"/>
      <c r="SVF176" s="250"/>
      <c r="SVG176" s="250"/>
      <c r="SVH176" s="250"/>
      <c r="SVI176" s="250"/>
      <c r="SVJ176" s="250"/>
      <c r="SVK176" s="250"/>
      <c r="SVL176" s="250"/>
      <c r="SVM176" s="250"/>
      <c r="SVN176" s="250"/>
      <c r="SVO176" s="250"/>
      <c r="SVP176" s="250"/>
      <c r="SVQ176" s="250"/>
      <c r="SVR176" s="250"/>
      <c r="SVS176" s="250"/>
      <c r="SVT176" s="250"/>
      <c r="SVU176" s="250"/>
      <c r="SVV176" s="250"/>
      <c r="SVW176" s="250"/>
      <c r="SVX176" s="250"/>
      <c r="SVY176" s="250"/>
      <c r="SVZ176" s="250"/>
      <c r="SWA176" s="250"/>
      <c r="SWB176" s="250"/>
      <c r="SWC176" s="250"/>
      <c r="SWD176" s="250"/>
      <c r="SWE176" s="250"/>
      <c r="SWF176" s="250"/>
      <c r="SWG176" s="250"/>
      <c r="SWH176" s="250"/>
      <c r="SWI176" s="250"/>
      <c r="SWJ176" s="250"/>
      <c r="SWK176" s="250"/>
      <c r="SWL176" s="250"/>
      <c r="SWM176" s="250"/>
      <c r="SWN176" s="250"/>
      <c r="SWO176" s="250"/>
      <c r="SWP176" s="250"/>
      <c r="SWQ176" s="250"/>
      <c r="SWR176" s="250"/>
      <c r="SWS176" s="250"/>
      <c r="SWT176" s="250"/>
      <c r="SWU176" s="250"/>
      <c r="SWV176" s="250"/>
      <c r="SWW176" s="250"/>
      <c r="SWX176" s="250"/>
      <c r="SWY176" s="250"/>
      <c r="SWZ176" s="250"/>
      <c r="SXA176" s="250"/>
      <c r="SXB176" s="250"/>
      <c r="SXC176" s="250"/>
      <c r="SXD176" s="250"/>
      <c r="SXE176" s="250"/>
      <c r="SXF176" s="250"/>
      <c r="SXG176" s="250"/>
      <c r="SXH176" s="250"/>
      <c r="SXI176" s="250"/>
      <c r="SXJ176" s="250"/>
      <c r="SXK176" s="250"/>
      <c r="SXL176" s="250"/>
      <c r="SXM176" s="250"/>
      <c r="SXN176" s="250"/>
      <c r="SXO176" s="250"/>
      <c r="SXP176" s="250"/>
      <c r="SXQ176" s="250"/>
      <c r="SXR176" s="250"/>
      <c r="SXS176" s="250"/>
      <c r="SXT176" s="250"/>
      <c r="SXU176" s="250"/>
      <c r="SXV176" s="250"/>
      <c r="SXW176" s="250"/>
      <c r="SXX176" s="250"/>
      <c r="SXY176" s="250"/>
      <c r="SXZ176" s="250"/>
      <c r="SYA176" s="250"/>
      <c r="SYB176" s="250"/>
      <c r="SYC176" s="250"/>
      <c r="SYD176" s="250"/>
      <c r="SYE176" s="250"/>
      <c r="SYF176" s="250"/>
      <c r="SYG176" s="250"/>
      <c r="SYH176" s="250"/>
      <c r="SYI176" s="250"/>
      <c r="SYJ176" s="250"/>
      <c r="SYK176" s="250"/>
      <c r="SYL176" s="250"/>
      <c r="SYM176" s="250"/>
      <c r="SYN176" s="250"/>
      <c r="SYO176" s="250"/>
      <c r="SYP176" s="250"/>
      <c r="SYQ176" s="250"/>
      <c r="SYR176" s="250"/>
      <c r="SYS176" s="250"/>
      <c r="SYT176" s="250"/>
      <c r="SYU176" s="250"/>
      <c r="SYV176" s="250"/>
      <c r="SYW176" s="250"/>
      <c r="SYX176" s="250"/>
      <c r="SYY176" s="250"/>
      <c r="SYZ176" s="250"/>
      <c r="SZA176" s="250"/>
      <c r="SZB176" s="250"/>
      <c r="SZC176" s="250"/>
      <c r="SZD176" s="250"/>
      <c r="SZE176" s="250"/>
      <c r="SZF176" s="250"/>
      <c r="SZG176" s="250"/>
      <c r="SZH176" s="250"/>
      <c r="SZI176" s="250"/>
      <c r="SZJ176" s="250"/>
      <c r="SZK176" s="250"/>
      <c r="SZL176" s="250"/>
      <c r="SZM176" s="250"/>
      <c r="SZN176" s="250"/>
      <c r="SZO176" s="250"/>
      <c r="SZP176" s="250"/>
      <c r="SZQ176" s="250"/>
      <c r="SZR176" s="250"/>
      <c r="SZS176" s="250"/>
      <c r="SZT176" s="250"/>
      <c r="SZU176" s="250"/>
      <c r="SZV176" s="250"/>
      <c r="SZW176" s="250"/>
      <c r="SZX176" s="250"/>
      <c r="SZY176" s="250"/>
      <c r="SZZ176" s="250"/>
      <c r="TAA176" s="250"/>
      <c r="TAB176" s="250"/>
      <c r="TAC176" s="250"/>
      <c r="TAD176" s="250"/>
      <c r="TAE176" s="250"/>
      <c r="TAF176" s="250"/>
      <c r="TAG176" s="250"/>
      <c r="TAH176" s="250"/>
      <c r="TAI176" s="250"/>
      <c r="TAJ176" s="250"/>
      <c r="TAK176" s="250"/>
      <c r="TAL176" s="250"/>
      <c r="TAM176" s="250"/>
      <c r="TAN176" s="250"/>
      <c r="TAO176" s="250"/>
      <c r="TAP176" s="250"/>
      <c r="TAQ176" s="250"/>
      <c r="TAR176" s="250"/>
      <c r="TAS176" s="250"/>
      <c r="TAT176" s="250"/>
      <c r="TAU176" s="250"/>
      <c r="TAV176" s="250"/>
      <c r="TAW176" s="250"/>
      <c r="TAX176" s="250"/>
      <c r="TAY176" s="250"/>
      <c r="TAZ176" s="250"/>
      <c r="TBA176" s="250"/>
      <c r="TBB176" s="250"/>
      <c r="TBC176" s="250"/>
      <c r="TBD176" s="250"/>
      <c r="TBE176" s="250"/>
      <c r="TBF176" s="250"/>
      <c r="TBG176" s="250"/>
      <c r="TBH176" s="250"/>
      <c r="TBI176" s="250"/>
      <c r="TBJ176" s="250"/>
      <c r="TBK176" s="250"/>
      <c r="TBL176" s="250"/>
      <c r="TBM176" s="250"/>
      <c r="TBN176" s="250"/>
      <c r="TBO176" s="250"/>
      <c r="TBP176" s="250"/>
      <c r="TBQ176" s="250"/>
      <c r="TBR176" s="250"/>
      <c r="TBS176" s="250"/>
      <c r="TBT176" s="250"/>
      <c r="TBU176" s="250"/>
      <c r="TBV176" s="250"/>
      <c r="TBW176" s="250"/>
      <c r="TBX176" s="250"/>
      <c r="TBY176" s="250"/>
      <c r="TBZ176" s="250"/>
      <c r="TCA176" s="250"/>
      <c r="TCB176" s="250"/>
      <c r="TCC176" s="250"/>
      <c r="TCD176" s="250"/>
      <c r="TCE176" s="250"/>
      <c r="TCF176" s="250"/>
      <c r="TCG176" s="250"/>
      <c r="TCH176" s="250"/>
      <c r="TCI176" s="250"/>
      <c r="TCJ176" s="250"/>
      <c r="TCK176" s="250"/>
      <c r="TCL176" s="250"/>
      <c r="TCM176" s="250"/>
      <c r="TCN176" s="250"/>
      <c r="TCO176" s="250"/>
      <c r="TCP176" s="250"/>
      <c r="TCQ176" s="250"/>
      <c r="TCR176" s="250"/>
      <c r="TCS176" s="250"/>
      <c r="TCT176" s="250"/>
      <c r="TCU176" s="250"/>
      <c r="TCV176" s="250"/>
      <c r="TCW176" s="250"/>
      <c r="TCX176" s="250"/>
      <c r="TCY176" s="250"/>
      <c r="TCZ176" s="250"/>
      <c r="TDA176" s="250"/>
      <c r="TDB176" s="250"/>
      <c r="TDC176" s="250"/>
      <c r="TDD176" s="250"/>
      <c r="TDE176" s="250"/>
      <c r="TDF176" s="250"/>
      <c r="TDG176" s="250"/>
      <c r="TDH176" s="250"/>
      <c r="TDI176" s="250"/>
      <c r="TDJ176" s="250"/>
      <c r="TDK176" s="250"/>
      <c r="TDL176" s="250"/>
      <c r="TDM176" s="250"/>
      <c r="TDN176" s="250"/>
      <c r="TDO176" s="250"/>
      <c r="TDP176" s="250"/>
      <c r="TDQ176" s="250"/>
      <c r="TDR176" s="250"/>
      <c r="TDS176" s="250"/>
      <c r="TDT176" s="250"/>
      <c r="TDU176" s="250"/>
      <c r="TDV176" s="250"/>
      <c r="TDW176" s="250"/>
      <c r="TDX176" s="250"/>
      <c r="TDY176" s="250"/>
      <c r="TDZ176" s="250"/>
      <c r="TEA176" s="250"/>
      <c r="TEB176" s="250"/>
      <c r="TEC176" s="250"/>
      <c r="TED176" s="250"/>
      <c r="TEE176" s="250"/>
      <c r="TEF176" s="250"/>
      <c r="TEG176" s="250"/>
      <c r="TEH176" s="250"/>
      <c r="TEI176" s="250"/>
      <c r="TEJ176" s="250"/>
      <c r="TEK176" s="250"/>
      <c r="TEL176" s="250"/>
      <c r="TEM176" s="250"/>
      <c r="TEN176" s="250"/>
      <c r="TEO176" s="250"/>
      <c r="TEP176" s="250"/>
      <c r="TEQ176" s="250"/>
      <c r="TER176" s="250"/>
      <c r="TES176" s="250"/>
      <c r="TET176" s="250"/>
      <c r="TEU176" s="250"/>
      <c r="TEV176" s="250"/>
      <c r="TEW176" s="250"/>
      <c r="TEX176" s="250"/>
      <c r="TEY176" s="250"/>
      <c r="TEZ176" s="250"/>
      <c r="TFA176" s="250"/>
      <c r="TFB176" s="250"/>
      <c r="TFC176" s="250"/>
      <c r="TFD176" s="250"/>
      <c r="TFE176" s="250"/>
      <c r="TFF176" s="250"/>
      <c r="TFG176" s="250"/>
      <c r="TFH176" s="250"/>
      <c r="TFI176" s="250"/>
      <c r="TFJ176" s="250"/>
      <c r="TFK176" s="250"/>
      <c r="TFL176" s="250"/>
      <c r="TFM176" s="250"/>
      <c r="TFN176" s="250"/>
      <c r="TFO176" s="250"/>
      <c r="TFP176" s="250"/>
      <c r="TFQ176" s="250"/>
      <c r="TFR176" s="250"/>
      <c r="TFS176" s="250"/>
      <c r="TFT176" s="250"/>
      <c r="TFU176" s="250"/>
      <c r="TFV176" s="250"/>
      <c r="TFW176" s="250"/>
      <c r="TFX176" s="250"/>
      <c r="TFY176" s="250"/>
      <c r="TFZ176" s="250"/>
      <c r="TGA176" s="250"/>
      <c r="TGB176" s="250"/>
      <c r="TGC176" s="250"/>
      <c r="TGD176" s="250"/>
      <c r="TGE176" s="250"/>
      <c r="TGF176" s="250"/>
      <c r="TGG176" s="250"/>
      <c r="TGH176" s="250"/>
      <c r="TGI176" s="250"/>
      <c r="TGJ176" s="250"/>
      <c r="TGK176" s="250"/>
      <c r="TGL176" s="250"/>
      <c r="TGM176" s="250"/>
      <c r="TGN176" s="250"/>
      <c r="TGO176" s="250"/>
      <c r="TGP176" s="250"/>
      <c r="TGQ176" s="250"/>
      <c r="TGR176" s="250"/>
      <c r="TGS176" s="250"/>
      <c r="TGT176" s="250"/>
      <c r="TGU176" s="250"/>
      <c r="TGV176" s="250"/>
      <c r="TGW176" s="250"/>
      <c r="TGX176" s="250"/>
      <c r="TGY176" s="250"/>
      <c r="TGZ176" s="250"/>
      <c r="THA176" s="250"/>
      <c r="THB176" s="250"/>
      <c r="THC176" s="250"/>
      <c r="THD176" s="250"/>
      <c r="THE176" s="250"/>
      <c r="THF176" s="250"/>
      <c r="THG176" s="250"/>
      <c r="THH176" s="250"/>
      <c r="THI176" s="250"/>
      <c r="THJ176" s="250"/>
      <c r="THK176" s="250"/>
      <c r="THL176" s="250"/>
      <c r="THM176" s="250"/>
      <c r="THN176" s="250"/>
      <c r="THO176" s="250"/>
      <c r="THP176" s="250"/>
      <c r="THQ176" s="250"/>
      <c r="THR176" s="250"/>
      <c r="THS176" s="250"/>
      <c r="THT176" s="250"/>
      <c r="THU176" s="250"/>
      <c r="THV176" s="250"/>
      <c r="THW176" s="250"/>
      <c r="THX176" s="250"/>
      <c r="THY176" s="250"/>
      <c r="THZ176" s="250"/>
      <c r="TIA176" s="250"/>
      <c r="TIB176" s="250"/>
      <c r="TIC176" s="250"/>
      <c r="TID176" s="250"/>
      <c r="TIE176" s="250"/>
      <c r="TIF176" s="250"/>
      <c r="TIG176" s="250"/>
      <c r="TIH176" s="250"/>
      <c r="TII176" s="250"/>
      <c r="TIJ176" s="250"/>
      <c r="TIK176" s="250"/>
      <c r="TIL176" s="250"/>
      <c r="TIM176" s="250"/>
      <c r="TIN176" s="250"/>
      <c r="TIO176" s="250"/>
      <c r="TIP176" s="250"/>
      <c r="TIQ176" s="250"/>
      <c r="TIR176" s="250"/>
      <c r="TIS176" s="250"/>
      <c r="TIT176" s="250"/>
      <c r="TIU176" s="250"/>
      <c r="TIV176" s="250"/>
      <c r="TIW176" s="250"/>
      <c r="TIX176" s="250"/>
      <c r="TIY176" s="250"/>
      <c r="TIZ176" s="250"/>
      <c r="TJA176" s="250"/>
      <c r="TJB176" s="250"/>
      <c r="TJC176" s="250"/>
      <c r="TJD176" s="250"/>
      <c r="TJE176" s="250"/>
      <c r="TJF176" s="250"/>
      <c r="TJG176" s="250"/>
      <c r="TJH176" s="250"/>
      <c r="TJI176" s="250"/>
      <c r="TJJ176" s="250"/>
      <c r="TJK176" s="250"/>
      <c r="TJL176" s="250"/>
      <c r="TJM176" s="250"/>
      <c r="TJN176" s="250"/>
      <c r="TJO176" s="250"/>
      <c r="TJP176" s="250"/>
      <c r="TJQ176" s="250"/>
      <c r="TJR176" s="250"/>
      <c r="TJS176" s="250"/>
      <c r="TJT176" s="250"/>
      <c r="TJU176" s="250"/>
      <c r="TJV176" s="250"/>
      <c r="TJW176" s="250"/>
      <c r="TJX176" s="250"/>
      <c r="TJY176" s="250"/>
      <c r="TJZ176" s="250"/>
      <c r="TKA176" s="250"/>
      <c r="TKB176" s="250"/>
      <c r="TKC176" s="250"/>
      <c r="TKD176" s="250"/>
      <c r="TKE176" s="250"/>
      <c r="TKF176" s="250"/>
      <c r="TKG176" s="250"/>
      <c r="TKH176" s="250"/>
      <c r="TKI176" s="250"/>
      <c r="TKJ176" s="250"/>
      <c r="TKK176" s="250"/>
      <c r="TKL176" s="250"/>
      <c r="TKM176" s="250"/>
      <c r="TKN176" s="250"/>
      <c r="TKO176" s="250"/>
      <c r="TKP176" s="250"/>
      <c r="TKQ176" s="250"/>
      <c r="TKR176" s="250"/>
      <c r="TKS176" s="250"/>
      <c r="TKT176" s="250"/>
      <c r="TKU176" s="250"/>
      <c r="TKV176" s="250"/>
      <c r="TKW176" s="250"/>
      <c r="TKX176" s="250"/>
      <c r="TKY176" s="250"/>
      <c r="TKZ176" s="250"/>
      <c r="TLA176" s="250"/>
      <c r="TLB176" s="250"/>
      <c r="TLC176" s="250"/>
      <c r="TLD176" s="250"/>
      <c r="TLE176" s="250"/>
      <c r="TLF176" s="250"/>
      <c r="TLG176" s="250"/>
      <c r="TLH176" s="250"/>
      <c r="TLI176" s="250"/>
      <c r="TLJ176" s="250"/>
      <c r="TLK176" s="250"/>
      <c r="TLL176" s="250"/>
      <c r="TLM176" s="250"/>
      <c r="TLN176" s="250"/>
      <c r="TLO176" s="250"/>
      <c r="TLP176" s="250"/>
      <c r="TLQ176" s="250"/>
      <c r="TLR176" s="250"/>
      <c r="TLS176" s="250"/>
      <c r="TLT176" s="250"/>
      <c r="TLU176" s="250"/>
      <c r="TLV176" s="250"/>
      <c r="TLW176" s="250"/>
      <c r="TLX176" s="250"/>
      <c r="TLY176" s="250"/>
      <c r="TLZ176" s="250"/>
      <c r="TMA176" s="250"/>
      <c r="TMB176" s="250"/>
      <c r="TMC176" s="250"/>
      <c r="TMD176" s="250"/>
      <c r="TME176" s="250"/>
      <c r="TMF176" s="250"/>
      <c r="TMG176" s="250"/>
      <c r="TMH176" s="250"/>
      <c r="TMI176" s="250"/>
      <c r="TMJ176" s="250"/>
      <c r="TMK176" s="250"/>
      <c r="TML176" s="250"/>
      <c r="TMM176" s="250"/>
      <c r="TMN176" s="250"/>
      <c r="TMO176" s="250"/>
      <c r="TMP176" s="250"/>
      <c r="TMQ176" s="250"/>
      <c r="TMR176" s="250"/>
      <c r="TMS176" s="250"/>
      <c r="TMT176" s="250"/>
      <c r="TMU176" s="250"/>
      <c r="TMV176" s="250"/>
      <c r="TMW176" s="250"/>
      <c r="TMX176" s="250"/>
      <c r="TMY176" s="250"/>
      <c r="TMZ176" s="250"/>
      <c r="TNA176" s="250"/>
      <c r="TNB176" s="250"/>
      <c r="TNC176" s="250"/>
      <c r="TND176" s="250"/>
      <c r="TNE176" s="250"/>
      <c r="TNF176" s="250"/>
      <c r="TNG176" s="250"/>
      <c r="TNH176" s="250"/>
      <c r="TNI176" s="250"/>
      <c r="TNJ176" s="250"/>
      <c r="TNK176" s="250"/>
      <c r="TNL176" s="250"/>
      <c r="TNM176" s="250"/>
      <c r="TNN176" s="250"/>
      <c r="TNO176" s="250"/>
      <c r="TNP176" s="250"/>
      <c r="TNQ176" s="250"/>
      <c r="TNR176" s="250"/>
      <c r="TNS176" s="250"/>
      <c r="TNT176" s="250"/>
      <c r="TNU176" s="250"/>
      <c r="TNV176" s="250"/>
      <c r="TNW176" s="250"/>
      <c r="TNX176" s="250"/>
      <c r="TNY176" s="250"/>
      <c r="TNZ176" s="250"/>
      <c r="TOA176" s="250"/>
      <c r="TOB176" s="250"/>
      <c r="TOC176" s="250"/>
      <c r="TOD176" s="250"/>
      <c r="TOE176" s="250"/>
      <c r="TOF176" s="250"/>
      <c r="TOG176" s="250"/>
      <c r="TOH176" s="250"/>
      <c r="TOI176" s="250"/>
      <c r="TOJ176" s="250"/>
      <c r="TOK176" s="250"/>
      <c r="TOL176" s="250"/>
      <c r="TOM176" s="250"/>
      <c r="TON176" s="250"/>
      <c r="TOO176" s="250"/>
      <c r="TOP176" s="250"/>
      <c r="TOQ176" s="250"/>
      <c r="TOR176" s="250"/>
      <c r="TOS176" s="250"/>
      <c r="TOT176" s="250"/>
      <c r="TOU176" s="250"/>
      <c r="TOV176" s="250"/>
      <c r="TOW176" s="250"/>
      <c r="TOX176" s="250"/>
      <c r="TOY176" s="250"/>
      <c r="TOZ176" s="250"/>
      <c r="TPA176" s="250"/>
      <c r="TPB176" s="250"/>
      <c r="TPC176" s="250"/>
      <c r="TPD176" s="250"/>
      <c r="TPE176" s="250"/>
      <c r="TPF176" s="250"/>
      <c r="TPG176" s="250"/>
      <c r="TPH176" s="250"/>
      <c r="TPI176" s="250"/>
      <c r="TPJ176" s="250"/>
      <c r="TPK176" s="250"/>
      <c r="TPL176" s="250"/>
      <c r="TPM176" s="250"/>
      <c r="TPN176" s="250"/>
      <c r="TPO176" s="250"/>
      <c r="TPP176" s="250"/>
      <c r="TPQ176" s="250"/>
      <c r="TPR176" s="250"/>
      <c r="TPS176" s="250"/>
      <c r="TPT176" s="250"/>
      <c r="TPU176" s="250"/>
      <c r="TPV176" s="250"/>
      <c r="TPW176" s="250"/>
      <c r="TPX176" s="250"/>
      <c r="TPY176" s="250"/>
      <c r="TPZ176" s="250"/>
      <c r="TQA176" s="250"/>
      <c r="TQB176" s="250"/>
      <c r="TQC176" s="250"/>
      <c r="TQD176" s="250"/>
      <c r="TQE176" s="250"/>
      <c r="TQF176" s="250"/>
      <c r="TQG176" s="250"/>
      <c r="TQH176" s="250"/>
      <c r="TQI176" s="250"/>
      <c r="TQJ176" s="250"/>
      <c r="TQK176" s="250"/>
      <c r="TQL176" s="250"/>
      <c r="TQM176" s="250"/>
      <c r="TQN176" s="250"/>
      <c r="TQO176" s="250"/>
      <c r="TQP176" s="250"/>
      <c r="TQQ176" s="250"/>
      <c r="TQR176" s="250"/>
      <c r="TQS176" s="250"/>
      <c r="TQT176" s="250"/>
      <c r="TQU176" s="250"/>
      <c r="TQV176" s="250"/>
      <c r="TQW176" s="250"/>
      <c r="TQX176" s="250"/>
      <c r="TQY176" s="250"/>
      <c r="TQZ176" s="250"/>
      <c r="TRA176" s="250"/>
      <c r="TRB176" s="250"/>
      <c r="TRC176" s="250"/>
      <c r="TRD176" s="250"/>
      <c r="TRE176" s="250"/>
      <c r="TRF176" s="250"/>
      <c r="TRG176" s="250"/>
      <c r="TRH176" s="250"/>
      <c r="TRI176" s="250"/>
      <c r="TRJ176" s="250"/>
      <c r="TRK176" s="250"/>
      <c r="TRL176" s="250"/>
      <c r="TRM176" s="250"/>
      <c r="TRN176" s="250"/>
      <c r="TRO176" s="250"/>
      <c r="TRP176" s="250"/>
      <c r="TRQ176" s="250"/>
      <c r="TRR176" s="250"/>
      <c r="TRS176" s="250"/>
      <c r="TRT176" s="250"/>
      <c r="TRU176" s="250"/>
      <c r="TRV176" s="250"/>
      <c r="TRW176" s="250"/>
      <c r="TRX176" s="250"/>
      <c r="TRY176" s="250"/>
      <c r="TRZ176" s="250"/>
      <c r="TSA176" s="250"/>
      <c r="TSB176" s="250"/>
      <c r="TSC176" s="250"/>
      <c r="TSD176" s="250"/>
      <c r="TSE176" s="250"/>
      <c r="TSF176" s="250"/>
      <c r="TSG176" s="250"/>
      <c r="TSH176" s="250"/>
      <c r="TSI176" s="250"/>
      <c r="TSJ176" s="250"/>
      <c r="TSK176" s="250"/>
      <c r="TSL176" s="250"/>
      <c r="TSM176" s="250"/>
      <c r="TSN176" s="250"/>
      <c r="TSO176" s="250"/>
      <c r="TSP176" s="250"/>
      <c r="TSQ176" s="250"/>
      <c r="TSR176" s="250"/>
      <c r="TSS176" s="250"/>
      <c r="TST176" s="250"/>
      <c r="TSU176" s="250"/>
      <c r="TSV176" s="250"/>
      <c r="TSW176" s="250"/>
      <c r="TSX176" s="250"/>
      <c r="TSY176" s="250"/>
      <c r="TSZ176" s="250"/>
      <c r="TTA176" s="250"/>
      <c r="TTB176" s="250"/>
      <c r="TTC176" s="250"/>
      <c r="TTD176" s="250"/>
      <c r="TTE176" s="250"/>
      <c r="TTF176" s="250"/>
      <c r="TTG176" s="250"/>
      <c r="TTH176" s="250"/>
      <c r="TTI176" s="250"/>
      <c r="TTJ176" s="250"/>
      <c r="TTK176" s="250"/>
      <c r="TTL176" s="250"/>
      <c r="TTM176" s="250"/>
      <c r="TTN176" s="250"/>
      <c r="TTO176" s="250"/>
      <c r="TTP176" s="250"/>
      <c r="TTQ176" s="250"/>
      <c r="TTR176" s="250"/>
      <c r="TTS176" s="250"/>
      <c r="TTT176" s="250"/>
      <c r="TTU176" s="250"/>
      <c r="TTV176" s="250"/>
      <c r="TTW176" s="250"/>
      <c r="TTX176" s="250"/>
      <c r="TTY176" s="250"/>
      <c r="TTZ176" s="250"/>
      <c r="TUA176" s="250"/>
      <c r="TUB176" s="250"/>
      <c r="TUC176" s="250"/>
      <c r="TUD176" s="250"/>
      <c r="TUE176" s="250"/>
      <c r="TUF176" s="250"/>
      <c r="TUG176" s="250"/>
      <c r="TUH176" s="250"/>
      <c r="TUI176" s="250"/>
      <c r="TUJ176" s="250"/>
      <c r="TUK176" s="250"/>
      <c r="TUL176" s="250"/>
      <c r="TUM176" s="250"/>
      <c r="TUN176" s="250"/>
      <c r="TUO176" s="250"/>
      <c r="TUP176" s="250"/>
      <c r="TUQ176" s="250"/>
      <c r="TUR176" s="250"/>
      <c r="TUS176" s="250"/>
      <c r="TUT176" s="250"/>
      <c r="TUU176" s="250"/>
      <c r="TUV176" s="250"/>
      <c r="TUW176" s="250"/>
      <c r="TUX176" s="250"/>
      <c r="TUY176" s="250"/>
      <c r="TUZ176" s="250"/>
      <c r="TVA176" s="250"/>
      <c r="TVB176" s="250"/>
      <c r="TVC176" s="250"/>
      <c r="TVD176" s="250"/>
      <c r="TVE176" s="250"/>
      <c r="TVF176" s="250"/>
      <c r="TVG176" s="250"/>
      <c r="TVH176" s="250"/>
      <c r="TVI176" s="250"/>
      <c r="TVJ176" s="250"/>
      <c r="TVK176" s="250"/>
      <c r="TVL176" s="250"/>
      <c r="TVM176" s="250"/>
      <c r="TVN176" s="250"/>
      <c r="TVO176" s="250"/>
      <c r="TVP176" s="250"/>
      <c r="TVQ176" s="250"/>
      <c r="TVR176" s="250"/>
      <c r="TVS176" s="250"/>
      <c r="TVT176" s="250"/>
      <c r="TVU176" s="250"/>
      <c r="TVV176" s="250"/>
      <c r="TVW176" s="250"/>
      <c r="TVX176" s="250"/>
      <c r="TVY176" s="250"/>
      <c r="TVZ176" s="250"/>
      <c r="TWA176" s="250"/>
      <c r="TWB176" s="250"/>
      <c r="TWC176" s="250"/>
      <c r="TWD176" s="250"/>
      <c r="TWE176" s="250"/>
      <c r="TWF176" s="250"/>
      <c r="TWG176" s="250"/>
      <c r="TWH176" s="250"/>
      <c r="TWI176" s="250"/>
      <c r="TWJ176" s="250"/>
      <c r="TWK176" s="250"/>
      <c r="TWL176" s="250"/>
      <c r="TWM176" s="250"/>
      <c r="TWN176" s="250"/>
      <c r="TWO176" s="250"/>
      <c r="TWP176" s="250"/>
      <c r="TWQ176" s="250"/>
      <c r="TWR176" s="250"/>
      <c r="TWS176" s="250"/>
      <c r="TWT176" s="250"/>
      <c r="TWU176" s="250"/>
      <c r="TWV176" s="250"/>
      <c r="TWW176" s="250"/>
      <c r="TWX176" s="250"/>
      <c r="TWY176" s="250"/>
      <c r="TWZ176" s="250"/>
      <c r="TXA176" s="250"/>
      <c r="TXB176" s="250"/>
      <c r="TXC176" s="250"/>
      <c r="TXD176" s="250"/>
      <c r="TXE176" s="250"/>
      <c r="TXF176" s="250"/>
      <c r="TXG176" s="250"/>
      <c r="TXH176" s="250"/>
      <c r="TXI176" s="250"/>
      <c r="TXJ176" s="250"/>
      <c r="TXK176" s="250"/>
      <c r="TXL176" s="250"/>
      <c r="TXM176" s="250"/>
      <c r="TXN176" s="250"/>
      <c r="TXO176" s="250"/>
      <c r="TXP176" s="250"/>
      <c r="TXQ176" s="250"/>
      <c r="TXR176" s="250"/>
      <c r="TXS176" s="250"/>
      <c r="TXT176" s="250"/>
      <c r="TXU176" s="250"/>
      <c r="TXV176" s="250"/>
      <c r="TXW176" s="250"/>
      <c r="TXX176" s="250"/>
      <c r="TXY176" s="250"/>
      <c r="TXZ176" s="250"/>
      <c r="TYA176" s="250"/>
      <c r="TYB176" s="250"/>
      <c r="TYC176" s="250"/>
      <c r="TYD176" s="250"/>
      <c r="TYE176" s="250"/>
      <c r="TYF176" s="250"/>
      <c r="TYG176" s="250"/>
      <c r="TYH176" s="250"/>
      <c r="TYI176" s="250"/>
      <c r="TYJ176" s="250"/>
      <c r="TYK176" s="250"/>
      <c r="TYL176" s="250"/>
      <c r="TYM176" s="250"/>
      <c r="TYN176" s="250"/>
      <c r="TYO176" s="250"/>
      <c r="TYP176" s="250"/>
      <c r="TYQ176" s="250"/>
      <c r="TYR176" s="250"/>
      <c r="TYS176" s="250"/>
      <c r="TYT176" s="250"/>
      <c r="TYU176" s="250"/>
      <c r="TYV176" s="250"/>
      <c r="TYW176" s="250"/>
      <c r="TYX176" s="250"/>
      <c r="TYY176" s="250"/>
      <c r="TYZ176" s="250"/>
      <c r="TZA176" s="250"/>
      <c r="TZB176" s="250"/>
      <c r="TZC176" s="250"/>
      <c r="TZD176" s="250"/>
      <c r="TZE176" s="250"/>
      <c r="TZF176" s="250"/>
      <c r="TZG176" s="250"/>
      <c r="TZH176" s="250"/>
      <c r="TZI176" s="250"/>
      <c r="TZJ176" s="250"/>
      <c r="TZK176" s="250"/>
      <c r="TZL176" s="250"/>
      <c r="TZM176" s="250"/>
      <c r="TZN176" s="250"/>
      <c r="TZO176" s="250"/>
      <c r="TZP176" s="250"/>
      <c r="TZQ176" s="250"/>
      <c r="TZR176" s="250"/>
      <c r="TZS176" s="250"/>
      <c r="TZT176" s="250"/>
      <c r="TZU176" s="250"/>
      <c r="TZV176" s="250"/>
      <c r="TZW176" s="250"/>
      <c r="TZX176" s="250"/>
      <c r="TZY176" s="250"/>
      <c r="TZZ176" s="250"/>
      <c r="UAA176" s="250"/>
      <c r="UAB176" s="250"/>
      <c r="UAC176" s="250"/>
      <c r="UAD176" s="250"/>
      <c r="UAE176" s="250"/>
      <c r="UAF176" s="250"/>
      <c r="UAG176" s="250"/>
      <c r="UAH176" s="250"/>
      <c r="UAI176" s="250"/>
      <c r="UAJ176" s="250"/>
      <c r="UAK176" s="250"/>
      <c r="UAL176" s="250"/>
      <c r="UAM176" s="250"/>
      <c r="UAN176" s="250"/>
      <c r="UAO176" s="250"/>
      <c r="UAP176" s="250"/>
      <c r="UAQ176" s="250"/>
      <c r="UAR176" s="250"/>
      <c r="UAS176" s="250"/>
      <c r="UAT176" s="250"/>
      <c r="UAU176" s="250"/>
      <c r="UAV176" s="250"/>
      <c r="UAW176" s="250"/>
      <c r="UAX176" s="250"/>
      <c r="UAY176" s="250"/>
      <c r="UAZ176" s="250"/>
      <c r="UBA176" s="250"/>
      <c r="UBB176" s="250"/>
      <c r="UBC176" s="250"/>
      <c r="UBD176" s="250"/>
      <c r="UBE176" s="250"/>
      <c r="UBF176" s="250"/>
      <c r="UBG176" s="250"/>
      <c r="UBH176" s="250"/>
      <c r="UBI176" s="250"/>
      <c r="UBJ176" s="250"/>
      <c r="UBK176" s="250"/>
      <c r="UBL176" s="250"/>
      <c r="UBM176" s="250"/>
      <c r="UBN176" s="250"/>
      <c r="UBO176" s="250"/>
      <c r="UBP176" s="250"/>
      <c r="UBQ176" s="250"/>
      <c r="UBR176" s="250"/>
      <c r="UBS176" s="250"/>
      <c r="UBT176" s="250"/>
      <c r="UBU176" s="250"/>
      <c r="UBV176" s="250"/>
      <c r="UBW176" s="250"/>
      <c r="UBX176" s="250"/>
      <c r="UBY176" s="250"/>
      <c r="UBZ176" s="250"/>
      <c r="UCA176" s="250"/>
      <c r="UCB176" s="250"/>
      <c r="UCC176" s="250"/>
      <c r="UCD176" s="250"/>
      <c r="UCE176" s="250"/>
      <c r="UCF176" s="250"/>
      <c r="UCG176" s="250"/>
      <c r="UCH176" s="250"/>
      <c r="UCI176" s="250"/>
      <c r="UCJ176" s="250"/>
      <c r="UCK176" s="250"/>
      <c r="UCL176" s="250"/>
      <c r="UCM176" s="250"/>
      <c r="UCN176" s="250"/>
      <c r="UCO176" s="250"/>
      <c r="UCP176" s="250"/>
      <c r="UCQ176" s="250"/>
      <c r="UCR176" s="250"/>
      <c r="UCS176" s="250"/>
      <c r="UCT176" s="250"/>
      <c r="UCU176" s="250"/>
      <c r="UCV176" s="250"/>
      <c r="UCW176" s="250"/>
      <c r="UCX176" s="250"/>
      <c r="UCY176" s="250"/>
      <c r="UCZ176" s="250"/>
      <c r="UDA176" s="250"/>
      <c r="UDB176" s="250"/>
      <c r="UDC176" s="250"/>
      <c r="UDD176" s="250"/>
      <c r="UDE176" s="250"/>
      <c r="UDF176" s="250"/>
      <c r="UDG176" s="250"/>
      <c r="UDH176" s="250"/>
      <c r="UDI176" s="250"/>
      <c r="UDJ176" s="250"/>
      <c r="UDK176" s="250"/>
      <c r="UDL176" s="250"/>
      <c r="UDM176" s="250"/>
      <c r="UDN176" s="250"/>
      <c r="UDO176" s="250"/>
      <c r="UDP176" s="250"/>
      <c r="UDQ176" s="250"/>
      <c r="UDR176" s="250"/>
      <c r="UDS176" s="250"/>
      <c r="UDT176" s="250"/>
      <c r="UDU176" s="250"/>
      <c r="UDV176" s="250"/>
      <c r="UDW176" s="250"/>
      <c r="UDX176" s="250"/>
      <c r="UDY176" s="250"/>
      <c r="UDZ176" s="250"/>
      <c r="UEA176" s="250"/>
      <c r="UEB176" s="250"/>
      <c r="UEC176" s="250"/>
      <c r="UED176" s="250"/>
      <c r="UEE176" s="250"/>
      <c r="UEF176" s="250"/>
      <c r="UEG176" s="250"/>
      <c r="UEH176" s="250"/>
      <c r="UEI176" s="250"/>
      <c r="UEJ176" s="250"/>
      <c r="UEK176" s="250"/>
      <c r="UEL176" s="250"/>
      <c r="UEM176" s="250"/>
      <c r="UEN176" s="250"/>
      <c r="UEO176" s="250"/>
      <c r="UEP176" s="250"/>
      <c r="UEQ176" s="250"/>
      <c r="UER176" s="250"/>
      <c r="UES176" s="250"/>
      <c r="UET176" s="250"/>
      <c r="UEU176" s="250"/>
      <c r="UEV176" s="250"/>
      <c r="UEW176" s="250"/>
      <c r="UEX176" s="250"/>
      <c r="UEY176" s="250"/>
      <c r="UEZ176" s="250"/>
      <c r="UFA176" s="250"/>
      <c r="UFB176" s="250"/>
      <c r="UFC176" s="250"/>
      <c r="UFD176" s="250"/>
      <c r="UFE176" s="250"/>
      <c r="UFF176" s="250"/>
      <c r="UFG176" s="250"/>
      <c r="UFH176" s="250"/>
      <c r="UFI176" s="250"/>
      <c r="UFJ176" s="250"/>
      <c r="UFK176" s="250"/>
      <c r="UFL176" s="250"/>
      <c r="UFM176" s="250"/>
      <c r="UFN176" s="250"/>
      <c r="UFO176" s="250"/>
      <c r="UFP176" s="250"/>
      <c r="UFQ176" s="250"/>
      <c r="UFR176" s="250"/>
      <c r="UFS176" s="250"/>
      <c r="UFT176" s="250"/>
      <c r="UFU176" s="250"/>
      <c r="UFV176" s="250"/>
      <c r="UFW176" s="250"/>
      <c r="UFX176" s="250"/>
      <c r="UFY176" s="250"/>
      <c r="UFZ176" s="250"/>
      <c r="UGA176" s="250"/>
      <c r="UGB176" s="250"/>
      <c r="UGC176" s="250"/>
      <c r="UGD176" s="250"/>
      <c r="UGE176" s="250"/>
      <c r="UGF176" s="250"/>
      <c r="UGG176" s="250"/>
      <c r="UGH176" s="250"/>
      <c r="UGI176" s="250"/>
      <c r="UGJ176" s="250"/>
      <c r="UGK176" s="250"/>
      <c r="UGL176" s="250"/>
      <c r="UGM176" s="250"/>
      <c r="UGN176" s="250"/>
      <c r="UGO176" s="250"/>
      <c r="UGP176" s="250"/>
      <c r="UGQ176" s="250"/>
      <c r="UGR176" s="250"/>
      <c r="UGS176" s="250"/>
      <c r="UGT176" s="250"/>
      <c r="UGU176" s="250"/>
      <c r="UGV176" s="250"/>
      <c r="UGW176" s="250"/>
      <c r="UGX176" s="250"/>
      <c r="UGY176" s="250"/>
      <c r="UGZ176" s="250"/>
      <c r="UHA176" s="250"/>
      <c r="UHB176" s="250"/>
      <c r="UHC176" s="250"/>
      <c r="UHD176" s="250"/>
      <c r="UHE176" s="250"/>
      <c r="UHF176" s="250"/>
      <c r="UHG176" s="250"/>
      <c r="UHH176" s="250"/>
      <c r="UHI176" s="250"/>
      <c r="UHJ176" s="250"/>
      <c r="UHK176" s="250"/>
      <c r="UHL176" s="250"/>
      <c r="UHM176" s="250"/>
      <c r="UHN176" s="250"/>
      <c r="UHO176" s="250"/>
      <c r="UHP176" s="250"/>
      <c r="UHQ176" s="250"/>
      <c r="UHR176" s="250"/>
      <c r="UHS176" s="250"/>
      <c r="UHT176" s="250"/>
      <c r="UHU176" s="250"/>
      <c r="UHV176" s="250"/>
      <c r="UHW176" s="250"/>
      <c r="UHX176" s="250"/>
      <c r="UHY176" s="250"/>
      <c r="UHZ176" s="250"/>
      <c r="UIA176" s="250"/>
      <c r="UIB176" s="250"/>
      <c r="UIC176" s="250"/>
      <c r="UID176" s="250"/>
      <c r="UIE176" s="250"/>
      <c r="UIF176" s="250"/>
      <c r="UIG176" s="250"/>
      <c r="UIH176" s="250"/>
      <c r="UII176" s="250"/>
      <c r="UIJ176" s="250"/>
      <c r="UIK176" s="250"/>
      <c r="UIL176" s="250"/>
      <c r="UIM176" s="250"/>
      <c r="UIN176" s="250"/>
      <c r="UIO176" s="250"/>
      <c r="UIP176" s="250"/>
      <c r="UIQ176" s="250"/>
      <c r="UIR176" s="250"/>
      <c r="UIS176" s="250"/>
      <c r="UIT176" s="250"/>
      <c r="UIU176" s="250"/>
      <c r="UIV176" s="250"/>
      <c r="UIW176" s="250"/>
      <c r="UIX176" s="250"/>
      <c r="UIY176" s="250"/>
      <c r="UIZ176" s="250"/>
      <c r="UJA176" s="250"/>
      <c r="UJB176" s="250"/>
      <c r="UJC176" s="250"/>
      <c r="UJD176" s="250"/>
      <c r="UJE176" s="250"/>
      <c r="UJF176" s="250"/>
      <c r="UJG176" s="250"/>
      <c r="UJH176" s="250"/>
      <c r="UJI176" s="250"/>
      <c r="UJJ176" s="250"/>
      <c r="UJK176" s="250"/>
      <c r="UJL176" s="250"/>
      <c r="UJM176" s="250"/>
      <c r="UJN176" s="250"/>
      <c r="UJO176" s="250"/>
      <c r="UJP176" s="250"/>
      <c r="UJQ176" s="250"/>
      <c r="UJR176" s="250"/>
      <c r="UJS176" s="250"/>
      <c r="UJT176" s="250"/>
      <c r="UJU176" s="250"/>
      <c r="UJV176" s="250"/>
      <c r="UJW176" s="250"/>
      <c r="UJX176" s="250"/>
      <c r="UJY176" s="250"/>
      <c r="UJZ176" s="250"/>
      <c r="UKA176" s="250"/>
      <c r="UKB176" s="250"/>
      <c r="UKC176" s="250"/>
      <c r="UKD176" s="250"/>
      <c r="UKE176" s="250"/>
      <c r="UKF176" s="250"/>
      <c r="UKG176" s="250"/>
      <c r="UKH176" s="250"/>
      <c r="UKI176" s="250"/>
      <c r="UKJ176" s="250"/>
      <c r="UKK176" s="250"/>
      <c r="UKL176" s="250"/>
      <c r="UKM176" s="250"/>
      <c r="UKN176" s="250"/>
      <c r="UKO176" s="250"/>
      <c r="UKP176" s="250"/>
      <c r="UKQ176" s="250"/>
      <c r="UKR176" s="250"/>
      <c r="UKS176" s="250"/>
      <c r="UKT176" s="250"/>
      <c r="UKU176" s="250"/>
      <c r="UKV176" s="250"/>
      <c r="UKW176" s="250"/>
      <c r="UKX176" s="250"/>
      <c r="UKY176" s="250"/>
      <c r="UKZ176" s="250"/>
      <c r="ULA176" s="250"/>
      <c r="ULB176" s="250"/>
      <c r="ULC176" s="250"/>
      <c r="ULD176" s="250"/>
      <c r="ULE176" s="250"/>
      <c r="ULF176" s="250"/>
      <c r="ULG176" s="250"/>
      <c r="ULH176" s="250"/>
      <c r="ULI176" s="250"/>
      <c r="ULJ176" s="250"/>
      <c r="ULK176" s="250"/>
      <c r="ULL176" s="250"/>
      <c r="ULM176" s="250"/>
      <c r="ULN176" s="250"/>
      <c r="ULO176" s="250"/>
      <c r="ULP176" s="250"/>
      <c r="ULQ176" s="250"/>
      <c r="ULR176" s="250"/>
      <c r="ULS176" s="250"/>
      <c r="ULT176" s="250"/>
      <c r="ULU176" s="250"/>
      <c r="ULV176" s="250"/>
      <c r="ULW176" s="250"/>
      <c r="ULX176" s="250"/>
      <c r="ULY176" s="250"/>
      <c r="ULZ176" s="250"/>
      <c r="UMA176" s="250"/>
      <c r="UMB176" s="250"/>
      <c r="UMC176" s="250"/>
      <c r="UMD176" s="250"/>
      <c r="UME176" s="250"/>
      <c r="UMF176" s="250"/>
      <c r="UMG176" s="250"/>
      <c r="UMH176" s="250"/>
      <c r="UMI176" s="250"/>
      <c r="UMJ176" s="250"/>
      <c r="UMK176" s="250"/>
      <c r="UML176" s="250"/>
      <c r="UMM176" s="250"/>
      <c r="UMN176" s="250"/>
      <c r="UMO176" s="250"/>
      <c r="UMP176" s="250"/>
      <c r="UMQ176" s="250"/>
      <c r="UMR176" s="250"/>
      <c r="UMS176" s="250"/>
      <c r="UMT176" s="250"/>
      <c r="UMU176" s="250"/>
      <c r="UMV176" s="250"/>
      <c r="UMW176" s="250"/>
      <c r="UMX176" s="250"/>
      <c r="UMY176" s="250"/>
      <c r="UMZ176" s="250"/>
      <c r="UNA176" s="250"/>
      <c r="UNB176" s="250"/>
      <c r="UNC176" s="250"/>
      <c r="UND176" s="250"/>
      <c r="UNE176" s="250"/>
      <c r="UNF176" s="250"/>
      <c r="UNG176" s="250"/>
      <c r="UNH176" s="250"/>
      <c r="UNI176" s="250"/>
      <c r="UNJ176" s="250"/>
      <c r="UNK176" s="250"/>
      <c r="UNL176" s="250"/>
      <c r="UNM176" s="250"/>
      <c r="UNN176" s="250"/>
      <c r="UNO176" s="250"/>
      <c r="UNP176" s="250"/>
      <c r="UNQ176" s="250"/>
      <c r="UNR176" s="250"/>
      <c r="UNS176" s="250"/>
      <c r="UNT176" s="250"/>
      <c r="UNU176" s="250"/>
      <c r="UNV176" s="250"/>
      <c r="UNW176" s="250"/>
      <c r="UNX176" s="250"/>
      <c r="UNY176" s="250"/>
      <c r="UNZ176" s="250"/>
      <c r="UOA176" s="250"/>
      <c r="UOB176" s="250"/>
      <c r="UOC176" s="250"/>
      <c r="UOD176" s="250"/>
      <c r="UOE176" s="250"/>
      <c r="UOF176" s="250"/>
      <c r="UOG176" s="250"/>
      <c r="UOH176" s="250"/>
      <c r="UOI176" s="250"/>
      <c r="UOJ176" s="250"/>
      <c r="UOK176" s="250"/>
      <c r="UOL176" s="250"/>
      <c r="UOM176" s="250"/>
      <c r="UON176" s="250"/>
      <c r="UOO176" s="250"/>
      <c r="UOP176" s="250"/>
      <c r="UOQ176" s="250"/>
      <c r="UOR176" s="250"/>
      <c r="UOS176" s="250"/>
      <c r="UOT176" s="250"/>
      <c r="UOU176" s="250"/>
      <c r="UOV176" s="250"/>
      <c r="UOW176" s="250"/>
      <c r="UOX176" s="250"/>
      <c r="UOY176" s="250"/>
      <c r="UOZ176" s="250"/>
      <c r="UPA176" s="250"/>
      <c r="UPB176" s="250"/>
      <c r="UPC176" s="250"/>
      <c r="UPD176" s="250"/>
      <c r="UPE176" s="250"/>
      <c r="UPF176" s="250"/>
      <c r="UPG176" s="250"/>
      <c r="UPH176" s="250"/>
      <c r="UPI176" s="250"/>
      <c r="UPJ176" s="250"/>
      <c r="UPK176" s="250"/>
      <c r="UPL176" s="250"/>
      <c r="UPM176" s="250"/>
      <c r="UPN176" s="250"/>
      <c r="UPO176" s="250"/>
      <c r="UPP176" s="250"/>
      <c r="UPQ176" s="250"/>
      <c r="UPR176" s="250"/>
      <c r="UPS176" s="250"/>
      <c r="UPT176" s="250"/>
      <c r="UPU176" s="250"/>
      <c r="UPV176" s="250"/>
      <c r="UPW176" s="250"/>
      <c r="UPX176" s="250"/>
      <c r="UPY176" s="250"/>
      <c r="UPZ176" s="250"/>
      <c r="UQA176" s="250"/>
      <c r="UQB176" s="250"/>
      <c r="UQC176" s="250"/>
      <c r="UQD176" s="250"/>
      <c r="UQE176" s="250"/>
      <c r="UQF176" s="250"/>
      <c r="UQG176" s="250"/>
      <c r="UQH176" s="250"/>
      <c r="UQI176" s="250"/>
      <c r="UQJ176" s="250"/>
      <c r="UQK176" s="250"/>
      <c r="UQL176" s="250"/>
      <c r="UQM176" s="250"/>
      <c r="UQN176" s="250"/>
      <c r="UQO176" s="250"/>
      <c r="UQP176" s="250"/>
      <c r="UQQ176" s="250"/>
      <c r="UQR176" s="250"/>
      <c r="UQS176" s="250"/>
      <c r="UQT176" s="250"/>
      <c r="UQU176" s="250"/>
      <c r="UQV176" s="250"/>
      <c r="UQW176" s="250"/>
      <c r="UQX176" s="250"/>
      <c r="UQY176" s="250"/>
      <c r="UQZ176" s="250"/>
      <c r="URA176" s="250"/>
      <c r="URB176" s="250"/>
      <c r="URC176" s="250"/>
      <c r="URD176" s="250"/>
      <c r="URE176" s="250"/>
      <c r="URF176" s="250"/>
      <c r="URG176" s="250"/>
      <c r="URH176" s="250"/>
      <c r="URI176" s="250"/>
      <c r="URJ176" s="250"/>
      <c r="URK176" s="250"/>
      <c r="URL176" s="250"/>
      <c r="URM176" s="250"/>
      <c r="URN176" s="250"/>
      <c r="URO176" s="250"/>
      <c r="URP176" s="250"/>
      <c r="URQ176" s="250"/>
      <c r="URR176" s="250"/>
      <c r="URS176" s="250"/>
      <c r="URT176" s="250"/>
      <c r="URU176" s="250"/>
      <c r="URV176" s="250"/>
      <c r="URW176" s="250"/>
      <c r="URX176" s="250"/>
      <c r="URY176" s="250"/>
      <c r="URZ176" s="250"/>
      <c r="USA176" s="250"/>
      <c r="USB176" s="250"/>
      <c r="USC176" s="250"/>
      <c r="USD176" s="250"/>
      <c r="USE176" s="250"/>
      <c r="USF176" s="250"/>
      <c r="USG176" s="250"/>
      <c r="USH176" s="250"/>
      <c r="USI176" s="250"/>
      <c r="USJ176" s="250"/>
      <c r="USK176" s="250"/>
      <c r="USL176" s="250"/>
      <c r="USM176" s="250"/>
      <c r="USN176" s="250"/>
      <c r="USO176" s="250"/>
      <c r="USP176" s="250"/>
      <c r="USQ176" s="250"/>
      <c r="USR176" s="250"/>
      <c r="USS176" s="250"/>
      <c r="UST176" s="250"/>
      <c r="USU176" s="250"/>
      <c r="USV176" s="250"/>
      <c r="USW176" s="250"/>
      <c r="USX176" s="250"/>
      <c r="USY176" s="250"/>
      <c r="USZ176" s="250"/>
      <c r="UTA176" s="250"/>
      <c r="UTB176" s="250"/>
      <c r="UTC176" s="250"/>
      <c r="UTD176" s="250"/>
      <c r="UTE176" s="250"/>
      <c r="UTF176" s="250"/>
      <c r="UTG176" s="250"/>
      <c r="UTH176" s="250"/>
      <c r="UTI176" s="250"/>
      <c r="UTJ176" s="250"/>
      <c r="UTK176" s="250"/>
      <c r="UTL176" s="250"/>
      <c r="UTM176" s="250"/>
      <c r="UTN176" s="250"/>
      <c r="UTO176" s="250"/>
      <c r="UTP176" s="250"/>
      <c r="UTQ176" s="250"/>
      <c r="UTR176" s="250"/>
      <c r="UTS176" s="250"/>
      <c r="UTT176" s="250"/>
      <c r="UTU176" s="250"/>
      <c r="UTV176" s="250"/>
      <c r="UTW176" s="250"/>
      <c r="UTX176" s="250"/>
      <c r="UTY176" s="250"/>
      <c r="UTZ176" s="250"/>
      <c r="UUA176" s="250"/>
      <c r="UUB176" s="250"/>
      <c r="UUC176" s="250"/>
      <c r="UUD176" s="250"/>
      <c r="UUE176" s="250"/>
      <c r="UUF176" s="250"/>
      <c r="UUG176" s="250"/>
      <c r="UUH176" s="250"/>
      <c r="UUI176" s="250"/>
      <c r="UUJ176" s="250"/>
      <c r="UUK176" s="250"/>
      <c r="UUL176" s="250"/>
      <c r="UUM176" s="250"/>
      <c r="UUN176" s="250"/>
      <c r="UUO176" s="250"/>
      <c r="UUP176" s="250"/>
      <c r="UUQ176" s="250"/>
      <c r="UUR176" s="250"/>
      <c r="UUS176" s="250"/>
      <c r="UUT176" s="250"/>
      <c r="UUU176" s="250"/>
      <c r="UUV176" s="250"/>
      <c r="UUW176" s="250"/>
      <c r="UUX176" s="250"/>
      <c r="UUY176" s="250"/>
      <c r="UUZ176" s="250"/>
      <c r="UVA176" s="250"/>
      <c r="UVB176" s="250"/>
      <c r="UVC176" s="250"/>
      <c r="UVD176" s="250"/>
      <c r="UVE176" s="250"/>
      <c r="UVF176" s="250"/>
      <c r="UVG176" s="250"/>
      <c r="UVH176" s="250"/>
      <c r="UVI176" s="250"/>
      <c r="UVJ176" s="250"/>
      <c r="UVK176" s="250"/>
      <c r="UVL176" s="250"/>
      <c r="UVM176" s="250"/>
      <c r="UVN176" s="250"/>
      <c r="UVO176" s="250"/>
      <c r="UVP176" s="250"/>
      <c r="UVQ176" s="250"/>
      <c r="UVR176" s="250"/>
      <c r="UVS176" s="250"/>
      <c r="UVT176" s="250"/>
      <c r="UVU176" s="250"/>
      <c r="UVV176" s="250"/>
      <c r="UVW176" s="250"/>
      <c r="UVX176" s="250"/>
      <c r="UVY176" s="250"/>
      <c r="UVZ176" s="250"/>
      <c r="UWA176" s="250"/>
      <c r="UWB176" s="250"/>
      <c r="UWC176" s="250"/>
      <c r="UWD176" s="250"/>
      <c r="UWE176" s="250"/>
      <c r="UWF176" s="250"/>
      <c r="UWG176" s="250"/>
      <c r="UWH176" s="250"/>
      <c r="UWI176" s="250"/>
      <c r="UWJ176" s="250"/>
      <c r="UWK176" s="250"/>
      <c r="UWL176" s="250"/>
      <c r="UWM176" s="250"/>
      <c r="UWN176" s="250"/>
      <c r="UWO176" s="250"/>
      <c r="UWP176" s="250"/>
      <c r="UWQ176" s="250"/>
      <c r="UWR176" s="250"/>
      <c r="UWS176" s="250"/>
      <c r="UWT176" s="250"/>
      <c r="UWU176" s="250"/>
      <c r="UWV176" s="250"/>
      <c r="UWW176" s="250"/>
      <c r="UWX176" s="250"/>
      <c r="UWY176" s="250"/>
      <c r="UWZ176" s="250"/>
      <c r="UXA176" s="250"/>
      <c r="UXB176" s="250"/>
      <c r="UXC176" s="250"/>
      <c r="UXD176" s="250"/>
      <c r="UXE176" s="250"/>
      <c r="UXF176" s="250"/>
      <c r="UXG176" s="250"/>
      <c r="UXH176" s="250"/>
      <c r="UXI176" s="250"/>
      <c r="UXJ176" s="250"/>
      <c r="UXK176" s="250"/>
      <c r="UXL176" s="250"/>
      <c r="UXM176" s="250"/>
      <c r="UXN176" s="250"/>
      <c r="UXO176" s="250"/>
      <c r="UXP176" s="250"/>
      <c r="UXQ176" s="250"/>
      <c r="UXR176" s="250"/>
      <c r="UXS176" s="250"/>
      <c r="UXT176" s="250"/>
      <c r="UXU176" s="250"/>
      <c r="UXV176" s="250"/>
      <c r="UXW176" s="250"/>
      <c r="UXX176" s="250"/>
      <c r="UXY176" s="250"/>
      <c r="UXZ176" s="250"/>
      <c r="UYA176" s="250"/>
      <c r="UYB176" s="250"/>
      <c r="UYC176" s="250"/>
      <c r="UYD176" s="250"/>
      <c r="UYE176" s="250"/>
      <c r="UYF176" s="250"/>
      <c r="UYG176" s="250"/>
      <c r="UYH176" s="250"/>
      <c r="UYI176" s="250"/>
      <c r="UYJ176" s="250"/>
      <c r="UYK176" s="250"/>
      <c r="UYL176" s="250"/>
      <c r="UYM176" s="250"/>
      <c r="UYN176" s="250"/>
      <c r="UYO176" s="250"/>
      <c r="UYP176" s="250"/>
      <c r="UYQ176" s="250"/>
      <c r="UYR176" s="250"/>
      <c r="UYS176" s="250"/>
      <c r="UYT176" s="250"/>
      <c r="UYU176" s="250"/>
      <c r="UYV176" s="250"/>
      <c r="UYW176" s="250"/>
      <c r="UYX176" s="250"/>
      <c r="UYY176" s="250"/>
      <c r="UYZ176" s="250"/>
      <c r="UZA176" s="250"/>
      <c r="UZB176" s="250"/>
      <c r="UZC176" s="250"/>
      <c r="UZD176" s="250"/>
      <c r="UZE176" s="250"/>
      <c r="UZF176" s="250"/>
      <c r="UZG176" s="250"/>
      <c r="UZH176" s="250"/>
      <c r="UZI176" s="250"/>
      <c r="UZJ176" s="250"/>
      <c r="UZK176" s="250"/>
      <c r="UZL176" s="250"/>
      <c r="UZM176" s="250"/>
      <c r="UZN176" s="250"/>
      <c r="UZO176" s="250"/>
      <c r="UZP176" s="250"/>
      <c r="UZQ176" s="250"/>
      <c r="UZR176" s="250"/>
      <c r="UZS176" s="250"/>
      <c r="UZT176" s="250"/>
      <c r="UZU176" s="250"/>
      <c r="UZV176" s="250"/>
      <c r="UZW176" s="250"/>
      <c r="UZX176" s="250"/>
      <c r="UZY176" s="250"/>
      <c r="UZZ176" s="250"/>
      <c r="VAA176" s="250"/>
      <c r="VAB176" s="250"/>
      <c r="VAC176" s="250"/>
      <c r="VAD176" s="250"/>
      <c r="VAE176" s="250"/>
      <c r="VAF176" s="250"/>
      <c r="VAG176" s="250"/>
      <c r="VAH176" s="250"/>
      <c r="VAI176" s="250"/>
      <c r="VAJ176" s="250"/>
      <c r="VAK176" s="250"/>
      <c r="VAL176" s="250"/>
      <c r="VAM176" s="250"/>
      <c r="VAN176" s="250"/>
      <c r="VAO176" s="250"/>
      <c r="VAP176" s="250"/>
      <c r="VAQ176" s="250"/>
      <c r="VAR176" s="250"/>
      <c r="VAS176" s="250"/>
      <c r="VAT176" s="250"/>
      <c r="VAU176" s="250"/>
      <c r="VAV176" s="250"/>
      <c r="VAW176" s="250"/>
      <c r="VAX176" s="250"/>
      <c r="VAY176" s="250"/>
      <c r="VAZ176" s="250"/>
      <c r="VBA176" s="250"/>
      <c r="VBB176" s="250"/>
      <c r="VBC176" s="250"/>
      <c r="VBD176" s="250"/>
      <c r="VBE176" s="250"/>
      <c r="VBF176" s="250"/>
      <c r="VBG176" s="250"/>
      <c r="VBH176" s="250"/>
      <c r="VBI176" s="250"/>
      <c r="VBJ176" s="250"/>
      <c r="VBK176" s="250"/>
      <c r="VBL176" s="250"/>
      <c r="VBM176" s="250"/>
      <c r="VBN176" s="250"/>
      <c r="VBO176" s="250"/>
      <c r="VBP176" s="250"/>
      <c r="VBQ176" s="250"/>
      <c r="VBR176" s="250"/>
      <c r="VBS176" s="250"/>
      <c r="VBT176" s="250"/>
      <c r="VBU176" s="250"/>
      <c r="VBV176" s="250"/>
      <c r="VBW176" s="250"/>
      <c r="VBX176" s="250"/>
      <c r="VBY176" s="250"/>
      <c r="VBZ176" s="250"/>
      <c r="VCA176" s="250"/>
      <c r="VCB176" s="250"/>
      <c r="VCC176" s="250"/>
      <c r="VCD176" s="250"/>
      <c r="VCE176" s="250"/>
      <c r="VCF176" s="250"/>
      <c r="VCG176" s="250"/>
      <c r="VCH176" s="250"/>
      <c r="VCI176" s="250"/>
      <c r="VCJ176" s="250"/>
      <c r="VCK176" s="250"/>
      <c r="VCL176" s="250"/>
      <c r="VCM176" s="250"/>
      <c r="VCN176" s="250"/>
      <c r="VCO176" s="250"/>
      <c r="VCP176" s="250"/>
      <c r="VCQ176" s="250"/>
      <c r="VCR176" s="250"/>
      <c r="VCS176" s="250"/>
      <c r="VCT176" s="250"/>
      <c r="VCU176" s="250"/>
      <c r="VCV176" s="250"/>
      <c r="VCW176" s="250"/>
      <c r="VCX176" s="250"/>
      <c r="VCY176" s="250"/>
      <c r="VCZ176" s="250"/>
      <c r="VDA176" s="250"/>
      <c r="VDB176" s="250"/>
      <c r="VDC176" s="250"/>
      <c r="VDD176" s="250"/>
      <c r="VDE176" s="250"/>
      <c r="VDF176" s="250"/>
      <c r="VDG176" s="250"/>
      <c r="VDH176" s="250"/>
      <c r="VDI176" s="250"/>
      <c r="VDJ176" s="250"/>
      <c r="VDK176" s="250"/>
      <c r="VDL176" s="250"/>
      <c r="VDM176" s="250"/>
      <c r="VDN176" s="250"/>
      <c r="VDO176" s="250"/>
      <c r="VDP176" s="250"/>
      <c r="VDQ176" s="250"/>
      <c r="VDR176" s="250"/>
      <c r="VDS176" s="250"/>
      <c r="VDT176" s="250"/>
      <c r="VDU176" s="250"/>
      <c r="VDV176" s="250"/>
      <c r="VDW176" s="250"/>
      <c r="VDX176" s="250"/>
      <c r="VDY176" s="250"/>
      <c r="VDZ176" s="250"/>
      <c r="VEA176" s="250"/>
      <c r="VEB176" s="250"/>
      <c r="VEC176" s="250"/>
      <c r="VED176" s="250"/>
      <c r="VEE176" s="250"/>
      <c r="VEF176" s="250"/>
      <c r="VEG176" s="250"/>
      <c r="VEH176" s="250"/>
      <c r="VEI176" s="250"/>
      <c r="VEJ176" s="250"/>
      <c r="VEK176" s="250"/>
      <c r="VEL176" s="250"/>
      <c r="VEM176" s="250"/>
      <c r="VEN176" s="250"/>
      <c r="VEO176" s="250"/>
      <c r="VEP176" s="250"/>
      <c r="VEQ176" s="250"/>
      <c r="VER176" s="250"/>
      <c r="VES176" s="250"/>
      <c r="VET176" s="250"/>
      <c r="VEU176" s="250"/>
      <c r="VEV176" s="250"/>
      <c r="VEW176" s="250"/>
      <c r="VEX176" s="250"/>
      <c r="VEY176" s="250"/>
      <c r="VEZ176" s="250"/>
      <c r="VFA176" s="250"/>
      <c r="VFB176" s="250"/>
      <c r="VFC176" s="250"/>
      <c r="VFD176" s="250"/>
      <c r="VFE176" s="250"/>
      <c r="VFF176" s="250"/>
      <c r="VFG176" s="250"/>
      <c r="VFH176" s="250"/>
      <c r="VFI176" s="250"/>
      <c r="VFJ176" s="250"/>
      <c r="VFK176" s="250"/>
      <c r="VFL176" s="250"/>
      <c r="VFM176" s="250"/>
      <c r="VFN176" s="250"/>
      <c r="VFO176" s="250"/>
      <c r="VFP176" s="250"/>
      <c r="VFQ176" s="250"/>
      <c r="VFR176" s="250"/>
      <c r="VFS176" s="250"/>
      <c r="VFT176" s="250"/>
      <c r="VFU176" s="250"/>
      <c r="VFV176" s="250"/>
      <c r="VFW176" s="250"/>
      <c r="VFX176" s="250"/>
      <c r="VFY176" s="250"/>
      <c r="VFZ176" s="250"/>
      <c r="VGA176" s="250"/>
      <c r="VGB176" s="250"/>
      <c r="VGC176" s="250"/>
      <c r="VGD176" s="250"/>
      <c r="VGE176" s="250"/>
      <c r="VGF176" s="250"/>
      <c r="VGG176" s="250"/>
      <c r="VGH176" s="250"/>
      <c r="VGI176" s="250"/>
      <c r="VGJ176" s="250"/>
      <c r="VGK176" s="250"/>
      <c r="VGL176" s="250"/>
      <c r="VGM176" s="250"/>
      <c r="VGN176" s="250"/>
      <c r="VGO176" s="250"/>
      <c r="VGP176" s="250"/>
      <c r="VGQ176" s="250"/>
      <c r="VGR176" s="250"/>
      <c r="VGS176" s="250"/>
      <c r="VGT176" s="250"/>
      <c r="VGU176" s="250"/>
      <c r="VGV176" s="250"/>
      <c r="VGW176" s="250"/>
      <c r="VGX176" s="250"/>
      <c r="VGY176" s="250"/>
      <c r="VGZ176" s="250"/>
      <c r="VHA176" s="250"/>
      <c r="VHB176" s="250"/>
      <c r="VHC176" s="250"/>
      <c r="VHD176" s="250"/>
      <c r="VHE176" s="250"/>
      <c r="VHF176" s="250"/>
      <c r="VHG176" s="250"/>
      <c r="VHH176" s="250"/>
      <c r="VHI176" s="250"/>
      <c r="VHJ176" s="250"/>
      <c r="VHK176" s="250"/>
      <c r="VHL176" s="250"/>
      <c r="VHM176" s="250"/>
      <c r="VHN176" s="250"/>
      <c r="VHO176" s="250"/>
      <c r="VHP176" s="250"/>
      <c r="VHQ176" s="250"/>
      <c r="VHR176" s="250"/>
      <c r="VHS176" s="250"/>
      <c r="VHT176" s="250"/>
      <c r="VHU176" s="250"/>
      <c r="VHV176" s="250"/>
      <c r="VHW176" s="250"/>
      <c r="VHX176" s="250"/>
      <c r="VHY176" s="250"/>
      <c r="VHZ176" s="250"/>
      <c r="VIA176" s="250"/>
      <c r="VIB176" s="250"/>
      <c r="VIC176" s="250"/>
      <c r="VID176" s="250"/>
      <c r="VIE176" s="250"/>
      <c r="VIF176" s="250"/>
      <c r="VIG176" s="250"/>
      <c r="VIH176" s="250"/>
      <c r="VII176" s="250"/>
      <c r="VIJ176" s="250"/>
      <c r="VIK176" s="250"/>
      <c r="VIL176" s="250"/>
      <c r="VIM176" s="250"/>
      <c r="VIN176" s="250"/>
      <c r="VIO176" s="250"/>
      <c r="VIP176" s="250"/>
      <c r="VIQ176" s="250"/>
      <c r="VIR176" s="250"/>
      <c r="VIS176" s="250"/>
      <c r="VIT176" s="250"/>
      <c r="VIU176" s="250"/>
      <c r="VIV176" s="250"/>
      <c r="VIW176" s="250"/>
      <c r="VIX176" s="250"/>
      <c r="VIY176" s="250"/>
      <c r="VIZ176" s="250"/>
      <c r="VJA176" s="250"/>
      <c r="VJB176" s="250"/>
      <c r="VJC176" s="250"/>
      <c r="VJD176" s="250"/>
      <c r="VJE176" s="250"/>
      <c r="VJF176" s="250"/>
      <c r="VJG176" s="250"/>
      <c r="VJH176" s="250"/>
      <c r="VJI176" s="250"/>
      <c r="VJJ176" s="250"/>
      <c r="VJK176" s="250"/>
      <c r="VJL176" s="250"/>
      <c r="VJM176" s="250"/>
      <c r="VJN176" s="250"/>
      <c r="VJO176" s="250"/>
      <c r="VJP176" s="250"/>
      <c r="VJQ176" s="250"/>
      <c r="VJR176" s="250"/>
      <c r="VJS176" s="250"/>
      <c r="VJT176" s="250"/>
      <c r="VJU176" s="250"/>
      <c r="VJV176" s="250"/>
      <c r="VJW176" s="250"/>
      <c r="VJX176" s="250"/>
      <c r="VJY176" s="250"/>
      <c r="VJZ176" s="250"/>
      <c r="VKA176" s="250"/>
      <c r="VKB176" s="250"/>
      <c r="VKC176" s="250"/>
      <c r="VKD176" s="250"/>
      <c r="VKE176" s="250"/>
      <c r="VKF176" s="250"/>
      <c r="VKG176" s="250"/>
      <c r="VKH176" s="250"/>
      <c r="VKI176" s="250"/>
      <c r="VKJ176" s="250"/>
      <c r="VKK176" s="250"/>
      <c r="VKL176" s="250"/>
      <c r="VKM176" s="250"/>
      <c r="VKN176" s="250"/>
      <c r="VKO176" s="250"/>
      <c r="VKP176" s="250"/>
      <c r="VKQ176" s="250"/>
      <c r="VKR176" s="250"/>
      <c r="VKS176" s="250"/>
      <c r="VKT176" s="250"/>
      <c r="VKU176" s="250"/>
      <c r="VKV176" s="250"/>
      <c r="VKW176" s="250"/>
      <c r="VKX176" s="250"/>
      <c r="VKY176" s="250"/>
      <c r="VKZ176" s="250"/>
      <c r="VLA176" s="250"/>
      <c r="VLB176" s="250"/>
      <c r="VLC176" s="250"/>
      <c r="VLD176" s="250"/>
      <c r="VLE176" s="250"/>
      <c r="VLF176" s="250"/>
      <c r="VLG176" s="250"/>
      <c r="VLH176" s="250"/>
      <c r="VLI176" s="250"/>
      <c r="VLJ176" s="250"/>
      <c r="VLK176" s="250"/>
      <c r="VLL176" s="250"/>
      <c r="VLM176" s="250"/>
      <c r="VLN176" s="250"/>
      <c r="VLO176" s="250"/>
      <c r="VLP176" s="250"/>
      <c r="VLQ176" s="250"/>
      <c r="VLR176" s="250"/>
      <c r="VLS176" s="250"/>
      <c r="VLT176" s="250"/>
      <c r="VLU176" s="250"/>
      <c r="VLV176" s="250"/>
      <c r="VLW176" s="250"/>
      <c r="VLX176" s="250"/>
      <c r="VLY176" s="250"/>
      <c r="VLZ176" s="250"/>
      <c r="VMA176" s="250"/>
      <c r="VMB176" s="250"/>
      <c r="VMC176" s="250"/>
      <c r="VMD176" s="250"/>
      <c r="VME176" s="250"/>
      <c r="VMF176" s="250"/>
      <c r="VMG176" s="250"/>
      <c r="VMH176" s="250"/>
      <c r="VMI176" s="250"/>
      <c r="VMJ176" s="250"/>
      <c r="VMK176" s="250"/>
      <c r="VML176" s="250"/>
      <c r="VMM176" s="250"/>
      <c r="VMN176" s="250"/>
      <c r="VMO176" s="250"/>
      <c r="VMP176" s="250"/>
      <c r="VMQ176" s="250"/>
      <c r="VMR176" s="250"/>
      <c r="VMS176" s="250"/>
      <c r="VMT176" s="250"/>
      <c r="VMU176" s="250"/>
      <c r="VMV176" s="250"/>
      <c r="VMW176" s="250"/>
      <c r="VMX176" s="250"/>
      <c r="VMY176" s="250"/>
      <c r="VMZ176" s="250"/>
      <c r="VNA176" s="250"/>
      <c r="VNB176" s="250"/>
      <c r="VNC176" s="250"/>
      <c r="VND176" s="250"/>
      <c r="VNE176" s="250"/>
      <c r="VNF176" s="250"/>
      <c r="VNG176" s="250"/>
      <c r="VNH176" s="250"/>
      <c r="VNI176" s="250"/>
      <c r="VNJ176" s="250"/>
      <c r="VNK176" s="250"/>
      <c r="VNL176" s="250"/>
      <c r="VNM176" s="250"/>
      <c r="VNN176" s="250"/>
      <c r="VNO176" s="250"/>
      <c r="VNP176" s="250"/>
      <c r="VNQ176" s="250"/>
      <c r="VNR176" s="250"/>
      <c r="VNS176" s="250"/>
      <c r="VNT176" s="250"/>
      <c r="VNU176" s="250"/>
      <c r="VNV176" s="250"/>
      <c r="VNW176" s="250"/>
      <c r="VNX176" s="250"/>
      <c r="VNY176" s="250"/>
      <c r="VNZ176" s="250"/>
      <c r="VOA176" s="250"/>
      <c r="VOB176" s="250"/>
      <c r="VOC176" s="250"/>
      <c r="VOD176" s="250"/>
      <c r="VOE176" s="250"/>
      <c r="VOF176" s="250"/>
      <c r="VOG176" s="250"/>
      <c r="VOH176" s="250"/>
      <c r="VOI176" s="250"/>
      <c r="VOJ176" s="250"/>
      <c r="VOK176" s="250"/>
      <c r="VOL176" s="250"/>
      <c r="VOM176" s="250"/>
      <c r="VON176" s="250"/>
      <c r="VOO176" s="250"/>
      <c r="VOP176" s="250"/>
      <c r="VOQ176" s="250"/>
      <c r="VOR176" s="250"/>
      <c r="VOS176" s="250"/>
      <c r="VOT176" s="250"/>
      <c r="VOU176" s="250"/>
      <c r="VOV176" s="250"/>
      <c r="VOW176" s="250"/>
      <c r="VOX176" s="250"/>
      <c r="VOY176" s="250"/>
      <c r="VOZ176" s="250"/>
      <c r="VPA176" s="250"/>
      <c r="VPB176" s="250"/>
      <c r="VPC176" s="250"/>
      <c r="VPD176" s="250"/>
      <c r="VPE176" s="250"/>
      <c r="VPF176" s="250"/>
      <c r="VPG176" s="250"/>
      <c r="VPH176" s="250"/>
      <c r="VPI176" s="250"/>
      <c r="VPJ176" s="250"/>
      <c r="VPK176" s="250"/>
      <c r="VPL176" s="250"/>
      <c r="VPM176" s="250"/>
      <c r="VPN176" s="250"/>
      <c r="VPO176" s="250"/>
      <c r="VPP176" s="250"/>
      <c r="VPQ176" s="250"/>
      <c r="VPR176" s="250"/>
      <c r="VPS176" s="250"/>
      <c r="VPT176" s="250"/>
      <c r="VPU176" s="250"/>
      <c r="VPV176" s="250"/>
      <c r="VPW176" s="250"/>
      <c r="VPX176" s="250"/>
      <c r="VPY176" s="250"/>
      <c r="VPZ176" s="250"/>
      <c r="VQA176" s="250"/>
      <c r="VQB176" s="250"/>
      <c r="VQC176" s="250"/>
      <c r="VQD176" s="250"/>
      <c r="VQE176" s="250"/>
      <c r="VQF176" s="250"/>
      <c r="VQG176" s="250"/>
      <c r="VQH176" s="250"/>
      <c r="VQI176" s="250"/>
      <c r="VQJ176" s="250"/>
      <c r="VQK176" s="250"/>
      <c r="VQL176" s="250"/>
      <c r="VQM176" s="250"/>
      <c r="VQN176" s="250"/>
      <c r="VQO176" s="250"/>
      <c r="VQP176" s="250"/>
      <c r="VQQ176" s="250"/>
      <c r="VQR176" s="250"/>
      <c r="VQS176" s="250"/>
      <c r="VQT176" s="250"/>
      <c r="VQU176" s="250"/>
      <c r="VQV176" s="250"/>
      <c r="VQW176" s="250"/>
      <c r="VQX176" s="250"/>
      <c r="VQY176" s="250"/>
      <c r="VQZ176" s="250"/>
      <c r="VRA176" s="250"/>
      <c r="VRB176" s="250"/>
      <c r="VRC176" s="250"/>
      <c r="VRD176" s="250"/>
      <c r="VRE176" s="250"/>
      <c r="VRF176" s="250"/>
      <c r="VRG176" s="250"/>
      <c r="VRH176" s="250"/>
      <c r="VRI176" s="250"/>
      <c r="VRJ176" s="250"/>
      <c r="VRK176" s="250"/>
      <c r="VRL176" s="250"/>
      <c r="VRM176" s="250"/>
      <c r="VRN176" s="250"/>
      <c r="VRO176" s="250"/>
      <c r="VRP176" s="250"/>
      <c r="VRQ176" s="250"/>
      <c r="VRR176" s="250"/>
      <c r="VRS176" s="250"/>
      <c r="VRT176" s="250"/>
      <c r="VRU176" s="250"/>
      <c r="VRV176" s="250"/>
      <c r="VRW176" s="250"/>
      <c r="VRX176" s="250"/>
      <c r="VRY176" s="250"/>
      <c r="VRZ176" s="250"/>
      <c r="VSA176" s="250"/>
      <c r="VSB176" s="250"/>
      <c r="VSC176" s="250"/>
      <c r="VSD176" s="250"/>
      <c r="VSE176" s="250"/>
      <c r="VSF176" s="250"/>
      <c r="VSG176" s="250"/>
      <c r="VSH176" s="250"/>
      <c r="VSI176" s="250"/>
      <c r="VSJ176" s="250"/>
      <c r="VSK176" s="250"/>
      <c r="VSL176" s="250"/>
      <c r="VSM176" s="250"/>
      <c r="VSN176" s="250"/>
      <c r="VSO176" s="250"/>
      <c r="VSP176" s="250"/>
      <c r="VSQ176" s="250"/>
      <c r="VSR176" s="250"/>
      <c r="VSS176" s="250"/>
      <c r="VST176" s="250"/>
      <c r="VSU176" s="250"/>
      <c r="VSV176" s="250"/>
      <c r="VSW176" s="250"/>
      <c r="VSX176" s="250"/>
      <c r="VSY176" s="250"/>
      <c r="VSZ176" s="250"/>
      <c r="VTA176" s="250"/>
      <c r="VTB176" s="250"/>
      <c r="VTC176" s="250"/>
      <c r="VTD176" s="250"/>
      <c r="VTE176" s="250"/>
      <c r="VTF176" s="250"/>
      <c r="VTG176" s="250"/>
      <c r="VTH176" s="250"/>
      <c r="VTI176" s="250"/>
      <c r="VTJ176" s="250"/>
      <c r="VTK176" s="250"/>
      <c r="VTL176" s="250"/>
      <c r="VTM176" s="250"/>
      <c r="VTN176" s="250"/>
      <c r="VTO176" s="250"/>
      <c r="VTP176" s="250"/>
      <c r="VTQ176" s="250"/>
      <c r="VTR176" s="250"/>
      <c r="VTS176" s="250"/>
      <c r="VTT176" s="250"/>
      <c r="VTU176" s="250"/>
      <c r="VTV176" s="250"/>
      <c r="VTW176" s="250"/>
      <c r="VTX176" s="250"/>
      <c r="VTY176" s="250"/>
      <c r="VTZ176" s="250"/>
      <c r="VUA176" s="250"/>
      <c r="VUB176" s="250"/>
      <c r="VUC176" s="250"/>
      <c r="VUD176" s="250"/>
      <c r="VUE176" s="250"/>
      <c r="VUF176" s="250"/>
      <c r="VUG176" s="250"/>
      <c r="VUH176" s="250"/>
      <c r="VUI176" s="250"/>
      <c r="VUJ176" s="250"/>
      <c r="VUK176" s="250"/>
      <c r="VUL176" s="250"/>
      <c r="VUM176" s="250"/>
      <c r="VUN176" s="250"/>
      <c r="VUO176" s="250"/>
      <c r="VUP176" s="250"/>
      <c r="VUQ176" s="250"/>
      <c r="VUR176" s="250"/>
      <c r="VUS176" s="250"/>
      <c r="VUT176" s="250"/>
      <c r="VUU176" s="250"/>
      <c r="VUV176" s="250"/>
      <c r="VUW176" s="250"/>
      <c r="VUX176" s="250"/>
      <c r="VUY176" s="250"/>
      <c r="VUZ176" s="250"/>
      <c r="VVA176" s="250"/>
      <c r="VVB176" s="250"/>
      <c r="VVC176" s="250"/>
      <c r="VVD176" s="250"/>
      <c r="VVE176" s="250"/>
      <c r="VVF176" s="250"/>
      <c r="VVG176" s="250"/>
      <c r="VVH176" s="250"/>
      <c r="VVI176" s="250"/>
      <c r="VVJ176" s="250"/>
      <c r="VVK176" s="250"/>
      <c r="VVL176" s="250"/>
      <c r="VVM176" s="250"/>
      <c r="VVN176" s="250"/>
      <c r="VVO176" s="250"/>
      <c r="VVP176" s="250"/>
      <c r="VVQ176" s="250"/>
      <c r="VVR176" s="250"/>
      <c r="VVS176" s="250"/>
      <c r="VVT176" s="250"/>
      <c r="VVU176" s="250"/>
      <c r="VVV176" s="250"/>
      <c r="VVW176" s="250"/>
      <c r="VVX176" s="250"/>
      <c r="VVY176" s="250"/>
      <c r="VVZ176" s="250"/>
      <c r="VWA176" s="250"/>
      <c r="VWB176" s="250"/>
      <c r="VWC176" s="250"/>
      <c r="VWD176" s="250"/>
      <c r="VWE176" s="250"/>
      <c r="VWF176" s="250"/>
      <c r="VWG176" s="250"/>
      <c r="VWH176" s="250"/>
      <c r="VWI176" s="250"/>
      <c r="VWJ176" s="250"/>
      <c r="VWK176" s="250"/>
      <c r="VWL176" s="250"/>
      <c r="VWM176" s="250"/>
      <c r="VWN176" s="250"/>
      <c r="VWO176" s="250"/>
      <c r="VWP176" s="250"/>
      <c r="VWQ176" s="250"/>
      <c r="VWR176" s="250"/>
      <c r="VWS176" s="250"/>
      <c r="VWT176" s="250"/>
      <c r="VWU176" s="250"/>
      <c r="VWV176" s="250"/>
      <c r="VWW176" s="250"/>
      <c r="VWX176" s="250"/>
      <c r="VWY176" s="250"/>
      <c r="VWZ176" s="250"/>
      <c r="VXA176" s="250"/>
      <c r="VXB176" s="250"/>
      <c r="VXC176" s="250"/>
      <c r="VXD176" s="250"/>
      <c r="VXE176" s="250"/>
      <c r="VXF176" s="250"/>
      <c r="VXG176" s="250"/>
      <c r="VXH176" s="250"/>
      <c r="VXI176" s="250"/>
      <c r="VXJ176" s="250"/>
      <c r="VXK176" s="250"/>
      <c r="VXL176" s="250"/>
      <c r="VXM176" s="250"/>
      <c r="VXN176" s="250"/>
      <c r="VXO176" s="250"/>
      <c r="VXP176" s="250"/>
      <c r="VXQ176" s="250"/>
      <c r="VXR176" s="250"/>
      <c r="VXS176" s="250"/>
      <c r="VXT176" s="250"/>
      <c r="VXU176" s="250"/>
      <c r="VXV176" s="250"/>
      <c r="VXW176" s="250"/>
      <c r="VXX176" s="250"/>
      <c r="VXY176" s="250"/>
      <c r="VXZ176" s="250"/>
      <c r="VYA176" s="250"/>
      <c r="VYB176" s="250"/>
      <c r="VYC176" s="250"/>
      <c r="VYD176" s="250"/>
      <c r="VYE176" s="250"/>
      <c r="VYF176" s="250"/>
      <c r="VYG176" s="250"/>
      <c r="VYH176" s="250"/>
      <c r="VYI176" s="250"/>
      <c r="VYJ176" s="250"/>
      <c r="VYK176" s="250"/>
      <c r="VYL176" s="250"/>
      <c r="VYM176" s="250"/>
      <c r="VYN176" s="250"/>
      <c r="VYO176" s="250"/>
      <c r="VYP176" s="250"/>
      <c r="VYQ176" s="250"/>
      <c r="VYR176" s="250"/>
      <c r="VYS176" s="250"/>
      <c r="VYT176" s="250"/>
      <c r="VYU176" s="250"/>
      <c r="VYV176" s="250"/>
      <c r="VYW176" s="250"/>
      <c r="VYX176" s="250"/>
      <c r="VYY176" s="250"/>
      <c r="VYZ176" s="250"/>
      <c r="VZA176" s="250"/>
      <c r="VZB176" s="250"/>
      <c r="VZC176" s="250"/>
      <c r="VZD176" s="250"/>
      <c r="VZE176" s="250"/>
      <c r="VZF176" s="250"/>
      <c r="VZG176" s="250"/>
      <c r="VZH176" s="250"/>
      <c r="VZI176" s="250"/>
      <c r="VZJ176" s="250"/>
      <c r="VZK176" s="250"/>
      <c r="VZL176" s="250"/>
      <c r="VZM176" s="250"/>
      <c r="VZN176" s="250"/>
      <c r="VZO176" s="250"/>
      <c r="VZP176" s="250"/>
      <c r="VZQ176" s="250"/>
      <c r="VZR176" s="250"/>
      <c r="VZS176" s="250"/>
      <c r="VZT176" s="250"/>
      <c r="VZU176" s="250"/>
      <c r="VZV176" s="250"/>
      <c r="VZW176" s="250"/>
      <c r="VZX176" s="250"/>
      <c r="VZY176" s="250"/>
      <c r="VZZ176" s="250"/>
      <c r="WAA176" s="250"/>
      <c r="WAB176" s="250"/>
      <c r="WAC176" s="250"/>
      <c r="WAD176" s="250"/>
      <c r="WAE176" s="250"/>
      <c r="WAF176" s="250"/>
      <c r="WAG176" s="250"/>
      <c r="WAH176" s="250"/>
      <c r="WAI176" s="250"/>
      <c r="WAJ176" s="250"/>
      <c r="WAK176" s="250"/>
      <c r="WAL176" s="250"/>
      <c r="WAM176" s="250"/>
      <c r="WAN176" s="250"/>
      <c r="WAO176" s="250"/>
      <c r="WAP176" s="250"/>
      <c r="WAQ176" s="250"/>
      <c r="WAR176" s="250"/>
      <c r="WAS176" s="250"/>
      <c r="WAT176" s="250"/>
      <c r="WAU176" s="250"/>
      <c r="WAV176" s="250"/>
      <c r="WAW176" s="250"/>
      <c r="WAX176" s="250"/>
      <c r="WAY176" s="250"/>
      <c r="WAZ176" s="250"/>
      <c r="WBA176" s="250"/>
      <c r="WBB176" s="250"/>
      <c r="WBC176" s="250"/>
      <c r="WBD176" s="250"/>
      <c r="WBE176" s="250"/>
      <c r="WBF176" s="250"/>
      <c r="WBG176" s="250"/>
      <c r="WBH176" s="250"/>
      <c r="WBI176" s="250"/>
      <c r="WBJ176" s="250"/>
      <c r="WBK176" s="250"/>
      <c r="WBL176" s="250"/>
      <c r="WBM176" s="250"/>
      <c r="WBN176" s="250"/>
      <c r="WBO176" s="250"/>
      <c r="WBP176" s="250"/>
      <c r="WBQ176" s="250"/>
      <c r="WBR176" s="250"/>
      <c r="WBS176" s="250"/>
      <c r="WBT176" s="250"/>
      <c r="WBU176" s="250"/>
      <c r="WBV176" s="250"/>
      <c r="WBW176" s="250"/>
      <c r="WBX176" s="250"/>
      <c r="WBY176" s="250"/>
      <c r="WBZ176" s="250"/>
      <c r="WCA176" s="250"/>
      <c r="WCB176" s="250"/>
      <c r="WCC176" s="250"/>
      <c r="WCD176" s="250"/>
      <c r="WCE176" s="250"/>
      <c r="WCF176" s="250"/>
      <c r="WCG176" s="250"/>
      <c r="WCH176" s="250"/>
      <c r="WCI176" s="250"/>
      <c r="WCJ176" s="250"/>
      <c r="WCK176" s="250"/>
      <c r="WCL176" s="250"/>
      <c r="WCM176" s="250"/>
      <c r="WCN176" s="250"/>
      <c r="WCO176" s="250"/>
      <c r="WCP176" s="250"/>
      <c r="WCQ176" s="250"/>
      <c r="WCR176" s="250"/>
      <c r="WCS176" s="250"/>
      <c r="WCT176" s="250"/>
      <c r="WCU176" s="250"/>
      <c r="WCV176" s="250"/>
      <c r="WCW176" s="250"/>
      <c r="WCX176" s="250"/>
      <c r="WCY176" s="250"/>
      <c r="WCZ176" s="250"/>
      <c r="WDA176" s="250"/>
      <c r="WDB176" s="250"/>
      <c r="WDC176" s="250"/>
      <c r="WDD176" s="250"/>
      <c r="WDE176" s="250"/>
      <c r="WDF176" s="250"/>
      <c r="WDG176" s="250"/>
      <c r="WDH176" s="250"/>
      <c r="WDI176" s="250"/>
      <c r="WDJ176" s="250"/>
      <c r="WDK176" s="250"/>
      <c r="WDL176" s="250"/>
      <c r="WDM176" s="250"/>
      <c r="WDN176" s="250"/>
      <c r="WDO176" s="250"/>
      <c r="WDP176" s="250"/>
      <c r="WDQ176" s="250"/>
      <c r="WDR176" s="250"/>
      <c r="WDS176" s="250"/>
      <c r="WDT176" s="250"/>
      <c r="WDU176" s="250"/>
      <c r="WDV176" s="250"/>
      <c r="WDW176" s="250"/>
      <c r="WDX176" s="250"/>
      <c r="WDY176" s="250"/>
      <c r="WDZ176" s="250"/>
      <c r="WEA176" s="250"/>
      <c r="WEB176" s="250"/>
      <c r="WEC176" s="250"/>
      <c r="WED176" s="250"/>
      <c r="WEE176" s="250"/>
      <c r="WEF176" s="250"/>
      <c r="WEG176" s="250"/>
      <c r="WEH176" s="250"/>
      <c r="WEI176" s="250"/>
      <c r="WEJ176" s="250"/>
      <c r="WEK176" s="250"/>
      <c r="WEL176" s="250"/>
      <c r="WEM176" s="250"/>
      <c r="WEN176" s="250"/>
      <c r="WEO176" s="250"/>
      <c r="WEP176" s="250"/>
      <c r="WEQ176" s="250"/>
      <c r="WER176" s="250"/>
      <c r="WES176" s="250"/>
      <c r="WET176" s="250"/>
      <c r="WEU176" s="250"/>
      <c r="WEV176" s="250"/>
      <c r="WEW176" s="250"/>
      <c r="WEX176" s="250"/>
      <c r="WEY176" s="250"/>
      <c r="WEZ176" s="250"/>
      <c r="WFA176" s="250"/>
      <c r="WFB176" s="250"/>
      <c r="WFC176" s="250"/>
      <c r="WFD176" s="250"/>
      <c r="WFE176" s="250"/>
      <c r="WFF176" s="250"/>
      <c r="WFG176" s="250"/>
      <c r="WFH176" s="250"/>
      <c r="WFI176" s="250"/>
      <c r="WFJ176" s="250"/>
      <c r="WFK176" s="250"/>
      <c r="WFL176" s="250"/>
      <c r="WFM176" s="250"/>
      <c r="WFN176" s="250"/>
      <c r="WFO176" s="250"/>
      <c r="WFP176" s="250"/>
      <c r="WFQ176" s="250"/>
      <c r="WFR176" s="250"/>
      <c r="WFS176" s="250"/>
      <c r="WFT176" s="250"/>
      <c r="WFU176" s="250"/>
      <c r="WFV176" s="250"/>
      <c r="WFW176" s="250"/>
      <c r="WFX176" s="250"/>
      <c r="WFY176" s="250"/>
      <c r="WFZ176" s="250"/>
      <c r="WGA176" s="250"/>
      <c r="WGB176" s="250"/>
      <c r="WGC176" s="250"/>
      <c r="WGD176" s="250"/>
      <c r="WGE176" s="250"/>
      <c r="WGF176" s="250"/>
      <c r="WGG176" s="250"/>
      <c r="WGH176" s="250"/>
      <c r="WGI176" s="250"/>
      <c r="WGJ176" s="250"/>
      <c r="WGK176" s="250"/>
      <c r="WGL176" s="250"/>
      <c r="WGM176" s="250"/>
      <c r="WGN176" s="250"/>
      <c r="WGO176" s="250"/>
      <c r="WGP176" s="250"/>
      <c r="WGQ176" s="250"/>
      <c r="WGR176" s="250"/>
      <c r="WGS176" s="250"/>
      <c r="WGT176" s="250"/>
      <c r="WGU176" s="250"/>
      <c r="WGV176" s="250"/>
      <c r="WGW176" s="250"/>
      <c r="WGX176" s="250"/>
      <c r="WGY176" s="250"/>
      <c r="WGZ176" s="250"/>
      <c r="WHA176" s="250"/>
      <c r="WHB176" s="250"/>
      <c r="WHC176" s="250"/>
      <c r="WHD176" s="250"/>
      <c r="WHE176" s="250"/>
      <c r="WHF176" s="250"/>
      <c r="WHG176" s="250"/>
      <c r="WHH176" s="250"/>
      <c r="WHI176" s="250"/>
      <c r="WHJ176" s="250"/>
      <c r="WHK176" s="250"/>
      <c r="WHL176" s="250"/>
      <c r="WHM176" s="250"/>
      <c r="WHN176" s="250"/>
      <c r="WHO176" s="250"/>
      <c r="WHP176" s="250"/>
      <c r="WHQ176" s="250"/>
      <c r="WHR176" s="250"/>
      <c r="WHS176" s="250"/>
      <c r="WHT176" s="250"/>
      <c r="WHU176" s="250"/>
      <c r="WHV176" s="250"/>
      <c r="WHW176" s="250"/>
      <c r="WHX176" s="250"/>
      <c r="WHY176" s="250"/>
      <c r="WHZ176" s="250"/>
      <c r="WIA176" s="250"/>
      <c r="WIB176" s="250"/>
      <c r="WIC176" s="250"/>
      <c r="WID176" s="250"/>
      <c r="WIE176" s="250"/>
      <c r="WIF176" s="250"/>
      <c r="WIG176" s="250"/>
      <c r="WIH176" s="250"/>
      <c r="WII176" s="250"/>
      <c r="WIJ176" s="250"/>
      <c r="WIK176" s="250"/>
      <c r="WIL176" s="250"/>
      <c r="WIM176" s="250"/>
      <c r="WIN176" s="250"/>
      <c r="WIO176" s="250"/>
      <c r="WIP176" s="250"/>
      <c r="WIQ176" s="250"/>
      <c r="WIR176" s="250"/>
      <c r="WIS176" s="250"/>
      <c r="WIT176" s="250"/>
      <c r="WIU176" s="250"/>
      <c r="WIV176" s="250"/>
      <c r="WIW176" s="250"/>
      <c r="WIX176" s="250"/>
      <c r="WIY176" s="250"/>
      <c r="WIZ176" s="250"/>
      <c r="WJA176" s="250"/>
      <c r="WJB176" s="250"/>
      <c r="WJC176" s="250"/>
      <c r="WJD176" s="250"/>
      <c r="WJE176" s="250"/>
      <c r="WJF176" s="250"/>
      <c r="WJG176" s="250"/>
      <c r="WJH176" s="250"/>
      <c r="WJI176" s="250"/>
      <c r="WJJ176" s="250"/>
      <c r="WJK176" s="250"/>
      <c r="WJL176" s="250"/>
      <c r="WJM176" s="250"/>
      <c r="WJN176" s="250"/>
      <c r="WJO176" s="250"/>
      <c r="WJP176" s="250"/>
      <c r="WJQ176" s="250"/>
      <c r="WJR176" s="250"/>
      <c r="WJS176" s="250"/>
      <c r="WJT176" s="250"/>
      <c r="WJU176" s="250"/>
      <c r="WJV176" s="250"/>
      <c r="WJW176" s="250"/>
      <c r="WJX176" s="250"/>
      <c r="WJY176" s="250"/>
      <c r="WJZ176" s="250"/>
      <c r="WKA176" s="250"/>
      <c r="WKB176" s="250"/>
      <c r="WKC176" s="250"/>
      <c r="WKD176" s="250"/>
      <c r="WKE176" s="250"/>
      <c r="WKF176" s="250"/>
      <c r="WKG176" s="250"/>
      <c r="WKH176" s="250"/>
      <c r="WKI176" s="250"/>
      <c r="WKJ176" s="250"/>
      <c r="WKK176" s="250"/>
      <c r="WKL176" s="250"/>
      <c r="WKM176" s="250"/>
      <c r="WKN176" s="250"/>
      <c r="WKO176" s="250"/>
      <c r="WKP176" s="250"/>
      <c r="WKQ176" s="250"/>
      <c r="WKR176" s="250"/>
      <c r="WKS176" s="250"/>
      <c r="WKT176" s="250"/>
      <c r="WKU176" s="250"/>
      <c r="WKV176" s="250"/>
      <c r="WKW176" s="250"/>
      <c r="WKX176" s="250"/>
      <c r="WKY176" s="250"/>
      <c r="WKZ176" s="250"/>
      <c r="WLA176" s="250"/>
      <c r="WLB176" s="250"/>
      <c r="WLC176" s="250"/>
      <c r="WLD176" s="250"/>
      <c r="WLE176" s="250"/>
      <c r="WLF176" s="250"/>
      <c r="WLG176" s="250"/>
      <c r="WLH176" s="250"/>
      <c r="WLI176" s="250"/>
      <c r="WLJ176" s="250"/>
      <c r="WLK176" s="250"/>
      <c r="WLL176" s="250"/>
      <c r="WLM176" s="250"/>
      <c r="WLN176" s="250"/>
      <c r="WLO176" s="250"/>
      <c r="WLP176" s="250"/>
      <c r="WLQ176" s="250"/>
      <c r="WLR176" s="250"/>
      <c r="WLS176" s="250"/>
      <c r="WLT176" s="250"/>
      <c r="WLU176" s="250"/>
      <c r="WLV176" s="250"/>
      <c r="WLW176" s="250"/>
      <c r="WLX176" s="250"/>
      <c r="WLY176" s="250"/>
      <c r="WLZ176" s="250"/>
      <c r="WMA176" s="250"/>
      <c r="WMB176" s="250"/>
      <c r="WMC176" s="250"/>
      <c r="WMD176" s="250"/>
      <c r="WME176" s="250"/>
      <c r="WMF176" s="250"/>
      <c r="WMG176" s="250"/>
      <c r="WMH176" s="250"/>
      <c r="WMI176" s="250"/>
      <c r="WMJ176" s="250"/>
      <c r="WMK176" s="250"/>
      <c r="WML176" s="250"/>
      <c r="WMM176" s="250"/>
      <c r="WMN176" s="250"/>
      <c r="WMO176" s="250"/>
      <c r="WMP176" s="250"/>
      <c r="WMQ176" s="250"/>
      <c r="WMR176" s="250"/>
      <c r="WMS176" s="250"/>
      <c r="WMT176" s="250"/>
      <c r="WMU176" s="250"/>
      <c r="WMV176" s="250"/>
      <c r="WMW176" s="250"/>
      <c r="WMX176" s="250"/>
      <c r="WMY176" s="250"/>
      <c r="WMZ176" s="250"/>
      <c r="WNA176" s="250"/>
      <c r="WNB176" s="250"/>
      <c r="WNC176" s="250"/>
      <c r="WND176" s="250"/>
      <c r="WNE176" s="250"/>
      <c r="WNF176" s="250"/>
      <c r="WNG176" s="250"/>
      <c r="WNH176" s="250"/>
      <c r="WNI176" s="250"/>
      <c r="WNJ176" s="250"/>
      <c r="WNK176" s="250"/>
      <c r="WNL176" s="250"/>
      <c r="WNM176" s="250"/>
      <c r="WNN176" s="250"/>
      <c r="WNO176" s="250"/>
      <c r="WNP176" s="250"/>
      <c r="WNQ176" s="250"/>
      <c r="WNR176" s="250"/>
      <c r="WNS176" s="250"/>
      <c r="WNT176" s="250"/>
      <c r="WNU176" s="250"/>
      <c r="WNV176" s="250"/>
      <c r="WNW176" s="250"/>
      <c r="WNX176" s="250"/>
      <c r="WNY176" s="250"/>
      <c r="WNZ176" s="250"/>
      <c r="WOA176" s="250"/>
      <c r="WOB176" s="250"/>
      <c r="WOC176" s="250"/>
      <c r="WOD176" s="250"/>
      <c r="WOE176" s="250"/>
      <c r="WOF176" s="250"/>
      <c r="WOG176" s="250"/>
      <c r="WOH176" s="250"/>
      <c r="WOI176" s="250"/>
      <c r="WOJ176" s="250"/>
      <c r="WOK176" s="250"/>
      <c r="WOL176" s="250"/>
      <c r="WOM176" s="250"/>
      <c r="WON176" s="250"/>
      <c r="WOO176" s="250"/>
      <c r="WOP176" s="250"/>
      <c r="WOQ176" s="250"/>
      <c r="WOR176" s="250"/>
      <c r="WOS176" s="250"/>
      <c r="WOT176" s="250"/>
      <c r="WOU176" s="250"/>
      <c r="WOV176" s="250"/>
      <c r="WOW176" s="250"/>
      <c r="WOX176" s="250"/>
      <c r="WOY176" s="250"/>
      <c r="WOZ176" s="250"/>
      <c r="WPA176" s="250"/>
      <c r="WPB176" s="250"/>
      <c r="WPC176" s="250"/>
      <c r="WPD176" s="250"/>
      <c r="WPE176" s="250"/>
      <c r="WPF176" s="250"/>
      <c r="WPG176" s="250"/>
      <c r="WPH176" s="250"/>
      <c r="WPI176" s="250"/>
      <c r="WPJ176" s="250"/>
      <c r="WPK176" s="250"/>
      <c r="WPL176" s="250"/>
      <c r="WPM176" s="250"/>
      <c r="WPN176" s="250"/>
      <c r="WPO176" s="250"/>
      <c r="WPP176" s="250"/>
      <c r="WPQ176" s="250"/>
      <c r="WPR176" s="250"/>
      <c r="WPS176" s="250"/>
      <c r="WPT176" s="250"/>
      <c r="WPU176" s="250"/>
      <c r="WPV176" s="250"/>
      <c r="WPW176" s="250"/>
      <c r="WPX176" s="250"/>
      <c r="WPY176" s="250"/>
      <c r="WPZ176" s="250"/>
      <c r="WQA176" s="250"/>
      <c r="WQB176" s="250"/>
      <c r="WQC176" s="250"/>
      <c r="WQD176" s="250"/>
      <c r="WQE176" s="250"/>
      <c r="WQF176" s="250"/>
      <c r="WQG176" s="250"/>
      <c r="WQH176" s="250"/>
      <c r="WQI176" s="250"/>
      <c r="WQJ176" s="250"/>
      <c r="WQK176" s="250"/>
      <c r="WQL176" s="250"/>
      <c r="WQM176" s="250"/>
      <c r="WQN176" s="250"/>
      <c r="WQO176" s="250"/>
      <c r="WQP176" s="250"/>
      <c r="WQQ176" s="250"/>
      <c r="WQR176" s="250"/>
      <c r="WQS176" s="250"/>
      <c r="WQT176" s="250"/>
      <c r="WQU176" s="250"/>
      <c r="WQV176" s="250"/>
      <c r="WQW176" s="250"/>
      <c r="WQX176" s="250"/>
      <c r="WQY176" s="250"/>
      <c r="WQZ176" s="250"/>
      <c r="WRA176" s="250"/>
      <c r="WRB176" s="250"/>
      <c r="WRC176" s="250"/>
      <c r="WRD176" s="250"/>
      <c r="WRE176" s="250"/>
      <c r="WRF176" s="250"/>
      <c r="WRG176" s="250"/>
      <c r="WRH176" s="250"/>
      <c r="WRI176" s="250"/>
      <c r="WRJ176" s="250"/>
      <c r="WRK176" s="250"/>
      <c r="WRL176" s="250"/>
      <c r="WRM176" s="250"/>
      <c r="WRN176" s="250"/>
      <c r="WRO176" s="250"/>
      <c r="WRP176" s="250"/>
      <c r="WRQ176" s="250"/>
      <c r="WRR176" s="250"/>
      <c r="WRS176" s="250"/>
      <c r="WRT176" s="250"/>
      <c r="WRU176" s="250"/>
      <c r="WRV176" s="250"/>
      <c r="WRW176" s="250"/>
      <c r="WRX176" s="250"/>
      <c r="WRY176" s="250"/>
      <c r="WRZ176" s="250"/>
      <c r="WSA176" s="250"/>
      <c r="WSB176" s="250"/>
      <c r="WSC176" s="250"/>
      <c r="WSD176" s="250"/>
      <c r="WSE176" s="250"/>
      <c r="WSF176" s="250"/>
      <c r="WSG176" s="250"/>
      <c r="WSH176" s="250"/>
      <c r="WSI176" s="250"/>
      <c r="WSJ176" s="250"/>
      <c r="WSK176" s="250"/>
      <c r="WSL176" s="250"/>
      <c r="WSM176" s="250"/>
      <c r="WSN176" s="250"/>
      <c r="WSO176" s="250"/>
      <c r="WSP176" s="250"/>
      <c r="WSQ176" s="250"/>
      <c r="WSR176" s="250"/>
      <c r="WSS176" s="250"/>
      <c r="WST176" s="250"/>
      <c r="WSU176" s="250"/>
      <c r="WSV176" s="250"/>
      <c r="WSW176" s="250"/>
      <c r="WSX176" s="250"/>
      <c r="WSY176" s="250"/>
      <c r="WSZ176" s="250"/>
      <c r="WTA176" s="250"/>
      <c r="WTB176" s="250"/>
      <c r="WTC176" s="250"/>
      <c r="WTD176" s="250"/>
      <c r="WTE176" s="250"/>
      <c r="WTF176" s="250"/>
      <c r="WTG176" s="250"/>
      <c r="WTH176" s="250"/>
      <c r="WTI176" s="250"/>
      <c r="WTJ176" s="250"/>
      <c r="WTK176" s="250"/>
      <c r="WTL176" s="250"/>
      <c r="WTM176" s="250"/>
      <c r="WTN176" s="250"/>
      <c r="WTO176" s="250"/>
      <c r="WTP176" s="250"/>
      <c r="WTQ176" s="250"/>
      <c r="WTR176" s="250"/>
      <c r="WTS176" s="250"/>
      <c r="WTT176" s="250"/>
      <c r="WTU176" s="250"/>
      <c r="WTV176" s="250"/>
      <c r="WTW176" s="250"/>
      <c r="WTX176" s="250"/>
      <c r="WTY176" s="250"/>
      <c r="WTZ176" s="250"/>
      <c r="WUA176" s="250"/>
      <c r="WUB176" s="250"/>
      <c r="WUC176" s="250"/>
      <c r="WUD176" s="250"/>
      <c r="WUE176" s="250"/>
      <c r="WUF176" s="250"/>
      <c r="WUG176" s="250"/>
      <c r="WUH176" s="250"/>
      <c r="WUI176" s="250"/>
      <c r="WUJ176" s="250"/>
      <c r="WUK176" s="250"/>
      <c r="WUL176" s="250"/>
      <c r="WUM176" s="250"/>
      <c r="WUN176" s="250"/>
      <c r="WUO176" s="250"/>
      <c r="WUP176" s="250"/>
      <c r="WUQ176" s="250"/>
      <c r="WUR176" s="250"/>
      <c r="WUS176" s="250"/>
      <c r="WUT176" s="250"/>
      <c r="WUU176" s="250"/>
      <c r="WUV176" s="250"/>
      <c r="WUW176" s="250"/>
      <c r="WUX176" s="250"/>
      <c r="WUY176" s="250"/>
      <c r="WUZ176" s="250"/>
      <c r="WVA176" s="250"/>
      <c r="WVB176" s="250"/>
      <c r="WVC176" s="250"/>
      <c r="WVD176" s="250"/>
      <c r="WVE176" s="250"/>
      <c r="WVF176" s="250"/>
      <c r="WVG176" s="250"/>
      <c r="WVH176" s="250"/>
      <c r="WVI176" s="250"/>
      <c r="WVJ176" s="250"/>
      <c r="WVK176" s="250"/>
      <c r="WVL176" s="250"/>
      <c r="WVM176" s="250"/>
      <c r="WVN176" s="250"/>
      <c r="WVO176" s="250"/>
      <c r="WVP176" s="250"/>
      <c r="WVQ176" s="250"/>
      <c r="WVR176" s="250"/>
      <c r="WVS176" s="250"/>
      <c r="WVT176" s="250"/>
      <c r="WVU176" s="250"/>
      <c r="WVV176" s="250"/>
      <c r="WVW176" s="250"/>
      <c r="WVX176" s="250"/>
      <c r="WVY176" s="250"/>
      <c r="WVZ176" s="250"/>
      <c r="WWA176" s="250"/>
      <c r="WWB176" s="250"/>
      <c r="WWC176" s="250"/>
      <c r="WWD176" s="250"/>
      <c r="WWE176" s="250"/>
      <c r="WWF176" s="250"/>
      <c r="WWG176" s="250"/>
      <c r="WWH176" s="250"/>
      <c r="WWI176" s="250"/>
      <c r="WWJ176" s="250"/>
      <c r="WWK176" s="250"/>
      <c r="WWL176" s="250"/>
      <c r="WWM176" s="250"/>
      <c r="WWN176" s="250"/>
      <c r="WWO176" s="250"/>
      <c r="WWP176" s="250"/>
      <c r="WWQ176" s="250"/>
      <c r="WWR176" s="250"/>
      <c r="WWS176" s="250"/>
      <c r="WWT176" s="250"/>
      <c r="WWU176" s="250"/>
      <c r="WWV176" s="250"/>
      <c r="WWW176" s="250"/>
      <c r="WWX176" s="250"/>
      <c r="WWY176" s="250"/>
      <c r="WWZ176" s="250"/>
      <c r="WXA176" s="250"/>
      <c r="WXB176" s="250"/>
      <c r="WXC176" s="250"/>
      <c r="WXD176" s="250"/>
      <c r="WXE176" s="250"/>
      <c r="WXF176" s="250"/>
      <c r="WXG176" s="250"/>
      <c r="WXH176" s="250"/>
      <c r="WXI176" s="250"/>
      <c r="WXJ176" s="250"/>
      <c r="WXK176" s="250"/>
      <c r="WXL176" s="250"/>
      <c r="WXM176" s="250"/>
      <c r="WXN176" s="250"/>
      <c r="WXO176" s="250"/>
      <c r="WXP176" s="250"/>
      <c r="WXQ176" s="250"/>
      <c r="WXR176" s="250"/>
      <c r="WXS176" s="250"/>
      <c r="WXT176" s="250"/>
      <c r="WXU176" s="250"/>
      <c r="WXV176" s="250"/>
      <c r="WXW176" s="250"/>
      <c r="WXX176" s="250"/>
      <c r="WXY176" s="250"/>
      <c r="WXZ176" s="250"/>
      <c r="WYA176" s="250"/>
      <c r="WYB176" s="250"/>
      <c r="WYC176" s="250"/>
      <c r="WYD176" s="250"/>
      <c r="WYE176" s="250"/>
      <c r="WYF176" s="250"/>
      <c r="WYG176" s="250"/>
      <c r="WYH176" s="250"/>
      <c r="WYI176" s="250"/>
      <c r="WYJ176" s="250"/>
      <c r="WYK176" s="250"/>
      <c r="WYL176" s="250"/>
      <c r="WYM176" s="250"/>
      <c r="WYN176" s="250"/>
      <c r="WYO176" s="250"/>
      <c r="WYP176" s="250"/>
      <c r="WYQ176" s="250"/>
      <c r="WYR176" s="250"/>
      <c r="WYS176" s="250"/>
      <c r="WYT176" s="250"/>
      <c r="WYU176" s="250"/>
      <c r="WYV176" s="250"/>
      <c r="WYW176" s="250"/>
      <c r="WYX176" s="250"/>
      <c r="WYY176" s="250"/>
      <c r="WYZ176" s="250"/>
      <c r="WZA176" s="250"/>
      <c r="WZB176" s="250"/>
      <c r="WZC176" s="250"/>
      <c r="WZD176" s="250"/>
      <c r="WZE176" s="250"/>
      <c r="WZF176" s="250"/>
      <c r="WZG176" s="250"/>
      <c r="WZH176" s="250"/>
      <c r="WZI176" s="250"/>
      <c r="WZJ176" s="250"/>
      <c r="WZK176" s="250"/>
      <c r="WZL176" s="250"/>
      <c r="WZM176" s="250"/>
      <c r="WZN176" s="250"/>
      <c r="WZO176" s="250"/>
      <c r="WZP176" s="250"/>
      <c r="WZQ176" s="250"/>
      <c r="WZR176" s="250"/>
      <c r="WZS176" s="250"/>
      <c r="WZT176" s="250"/>
      <c r="WZU176" s="250"/>
      <c r="WZV176" s="250"/>
      <c r="WZW176" s="250"/>
      <c r="WZX176" s="250"/>
      <c r="WZY176" s="250"/>
      <c r="WZZ176" s="250"/>
      <c r="XAA176" s="250"/>
      <c r="XAB176" s="250"/>
      <c r="XAC176" s="250"/>
      <c r="XAD176" s="250"/>
      <c r="XAE176" s="250"/>
      <c r="XAF176" s="250"/>
      <c r="XAG176" s="250"/>
      <c r="XAH176" s="250"/>
      <c r="XAI176" s="250"/>
      <c r="XAJ176" s="250"/>
      <c r="XAK176" s="250"/>
      <c r="XAL176" s="250"/>
      <c r="XAM176" s="250"/>
      <c r="XAN176" s="250"/>
      <c r="XAO176" s="250"/>
      <c r="XAP176" s="250"/>
      <c r="XAQ176" s="250"/>
      <c r="XAR176" s="250"/>
      <c r="XAS176" s="250"/>
      <c r="XAT176" s="250"/>
      <c r="XAU176" s="250"/>
      <c r="XAV176" s="250"/>
      <c r="XAW176" s="250"/>
      <c r="XAX176" s="250"/>
      <c r="XAY176" s="250"/>
      <c r="XAZ176" s="250"/>
      <c r="XBA176" s="250"/>
      <c r="XBB176" s="250"/>
      <c r="XBC176" s="250"/>
      <c r="XBD176" s="250"/>
      <c r="XBE176" s="250"/>
      <c r="XBF176" s="250"/>
      <c r="XBG176" s="250"/>
      <c r="XBH176" s="250"/>
      <c r="XBI176" s="250"/>
      <c r="XBJ176" s="250"/>
      <c r="XBK176" s="250"/>
      <c r="XBL176" s="250"/>
      <c r="XBM176" s="250"/>
      <c r="XBN176" s="250"/>
      <c r="XBO176" s="250"/>
      <c r="XBP176" s="250"/>
      <c r="XBQ176" s="250"/>
      <c r="XBR176" s="250"/>
      <c r="XBS176" s="250"/>
      <c r="XBT176" s="250"/>
      <c r="XBU176" s="250"/>
      <c r="XBV176" s="250"/>
      <c r="XBW176" s="250"/>
      <c r="XBX176" s="250"/>
      <c r="XBY176" s="250"/>
      <c r="XBZ176" s="250"/>
      <c r="XCA176" s="250"/>
      <c r="XCB176" s="250"/>
      <c r="XCC176" s="250"/>
      <c r="XCD176" s="250"/>
      <c r="XCE176" s="250"/>
      <c r="XCF176" s="250"/>
      <c r="XCG176" s="250"/>
      <c r="XCH176" s="250"/>
      <c r="XCI176" s="250"/>
      <c r="XCJ176" s="250"/>
      <c r="XCK176" s="250"/>
      <c r="XCL176" s="250"/>
      <c r="XCM176" s="250"/>
      <c r="XCN176" s="250"/>
      <c r="XCO176" s="250"/>
      <c r="XCP176" s="250"/>
      <c r="XCQ176" s="250"/>
      <c r="XCR176" s="250"/>
      <c r="XCS176" s="250"/>
      <c r="XCT176" s="250"/>
      <c r="XCU176" s="250"/>
      <c r="XCV176" s="250"/>
      <c r="XCW176" s="250"/>
      <c r="XCX176" s="250"/>
      <c r="XCY176" s="250"/>
      <c r="XCZ176" s="250"/>
      <c r="XDA176" s="250"/>
      <c r="XDB176" s="250"/>
      <c r="XDC176" s="250"/>
      <c r="XDD176" s="250"/>
      <c r="XDE176" s="250"/>
      <c r="XDF176" s="250"/>
      <c r="XDG176" s="250"/>
      <c r="XDH176" s="250"/>
      <c r="XDI176" s="250"/>
      <c r="XDJ176" s="250"/>
      <c r="XDK176" s="250"/>
      <c r="XDL176" s="250"/>
      <c r="XDM176" s="250"/>
      <c r="XDN176" s="250"/>
      <c r="XDO176" s="250"/>
      <c r="XDP176" s="250"/>
      <c r="XDQ176" s="250"/>
      <c r="XDR176" s="250"/>
      <c r="XDS176" s="250"/>
      <c r="XDT176" s="250"/>
      <c r="XDU176" s="250"/>
      <c r="XDV176" s="250"/>
      <c r="XDW176" s="250"/>
      <c r="XDX176" s="250"/>
      <c r="XDY176" s="250"/>
      <c r="XDZ176" s="250"/>
      <c r="XEA176" s="250"/>
      <c r="XEB176" s="250"/>
      <c r="XEC176" s="250"/>
      <c r="XED176" s="250"/>
      <c r="XEE176" s="250"/>
      <c r="XEF176" s="250"/>
      <c r="XEG176" s="250"/>
      <c r="XEH176" s="250"/>
      <c r="XEI176" s="250"/>
      <c r="XEJ176" s="250"/>
      <c r="XEK176" s="250"/>
      <c r="XEL176" s="250"/>
      <c r="XEM176" s="250"/>
      <c r="XEN176" s="250"/>
      <c r="XEO176" s="250"/>
      <c r="XEP176" s="250"/>
      <c r="XEQ176" s="250"/>
      <c r="XER176" s="250"/>
      <c r="XES176" s="250"/>
      <c r="XET176" s="250"/>
      <c r="XEU176" s="250"/>
      <c r="XEV176" s="250"/>
      <c r="XEW176" s="250"/>
      <c r="XEX176" s="250"/>
      <c r="XEY176" s="250"/>
      <c r="XEZ176" s="250"/>
      <c r="XFA176" s="250"/>
      <c r="XFB176" s="250"/>
      <c r="XFC176" s="250"/>
    </row>
    <row r="177" spans="1:16383" ht="12" customHeight="1" x14ac:dyDescent="0.2">
      <c r="A177" s="229"/>
      <c r="B177" s="250"/>
      <c r="C177" s="303"/>
      <c r="D177" s="250"/>
      <c r="E177" s="250"/>
      <c r="F177" s="250"/>
      <c r="G177" s="250"/>
      <c r="H177" s="250"/>
      <c r="I177" s="250"/>
      <c r="J177" s="250"/>
      <c r="K177" s="250"/>
      <c r="L177" s="250"/>
      <c r="M177" s="319"/>
      <c r="N177" s="319"/>
      <c r="O177" s="319"/>
      <c r="P177" s="319"/>
      <c r="Q177" s="319"/>
      <c r="R177" s="319"/>
      <c r="S177" s="319"/>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EB177" s="250"/>
      <c r="EC177" s="250"/>
      <c r="ED177" s="250"/>
      <c r="EE177" s="250"/>
      <c r="EF177" s="250"/>
      <c r="EG177" s="250"/>
      <c r="EH177" s="250"/>
      <c r="EI177" s="250"/>
      <c r="EJ177" s="250"/>
      <c r="EK177" s="250"/>
      <c r="EL177" s="250"/>
      <c r="EM177" s="250"/>
      <c r="EN177" s="250"/>
      <c r="EO177" s="250"/>
      <c r="EP177" s="250"/>
      <c r="EQ177" s="250"/>
      <c r="ER177" s="250"/>
      <c r="ES177" s="250"/>
      <c r="ET177" s="250"/>
      <c r="EU177" s="250"/>
      <c r="EV177" s="250"/>
      <c r="EW177" s="250"/>
      <c r="EX177" s="250"/>
      <c r="EY177" s="250"/>
      <c r="EZ177" s="250"/>
      <c r="FA177" s="250"/>
      <c r="FB177" s="250"/>
      <c r="FC177" s="250"/>
      <c r="FD177" s="250"/>
      <c r="FE177" s="250"/>
      <c r="FF177" s="250"/>
      <c r="FG177" s="250"/>
      <c r="FH177" s="250"/>
      <c r="FI177" s="250"/>
      <c r="FJ177" s="250"/>
      <c r="FK177" s="250"/>
      <c r="FL177" s="250"/>
      <c r="FM177" s="250"/>
      <c r="FN177" s="250"/>
      <c r="FO177" s="250"/>
      <c r="FP177" s="250"/>
      <c r="FQ177" s="250"/>
      <c r="FR177" s="250"/>
      <c r="FS177" s="250"/>
      <c r="FT177" s="250"/>
      <c r="FU177" s="250"/>
      <c r="FV177" s="250"/>
      <c r="FW177" s="250"/>
      <c r="FX177" s="250"/>
      <c r="FY177" s="250"/>
      <c r="FZ177" s="250"/>
      <c r="GA177" s="250"/>
      <c r="GB177" s="250"/>
      <c r="GC177" s="250"/>
      <c r="GD177" s="250"/>
      <c r="GE177" s="250"/>
      <c r="GF177" s="250"/>
      <c r="GG177" s="250"/>
      <c r="GH177" s="250"/>
      <c r="GI177" s="250"/>
      <c r="GJ177" s="250"/>
      <c r="GK177" s="250"/>
      <c r="GL177" s="250"/>
      <c r="GM177" s="250"/>
      <c r="GN177" s="250"/>
      <c r="GO177" s="250"/>
      <c r="GP177" s="250"/>
      <c r="GQ177" s="250"/>
      <c r="GR177" s="250"/>
      <c r="GS177" s="250"/>
      <c r="GT177" s="250"/>
      <c r="GU177" s="250"/>
      <c r="GV177" s="250"/>
      <c r="GW177" s="250"/>
      <c r="GX177" s="250"/>
      <c r="GY177" s="250"/>
      <c r="GZ177" s="250"/>
      <c r="HA177" s="250"/>
      <c r="HB177" s="250"/>
      <c r="HC177" s="250"/>
      <c r="HD177" s="250"/>
      <c r="HE177" s="250"/>
      <c r="HF177" s="250"/>
      <c r="HG177" s="250"/>
      <c r="HH177" s="250"/>
      <c r="HI177" s="250"/>
      <c r="HJ177" s="250"/>
      <c r="HK177" s="250"/>
      <c r="HL177" s="250"/>
      <c r="HM177" s="250"/>
      <c r="HN177" s="250"/>
      <c r="HO177" s="250"/>
      <c r="HP177" s="250"/>
      <c r="HQ177" s="250"/>
      <c r="HR177" s="250"/>
      <c r="HS177" s="250"/>
      <c r="HT177" s="250"/>
      <c r="HU177" s="250"/>
      <c r="HV177" s="250"/>
      <c r="HW177" s="250"/>
      <c r="HX177" s="250"/>
      <c r="HY177" s="250"/>
      <c r="HZ177" s="250"/>
      <c r="IA177" s="250"/>
      <c r="IB177" s="250"/>
      <c r="IC177" s="250"/>
      <c r="ID177" s="250"/>
      <c r="IE177" s="250"/>
      <c r="IF177" s="250"/>
      <c r="IG177" s="250"/>
      <c r="IH177" s="250"/>
      <c r="II177" s="250"/>
      <c r="IJ177" s="250"/>
      <c r="IK177" s="250"/>
      <c r="IL177" s="250"/>
      <c r="IM177" s="250"/>
      <c r="IN177" s="250"/>
      <c r="IO177" s="250"/>
      <c r="IP177" s="250"/>
      <c r="IQ177" s="250"/>
      <c r="IR177" s="250"/>
      <c r="IS177" s="250"/>
      <c r="IT177" s="250"/>
      <c r="IU177" s="250"/>
      <c r="IV177" s="250"/>
      <c r="IW177" s="250"/>
      <c r="IX177" s="250"/>
      <c r="IY177" s="250"/>
      <c r="IZ177" s="250"/>
      <c r="JA177" s="250"/>
      <c r="JB177" s="250"/>
      <c r="JC177" s="250"/>
      <c r="JD177" s="250"/>
      <c r="JE177" s="250"/>
      <c r="JF177" s="250"/>
      <c r="JG177" s="250"/>
      <c r="JH177" s="250"/>
      <c r="JI177" s="250"/>
      <c r="JJ177" s="250"/>
      <c r="JK177" s="250"/>
      <c r="JL177" s="250"/>
      <c r="JM177" s="250"/>
      <c r="JN177" s="250"/>
      <c r="JO177" s="250"/>
      <c r="JP177" s="250"/>
      <c r="JQ177" s="250"/>
      <c r="JR177" s="250"/>
      <c r="JS177" s="250"/>
      <c r="JT177" s="250"/>
      <c r="JU177" s="250"/>
      <c r="JV177" s="250"/>
      <c r="JW177" s="250"/>
      <c r="JX177" s="250"/>
      <c r="JY177" s="250"/>
      <c r="JZ177" s="250"/>
      <c r="KA177" s="250"/>
      <c r="KB177" s="250"/>
      <c r="KC177" s="250"/>
      <c r="KD177" s="250"/>
      <c r="KE177" s="250"/>
      <c r="KF177" s="250"/>
      <c r="KG177" s="250"/>
      <c r="KH177" s="250"/>
      <c r="KI177" s="250"/>
      <c r="KJ177" s="250"/>
      <c r="KK177" s="250"/>
      <c r="KL177" s="250"/>
      <c r="KM177" s="250"/>
      <c r="KN177" s="250"/>
      <c r="KO177" s="250"/>
      <c r="KP177" s="250"/>
      <c r="KQ177" s="250"/>
      <c r="KR177" s="250"/>
      <c r="KS177" s="250"/>
      <c r="KT177" s="250"/>
      <c r="KU177" s="250"/>
      <c r="KV177" s="250"/>
      <c r="KW177" s="250"/>
      <c r="KX177" s="250"/>
      <c r="KY177" s="250"/>
      <c r="KZ177" s="250"/>
      <c r="LA177" s="250"/>
      <c r="LB177" s="250"/>
      <c r="LC177" s="250"/>
      <c r="LD177" s="250"/>
      <c r="LE177" s="250"/>
      <c r="LF177" s="250"/>
      <c r="LG177" s="250"/>
      <c r="LH177" s="250"/>
      <c r="LI177" s="250"/>
      <c r="LJ177" s="250"/>
      <c r="LK177" s="250"/>
      <c r="LL177" s="250"/>
      <c r="LM177" s="250"/>
      <c r="LN177" s="250"/>
      <c r="LO177" s="250"/>
      <c r="LP177" s="250"/>
      <c r="LQ177" s="250"/>
      <c r="LR177" s="250"/>
      <c r="LS177" s="250"/>
      <c r="LT177" s="250"/>
      <c r="LU177" s="250"/>
      <c r="LV177" s="250"/>
      <c r="LW177" s="250"/>
      <c r="LX177" s="250"/>
      <c r="LY177" s="250"/>
      <c r="LZ177" s="250"/>
      <c r="MA177" s="250"/>
      <c r="MB177" s="250"/>
      <c r="MC177" s="250"/>
      <c r="MD177" s="250"/>
      <c r="ME177" s="250"/>
      <c r="MF177" s="250"/>
      <c r="MG177" s="250"/>
      <c r="MH177" s="250"/>
      <c r="MI177" s="250"/>
      <c r="MJ177" s="250"/>
      <c r="MK177" s="250"/>
      <c r="ML177" s="250"/>
      <c r="MM177" s="250"/>
      <c r="MN177" s="250"/>
      <c r="MO177" s="250"/>
      <c r="MP177" s="250"/>
      <c r="MQ177" s="250"/>
      <c r="MR177" s="250"/>
      <c r="MS177" s="250"/>
      <c r="MT177" s="250"/>
      <c r="MU177" s="250"/>
      <c r="MV177" s="250"/>
      <c r="MW177" s="250"/>
      <c r="MX177" s="250"/>
      <c r="MY177" s="250"/>
      <c r="MZ177" s="250"/>
      <c r="NA177" s="250"/>
      <c r="NB177" s="250"/>
      <c r="NC177" s="250"/>
      <c r="ND177" s="250"/>
      <c r="NE177" s="250"/>
      <c r="NF177" s="250"/>
      <c r="NG177" s="250"/>
      <c r="NH177" s="250"/>
      <c r="NI177" s="250"/>
      <c r="NJ177" s="250"/>
      <c r="NK177" s="250"/>
      <c r="NL177" s="250"/>
      <c r="NM177" s="250"/>
      <c r="NN177" s="250"/>
      <c r="NO177" s="250"/>
      <c r="NP177" s="250"/>
      <c r="NQ177" s="250"/>
      <c r="NR177" s="250"/>
      <c r="NS177" s="250"/>
      <c r="NT177" s="250"/>
      <c r="NU177" s="250"/>
      <c r="NV177" s="250"/>
      <c r="NW177" s="250"/>
      <c r="NX177" s="250"/>
      <c r="NY177" s="250"/>
      <c r="NZ177" s="250"/>
      <c r="OA177" s="250"/>
      <c r="OB177" s="250"/>
      <c r="OC177" s="250"/>
      <c r="OD177" s="250"/>
      <c r="OE177" s="250"/>
      <c r="OF177" s="250"/>
      <c r="OG177" s="250"/>
      <c r="OH177" s="250"/>
      <c r="OI177" s="250"/>
      <c r="OJ177" s="250"/>
      <c r="OK177" s="250"/>
      <c r="OL177" s="250"/>
      <c r="OM177" s="250"/>
      <c r="ON177" s="250"/>
      <c r="OO177" s="250"/>
      <c r="OP177" s="250"/>
      <c r="OQ177" s="250"/>
      <c r="OR177" s="250"/>
      <c r="OS177" s="250"/>
      <c r="OT177" s="250"/>
      <c r="OU177" s="250"/>
      <c r="OV177" s="250"/>
      <c r="OW177" s="250"/>
      <c r="OX177" s="250"/>
      <c r="OY177" s="250"/>
      <c r="OZ177" s="250"/>
      <c r="PA177" s="250"/>
      <c r="PB177" s="250"/>
      <c r="PC177" s="250"/>
      <c r="PD177" s="250"/>
      <c r="PE177" s="250"/>
      <c r="PF177" s="250"/>
      <c r="PG177" s="250"/>
      <c r="PH177" s="250"/>
      <c r="PI177" s="250"/>
      <c r="PJ177" s="250"/>
      <c r="PK177" s="250"/>
      <c r="PL177" s="250"/>
      <c r="PM177" s="250"/>
      <c r="PN177" s="250"/>
      <c r="PO177" s="250"/>
      <c r="PP177" s="250"/>
      <c r="PQ177" s="250"/>
      <c r="PR177" s="250"/>
      <c r="PS177" s="250"/>
      <c r="PT177" s="250"/>
      <c r="PU177" s="250"/>
      <c r="PV177" s="250"/>
      <c r="PW177" s="250"/>
      <c r="PX177" s="250"/>
      <c r="PY177" s="250"/>
      <c r="PZ177" s="250"/>
      <c r="QA177" s="250"/>
      <c r="QB177" s="250"/>
      <c r="QC177" s="250"/>
      <c r="QD177" s="250"/>
      <c r="QE177" s="250"/>
      <c r="QF177" s="250"/>
      <c r="QG177" s="250"/>
      <c r="QH177" s="250"/>
      <c r="QI177" s="250"/>
      <c r="QJ177" s="250"/>
      <c r="QK177" s="250"/>
      <c r="QL177" s="250"/>
      <c r="QM177" s="250"/>
      <c r="QN177" s="250"/>
      <c r="QO177" s="250"/>
      <c r="QP177" s="250"/>
      <c r="QQ177" s="250"/>
      <c r="QR177" s="250"/>
      <c r="QS177" s="250"/>
      <c r="QT177" s="250"/>
      <c r="QU177" s="250"/>
      <c r="QV177" s="250"/>
      <c r="QW177" s="250"/>
      <c r="QX177" s="250"/>
      <c r="QY177" s="250"/>
      <c r="QZ177" s="250"/>
      <c r="RA177" s="250"/>
      <c r="RB177" s="250"/>
      <c r="RC177" s="250"/>
      <c r="RD177" s="250"/>
      <c r="RE177" s="250"/>
      <c r="RF177" s="250"/>
      <c r="RG177" s="250"/>
      <c r="RH177" s="250"/>
      <c r="RI177" s="250"/>
      <c r="RJ177" s="250"/>
      <c r="RK177" s="250"/>
      <c r="RL177" s="250"/>
      <c r="RM177" s="250"/>
      <c r="RN177" s="250"/>
      <c r="RO177" s="250"/>
      <c r="RP177" s="250"/>
      <c r="RQ177" s="250"/>
      <c r="RR177" s="250"/>
      <c r="RS177" s="250"/>
      <c r="RT177" s="250"/>
      <c r="RU177" s="250"/>
      <c r="RV177" s="250"/>
      <c r="RW177" s="250"/>
      <c r="RX177" s="250"/>
      <c r="RY177" s="250"/>
      <c r="RZ177" s="250"/>
      <c r="SA177" s="250"/>
      <c r="SB177" s="250"/>
      <c r="SC177" s="250"/>
      <c r="SD177" s="250"/>
      <c r="SE177" s="250"/>
      <c r="SF177" s="250"/>
      <c r="SG177" s="250"/>
      <c r="SH177" s="250"/>
      <c r="SI177" s="250"/>
      <c r="SJ177" s="250"/>
      <c r="SK177" s="250"/>
      <c r="SL177" s="250"/>
      <c r="SM177" s="250"/>
      <c r="SN177" s="250"/>
      <c r="SO177" s="250"/>
      <c r="SP177" s="250"/>
      <c r="SQ177" s="250"/>
      <c r="SR177" s="250"/>
      <c r="SS177" s="250"/>
      <c r="ST177" s="250"/>
      <c r="SU177" s="250"/>
      <c r="SV177" s="250"/>
      <c r="SW177" s="250"/>
      <c r="SX177" s="250"/>
      <c r="SY177" s="250"/>
      <c r="SZ177" s="250"/>
      <c r="TA177" s="250"/>
      <c r="TB177" s="250"/>
      <c r="TC177" s="250"/>
      <c r="TD177" s="250"/>
      <c r="TE177" s="250"/>
      <c r="TF177" s="250"/>
      <c r="TG177" s="250"/>
      <c r="TH177" s="250"/>
      <c r="TI177" s="250"/>
      <c r="TJ177" s="250"/>
      <c r="TK177" s="250"/>
      <c r="TL177" s="250"/>
      <c r="TM177" s="250"/>
      <c r="TN177" s="250"/>
      <c r="TO177" s="250"/>
      <c r="TP177" s="250"/>
      <c r="TQ177" s="250"/>
      <c r="TR177" s="250"/>
      <c r="TS177" s="250"/>
      <c r="TT177" s="250"/>
      <c r="TU177" s="250"/>
      <c r="TV177" s="250"/>
      <c r="TW177" s="250"/>
      <c r="TX177" s="250"/>
      <c r="TY177" s="250"/>
      <c r="TZ177" s="250"/>
      <c r="UA177" s="250"/>
      <c r="UB177" s="250"/>
      <c r="UC177" s="250"/>
      <c r="UD177" s="250"/>
      <c r="UE177" s="250"/>
      <c r="UF177" s="250"/>
      <c r="UG177" s="250"/>
      <c r="UH177" s="250"/>
      <c r="UI177" s="250"/>
      <c r="UJ177" s="250"/>
      <c r="UK177" s="250"/>
      <c r="UL177" s="250"/>
      <c r="UM177" s="250"/>
      <c r="UN177" s="250"/>
      <c r="UO177" s="250"/>
      <c r="UP177" s="250"/>
      <c r="UQ177" s="250"/>
      <c r="UR177" s="250"/>
      <c r="US177" s="250"/>
      <c r="UT177" s="250"/>
      <c r="UU177" s="250"/>
      <c r="UV177" s="250"/>
      <c r="UW177" s="250"/>
      <c r="UX177" s="250"/>
      <c r="UY177" s="250"/>
      <c r="UZ177" s="250"/>
      <c r="VA177" s="250"/>
      <c r="VB177" s="250"/>
      <c r="VC177" s="250"/>
      <c r="VD177" s="250"/>
      <c r="VE177" s="250"/>
      <c r="VF177" s="250"/>
      <c r="VG177" s="250"/>
      <c r="VH177" s="250"/>
      <c r="VI177" s="250"/>
      <c r="VJ177" s="250"/>
      <c r="VK177" s="250"/>
      <c r="VL177" s="250"/>
      <c r="VM177" s="250"/>
      <c r="VN177" s="250"/>
      <c r="VO177" s="250"/>
      <c r="VP177" s="250"/>
      <c r="VQ177" s="250"/>
      <c r="VR177" s="250"/>
      <c r="VS177" s="250"/>
      <c r="VT177" s="250"/>
      <c r="VU177" s="250"/>
      <c r="VV177" s="250"/>
      <c r="VW177" s="250"/>
      <c r="VX177" s="250"/>
      <c r="VY177" s="250"/>
      <c r="VZ177" s="250"/>
      <c r="WA177" s="250"/>
      <c r="WB177" s="250"/>
      <c r="WC177" s="250"/>
      <c r="WD177" s="250"/>
      <c r="WE177" s="250"/>
      <c r="WF177" s="250"/>
      <c r="WG177" s="250"/>
      <c r="WH177" s="250"/>
      <c r="WI177" s="250"/>
      <c r="WJ177" s="250"/>
      <c r="WK177" s="250"/>
      <c r="WL177" s="250"/>
      <c r="WM177" s="250"/>
      <c r="WN177" s="250"/>
      <c r="WO177" s="250"/>
      <c r="WP177" s="250"/>
      <c r="WQ177" s="250"/>
      <c r="WR177" s="250"/>
      <c r="WS177" s="250"/>
      <c r="WT177" s="250"/>
      <c r="WU177" s="250"/>
      <c r="WV177" s="250"/>
      <c r="WW177" s="250"/>
      <c r="WX177" s="250"/>
      <c r="WY177" s="250"/>
      <c r="WZ177" s="250"/>
      <c r="XA177" s="250"/>
      <c r="XB177" s="250"/>
      <c r="XC177" s="250"/>
      <c r="XD177" s="250"/>
      <c r="XE177" s="250"/>
      <c r="XF177" s="250"/>
      <c r="XG177" s="250"/>
      <c r="XH177" s="250"/>
      <c r="XI177" s="250"/>
      <c r="XJ177" s="250"/>
      <c r="XK177" s="250"/>
      <c r="XL177" s="250"/>
      <c r="XM177" s="250"/>
      <c r="XN177" s="250"/>
      <c r="XO177" s="250"/>
      <c r="XP177" s="250"/>
      <c r="XQ177" s="250"/>
      <c r="XR177" s="250"/>
      <c r="XS177" s="250"/>
      <c r="XT177" s="250"/>
      <c r="XU177" s="250"/>
      <c r="XV177" s="250"/>
      <c r="XW177" s="250"/>
      <c r="XX177" s="250"/>
      <c r="XY177" s="250"/>
      <c r="XZ177" s="250"/>
      <c r="YA177" s="250"/>
      <c r="YB177" s="250"/>
      <c r="YC177" s="250"/>
      <c r="YD177" s="250"/>
      <c r="YE177" s="250"/>
      <c r="YF177" s="250"/>
      <c r="YG177" s="250"/>
      <c r="YH177" s="250"/>
      <c r="YI177" s="250"/>
      <c r="YJ177" s="250"/>
      <c r="YK177" s="250"/>
      <c r="YL177" s="250"/>
      <c r="YM177" s="250"/>
      <c r="YN177" s="250"/>
      <c r="YO177" s="250"/>
      <c r="YP177" s="250"/>
      <c r="YQ177" s="250"/>
      <c r="YR177" s="250"/>
      <c r="YS177" s="250"/>
      <c r="YT177" s="250"/>
      <c r="YU177" s="250"/>
      <c r="YV177" s="250"/>
      <c r="YW177" s="250"/>
      <c r="YX177" s="250"/>
      <c r="YY177" s="250"/>
      <c r="YZ177" s="250"/>
      <c r="ZA177" s="250"/>
      <c r="ZB177" s="250"/>
      <c r="ZC177" s="250"/>
      <c r="ZD177" s="250"/>
      <c r="ZE177" s="250"/>
      <c r="ZF177" s="250"/>
      <c r="ZG177" s="250"/>
      <c r="ZH177" s="250"/>
      <c r="ZI177" s="250"/>
      <c r="ZJ177" s="250"/>
      <c r="ZK177" s="250"/>
      <c r="ZL177" s="250"/>
      <c r="ZM177" s="250"/>
      <c r="ZN177" s="250"/>
      <c r="ZO177" s="250"/>
      <c r="ZP177" s="250"/>
      <c r="ZQ177" s="250"/>
      <c r="ZR177" s="250"/>
      <c r="ZS177" s="250"/>
      <c r="ZT177" s="250"/>
      <c r="ZU177" s="250"/>
      <c r="ZV177" s="250"/>
      <c r="ZW177" s="250"/>
      <c r="ZX177" s="250"/>
      <c r="ZY177" s="250"/>
      <c r="ZZ177" s="250"/>
      <c r="AAA177" s="250"/>
      <c r="AAB177" s="250"/>
      <c r="AAC177" s="250"/>
      <c r="AAD177" s="250"/>
      <c r="AAE177" s="250"/>
      <c r="AAF177" s="250"/>
      <c r="AAG177" s="250"/>
      <c r="AAH177" s="250"/>
      <c r="AAI177" s="250"/>
      <c r="AAJ177" s="250"/>
      <c r="AAK177" s="250"/>
      <c r="AAL177" s="250"/>
      <c r="AAM177" s="250"/>
      <c r="AAN177" s="250"/>
      <c r="AAO177" s="250"/>
      <c r="AAP177" s="250"/>
      <c r="AAQ177" s="250"/>
      <c r="AAR177" s="250"/>
      <c r="AAS177" s="250"/>
      <c r="AAT177" s="250"/>
      <c r="AAU177" s="250"/>
      <c r="AAV177" s="250"/>
      <c r="AAW177" s="250"/>
      <c r="AAX177" s="250"/>
      <c r="AAY177" s="250"/>
      <c r="AAZ177" s="250"/>
      <c r="ABA177" s="250"/>
      <c r="ABB177" s="250"/>
      <c r="ABC177" s="250"/>
      <c r="ABD177" s="250"/>
      <c r="ABE177" s="250"/>
      <c r="ABF177" s="250"/>
      <c r="ABG177" s="250"/>
      <c r="ABH177" s="250"/>
      <c r="ABI177" s="250"/>
      <c r="ABJ177" s="250"/>
      <c r="ABK177" s="250"/>
      <c r="ABL177" s="250"/>
      <c r="ABM177" s="250"/>
      <c r="ABN177" s="250"/>
      <c r="ABO177" s="250"/>
      <c r="ABP177" s="250"/>
      <c r="ABQ177" s="250"/>
      <c r="ABR177" s="250"/>
      <c r="ABS177" s="250"/>
      <c r="ABT177" s="250"/>
      <c r="ABU177" s="250"/>
      <c r="ABV177" s="250"/>
      <c r="ABW177" s="250"/>
      <c r="ABX177" s="250"/>
      <c r="ABY177" s="250"/>
      <c r="ABZ177" s="250"/>
      <c r="ACA177" s="250"/>
      <c r="ACB177" s="250"/>
      <c r="ACC177" s="250"/>
      <c r="ACD177" s="250"/>
      <c r="ACE177" s="250"/>
      <c r="ACF177" s="250"/>
      <c r="ACG177" s="250"/>
      <c r="ACH177" s="250"/>
      <c r="ACI177" s="250"/>
      <c r="ACJ177" s="250"/>
      <c r="ACK177" s="250"/>
      <c r="ACL177" s="250"/>
      <c r="ACM177" s="250"/>
      <c r="ACN177" s="250"/>
      <c r="ACO177" s="250"/>
      <c r="ACP177" s="250"/>
      <c r="ACQ177" s="250"/>
      <c r="ACR177" s="250"/>
      <c r="ACS177" s="250"/>
      <c r="ACT177" s="250"/>
      <c r="ACU177" s="250"/>
      <c r="ACV177" s="250"/>
      <c r="ACW177" s="250"/>
      <c r="ACX177" s="250"/>
      <c r="ACY177" s="250"/>
      <c r="ACZ177" s="250"/>
      <c r="ADA177" s="250"/>
      <c r="ADB177" s="250"/>
      <c r="ADC177" s="250"/>
      <c r="ADD177" s="250"/>
      <c r="ADE177" s="250"/>
      <c r="ADF177" s="250"/>
      <c r="ADG177" s="250"/>
      <c r="ADH177" s="250"/>
      <c r="ADI177" s="250"/>
      <c r="ADJ177" s="250"/>
      <c r="ADK177" s="250"/>
      <c r="ADL177" s="250"/>
      <c r="ADM177" s="250"/>
      <c r="ADN177" s="250"/>
      <c r="ADO177" s="250"/>
      <c r="ADP177" s="250"/>
      <c r="ADQ177" s="250"/>
      <c r="ADR177" s="250"/>
      <c r="ADS177" s="250"/>
      <c r="ADT177" s="250"/>
      <c r="ADU177" s="250"/>
      <c r="ADV177" s="250"/>
      <c r="ADW177" s="250"/>
      <c r="ADX177" s="250"/>
      <c r="ADY177" s="250"/>
      <c r="ADZ177" s="250"/>
      <c r="AEA177" s="250"/>
      <c r="AEB177" s="250"/>
      <c r="AEC177" s="250"/>
      <c r="AED177" s="250"/>
      <c r="AEE177" s="250"/>
      <c r="AEF177" s="250"/>
      <c r="AEG177" s="250"/>
      <c r="AEH177" s="250"/>
      <c r="AEI177" s="250"/>
      <c r="AEJ177" s="250"/>
      <c r="AEK177" s="250"/>
      <c r="AEL177" s="250"/>
      <c r="AEM177" s="250"/>
      <c r="AEN177" s="250"/>
      <c r="AEO177" s="250"/>
      <c r="AEP177" s="250"/>
      <c r="AEQ177" s="250"/>
      <c r="AER177" s="250"/>
      <c r="AES177" s="250"/>
      <c r="AET177" s="250"/>
      <c r="AEU177" s="250"/>
      <c r="AEV177" s="250"/>
      <c r="AEW177" s="250"/>
      <c r="AEX177" s="250"/>
      <c r="AEY177" s="250"/>
      <c r="AEZ177" s="250"/>
      <c r="AFA177" s="250"/>
      <c r="AFB177" s="250"/>
      <c r="AFC177" s="250"/>
      <c r="AFD177" s="250"/>
      <c r="AFE177" s="250"/>
      <c r="AFF177" s="250"/>
      <c r="AFG177" s="250"/>
      <c r="AFH177" s="250"/>
      <c r="AFI177" s="250"/>
      <c r="AFJ177" s="250"/>
      <c r="AFK177" s="250"/>
      <c r="AFL177" s="250"/>
      <c r="AFM177" s="250"/>
      <c r="AFN177" s="250"/>
      <c r="AFO177" s="250"/>
      <c r="AFP177" s="250"/>
      <c r="AFQ177" s="250"/>
      <c r="AFR177" s="250"/>
      <c r="AFS177" s="250"/>
      <c r="AFT177" s="250"/>
      <c r="AFU177" s="250"/>
      <c r="AFV177" s="250"/>
      <c r="AFW177" s="250"/>
      <c r="AFX177" s="250"/>
      <c r="AFY177" s="250"/>
      <c r="AFZ177" s="250"/>
      <c r="AGA177" s="250"/>
      <c r="AGB177" s="250"/>
      <c r="AGC177" s="250"/>
      <c r="AGD177" s="250"/>
      <c r="AGE177" s="250"/>
      <c r="AGF177" s="250"/>
      <c r="AGG177" s="250"/>
      <c r="AGH177" s="250"/>
      <c r="AGI177" s="250"/>
      <c r="AGJ177" s="250"/>
      <c r="AGK177" s="250"/>
      <c r="AGL177" s="250"/>
      <c r="AGM177" s="250"/>
      <c r="AGN177" s="250"/>
      <c r="AGO177" s="250"/>
      <c r="AGP177" s="250"/>
      <c r="AGQ177" s="250"/>
      <c r="AGR177" s="250"/>
      <c r="AGS177" s="250"/>
      <c r="AGT177" s="250"/>
      <c r="AGU177" s="250"/>
      <c r="AGV177" s="250"/>
      <c r="AGW177" s="250"/>
      <c r="AGX177" s="250"/>
      <c r="AGY177" s="250"/>
      <c r="AGZ177" s="250"/>
      <c r="AHA177" s="250"/>
      <c r="AHB177" s="250"/>
      <c r="AHC177" s="250"/>
      <c r="AHD177" s="250"/>
      <c r="AHE177" s="250"/>
      <c r="AHF177" s="250"/>
      <c r="AHG177" s="250"/>
      <c r="AHH177" s="250"/>
      <c r="AHI177" s="250"/>
      <c r="AHJ177" s="250"/>
      <c r="AHK177" s="250"/>
      <c r="AHL177" s="250"/>
      <c r="AHM177" s="250"/>
      <c r="AHN177" s="250"/>
      <c r="AHO177" s="250"/>
      <c r="AHP177" s="250"/>
      <c r="AHQ177" s="250"/>
      <c r="AHR177" s="250"/>
      <c r="AHS177" s="250"/>
      <c r="AHT177" s="250"/>
      <c r="AHU177" s="250"/>
      <c r="AHV177" s="250"/>
      <c r="AHW177" s="250"/>
      <c r="AHX177" s="250"/>
      <c r="AHY177" s="250"/>
      <c r="AHZ177" s="250"/>
      <c r="AIA177" s="250"/>
      <c r="AIB177" s="250"/>
      <c r="AIC177" s="250"/>
      <c r="AID177" s="250"/>
      <c r="AIE177" s="250"/>
      <c r="AIF177" s="250"/>
      <c r="AIG177" s="250"/>
      <c r="AIH177" s="250"/>
      <c r="AII177" s="250"/>
      <c r="AIJ177" s="250"/>
      <c r="AIK177" s="250"/>
      <c r="AIL177" s="250"/>
      <c r="AIM177" s="250"/>
      <c r="AIN177" s="250"/>
      <c r="AIO177" s="250"/>
      <c r="AIP177" s="250"/>
      <c r="AIQ177" s="250"/>
      <c r="AIR177" s="250"/>
      <c r="AIS177" s="250"/>
      <c r="AIT177" s="250"/>
      <c r="AIU177" s="250"/>
      <c r="AIV177" s="250"/>
      <c r="AIW177" s="250"/>
      <c r="AIX177" s="250"/>
      <c r="AIY177" s="250"/>
      <c r="AIZ177" s="250"/>
      <c r="AJA177" s="250"/>
      <c r="AJB177" s="250"/>
      <c r="AJC177" s="250"/>
      <c r="AJD177" s="250"/>
      <c r="AJE177" s="250"/>
      <c r="AJF177" s="250"/>
      <c r="AJG177" s="250"/>
      <c r="AJH177" s="250"/>
      <c r="AJI177" s="250"/>
      <c r="AJJ177" s="250"/>
      <c r="AJK177" s="250"/>
      <c r="AJL177" s="250"/>
      <c r="AJM177" s="250"/>
      <c r="AJN177" s="250"/>
      <c r="AJO177" s="250"/>
      <c r="AJP177" s="250"/>
      <c r="AJQ177" s="250"/>
      <c r="AJR177" s="250"/>
      <c r="AJS177" s="250"/>
      <c r="AJT177" s="250"/>
      <c r="AJU177" s="250"/>
      <c r="AJV177" s="250"/>
      <c r="AJW177" s="250"/>
      <c r="AJX177" s="250"/>
      <c r="AJY177" s="250"/>
      <c r="AJZ177" s="250"/>
      <c r="AKA177" s="250"/>
      <c r="AKB177" s="250"/>
      <c r="AKC177" s="250"/>
      <c r="AKD177" s="250"/>
      <c r="AKE177" s="250"/>
      <c r="AKF177" s="250"/>
      <c r="AKG177" s="250"/>
      <c r="AKH177" s="250"/>
      <c r="AKI177" s="250"/>
      <c r="AKJ177" s="250"/>
      <c r="AKK177" s="250"/>
      <c r="AKL177" s="250"/>
      <c r="AKM177" s="250"/>
      <c r="AKN177" s="250"/>
      <c r="AKO177" s="250"/>
      <c r="AKP177" s="250"/>
      <c r="AKQ177" s="250"/>
      <c r="AKR177" s="250"/>
      <c r="AKS177" s="250"/>
      <c r="AKT177" s="250"/>
      <c r="AKU177" s="250"/>
      <c r="AKV177" s="250"/>
      <c r="AKW177" s="250"/>
      <c r="AKX177" s="250"/>
      <c r="AKY177" s="250"/>
      <c r="AKZ177" s="250"/>
      <c r="ALA177" s="250"/>
      <c r="ALB177" s="250"/>
      <c r="ALC177" s="250"/>
      <c r="ALD177" s="250"/>
      <c r="ALE177" s="250"/>
      <c r="ALF177" s="250"/>
      <c r="ALG177" s="250"/>
      <c r="ALH177" s="250"/>
      <c r="ALI177" s="250"/>
      <c r="ALJ177" s="250"/>
      <c r="ALK177" s="250"/>
      <c r="ALL177" s="250"/>
      <c r="ALM177" s="250"/>
      <c r="ALN177" s="250"/>
      <c r="ALO177" s="250"/>
      <c r="ALP177" s="250"/>
      <c r="ALQ177" s="250"/>
      <c r="ALR177" s="250"/>
      <c r="ALS177" s="250"/>
      <c r="ALT177" s="250"/>
      <c r="ALU177" s="250"/>
      <c r="ALV177" s="250"/>
      <c r="ALW177" s="250"/>
      <c r="ALX177" s="250"/>
      <c r="ALY177" s="250"/>
      <c r="ALZ177" s="250"/>
      <c r="AMA177" s="250"/>
      <c r="AMB177" s="250"/>
      <c r="AMC177" s="250"/>
      <c r="AMD177" s="250"/>
      <c r="AME177" s="250"/>
      <c r="AMF177" s="250"/>
      <c r="AMG177" s="250"/>
      <c r="AMH177" s="250"/>
      <c r="AMI177" s="250"/>
      <c r="AMJ177" s="250"/>
      <c r="AMK177" s="250"/>
      <c r="AML177" s="250"/>
      <c r="AMM177" s="250"/>
      <c r="AMN177" s="250"/>
      <c r="AMO177" s="250"/>
      <c r="AMP177" s="250"/>
      <c r="AMQ177" s="250"/>
      <c r="AMR177" s="250"/>
      <c r="AMS177" s="250"/>
      <c r="AMT177" s="250"/>
      <c r="AMU177" s="250"/>
      <c r="AMV177" s="250"/>
      <c r="AMW177" s="250"/>
      <c r="AMX177" s="250"/>
      <c r="AMY177" s="250"/>
      <c r="AMZ177" s="250"/>
      <c r="ANA177" s="250"/>
      <c r="ANB177" s="250"/>
      <c r="ANC177" s="250"/>
      <c r="AND177" s="250"/>
      <c r="ANE177" s="250"/>
      <c r="ANF177" s="250"/>
      <c r="ANG177" s="250"/>
      <c r="ANH177" s="250"/>
      <c r="ANI177" s="250"/>
      <c r="ANJ177" s="250"/>
      <c r="ANK177" s="250"/>
      <c r="ANL177" s="250"/>
      <c r="ANM177" s="250"/>
      <c r="ANN177" s="250"/>
      <c r="ANO177" s="250"/>
      <c r="ANP177" s="250"/>
      <c r="ANQ177" s="250"/>
      <c r="ANR177" s="250"/>
      <c r="ANS177" s="250"/>
      <c r="ANT177" s="250"/>
      <c r="ANU177" s="250"/>
      <c r="ANV177" s="250"/>
      <c r="ANW177" s="250"/>
      <c r="ANX177" s="250"/>
      <c r="ANY177" s="250"/>
      <c r="ANZ177" s="250"/>
      <c r="AOA177" s="250"/>
      <c r="AOB177" s="250"/>
      <c r="AOC177" s="250"/>
      <c r="AOD177" s="250"/>
      <c r="AOE177" s="250"/>
      <c r="AOF177" s="250"/>
      <c r="AOG177" s="250"/>
      <c r="AOH177" s="250"/>
      <c r="AOI177" s="250"/>
      <c r="AOJ177" s="250"/>
      <c r="AOK177" s="250"/>
      <c r="AOL177" s="250"/>
      <c r="AOM177" s="250"/>
      <c r="AON177" s="250"/>
      <c r="AOO177" s="250"/>
      <c r="AOP177" s="250"/>
      <c r="AOQ177" s="250"/>
      <c r="AOR177" s="250"/>
      <c r="AOS177" s="250"/>
      <c r="AOT177" s="250"/>
      <c r="AOU177" s="250"/>
      <c r="AOV177" s="250"/>
      <c r="AOW177" s="250"/>
      <c r="AOX177" s="250"/>
      <c r="AOY177" s="250"/>
      <c r="AOZ177" s="250"/>
      <c r="APA177" s="250"/>
      <c r="APB177" s="250"/>
      <c r="APC177" s="250"/>
      <c r="APD177" s="250"/>
      <c r="APE177" s="250"/>
      <c r="APF177" s="250"/>
      <c r="APG177" s="250"/>
      <c r="APH177" s="250"/>
      <c r="API177" s="250"/>
      <c r="APJ177" s="250"/>
      <c r="APK177" s="250"/>
      <c r="APL177" s="250"/>
      <c r="APM177" s="250"/>
      <c r="APN177" s="250"/>
      <c r="APO177" s="250"/>
      <c r="APP177" s="250"/>
      <c r="APQ177" s="250"/>
      <c r="APR177" s="250"/>
      <c r="APS177" s="250"/>
      <c r="APT177" s="250"/>
      <c r="APU177" s="250"/>
      <c r="APV177" s="250"/>
      <c r="APW177" s="250"/>
      <c r="APX177" s="250"/>
      <c r="APY177" s="250"/>
      <c r="APZ177" s="250"/>
      <c r="AQA177" s="250"/>
      <c r="AQB177" s="250"/>
      <c r="AQC177" s="250"/>
      <c r="AQD177" s="250"/>
      <c r="AQE177" s="250"/>
      <c r="AQF177" s="250"/>
      <c r="AQG177" s="250"/>
      <c r="AQH177" s="250"/>
      <c r="AQI177" s="250"/>
      <c r="AQJ177" s="250"/>
      <c r="AQK177" s="250"/>
      <c r="AQL177" s="250"/>
      <c r="AQM177" s="250"/>
      <c r="AQN177" s="250"/>
      <c r="AQO177" s="250"/>
      <c r="AQP177" s="250"/>
      <c r="AQQ177" s="250"/>
      <c r="AQR177" s="250"/>
      <c r="AQS177" s="250"/>
      <c r="AQT177" s="250"/>
      <c r="AQU177" s="250"/>
      <c r="AQV177" s="250"/>
      <c r="AQW177" s="250"/>
      <c r="AQX177" s="250"/>
      <c r="AQY177" s="250"/>
      <c r="AQZ177" s="250"/>
      <c r="ARA177" s="250"/>
      <c r="ARB177" s="250"/>
      <c r="ARC177" s="250"/>
      <c r="ARD177" s="250"/>
      <c r="ARE177" s="250"/>
      <c r="ARF177" s="250"/>
      <c r="ARG177" s="250"/>
      <c r="ARH177" s="250"/>
      <c r="ARI177" s="250"/>
      <c r="ARJ177" s="250"/>
      <c r="ARK177" s="250"/>
      <c r="ARL177" s="250"/>
      <c r="ARM177" s="250"/>
      <c r="ARN177" s="250"/>
      <c r="ARO177" s="250"/>
      <c r="ARP177" s="250"/>
      <c r="ARQ177" s="250"/>
      <c r="ARR177" s="250"/>
      <c r="ARS177" s="250"/>
      <c r="ART177" s="250"/>
      <c r="ARU177" s="250"/>
      <c r="ARV177" s="250"/>
      <c r="ARW177" s="250"/>
      <c r="ARX177" s="250"/>
      <c r="ARY177" s="250"/>
      <c r="ARZ177" s="250"/>
      <c r="ASA177" s="250"/>
      <c r="ASB177" s="250"/>
      <c r="ASC177" s="250"/>
      <c r="ASD177" s="250"/>
      <c r="ASE177" s="250"/>
      <c r="ASF177" s="250"/>
      <c r="ASG177" s="250"/>
      <c r="ASH177" s="250"/>
      <c r="ASI177" s="250"/>
      <c r="ASJ177" s="250"/>
      <c r="ASK177" s="250"/>
      <c r="ASL177" s="250"/>
      <c r="ASM177" s="250"/>
      <c r="ASN177" s="250"/>
      <c r="ASO177" s="250"/>
      <c r="ASP177" s="250"/>
      <c r="ASQ177" s="250"/>
      <c r="ASR177" s="250"/>
      <c r="ASS177" s="250"/>
      <c r="AST177" s="250"/>
      <c r="ASU177" s="250"/>
      <c r="ASV177" s="250"/>
      <c r="ASW177" s="250"/>
      <c r="ASX177" s="250"/>
      <c r="ASY177" s="250"/>
      <c r="ASZ177" s="250"/>
      <c r="ATA177" s="250"/>
      <c r="ATB177" s="250"/>
      <c r="ATC177" s="250"/>
      <c r="ATD177" s="250"/>
      <c r="ATE177" s="250"/>
      <c r="ATF177" s="250"/>
      <c r="ATG177" s="250"/>
      <c r="ATH177" s="250"/>
      <c r="ATI177" s="250"/>
      <c r="ATJ177" s="250"/>
      <c r="ATK177" s="250"/>
      <c r="ATL177" s="250"/>
      <c r="ATM177" s="250"/>
      <c r="ATN177" s="250"/>
      <c r="ATO177" s="250"/>
      <c r="ATP177" s="250"/>
      <c r="ATQ177" s="250"/>
      <c r="ATR177" s="250"/>
      <c r="ATS177" s="250"/>
      <c r="ATT177" s="250"/>
      <c r="ATU177" s="250"/>
      <c r="ATV177" s="250"/>
      <c r="ATW177" s="250"/>
      <c r="ATX177" s="250"/>
      <c r="ATY177" s="250"/>
      <c r="ATZ177" s="250"/>
      <c r="AUA177" s="250"/>
      <c r="AUB177" s="250"/>
      <c r="AUC177" s="250"/>
      <c r="AUD177" s="250"/>
      <c r="AUE177" s="250"/>
      <c r="AUF177" s="250"/>
      <c r="AUG177" s="250"/>
      <c r="AUH177" s="250"/>
      <c r="AUI177" s="250"/>
      <c r="AUJ177" s="250"/>
      <c r="AUK177" s="250"/>
      <c r="AUL177" s="250"/>
      <c r="AUM177" s="250"/>
      <c r="AUN177" s="250"/>
      <c r="AUO177" s="250"/>
      <c r="AUP177" s="250"/>
      <c r="AUQ177" s="250"/>
      <c r="AUR177" s="250"/>
      <c r="AUS177" s="250"/>
      <c r="AUT177" s="250"/>
      <c r="AUU177" s="250"/>
      <c r="AUV177" s="250"/>
      <c r="AUW177" s="250"/>
      <c r="AUX177" s="250"/>
      <c r="AUY177" s="250"/>
      <c r="AUZ177" s="250"/>
      <c r="AVA177" s="250"/>
      <c r="AVB177" s="250"/>
      <c r="AVC177" s="250"/>
      <c r="AVD177" s="250"/>
      <c r="AVE177" s="250"/>
      <c r="AVF177" s="250"/>
      <c r="AVG177" s="250"/>
      <c r="AVH177" s="250"/>
      <c r="AVI177" s="250"/>
      <c r="AVJ177" s="250"/>
      <c r="AVK177" s="250"/>
      <c r="AVL177" s="250"/>
      <c r="AVM177" s="250"/>
      <c r="AVN177" s="250"/>
      <c r="AVO177" s="250"/>
      <c r="AVP177" s="250"/>
      <c r="AVQ177" s="250"/>
      <c r="AVR177" s="250"/>
      <c r="AVS177" s="250"/>
      <c r="AVT177" s="250"/>
      <c r="AVU177" s="250"/>
      <c r="AVV177" s="250"/>
      <c r="AVW177" s="250"/>
      <c r="AVX177" s="250"/>
      <c r="AVY177" s="250"/>
      <c r="AVZ177" s="250"/>
      <c r="AWA177" s="250"/>
      <c r="AWB177" s="250"/>
      <c r="AWC177" s="250"/>
      <c r="AWD177" s="250"/>
      <c r="AWE177" s="250"/>
      <c r="AWF177" s="250"/>
      <c r="AWG177" s="250"/>
      <c r="AWH177" s="250"/>
      <c r="AWI177" s="250"/>
      <c r="AWJ177" s="250"/>
      <c r="AWK177" s="250"/>
      <c r="AWL177" s="250"/>
      <c r="AWM177" s="250"/>
      <c r="AWN177" s="250"/>
      <c r="AWO177" s="250"/>
      <c r="AWP177" s="250"/>
      <c r="AWQ177" s="250"/>
      <c r="AWR177" s="250"/>
      <c r="AWS177" s="250"/>
      <c r="AWT177" s="250"/>
      <c r="AWU177" s="250"/>
      <c r="AWV177" s="250"/>
      <c r="AWW177" s="250"/>
      <c r="AWX177" s="250"/>
      <c r="AWY177" s="250"/>
      <c r="AWZ177" s="250"/>
      <c r="AXA177" s="250"/>
      <c r="AXB177" s="250"/>
      <c r="AXC177" s="250"/>
      <c r="AXD177" s="250"/>
      <c r="AXE177" s="250"/>
      <c r="AXF177" s="250"/>
      <c r="AXG177" s="250"/>
      <c r="AXH177" s="250"/>
      <c r="AXI177" s="250"/>
      <c r="AXJ177" s="250"/>
      <c r="AXK177" s="250"/>
      <c r="AXL177" s="250"/>
      <c r="AXM177" s="250"/>
      <c r="AXN177" s="250"/>
      <c r="AXO177" s="250"/>
      <c r="AXP177" s="250"/>
      <c r="AXQ177" s="250"/>
      <c r="AXR177" s="250"/>
      <c r="AXS177" s="250"/>
      <c r="AXT177" s="250"/>
      <c r="AXU177" s="250"/>
      <c r="AXV177" s="250"/>
      <c r="AXW177" s="250"/>
      <c r="AXX177" s="250"/>
      <c r="AXY177" s="250"/>
      <c r="AXZ177" s="250"/>
      <c r="AYA177" s="250"/>
      <c r="AYB177" s="250"/>
      <c r="AYC177" s="250"/>
      <c r="AYD177" s="250"/>
      <c r="AYE177" s="250"/>
      <c r="AYF177" s="250"/>
      <c r="AYG177" s="250"/>
      <c r="AYH177" s="250"/>
      <c r="AYI177" s="250"/>
      <c r="AYJ177" s="250"/>
      <c r="AYK177" s="250"/>
      <c r="AYL177" s="250"/>
      <c r="AYM177" s="250"/>
      <c r="AYN177" s="250"/>
      <c r="AYO177" s="250"/>
      <c r="AYP177" s="250"/>
      <c r="AYQ177" s="250"/>
      <c r="AYR177" s="250"/>
      <c r="AYS177" s="250"/>
      <c r="AYT177" s="250"/>
      <c r="AYU177" s="250"/>
      <c r="AYV177" s="250"/>
      <c r="AYW177" s="250"/>
      <c r="AYX177" s="250"/>
      <c r="AYY177" s="250"/>
      <c r="AYZ177" s="250"/>
      <c r="AZA177" s="250"/>
      <c r="AZB177" s="250"/>
      <c r="AZC177" s="250"/>
      <c r="AZD177" s="250"/>
      <c r="AZE177" s="250"/>
      <c r="AZF177" s="250"/>
      <c r="AZG177" s="250"/>
      <c r="AZH177" s="250"/>
      <c r="AZI177" s="250"/>
      <c r="AZJ177" s="250"/>
      <c r="AZK177" s="250"/>
      <c r="AZL177" s="250"/>
      <c r="AZM177" s="250"/>
      <c r="AZN177" s="250"/>
      <c r="AZO177" s="250"/>
      <c r="AZP177" s="250"/>
      <c r="AZQ177" s="250"/>
      <c r="AZR177" s="250"/>
      <c r="AZS177" s="250"/>
      <c r="AZT177" s="250"/>
      <c r="AZU177" s="250"/>
      <c r="AZV177" s="250"/>
      <c r="AZW177" s="250"/>
      <c r="AZX177" s="250"/>
      <c r="AZY177" s="250"/>
      <c r="AZZ177" s="250"/>
      <c r="BAA177" s="250"/>
      <c r="BAB177" s="250"/>
      <c r="BAC177" s="250"/>
      <c r="BAD177" s="250"/>
      <c r="BAE177" s="250"/>
      <c r="BAF177" s="250"/>
      <c r="BAG177" s="250"/>
      <c r="BAH177" s="250"/>
      <c r="BAI177" s="250"/>
      <c r="BAJ177" s="250"/>
      <c r="BAK177" s="250"/>
      <c r="BAL177" s="250"/>
      <c r="BAM177" s="250"/>
      <c r="BAN177" s="250"/>
      <c r="BAO177" s="250"/>
      <c r="BAP177" s="250"/>
      <c r="BAQ177" s="250"/>
      <c r="BAR177" s="250"/>
      <c r="BAS177" s="250"/>
      <c r="BAT177" s="250"/>
      <c r="BAU177" s="250"/>
      <c r="BAV177" s="250"/>
      <c r="BAW177" s="250"/>
      <c r="BAX177" s="250"/>
      <c r="BAY177" s="250"/>
      <c r="BAZ177" s="250"/>
      <c r="BBA177" s="250"/>
      <c r="BBB177" s="250"/>
      <c r="BBC177" s="250"/>
      <c r="BBD177" s="250"/>
      <c r="BBE177" s="250"/>
      <c r="BBF177" s="250"/>
      <c r="BBG177" s="250"/>
      <c r="BBH177" s="250"/>
      <c r="BBI177" s="250"/>
      <c r="BBJ177" s="250"/>
      <c r="BBK177" s="250"/>
      <c r="BBL177" s="250"/>
      <c r="BBM177" s="250"/>
      <c r="BBN177" s="250"/>
      <c r="BBO177" s="250"/>
      <c r="BBP177" s="250"/>
      <c r="BBQ177" s="250"/>
      <c r="BBR177" s="250"/>
      <c r="BBS177" s="250"/>
      <c r="BBT177" s="250"/>
      <c r="BBU177" s="250"/>
      <c r="BBV177" s="250"/>
      <c r="BBW177" s="250"/>
      <c r="BBX177" s="250"/>
      <c r="BBY177" s="250"/>
      <c r="BBZ177" s="250"/>
      <c r="BCA177" s="250"/>
      <c r="BCB177" s="250"/>
      <c r="BCC177" s="250"/>
      <c r="BCD177" s="250"/>
      <c r="BCE177" s="250"/>
      <c r="BCF177" s="250"/>
      <c r="BCG177" s="250"/>
      <c r="BCH177" s="250"/>
      <c r="BCI177" s="250"/>
      <c r="BCJ177" s="250"/>
      <c r="BCK177" s="250"/>
      <c r="BCL177" s="250"/>
      <c r="BCM177" s="250"/>
      <c r="BCN177" s="250"/>
      <c r="BCO177" s="250"/>
      <c r="BCP177" s="250"/>
      <c r="BCQ177" s="250"/>
      <c r="BCR177" s="250"/>
      <c r="BCS177" s="250"/>
      <c r="BCT177" s="250"/>
      <c r="BCU177" s="250"/>
      <c r="BCV177" s="250"/>
      <c r="BCW177" s="250"/>
      <c r="BCX177" s="250"/>
      <c r="BCY177" s="250"/>
      <c r="BCZ177" s="250"/>
      <c r="BDA177" s="250"/>
      <c r="BDB177" s="250"/>
      <c r="BDC177" s="250"/>
      <c r="BDD177" s="250"/>
      <c r="BDE177" s="250"/>
      <c r="BDF177" s="250"/>
      <c r="BDG177" s="250"/>
      <c r="BDH177" s="250"/>
      <c r="BDI177" s="250"/>
      <c r="BDJ177" s="250"/>
      <c r="BDK177" s="250"/>
      <c r="BDL177" s="250"/>
      <c r="BDM177" s="250"/>
      <c r="BDN177" s="250"/>
      <c r="BDO177" s="250"/>
      <c r="BDP177" s="250"/>
      <c r="BDQ177" s="250"/>
      <c r="BDR177" s="250"/>
      <c r="BDS177" s="250"/>
      <c r="BDT177" s="250"/>
      <c r="BDU177" s="250"/>
      <c r="BDV177" s="250"/>
      <c r="BDW177" s="250"/>
      <c r="BDX177" s="250"/>
      <c r="BDY177" s="250"/>
      <c r="BDZ177" s="250"/>
      <c r="BEA177" s="250"/>
      <c r="BEB177" s="250"/>
      <c r="BEC177" s="250"/>
      <c r="BED177" s="250"/>
      <c r="BEE177" s="250"/>
      <c r="BEF177" s="250"/>
      <c r="BEG177" s="250"/>
      <c r="BEH177" s="250"/>
      <c r="BEI177" s="250"/>
      <c r="BEJ177" s="250"/>
      <c r="BEK177" s="250"/>
      <c r="BEL177" s="250"/>
      <c r="BEM177" s="250"/>
      <c r="BEN177" s="250"/>
      <c r="BEO177" s="250"/>
      <c r="BEP177" s="250"/>
      <c r="BEQ177" s="250"/>
      <c r="BER177" s="250"/>
      <c r="BES177" s="250"/>
      <c r="BET177" s="250"/>
      <c r="BEU177" s="250"/>
      <c r="BEV177" s="250"/>
      <c r="BEW177" s="250"/>
      <c r="BEX177" s="250"/>
      <c r="BEY177" s="250"/>
      <c r="BEZ177" s="250"/>
      <c r="BFA177" s="250"/>
      <c r="BFB177" s="250"/>
      <c r="BFC177" s="250"/>
      <c r="BFD177" s="250"/>
      <c r="BFE177" s="250"/>
      <c r="BFF177" s="250"/>
      <c r="BFG177" s="250"/>
      <c r="BFH177" s="250"/>
      <c r="BFI177" s="250"/>
      <c r="BFJ177" s="250"/>
      <c r="BFK177" s="250"/>
      <c r="BFL177" s="250"/>
      <c r="BFM177" s="250"/>
      <c r="BFN177" s="250"/>
      <c r="BFO177" s="250"/>
      <c r="BFP177" s="250"/>
      <c r="BFQ177" s="250"/>
      <c r="BFR177" s="250"/>
      <c r="BFS177" s="250"/>
      <c r="BFT177" s="250"/>
      <c r="BFU177" s="250"/>
      <c r="BFV177" s="250"/>
      <c r="BFW177" s="250"/>
      <c r="BFX177" s="250"/>
      <c r="BFY177" s="250"/>
      <c r="BFZ177" s="250"/>
      <c r="BGA177" s="250"/>
      <c r="BGB177" s="250"/>
      <c r="BGC177" s="250"/>
      <c r="BGD177" s="250"/>
      <c r="BGE177" s="250"/>
      <c r="BGF177" s="250"/>
      <c r="BGG177" s="250"/>
      <c r="BGH177" s="250"/>
      <c r="BGI177" s="250"/>
      <c r="BGJ177" s="250"/>
      <c r="BGK177" s="250"/>
      <c r="BGL177" s="250"/>
      <c r="BGM177" s="250"/>
      <c r="BGN177" s="250"/>
      <c r="BGO177" s="250"/>
      <c r="BGP177" s="250"/>
      <c r="BGQ177" s="250"/>
      <c r="BGR177" s="250"/>
      <c r="BGS177" s="250"/>
      <c r="BGT177" s="250"/>
      <c r="BGU177" s="250"/>
      <c r="BGV177" s="250"/>
      <c r="BGW177" s="250"/>
      <c r="BGX177" s="250"/>
      <c r="BGY177" s="250"/>
      <c r="BGZ177" s="250"/>
      <c r="BHA177" s="250"/>
      <c r="BHB177" s="250"/>
      <c r="BHC177" s="250"/>
      <c r="BHD177" s="250"/>
      <c r="BHE177" s="250"/>
      <c r="BHF177" s="250"/>
      <c r="BHG177" s="250"/>
      <c r="BHH177" s="250"/>
      <c r="BHI177" s="250"/>
      <c r="BHJ177" s="250"/>
      <c r="BHK177" s="250"/>
      <c r="BHL177" s="250"/>
      <c r="BHM177" s="250"/>
      <c r="BHN177" s="250"/>
      <c r="BHO177" s="250"/>
      <c r="BHP177" s="250"/>
      <c r="BHQ177" s="250"/>
      <c r="BHR177" s="250"/>
      <c r="BHS177" s="250"/>
      <c r="BHT177" s="250"/>
      <c r="BHU177" s="250"/>
      <c r="BHV177" s="250"/>
      <c r="BHW177" s="250"/>
      <c r="BHX177" s="250"/>
      <c r="BHY177" s="250"/>
      <c r="BHZ177" s="250"/>
      <c r="BIA177" s="250"/>
      <c r="BIB177" s="250"/>
      <c r="BIC177" s="250"/>
      <c r="BID177" s="250"/>
      <c r="BIE177" s="250"/>
      <c r="BIF177" s="250"/>
      <c r="BIG177" s="250"/>
      <c r="BIH177" s="250"/>
      <c r="BII177" s="250"/>
      <c r="BIJ177" s="250"/>
      <c r="BIK177" s="250"/>
      <c r="BIL177" s="250"/>
      <c r="BIM177" s="250"/>
      <c r="BIN177" s="250"/>
      <c r="BIO177" s="250"/>
      <c r="BIP177" s="250"/>
      <c r="BIQ177" s="250"/>
      <c r="BIR177" s="250"/>
      <c r="BIS177" s="250"/>
      <c r="BIT177" s="250"/>
      <c r="BIU177" s="250"/>
      <c r="BIV177" s="250"/>
      <c r="BIW177" s="250"/>
      <c r="BIX177" s="250"/>
      <c r="BIY177" s="250"/>
      <c r="BIZ177" s="250"/>
      <c r="BJA177" s="250"/>
      <c r="BJB177" s="250"/>
      <c r="BJC177" s="250"/>
      <c r="BJD177" s="250"/>
      <c r="BJE177" s="250"/>
      <c r="BJF177" s="250"/>
      <c r="BJG177" s="250"/>
      <c r="BJH177" s="250"/>
      <c r="BJI177" s="250"/>
      <c r="BJJ177" s="250"/>
      <c r="BJK177" s="250"/>
      <c r="BJL177" s="250"/>
      <c r="BJM177" s="250"/>
      <c r="BJN177" s="250"/>
      <c r="BJO177" s="250"/>
      <c r="BJP177" s="250"/>
      <c r="BJQ177" s="250"/>
      <c r="BJR177" s="250"/>
      <c r="BJS177" s="250"/>
      <c r="BJT177" s="250"/>
      <c r="BJU177" s="250"/>
      <c r="BJV177" s="250"/>
      <c r="BJW177" s="250"/>
      <c r="BJX177" s="250"/>
      <c r="BJY177" s="250"/>
      <c r="BJZ177" s="250"/>
      <c r="BKA177" s="250"/>
      <c r="BKB177" s="250"/>
      <c r="BKC177" s="250"/>
      <c r="BKD177" s="250"/>
      <c r="BKE177" s="250"/>
      <c r="BKF177" s="250"/>
      <c r="BKG177" s="250"/>
      <c r="BKH177" s="250"/>
      <c r="BKI177" s="250"/>
      <c r="BKJ177" s="250"/>
      <c r="BKK177" s="250"/>
      <c r="BKL177" s="250"/>
      <c r="BKM177" s="250"/>
      <c r="BKN177" s="250"/>
      <c r="BKO177" s="250"/>
      <c r="BKP177" s="250"/>
      <c r="BKQ177" s="250"/>
      <c r="BKR177" s="250"/>
      <c r="BKS177" s="250"/>
      <c r="BKT177" s="250"/>
      <c r="BKU177" s="250"/>
      <c r="BKV177" s="250"/>
      <c r="BKW177" s="250"/>
      <c r="BKX177" s="250"/>
      <c r="BKY177" s="250"/>
      <c r="BKZ177" s="250"/>
      <c r="BLA177" s="250"/>
      <c r="BLB177" s="250"/>
      <c r="BLC177" s="250"/>
      <c r="BLD177" s="250"/>
      <c r="BLE177" s="250"/>
      <c r="BLF177" s="250"/>
      <c r="BLG177" s="250"/>
      <c r="BLH177" s="250"/>
      <c r="BLI177" s="250"/>
      <c r="BLJ177" s="250"/>
      <c r="BLK177" s="250"/>
      <c r="BLL177" s="250"/>
      <c r="BLM177" s="250"/>
      <c r="BLN177" s="250"/>
      <c r="BLO177" s="250"/>
      <c r="BLP177" s="250"/>
      <c r="BLQ177" s="250"/>
      <c r="BLR177" s="250"/>
      <c r="BLS177" s="250"/>
      <c r="BLT177" s="250"/>
      <c r="BLU177" s="250"/>
      <c r="BLV177" s="250"/>
      <c r="BLW177" s="250"/>
      <c r="BLX177" s="250"/>
      <c r="BLY177" s="250"/>
      <c r="BLZ177" s="250"/>
      <c r="BMA177" s="250"/>
      <c r="BMB177" s="250"/>
      <c r="BMC177" s="250"/>
      <c r="BMD177" s="250"/>
      <c r="BME177" s="250"/>
      <c r="BMF177" s="250"/>
      <c r="BMG177" s="250"/>
      <c r="BMH177" s="250"/>
      <c r="BMI177" s="250"/>
      <c r="BMJ177" s="250"/>
      <c r="BMK177" s="250"/>
      <c r="BML177" s="250"/>
      <c r="BMM177" s="250"/>
      <c r="BMN177" s="250"/>
      <c r="BMO177" s="250"/>
      <c r="BMP177" s="250"/>
      <c r="BMQ177" s="250"/>
      <c r="BMR177" s="250"/>
      <c r="BMS177" s="250"/>
      <c r="BMT177" s="250"/>
      <c r="BMU177" s="250"/>
      <c r="BMV177" s="250"/>
      <c r="BMW177" s="250"/>
      <c r="BMX177" s="250"/>
      <c r="BMY177" s="250"/>
      <c r="BMZ177" s="250"/>
      <c r="BNA177" s="250"/>
      <c r="BNB177" s="250"/>
      <c r="BNC177" s="250"/>
      <c r="BND177" s="250"/>
      <c r="BNE177" s="250"/>
      <c r="BNF177" s="250"/>
      <c r="BNG177" s="250"/>
      <c r="BNH177" s="250"/>
      <c r="BNI177" s="250"/>
      <c r="BNJ177" s="250"/>
      <c r="BNK177" s="250"/>
      <c r="BNL177" s="250"/>
      <c r="BNM177" s="250"/>
      <c r="BNN177" s="250"/>
      <c r="BNO177" s="250"/>
      <c r="BNP177" s="250"/>
      <c r="BNQ177" s="250"/>
      <c r="BNR177" s="250"/>
      <c r="BNS177" s="250"/>
      <c r="BNT177" s="250"/>
      <c r="BNU177" s="250"/>
      <c r="BNV177" s="250"/>
      <c r="BNW177" s="250"/>
      <c r="BNX177" s="250"/>
      <c r="BNY177" s="250"/>
      <c r="BNZ177" s="250"/>
      <c r="BOA177" s="250"/>
      <c r="BOB177" s="250"/>
      <c r="BOC177" s="250"/>
      <c r="BOD177" s="250"/>
      <c r="BOE177" s="250"/>
      <c r="BOF177" s="250"/>
      <c r="BOG177" s="250"/>
      <c r="BOH177" s="250"/>
      <c r="BOI177" s="250"/>
      <c r="BOJ177" s="250"/>
      <c r="BOK177" s="250"/>
      <c r="BOL177" s="250"/>
      <c r="BOM177" s="250"/>
      <c r="BON177" s="250"/>
      <c r="BOO177" s="250"/>
      <c r="BOP177" s="250"/>
      <c r="BOQ177" s="250"/>
      <c r="BOR177" s="250"/>
      <c r="BOS177" s="250"/>
      <c r="BOT177" s="250"/>
      <c r="BOU177" s="250"/>
      <c r="BOV177" s="250"/>
      <c r="BOW177" s="250"/>
      <c r="BOX177" s="250"/>
      <c r="BOY177" s="250"/>
      <c r="BOZ177" s="250"/>
      <c r="BPA177" s="250"/>
      <c r="BPB177" s="250"/>
      <c r="BPC177" s="250"/>
      <c r="BPD177" s="250"/>
      <c r="BPE177" s="250"/>
      <c r="BPF177" s="250"/>
      <c r="BPG177" s="250"/>
      <c r="BPH177" s="250"/>
      <c r="BPI177" s="250"/>
      <c r="BPJ177" s="250"/>
      <c r="BPK177" s="250"/>
      <c r="BPL177" s="250"/>
      <c r="BPM177" s="250"/>
      <c r="BPN177" s="250"/>
      <c r="BPO177" s="250"/>
      <c r="BPP177" s="250"/>
      <c r="BPQ177" s="250"/>
      <c r="BPR177" s="250"/>
      <c r="BPS177" s="250"/>
      <c r="BPT177" s="250"/>
      <c r="BPU177" s="250"/>
      <c r="BPV177" s="250"/>
      <c r="BPW177" s="250"/>
      <c r="BPX177" s="250"/>
      <c r="BPY177" s="250"/>
      <c r="BPZ177" s="250"/>
      <c r="BQA177" s="250"/>
      <c r="BQB177" s="250"/>
      <c r="BQC177" s="250"/>
      <c r="BQD177" s="250"/>
      <c r="BQE177" s="250"/>
      <c r="BQF177" s="250"/>
      <c r="BQG177" s="250"/>
      <c r="BQH177" s="250"/>
      <c r="BQI177" s="250"/>
      <c r="BQJ177" s="250"/>
      <c r="BQK177" s="250"/>
      <c r="BQL177" s="250"/>
      <c r="BQM177" s="250"/>
      <c r="BQN177" s="250"/>
      <c r="BQO177" s="250"/>
      <c r="BQP177" s="250"/>
      <c r="BQQ177" s="250"/>
      <c r="BQR177" s="250"/>
      <c r="BQS177" s="250"/>
      <c r="BQT177" s="250"/>
      <c r="BQU177" s="250"/>
      <c r="BQV177" s="250"/>
      <c r="BQW177" s="250"/>
      <c r="BQX177" s="250"/>
      <c r="BQY177" s="250"/>
      <c r="BQZ177" s="250"/>
      <c r="BRA177" s="250"/>
      <c r="BRB177" s="250"/>
      <c r="BRC177" s="250"/>
      <c r="BRD177" s="250"/>
      <c r="BRE177" s="250"/>
      <c r="BRF177" s="250"/>
      <c r="BRG177" s="250"/>
      <c r="BRH177" s="250"/>
      <c r="BRI177" s="250"/>
      <c r="BRJ177" s="250"/>
      <c r="BRK177" s="250"/>
      <c r="BRL177" s="250"/>
      <c r="BRM177" s="250"/>
      <c r="BRN177" s="250"/>
      <c r="BRO177" s="250"/>
      <c r="BRP177" s="250"/>
      <c r="BRQ177" s="250"/>
      <c r="BRR177" s="250"/>
      <c r="BRS177" s="250"/>
      <c r="BRT177" s="250"/>
      <c r="BRU177" s="250"/>
      <c r="BRV177" s="250"/>
      <c r="BRW177" s="250"/>
      <c r="BRX177" s="250"/>
      <c r="BRY177" s="250"/>
      <c r="BRZ177" s="250"/>
      <c r="BSA177" s="250"/>
      <c r="BSB177" s="250"/>
      <c r="BSC177" s="250"/>
      <c r="BSD177" s="250"/>
      <c r="BSE177" s="250"/>
      <c r="BSF177" s="250"/>
      <c r="BSG177" s="250"/>
      <c r="BSH177" s="250"/>
      <c r="BSI177" s="250"/>
      <c r="BSJ177" s="250"/>
      <c r="BSK177" s="250"/>
      <c r="BSL177" s="250"/>
      <c r="BSM177" s="250"/>
      <c r="BSN177" s="250"/>
      <c r="BSO177" s="250"/>
      <c r="BSP177" s="250"/>
      <c r="BSQ177" s="250"/>
      <c r="BSR177" s="250"/>
      <c r="BSS177" s="250"/>
      <c r="BST177" s="250"/>
      <c r="BSU177" s="250"/>
      <c r="BSV177" s="250"/>
      <c r="BSW177" s="250"/>
      <c r="BSX177" s="250"/>
      <c r="BSY177" s="250"/>
      <c r="BSZ177" s="250"/>
      <c r="BTA177" s="250"/>
      <c r="BTB177" s="250"/>
      <c r="BTC177" s="250"/>
      <c r="BTD177" s="250"/>
      <c r="BTE177" s="250"/>
      <c r="BTF177" s="250"/>
      <c r="BTG177" s="250"/>
      <c r="BTH177" s="250"/>
      <c r="BTI177" s="250"/>
      <c r="BTJ177" s="250"/>
      <c r="BTK177" s="250"/>
      <c r="BTL177" s="250"/>
      <c r="BTM177" s="250"/>
      <c r="BTN177" s="250"/>
      <c r="BTO177" s="250"/>
      <c r="BTP177" s="250"/>
      <c r="BTQ177" s="250"/>
      <c r="BTR177" s="250"/>
      <c r="BTS177" s="250"/>
      <c r="BTT177" s="250"/>
      <c r="BTU177" s="250"/>
      <c r="BTV177" s="250"/>
      <c r="BTW177" s="250"/>
      <c r="BTX177" s="250"/>
      <c r="BTY177" s="250"/>
      <c r="BTZ177" s="250"/>
      <c r="BUA177" s="250"/>
      <c r="BUB177" s="250"/>
      <c r="BUC177" s="250"/>
      <c r="BUD177" s="250"/>
      <c r="BUE177" s="250"/>
      <c r="BUF177" s="250"/>
      <c r="BUG177" s="250"/>
      <c r="BUH177" s="250"/>
      <c r="BUI177" s="250"/>
      <c r="BUJ177" s="250"/>
      <c r="BUK177" s="250"/>
      <c r="BUL177" s="250"/>
      <c r="BUM177" s="250"/>
      <c r="BUN177" s="250"/>
      <c r="BUO177" s="250"/>
      <c r="BUP177" s="250"/>
      <c r="BUQ177" s="250"/>
      <c r="BUR177" s="250"/>
      <c r="BUS177" s="250"/>
      <c r="BUT177" s="250"/>
      <c r="BUU177" s="250"/>
      <c r="BUV177" s="250"/>
      <c r="BUW177" s="250"/>
      <c r="BUX177" s="250"/>
      <c r="BUY177" s="250"/>
      <c r="BUZ177" s="250"/>
      <c r="BVA177" s="250"/>
      <c r="BVB177" s="250"/>
      <c r="BVC177" s="250"/>
      <c r="BVD177" s="250"/>
      <c r="BVE177" s="250"/>
      <c r="BVF177" s="250"/>
      <c r="BVG177" s="250"/>
      <c r="BVH177" s="250"/>
      <c r="BVI177" s="250"/>
      <c r="BVJ177" s="250"/>
      <c r="BVK177" s="250"/>
      <c r="BVL177" s="250"/>
      <c r="BVM177" s="250"/>
      <c r="BVN177" s="250"/>
      <c r="BVO177" s="250"/>
      <c r="BVP177" s="250"/>
      <c r="BVQ177" s="250"/>
      <c r="BVR177" s="250"/>
      <c r="BVS177" s="250"/>
      <c r="BVT177" s="250"/>
      <c r="BVU177" s="250"/>
      <c r="BVV177" s="250"/>
      <c r="BVW177" s="250"/>
      <c r="BVX177" s="250"/>
      <c r="BVY177" s="250"/>
      <c r="BVZ177" s="250"/>
      <c r="BWA177" s="250"/>
      <c r="BWB177" s="250"/>
      <c r="BWC177" s="250"/>
      <c r="BWD177" s="250"/>
      <c r="BWE177" s="250"/>
      <c r="BWF177" s="250"/>
      <c r="BWG177" s="250"/>
      <c r="BWH177" s="250"/>
      <c r="BWI177" s="250"/>
      <c r="BWJ177" s="250"/>
      <c r="BWK177" s="250"/>
      <c r="BWL177" s="250"/>
      <c r="BWM177" s="250"/>
      <c r="BWN177" s="250"/>
      <c r="BWO177" s="250"/>
      <c r="BWP177" s="250"/>
      <c r="BWQ177" s="250"/>
      <c r="BWR177" s="250"/>
      <c r="BWS177" s="250"/>
      <c r="BWT177" s="250"/>
      <c r="BWU177" s="250"/>
      <c r="BWV177" s="250"/>
      <c r="BWW177" s="250"/>
      <c r="BWX177" s="250"/>
      <c r="BWY177" s="250"/>
      <c r="BWZ177" s="250"/>
      <c r="BXA177" s="250"/>
      <c r="BXB177" s="250"/>
      <c r="BXC177" s="250"/>
      <c r="BXD177" s="250"/>
      <c r="BXE177" s="250"/>
      <c r="BXF177" s="250"/>
      <c r="BXG177" s="250"/>
      <c r="BXH177" s="250"/>
      <c r="BXI177" s="250"/>
      <c r="BXJ177" s="250"/>
      <c r="BXK177" s="250"/>
      <c r="BXL177" s="250"/>
      <c r="BXM177" s="250"/>
      <c r="BXN177" s="250"/>
      <c r="BXO177" s="250"/>
      <c r="BXP177" s="250"/>
      <c r="BXQ177" s="250"/>
      <c r="BXR177" s="250"/>
      <c r="BXS177" s="250"/>
      <c r="BXT177" s="250"/>
      <c r="BXU177" s="250"/>
      <c r="BXV177" s="250"/>
      <c r="BXW177" s="250"/>
      <c r="BXX177" s="250"/>
      <c r="BXY177" s="250"/>
      <c r="BXZ177" s="250"/>
      <c r="BYA177" s="250"/>
      <c r="BYB177" s="250"/>
      <c r="BYC177" s="250"/>
      <c r="BYD177" s="250"/>
      <c r="BYE177" s="250"/>
      <c r="BYF177" s="250"/>
      <c r="BYG177" s="250"/>
      <c r="BYH177" s="250"/>
      <c r="BYI177" s="250"/>
      <c r="BYJ177" s="250"/>
      <c r="BYK177" s="250"/>
      <c r="BYL177" s="250"/>
      <c r="BYM177" s="250"/>
      <c r="BYN177" s="250"/>
      <c r="BYO177" s="250"/>
      <c r="BYP177" s="250"/>
      <c r="BYQ177" s="250"/>
      <c r="BYR177" s="250"/>
      <c r="BYS177" s="250"/>
      <c r="BYT177" s="250"/>
      <c r="BYU177" s="250"/>
      <c r="BYV177" s="250"/>
      <c r="BYW177" s="250"/>
      <c r="BYX177" s="250"/>
      <c r="BYY177" s="250"/>
      <c r="BYZ177" s="250"/>
      <c r="BZA177" s="250"/>
      <c r="BZB177" s="250"/>
      <c r="BZC177" s="250"/>
      <c r="BZD177" s="250"/>
      <c r="BZE177" s="250"/>
      <c r="BZF177" s="250"/>
      <c r="BZG177" s="250"/>
      <c r="BZH177" s="250"/>
      <c r="BZI177" s="250"/>
      <c r="BZJ177" s="250"/>
      <c r="BZK177" s="250"/>
      <c r="BZL177" s="250"/>
      <c r="BZM177" s="250"/>
      <c r="BZN177" s="250"/>
      <c r="BZO177" s="250"/>
      <c r="BZP177" s="250"/>
      <c r="BZQ177" s="250"/>
      <c r="BZR177" s="250"/>
      <c r="BZS177" s="250"/>
      <c r="BZT177" s="250"/>
      <c r="BZU177" s="250"/>
      <c r="BZV177" s="250"/>
      <c r="BZW177" s="250"/>
      <c r="BZX177" s="250"/>
      <c r="BZY177" s="250"/>
      <c r="BZZ177" s="250"/>
      <c r="CAA177" s="250"/>
      <c r="CAB177" s="250"/>
      <c r="CAC177" s="250"/>
      <c r="CAD177" s="250"/>
      <c r="CAE177" s="250"/>
      <c r="CAF177" s="250"/>
      <c r="CAG177" s="250"/>
      <c r="CAH177" s="250"/>
      <c r="CAI177" s="250"/>
      <c r="CAJ177" s="250"/>
      <c r="CAK177" s="250"/>
      <c r="CAL177" s="250"/>
      <c r="CAM177" s="250"/>
      <c r="CAN177" s="250"/>
      <c r="CAO177" s="250"/>
      <c r="CAP177" s="250"/>
      <c r="CAQ177" s="250"/>
      <c r="CAR177" s="250"/>
      <c r="CAS177" s="250"/>
      <c r="CAT177" s="250"/>
      <c r="CAU177" s="250"/>
      <c r="CAV177" s="250"/>
      <c r="CAW177" s="250"/>
      <c r="CAX177" s="250"/>
      <c r="CAY177" s="250"/>
      <c r="CAZ177" s="250"/>
      <c r="CBA177" s="250"/>
      <c r="CBB177" s="250"/>
      <c r="CBC177" s="250"/>
      <c r="CBD177" s="250"/>
      <c r="CBE177" s="250"/>
      <c r="CBF177" s="250"/>
      <c r="CBG177" s="250"/>
      <c r="CBH177" s="250"/>
      <c r="CBI177" s="250"/>
      <c r="CBJ177" s="250"/>
      <c r="CBK177" s="250"/>
      <c r="CBL177" s="250"/>
      <c r="CBM177" s="250"/>
      <c r="CBN177" s="250"/>
      <c r="CBO177" s="250"/>
      <c r="CBP177" s="250"/>
      <c r="CBQ177" s="250"/>
      <c r="CBR177" s="250"/>
      <c r="CBS177" s="250"/>
      <c r="CBT177" s="250"/>
      <c r="CBU177" s="250"/>
      <c r="CBV177" s="250"/>
      <c r="CBW177" s="250"/>
      <c r="CBX177" s="250"/>
      <c r="CBY177" s="250"/>
      <c r="CBZ177" s="250"/>
      <c r="CCA177" s="250"/>
      <c r="CCB177" s="250"/>
      <c r="CCC177" s="250"/>
      <c r="CCD177" s="250"/>
      <c r="CCE177" s="250"/>
      <c r="CCF177" s="250"/>
      <c r="CCG177" s="250"/>
      <c r="CCH177" s="250"/>
      <c r="CCI177" s="250"/>
      <c r="CCJ177" s="250"/>
      <c r="CCK177" s="250"/>
      <c r="CCL177" s="250"/>
      <c r="CCM177" s="250"/>
      <c r="CCN177" s="250"/>
      <c r="CCO177" s="250"/>
      <c r="CCP177" s="250"/>
      <c r="CCQ177" s="250"/>
      <c r="CCR177" s="250"/>
      <c r="CCS177" s="250"/>
      <c r="CCT177" s="250"/>
      <c r="CCU177" s="250"/>
      <c r="CCV177" s="250"/>
      <c r="CCW177" s="250"/>
      <c r="CCX177" s="250"/>
      <c r="CCY177" s="250"/>
      <c r="CCZ177" s="250"/>
      <c r="CDA177" s="250"/>
      <c r="CDB177" s="250"/>
      <c r="CDC177" s="250"/>
      <c r="CDD177" s="250"/>
      <c r="CDE177" s="250"/>
      <c r="CDF177" s="250"/>
      <c r="CDG177" s="250"/>
      <c r="CDH177" s="250"/>
      <c r="CDI177" s="250"/>
      <c r="CDJ177" s="250"/>
      <c r="CDK177" s="250"/>
      <c r="CDL177" s="250"/>
      <c r="CDM177" s="250"/>
      <c r="CDN177" s="250"/>
      <c r="CDO177" s="250"/>
      <c r="CDP177" s="250"/>
      <c r="CDQ177" s="250"/>
      <c r="CDR177" s="250"/>
      <c r="CDS177" s="250"/>
      <c r="CDT177" s="250"/>
      <c r="CDU177" s="250"/>
      <c r="CDV177" s="250"/>
      <c r="CDW177" s="250"/>
      <c r="CDX177" s="250"/>
      <c r="CDY177" s="250"/>
      <c r="CDZ177" s="250"/>
      <c r="CEA177" s="250"/>
      <c r="CEB177" s="250"/>
      <c r="CEC177" s="250"/>
      <c r="CED177" s="250"/>
      <c r="CEE177" s="250"/>
      <c r="CEF177" s="250"/>
      <c r="CEG177" s="250"/>
      <c r="CEH177" s="250"/>
      <c r="CEI177" s="250"/>
      <c r="CEJ177" s="250"/>
      <c r="CEK177" s="250"/>
      <c r="CEL177" s="250"/>
      <c r="CEM177" s="250"/>
      <c r="CEN177" s="250"/>
      <c r="CEO177" s="250"/>
      <c r="CEP177" s="250"/>
      <c r="CEQ177" s="250"/>
      <c r="CER177" s="250"/>
      <c r="CES177" s="250"/>
      <c r="CET177" s="250"/>
      <c r="CEU177" s="250"/>
      <c r="CEV177" s="250"/>
      <c r="CEW177" s="250"/>
      <c r="CEX177" s="250"/>
      <c r="CEY177" s="250"/>
      <c r="CEZ177" s="250"/>
      <c r="CFA177" s="250"/>
      <c r="CFB177" s="250"/>
      <c r="CFC177" s="250"/>
      <c r="CFD177" s="250"/>
      <c r="CFE177" s="250"/>
      <c r="CFF177" s="250"/>
      <c r="CFG177" s="250"/>
      <c r="CFH177" s="250"/>
      <c r="CFI177" s="250"/>
      <c r="CFJ177" s="250"/>
      <c r="CFK177" s="250"/>
      <c r="CFL177" s="250"/>
      <c r="CFM177" s="250"/>
      <c r="CFN177" s="250"/>
      <c r="CFO177" s="250"/>
      <c r="CFP177" s="250"/>
      <c r="CFQ177" s="250"/>
      <c r="CFR177" s="250"/>
      <c r="CFS177" s="250"/>
      <c r="CFT177" s="250"/>
      <c r="CFU177" s="250"/>
      <c r="CFV177" s="250"/>
      <c r="CFW177" s="250"/>
      <c r="CFX177" s="250"/>
      <c r="CFY177" s="250"/>
      <c r="CFZ177" s="250"/>
      <c r="CGA177" s="250"/>
      <c r="CGB177" s="250"/>
      <c r="CGC177" s="250"/>
      <c r="CGD177" s="250"/>
      <c r="CGE177" s="250"/>
      <c r="CGF177" s="250"/>
      <c r="CGG177" s="250"/>
      <c r="CGH177" s="250"/>
      <c r="CGI177" s="250"/>
      <c r="CGJ177" s="250"/>
      <c r="CGK177" s="250"/>
      <c r="CGL177" s="250"/>
      <c r="CGM177" s="250"/>
      <c r="CGN177" s="250"/>
      <c r="CGO177" s="250"/>
      <c r="CGP177" s="250"/>
      <c r="CGQ177" s="250"/>
      <c r="CGR177" s="250"/>
      <c r="CGS177" s="250"/>
      <c r="CGT177" s="250"/>
      <c r="CGU177" s="250"/>
      <c r="CGV177" s="250"/>
      <c r="CGW177" s="250"/>
      <c r="CGX177" s="250"/>
      <c r="CGY177" s="250"/>
      <c r="CGZ177" s="250"/>
      <c r="CHA177" s="250"/>
      <c r="CHB177" s="250"/>
      <c r="CHC177" s="250"/>
      <c r="CHD177" s="250"/>
      <c r="CHE177" s="250"/>
      <c r="CHF177" s="250"/>
      <c r="CHG177" s="250"/>
      <c r="CHH177" s="250"/>
      <c r="CHI177" s="250"/>
      <c r="CHJ177" s="250"/>
      <c r="CHK177" s="250"/>
      <c r="CHL177" s="250"/>
      <c r="CHM177" s="250"/>
      <c r="CHN177" s="250"/>
      <c r="CHO177" s="250"/>
      <c r="CHP177" s="250"/>
      <c r="CHQ177" s="250"/>
      <c r="CHR177" s="250"/>
      <c r="CHS177" s="250"/>
      <c r="CHT177" s="250"/>
      <c r="CHU177" s="250"/>
      <c r="CHV177" s="250"/>
      <c r="CHW177" s="250"/>
      <c r="CHX177" s="250"/>
      <c r="CHY177" s="250"/>
      <c r="CHZ177" s="250"/>
      <c r="CIA177" s="250"/>
      <c r="CIB177" s="250"/>
      <c r="CIC177" s="250"/>
      <c r="CID177" s="250"/>
      <c r="CIE177" s="250"/>
      <c r="CIF177" s="250"/>
      <c r="CIG177" s="250"/>
      <c r="CIH177" s="250"/>
      <c r="CII177" s="250"/>
      <c r="CIJ177" s="250"/>
      <c r="CIK177" s="250"/>
      <c r="CIL177" s="250"/>
      <c r="CIM177" s="250"/>
      <c r="CIN177" s="250"/>
      <c r="CIO177" s="250"/>
      <c r="CIP177" s="250"/>
      <c r="CIQ177" s="250"/>
      <c r="CIR177" s="250"/>
      <c r="CIS177" s="250"/>
      <c r="CIT177" s="250"/>
      <c r="CIU177" s="250"/>
      <c r="CIV177" s="250"/>
      <c r="CIW177" s="250"/>
      <c r="CIX177" s="250"/>
      <c r="CIY177" s="250"/>
      <c r="CIZ177" s="250"/>
      <c r="CJA177" s="250"/>
      <c r="CJB177" s="250"/>
      <c r="CJC177" s="250"/>
      <c r="CJD177" s="250"/>
      <c r="CJE177" s="250"/>
      <c r="CJF177" s="250"/>
      <c r="CJG177" s="250"/>
      <c r="CJH177" s="250"/>
      <c r="CJI177" s="250"/>
      <c r="CJJ177" s="250"/>
      <c r="CJK177" s="250"/>
      <c r="CJL177" s="250"/>
      <c r="CJM177" s="250"/>
      <c r="CJN177" s="250"/>
      <c r="CJO177" s="250"/>
      <c r="CJP177" s="250"/>
      <c r="CJQ177" s="250"/>
      <c r="CJR177" s="250"/>
      <c r="CJS177" s="250"/>
      <c r="CJT177" s="250"/>
      <c r="CJU177" s="250"/>
      <c r="CJV177" s="250"/>
      <c r="CJW177" s="250"/>
      <c r="CJX177" s="250"/>
      <c r="CJY177" s="250"/>
      <c r="CJZ177" s="250"/>
      <c r="CKA177" s="250"/>
      <c r="CKB177" s="250"/>
      <c r="CKC177" s="250"/>
      <c r="CKD177" s="250"/>
      <c r="CKE177" s="250"/>
      <c r="CKF177" s="250"/>
      <c r="CKG177" s="250"/>
      <c r="CKH177" s="250"/>
      <c r="CKI177" s="250"/>
      <c r="CKJ177" s="250"/>
      <c r="CKK177" s="250"/>
      <c r="CKL177" s="250"/>
      <c r="CKM177" s="250"/>
      <c r="CKN177" s="250"/>
      <c r="CKO177" s="250"/>
      <c r="CKP177" s="250"/>
      <c r="CKQ177" s="250"/>
      <c r="CKR177" s="250"/>
      <c r="CKS177" s="250"/>
      <c r="CKT177" s="250"/>
      <c r="CKU177" s="250"/>
      <c r="CKV177" s="250"/>
      <c r="CKW177" s="250"/>
      <c r="CKX177" s="250"/>
      <c r="CKY177" s="250"/>
      <c r="CKZ177" s="250"/>
      <c r="CLA177" s="250"/>
      <c r="CLB177" s="250"/>
      <c r="CLC177" s="250"/>
      <c r="CLD177" s="250"/>
      <c r="CLE177" s="250"/>
      <c r="CLF177" s="250"/>
      <c r="CLG177" s="250"/>
      <c r="CLH177" s="250"/>
      <c r="CLI177" s="250"/>
      <c r="CLJ177" s="250"/>
      <c r="CLK177" s="250"/>
      <c r="CLL177" s="250"/>
      <c r="CLM177" s="250"/>
      <c r="CLN177" s="250"/>
      <c r="CLO177" s="250"/>
      <c r="CLP177" s="250"/>
      <c r="CLQ177" s="250"/>
      <c r="CLR177" s="250"/>
      <c r="CLS177" s="250"/>
      <c r="CLT177" s="250"/>
      <c r="CLU177" s="250"/>
      <c r="CLV177" s="250"/>
      <c r="CLW177" s="250"/>
      <c r="CLX177" s="250"/>
      <c r="CLY177" s="250"/>
      <c r="CLZ177" s="250"/>
      <c r="CMA177" s="250"/>
      <c r="CMB177" s="250"/>
      <c r="CMC177" s="250"/>
      <c r="CMD177" s="250"/>
      <c r="CME177" s="250"/>
      <c r="CMF177" s="250"/>
      <c r="CMG177" s="250"/>
      <c r="CMH177" s="250"/>
      <c r="CMI177" s="250"/>
      <c r="CMJ177" s="250"/>
      <c r="CMK177" s="250"/>
      <c r="CML177" s="250"/>
      <c r="CMM177" s="250"/>
      <c r="CMN177" s="250"/>
      <c r="CMO177" s="250"/>
      <c r="CMP177" s="250"/>
      <c r="CMQ177" s="250"/>
      <c r="CMR177" s="250"/>
      <c r="CMS177" s="250"/>
      <c r="CMT177" s="250"/>
      <c r="CMU177" s="250"/>
      <c r="CMV177" s="250"/>
      <c r="CMW177" s="250"/>
      <c r="CMX177" s="250"/>
      <c r="CMY177" s="250"/>
      <c r="CMZ177" s="250"/>
      <c r="CNA177" s="250"/>
      <c r="CNB177" s="250"/>
      <c r="CNC177" s="250"/>
      <c r="CND177" s="250"/>
      <c r="CNE177" s="250"/>
      <c r="CNF177" s="250"/>
      <c r="CNG177" s="250"/>
      <c r="CNH177" s="250"/>
      <c r="CNI177" s="250"/>
      <c r="CNJ177" s="250"/>
      <c r="CNK177" s="250"/>
      <c r="CNL177" s="250"/>
      <c r="CNM177" s="250"/>
      <c r="CNN177" s="250"/>
      <c r="CNO177" s="250"/>
      <c r="CNP177" s="250"/>
      <c r="CNQ177" s="250"/>
      <c r="CNR177" s="250"/>
      <c r="CNS177" s="250"/>
      <c r="CNT177" s="250"/>
      <c r="CNU177" s="250"/>
      <c r="CNV177" s="250"/>
      <c r="CNW177" s="250"/>
      <c r="CNX177" s="250"/>
      <c r="CNY177" s="250"/>
      <c r="CNZ177" s="250"/>
      <c r="COA177" s="250"/>
      <c r="COB177" s="250"/>
      <c r="COC177" s="250"/>
      <c r="COD177" s="250"/>
      <c r="COE177" s="250"/>
      <c r="COF177" s="250"/>
      <c r="COG177" s="250"/>
      <c r="COH177" s="250"/>
      <c r="COI177" s="250"/>
      <c r="COJ177" s="250"/>
      <c r="COK177" s="250"/>
      <c r="COL177" s="250"/>
      <c r="COM177" s="250"/>
      <c r="CON177" s="250"/>
      <c r="COO177" s="250"/>
      <c r="COP177" s="250"/>
      <c r="COQ177" s="250"/>
      <c r="COR177" s="250"/>
      <c r="COS177" s="250"/>
      <c r="COT177" s="250"/>
      <c r="COU177" s="250"/>
      <c r="COV177" s="250"/>
      <c r="COW177" s="250"/>
      <c r="COX177" s="250"/>
      <c r="COY177" s="250"/>
      <c r="COZ177" s="250"/>
      <c r="CPA177" s="250"/>
      <c r="CPB177" s="250"/>
      <c r="CPC177" s="250"/>
      <c r="CPD177" s="250"/>
      <c r="CPE177" s="250"/>
      <c r="CPF177" s="250"/>
      <c r="CPG177" s="250"/>
      <c r="CPH177" s="250"/>
      <c r="CPI177" s="250"/>
      <c r="CPJ177" s="250"/>
      <c r="CPK177" s="250"/>
      <c r="CPL177" s="250"/>
      <c r="CPM177" s="250"/>
      <c r="CPN177" s="250"/>
      <c r="CPO177" s="250"/>
      <c r="CPP177" s="250"/>
      <c r="CPQ177" s="250"/>
      <c r="CPR177" s="250"/>
      <c r="CPS177" s="250"/>
      <c r="CPT177" s="250"/>
      <c r="CPU177" s="250"/>
      <c r="CPV177" s="250"/>
      <c r="CPW177" s="250"/>
      <c r="CPX177" s="250"/>
      <c r="CPY177" s="250"/>
      <c r="CPZ177" s="250"/>
      <c r="CQA177" s="250"/>
      <c r="CQB177" s="250"/>
      <c r="CQC177" s="250"/>
      <c r="CQD177" s="250"/>
      <c r="CQE177" s="250"/>
      <c r="CQF177" s="250"/>
      <c r="CQG177" s="250"/>
      <c r="CQH177" s="250"/>
      <c r="CQI177" s="250"/>
      <c r="CQJ177" s="250"/>
      <c r="CQK177" s="250"/>
      <c r="CQL177" s="250"/>
      <c r="CQM177" s="250"/>
      <c r="CQN177" s="250"/>
      <c r="CQO177" s="250"/>
      <c r="CQP177" s="250"/>
      <c r="CQQ177" s="250"/>
      <c r="CQR177" s="250"/>
      <c r="CQS177" s="250"/>
      <c r="CQT177" s="250"/>
      <c r="CQU177" s="250"/>
      <c r="CQV177" s="250"/>
      <c r="CQW177" s="250"/>
      <c r="CQX177" s="250"/>
      <c r="CQY177" s="250"/>
      <c r="CQZ177" s="250"/>
      <c r="CRA177" s="250"/>
      <c r="CRB177" s="250"/>
      <c r="CRC177" s="250"/>
      <c r="CRD177" s="250"/>
      <c r="CRE177" s="250"/>
      <c r="CRF177" s="250"/>
      <c r="CRG177" s="250"/>
      <c r="CRH177" s="250"/>
      <c r="CRI177" s="250"/>
      <c r="CRJ177" s="250"/>
      <c r="CRK177" s="250"/>
      <c r="CRL177" s="250"/>
      <c r="CRM177" s="250"/>
      <c r="CRN177" s="250"/>
      <c r="CRO177" s="250"/>
      <c r="CRP177" s="250"/>
      <c r="CRQ177" s="250"/>
      <c r="CRR177" s="250"/>
      <c r="CRS177" s="250"/>
      <c r="CRT177" s="250"/>
      <c r="CRU177" s="250"/>
      <c r="CRV177" s="250"/>
      <c r="CRW177" s="250"/>
      <c r="CRX177" s="250"/>
      <c r="CRY177" s="250"/>
      <c r="CRZ177" s="250"/>
      <c r="CSA177" s="250"/>
      <c r="CSB177" s="250"/>
      <c r="CSC177" s="250"/>
      <c r="CSD177" s="250"/>
      <c r="CSE177" s="250"/>
      <c r="CSF177" s="250"/>
      <c r="CSG177" s="250"/>
      <c r="CSH177" s="250"/>
      <c r="CSI177" s="250"/>
      <c r="CSJ177" s="250"/>
      <c r="CSK177" s="250"/>
      <c r="CSL177" s="250"/>
      <c r="CSM177" s="250"/>
      <c r="CSN177" s="250"/>
      <c r="CSO177" s="250"/>
      <c r="CSP177" s="250"/>
      <c r="CSQ177" s="250"/>
      <c r="CSR177" s="250"/>
      <c r="CSS177" s="250"/>
      <c r="CST177" s="250"/>
      <c r="CSU177" s="250"/>
      <c r="CSV177" s="250"/>
      <c r="CSW177" s="250"/>
      <c r="CSX177" s="250"/>
      <c r="CSY177" s="250"/>
      <c r="CSZ177" s="250"/>
      <c r="CTA177" s="250"/>
      <c r="CTB177" s="250"/>
      <c r="CTC177" s="250"/>
      <c r="CTD177" s="250"/>
      <c r="CTE177" s="250"/>
      <c r="CTF177" s="250"/>
      <c r="CTG177" s="250"/>
      <c r="CTH177" s="250"/>
      <c r="CTI177" s="250"/>
      <c r="CTJ177" s="250"/>
      <c r="CTK177" s="250"/>
      <c r="CTL177" s="250"/>
      <c r="CTM177" s="250"/>
      <c r="CTN177" s="250"/>
      <c r="CTO177" s="250"/>
      <c r="CTP177" s="250"/>
      <c r="CTQ177" s="250"/>
      <c r="CTR177" s="250"/>
      <c r="CTS177" s="250"/>
      <c r="CTT177" s="250"/>
      <c r="CTU177" s="250"/>
      <c r="CTV177" s="250"/>
      <c r="CTW177" s="250"/>
      <c r="CTX177" s="250"/>
      <c r="CTY177" s="250"/>
      <c r="CTZ177" s="250"/>
      <c r="CUA177" s="250"/>
      <c r="CUB177" s="250"/>
      <c r="CUC177" s="250"/>
      <c r="CUD177" s="250"/>
      <c r="CUE177" s="250"/>
      <c r="CUF177" s="250"/>
      <c r="CUG177" s="250"/>
      <c r="CUH177" s="250"/>
      <c r="CUI177" s="250"/>
      <c r="CUJ177" s="250"/>
      <c r="CUK177" s="250"/>
      <c r="CUL177" s="250"/>
      <c r="CUM177" s="250"/>
      <c r="CUN177" s="250"/>
      <c r="CUO177" s="250"/>
      <c r="CUP177" s="250"/>
      <c r="CUQ177" s="250"/>
      <c r="CUR177" s="250"/>
      <c r="CUS177" s="250"/>
      <c r="CUT177" s="250"/>
      <c r="CUU177" s="250"/>
      <c r="CUV177" s="250"/>
      <c r="CUW177" s="250"/>
      <c r="CUX177" s="250"/>
      <c r="CUY177" s="250"/>
      <c r="CUZ177" s="250"/>
      <c r="CVA177" s="250"/>
      <c r="CVB177" s="250"/>
      <c r="CVC177" s="250"/>
      <c r="CVD177" s="250"/>
      <c r="CVE177" s="250"/>
      <c r="CVF177" s="250"/>
      <c r="CVG177" s="250"/>
      <c r="CVH177" s="250"/>
      <c r="CVI177" s="250"/>
      <c r="CVJ177" s="250"/>
      <c r="CVK177" s="250"/>
      <c r="CVL177" s="250"/>
      <c r="CVM177" s="250"/>
      <c r="CVN177" s="250"/>
      <c r="CVO177" s="250"/>
      <c r="CVP177" s="250"/>
      <c r="CVQ177" s="250"/>
      <c r="CVR177" s="250"/>
      <c r="CVS177" s="250"/>
      <c r="CVT177" s="250"/>
      <c r="CVU177" s="250"/>
      <c r="CVV177" s="250"/>
      <c r="CVW177" s="250"/>
      <c r="CVX177" s="250"/>
      <c r="CVY177" s="250"/>
      <c r="CVZ177" s="250"/>
      <c r="CWA177" s="250"/>
      <c r="CWB177" s="250"/>
      <c r="CWC177" s="250"/>
      <c r="CWD177" s="250"/>
      <c r="CWE177" s="250"/>
      <c r="CWF177" s="250"/>
      <c r="CWG177" s="250"/>
      <c r="CWH177" s="250"/>
      <c r="CWI177" s="250"/>
      <c r="CWJ177" s="250"/>
      <c r="CWK177" s="250"/>
      <c r="CWL177" s="250"/>
      <c r="CWM177" s="250"/>
      <c r="CWN177" s="250"/>
      <c r="CWO177" s="250"/>
      <c r="CWP177" s="250"/>
      <c r="CWQ177" s="250"/>
      <c r="CWR177" s="250"/>
      <c r="CWS177" s="250"/>
      <c r="CWT177" s="250"/>
      <c r="CWU177" s="250"/>
      <c r="CWV177" s="250"/>
      <c r="CWW177" s="250"/>
      <c r="CWX177" s="250"/>
      <c r="CWY177" s="250"/>
      <c r="CWZ177" s="250"/>
      <c r="CXA177" s="250"/>
      <c r="CXB177" s="250"/>
      <c r="CXC177" s="250"/>
      <c r="CXD177" s="250"/>
      <c r="CXE177" s="250"/>
      <c r="CXF177" s="250"/>
      <c r="CXG177" s="250"/>
      <c r="CXH177" s="250"/>
      <c r="CXI177" s="250"/>
      <c r="CXJ177" s="250"/>
      <c r="CXK177" s="250"/>
      <c r="CXL177" s="250"/>
      <c r="CXM177" s="250"/>
      <c r="CXN177" s="250"/>
      <c r="CXO177" s="250"/>
      <c r="CXP177" s="250"/>
      <c r="CXQ177" s="250"/>
      <c r="CXR177" s="250"/>
      <c r="CXS177" s="250"/>
      <c r="CXT177" s="250"/>
      <c r="CXU177" s="250"/>
      <c r="CXV177" s="250"/>
      <c r="CXW177" s="250"/>
      <c r="CXX177" s="250"/>
      <c r="CXY177" s="250"/>
      <c r="CXZ177" s="250"/>
      <c r="CYA177" s="250"/>
      <c r="CYB177" s="250"/>
      <c r="CYC177" s="250"/>
      <c r="CYD177" s="250"/>
      <c r="CYE177" s="250"/>
      <c r="CYF177" s="250"/>
      <c r="CYG177" s="250"/>
      <c r="CYH177" s="250"/>
      <c r="CYI177" s="250"/>
      <c r="CYJ177" s="250"/>
      <c r="CYK177" s="250"/>
      <c r="CYL177" s="250"/>
      <c r="CYM177" s="250"/>
      <c r="CYN177" s="250"/>
      <c r="CYO177" s="250"/>
      <c r="CYP177" s="250"/>
      <c r="CYQ177" s="250"/>
      <c r="CYR177" s="250"/>
      <c r="CYS177" s="250"/>
      <c r="CYT177" s="250"/>
      <c r="CYU177" s="250"/>
      <c r="CYV177" s="250"/>
      <c r="CYW177" s="250"/>
      <c r="CYX177" s="250"/>
      <c r="CYY177" s="250"/>
      <c r="CYZ177" s="250"/>
      <c r="CZA177" s="250"/>
      <c r="CZB177" s="250"/>
      <c r="CZC177" s="250"/>
      <c r="CZD177" s="250"/>
      <c r="CZE177" s="250"/>
      <c r="CZF177" s="250"/>
      <c r="CZG177" s="250"/>
      <c r="CZH177" s="250"/>
      <c r="CZI177" s="250"/>
      <c r="CZJ177" s="250"/>
      <c r="CZK177" s="250"/>
      <c r="CZL177" s="250"/>
      <c r="CZM177" s="250"/>
      <c r="CZN177" s="250"/>
      <c r="CZO177" s="250"/>
      <c r="CZP177" s="250"/>
      <c r="CZQ177" s="250"/>
      <c r="CZR177" s="250"/>
      <c r="CZS177" s="250"/>
      <c r="CZT177" s="250"/>
      <c r="CZU177" s="250"/>
      <c r="CZV177" s="250"/>
      <c r="CZW177" s="250"/>
      <c r="CZX177" s="250"/>
      <c r="CZY177" s="250"/>
      <c r="CZZ177" s="250"/>
      <c r="DAA177" s="250"/>
      <c r="DAB177" s="250"/>
      <c r="DAC177" s="250"/>
      <c r="DAD177" s="250"/>
      <c r="DAE177" s="250"/>
      <c r="DAF177" s="250"/>
      <c r="DAG177" s="250"/>
      <c r="DAH177" s="250"/>
      <c r="DAI177" s="250"/>
      <c r="DAJ177" s="250"/>
      <c r="DAK177" s="250"/>
      <c r="DAL177" s="250"/>
      <c r="DAM177" s="250"/>
      <c r="DAN177" s="250"/>
      <c r="DAO177" s="250"/>
      <c r="DAP177" s="250"/>
      <c r="DAQ177" s="250"/>
      <c r="DAR177" s="250"/>
      <c r="DAS177" s="250"/>
      <c r="DAT177" s="250"/>
      <c r="DAU177" s="250"/>
      <c r="DAV177" s="250"/>
      <c r="DAW177" s="250"/>
      <c r="DAX177" s="250"/>
      <c r="DAY177" s="250"/>
      <c r="DAZ177" s="250"/>
      <c r="DBA177" s="250"/>
      <c r="DBB177" s="250"/>
      <c r="DBC177" s="250"/>
      <c r="DBD177" s="250"/>
      <c r="DBE177" s="250"/>
      <c r="DBF177" s="250"/>
      <c r="DBG177" s="250"/>
      <c r="DBH177" s="250"/>
      <c r="DBI177" s="250"/>
      <c r="DBJ177" s="250"/>
      <c r="DBK177" s="250"/>
      <c r="DBL177" s="250"/>
      <c r="DBM177" s="250"/>
      <c r="DBN177" s="250"/>
      <c r="DBO177" s="250"/>
      <c r="DBP177" s="250"/>
      <c r="DBQ177" s="250"/>
      <c r="DBR177" s="250"/>
      <c r="DBS177" s="250"/>
      <c r="DBT177" s="250"/>
      <c r="DBU177" s="250"/>
      <c r="DBV177" s="250"/>
      <c r="DBW177" s="250"/>
      <c r="DBX177" s="250"/>
      <c r="DBY177" s="250"/>
      <c r="DBZ177" s="250"/>
      <c r="DCA177" s="250"/>
      <c r="DCB177" s="250"/>
      <c r="DCC177" s="250"/>
      <c r="DCD177" s="250"/>
      <c r="DCE177" s="250"/>
      <c r="DCF177" s="250"/>
      <c r="DCG177" s="250"/>
      <c r="DCH177" s="250"/>
      <c r="DCI177" s="250"/>
      <c r="DCJ177" s="250"/>
      <c r="DCK177" s="250"/>
      <c r="DCL177" s="250"/>
      <c r="DCM177" s="250"/>
      <c r="DCN177" s="250"/>
      <c r="DCO177" s="250"/>
      <c r="DCP177" s="250"/>
      <c r="DCQ177" s="250"/>
      <c r="DCR177" s="250"/>
      <c r="DCS177" s="250"/>
      <c r="DCT177" s="250"/>
      <c r="DCU177" s="250"/>
      <c r="DCV177" s="250"/>
      <c r="DCW177" s="250"/>
      <c r="DCX177" s="250"/>
      <c r="DCY177" s="250"/>
      <c r="DCZ177" s="250"/>
      <c r="DDA177" s="250"/>
      <c r="DDB177" s="250"/>
      <c r="DDC177" s="250"/>
      <c r="DDD177" s="250"/>
      <c r="DDE177" s="250"/>
      <c r="DDF177" s="250"/>
      <c r="DDG177" s="250"/>
      <c r="DDH177" s="250"/>
      <c r="DDI177" s="250"/>
      <c r="DDJ177" s="250"/>
      <c r="DDK177" s="250"/>
      <c r="DDL177" s="250"/>
      <c r="DDM177" s="250"/>
      <c r="DDN177" s="250"/>
      <c r="DDO177" s="250"/>
      <c r="DDP177" s="250"/>
      <c r="DDQ177" s="250"/>
      <c r="DDR177" s="250"/>
      <c r="DDS177" s="250"/>
      <c r="DDT177" s="250"/>
      <c r="DDU177" s="250"/>
      <c r="DDV177" s="250"/>
      <c r="DDW177" s="250"/>
      <c r="DDX177" s="250"/>
      <c r="DDY177" s="250"/>
      <c r="DDZ177" s="250"/>
      <c r="DEA177" s="250"/>
      <c r="DEB177" s="250"/>
      <c r="DEC177" s="250"/>
      <c r="DED177" s="250"/>
      <c r="DEE177" s="250"/>
      <c r="DEF177" s="250"/>
      <c r="DEG177" s="250"/>
      <c r="DEH177" s="250"/>
      <c r="DEI177" s="250"/>
      <c r="DEJ177" s="250"/>
      <c r="DEK177" s="250"/>
      <c r="DEL177" s="250"/>
      <c r="DEM177" s="250"/>
      <c r="DEN177" s="250"/>
      <c r="DEO177" s="250"/>
      <c r="DEP177" s="250"/>
      <c r="DEQ177" s="250"/>
      <c r="DER177" s="250"/>
      <c r="DES177" s="250"/>
      <c r="DET177" s="250"/>
      <c r="DEU177" s="250"/>
      <c r="DEV177" s="250"/>
      <c r="DEW177" s="250"/>
      <c r="DEX177" s="250"/>
      <c r="DEY177" s="250"/>
      <c r="DEZ177" s="250"/>
      <c r="DFA177" s="250"/>
      <c r="DFB177" s="250"/>
      <c r="DFC177" s="250"/>
      <c r="DFD177" s="250"/>
      <c r="DFE177" s="250"/>
      <c r="DFF177" s="250"/>
      <c r="DFG177" s="250"/>
      <c r="DFH177" s="250"/>
      <c r="DFI177" s="250"/>
      <c r="DFJ177" s="250"/>
      <c r="DFK177" s="250"/>
      <c r="DFL177" s="250"/>
      <c r="DFM177" s="250"/>
      <c r="DFN177" s="250"/>
      <c r="DFO177" s="250"/>
      <c r="DFP177" s="250"/>
      <c r="DFQ177" s="250"/>
      <c r="DFR177" s="250"/>
      <c r="DFS177" s="250"/>
      <c r="DFT177" s="250"/>
      <c r="DFU177" s="250"/>
      <c r="DFV177" s="250"/>
      <c r="DFW177" s="250"/>
      <c r="DFX177" s="250"/>
      <c r="DFY177" s="250"/>
      <c r="DFZ177" s="250"/>
      <c r="DGA177" s="250"/>
      <c r="DGB177" s="250"/>
      <c r="DGC177" s="250"/>
      <c r="DGD177" s="250"/>
      <c r="DGE177" s="250"/>
      <c r="DGF177" s="250"/>
      <c r="DGG177" s="250"/>
      <c r="DGH177" s="250"/>
      <c r="DGI177" s="250"/>
      <c r="DGJ177" s="250"/>
      <c r="DGK177" s="250"/>
      <c r="DGL177" s="250"/>
      <c r="DGM177" s="250"/>
      <c r="DGN177" s="250"/>
      <c r="DGO177" s="250"/>
      <c r="DGP177" s="250"/>
      <c r="DGQ177" s="250"/>
      <c r="DGR177" s="250"/>
      <c r="DGS177" s="250"/>
      <c r="DGT177" s="250"/>
      <c r="DGU177" s="250"/>
      <c r="DGV177" s="250"/>
      <c r="DGW177" s="250"/>
      <c r="DGX177" s="250"/>
      <c r="DGY177" s="250"/>
      <c r="DGZ177" s="250"/>
      <c r="DHA177" s="250"/>
      <c r="DHB177" s="250"/>
      <c r="DHC177" s="250"/>
      <c r="DHD177" s="250"/>
      <c r="DHE177" s="250"/>
      <c r="DHF177" s="250"/>
      <c r="DHG177" s="250"/>
      <c r="DHH177" s="250"/>
      <c r="DHI177" s="250"/>
      <c r="DHJ177" s="250"/>
      <c r="DHK177" s="250"/>
      <c r="DHL177" s="250"/>
      <c r="DHM177" s="250"/>
      <c r="DHN177" s="250"/>
      <c r="DHO177" s="250"/>
      <c r="DHP177" s="250"/>
      <c r="DHQ177" s="250"/>
      <c r="DHR177" s="250"/>
      <c r="DHS177" s="250"/>
      <c r="DHT177" s="250"/>
      <c r="DHU177" s="250"/>
      <c r="DHV177" s="250"/>
      <c r="DHW177" s="250"/>
      <c r="DHX177" s="250"/>
      <c r="DHY177" s="250"/>
      <c r="DHZ177" s="250"/>
      <c r="DIA177" s="250"/>
      <c r="DIB177" s="250"/>
      <c r="DIC177" s="250"/>
      <c r="DID177" s="250"/>
      <c r="DIE177" s="250"/>
      <c r="DIF177" s="250"/>
      <c r="DIG177" s="250"/>
      <c r="DIH177" s="250"/>
      <c r="DII177" s="250"/>
      <c r="DIJ177" s="250"/>
      <c r="DIK177" s="250"/>
      <c r="DIL177" s="250"/>
      <c r="DIM177" s="250"/>
      <c r="DIN177" s="250"/>
      <c r="DIO177" s="250"/>
      <c r="DIP177" s="250"/>
      <c r="DIQ177" s="250"/>
      <c r="DIR177" s="250"/>
      <c r="DIS177" s="250"/>
      <c r="DIT177" s="250"/>
      <c r="DIU177" s="250"/>
      <c r="DIV177" s="250"/>
      <c r="DIW177" s="250"/>
      <c r="DIX177" s="250"/>
      <c r="DIY177" s="250"/>
      <c r="DIZ177" s="250"/>
      <c r="DJA177" s="250"/>
      <c r="DJB177" s="250"/>
      <c r="DJC177" s="250"/>
      <c r="DJD177" s="250"/>
      <c r="DJE177" s="250"/>
      <c r="DJF177" s="250"/>
      <c r="DJG177" s="250"/>
      <c r="DJH177" s="250"/>
      <c r="DJI177" s="250"/>
      <c r="DJJ177" s="250"/>
      <c r="DJK177" s="250"/>
      <c r="DJL177" s="250"/>
      <c r="DJM177" s="250"/>
      <c r="DJN177" s="250"/>
      <c r="DJO177" s="250"/>
      <c r="DJP177" s="250"/>
      <c r="DJQ177" s="250"/>
      <c r="DJR177" s="250"/>
      <c r="DJS177" s="250"/>
      <c r="DJT177" s="250"/>
      <c r="DJU177" s="250"/>
      <c r="DJV177" s="250"/>
      <c r="DJW177" s="250"/>
      <c r="DJX177" s="250"/>
      <c r="DJY177" s="250"/>
      <c r="DJZ177" s="250"/>
      <c r="DKA177" s="250"/>
      <c r="DKB177" s="250"/>
      <c r="DKC177" s="250"/>
      <c r="DKD177" s="250"/>
      <c r="DKE177" s="250"/>
      <c r="DKF177" s="250"/>
      <c r="DKG177" s="250"/>
      <c r="DKH177" s="250"/>
      <c r="DKI177" s="250"/>
      <c r="DKJ177" s="250"/>
      <c r="DKK177" s="250"/>
      <c r="DKL177" s="250"/>
      <c r="DKM177" s="250"/>
      <c r="DKN177" s="250"/>
      <c r="DKO177" s="250"/>
      <c r="DKP177" s="250"/>
      <c r="DKQ177" s="250"/>
      <c r="DKR177" s="250"/>
      <c r="DKS177" s="250"/>
      <c r="DKT177" s="250"/>
      <c r="DKU177" s="250"/>
      <c r="DKV177" s="250"/>
      <c r="DKW177" s="250"/>
      <c r="DKX177" s="250"/>
      <c r="DKY177" s="250"/>
      <c r="DKZ177" s="250"/>
      <c r="DLA177" s="250"/>
      <c r="DLB177" s="250"/>
      <c r="DLC177" s="250"/>
      <c r="DLD177" s="250"/>
      <c r="DLE177" s="250"/>
      <c r="DLF177" s="250"/>
      <c r="DLG177" s="250"/>
      <c r="DLH177" s="250"/>
      <c r="DLI177" s="250"/>
      <c r="DLJ177" s="250"/>
      <c r="DLK177" s="250"/>
      <c r="DLL177" s="250"/>
      <c r="DLM177" s="250"/>
      <c r="DLN177" s="250"/>
      <c r="DLO177" s="250"/>
      <c r="DLP177" s="250"/>
      <c r="DLQ177" s="250"/>
      <c r="DLR177" s="250"/>
      <c r="DLS177" s="250"/>
      <c r="DLT177" s="250"/>
      <c r="DLU177" s="250"/>
      <c r="DLV177" s="250"/>
      <c r="DLW177" s="250"/>
      <c r="DLX177" s="250"/>
      <c r="DLY177" s="250"/>
      <c r="DLZ177" s="250"/>
      <c r="DMA177" s="250"/>
      <c r="DMB177" s="250"/>
      <c r="DMC177" s="250"/>
      <c r="DMD177" s="250"/>
      <c r="DME177" s="250"/>
      <c r="DMF177" s="250"/>
      <c r="DMG177" s="250"/>
      <c r="DMH177" s="250"/>
      <c r="DMI177" s="250"/>
      <c r="DMJ177" s="250"/>
      <c r="DMK177" s="250"/>
      <c r="DML177" s="250"/>
      <c r="DMM177" s="250"/>
      <c r="DMN177" s="250"/>
      <c r="DMO177" s="250"/>
      <c r="DMP177" s="250"/>
      <c r="DMQ177" s="250"/>
      <c r="DMR177" s="250"/>
      <c r="DMS177" s="250"/>
      <c r="DMT177" s="250"/>
      <c r="DMU177" s="250"/>
      <c r="DMV177" s="250"/>
      <c r="DMW177" s="250"/>
      <c r="DMX177" s="250"/>
      <c r="DMY177" s="250"/>
      <c r="DMZ177" s="250"/>
      <c r="DNA177" s="250"/>
      <c r="DNB177" s="250"/>
      <c r="DNC177" s="250"/>
      <c r="DND177" s="250"/>
      <c r="DNE177" s="250"/>
      <c r="DNF177" s="250"/>
      <c r="DNG177" s="250"/>
      <c r="DNH177" s="250"/>
      <c r="DNI177" s="250"/>
      <c r="DNJ177" s="250"/>
      <c r="DNK177" s="250"/>
      <c r="DNL177" s="250"/>
      <c r="DNM177" s="250"/>
      <c r="DNN177" s="250"/>
      <c r="DNO177" s="250"/>
      <c r="DNP177" s="250"/>
      <c r="DNQ177" s="250"/>
      <c r="DNR177" s="250"/>
      <c r="DNS177" s="250"/>
      <c r="DNT177" s="250"/>
      <c r="DNU177" s="250"/>
      <c r="DNV177" s="250"/>
      <c r="DNW177" s="250"/>
      <c r="DNX177" s="250"/>
      <c r="DNY177" s="250"/>
      <c r="DNZ177" s="250"/>
      <c r="DOA177" s="250"/>
      <c r="DOB177" s="250"/>
      <c r="DOC177" s="250"/>
      <c r="DOD177" s="250"/>
      <c r="DOE177" s="250"/>
      <c r="DOF177" s="250"/>
      <c r="DOG177" s="250"/>
      <c r="DOH177" s="250"/>
      <c r="DOI177" s="250"/>
      <c r="DOJ177" s="250"/>
      <c r="DOK177" s="250"/>
      <c r="DOL177" s="250"/>
      <c r="DOM177" s="250"/>
      <c r="DON177" s="250"/>
      <c r="DOO177" s="250"/>
      <c r="DOP177" s="250"/>
      <c r="DOQ177" s="250"/>
      <c r="DOR177" s="250"/>
      <c r="DOS177" s="250"/>
      <c r="DOT177" s="250"/>
      <c r="DOU177" s="250"/>
      <c r="DOV177" s="250"/>
      <c r="DOW177" s="250"/>
      <c r="DOX177" s="250"/>
      <c r="DOY177" s="250"/>
      <c r="DOZ177" s="250"/>
      <c r="DPA177" s="250"/>
      <c r="DPB177" s="250"/>
      <c r="DPC177" s="250"/>
      <c r="DPD177" s="250"/>
      <c r="DPE177" s="250"/>
      <c r="DPF177" s="250"/>
      <c r="DPG177" s="250"/>
      <c r="DPH177" s="250"/>
      <c r="DPI177" s="250"/>
      <c r="DPJ177" s="250"/>
      <c r="DPK177" s="250"/>
      <c r="DPL177" s="250"/>
      <c r="DPM177" s="250"/>
      <c r="DPN177" s="250"/>
      <c r="DPO177" s="250"/>
      <c r="DPP177" s="250"/>
      <c r="DPQ177" s="250"/>
      <c r="DPR177" s="250"/>
      <c r="DPS177" s="250"/>
      <c r="DPT177" s="250"/>
      <c r="DPU177" s="250"/>
      <c r="DPV177" s="250"/>
      <c r="DPW177" s="250"/>
      <c r="DPX177" s="250"/>
      <c r="DPY177" s="250"/>
      <c r="DPZ177" s="250"/>
      <c r="DQA177" s="250"/>
      <c r="DQB177" s="250"/>
      <c r="DQC177" s="250"/>
      <c r="DQD177" s="250"/>
      <c r="DQE177" s="250"/>
      <c r="DQF177" s="250"/>
      <c r="DQG177" s="250"/>
      <c r="DQH177" s="250"/>
      <c r="DQI177" s="250"/>
      <c r="DQJ177" s="250"/>
      <c r="DQK177" s="250"/>
      <c r="DQL177" s="250"/>
      <c r="DQM177" s="250"/>
      <c r="DQN177" s="250"/>
      <c r="DQO177" s="250"/>
      <c r="DQP177" s="250"/>
      <c r="DQQ177" s="250"/>
      <c r="DQR177" s="250"/>
      <c r="DQS177" s="250"/>
      <c r="DQT177" s="250"/>
      <c r="DQU177" s="250"/>
      <c r="DQV177" s="250"/>
      <c r="DQW177" s="250"/>
      <c r="DQX177" s="250"/>
      <c r="DQY177" s="250"/>
      <c r="DQZ177" s="250"/>
      <c r="DRA177" s="250"/>
      <c r="DRB177" s="250"/>
      <c r="DRC177" s="250"/>
      <c r="DRD177" s="250"/>
      <c r="DRE177" s="250"/>
      <c r="DRF177" s="250"/>
      <c r="DRG177" s="250"/>
      <c r="DRH177" s="250"/>
      <c r="DRI177" s="250"/>
      <c r="DRJ177" s="250"/>
      <c r="DRK177" s="250"/>
      <c r="DRL177" s="250"/>
      <c r="DRM177" s="250"/>
      <c r="DRN177" s="250"/>
      <c r="DRO177" s="250"/>
      <c r="DRP177" s="250"/>
      <c r="DRQ177" s="250"/>
      <c r="DRR177" s="250"/>
      <c r="DRS177" s="250"/>
      <c r="DRT177" s="250"/>
      <c r="DRU177" s="250"/>
      <c r="DRV177" s="250"/>
      <c r="DRW177" s="250"/>
      <c r="DRX177" s="250"/>
      <c r="DRY177" s="250"/>
      <c r="DRZ177" s="250"/>
      <c r="DSA177" s="250"/>
      <c r="DSB177" s="250"/>
      <c r="DSC177" s="250"/>
      <c r="DSD177" s="250"/>
      <c r="DSE177" s="250"/>
      <c r="DSF177" s="250"/>
      <c r="DSG177" s="250"/>
      <c r="DSH177" s="250"/>
      <c r="DSI177" s="250"/>
      <c r="DSJ177" s="250"/>
      <c r="DSK177" s="250"/>
      <c r="DSL177" s="250"/>
      <c r="DSM177" s="250"/>
      <c r="DSN177" s="250"/>
      <c r="DSO177" s="250"/>
      <c r="DSP177" s="250"/>
      <c r="DSQ177" s="250"/>
      <c r="DSR177" s="250"/>
      <c r="DSS177" s="250"/>
      <c r="DST177" s="250"/>
      <c r="DSU177" s="250"/>
      <c r="DSV177" s="250"/>
      <c r="DSW177" s="250"/>
      <c r="DSX177" s="250"/>
      <c r="DSY177" s="250"/>
      <c r="DSZ177" s="250"/>
      <c r="DTA177" s="250"/>
      <c r="DTB177" s="250"/>
      <c r="DTC177" s="250"/>
      <c r="DTD177" s="250"/>
      <c r="DTE177" s="250"/>
      <c r="DTF177" s="250"/>
      <c r="DTG177" s="250"/>
      <c r="DTH177" s="250"/>
      <c r="DTI177" s="250"/>
      <c r="DTJ177" s="250"/>
      <c r="DTK177" s="250"/>
      <c r="DTL177" s="250"/>
      <c r="DTM177" s="250"/>
      <c r="DTN177" s="250"/>
      <c r="DTO177" s="250"/>
      <c r="DTP177" s="250"/>
      <c r="DTQ177" s="250"/>
      <c r="DTR177" s="250"/>
      <c r="DTS177" s="250"/>
      <c r="DTT177" s="250"/>
      <c r="DTU177" s="250"/>
      <c r="DTV177" s="250"/>
      <c r="DTW177" s="250"/>
      <c r="DTX177" s="250"/>
      <c r="DTY177" s="250"/>
      <c r="DTZ177" s="250"/>
      <c r="DUA177" s="250"/>
      <c r="DUB177" s="250"/>
      <c r="DUC177" s="250"/>
      <c r="DUD177" s="250"/>
      <c r="DUE177" s="250"/>
      <c r="DUF177" s="250"/>
      <c r="DUG177" s="250"/>
      <c r="DUH177" s="250"/>
      <c r="DUI177" s="250"/>
      <c r="DUJ177" s="250"/>
      <c r="DUK177" s="250"/>
      <c r="DUL177" s="250"/>
      <c r="DUM177" s="250"/>
      <c r="DUN177" s="250"/>
      <c r="DUO177" s="250"/>
      <c r="DUP177" s="250"/>
      <c r="DUQ177" s="250"/>
      <c r="DUR177" s="250"/>
      <c r="DUS177" s="250"/>
      <c r="DUT177" s="250"/>
      <c r="DUU177" s="250"/>
      <c r="DUV177" s="250"/>
      <c r="DUW177" s="250"/>
      <c r="DUX177" s="250"/>
      <c r="DUY177" s="250"/>
      <c r="DUZ177" s="250"/>
      <c r="DVA177" s="250"/>
      <c r="DVB177" s="250"/>
      <c r="DVC177" s="250"/>
      <c r="DVD177" s="250"/>
      <c r="DVE177" s="250"/>
      <c r="DVF177" s="250"/>
      <c r="DVG177" s="250"/>
      <c r="DVH177" s="250"/>
      <c r="DVI177" s="250"/>
      <c r="DVJ177" s="250"/>
      <c r="DVK177" s="250"/>
      <c r="DVL177" s="250"/>
      <c r="DVM177" s="250"/>
      <c r="DVN177" s="250"/>
      <c r="DVO177" s="250"/>
      <c r="DVP177" s="250"/>
      <c r="DVQ177" s="250"/>
      <c r="DVR177" s="250"/>
      <c r="DVS177" s="250"/>
      <c r="DVT177" s="250"/>
      <c r="DVU177" s="250"/>
      <c r="DVV177" s="250"/>
      <c r="DVW177" s="250"/>
      <c r="DVX177" s="250"/>
      <c r="DVY177" s="250"/>
      <c r="DVZ177" s="250"/>
      <c r="DWA177" s="250"/>
      <c r="DWB177" s="250"/>
      <c r="DWC177" s="250"/>
      <c r="DWD177" s="250"/>
      <c r="DWE177" s="250"/>
      <c r="DWF177" s="250"/>
      <c r="DWG177" s="250"/>
      <c r="DWH177" s="250"/>
      <c r="DWI177" s="250"/>
      <c r="DWJ177" s="250"/>
      <c r="DWK177" s="250"/>
      <c r="DWL177" s="250"/>
      <c r="DWM177" s="250"/>
      <c r="DWN177" s="250"/>
      <c r="DWO177" s="250"/>
      <c r="DWP177" s="250"/>
      <c r="DWQ177" s="250"/>
      <c r="DWR177" s="250"/>
      <c r="DWS177" s="250"/>
      <c r="DWT177" s="250"/>
      <c r="DWU177" s="250"/>
      <c r="DWV177" s="250"/>
      <c r="DWW177" s="250"/>
      <c r="DWX177" s="250"/>
      <c r="DWY177" s="250"/>
      <c r="DWZ177" s="250"/>
      <c r="DXA177" s="250"/>
      <c r="DXB177" s="250"/>
      <c r="DXC177" s="250"/>
      <c r="DXD177" s="250"/>
      <c r="DXE177" s="250"/>
      <c r="DXF177" s="250"/>
      <c r="DXG177" s="250"/>
      <c r="DXH177" s="250"/>
      <c r="DXI177" s="250"/>
      <c r="DXJ177" s="250"/>
      <c r="DXK177" s="250"/>
      <c r="DXL177" s="250"/>
      <c r="DXM177" s="250"/>
      <c r="DXN177" s="250"/>
      <c r="DXO177" s="250"/>
      <c r="DXP177" s="250"/>
      <c r="DXQ177" s="250"/>
      <c r="DXR177" s="250"/>
      <c r="DXS177" s="250"/>
      <c r="DXT177" s="250"/>
      <c r="DXU177" s="250"/>
      <c r="DXV177" s="250"/>
      <c r="DXW177" s="250"/>
      <c r="DXX177" s="250"/>
      <c r="DXY177" s="250"/>
      <c r="DXZ177" s="250"/>
      <c r="DYA177" s="250"/>
      <c r="DYB177" s="250"/>
      <c r="DYC177" s="250"/>
      <c r="DYD177" s="250"/>
      <c r="DYE177" s="250"/>
      <c r="DYF177" s="250"/>
      <c r="DYG177" s="250"/>
      <c r="DYH177" s="250"/>
      <c r="DYI177" s="250"/>
      <c r="DYJ177" s="250"/>
      <c r="DYK177" s="250"/>
      <c r="DYL177" s="250"/>
      <c r="DYM177" s="250"/>
      <c r="DYN177" s="250"/>
      <c r="DYO177" s="250"/>
      <c r="DYP177" s="250"/>
      <c r="DYQ177" s="250"/>
      <c r="DYR177" s="250"/>
      <c r="DYS177" s="250"/>
      <c r="DYT177" s="250"/>
      <c r="DYU177" s="250"/>
      <c r="DYV177" s="250"/>
      <c r="DYW177" s="250"/>
      <c r="DYX177" s="250"/>
      <c r="DYY177" s="250"/>
      <c r="DYZ177" s="250"/>
      <c r="DZA177" s="250"/>
      <c r="DZB177" s="250"/>
      <c r="DZC177" s="250"/>
      <c r="DZD177" s="250"/>
      <c r="DZE177" s="250"/>
      <c r="DZF177" s="250"/>
      <c r="DZG177" s="250"/>
      <c r="DZH177" s="250"/>
      <c r="DZI177" s="250"/>
      <c r="DZJ177" s="250"/>
      <c r="DZK177" s="250"/>
      <c r="DZL177" s="250"/>
      <c r="DZM177" s="250"/>
      <c r="DZN177" s="250"/>
      <c r="DZO177" s="250"/>
      <c r="DZP177" s="250"/>
      <c r="DZQ177" s="250"/>
      <c r="DZR177" s="250"/>
      <c r="DZS177" s="250"/>
      <c r="DZT177" s="250"/>
      <c r="DZU177" s="250"/>
      <c r="DZV177" s="250"/>
      <c r="DZW177" s="250"/>
      <c r="DZX177" s="250"/>
      <c r="DZY177" s="250"/>
      <c r="DZZ177" s="250"/>
      <c r="EAA177" s="250"/>
      <c r="EAB177" s="250"/>
      <c r="EAC177" s="250"/>
      <c r="EAD177" s="250"/>
      <c r="EAE177" s="250"/>
      <c r="EAF177" s="250"/>
      <c r="EAG177" s="250"/>
      <c r="EAH177" s="250"/>
      <c r="EAI177" s="250"/>
      <c r="EAJ177" s="250"/>
      <c r="EAK177" s="250"/>
      <c r="EAL177" s="250"/>
      <c r="EAM177" s="250"/>
      <c r="EAN177" s="250"/>
      <c r="EAO177" s="250"/>
      <c r="EAP177" s="250"/>
      <c r="EAQ177" s="250"/>
      <c r="EAR177" s="250"/>
      <c r="EAS177" s="250"/>
      <c r="EAT177" s="250"/>
      <c r="EAU177" s="250"/>
      <c r="EAV177" s="250"/>
      <c r="EAW177" s="250"/>
      <c r="EAX177" s="250"/>
      <c r="EAY177" s="250"/>
      <c r="EAZ177" s="250"/>
      <c r="EBA177" s="250"/>
      <c r="EBB177" s="250"/>
      <c r="EBC177" s="250"/>
      <c r="EBD177" s="250"/>
      <c r="EBE177" s="250"/>
      <c r="EBF177" s="250"/>
      <c r="EBG177" s="250"/>
      <c r="EBH177" s="250"/>
      <c r="EBI177" s="250"/>
      <c r="EBJ177" s="250"/>
      <c r="EBK177" s="250"/>
      <c r="EBL177" s="250"/>
      <c r="EBM177" s="250"/>
      <c r="EBN177" s="250"/>
      <c r="EBO177" s="250"/>
      <c r="EBP177" s="250"/>
      <c r="EBQ177" s="250"/>
      <c r="EBR177" s="250"/>
      <c r="EBS177" s="250"/>
      <c r="EBT177" s="250"/>
      <c r="EBU177" s="250"/>
      <c r="EBV177" s="250"/>
      <c r="EBW177" s="250"/>
      <c r="EBX177" s="250"/>
      <c r="EBY177" s="250"/>
      <c r="EBZ177" s="250"/>
      <c r="ECA177" s="250"/>
      <c r="ECB177" s="250"/>
      <c r="ECC177" s="250"/>
      <c r="ECD177" s="250"/>
      <c r="ECE177" s="250"/>
      <c r="ECF177" s="250"/>
      <c r="ECG177" s="250"/>
      <c r="ECH177" s="250"/>
      <c r="ECI177" s="250"/>
      <c r="ECJ177" s="250"/>
      <c r="ECK177" s="250"/>
      <c r="ECL177" s="250"/>
      <c r="ECM177" s="250"/>
      <c r="ECN177" s="250"/>
      <c r="ECO177" s="250"/>
      <c r="ECP177" s="250"/>
      <c r="ECQ177" s="250"/>
      <c r="ECR177" s="250"/>
      <c r="ECS177" s="250"/>
      <c r="ECT177" s="250"/>
      <c r="ECU177" s="250"/>
      <c r="ECV177" s="250"/>
      <c r="ECW177" s="250"/>
      <c r="ECX177" s="250"/>
      <c r="ECY177" s="250"/>
      <c r="ECZ177" s="250"/>
      <c r="EDA177" s="250"/>
      <c r="EDB177" s="250"/>
      <c r="EDC177" s="250"/>
      <c r="EDD177" s="250"/>
      <c r="EDE177" s="250"/>
      <c r="EDF177" s="250"/>
      <c r="EDG177" s="250"/>
      <c r="EDH177" s="250"/>
      <c r="EDI177" s="250"/>
      <c r="EDJ177" s="250"/>
      <c r="EDK177" s="250"/>
      <c r="EDL177" s="250"/>
      <c r="EDM177" s="250"/>
      <c r="EDN177" s="250"/>
      <c r="EDO177" s="250"/>
      <c r="EDP177" s="250"/>
      <c r="EDQ177" s="250"/>
      <c r="EDR177" s="250"/>
      <c r="EDS177" s="250"/>
      <c r="EDT177" s="250"/>
      <c r="EDU177" s="250"/>
      <c r="EDV177" s="250"/>
      <c r="EDW177" s="250"/>
      <c r="EDX177" s="250"/>
      <c r="EDY177" s="250"/>
      <c r="EDZ177" s="250"/>
      <c r="EEA177" s="250"/>
      <c r="EEB177" s="250"/>
      <c r="EEC177" s="250"/>
      <c r="EED177" s="250"/>
      <c r="EEE177" s="250"/>
      <c r="EEF177" s="250"/>
      <c r="EEG177" s="250"/>
      <c r="EEH177" s="250"/>
      <c r="EEI177" s="250"/>
      <c r="EEJ177" s="250"/>
      <c r="EEK177" s="250"/>
      <c r="EEL177" s="250"/>
      <c r="EEM177" s="250"/>
      <c r="EEN177" s="250"/>
      <c r="EEO177" s="250"/>
      <c r="EEP177" s="250"/>
      <c r="EEQ177" s="250"/>
      <c r="EER177" s="250"/>
      <c r="EES177" s="250"/>
      <c r="EET177" s="250"/>
      <c r="EEU177" s="250"/>
      <c r="EEV177" s="250"/>
      <c r="EEW177" s="250"/>
      <c r="EEX177" s="250"/>
      <c r="EEY177" s="250"/>
      <c r="EEZ177" s="250"/>
      <c r="EFA177" s="250"/>
      <c r="EFB177" s="250"/>
      <c r="EFC177" s="250"/>
      <c r="EFD177" s="250"/>
      <c r="EFE177" s="250"/>
      <c r="EFF177" s="250"/>
      <c r="EFG177" s="250"/>
      <c r="EFH177" s="250"/>
      <c r="EFI177" s="250"/>
      <c r="EFJ177" s="250"/>
      <c r="EFK177" s="250"/>
      <c r="EFL177" s="250"/>
      <c r="EFM177" s="250"/>
      <c r="EFN177" s="250"/>
      <c r="EFO177" s="250"/>
      <c r="EFP177" s="250"/>
      <c r="EFQ177" s="250"/>
      <c r="EFR177" s="250"/>
      <c r="EFS177" s="250"/>
      <c r="EFT177" s="250"/>
      <c r="EFU177" s="250"/>
      <c r="EFV177" s="250"/>
      <c r="EFW177" s="250"/>
      <c r="EFX177" s="250"/>
      <c r="EFY177" s="250"/>
      <c r="EFZ177" s="250"/>
      <c r="EGA177" s="250"/>
      <c r="EGB177" s="250"/>
      <c r="EGC177" s="250"/>
      <c r="EGD177" s="250"/>
      <c r="EGE177" s="250"/>
      <c r="EGF177" s="250"/>
      <c r="EGG177" s="250"/>
      <c r="EGH177" s="250"/>
      <c r="EGI177" s="250"/>
      <c r="EGJ177" s="250"/>
      <c r="EGK177" s="250"/>
      <c r="EGL177" s="250"/>
      <c r="EGM177" s="250"/>
      <c r="EGN177" s="250"/>
      <c r="EGO177" s="250"/>
      <c r="EGP177" s="250"/>
      <c r="EGQ177" s="250"/>
      <c r="EGR177" s="250"/>
      <c r="EGS177" s="250"/>
      <c r="EGT177" s="250"/>
      <c r="EGU177" s="250"/>
      <c r="EGV177" s="250"/>
      <c r="EGW177" s="250"/>
      <c r="EGX177" s="250"/>
      <c r="EGY177" s="250"/>
      <c r="EGZ177" s="250"/>
      <c r="EHA177" s="250"/>
      <c r="EHB177" s="250"/>
      <c r="EHC177" s="250"/>
      <c r="EHD177" s="250"/>
      <c r="EHE177" s="250"/>
      <c r="EHF177" s="250"/>
      <c r="EHG177" s="250"/>
      <c r="EHH177" s="250"/>
      <c r="EHI177" s="250"/>
      <c r="EHJ177" s="250"/>
      <c r="EHK177" s="250"/>
      <c r="EHL177" s="250"/>
      <c r="EHM177" s="250"/>
      <c r="EHN177" s="250"/>
      <c r="EHO177" s="250"/>
      <c r="EHP177" s="250"/>
      <c r="EHQ177" s="250"/>
      <c r="EHR177" s="250"/>
      <c r="EHS177" s="250"/>
      <c r="EHT177" s="250"/>
      <c r="EHU177" s="250"/>
      <c r="EHV177" s="250"/>
      <c r="EHW177" s="250"/>
      <c r="EHX177" s="250"/>
      <c r="EHY177" s="250"/>
      <c r="EHZ177" s="250"/>
      <c r="EIA177" s="250"/>
      <c r="EIB177" s="250"/>
      <c r="EIC177" s="250"/>
      <c r="EID177" s="250"/>
      <c r="EIE177" s="250"/>
      <c r="EIF177" s="250"/>
      <c r="EIG177" s="250"/>
      <c r="EIH177" s="250"/>
      <c r="EII177" s="250"/>
      <c r="EIJ177" s="250"/>
      <c r="EIK177" s="250"/>
      <c r="EIL177" s="250"/>
      <c r="EIM177" s="250"/>
      <c r="EIN177" s="250"/>
      <c r="EIO177" s="250"/>
      <c r="EIP177" s="250"/>
      <c r="EIQ177" s="250"/>
      <c r="EIR177" s="250"/>
      <c r="EIS177" s="250"/>
      <c r="EIT177" s="250"/>
      <c r="EIU177" s="250"/>
      <c r="EIV177" s="250"/>
      <c r="EIW177" s="250"/>
      <c r="EIX177" s="250"/>
      <c r="EIY177" s="250"/>
      <c r="EIZ177" s="250"/>
      <c r="EJA177" s="250"/>
      <c r="EJB177" s="250"/>
      <c r="EJC177" s="250"/>
      <c r="EJD177" s="250"/>
      <c r="EJE177" s="250"/>
      <c r="EJF177" s="250"/>
      <c r="EJG177" s="250"/>
      <c r="EJH177" s="250"/>
      <c r="EJI177" s="250"/>
      <c r="EJJ177" s="250"/>
      <c r="EJK177" s="250"/>
      <c r="EJL177" s="250"/>
      <c r="EJM177" s="250"/>
      <c r="EJN177" s="250"/>
      <c r="EJO177" s="250"/>
      <c r="EJP177" s="250"/>
      <c r="EJQ177" s="250"/>
      <c r="EJR177" s="250"/>
      <c r="EJS177" s="250"/>
      <c r="EJT177" s="250"/>
      <c r="EJU177" s="250"/>
      <c r="EJV177" s="250"/>
      <c r="EJW177" s="250"/>
      <c r="EJX177" s="250"/>
      <c r="EJY177" s="250"/>
      <c r="EJZ177" s="250"/>
      <c r="EKA177" s="250"/>
      <c r="EKB177" s="250"/>
      <c r="EKC177" s="250"/>
      <c r="EKD177" s="250"/>
      <c r="EKE177" s="250"/>
      <c r="EKF177" s="250"/>
      <c r="EKG177" s="250"/>
      <c r="EKH177" s="250"/>
      <c r="EKI177" s="250"/>
      <c r="EKJ177" s="250"/>
      <c r="EKK177" s="250"/>
      <c r="EKL177" s="250"/>
      <c r="EKM177" s="250"/>
      <c r="EKN177" s="250"/>
      <c r="EKO177" s="250"/>
      <c r="EKP177" s="250"/>
      <c r="EKQ177" s="250"/>
      <c r="EKR177" s="250"/>
      <c r="EKS177" s="250"/>
      <c r="EKT177" s="250"/>
      <c r="EKU177" s="250"/>
      <c r="EKV177" s="250"/>
      <c r="EKW177" s="250"/>
      <c r="EKX177" s="250"/>
      <c r="EKY177" s="250"/>
      <c r="EKZ177" s="250"/>
      <c r="ELA177" s="250"/>
      <c r="ELB177" s="250"/>
      <c r="ELC177" s="250"/>
      <c r="ELD177" s="250"/>
      <c r="ELE177" s="250"/>
      <c r="ELF177" s="250"/>
      <c r="ELG177" s="250"/>
      <c r="ELH177" s="250"/>
      <c r="ELI177" s="250"/>
      <c r="ELJ177" s="250"/>
      <c r="ELK177" s="250"/>
      <c r="ELL177" s="250"/>
      <c r="ELM177" s="250"/>
      <c r="ELN177" s="250"/>
      <c r="ELO177" s="250"/>
      <c r="ELP177" s="250"/>
      <c r="ELQ177" s="250"/>
      <c r="ELR177" s="250"/>
      <c r="ELS177" s="250"/>
      <c r="ELT177" s="250"/>
      <c r="ELU177" s="250"/>
      <c r="ELV177" s="250"/>
      <c r="ELW177" s="250"/>
      <c r="ELX177" s="250"/>
      <c r="ELY177" s="250"/>
      <c r="ELZ177" s="250"/>
      <c r="EMA177" s="250"/>
      <c r="EMB177" s="250"/>
      <c r="EMC177" s="250"/>
      <c r="EMD177" s="250"/>
      <c r="EME177" s="250"/>
      <c r="EMF177" s="250"/>
      <c r="EMG177" s="250"/>
      <c r="EMH177" s="250"/>
      <c r="EMI177" s="250"/>
      <c r="EMJ177" s="250"/>
      <c r="EMK177" s="250"/>
      <c r="EML177" s="250"/>
      <c r="EMM177" s="250"/>
      <c r="EMN177" s="250"/>
      <c r="EMO177" s="250"/>
      <c r="EMP177" s="250"/>
      <c r="EMQ177" s="250"/>
      <c r="EMR177" s="250"/>
      <c r="EMS177" s="250"/>
      <c r="EMT177" s="250"/>
      <c r="EMU177" s="250"/>
      <c r="EMV177" s="250"/>
      <c r="EMW177" s="250"/>
      <c r="EMX177" s="250"/>
      <c r="EMY177" s="250"/>
      <c r="EMZ177" s="250"/>
      <c r="ENA177" s="250"/>
      <c r="ENB177" s="250"/>
      <c r="ENC177" s="250"/>
      <c r="END177" s="250"/>
      <c r="ENE177" s="250"/>
      <c r="ENF177" s="250"/>
      <c r="ENG177" s="250"/>
      <c r="ENH177" s="250"/>
      <c r="ENI177" s="250"/>
      <c r="ENJ177" s="250"/>
      <c r="ENK177" s="250"/>
      <c r="ENL177" s="250"/>
      <c r="ENM177" s="250"/>
      <c r="ENN177" s="250"/>
      <c r="ENO177" s="250"/>
      <c r="ENP177" s="250"/>
      <c r="ENQ177" s="250"/>
      <c r="ENR177" s="250"/>
      <c r="ENS177" s="250"/>
      <c r="ENT177" s="250"/>
      <c r="ENU177" s="250"/>
      <c r="ENV177" s="250"/>
      <c r="ENW177" s="250"/>
      <c r="ENX177" s="250"/>
      <c r="ENY177" s="250"/>
      <c r="ENZ177" s="250"/>
      <c r="EOA177" s="250"/>
      <c r="EOB177" s="250"/>
      <c r="EOC177" s="250"/>
      <c r="EOD177" s="250"/>
      <c r="EOE177" s="250"/>
      <c r="EOF177" s="250"/>
      <c r="EOG177" s="250"/>
      <c r="EOH177" s="250"/>
      <c r="EOI177" s="250"/>
      <c r="EOJ177" s="250"/>
      <c r="EOK177" s="250"/>
      <c r="EOL177" s="250"/>
      <c r="EOM177" s="250"/>
      <c r="EON177" s="250"/>
      <c r="EOO177" s="250"/>
      <c r="EOP177" s="250"/>
      <c r="EOQ177" s="250"/>
      <c r="EOR177" s="250"/>
      <c r="EOS177" s="250"/>
      <c r="EOT177" s="250"/>
      <c r="EOU177" s="250"/>
      <c r="EOV177" s="250"/>
      <c r="EOW177" s="250"/>
      <c r="EOX177" s="250"/>
      <c r="EOY177" s="250"/>
      <c r="EOZ177" s="250"/>
      <c r="EPA177" s="250"/>
      <c r="EPB177" s="250"/>
      <c r="EPC177" s="250"/>
      <c r="EPD177" s="250"/>
      <c r="EPE177" s="250"/>
      <c r="EPF177" s="250"/>
      <c r="EPG177" s="250"/>
      <c r="EPH177" s="250"/>
      <c r="EPI177" s="250"/>
      <c r="EPJ177" s="250"/>
      <c r="EPK177" s="250"/>
      <c r="EPL177" s="250"/>
      <c r="EPM177" s="250"/>
      <c r="EPN177" s="250"/>
      <c r="EPO177" s="250"/>
      <c r="EPP177" s="250"/>
      <c r="EPQ177" s="250"/>
      <c r="EPR177" s="250"/>
      <c r="EPS177" s="250"/>
      <c r="EPT177" s="250"/>
      <c r="EPU177" s="250"/>
      <c r="EPV177" s="250"/>
      <c r="EPW177" s="250"/>
      <c r="EPX177" s="250"/>
      <c r="EPY177" s="250"/>
      <c r="EPZ177" s="250"/>
      <c r="EQA177" s="250"/>
      <c r="EQB177" s="250"/>
      <c r="EQC177" s="250"/>
      <c r="EQD177" s="250"/>
      <c r="EQE177" s="250"/>
      <c r="EQF177" s="250"/>
      <c r="EQG177" s="250"/>
      <c r="EQH177" s="250"/>
      <c r="EQI177" s="250"/>
      <c r="EQJ177" s="250"/>
      <c r="EQK177" s="250"/>
      <c r="EQL177" s="250"/>
      <c r="EQM177" s="250"/>
      <c r="EQN177" s="250"/>
      <c r="EQO177" s="250"/>
      <c r="EQP177" s="250"/>
      <c r="EQQ177" s="250"/>
      <c r="EQR177" s="250"/>
      <c r="EQS177" s="250"/>
      <c r="EQT177" s="250"/>
      <c r="EQU177" s="250"/>
      <c r="EQV177" s="250"/>
      <c r="EQW177" s="250"/>
      <c r="EQX177" s="250"/>
      <c r="EQY177" s="250"/>
      <c r="EQZ177" s="250"/>
      <c r="ERA177" s="250"/>
      <c r="ERB177" s="250"/>
      <c r="ERC177" s="250"/>
      <c r="ERD177" s="250"/>
      <c r="ERE177" s="250"/>
      <c r="ERF177" s="250"/>
      <c r="ERG177" s="250"/>
      <c r="ERH177" s="250"/>
      <c r="ERI177" s="250"/>
      <c r="ERJ177" s="250"/>
      <c r="ERK177" s="250"/>
      <c r="ERL177" s="250"/>
      <c r="ERM177" s="250"/>
      <c r="ERN177" s="250"/>
      <c r="ERO177" s="250"/>
      <c r="ERP177" s="250"/>
      <c r="ERQ177" s="250"/>
      <c r="ERR177" s="250"/>
      <c r="ERS177" s="250"/>
      <c r="ERT177" s="250"/>
      <c r="ERU177" s="250"/>
      <c r="ERV177" s="250"/>
      <c r="ERW177" s="250"/>
      <c r="ERX177" s="250"/>
      <c r="ERY177" s="250"/>
      <c r="ERZ177" s="250"/>
      <c r="ESA177" s="250"/>
      <c r="ESB177" s="250"/>
      <c r="ESC177" s="250"/>
      <c r="ESD177" s="250"/>
      <c r="ESE177" s="250"/>
      <c r="ESF177" s="250"/>
      <c r="ESG177" s="250"/>
      <c r="ESH177" s="250"/>
      <c r="ESI177" s="250"/>
      <c r="ESJ177" s="250"/>
      <c r="ESK177" s="250"/>
      <c r="ESL177" s="250"/>
      <c r="ESM177" s="250"/>
      <c r="ESN177" s="250"/>
      <c r="ESO177" s="250"/>
      <c r="ESP177" s="250"/>
      <c r="ESQ177" s="250"/>
      <c r="ESR177" s="250"/>
      <c r="ESS177" s="250"/>
      <c r="EST177" s="250"/>
      <c r="ESU177" s="250"/>
      <c r="ESV177" s="250"/>
      <c r="ESW177" s="250"/>
      <c r="ESX177" s="250"/>
      <c r="ESY177" s="250"/>
      <c r="ESZ177" s="250"/>
      <c r="ETA177" s="250"/>
      <c r="ETB177" s="250"/>
      <c r="ETC177" s="250"/>
      <c r="ETD177" s="250"/>
      <c r="ETE177" s="250"/>
      <c r="ETF177" s="250"/>
      <c r="ETG177" s="250"/>
      <c r="ETH177" s="250"/>
      <c r="ETI177" s="250"/>
      <c r="ETJ177" s="250"/>
      <c r="ETK177" s="250"/>
      <c r="ETL177" s="250"/>
      <c r="ETM177" s="250"/>
      <c r="ETN177" s="250"/>
      <c r="ETO177" s="250"/>
      <c r="ETP177" s="250"/>
      <c r="ETQ177" s="250"/>
      <c r="ETR177" s="250"/>
      <c r="ETS177" s="250"/>
      <c r="ETT177" s="250"/>
      <c r="ETU177" s="250"/>
      <c r="ETV177" s="250"/>
      <c r="ETW177" s="250"/>
      <c r="ETX177" s="250"/>
      <c r="ETY177" s="250"/>
      <c r="ETZ177" s="250"/>
      <c r="EUA177" s="250"/>
      <c r="EUB177" s="250"/>
      <c r="EUC177" s="250"/>
      <c r="EUD177" s="250"/>
      <c r="EUE177" s="250"/>
      <c r="EUF177" s="250"/>
      <c r="EUG177" s="250"/>
      <c r="EUH177" s="250"/>
      <c r="EUI177" s="250"/>
      <c r="EUJ177" s="250"/>
      <c r="EUK177" s="250"/>
      <c r="EUL177" s="250"/>
      <c r="EUM177" s="250"/>
      <c r="EUN177" s="250"/>
      <c r="EUO177" s="250"/>
      <c r="EUP177" s="250"/>
      <c r="EUQ177" s="250"/>
      <c r="EUR177" s="250"/>
      <c r="EUS177" s="250"/>
      <c r="EUT177" s="250"/>
      <c r="EUU177" s="250"/>
      <c r="EUV177" s="250"/>
      <c r="EUW177" s="250"/>
      <c r="EUX177" s="250"/>
      <c r="EUY177" s="250"/>
      <c r="EUZ177" s="250"/>
      <c r="EVA177" s="250"/>
      <c r="EVB177" s="250"/>
      <c r="EVC177" s="250"/>
      <c r="EVD177" s="250"/>
      <c r="EVE177" s="250"/>
      <c r="EVF177" s="250"/>
      <c r="EVG177" s="250"/>
      <c r="EVH177" s="250"/>
      <c r="EVI177" s="250"/>
      <c r="EVJ177" s="250"/>
      <c r="EVK177" s="250"/>
      <c r="EVL177" s="250"/>
      <c r="EVM177" s="250"/>
      <c r="EVN177" s="250"/>
      <c r="EVO177" s="250"/>
      <c r="EVP177" s="250"/>
      <c r="EVQ177" s="250"/>
      <c r="EVR177" s="250"/>
      <c r="EVS177" s="250"/>
      <c r="EVT177" s="250"/>
      <c r="EVU177" s="250"/>
      <c r="EVV177" s="250"/>
      <c r="EVW177" s="250"/>
      <c r="EVX177" s="250"/>
      <c r="EVY177" s="250"/>
      <c r="EVZ177" s="250"/>
      <c r="EWA177" s="250"/>
      <c r="EWB177" s="250"/>
      <c r="EWC177" s="250"/>
      <c r="EWD177" s="250"/>
      <c r="EWE177" s="250"/>
      <c r="EWF177" s="250"/>
      <c r="EWG177" s="250"/>
      <c r="EWH177" s="250"/>
      <c r="EWI177" s="250"/>
      <c r="EWJ177" s="250"/>
      <c r="EWK177" s="250"/>
      <c r="EWL177" s="250"/>
      <c r="EWM177" s="250"/>
      <c r="EWN177" s="250"/>
      <c r="EWO177" s="250"/>
      <c r="EWP177" s="250"/>
      <c r="EWQ177" s="250"/>
      <c r="EWR177" s="250"/>
      <c r="EWS177" s="250"/>
      <c r="EWT177" s="250"/>
      <c r="EWU177" s="250"/>
      <c r="EWV177" s="250"/>
      <c r="EWW177" s="250"/>
      <c r="EWX177" s="250"/>
      <c r="EWY177" s="250"/>
      <c r="EWZ177" s="250"/>
      <c r="EXA177" s="250"/>
      <c r="EXB177" s="250"/>
      <c r="EXC177" s="250"/>
      <c r="EXD177" s="250"/>
      <c r="EXE177" s="250"/>
      <c r="EXF177" s="250"/>
      <c r="EXG177" s="250"/>
      <c r="EXH177" s="250"/>
      <c r="EXI177" s="250"/>
      <c r="EXJ177" s="250"/>
      <c r="EXK177" s="250"/>
      <c r="EXL177" s="250"/>
      <c r="EXM177" s="250"/>
      <c r="EXN177" s="250"/>
      <c r="EXO177" s="250"/>
      <c r="EXP177" s="250"/>
      <c r="EXQ177" s="250"/>
      <c r="EXR177" s="250"/>
      <c r="EXS177" s="250"/>
      <c r="EXT177" s="250"/>
      <c r="EXU177" s="250"/>
      <c r="EXV177" s="250"/>
      <c r="EXW177" s="250"/>
      <c r="EXX177" s="250"/>
      <c r="EXY177" s="250"/>
      <c r="EXZ177" s="250"/>
      <c r="EYA177" s="250"/>
      <c r="EYB177" s="250"/>
      <c r="EYC177" s="250"/>
      <c r="EYD177" s="250"/>
      <c r="EYE177" s="250"/>
      <c r="EYF177" s="250"/>
      <c r="EYG177" s="250"/>
      <c r="EYH177" s="250"/>
      <c r="EYI177" s="250"/>
      <c r="EYJ177" s="250"/>
      <c r="EYK177" s="250"/>
      <c r="EYL177" s="250"/>
      <c r="EYM177" s="250"/>
      <c r="EYN177" s="250"/>
      <c r="EYO177" s="250"/>
      <c r="EYP177" s="250"/>
      <c r="EYQ177" s="250"/>
      <c r="EYR177" s="250"/>
      <c r="EYS177" s="250"/>
      <c r="EYT177" s="250"/>
      <c r="EYU177" s="250"/>
      <c r="EYV177" s="250"/>
      <c r="EYW177" s="250"/>
      <c r="EYX177" s="250"/>
      <c r="EYY177" s="250"/>
      <c r="EYZ177" s="250"/>
      <c r="EZA177" s="250"/>
      <c r="EZB177" s="250"/>
      <c r="EZC177" s="250"/>
      <c r="EZD177" s="250"/>
      <c r="EZE177" s="250"/>
      <c r="EZF177" s="250"/>
      <c r="EZG177" s="250"/>
      <c r="EZH177" s="250"/>
      <c r="EZI177" s="250"/>
      <c r="EZJ177" s="250"/>
      <c r="EZK177" s="250"/>
      <c r="EZL177" s="250"/>
      <c r="EZM177" s="250"/>
      <c r="EZN177" s="250"/>
      <c r="EZO177" s="250"/>
      <c r="EZP177" s="250"/>
      <c r="EZQ177" s="250"/>
      <c r="EZR177" s="250"/>
      <c r="EZS177" s="250"/>
      <c r="EZT177" s="250"/>
      <c r="EZU177" s="250"/>
      <c r="EZV177" s="250"/>
      <c r="EZW177" s="250"/>
      <c r="EZX177" s="250"/>
      <c r="EZY177" s="250"/>
      <c r="EZZ177" s="250"/>
      <c r="FAA177" s="250"/>
      <c r="FAB177" s="250"/>
      <c r="FAC177" s="250"/>
      <c r="FAD177" s="250"/>
      <c r="FAE177" s="250"/>
      <c r="FAF177" s="250"/>
      <c r="FAG177" s="250"/>
      <c r="FAH177" s="250"/>
      <c r="FAI177" s="250"/>
      <c r="FAJ177" s="250"/>
      <c r="FAK177" s="250"/>
      <c r="FAL177" s="250"/>
      <c r="FAM177" s="250"/>
      <c r="FAN177" s="250"/>
      <c r="FAO177" s="250"/>
      <c r="FAP177" s="250"/>
      <c r="FAQ177" s="250"/>
      <c r="FAR177" s="250"/>
      <c r="FAS177" s="250"/>
      <c r="FAT177" s="250"/>
      <c r="FAU177" s="250"/>
      <c r="FAV177" s="250"/>
      <c r="FAW177" s="250"/>
      <c r="FAX177" s="250"/>
      <c r="FAY177" s="250"/>
      <c r="FAZ177" s="250"/>
      <c r="FBA177" s="250"/>
      <c r="FBB177" s="250"/>
      <c r="FBC177" s="250"/>
      <c r="FBD177" s="250"/>
      <c r="FBE177" s="250"/>
      <c r="FBF177" s="250"/>
      <c r="FBG177" s="250"/>
      <c r="FBH177" s="250"/>
      <c r="FBI177" s="250"/>
      <c r="FBJ177" s="250"/>
      <c r="FBK177" s="250"/>
      <c r="FBL177" s="250"/>
      <c r="FBM177" s="250"/>
      <c r="FBN177" s="250"/>
      <c r="FBO177" s="250"/>
      <c r="FBP177" s="250"/>
      <c r="FBQ177" s="250"/>
      <c r="FBR177" s="250"/>
      <c r="FBS177" s="250"/>
      <c r="FBT177" s="250"/>
      <c r="FBU177" s="250"/>
      <c r="FBV177" s="250"/>
      <c r="FBW177" s="250"/>
      <c r="FBX177" s="250"/>
      <c r="FBY177" s="250"/>
      <c r="FBZ177" s="250"/>
      <c r="FCA177" s="250"/>
      <c r="FCB177" s="250"/>
      <c r="FCC177" s="250"/>
      <c r="FCD177" s="250"/>
      <c r="FCE177" s="250"/>
      <c r="FCF177" s="250"/>
      <c r="FCG177" s="250"/>
      <c r="FCH177" s="250"/>
      <c r="FCI177" s="250"/>
      <c r="FCJ177" s="250"/>
      <c r="FCK177" s="250"/>
      <c r="FCL177" s="250"/>
      <c r="FCM177" s="250"/>
      <c r="FCN177" s="250"/>
      <c r="FCO177" s="250"/>
      <c r="FCP177" s="250"/>
      <c r="FCQ177" s="250"/>
      <c r="FCR177" s="250"/>
      <c r="FCS177" s="250"/>
      <c r="FCT177" s="250"/>
      <c r="FCU177" s="250"/>
      <c r="FCV177" s="250"/>
      <c r="FCW177" s="250"/>
      <c r="FCX177" s="250"/>
      <c r="FCY177" s="250"/>
      <c r="FCZ177" s="250"/>
      <c r="FDA177" s="250"/>
      <c r="FDB177" s="250"/>
      <c r="FDC177" s="250"/>
      <c r="FDD177" s="250"/>
      <c r="FDE177" s="250"/>
      <c r="FDF177" s="250"/>
      <c r="FDG177" s="250"/>
      <c r="FDH177" s="250"/>
      <c r="FDI177" s="250"/>
      <c r="FDJ177" s="250"/>
      <c r="FDK177" s="250"/>
      <c r="FDL177" s="250"/>
      <c r="FDM177" s="250"/>
      <c r="FDN177" s="250"/>
      <c r="FDO177" s="250"/>
      <c r="FDP177" s="250"/>
      <c r="FDQ177" s="250"/>
      <c r="FDR177" s="250"/>
      <c r="FDS177" s="250"/>
      <c r="FDT177" s="250"/>
      <c r="FDU177" s="250"/>
      <c r="FDV177" s="250"/>
      <c r="FDW177" s="250"/>
      <c r="FDX177" s="250"/>
      <c r="FDY177" s="250"/>
      <c r="FDZ177" s="250"/>
      <c r="FEA177" s="250"/>
      <c r="FEB177" s="250"/>
      <c r="FEC177" s="250"/>
      <c r="FED177" s="250"/>
      <c r="FEE177" s="250"/>
      <c r="FEF177" s="250"/>
      <c r="FEG177" s="250"/>
      <c r="FEH177" s="250"/>
      <c r="FEI177" s="250"/>
      <c r="FEJ177" s="250"/>
      <c r="FEK177" s="250"/>
      <c r="FEL177" s="250"/>
      <c r="FEM177" s="250"/>
      <c r="FEN177" s="250"/>
      <c r="FEO177" s="250"/>
      <c r="FEP177" s="250"/>
      <c r="FEQ177" s="250"/>
      <c r="FER177" s="250"/>
      <c r="FES177" s="250"/>
      <c r="FET177" s="250"/>
      <c r="FEU177" s="250"/>
      <c r="FEV177" s="250"/>
      <c r="FEW177" s="250"/>
      <c r="FEX177" s="250"/>
      <c r="FEY177" s="250"/>
      <c r="FEZ177" s="250"/>
      <c r="FFA177" s="250"/>
      <c r="FFB177" s="250"/>
      <c r="FFC177" s="250"/>
      <c r="FFD177" s="250"/>
      <c r="FFE177" s="250"/>
      <c r="FFF177" s="250"/>
      <c r="FFG177" s="250"/>
      <c r="FFH177" s="250"/>
      <c r="FFI177" s="250"/>
      <c r="FFJ177" s="250"/>
      <c r="FFK177" s="250"/>
      <c r="FFL177" s="250"/>
      <c r="FFM177" s="250"/>
      <c r="FFN177" s="250"/>
      <c r="FFO177" s="250"/>
      <c r="FFP177" s="250"/>
      <c r="FFQ177" s="250"/>
      <c r="FFR177" s="250"/>
      <c r="FFS177" s="250"/>
      <c r="FFT177" s="250"/>
      <c r="FFU177" s="250"/>
      <c r="FFV177" s="250"/>
      <c r="FFW177" s="250"/>
      <c r="FFX177" s="250"/>
      <c r="FFY177" s="250"/>
      <c r="FFZ177" s="250"/>
      <c r="FGA177" s="250"/>
      <c r="FGB177" s="250"/>
      <c r="FGC177" s="250"/>
      <c r="FGD177" s="250"/>
      <c r="FGE177" s="250"/>
      <c r="FGF177" s="250"/>
      <c r="FGG177" s="250"/>
      <c r="FGH177" s="250"/>
      <c r="FGI177" s="250"/>
      <c r="FGJ177" s="250"/>
      <c r="FGK177" s="250"/>
      <c r="FGL177" s="250"/>
      <c r="FGM177" s="250"/>
      <c r="FGN177" s="250"/>
      <c r="FGO177" s="250"/>
      <c r="FGP177" s="250"/>
      <c r="FGQ177" s="250"/>
      <c r="FGR177" s="250"/>
      <c r="FGS177" s="250"/>
      <c r="FGT177" s="250"/>
      <c r="FGU177" s="250"/>
      <c r="FGV177" s="250"/>
      <c r="FGW177" s="250"/>
      <c r="FGX177" s="250"/>
      <c r="FGY177" s="250"/>
      <c r="FGZ177" s="250"/>
      <c r="FHA177" s="250"/>
      <c r="FHB177" s="250"/>
      <c r="FHC177" s="250"/>
      <c r="FHD177" s="250"/>
      <c r="FHE177" s="250"/>
      <c r="FHF177" s="250"/>
      <c r="FHG177" s="250"/>
      <c r="FHH177" s="250"/>
      <c r="FHI177" s="250"/>
      <c r="FHJ177" s="250"/>
      <c r="FHK177" s="250"/>
      <c r="FHL177" s="250"/>
      <c r="FHM177" s="250"/>
      <c r="FHN177" s="250"/>
      <c r="FHO177" s="250"/>
      <c r="FHP177" s="250"/>
      <c r="FHQ177" s="250"/>
      <c r="FHR177" s="250"/>
      <c r="FHS177" s="250"/>
      <c r="FHT177" s="250"/>
      <c r="FHU177" s="250"/>
      <c r="FHV177" s="250"/>
      <c r="FHW177" s="250"/>
      <c r="FHX177" s="250"/>
      <c r="FHY177" s="250"/>
      <c r="FHZ177" s="250"/>
      <c r="FIA177" s="250"/>
      <c r="FIB177" s="250"/>
      <c r="FIC177" s="250"/>
      <c r="FID177" s="250"/>
      <c r="FIE177" s="250"/>
      <c r="FIF177" s="250"/>
      <c r="FIG177" s="250"/>
      <c r="FIH177" s="250"/>
      <c r="FII177" s="250"/>
      <c r="FIJ177" s="250"/>
      <c r="FIK177" s="250"/>
      <c r="FIL177" s="250"/>
      <c r="FIM177" s="250"/>
      <c r="FIN177" s="250"/>
      <c r="FIO177" s="250"/>
      <c r="FIP177" s="250"/>
      <c r="FIQ177" s="250"/>
      <c r="FIR177" s="250"/>
      <c r="FIS177" s="250"/>
      <c r="FIT177" s="250"/>
      <c r="FIU177" s="250"/>
      <c r="FIV177" s="250"/>
      <c r="FIW177" s="250"/>
      <c r="FIX177" s="250"/>
      <c r="FIY177" s="250"/>
      <c r="FIZ177" s="250"/>
      <c r="FJA177" s="250"/>
      <c r="FJB177" s="250"/>
      <c r="FJC177" s="250"/>
      <c r="FJD177" s="250"/>
      <c r="FJE177" s="250"/>
      <c r="FJF177" s="250"/>
      <c r="FJG177" s="250"/>
      <c r="FJH177" s="250"/>
      <c r="FJI177" s="250"/>
      <c r="FJJ177" s="250"/>
      <c r="FJK177" s="250"/>
      <c r="FJL177" s="250"/>
      <c r="FJM177" s="250"/>
      <c r="FJN177" s="250"/>
      <c r="FJO177" s="250"/>
      <c r="FJP177" s="250"/>
      <c r="FJQ177" s="250"/>
      <c r="FJR177" s="250"/>
      <c r="FJS177" s="250"/>
      <c r="FJT177" s="250"/>
      <c r="FJU177" s="250"/>
      <c r="FJV177" s="250"/>
      <c r="FJW177" s="250"/>
      <c r="FJX177" s="250"/>
      <c r="FJY177" s="250"/>
      <c r="FJZ177" s="250"/>
      <c r="FKA177" s="250"/>
      <c r="FKB177" s="250"/>
      <c r="FKC177" s="250"/>
      <c r="FKD177" s="250"/>
      <c r="FKE177" s="250"/>
      <c r="FKF177" s="250"/>
      <c r="FKG177" s="250"/>
      <c r="FKH177" s="250"/>
      <c r="FKI177" s="250"/>
      <c r="FKJ177" s="250"/>
      <c r="FKK177" s="250"/>
      <c r="FKL177" s="250"/>
      <c r="FKM177" s="250"/>
      <c r="FKN177" s="250"/>
      <c r="FKO177" s="250"/>
      <c r="FKP177" s="250"/>
      <c r="FKQ177" s="250"/>
      <c r="FKR177" s="250"/>
      <c r="FKS177" s="250"/>
      <c r="FKT177" s="250"/>
      <c r="FKU177" s="250"/>
      <c r="FKV177" s="250"/>
      <c r="FKW177" s="250"/>
      <c r="FKX177" s="250"/>
      <c r="FKY177" s="250"/>
      <c r="FKZ177" s="250"/>
      <c r="FLA177" s="250"/>
      <c r="FLB177" s="250"/>
      <c r="FLC177" s="250"/>
      <c r="FLD177" s="250"/>
      <c r="FLE177" s="250"/>
      <c r="FLF177" s="250"/>
      <c r="FLG177" s="250"/>
      <c r="FLH177" s="250"/>
      <c r="FLI177" s="250"/>
      <c r="FLJ177" s="250"/>
      <c r="FLK177" s="250"/>
      <c r="FLL177" s="250"/>
      <c r="FLM177" s="250"/>
      <c r="FLN177" s="250"/>
      <c r="FLO177" s="250"/>
      <c r="FLP177" s="250"/>
      <c r="FLQ177" s="250"/>
      <c r="FLR177" s="250"/>
      <c r="FLS177" s="250"/>
      <c r="FLT177" s="250"/>
      <c r="FLU177" s="250"/>
      <c r="FLV177" s="250"/>
      <c r="FLW177" s="250"/>
      <c r="FLX177" s="250"/>
      <c r="FLY177" s="250"/>
      <c r="FLZ177" s="250"/>
      <c r="FMA177" s="250"/>
      <c r="FMB177" s="250"/>
      <c r="FMC177" s="250"/>
      <c r="FMD177" s="250"/>
      <c r="FME177" s="250"/>
      <c r="FMF177" s="250"/>
      <c r="FMG177" s="250"/>
      <c r="FMH177" s="250"/>
      <c r="FMI177" s="250"/>
      <c r="FMJ177" s="250"/>
      <c r="FMK177" s="250"/>
      <c r="FML177" s="250"/>
      <c r="FMM177" s="250"/>
      <c r="FMN177" s="250"/>
      <c r="FMO177" s="250"/>
      <c r="FMP177" s="250"/>
      <c r="FMQ177" s="250"/>
      <c r="FMR177" s="250"/>
      <c r="FMS177" s="250"/>
      <c r="FMT177" s="250"/>
      <c r="FMU177" s="250"/>
      <c r="FMV177" s="250"/>
      <c r="FMW177" s="250"/>
      <c r="FMX177" s="250"/>
      <c r="FMY177" s="250"/>
      <c r="FMZ177" s="250"/>
      <c r="FNA177" s="250"/>
      <c r="FNB177" s="250"/>
      <c r="FNC177" s="250"/>
      <c r="FND177" s="250"/>
      <c r="FNE177" s="250"/>
      <c r="FNF177" s="250"/>
      <c r="FNG177" s="250"/>
      <c r="FNH177" s="250"/>
      <c r="FNI177" s="250"/>
      <c r="FNJ177" s="250"/>
      <c r="FNK177" s="250"/>
      <c r="FNL177" s="250"/>
      <c r="FNM177" s="250"/>
      <c r="FNN177" s="250"/>
      <c r="FNO177" s="250"/>
      <c r="FNP177" s="250"/>
      <c r="FNQ177" s="250"/>
      <c r="FNR177" s="250"/>
      <c r="FNS177" s="250"/>
      <c r="FNT177" s="250"/>
      <c r="FNU177" s="250"/>
      <c r="FNV177" s="250"/>
      <c r="FNW177" s="250"/>
      <c r="FNX177" s="250"/>
      <c r="FNY177" s="250"/>
      <c r="FNZ177" s="250"/>
      <c r="FOA177" s="250"/>
      <c r="FOB177" s="250"/>
      <c r="FOC177" s="250"/>
      <c r="FOD177" s="250"/>
      <c r="FOE177" s="250"/>
      <c r="FOF177" s="250"/>
      <c r="FOG177" s="250"/>
      <c r="FOH177" s="250"/>
      <c r="FOI177" s="250"/>
      <c r="FOJ177" s="250"/>
      <c r="FOK177" s="250"/>
      <c r="FOL177" s="250"/>
      <c r="FOM177" s="250"/>
      <c r="FON177" s="250"/>
      <c r="FOO177" s="250"/>
      <c r="FOP177" s="250"/>
      <c r="FOQ177" s="250"/>
      <c r="FOR177" s="250"/>
      <c r="FOS177" s="250"/>
      <c r="FOT177" s="250"/>
      <c r="FOU177" s="250"/>
      <c r="FOV177" s="250"/>
      <c r="FOW177" s="250"/>
      <c r="FOX177" s="250"/>
      <c r="FOY177" s="250"/>
      <c r="FOZ177" s="250"/>
      <c r="FPA177" s="250"/>
      <c r="FPB177" s="250"/>
      <c r="FPC177" s="250"/>
      <c r="FPD177" s="250"/>
      <c r="FPE177" s="250"/>
      <c r="FPF177" s="250"/>
      <c r="FPG177" s="250"/>
      <c r="FPH177" s="250"/>
      <c r="FPI177" s="250"/>
      <c r="FPJ177" s="250"/>
      <c r="FPK177" s="250"/>
      <c r="FPL177" s="250"/>
      <c r="FPM177" s="250"/>
      <c r="FPN177" s="250"/>
      <c r="FPO177" s="250"/>
      <c r="FPP177" s="250"/>
      <c r="FPQ177" s="250"/>
      <c r="FPR177" s="250"/>
      <c r="FPS177" s="250"/>
      <c r="FPT177" s="250"/>
      <c r="FPU177" s="250"/>
      <c r="FPV177" s="250"/>
      <c r="FPW177" s="250"/>
      <c r="FPX177" s="250"/>
      <c r="FPY177" s="250"/>
      <c r="FPZ177" s="250"/>
      <c r="FQA177" s="250"/>
      <c r="FQB177" s="250"/>
      <c r="FQC177" s="250"/>
      <c r="FQD177" s="250"/>
      <c r="FQE177" s="250"/>
      <c r="FQF177" s="250"/>
      <c r="FQG177" s="250"/>
      <c r="FQH177" s="250"/>
      <c r="FQI177" s="250"/>
      <c r="FQJ177" s="250"/>
      <c r="FQK177" s="250"/>
      <c r="FQL177" s="250"/>
      <c r="FQM177" s="250"/>
      <c r="FQN177" s="250"/>
      <c r="FQO177" s="250"/>
      <c r="FQP177" s="250"/>
      <c r="FQQ177" s="250"/>
      <c r="FQR177" s="250"/>
      <c r="FQS177" s="250"/>
      <c r="FQT177" s="250"/>
      <c r="FQU177" s="250"/>
      <c r="FQV177" s="250"/>
      <c r="FQW177" s="250"/>
      <c r="FQX177" s="250"/>
      <c r="FQY177" s="250"/>
      <c r="FQZ177" s="250"/>
      <c r="FRA177" s="250"/>
      <c r="FRB177" s="250"/>
      <c r="FRC177" s="250"/>
      <c r="FRD177" s="250"/>
      <c r="FRE177" s="250"/>
      <c r="FRF177" s="250"/>
      <c r="FRG177" s="250"/>
      <c r="FRH177" s="250"/>
      <c r="FRI177" s="250"/>
      <c r="FRJ177" s="250"/>
      <c r="FRK177" s="250"/>
      <c r="FRL177" s="250"/>
      <c r="FRM177" s="250"/>
      <c r="FRN177" s="250"/>
      <c r="FRO177" s="250"/>
      <c r="FRP177" s="250"/>
      <c r="FRQ177" s="250"/>
      <c r="FRR177" s="250"/>
      <c r="FRS177" s="250"/>
      <c r="FRT177" s="250"/>
      <c r="FRU177" s="250"/>
      <c r="FRV177" s="250"/>
      <c r="FRW177" s="250"/>
      <c r="FRX177" s="250"/>
      <c r="FRY177" s="250"/>
      <c r="FRZ177" s="250"/>
      <c r="FSA177" s="250"/>
      <c r="FSB177" s="250"/>
      <c r="FSC177" s="250"/>
      <c r="FSD177" s="250"/>
      <c r="FSE177" s="250"/>
      <c r="FSF177" s="250"/>
      <c r="FSG177" s="250"/>
      <c r="FSH177" s="250"/>
      <c r="FSI177" s="250"/>
      <c r="FSJ177" s="250"/>
      <c r="FSK177" s="250"/>
      <c r="FSL177" s="250"/>
      <c r="FSM177" s="250"/>
      <c r="FSN177" s="250"/>
      <c r="FSO177" s="250"/>
      <c r="FSP177" s="250"/>
      <c r="FSQ177" s="250"/>
      <c r="FSR177" s="250"/>
      <c r="FSS177" s="250"/>
      <c r="FST177" s="250"/>
      <c r="FSU177" s="250"/>
      <c r="FSV177" s="250"/>
      <c r="FSW177" s="250"/>
      <c r="FSX177" s="250"/>
      <c r="FSY177" s="250"/>
      <c r="FSZ177" s="250"/>
      <c r="FTA177" s="250"/>
      <c r="FTB177" s="250"/>
      <c r="FTC177" s="250"/>
      <c r="FTD177" s="250"/>
      <c r="FTE177" s="250"/>
      <c r="FTF177" s="250"/>
      <c r="FTG177" s="250"/>
      <c r="FTH177" s="250"/>
      <c r="FTI177" s="250"/>
      <c r="FTJ177" s="250"/>
      <c r="FTK177" s="250"/>
      <c r="FTL177" s="250"/>
      <c r="FTM177" s="250"/>
      <c r="FTN177" s="250"/>
      <c r="FTO177" s="250"/>
      <c r="FTP177" s="250"/>
      <c r="FTQ177" s="250"/>
      <c r="FTR177" s="250"/>
      <c r="FTS177" s="250"/>
      <c r="FTT177" s="250"/>
      <c r="FTU177" s="250"/>
      <c r="FTV177" s="250"/>
      <c r="FTW177" s="250"/>
      <c r="FTX177" s="250"/>
      <c r="FTY177" s="250"/>
      <c r="FTZ177" s="250"/>
      <c r="FUA177" s="250"/>
      <c r="FUB177" s="250"/>
      <c r="FUC177" s="250"/>
      <c r="FUD177" s="250"/>
      <c r="FUE177" s="250"/>
      <c r="FUF177" s="250"/>
      <c r="FUG177" s="250"/>
      <c r="FUH177" s="250"/>
      <c r="FUI177" s="250"/>
      <c r="FUJ177" s="250"/>
      <c r="FUK177" s="250"/>
      <c r="FUL177" s="250"/>
      <c r="FUM177" s="250"/>
      <c r="FUN177" s="250"/>
      <c r="FUO177" s="250"/>
      <c r="FUP177" s="250"/>
      <c r="FUQ177" s="250"/>
      <c r="FUR177" s="250"/>
      <c r="FUS177" s="250"/>
      <c r="FUT177" s="250"/>
      <c r="FUU177" s="250"/>
      <c r="FUV177" s="250"/>
      <c r="FUW177" s="250"/>
      <c r="FUX177" s="250"/>
      <c r="FUY177" s="250"/>
      <c r="FUZ177" s="250"/>
      <c r="FVA177" s="250"/>
      <c r="FVB177" s="250"/>
      <c r="FVC177" s="250"/>
      <c r="FVD177" s="250"/>
      <c r="FVE177" s="250"/>
      <c r="FVF177" s="250"/>
      <c r="FVG177" s="250"/>
      <c r="FVH177" s="250"/>
      <c r="FVI177" s="250"/>
      <c r="FVJ177" s="250"/>
      <c r="FVK177" s="250"/>
      <c r="FVL177" s="250"/>
      <c r="FVM177" s="250"/>
      <c r="FVN177" s="250"/>
      <c r="FVO177" s="250"/>
      <c r="FVP177" s="250"/>
      <c r="FVQ177" s="250"/>
      <c r="FVR177" s="250"/>
      <c r="FVS177" s="250"/>
      <c r="FVT177" s="250"/>
      <c r="FVU177" s="250"/>
      <c r="FVV177" s="250"/>
      <c r="FVW177" s="250"/>
      <c r="FVX177" s="250"/>
      <c r="FVY177" s="250"/>
      <c r="FVZ177" s="250"/>
      <c r="FWA177" s="250"/>
      <c r="FWB177" s="250"/>
      <c r="FWC177" s="250"/>
      <c r="FWD177" s="250"/>
      <c r="FWE177" s="250"/>
      <c r="FWF177" s="250"/>
      <c r="FWG177" s="250"/>
      <c r="FWH177" s="250"/>
      <c r="FWI177" s="250"/>
      <c r="FWJ177" s="250"/>
      <c r="FWK177" s="250"/>
      <c r="FWL177" s="250"/>
      <c r="FWM177" s="250"/>
      <c r="FWN177" s="250"/>
      <c r="FWO177" s="250"/>
      <c r="FWP177" s="250"/>
      <c r="FWQ177" s="250"/>
      <c r="FWR177" s="250"/>
      <c r="FWS177" s="250"/>
      <c r="FWT177" s="250"/>
      <c r="FWU177" s="250"/>
      <c r="FWV177" s="250"/>
      <c r="FWW177" s="250"/>
      <c r="FWX177" s="250"/>
      <c r="FWY177" s="250"/>
      <c r="FWZ177" s="250"/>
      <c r="FXA177" s="250"/>
      <c r="FXB177" s="250"/>
      <c r="FXC177" s="250"/>
      <c r="FXD177" s="250"/>
      <c r="FXE177" s="250"/>
      <c r="FXF177" s="250"/>
      <c r="FXG177" s="250"/>
      <c r="FXH177" s="250"/>
      <c r="FXI177" s="250"/>
      <c r="FXJ177" s="250"/>
      <c r="FXK177" s="250"/>
      <c r="FXL177" s="250"/>
      <c r="FXM177" s="250"/>
      <c r="FXN177" s="250"/>
      <c r="FXO177" s="250"/>
      <c r="FXP177" s="250"/>
      <c r="FXQ177" s="250"/>
      <c r="FXR177" s="250"/>
      <c r="FXS177" s="250"/>
      <c r="FXT177" s="250"/>
      <c r="FXU177" s="250"/>
      <c r="FXV177" s="250"/>
      <c r="FXW177" s="250"/>
      <c r="FXX177" s="250"/>
      <c r="FXY177" s="250"/>
      <c r="FXZ177" s="250"/>
      <c r="FYA177" s="250"/>
      <c r="FYB177" s="250"/>
      <c r="FYC177" s="250"/>
      <c r="FYD177" s="250"/>
      <c r="FYE177" s="250"/>
      <c r="FYF177" s="250"/>
      <c r="FYG177" s="250"/>
      <c r="FYH177" s="250"/>
      <c r="FYI177" s="250"/>
      <c r="FYJ177" s="250"/>
      <c r="FYK177" s="250"/>
      <c r="FYL177" s="250"/>
      <c r="FYM177" s="250"/>
      <c r="FYN177" s="250"/>
      <c r="FYO177" s="250"/>
      <c r="FYP177" s="250"/>
      <c r="FYQ177" s="250"/>
      <c r="FYR177" s="250"/>
      <c r="FYS177" s="250"/>
      <c r="FYT177" s="250"/>
      <c r="FYU177" s="250"/>
      <c r="FYV177" s="250"/>
      <c r="FYW177" s="250"/>
      <c r="FYX177" s="250"/>
      <c r="FYY177" s="250"/>
      <c r="FYZ177" s="250"/>
      <c r="FZA177" s="250"/>
      <c r="FZB177" s="250"/>
      <c r="FZC177" s="250"/>
      <c r="FZD177" s="250"/>
      <c r="FZE177" s="250"/>
      <c r="FZF177" s="250"/>
      <c r="FZG177" s="250"/>
      <c r="FZH177" s="250"/>
      <c r="FZI177" s="250"/>
      <c r="FZJ177" s="250"/>
      <c r="FZK177" s="250"/>
      <c r="FZL177" s="250"/>
      <c r="FZM177" s="250"/>
      <c r="FZN177" s="250"/>
      <c r="FZO177" s="250"/>
      <c r="FZP177" s="250"/>
      <c r="FZQ177" s="250"/>
      <c r="FZR177" s="250"/>
      <c r="FZS177" s="250"/>
      <c r="FZT177" s="250"/>
      <c r="FZU177" s="250"/>
      <c r="FZV177" s="250"/>
      <c r="FZW177" s="250"/>
      <c r="FZX177" s="250"/>
      <c r="FZY177" s="250"/>
      <c r="FZZ177" s="250"/>
      <c r="GAA177" s="250"/>
      <c r="GAB177" s="250"/>
      <c r="GAC177" s="250"/>
      <c r="GAD177" s="250"/>
      <c r="GAE177" s="250"/>
      <c r="GAF177" s="250"/>
      <c r="GAG177" s="250"/>
      <c r="GAH177" s="250"/>
      <c r="GAI177" s="250"/>
      <c r="GAJ177" s="250"/>
      <c r="GAK177" s="250"/>
      <c r="GAL177" s="250"/>
      <c r="GAM177" s="250"/>
      <c r="GAN177" s="250"/>
      <c r="GAO177" s="250"/>
      <c r="GAP177" s="250"/>
      <c r="GAQ177" s="250"/>
      <c r="GAR177" s="250"/>
      <c r="GAS177" s="250"/>
      <c r="GAT177" s="250"/>
      <c r="GAU177" s="250"/>
      <c r="GAV177" s="250"/>
      <c r="GAW177" s="250"/>
      <c r="GAX177" s="250"/>
      <c r="GAY177" s="250"/>
      <c r="GAZ177" s="250"/>
      <c r="GBA177" s="250"/>
      <c r="GBB177" s="250"/>
      <c r="GBC177" s="250"/>
      <c r="GBD177" s="250"/>
      <c r="GBE177" s="250"/>
      <c r="GBF177" s="250"/>
      <c r="GBG177" s="250"/>
      <c r="GBH177" s="250"/>
      <c r="GBI177" s="250"/>
      <c r="GBJ177" s="250"/>
      <c r="GBK177" s="250"/>
      <c r="GBL177" s="250"/>
      <c r="GBM177" s="250"/>
      <c r="GBN177" s="250"/>
      <c r="GBO177" s="250"/>
      <c r="GBP177" s="250"/>
      <c r="GBQ177" s="250"/>
      <c r="GBR177" s="250"/>
      <c r="GBS177" s="250"/>
      <c r="GBT177" s="250"/>
      <c r="GBU177" s="250"/>
      <c r="GBV177" s="250"/>
      <c r="GBW177" s="250"/>
      <c r="GBX177" s="250"/>
      <c r="GBY177" s="250"/>
      <c r="GBZ177" s="250"/>
      <c r="GCA177" s="250"/>
      <c r="GCB177" s="250"/>
      <c r="GCC177" s="250"/>
      <c r="GCD177" s="250"/>
      <c r="GCE177" s="250"/>
      <c r="GCF177" s="250"/>
      <c r="GCG177" s="250"/>
      <c r="GCH177" s="250"/>
      <c r="GCI177" s="250"/>
      <c r="GCJ177" s="250"/>
      <c r="GCK177" s="250"/>
      <c r="GCL177" s="250"/>
      <c r="GCM177" s="250"/>
      <c r="GCN177" s="250"/>
      <c r="GCO177" s="250"/>
      <c r="GCP177" s="250"/>
      <c r="GCQ177" s="250"/>
      <c r="GCR177" s="250"/>
      <c r="GCS177" s="250"/>
      <c r="GCT177" s="250"/>
      <c r="GCU177" s="250"/>
      <c r="GCV177" s="250"/>
      <c r="GCW177" s="250"/>
      <c r="GCX177" s="250"/>
      <c r="GCY177" s="250"/>
      <c r="GCZ177" s="250"/>
      <c r="GDA177" s="250"/>
      <c r="GDB177" s="250"/>
      <c r="GDC177" s="250"/>
      <c r="GDD177" s="250"/>
      <c r="GDE177" s="250"/>
      <c r="GDF177" s="250"/>
      <c r="GDG177" s="250"/>
      <c r="GDH177" s="250"/>
      <c r="GDI177" s="250"/>
      <c r="GDJ177" s="250"/>
      <c r="GDK177" s="250"/>
      <c r="GDL177" s="250"/>
      <c r="GDM177" s="250"/>
      <c r="GDN177" s="250"/>
      <c r="GDO177" s="250"/>
      <c r="GDP177" s="250"/>
      <c r="GDQ177" s="250"/>
      <c r="GDR177" s="250"/>
      <c r="GDS177" s="250"/>
      <c r="GDT177" s="250"/>
      <c r="GDU177" s="250"/>
      <c r="GDV177" s="250"/>
      <c r="GDW177" s="250"/>
      <c r="GDX177" s="250"/>
      <c r="GDY177" s="250"/>
      <c r="GDZ177" s="250"/>
      <c r="GEA177" s="250"/>
      <c r="GEB177" s="250"/>
      <c r="GEC177" s="250"/>
      <c r="GED177" s="250"/>
      <c r="GEE177" s="250"/>
      <c r="GEF177" s="250"/>
      <c r="GEG177" s="250"/>
      <c r="GEH177" s="250"/>
      <c r="GEI177" s="250"/>
      <c r="GEJ177" s="250"/>
      <c r="GEK177" s="250"/>
      <c r="GEL177" s="250"/>
      <c r="GEM177" s="250"/>
      <c r="GEN177" s="250"/>
      <c r="GEO177" s="250"/>
      <c r="GEP177" s="250"/>
      <c r="GEQ177" s="250"/>
      <c r="GER177" s="250"/>
      <c r="GES177" s="250"/>
      <c r="GET177" s="250"/>
      <c r="GEU177" s="250"/>
      <c r="GEV177" s="250"/>
      <c r="GEW177" s="250"/>
      <c r="GEX177" s="250"/>
      <c r="GEY177" s="250"/>
      <c r="GEZ177" s="250"/>
      <c r="GFA177" s="250"/>
      <c r="GFB177" s="250"/>
      <c r="GFC177" s="250"/>
      <c r="GFD177" s="250"/>
      <c r="GFE177" s="250"/>
      <c r="GFF177" s="250"/>
      <c r="GFG177" s="250"/>
      <c r="GFH177" s="250"/>
      <c r="GFI177" s="250"/>
      <c r="GFJ177" s="250"/>
      <c r="GFK177" s="250"/>
      <c r="GFL177" s="250"/>
      <c r="GFM177" s="250"/>
      <c r="GFN177" s="250"/>
      <c r="GFO177" s="250"/>
      <c r="GFP177" s="250"/>
      <c r="GFQ177" s="250"/>
      <c r="GFR177" s="250"/>
      <c r="GFS177" s="250"/>
      <c r="GFT177" s="250"/>
      <c r="GFU177" s="250"/>
      <c r="GFV177" s="250"/>
      <c r="GFW177" s="250"/>
      <c r="GFX177" s="250"/>
      <c r="GFY177" s="250"/>
      <c r="GFZ177" s="250"/>
      <c r="GGA177" s="250"/>
      <c r="GGB177" s="250"/>
      <c r="GGC177" s="250"/>
      <c r="GGD177" s="250"/>
      <c r="GGE177" s="250"/>
      <c r="GGF177" s="250"/>
      <c r="GGG177" s="250"/>
      <c r="GGH177" s="250"/>
      <c r="GGI177" s="250"/>
      <c r="GGJ177" s="250"/>
      <c r="GGK177" s="250"/>
      <c r="GGL177" s="250"/>
      <c r="GGM177" s="250"/>
      <c r="GGN177" s="250"/>
      <c r="GGO177" s="250"/>
      <c r="GGP177" s="250"/>
      <c r="GGQ177" s="250"/>
      <c r="GGR177" s="250"/>
      <c r="GGS177" s="250"/>
      <c r="GGT177" s="250"/>
      <c r="GGU177" s="250"/>
      <c r="GGV177" s="250"/>
      <c r="GGW177" s="250"/>
      <c r="GGX177" s="250"/>
      <c r="GGY177" s="250"/>
      <c r="GGZ177" s="250"/>
      <c r="GHA177" s="250"/>
      <c r="GHB177" s="250"/>
      <c r="GHC177" s="250"/>
      <c r="GHD177" s="250"/>
      <c r="GHE177" s="250"/>
      <c r="GHF177" s="250"/>
      <c r="GHG177" s="250"/>
      <c r="GHH177" s="250"/>
      <c r="GHI177" s="250"/>
      <c r="GHJ177" s="250"/>
      <c r="GHK177" s="250"/>
      <c r="GHL177" s="250"/>
      <c r="GHM177" s="250"/>
      <c r="GHN177" s="250"/>
      <c r="GHO177" s="250"/>
      <c r="GHP177" s="250"/>
      <c r="GHQ177" s="250"/>
      <c r="GHR177" s="250"/>
      <c r="GHS177" s="250"/>
      <c r="GHT177" s="250"/>
      <c r="GHU177" s="250"/>
      <c r="GHV177" s="250"/>
      <c r="GHW177" s="250"/>
      <c r="GHX177" s="250"/>
      <c r="GHY177" s="250"/>
      <c r="GHZ177" s="250"/>
      <c r="GIA177" s="250"/>
      <c r="GIB177" s="250"/>
      <c r="GIC177" s="250"/>
      <c r="GID177" s="250"/>
      <c r="GIE177" s="250"/>
      <c r="GIF177" s="250"/>
      <c r="GIG177" s="250"/>
      <c r="GIH177" s="250"/>
      <c r="GII177" s="250"/>
      <c r="GIJ177" s="250"/>
      <c r="GIK177" s="250"/>
      <c r="GIL177" s="250"/>
      <c r="GIM177" s="250"/>
      <c r="GIN177" s="250"/>
      <c r="GIO177" s="250"/>
      <c r="GIP177" s="250"/>
      <c r="GIQ177" s="250"/>
      <c r="GIR177" s="250"/>
      <c r="GIS177" s="250"/>
      <c r="GIT177" s="250"/>
      <c r="GIU177" s="250"/>
      <c r="GIV177" s="250"/>
      <c r="GIW177" s="250"/>
      <c r="GIX177" s="250"/>
      <c r="GIY177" s="250"/>
      <c r="GIZ177" s="250"/>
      <c r="GJA177" s="250"/>
      <c r="GJB177" s="250"/>
      <c r="GJC177" s="250"/>
      <c r="GJD177" s="250"/>
      <c r="GJE177" s="250"/>
      <c r="GJF177" s="250"/>
      <c r="GJG177" s="250"/>
      <c r="GJH177" s="250"/>
      <c r="GJI177" s="250"/>
      <c r="GJJ177" s="250"/>
      <c r="GJK177" s="250"/>
      <c r="GJL177" s="250"/>
      <c r="GJM177" s="250"/>
      <c r="GJN177" s="250"/>
      <c r="GJO177" s="250"/>
      <c r="GJP177" s="250"/>
      <c r="GJQ177" s="250"/>
      <c r="GJR177" s="250"/>
      <c r="GJS177" s="250"/>
      <c r="GJT177" s="250"/>
      <c r="GJU177" s="250"/>
      <c r="GJV177" s="250"/>
      <c r="GJW177" s="250"/>
      <c r="GJX177" s="250"/>
      <c r="GJY177" s="250"/>
      <c r="GJZ177" s="250"/>
      <c r="GKA177" s="250"/>
      <c r="GKB177" s="250"/>
      <c r="GKC177" s="250"/>
      <c r="GKD177" s="250"/>
      <c r="GKE177" s="250"/>
      <c r="GKF177" s="250"/>
      <c r="GKG177" s="250"/>
      <c r="GKH177" s="250"/>
      <c r="GKI177" s="250"/>
      <c r="GKJ177" s="250"/>
      <c r="GKK177" s="250"/>
      <c r="GKL177" s="250"/>
      <c r="GKM177" s="250"/>
      <c r="GKN177" s="250"/>
      <c r="GKO177" s="250"/>
      <c r="GKP177" s="250"/>
      <c r="GKQ177" s="250"/>
      <c r="GKR177" s="250"/>
      <c r="GKS177" s="250"/>
      <c r="GKT177" s="250"/>
      <c r="GKU177" s="250"/>
      <c r="GKV177" s="250"/>
      <c r="GKW177" s="250"/>
      <c r="GKX177" s="250"/>
      <c r="GKY177" s="250"/>
      <c r="GKZ177" s="250"/>
      <c r="GLA177" s="250"/>
      <c r="GLB177" s="250"/>
      <c r="GLC177" s="250"/>
      <c r="GLD177" s="250"/>
      <c r="GLE177" s="250"/>
      <c r="GLF177" s="250"/>
      <c r="GLG177" s="250"/>
      <c r="GLH177" s="250"/>
      <c r="GLI177" s="250"/>
      <c r="GLJ177" s="250"/>
      <c r="GLK177" s="250"/>
      <c r="GLL177" s="250"/>
      <c r="GLM177" s="250"/>
      <c r="GLN177" s="250"/>
      <c r="GLO177" s="250"/>
      <c r="GLP177" s="250"/>
      <c r="GLQ177" s="250"/>
      <c r="GLR177" s="250"/>
      <c r="GLS177" s="250"/>
      <c r="GLT177" s="250"/>
      <c r="GLU177" s="250"/>
      <c r="GLV177" s="250"/>
      <c r="GLW177" s="250"/>
      <c r="GLX177" s="250"/>
      <c r="GLY177" s="250"/>
      <c r="GLZ177" s="250"/>
      <c r="GMA177" s="250"/>
      <c r="GMB177" s="250"/>
      <c r="GMC177" s="250"/>
      <c r="GMD177" s="250"/>
      <c r="GME177" s="250"/>
      <c r="GMF177" s="250"/>
      <c r="GMG177" s="250"/>
      <c r="GMH177" s="250"/>
      <c r="GMI177" s="250"/>
      <c r="GMJ177" s="250"/>
      <c r="GMK177" s="250"/>
      <c r="GML177" s="250"/>
      <c r="GMM177" s="250"/>
      <c r="GMN177" s="250"/>
      <c r="GMO177" s="250"/>
      <c r="GMP177" s="250"/>
      <c r="GMQ177" s="250"/>
      <c r="GMR177" s="250"/>
      <c r="GMS177" s="250"/>
      <c r="GMT177" s="250"/>
      <c r="GMU177" s="250"/>
      <c r="GMV177" s="250"/>
      <c r="GMW177" s="250"/>
      <c r="GMX177" s="250"/>
      <c r="GMY177" s="250"/>
      <c r="GMZ177" s="250"/>
      <c r="GNA177" s="250"/>
      <c r="GNB177" s="250"/>
      <c r="GNC177" s="250"/>
      <c r="GND177" s="250"/>
      <c r="GNE177" s="250"/>
      <c r="GNF177" s="250"/>
      <c r="GNG177" s="250"/>
      <c r="GNH177" s="250"/>
      <c r="GNI177" s="250"/>
      <c r="GNJ177" s="250"/>
      <c r="GNK177" s="250"/>
      <c r="GNL177" s="250"/>
      <c r="GNM177" s="250"/>
      <c r="GNN177" s="250"/>
      <c r="GNO177" s="250"/>
      <c r="GNP177" s="250"/>
      <c r="GNQ177" s="250"/>
      <c r="GNR177" s="250"/>
      <c r="GNS177" s="250"/>
      <c r="GNT177" s="250"/>
      <c r="GNU177" s="250"/>
      <c r="GNV177" s="250"/>
      <c r="GNW177" s="250"/>
      <c r="GNX177" s="250"/>
      <c r="GNY177" s="250"/>
      <c r="GNZ177" s="250"/>
      <c r="GOA177" s="250"/>
      <c r="GOB177" s="250"/>
      <c r="GOC177" s="250"/>
      <c r="GOD177" s="250"/>
      <c r="GOE177" s="250"/>
      <c r="GOF177" s="250"/>
      <c r="GOG177" s="250"/>
      <c r="GOH177" s="250"/>
      <c r="GOI177" s="250"/>
      <c r="GOJ177" s="250"/>
      <c r="GOK177" s="250"/>
      <c r="GOL177" s="250"/>
      <c r="GOM177" s="250"/>
      <c r="GON177" s="250"/>
      <c r="GOO177" s="250"/>
      <c r="GOP177" s="250"/>
      <c r="GOQ177" s="250"/>
      <c r="GOR177" s="250"/>
      <c r="GOS177" s="250"/>
      <c r="GOT177" s="250"/>
      <c r="GOU177" s="250"/>
      <c r="GOV177" s="250"/>
      <c r="GOW177" s="250"/>
      <c r="GOX177" s="250"/>
      <c r="GOY177" s="250"/>
      <c r="GOZ177" s="250"/>
      <c r="GPA177" s="250"/>
      <c r="GPB177" s="250"/>
      <c r="GPC177" s="250"/>
      <c r="GPD177" s="250"/>
      <c r="GPE177" s="250"/>
      <c r="GPF177" s="250"/>
      <c r="GPG177" s="250"/>
      <c r="GPH177" s="250"/>
      <c r="GPI177" s="250"/>
      <c r="GPJ177" s="250"/>
      <c r="GPK177" s="250"/>
      <c r="GPL177" s="250"/>
      <c r="GPM177" s="250"/>
      <c r="GPN177" s="250"/>
      <c r="GPO177" s="250"/>
      <c r="GPP177" s="250"/>
      <c r="GPQ177" s="250"/>
      <c r="GPR177" s="250"/>
      <c r="GPS177" s="250"/>
      <c r="GPT177" s="250"/>
      <c r="GPU177" s="250"/>
      <c r="GPV177" s="250"/>
      <c r="GPW177" s="250"/>
      <c r="GPX177" s="250"/>
      <c r="GPY177" s="250"/>
      <c r="GPZ177" s="250"/>
      <c r="GQA177" s="250"/>
      <c r="GQB177" s="250"/>
      <c r="GQC177" s="250"/>
      <c r="GQD177" s="250"/>
      <c r="GQE177" s="250"/>
      <c r="GQF177" s="250"/>
      <c r="GQG177" s="250"/>
      <c r="GQH177" s="250"/>
      <c r="GQI177" s="250"/>
      <c r="GQJ177" s="250"/>
      <c r="GQK177" s="250"/>
      <c r="GQL177" s="250"/>
      <c r="GQM177" s="250"/>
      <c r="GQN177" s="250"/>
      <c r="GQO177" s="250"/>
      <c r="GQP177" s="250"/>
      <c r="GQQ177" s="250"/>
      <c r="GQR177" s="250"/>
      <c r="GQS177" s="250"/>
      <c r="GQT177" s="250"/>
      <c r="GQU177" s="250"/>
      <c r="GQV177" s="250"/>
      <c r="GQW177" s="250"/>
      <c r="GQX177" s="250"/>
      <c r="GQY177" s="250"/>
      <c r="GQZ177" s="250"/>
      <c r="GRA177" s="250"/>
      <c r="GRB177" s="250"/>
      <c r="GRC177" s="250"/>
      <c r="GRD177" s="250"/>
      <c r="GRE177" s="250"/>
      <c r="GRF177" s="250"/>
      <c r="GRG177" s="250"/>
      <c r="GRH177" s="250"/>
      <c r="GRI177" s="250"/>
      <c r="GRJ177" s="250"/>
      <c r="GRK177" s="250"/>
      <c r="GRL177" s="250"/>
      <c r="GRM177" s="250"/>
      <c r="GRN177" s="250"/>
      <c r="GRO177" s="250"/>
      <c r="GRP177" s="250"/>
      <c r="GRQ177" s="250"/>
      <c r="GRR177" s="250"/>
      <c r="GRS177" s="250"/>
      <c r="GRT177" s="250"/>
      <c r="GRU177" s="250"/>
      <c r="GRV177" s="250"/>
      <c r="GRW177" s="250"/>
      <c r="GRX177" s="250"/>
      <c r="GRY177" s="250"/>
      <c r="GRZ177" s="250"/>
      <c r="GSA177" s="250"/>
      <c r="GSB177" s="250"/>
      <c r="GSC177" s="250"/>
      <c r="GSD177" s="250"/>
      <c r="GSE177" s="250"/>
      <c r="GSF177" s="250"/>
      <c r="GSG177" s="250"/>
      <c r="GSH177" s="250"/>
      <c r="GSI177" s="250"/>
      <c r="GSJ177" s="250"/>
      <c r="GSK177" s="250"/>
      <c r="GSL177" s="250"/>
      <c r="GSM177" s="250"/>
      <c r="GSN177" s="250"/>
      <c r="GSO177" s="250"/>
      <c r="GSP177" s="250"/>
      <c r="GSQ177" s="250"/>
      <c r="GSR177" s="250"/>
      <c r="GSS177" s="250"/>
      <c r="GST177" s="250"/>
      <c r="GSU177" s="250"/>
      <c r="GSV177" s="250"/>
      <c r="GSW177" s="250"/>
      <c r="GSX177" s="250"/>
      <c r="GSY177" s="250"/>
      <c r="GSZ177" s="250"/>
      <c r="GTA177" s="250"/>
      <c r="GTB177" s="250"/>
      <c r="GTC177" s="250"/>
      <c r="GTD177" s="250"/>
      <c r="GTE177" s="250"/>
      <c r="GTF177" s="250"/>
      <c r="GTG177" s="250"/>
      <c r="GTH177" s="250"/>
      <c r="GTI177" s="250"/>
      <c r="GTJ177" s="250"/>
      <c r="GTK177" s="250"/>
      <c r="GTL177" s="250"/>
      <c r="GTM177" s="250"/>
      <c r="GTN177" s="250"/>
      <c r="GTO177" s="250"/>
      <c r="GTP177" s="250"/>
      <c r="GTQ177" s="250"/>
      <c r="GTR177" s="250"/>
      <c r="GTS177" s="250"/>
      <c r="GTT177" s="250"/>
      <c r="GTU177" s="250"/>
      <c r="GTV177" s="250"/>
      <c r="GTW177" s="250"/>
      <c r="GTX177" s="250"/>
      <c r="GTY177" s="250"/>
      <c r="GTZ177" s="250"/>
      <c r="GUA177" s="250"/>
      <c r="GUB177" s="250"/>
      <c r="GUC177" s="250"/>
      <c r="GUD177" s="250"/>
      <c r="GUE177" s="250"/>
      <c r="GUF177" s="250"/>
      <c r="GUG177" s="250"/>
      <c r="GUH177" s="250"/>
      <c r="GUI177" s="250"/>
      <c r="GUJ177" s="250"/>
      <c r="GUK177" s="250"/>
      <c r="GUL177" s="250"/>
      <c r="GUM177" s="250"/>
      <c r="GUN177" s="250"/>
      <c r="GUO177" s="250"/>
      <c r="GUP177" s="250"/>
      <c r="GUQ177" s="250"/>
      <c r="GUR177" s="250"/>
      <c r="GUS177" s="250"/>
      <c r="GUT177" s="250"/>
      <c r="GUU177" s="250"/>
      <c r="GUV177" s="250"/>
      <c r="GUW177" s="250"/>
      <c r="GUX177" s="250"/>
      <c r="GUY177" s="250"/>
      <c r="GUZ177" s="250"/>
      <c r="GVA177" s="250"/>
      <c r="GVB177" s="250"/>
      <c r="GVC177" s="250"/>
      <c r="GVD177" s="250"/>
      <c r="GVE177" s="250"/>
      <c r="GVF177" s="250"/>
      <c r="GVG177" s="250"/>
      <c r="GVH177" s="250"/>
      <c r="GVI177" s="250"/>
      <c r="GVJ177" s="250"/>
      <c r="GVK177" s="250"/>
      <c r="GVL177" s="250"/>
      <c r="GVM177" s="250"/>
      <c r="GVN177" s="250"/>
      <c r="GVO177" s="250"/>
      <c r="GVP177" s="250"/>
      <c r="GVQ177" s="250"/>
      <c r="GVR177" s="250"/>
      <c r="GVS177" s="250"/>
      <c r="GVT177" s="250"/>
      <c r="GVU177" s="250"/>
      <c r="GVV177" s="250"/>
      <c r="GVW177" s="250"/>
      <c r="GVX177" s="250"/>
      <c r="GVY177" s="250"/>
      <c r="GVZ177" s="250"/>
      <c r="GWA177" s="250"/>
      <c r="GWB177" s="250"/>
      <c r="GWC177" s="250"/>
      <c r="GWD177" s="250"/>
      <c r="GWE177" s="250"/>
      <c r="GWF177" s="250"/>
      <c r="GWG177" s="250"/>
      <c r="GWH177" s="250"/>
      <c r="GWI177" s="250"/>
      <c r="GWJ177" s="250"/>
      <c r="GWK177" s="250"/>
      <c r="GWL177" s="250"/>
      <c r="GWM177" s="250"/>
      <c r="GWN177" s="250"/>
      <c r="GWO177" s="250"/>
      <c r="GWP177" s="250"/>
      <c r="GWQ177" s="250"/>
      <c r="GWR177" s="250"/>
      <c r="GWS177" s="250"/>
      <c r="GWT177" s="250"/>
      <c r="GWU177" s="250"/>
      <c r="GWV177" s="250"/>
      <c r="GWW177" s="250"/>
      <c r="GWX177" s="250"/>
      <c r="GWY177" s="250"/>
      <c r="GWZ177" s="250"/>
      <c r="GXA177" s="250"/>
      <c r="GXB177" s="250"/>
      <c r="GXC177" s="250"/>
      <c r="GXD177" s="250"/>
      <c r="GXE177" s="250"/>
      <c r="GXF177" s="250"/>
      <c r="GXG177" s="250"/>
      <c r="GXH177" s="250"/>
      <c r="GXI177" s="250"/>
      <c r="GXJ177" s="250"/>
      <c r="GXK177" s="250"/>
      <c r="GXL177" s="250"/>
      <c r="GXM177" s="250"/>
      <c r="GXN177" s="250"/>
      <c r="GXO177" s="250"/>
      <c r="GXP177" s="250"/>
      <c r="GXQ177" s="250"/>
      <c r="GXR177" s="250"/>
      <c r="GXS177" s="250"/>
      <c r="GXT177" s="250"/>
      <c r="GXU177" s="250"/>
      <c r="GXV177" s="250"/>
      <c r="GXW177" s="250"/>
      <c r="GXX177" s="250"/>
      <c r="GXY177" s="250"/>
      <c r="GXZ177" s="250"/>
      <c r="GYA177" s="250"/>
      <c r="GYB177" s="250"/>
      <c r="GYC177" s="250"/>
      <c r="GYD177" s="250"/>
      <c r="GYE177" s="250"/>
      <c r="GYF177" s="250"/>
      <c r="GYG177" s="250"/>
      <c r="GYH177" s="250"/>
      <c r="GYI177" s="250"/>
      <c r="GYJ177" s="250"/>
      <c r="GYK177" s="250"/>
      <c r="GYL177" s="250"/>
      <c r="GYM177" s="250"/>
      <c r="GYN177" s="250"/>
      <c r="GYO177" s="250"/>
      <c r="GYP177" s="250"/>
      <c r="GYQ177" s="250"/>
      <c r="GYR177" s="250"/>
      <c r="GYS177" s="250"/>
      <c r="GYT177" s="250"/>
      <c r="GYU177" s="250"/>
      <c r="GYV177" s="250"/>
      <c r="GYW177" s="250"/>
      <c r="GYX177" s="250"/>
      <c r="GYY177" s="250"/>
      <c r="GYZ177" s="250"/>
      <c r="GZA177" s="250"/>
      <c r="GZB177" s="250"/>
      <c r="GZC177" s="250"/>
      <c r="GZD177" s="250"/>
      <c r="GZE177" s="250"/>
      <c r="GZF177" s="250"/>
      <c r="GZG177" s="250"/>
      <c r="GZH177" s="250"/>
      <c r="GZI177" s="250"/>
      <c r="GZJ177" s="250"/>
      <c r="GZK177" s="250"/>
      <c r="GZL177" s="250"/>
      <c r="GZM177" s="250"/>
      <c r="GZN177" s="250"/>
      <c r="GZO177" s="250"/>
      <c r="GZP177" s="250"/>
      <c r="GZQ177" s="250"/>
      <c r="GZR177" s="250"/>
      <c r="GZS177" s="250"/>
      <c r="GZT177" s="250"/>
      <c r="GZU177" s="250"/>
      <c r="GZV177" s="250"/>
      <c r="GZW177" s="250"/>
      <c r="GZX177" s="250"/>
      <c r="GZY177" s="250"/>
      <c r="GZZ177" s="250"/>
      <c r="HAA177" s="250"/>
      <c r="HAB177" s="250"/>
      <c r="HAC177" s="250"/>
      <c r="HAD177" s="250"/>
      <c r="HAE177" s="250"/>
      <c r="HAF177" s="250"/>
      <c r="HAG177" s="250"/>
      <c r="HAH177" s="250"/>
      <c r="HAI177" s="250"/>
      <c r="HAJ177" s="250"/>
      <c r="HAK177" s="250"/>
      <c r="HAL177" s="250"/>
      <c r="HAM177" s="250"/>
      <c r="HAN177" s="250"/>
      <c r="HAO177" s="250"/>
      <c r="HAP177" s="250"/>
      <c r="HAQ177" s="250"/>
      <c r="HAR177" s="250"/>
      <c r="HAS177" s="250"/>
      <c r="HAT177" s="250"/>
      <c r="HAU177" s="250"/>
      <c r="HAV177" s="250"/>
      <c r="HAW177" s="250"/>
      <c r="HAX177" s="250"/>
      <c r="HAY177" s="250"/>
      <c r="HAZ177" s="250"/>
      <c r="HBA177" s="250"/>
      <c r="HBB177" s="250"/>
      <c r="HBC177" s="250"/>
      <c r="HBD177" s="250"/>
      <c r="HBE177" s="250"/>
      <c r="HBF177" s="250"/>
      <c r="HBG177" s="250"/>
      <c r="HBH177" s="250"/>
      <c r="HBI177" s="250"/>
      <c r="HBJ177" s="250"/>
      <c r="HBK177" s="250"/>
      <c r="HBL177" s="250"/>
      <c r="HBM177" s="250"/>
      <c r="HBN177" s="250"/>
      <c r="HBO177" s="250"/>
      <c r="HBP177" s="250"/>
      <c r="HBQ177" s="250"/>
      <c r="HBR177" s="250"/>
      <c r="HBS177" s="250"/>
      <c r="HBT177" s="250"/>
      <c r="HBU177" s="250"/>
      <c r="HBV177" s="250"/>
      <c r="HBW177" s="250"/>
      <c r="HBX177" s="250"/>
      <c r="HBY177" s="250"/>
      <c r="HBZ177" s="250"/>
      <c r="HCA177" s="250"/>
      <c r="HCB177" s="250"/>
      <c r="HCC177" s="250"/>
      <c r="HCD177" s="250"/>
      <c r="HCE177" s="250"/>
      <c r="HCF177" s="250"/>
      <c r="HCG177" s="250"/>
      <c r="HCH177" s="250"/>
      <c r="HCI177" s="250"/>
      <c r="HCJ177" s="250"/>
      <c r="HCK177" s="250"/>
      <c r="HCL177" s="250"/>
      <c r="HCM177" s="250"/>
      <c r="HCN177" s="250"/>
      <c r="HCO177" s="250"/>
      <c r="HCP177" s="250"/>
      <c r="HCQ177" s="250"/>
      <c r="HCR177" s="250"/>
      <c r="HCS177" s="250"/>
      <c r="HCT177" s="250"/>
      <c r="HCU177" s="250"/>
      <c r="HCV177" s="250"/>
      <c r="HCW177" s="250"/>
      <c r="HCX177" s="250"/>
      <c r="HCY177" s="250"/>
      <c r="HCZ177" s="250"/>
      <c r="HDA177" s="250"/>
      <c r="HDB177" s="250"/>
      <c r="HDC177" s="250"/>
      <c r="HDD177" s="250"/>
      <c r="HDE177" s="250"/>
      <c r="HDF177" s="250"/>
      <c r="HDG177" s="250"/>
      <c r="HDH177" s="250"/>
      <c r="HDI177" s="250"/>
      <c r="HDJ177" s="250"/>
      <c r="HDK177" s="250"/>
      <c r="HDL177" s="250"/>
      <c r="HDM177" s="250"/>
      <c r="HDN177" s="250"/>
      <c r="HDO177" s="250"/>
      <c r="HDP177" s="250"/>
      <c r="HDQ177" s="250"/>
      <c r="HDR177" s="250"/>
      <c r="HDS177" s="250"/>
      <c r="HDT177" s="250"/>
      <c r="HDU177" s="250"/>
      <c r="HDV177" s="250"/>
      <c r="HDW177" s="250"/>
      <c r="HDX177" s="250"/>
      <c r="HDY177" s="250"/>
      <c r="HDZ177" s="250"/>
      <c r="HEA177" s="250"/>
      <c r="HEB177" s="250"/>
      <c r="HEC177" s="250"/>
      <c r="HED177" s="250"/>
      <c r="HEE177" s="250"/>
      <c r="HEF177" s="250"/>
      <c r="HEG177" s="250"/>
      <c r="HEH177" s="250"/>
      <c r="HEI177" s="250"/>
      <c r="HEJ177" s="250"/>
      <c r="HEK177" s="250"/>
      <c r="HEL177" s="250"/>
      <c r="HEM177" s="250"/>
      <c r="HEN177" s="250"/>
      <c r="HEO177" s="250"/>
      <c r="HEP177" s="250"/>
      <c r="HEQ177" s="250"/>
      <c r="HER177" s="250"/>
      <c r="HES177" s="250"/>
      <c r="HET177" s="250"/>
      <c r="HEU177" s="250"/>
      <c r="HEV177" s="250"/>
      <c r="HEW177" s="250"/>
      <c r="HEX177" s="250"/>
      <c r="HEY177" s="250"/>
      <c r="HEZ177" s="250"/>
      <c r="HFA177" s="250"/>
      <c r="HFB177" s="250"/>
      <c r="HFC177" s="250"/>
      <c r="HFD177" s="250"/>
      <c r="HFE177" s="250"/>
      <c r="HFF177" s="250"/>
      <c r="HFG177" s="250"/>
      <c r="HFH177" s="250"/>
      <c r="HFI177" s="250"/>
      <c r="HFJ177" s="250"/>
      <c r="HFK177" s="250"/>
      <c r="HFL177" s="250"/>
      <c r="HFM177" s="250"/>
      <c r="HFN177" s="250"/>
      <c r="HFO177" s="250"/>
      <c r="HFP177" s="250"/>
      <c r="HFQ177" s="250"/>
      <c r="HFR177" s="250"/>
      <c r="HFS177" s="250"/>
      <c r="HFT177" s="250"/>
      <c r="HFU177" s="250"/>
      <c r="HFV177" s="250"/>
      <c r="HFW177" s="250"/>
      <c r="HFX177" s="250"/>
      <c r="HFY177" s="250"/>
      <c r="HFZ177" s="250"/>
      <c r="HGA177" s="250"/>
      <c r="HGB177" s="250"/>
      <c r="HGC177" s="250"/>
      <c r="HGD177" s="250"/>
      <c r="HGE177" s="250"/>
      <c r="HGF177" s="250"/>
      <c r="HGG177" s="250"/>
      <c r="HGH177" s="250"/>
      <c r="HGI177" s="250"/>
      <c r="HGJ177" s="250"/>
      <c r="HGK177" s="250"/>
      <c r="HGL177" s="250"/>
      <c r="HGM177" s="250"/>
      <c r="HGN177" s="250"/>
      <c r="HGO177" s="250"/>
      <c r="HGP177" s="250"/>
      <c r="HGQ177" s="250"/>
      <c r="HGR177" s="250"/>
      <c r="HGS177" s="250"/>
      <c r="HGT177" s="250"/>
      <c r="HGU177" s="250"/>
      <c r="HGV177" s="250"/>
      <c r="HGW177" s="250"/>
      <c r="HGX177" s="250"/>
      <c r="HGY177" s="250"/>
      <c r="HGZ177" s="250"/>
      <c r="HHA177" s="250"/>
      <c r="HHB177" s="250"/>
      <c r="HHC177" s="250"/>
      <c r="HHD177" s="250"/>
      <c r="HHE177" s="250"/>
      <c r="HHF177" s="250"/>
      <c r="HHG177" s="250"/>
      <c r="HHH177" s="250"/>
      <c r="HHI177" s="250"/>
      <c r="HHJ177" s="250"/>
      <c r="HHK177" s="250"/>
      <c r="HHL177" s="250"/>
      <c r="HHM177" s="250"/>
      <c r="HHN177" s="250"/>
      <c r="HHO177" s="250"/>
      <c r="HHP177" s="250"/>
      <c r="HHQ177" s="250"/>
      <c r="HHR177" s="250"/>
      <c r="HHS177" s="250"/>
      <c r="HHT177" s="250"/>
      <c r="HHU177" s="250"/>
      <c r="HHV177" s="250"/>
      <c r="HHW177" s="250"/>
      <c r="HHX177" s="250"/>
      <c r="HHY177" s="250"/>
      <c r="HHZ177" s="250"/>
      <c r="HIA177" s="250"/>
      <c r="HIB177" s="250"/>
      <c r="HIC177" s="250"/>
      <c r="HID177" s="250"/>
      <c r="HIE177" s="250"/>
      <c r="HIF177" s="250"/>
      <c r="HIG177" s="250"/>
      <c r="HIH177" s="250"/>
      <c r="HII177" s="250"/>
      <c r="HIJ177" s="250"/>
      <c r="HIK177" s="250"/>
      <c r="HIL177" s="250"/>
      <c r="HIM177" s="250"/>
      <c r="HIN177" s="250"/>
      <c r="HIO177" s="250"/>
      <c r="HIP177" s="250"/>
      <c r="HIQ177" s="250"/>
      <c r="HIR177" s="250"/>
      <c r="HIS177" s="250"/>
      <c r="HIT177" s="250"/>
      <c r="HIU177" s="250"/>
      <c r="HIV177" s="250"/>
      <c r="HIW177" s="250"/>
      <c r="HIX177" s="250"/>
      <c r="HIY177" s="250"/>
      <c r="HIZ177" s="250"/>
      <c r="HJA177" s="250"/>
      <c r="HJB177" s="250"/>
      <c r="HJC177" s="250"/>
      <c r="HJD177" s="250"/>
      <c r="HJE177" s="250"/>
      <c r="HJF177" s="250"/>
      <c r="HJG177" s="250"/>
      <c r="HJH177" s="250"/>
      <c r="HJI177" s="250"/>
      <c r="HJJ177" s="250"/>
      <c r="HJK177" s="250"/>
      <c r="HJL177" s="250"/>
      <c r="HJM177" s="250"/>
      <c r="HJN177" s="250"/>
      <c r="HJO177" s="250"/>
      <c r="HJP177" s="250"/>
      <c r="HJQ177" s="250"/>
      <c r="HJR177" s="250"/>
      <c r="HJS177" s="250"/>
      <c r="HJT177" s="250"/>
      <c r="HJU177" s="250"/>
      <c r="HJV177" s="250"/>
      <c r="HJW177" s="250"/>
      <c r="HJX177" s="250"/>
      <c r="HJY177" s="250"/>
      <c r="HJZ177" s="250"/>
      <c r="HKA177" s="250"/>
      <c r="HKB177" s="250"/>
      <c r="HKC177" s="250"/>
      <c r="HKD177" s="250"/>
      <c r="HKE177" s="250"/>
      <c r="HKF177" s="250"/>
      <c r="HKG177" s="250"/>
      <c r="HKH177" s="250"/>
      <c r="HKI177" s="250"/>
      <c r="HKJ177" s="250"/>
      <c r="HKK177" s="250"/>
      <c r="HKL177" s="250"/>
      <c r="HKM177" s="250"/>
      <c r="HKN177" s="250"/>
      <c r="HKO177" s="250"/>
      <c r="HKP177" s="250"/>
      <c r="HKQ177" s="250"/>
      <c r="HKR177" s="250"/>
      <c r="HKS177" s="250"/>
      <c r="HKT177" s="250"/>
      <c r="HKU177" s="250"/>
      <c r="HKV177" s="250"/>
      <c r="HKW177" s="250"/>
      <c r="HKX177" s="250"/>
      <c r="HKY177" s="250"/>
      <c r="HKZ177" s="250"/>
      <c r="HLA177" s="250"/>
      <c r="HLB177" s="250"/>
      <c r="HLC177" s="250"/>
      <c r="HLD177" s="250"/>
      <c r="HLE177" s="250"/>
      <c r="HLF177" s="250"/>
      <c r="HLG177" s="250"/>
      <c r="HLH177" s="250"/>
      <c r="HLI177" s="250"/>
      <c r="HLJ177" s="250"/>
      <c r="HLK177" s="250"/>
      <c r="HLL177" s="250"/>
      <c r="HLM177" s="250"/>
      <c r="HLN177" s="250"/>
      <c r="HLO177" s="250"/>
      <c r="HLP177" s="250"/>
      <c r="HLQ177" s="250"/>
      <c r="HLR177" s="250"/>
      <c r="HLS177" s="250"/>
      <c r="HLT177" s="250"/>
      <c r="HLU177" s="250"/>
      <c r="HLV177" s="250"/>
      <c r="HLW177" s="250"/>
      <c r="HLX177" s="250"/>
      <c r="HLY177" s="250"/>
      <c r="HLZ177" s="250"/>
      <c r="HMA177" s="250"/>
      <c r="HMB177" s="250"/>
      <c r="HMC177" s="250"/>
      <c r="HMD177" s="250"/>
      <c r="HME177" s="250"/>
      <c r="HMF177" s="250"/>
      <c r="HMG177" s="250"/>
      <c r="HMH177" s="250"/>
      <c r="HMI177" s="250"/>
      <c r="HMJ177" s="250"/>
      <c r="HMK177" s="250"/>
      <c r="HML177" s="250"/>
      <c r="HMM177" s="250"/>
      <c r="HMN177" s="250"/>
      <c r="HMO177" s="250"/>
      <c r="HMP177" s="250"/>
      <c r="HMQ177" s="250"/>
      <c r="HMR177" s="250"/>
      <c r="HMS177" s="250"/>
      <c r="HMT177" s="250"/>
      <c r="HMU177" s="250"/>
      <c r="HMV177" s="250"/>
      <c r="HMW177" s="250"/>
      <c r="HMX177" s="250"/>
      <c r="HMY177" s="250"/>
      <c r="HMZ177" s="250"/>
      <c r="HNA177" s="250"/>
      <c r="HNB177" s="250"/>
      <c r="HNC177" s="250"/>
      <c r="HND177" s="250"/>
      <c r="HNE177" s="250"/>
      <c r="HNF177" s="250"/>
      <c r="HNG177" s="250"/>
      <c r="HNH177" s="250"/>
      <c r="HNI177" s="250"/>
      <c r="HNJ177" s="250"/>
      <c r="HNK177" s="250"/>
      <c r="HNL177" s="250"/>
      <c r="HNM177" s="250"/>
      <c r="HNN177" s="250"/>
      <c r="HNO177" s="250"/>
      <c r="HNP177" s="250"/>
      <c r="HNQ177" s="250"/>
      <c r="HNR177" s="250"/>
      <c r="HNS177" s="250"/>
      <c r="HNT177" s="250"/>
      <c r="HNU177" s="250"/>
      <c r="HNV177" s="250"/>
      <c r="HNW177" s="250"/>
      <c r="HNX177" s="250"/>
      <c r="HNY177" s="250"/>
      <c r="HNZ177" s="250"/>
      <c r="HOA177" s="250"/>
      <c r="HOB177" s="250"/>
      <c r="HOC177" s="250"/>
      <c r="HOD177" s="250"/>
      <c r="HOE177" s="250"/>
      <c r="HOF177" s="250"/>
      <c r="HOG177" s="250"/>
      <c r="HOH177" s="250"/>
      <c r="HOI177" s="250"/>
      <c r="HOJ177" s="250"/>
      <c r="HOK177" s="250"/>
      <c r="HOL177" s="250"/>
      <c r="HOM177" s="250"/>
      <c r="HON177" s="250"/>
      <c r="HOO177" s="250"/>
      <c r="HOP177" s="250"/>
      <c r="HOQ177" s="250"/>
      <c r="HOR177" s="250"/>
      <c r="HOS177" s="250"/>
      <c r="HOT177" s="250"/>
      <c r="HOU177" s="250"/>
      <c r="HOV177" s="250"/>
      <c r="HOW177" s="250"/>
      <c r="HOX177" s="250"/>
      <c r="HOY177" s="250"/>
      <c r="HOZ177" s="250"/>
      <c r="HPA177" s="250"/>
      <c r="HPB177" s="250"/>
      <c r="HPC177" s="250"/>
      <c r="HPD177" s="250"/>
      <c r="HPE177" s="250"/>
      <c r="HPF177" s="250"/>
      <c r="HPG177" s="250"/>
      <c r="HPH177" s="250"/>
      <c r="HPI177" s="250"/>
      <c r="HPJ177" s="250"/>
      <c r="HPK177" s="250"/>
      <c r="HPL177" s="250"/>
      <c r="HPM177" s="250"/>
      <c r="HPN177" s="250"/>
      <c r="HPO177" s="250"/>
      <c r="HPP177" s="250"/>
      <c r="HPQ177" s="250"/>
      <c r="HPR177" s="250"/>
      <c r="HPS177" s="250"/>
      <c r="HPT177" s="250"/>
      <c r="HPU177" s="250"/>
      <c r="HPV177" s="250"/>
      <c r="HPW177" s="250"/>
      <c r="HPX177" s="250"/>
      <c r="HPY177" s="250"/>
      <c r="HPZ177" s="250"/>
      <c r="HQA177" s="250"/>
      <c r="HQB177" s="250"/>
      <c r="HQC177" s="250"/>
      <c r="HQD177" s="250"/>
      <c r="HQE177" s="250"/>
      <c r="HQF177" s="250"/>
      <c r="HQG177" s="250"/>
      <c r="HQH177" s="250"/>
      <c r="HQI177" s="250"/>
      <c r="HQJ177" s="250"/>
      <c r="HQK177" s="250"/>
      <c r="HQL177" s="250"/>
      <c r="HQM177" s="250"/>
      <c r="HQN177" s="250"/>
      <c r="HQO177" s="250"/>
      <c r="HQP177" s="250"/>
      <c r="HQQ177" s="250"/>
      <c r="HQR177" s="250"/>
      <c r="HQS177" s="250"/>
      <c r="HQT177" s="250"/>
      <c r="HQU177" s="250"/>
      <c r="HQV177" s="250"/>
      <c r="HQW177" s="250"/>
      <c r="HQX177" s="250"/>
      <c r="HQY177" s="250"/>
      <c r="HQZ177" s="250"/>
      <c r="HRA177" s="250"/>
      <c r="HRB177" s="250"/>
      <c r="HRC177" s="250"/>
      <c r="HRD177" s="250"/>
      <c r="HRE177" s="250"/>
      <c r="HRF177" s="250"/>
      <c r="HRG177" s="250"/>
      <c r="HRH177" s="250"/>
      <c r="HRI177" s="250"/>
      <c r="HRJ177" s="250"/>
      <c r="HRK177" s="250"/>
      <c r="HRL177" s="250"/>
      <c r="HRM177" s="250"/>
      <c r="HRN177" s="250"/>
      <c r="HRO177" s="250"/>
      <c r="HRP177" s="250"/>
      <c r="HRQ177" s="250"/>
      <c r="HRR177" s="250"/>
      <c r="HRS177" s="250"/>
      <c r="HRT177" s="250"/>
      <c r="HRU177" s="250"/>
      <c r="HRV177" s="250"/>
      <c r="HRW177" s="250"/>
      <c r="HRX177" s="250"/>
      <c r="HRY177" s="250"/>
      <c r="HRZ177" s="250"/>
      <c r="HSA177" s="250"/>
      <c r="HSB177" s="250"/>
      <c r="HSC177" s="250"/>
      <c r="HSD177" s="250"/>
      <c r="HSE177" s="250"/>
      <c r="HSF177" s="250"/>
      <c r="HSG177" s="250"/>
      <c r="HSH177" s="250"/>
      <c r="HSI177" s="250"/>
      <c r="HSJ177" s="250"/>
      <c r="HSK177" s="250"/>
      <c r="HSL177" s="250"/>
      <c r="HSM177" s="250"/>
      <c r="HSN177" s="250"/>
      <c r="HSO177" s="250"/>
      <c r="HSP177" s="250"/>
      <c r="HSQ177" s="250"/>
      <c r="HSR177" s="250"/>
      <c r="HSS177" s="250"/>
      <c r="HST177" s="250"/>
      <c r="HSU177" s="250"/>
      <c r="HSV177" s="250"/>
      <c r="HSW177" s="250"/>
      <c r="HSX177" s="250"/>
      <c r="HSY177" s="250"/>
      <c r="HSZ177" s="250"/>
      <c r="HTA177" s="250"/>
      <c r="HTB177" s="250"/>
      <c r="HTC177" s="250"/>
      <c r="HTD177" s="250"/>
      <c r="HTE177" s="250"/>
      <c r="HTF177" s="250"/>
      <c r="HTG177" s="250"/>
      <c r="HTH177" s="250"/>
      <c r="HTI177" s="250"/>
      <c r="HTJ177" s="250"/>
      <c r="HTK177" s="250"/>
      <c r="HTL177" s="250"/>
      <c r="HTM177" s="250"/>
      <c r="HTN177" s="250"/>
      <c r="HTO177" s="250"/>
      <c r="HTP177" s="250"/>
      <c r="HTQ177" s="250"/>
      <c r="HTR177" s="250"/>
      <c r="HTS177" s="250"/>
      <c r="HTT177" s="250"/>
      <c r="HTU177" s="250"/>
      <c r="HTV177" s="250"/>
      <c r="HTW177" s="250"/>
      <c r="HTX177" s="250"/>
      <c r="HTY177" s="250"/>
      <c r="HTZ177" s="250"/>
      <c r="HUA177" s="250"/>
      <c r="HUB177" s="250"/>
      <c r="HUC177" s="250"/>
      <c r="HUD177" s="250"/>
      <c r="HUE177" s="250"/>
      <c r="HUF177" s="250"/>
      <c r="HUG177" s="250"/>
      <c r="HUH177" s="250"/>
      <c r="HUI177" s="250"/>
      <c r="HUJ177" s="250"/>
      <c r="HUK177" s="250"/>
      <c r="HUL177" s="250"/>
      <c r="HUM177" s="250"/>
      <c r="HUN177" s="250"/>
      <c r="HUO177" s="250"/>
      <c r="HUP177" s="250"/>
      <c r="HUQ177" s="250"/>
      <c r="HUR177" s="250"/>
      <c r="HUS177" s="250"/>
      <c r="HUT177" s="250"/>
      <c r="HUU177" s="250"/>
      <c r="HUV177" s="250"/>
      <c r="HUW177" s="250"/>
      <c r="HUX177" s="250"/>
      <c r="HUY177" s="250"/>
      <c r="HUZ177" s="250"/>
      <c r="HVA177" s="250"/>
      <c r="HVB177" s="250"/>
      <c r="HVC177" s="250"/>
      <c r="HVD177" s="250"/>
      <c r="HVE177" s="250"/>
      <c r="HVF177" s="250"/>
      <c r="HVG177" s="250"/>
      <c r="HVH177" s="250"/>
      <c r="HVI177" s="250"/>
      <c r="HVJ177" s="250"/>
      <c r="HVK177" s="250"/>
      <c r="HVL177" s="250"/>
      <c r="HVM177" s="250"/>
      <c r="HVN177" s="250"/>
      <c r="HVO177" s="250"/>
      <c r="HVP177" s="250"/>
      <c r="HVQ177" s="250"/>
      <c r="HVR177" s="250"/>
      <c r="HVS177" s="250"/>
      <c r="HVT177" s="250"/>
      <c r="HVU177" s="250"/>
      <c r="HVV177" s="250"/>
      <c r="HVW177" s="250"/>
      <c r="HVX177" s="250"/>
      <c r="HVY177" s="250"/>
      <c r="HVZ177" s="250"/>
      <c r="HWA177" s="250"/>
      <c r="HWB177" s="250"/>
      <c r="HWC177" s="250"/>
      <c r="HWD177" s="250"/>
      <c r="HWE177" s="250"/>
      <c r="HWF177" s="250"/>
      <c r="HWG177" s="250"/>
      <c r="HWH177" s="250"/>
      <c r="HWI177" s="250"/>
      <c r="HWJ177" s="250"/>
      <c r="HWK177" s="250"/>
      <c r="HWL177" s="250"/>
      <c r="HWM177" s="250"/>
      <c r="HWN177" s="250"/>
      <c r="HWO177" s="250"/>
      <c r="HWP177" s="250"/>
      <c r="HWQ177" s="250"/>
      <c r="HWR177" s="250"/>
      <c r="HWS177" s="250"/>
      <c r="HWT177" s="250"/>
      <c r="HWU177" s="250"/>
      <c r="HWV177" s="250"/>
      <c r="HWW177" s="250"/>
      <c r="HWX177" s="250"/>
      <c r="HWY177" s="250"/>
      <c r="HWZ177" s="250"/>
      <c r="HXA177" s="250"/>
      <c r="HXB177" s="250"/>
      <c r="HXC177" s="250"/>
      <c r="HXD177" s="250"/>
      <c r="HXE177" s="250"/>
      <c r="HXF177" s="250"/>
      <c r="HXG177" s="250"/>
      <c r="HXH177" s="250"/>
      <c r="HXI177" s="250"/>
      <c r="HXJ177" s="250"/>
      <c r="HXK177" s="250"/>
      <c r="HXL177" s="250"/>
      <c r="HXM177" s="250"/>
      <c r="HXN177" s="250"/>
      <c r="HXO177" s="250"/>
      <c r="HXP177" s="250"/>
      <c r="HXQ177" s="250"/>
      <c r="HXR177" s="250"/>
      <c r="HXS177" s="250"/>
      <c r="HXT177" s="250"/>
      <c r="HXU177" s="250"/>
      <c r="HXV177" s="250"/>
      <c r="HXW177" s="250"/>
      <c r="HXX177" s="250"/>
      <c r="HXY177" s="250"/>
      <c r="HXZ177" s="250"/>
      <c r="HYA177" s="250"/>
      <c r="HYB177" s="250"/>
      <c r="HYC177" s="250"/>
      <c r="HYD177" s="250"/>
      <c r="HYE177" s="250"/>
      <c r="HYF177" s="250"/>
      <c r="HYG177" s="250"/>
      <c r="HYH177" s="250"/>
      <c r="HYI177" s="250"/>
      <c r="HYJ177" s="250"/>
      <c r="HYK177" s="250"/>
      <c r="HYL177" s="250"/>
      <c r="HYM177" s="250"/>
      <c r="HYN177" s="250"/>
      <c r="HYO177" s="250"/>
      <c r="HYP177" s="250"/>
      <c r="HYQ177" s="250"/>
      <c r="HYR177" s="250"/>
      <c r="HYS177" s="250"/>
      <c r="HYT177" s="250"/>
      <c r="HYU177" s="250"/>
      <c r="HYV177" s="250"/>
      <c r="HYW177" s="250"/>
      <c r="HYX177" s="250"/>
      <c r="HYY177" s="250"/>
      <c r="HYZ177" s="250"/>
      <c r="HZA177" s="250"/>
      <c r="HZB177" s="250"/>
      <c r="HZC177" s="250"/>
      <c r="HZD177" s="250"/>
      <c r="HZE177" s="250"/>
      <c r="HZF177" s="250"/>
      <c r="HZG177" s="250"/>
      <c r="HZH177" s="250"/>
      <c r="HZI177" s="250"/>
      <c r="HZJ177" s="250"/>
      <c r="HZK177" s="250"/>
      <c r="HZL177" s="250"/>
      <c r="HZM177" s="250"/>
      <c r="HZN177" s="250"/>
      <c r="HZO177" s="250"/>
      <c r="HZP177" s="250"/>
      <c r="HZQ177" s="250"/>
      <c r="HZR177" s="250"/>
      <c r="HZS177" s="250"/>
      <c r="HZT177" s="250"/>
      <c r="HZU177" s="250"/>
      <c r="HZV177" s="250"/>
      <c r="HZW177" s="250"/>
      <c r="HZX177" s="250"/>
      <c r="HZY177" s="250"/>
      <c r="HZZ177" s="250"/>
      <c r="IAA177" s="250"/>
      <c r="IAB177" s="250"/>
      <c r="IAC177" s="250"/>
      <c r="IAD177" s="250"/>
      <c r="IAE177" s="250"/>
      <c r="IAF177" s="250"/>
      <c r="IAG177" s="250"/>
      <c r="IAH177" s="250"/>
      <c r="IAI177" s="250"/>
      <c r="IAJ177" s="250"/>
      <c r="IAK177" s="250"/>
      <c r="IAL177" s="250"/>
      <c r="IAM177" s="250"/>
      <c r="IAN177" s="250"/>
      <c r="IAO177" s="250"/>
      <c r="IAP177" s="250"/>
      <c r="IAQ177" s="250"/>
      <c r="IAR177" s="250"/>
      <c r="IAS177" s="250"/>
      <c r="IAT177" s="250"/>
      <c r="IAU177" s="250"/>
      <c r="IAV177" s="250"/>
      <c r="IAW177" s="250"/>
      <c r="IAX177" s="250"/>
      <c r="IAY177" s="250"/>
      <c r="IAZ177" s="250"/>
      <c r="IBA177" s="250"/>
      <c r="IBB177" s="250"/>
      <c r="IBC177" s="250"/>
      <c r="IBD177" s="250"/>
      <c r="IBE177" s="250"/>
      <c r="IBF177" s="250"/>
      <c r="IBG177" s="250"/>
      <c r="IBH177" s="250"/>
      <c r="IBI177" s="250"/>
      <c r="IBJ177" s="250"/>
      <c r="IBK177" s="250"/>
      <c r="IBL177" s="250"/>
      <c r="IBM177" s="250"/>
      <c r="IBN177" s="250"/>
      <c r="IBO177" s="250"/>
      <c r="IBP177" s="250"/>
      <c r="IBQ177" s="250"/>
      <c r="IBR177" s="250"/>
      <c r="IBS177" s="250"/>
      <c r="IBT177" s="250"/>
      <c r="IBU177" s="250"/>
      <c r="IBV177" s="250"/>
      <c r="IBW177" s="250"/>
      <c r="IBX177" s="250"/>
      <c r="IBY177" s="250"/>
      <c r="IBZ177" s="250"/>
      <c r="ICA177" s="250"/>
      <c r="ICB177" s="250"/>
      <c r="ICC177" s="250"/>
      <c r="ICD177" s="250"/>
      <c r="ICE177" s="250"/>
      <c r="ICF177" s="250"/>
      <c r="ICG177" s="250"/>
      <c r="ICH177" s="250"/>
      <c r="ICI177" s="250"/>
      <c r="ICJ177" s="250"/>
      <c r="ICK177" s="250"/>
      <c r="ICL177" s="250"/>
      <c r="ICM177" s="250"/>
      <c r="ICN177" s="250"/>
      <c r="ICO177" s="250"/>
      <c r="ICP177" s="250"/>
      <c r="ICQ177" s="250"/>
      <c r="ICR177" s="250"/>
      <c r="ICS177" s="250"/>
      <c r="ICT177" s="250"/>
      <c r="ICU177" s="250"/>
      <c r="ICV177" s="250"/>
      <c r="ICW177" s="250"/>
      <c r="ICX177" s="250"/>
      <c r="ICY177" s="250"/>
      <c r="ICZ177" s="250"/>
      <c r="IDA177" s="250"/>
      <c r="IDB177" s="250"/>
      <c r="IDC177" s="250"/>
      <c r="IDD177" s="250"/>
      <c r="IDE177" s="250"/>
      <c r="IDF177" s="250"/>
      <c r="IDG177" s="250"/>
      <c r="IDH177" s="250"/>
      <c r="IDI177" s="250"/>
      <c r="IDJ177" s="250"/>
      <c r="IDK177" s="250"/>
      <c r="IDL177" s="250"/>
      <c r="IDM177" s="250"/>
      <c r="IDN177" s="250"/>
      <c r="IDO177" s="250"/>
      <c r="IDP177" s="250"/>
      <c r="IDQ177" s="250"/>
      <c r="IDR177" s="250"/>
      <c r="IDS177" s="250"/>
      <c r="IDT177" s="250"/>
      <c r="IDU177" s="250"/>
      <c r="IDV177" s="250"/>
      <c r="IDW177" s="250"/>
      <c r="IDX177" s="250"/>
      <c r="IDY177" s="250"/>
      <c r="IDZ177" s="250"/>
      <c r="IEA177" s="250"/>
      <c r="IEB177" s="250"/>
      <c r="IEC177" s="250"/>
      <c r="IED177" s="250"/>
      <c r="IEE177" s="250"/>
      <c r="IEF177" s="250"/>
      <c r="IEG177" s="250"/>
      <c r="IEH177" s="250"/>
      <c r="IEI177" s="250"/>
      <c r="IEJ177" s="250"/>
      <c r="IEK177" s="250"/>
      <c r="IEL177" s="250"/>
      <c r="IEM177" s="250"/>
      <c r="IEN177" s="250"/>
      <c r="IEO177" s="250"/>
      <c r="IEP177" s="250"/>
      <c r="IEQ177" s="250"/>
      <c r="IER177" s="250"/>
      <c r="IES177" s="250"/>
      <c r="IET177" s="250"/>
      <c r="IEU177" s="250"/>
      <c r="IEV177" s="250"/>
      <c r="IEW177" s="250"/>
      <c r="IEX177" s="250"/>
      <c r="IEY177" s="250"/>
      <c r="IEZ177" s="250"/>
      <c r="IFA177" s="250"/>
      <c r="IFB177" s="250"/>
      <c r="IFC177" s="250"/>
      <c r="IFD177" s="250"/>
      <c r="IFE177" s="250"/>
      <c r="IFF177" s="250"/>
      <c r="IFG177" s="250"/>
      <c r="IFH177" s="250"/>
      <c r="IFI177" s="250"/>
      <c r="IFJ177" s="250"/>
      <c r="IFK177" s="250"/>
      <c r="IFL177" s="250"/>
      <c r="IFM177" s="250"/>
      <c r="IFN177" s="250"/>
      <c r="IFO177" s="250"/>
      <c r="IFP177" s="250"/>
      <c r="IFQ177" s="250"/>
      <c r="IFR177" s="250"/>
      <c r="IFS177" s="250"/>
      <c r="IFT177" s="250"/>
      <c r="IFU177" s="250"/>
      <c r="IFV177" s="250"/>
      <c r="IFW177" s="250"/>
      <c r="IFX177" s="250"/>
      <c r="IFY177" s="250"/>
      <c r="IFZ177" s="250"/>
      <c r="IGA177" s="250"/>
      <c r="IGB177" s="250"/>
      <c r="IGC177" s="250"/>
      <c r="IGD177" s="250"/>
      <c r="IGE177" s="250"/>
      <c r="IGF177" s="250"/>
      <c r="IGG177" s="250"/>
      <c r="IGH177" s="250"/>
      <c r="IGI177" s="250"/>
      <c r="IGJ177" s="250"/>
      <c r="IGK177" s="250"/>
      <c r="IGL177" s="250"/>
      <c r="IGM177" s="250"/>
      <c r="IGN177" s="250"/>
      <c r="IGO177" s="250"/>
      <c r="IGP177" s="250"/>
      <c r="IGQ177" s="250"/>
      <c r="IGR177" s="250"/>
      <c r="IGS177" s="250"/>
      <c r="IGT177" s="250"/>
      <c r="IGU177" s="250"/>
      <c r="IGV177" s="250"/>
      <c r="IGW177" s="250"/>
      <c r="IGX177" s="250"/>
      <c r="IGY177" s="250"/>
      <c r="IGZ177" s="250"/>
      <c r="IHA177" s="250"/>
      <c r="IHB177" s="250"/>
      <c r="IHC177" s="250"/>
      <c r="IHD177" s="250"/>
      <c r="IHE177" s="250"/>
      <c r="IHF177" s="250"/>
      <c r="IHG177" s="250"/>
      <c r="IHH177" s="250"/>
      <c r="IHI177" s="250"/>
      <c r="IHJ177" s="250"/>
      <c r="IHK177" s="250"/>
      <c r="IHL177" s="250"/>
      <c r="IHM177" s="250"/>
      <c r="IHN177" s="250"/>
      <c r="IHO177" s="250"/>
      <c r="IHP177" s="250"/>
      <c r="IHQ177" s="250"/>
      <c r="IHR177" s="250"/>
      <c r="IHS177" s="250"/>
      <c r="IHT177" s="250"/>
      <c r="IHU177" s="250"/>
      <c r="IHV177" s="250"/>
      <c r="IHW177" s="250"/>
      <c r="IHX177" s="250"/>
      <c r="IHY177" s="250"/>
      <c r="IHZ177" s="250"/>
      <c r="IIA177" s="250"/>
      <c r="IIB177" s="250"/>
      <c r="IIC177" s="250"/>
      <c r="IID177" s="250"/>
      <c r="IIE177" s="250"/>
      <c r="IIF177" s="250"/>
      <c r="IIG177" s="250"/>
      <c r="IIH177" s="250"/>
      <c r="III177" s="250"/>
      <c r="IIJ177" s="250"/>
      <c r="IIK177" s="250"/>
      <c r="IIL177" s="250"/>
      <c r="IIM177" s="250"/>
      <c r="IIN177" s="250"/>
      <c r="IIO177" s="250"/>
      <c r="IIP177" s="250"/>
      <c r="IIQ177" s="250"/>
      <c r="IIR177" s="250"/>
      <c r="IIS177" s="250"/>
      <c r="IIT177" s="250"/>
      <c r="IIU177" s="250"/>
      <c r="IIV177" s="250"/>
      <c r="IIW177" s="250"/>
      <c r="IIX177" s="250"/>
      <c r="IIY177" s="250"/>
      <c r="IIZ177" s="250"/>
      <c r="IJA177" s="250"/>
      <c r="IJB177" s="250"/>
      <c r="IJC177" s="250"/>
      <c r="IJD177" s="250"/>
      <c r="IJE177" s="250"/>
      <c r="IJF177" s="250"/>
      <c r="IJG177" s="250"/>
      <c r="IJH177" s="250"/>
      <c r="IJI177" s="250"/>
      <c r="IJJ177" s="250"/>
      <c r="IJK177" s="250"/>
      <c r="IJL177" s="250"/>
      <c r="IJM177" s="250"/>
      <c r="IJN177" s="250"/>
      <c r="IJO177" s="250"/>
      <c r="IJP177" s="250"/>
      <c r="IJQ177" s="250"/>
      <c r="IJR177" s="250"/>
      <c r="IJS177" s="250"/>
      <c r="IJT177" s="250"/>
      <c r="IJU177" s="250"/>
      <c r="IJV177" s="250"/>
      <c r="IJW177" s="250"/>
      <c r="IJX177" s="250"/>
      <c r="IJY177" s="250"/>
      <c r="IJZ177" s="250"/>
      <c r="IKA177" s="250"/>
      <c r="IKB177" s="250"/>
      <c r="IKC177" s="250"/>
      <c r="IKD177" s="250"/>
      <c r="IKE177" s="250"/>
      <c r="IKF177" s="250"/>
      <c r="IKG177" s="250"/>
      <c r="IKH177" s="250"/>
      <c r="IKI177" s="250"/>
      <c r="IKJ177" s="250"/>
      <c r="IKK177" s="250"/>
      <c r="IKL177" s="250"/>
      <c r="IKM177" s="250"/>
      <c r="IKN177" s="250"/>
      <c r="IKO177" s="250"/>
      <c r="IKP177" s="250"/>
      <c r="IKQ177" s="250"/>
      <c r="IKR177" s="250"/>
      <c r="IKS177" s="250"/>
      <c r="IKT177" s="250"/>
      <c r="IKU177" s="250"/>
      <c r="IKV177" s="250"/>
      <c r="IKW177" s="250"/>
      <c r="IKX177" s="250"/>
      <c r="IKY177" s="250"/>
      <c r="IKZ177" s="250"/>
      <c r="ILA177" s="250"/>
      <c r="ILB177" s="250"/>
      <c r="ILC177" s="250"/>
      <c r="ILD177" s="250"/>
      <c r="ILE177" s="250"/>
      <c r="ILF177" s="250"/>
      <c r="ILG177" s="250"/>
      <c r="ILH177" s="250"/>
      <c r="ILI177" s="250"/>
      <c r="ILJ177" s="250"/>
      <c r="ILK177" s="250"/>
      <c r="ILL177" s="250"/>
      <c r="ILM177" s="250"/>
      <c r="ILN177" s="250"/>
      <c r="ILO177" s="250"/>
      <c r="ILP177" s="250"/>
      <c r="ILQ177" s="250"/>
      <c r="ILR177" s="250"/>
      <c r="ILS177" s="250"/>
      <c r="ILT177" s="250"/>
      <c r="ILU177" s="250"/>
      <c r="ILV177" s="250"/>
      <c r="ILW177" s="250"/>
      <c r="ILX177" s="250"/>
      <c r="ILY177" s="250"/>
      <c r="ILZ177" s="250"/>
      <c r="IMA177" s="250"/>
      <c r="IMB177" s="250"/>
      <c r="IMC177" s="250"/>
      <c r="IMD177" s="250"/>
      <c r="IME177" s="250"/>
      <c r="IMF177" s="250"/>
      <c r="IMG177" s="250"/>
      <c r="IMH177" s="250"/>
      <c r="IMI177" s="250"/>
      <c r="IMJ177" s="250"/>
      <c r="IMK177" s="250"/>
      <c r="IML177" s="250"/>
      <c r="IMM177" s="250"/>
      <c r="IMN177" s="250"/>
      <c r="IMO177" s="250"/>
      <c r="IMP177" s="250"/>
      <c r="IMQ177" s="250"/>
      <c r="IMR177" s="250"/>
      <c r="IMS177" s="250"/>
      <c r="IMT177" s="250"/>
      <c r="IMU177" s="250"/>
      <c r="IMV177" s="250"/>
      <c r="IMW177" s="250"/>
      <c r="IMX177" s="250"/>
      <c r="IMY177" s="250"/>
      <c r="IMZ177" s="250"/>
      <c r="INA177" s="250"/>
      <c r="INB177" s="250"/>
      <c r="INC177" s="250"/>
      <c r="IND177" s="250"/>
      <c r="INE177" s="250"/>
      <c r="INF177" s="250"/>
      <c r="ING177" s="250"/>
      <c r="INH177" s="250"/>
      <c r="INI177" s="250"/>
      <c r="INJ177" s="250"/>
      <c r="INK177" s="250"/>
      <c r="INL177" s="250"/>
      <c r="INM177" s="250"/>
      <c r="INN177" s="250"/>
      <c r="INO177" s="250"/>
      <c r="INP177" s="250"/>
      <c r="INQ177" s="250"/>
      <c r="INR177" s="250"/>
      <c r="INS177" s="250"/>
      <c r="INT177" s="250"/>
      <c r="INU177" s="250"/>
      <c r="INV177" s="250"/>
      <c r="INW177" s="250"/>
      <c r="INX177" s="250"/>
      <c r="INY177" s="250"/>
      <c r="INZ177" s="250"/>
      <c r="IOA177" s="250"/>
      <c r="IOB177" s="250"/>
      <c r="IOC177" s="250"/>
      <c r="IOD177" s="250"/>
      <c r="IOE177" s="250"/>
      <c r="IOF177" s="250"/>
      <c r="IOG177" s="250"/>
      <c r="IOH177" s="250"/>
      <c r="IOI177" s="250"/>
      <c r="IOJ177" s="250"/>
      <c r="IOK177" s="250"/>
      <c r="IOL177" s="250"/>
      <c r="IOM177" s="250"/>
      <c r="ION177" s="250"/>
      <c r="IOO177" s="250"/>
      <c r="IOP177" s="250"/>
      <c r="IOQ177" s="250"/>
      <c r="IOR177" s="250"/>
      <c r="IOS177" s="250"/>
      <c r="IOT177" s="250"/>
      <c r="IOU177" s="250"/>
      <c r="IOV177" s="250"/>
      <c r="IOW177" s="250"/>
      <c r="IOX177" s="250"/>
      <c r="IOY177" s="250"/>
      <c r="IOZ177" s="250"/>
      <c r="IPA177" s="250"/>
      <c r="IPB177" s="250"/>
      <c r="IPC177" s="250"/>
      <c r="IPD177" s="250"/>
      <c r="IPE177" s="250"/>
      <c r="IPF177" s="250"/>
      <c r="IPG177" s="250"/>
      <c r="IPH177" s="250"/>
      <c r="IPI177" s="250"/>
      <c r="IPJ177" s="250"/>
      <c r="IPK177" s="250"/>
      <c r="IPL177" s="250"/>
      <c r="IPM177" s="250"/>
      <c r="IPN177" s="250"/>
      <c r="IPO177" s="250"/>
      <c r="IPP177" s="250"/>
      <c r="IPQ177" s="250"/>
      <c r="IPR177" s="250"/>
      <c r="IPS177" s="250"/>
      <c r="IPT177" s="250"/>
      <c r="IPU177" s="250"/>
      <c r="IPV177" s="250"/>
      <c r="IPW177" s="250"/>
      <c r="IPX177" s="250"/>
      <c r="IPY177" s="250"/>
      <c r="IPZ177" s="250"/>
      <c r="IQA177" s="250"/>
      <c r="IQB177" s="250"/>
      <c r="IQC177" s="250"/>
      <c r="IQD177" s="250"/>
      <c r="IQE177" s="250"/>
      <c r="IQF177" s="250"/>
      <c r="IQG177" s="250"/>
      <c r="IQH177" s="250"/>
      <c r="IQI177" s="250"/>
      <c r="IQJ177" s="250"/>
      <c r="IQK177" s="250"/>
      <c r="IQL177" s="250"/>
      <c r="IQM177" s="250"/>
      <c r="IQN177" s="250"/>
      <c r="IQO177" s="250"/>
      <c r="IQP177" s="250"/>
      <c r="IQQ177" s="250"/>
      <c r="IQR177" s="250"/>
      <c r="IQS177" s="250"/>
      <c r="IQT177" s="250"/>
      <c r="IQU177" s="250"/>
      <c r="IQV177" s="250"/>
      <c r="IQW177" s="250"/>
      <c r="IQX177" s="250"/>
      <c r="IQY177" s="250"/>
      <c r="IQZ177" s="250"/>
      <c r="IRA177" s="250"/>
      <c r="IRB177" s="250"/>
      <c r="IRC177" s="250"/>
      <c r="IRD177" s="250"/>
      <c r="IRE177" s="250"/>
      <c r="IRF177" s="250"/>
      <c r="IRG177" s="250"/>
      <c r="IRH177" s="250"/>
      <c r="IRI177" s="250"/>
      <c r="IRJ177" s="250"/>
      <c r="IRK177" s="250"/>
      <c r="IRL177" s="250"/>
      <c r="IRM177" s="250"/>
      <c r="IRN177" s="250"/>
      <c r="IRO177" s="250"/>
      <c r="IRP177" s="250"/>
      <c r="IRQ177" s="250"/>
      <c r="IRR177" s="250"/>
      <c r="IRS177" s="250"/>
      <c r="IRT177" s="250"/>
      <c r="IRU177" s="250"/>
      <c r="IRV177" s="250"/>
      <c r="IRW177" s="250"/>
      <c r="IRX177" s="250"/>
      <c r="IRY177" s="250"/>
      <c r="IRZ177" s="250"/>
      <c r="ISA177" s="250"/>
      <c r="ISB177" s="250"/>
      <c r="ISC177" s="250"/>
      <c r="ISD177" s="250"/>
      <c r="ISE177" s="250"/>
      <c r="ISF177" s="250"/>
      <c r="ISG177" s="250"/>
      <c r="ISH177" s="250"/>
      <c r="ISI177" s="250"/>
      <c r="ISJ177" s="250"/>
      <c r="ISK177" s="250"/>
      <c r="ISL177" s="250"/>
      <c r="ISM177" s="250"/>
      <c r="ISN177" s="250"/>
      <c r="ISO177" s="250"/>
      <c r="ISP177" s="250"/>
      <c r="ISQ177" s="250"/>
      <c r="ISR177" s="250"/>
      <c r="ISS177" s="250"/>
      <c r="IST177" s="250"/>
      <c r="ISU177" s="250"/>
      <c r="ISV177" s="250"/>
      <c r="ISW177" s="250"/>
      <c r="ISX177" s="250"/>
      <c r="ISY177" s="250"/>
      <c r="ISZ177" s="250"/>
      <c r="ITA177" s="250"/>
      <c r="ITB177" s="250"/>
      <c r="ITC177" s="250"/>
      <c r="ITD177" s="250"/>
      <c r="ITE177" s="250"/>
      <c r="ITF177" s="250"/>
      <c r="ITG177" s="250"/>
      <c r="ITH177" s="250"/>
      <c r="ITI177" s="250"/>
      <c r="ITJ177" s="250"/>
      <c r="ITK177" s="250"/>
      <c r="ITL177" s="250"/>
      <c r="ITM177" s="250"/>
      <c r="ITN177" s="250"/>
      <c r="ITO177" s="250"/>
      <c r="ITP177" s="250"/>
      <c r="ITQ177" s="250"/>
      <c r="ITR177" s="250"/>
      <c r="ITS177" s="250"/>
      <c r="ITT177" s="250"/>
      <c r="ITU177" s="250"/>
      <c r="ITV177" s="250"/>
      <c r="ITW177" s="250"/>
      <c r="ITX177" s="250"/>
      <c r="ITY177" s="250"/>
      <c r="ITZ177" s="250"/>
      <c r="IUA177" s="250"/>
      <c r="IUB177" s="250"/>
      <c r="IUC177" s="250"/>
      <c r="IUD177" s="250"/>
      <c r="IUE177" s="250"/>
      <c r="IUF177" s="250"/>
      <c r="IUG177" s="250"/>
      <c r="IUH177" s="250"/>
      <c r="IUI177" s="250"/>
      <c r="IUJ177" s="250"/>
      <c r="IUK177" s="250"/>
      <c r="IUL177" s="250"/>
      <c r="IUM177" s="250"/>
      <c r="IUN177" s="250"/>
      <c r="IUO177" s="250"/>
      <c r="IUP177" s="250"/>
      <c r="IUQ177" s="250"/>
      <c r="IUR177" s="250"/>
      <c r="IUS177" s="250"/>
      <c r="IUT177" s="250"/>
      <c r="IUU177" s="250"/>
      <c r="IUV177" s="250"/>
      <c r="IUW177" s="250"/>
      <c r="IUX177" s="250"/>
      <c r="IUY177" s="250"/>
      <c r="IUZ177" s="250"/>
      <c r="IVA177" s="250"/>
      <c r="IVB177" s="250"/>
      <c r="IVC177" s="250"/>
      <c r="IVD177" s="250"/>
      <c r="IVE177" s="250"/>
      <c r="IVF177" s="250"/>
      <c r="IVG177" s="250"/>
      <c r="IVH177" s="250"/>
      <c r="IVI177" s="250"/>
      <c r="IVJ177" s="250"/>
      <c r="IVK177" s="250"/>
      <c r="IVL177" s="250"/>
      <c r="IVM177" s="250"/>
      <c r="IVN177" s="250"/>
      <c r="IVO177" s="250"/>
      <c r="IVP177" s="250"/>
      <c r="IVQ177" s="250"/>
      <c r="IVR177" s="250"/>
      <c r="IVS177" s="250"/>
      <c r="IVT177" s="250"/>
      <c r="IVU177" s="250"/>
      <c r="IVV177" s="250"/>
      <c r="IVW177" s="250"/>
      <c r="IVX177" s="250"/>
      <c r="IVY177" s="250"/>
      <c r="IVZ177" s="250"/>
      <c r="IWA177" s="250"/>
      <c r="IWB177" s="250"/>
      <c r="IWC177" s="250"/>
      <c r="IWD177" s="250"/>
      <c r="IWE177" s="250"/>
      <c r="IWF177" s="250"/>
      <c r="IWG177" s="250"/>
      <c r="IWH177" s="250"/>
      <c r="IWI177" s="250"/>
      <c r="IWJ177" s="250"/>
      <c r="IWK177" s="250"/>
      <c r="IWL177" s="250"/>
      <c r="IWM177" s="250"/>
      <c r="IWN177" s="250"/>
      <c r="IWO177" s="250"/>
      <c r="IWP177" s="250"/>
      <c r="IWQ177" s="250"/>
      <c r="IWR177" s="250"/>
      <c r="IWS177" s="250"/>
      <c r="IWT177" s="250"/>
      <c r="IWU177" s="250"/>
      <c r="IWV177" s="250"/>
      <c r="IWW177" s="250"/>
      <c r="IWX177" s="250"/>
      <c r="IWY177" s="250"/>
      <c r="IWZ177" s="250"/>
      <c r="IXA177" s="250"/>
      <c r="IXB177" s="250"/>
      <c r="IXC177" s="250"/>
      <c r="IXD177" s="250"/>
      <c r="IXE177" s="250"/>
      <c r="IXF177" s="250"/>
      <c r="IXG177" s="250"/>
      <c r="IXH177" s="250"/>
      <c r="IXI177" s="250"/>
      <c r="IXJ177" s="250"/>
      <c r="IXK177" s="250"/>
      <c r="IXL177" s="250"/>
      <c r="IXM177" s="250"/>
      <c r="IXN177" s="250"/>
      <c r="IXO177" s="250"/>
      <c r="IXP177" s="250"/>
      <c r="IXQ177" s="250"/>
      <c r="IXR177" s="250"/>
      <c r="IXS177" s="250"/>
      <c r="IXT177" s="250"/>
      <c r="IXU177" s="250"/>
      <c r="IXV177" s="250"/>
      <c r="IXW177" s="250"/>
      <c r="IXX177" s="250"/>
      <c r="IXY177" s="250"/>
      <c r="IXZ177" s="250"/>
      <c r="IYA177" s="250"/>
      <c r="IYB177" s="250"/>
      <c r="IYC177" s="250"/>
      <c r="IYD177" s="250"/>
      <c r="IYE177" s="250"/>
      <c r="IYF177" s="250"/>
      <c r="IYG177" s="250"/>
      <c r="IYH177" s="250"/>
      <c r="IYI177" s="250"/>
      <c r="IYJ177" s="250"/>
      <c r="IYK177" s="250"/>
      <c r="IYL177" s="250"/>
      <c r="IYM177" s="250"/>
      <c r="IYN177" s="250"/>
      <c r="IYO177" s="250"/>
      <c r="IYP177" s="250"/>
      <c r="IYQ177" s="250"/>
      <c r="IYR177" s="250"/>
      <c r="IYS177" s="250"/>
      <c r="IYT177" s="250"/>
      <c r="IYU177" s="250"/>
      <c r="IYV177" s="250"/>
      <c r="IYW177" s="250"/>
      <c r="IYX177" s="250"/>
      <c r="IYY177" s="250"/>
      <c r="IYZ177" s="250"/>
      <c r="IZA177" s="250"/>
      <c r="IZB177" s="250"/>
      <c r="IZC177" s="250"/>
      <c r="IZD177" s="250"/>
      <c r="IZE177" s="250"/>
      <c r="IZF177" s="250"/>
      <c r="IZG177" s="250"/>
      <c r="IZH177" s="250"/>
      <c r="IZI177" s="250"/>
      <c r="IZJ177" s="250"/>
      <c r="IZK177" s="250"/>
      <c r="IZL177" s="250"/>
      <c r="IZM177" s="250"/>
      <c r="IZN177" s="250"/>
      <c r="IZO177" s="250"/>
      <c r="IZP177" s="250"/>
      <c r="IZQ177" s="250"/>
      <c r="IZR177" s="250"/>
      <c r="IZS177" s="250"/>
      <c r="IZT177" s="250"/>
      <c r="IZU177" s="250"/>
      <c r="IZV177" s="250"/>
      <c r="IZW177" s="250"/>
      <c r="IZX177" s="250"/>
      <c r="IZY177" s="250"/>
      <c r="IZZ177" s="250"/>
      <c r="JAA177" s="250"/>
      <c r="JAB177" s="250"/>
      <c r="JAC177" s="250"/>
      <c r="JAD177" s="250"/>
      <c r="JAE177" s="250"/>
      <c r="JAF177" s="250"/>
      <c r="JAG177" s="250"/>
      <c r="JAH177" s="250"/>
      <c r="JAI177" s="250"/>
      <c r="JAJ177" s="250"/>
      <c r="JAK177" s="250"/>
      <c r="JAL177" s="250"/>
      <c r="JAM177" s="250"/>
      <c r="JAN177" s="250"/>
      <c r="JAO177" s="250"/>
      <c r="JAP177" s="250"/>
      <c r="JAQ177" s="250"/>
      <c r="JAR177" s="250"/>
      <c r="JAS177" s="250"/>
      <c r="JAT177" s="250"/>
      <c r="JAU177" s="250"/>
      <c r="JAV177" s="250"/>
      <c r="JAW177" s="250"/>
      <c r="JAX177" s="250"/>
      <c r="JAY177" s="250"/>
      <c r="JAZ177" s="250"/>
      <c r="JBA177" s="250"/>
      <c r="JBB177" s="250"/>
      <c r="JBC177" s="250"/>
      <c r="JBD177" s="250"/>
      <c r="JBE177" s="250"/>
      <c r="JBF177" s="250"/>
      <c r="JBG177" s="250"/>
      <c r="JBH177" s="250"/>
      <c r="JBI177" s="250"/>
      <c r="JBJ177" s="250"/>
      <c r="JBK177" s="250"/>
      <c r="JBL177" s="250"/>
      <c r="JBM177" s="250"/>
      <c r="JBN177" s="250"/>
      <c r="JBO177" s="250"/>
      <c r="JBP177" s="250"/>
      <c r="JBQ177" s="250"/>
      <c r="JBR177" s="250"/>
      <c r="JBS177" s="250"/>
      <c r="JBT177" s="250"/>
      <c r="JBU177" s="250"/>
      <c r="JBV177" s="250"/>
      <c r="JBW177" s="250"/>
      <c r="JBX177" s="250"/>
      <c r="JBY177" s="250"/>
      <c r="JBZ177" s="250"/>
      <c r="JCA177" s="250"/>
      <c r="JCB177" s="250"/>
      <c r="JCC177" s="250"/>
      <c r="JCD177" s="250"/>
      <c r="JCE177" s="250"/>
      <c r="JCF177" s="250"/>
      <c r="JCG177" s="250"/>
      <c r="JCH177" s="250"/>
      <c r="JCI177" s="250"/>
      <c r="JCJ177" s="250"/>
      <c r="JCK177" s="250"/>
      <c r="JCL177" s="250"/>
      <c r="JCM177" s="250"/>
      <c r="JCN177" s="250"/>
      <c r="JCO177" s="250"/>
      <c r="JCP177" s="250"/>
      <c r="JCQ177" s="250"/>
      <c r="JCR177" s="250"/>
      <c r="JCS177" s="250"/>
      <c r="JCT177" s="250"/>
      <c r="JCU177" s="250"/>
      <c r="JCV177" s="250"/>
      <c r="JCW177" s="250"/>
      <c r="JCX177" s="250"/>
      <c r="JCY177" s="250"/>
      <c r="JCZ177" s="250"/>
      <c r="JDA177" s="250"/>
      <c r="JDB177" s="250"/>
      <c r="JDC177" s="250"/>
      <c r="JDD177" s="250"/>
      <c r="JDE177" s="250"/>
      <c r="JDF177" s="250"/>
      <c r="JDG177" s="250"/>
      <c r="JDH177" s="250"/>
      <c r="JDI177" s="250"/>
      <c r="JDJ177" s="250"/>
      <c r="JDK177" s="250"/>
      <c r="JDL177" s="250"/>
      <c r="JDM177" s="250"/>
      <c r="JDN177" s="250"/>
      <c r="JDO177" s="250"/>
      <c r="JDP177" s="250"/>
      <c r="JDQ177" s="250"/>
      <c r="JDR177" s="250"/>
      <c r="JDS177" s="250"/>
      <c r="JDT177" s="250"/>
      <c r="JDU177" s="250"/>
      <c r="JDV177" s="250"/>
      <c r="JDW177" s="250"/>
      <c r="JDX177" s="250"/>
      <c r="JDY177" s="250"/>
      <c r="JDZ177" s="250"/>
      <c r="JEA177" s="250"/>
      <c r="JEB177" s="250"/>
      <c r="JEC177" s="250"/>
      <c r="JED177" s="250"/>
      <c r="JEE177" s="250"/>
      <c r="JEF177" s="250"/>
      <c r="JEG177" s="250"/>
      <c r="JEH177" s="250"/>
      <c r="JEI177" s="250"/>
      <c r="JEJ177" s="250"/>
      <c r="JEK177" s="250"/>
      <c r="JEL177" s="250"/>
      <c r="JEM177" s="250"/>
      <c r="JEN177" s="250"/>
      <c r="JEO177" s="250"/>
      <c r="JEP177" s="250"/>
      <c r="JEQ177" s="250"/>
      <c r="JER177" s="250"/>
      <c r="JES177" s="250"/>
      <c r="JET177" s="250"/>
      <c r="JEU177" s="250"/>
      <c r="JEV177" s="250"/>
      <c r="JEW177" s="250"/>
      <c r="JEX177" s="250"/>
      <c r="JEY177" s="250"/>
      <c r="JEZ177" s="250"/>
      <c r="JFA177" s="250"/>
      <c r="JFB177" s="250"/>
      <c r="JFC177" s="250"/>
      <c r="JFD177" s="250"/>
      <c r="JFE177" s="250"/>
      <c r="JFF177" s="250"/>
      <c r="JFG177" s="250"/>
      <c r="JFH177" s="250"/>
      <c r="JFI177" s="250"/>
      <c r="JFJ177" s="250"/>
      <c r="JFK177" s="250"/>
      <c r="JFL177" s="250"/>
      <c r="JFM177" s="250"/>
      <c r="JFN177" s="250"/>
      <c r="JFO177" s="250"/>
      <c r="JFP177" s="250"/>
      <c r="JFQ177" s="250"/>
      <c r="JFR177" s="250"/>
      <c r="JFS177" s="250"/>
      <c r="JFT177" s="250"/>
      <c r="JFU177" s="250"/>
      <c r="JFV177" s="250"/>
      <c r="JFW177" s="250"/>
      <c r="JFX177" s="250"/>
      <c r="JFY177" s="250"/>
      <c r="JFZ177" s="250"/>
      <c r="JGA177" s="250"/>
      <c r="JGB177" s="250"/>
      <c r="JGC177" s="250"/>
      <c r="JGD177" s="250"/>
      <c r="JGE177" s="250"/>
      <c r="JGF177" s="250"/>
      <c r="JGG177" s="250"/>
      <c r="JGH177" s="250"/>
      <c r="JGI177" s="250"/>
      <c r="JGJ177" s="250"/>
      <c r="JGK177" s="250"/>
      <c r="JGL177" s="250"/>
      <c r="JGM177" s="250"/>
      <c r="JGN177" s="250"/>
      <c r="JGO177" s="250"/>
      <c r="JGP177" s="250"/>
      <c r="JGQ177" s="250"/>
      <c r="JGR177" s="250"/>
      <c r="JGS177" s="250"/>
      <c r="JGT177" s="250"/>
      <c r="JGU177" s="250"/>
      <c r="JGV177" s="250"/>
      <c r="JGW177" s="250"/>
      <c r="JGX177" s="250"/>
      <c r="JGY177" s="250"/>
      <c r="JGZ177" s="250"/>
      <c r="JHA177" s="250"/>
      <c r="JHB177" s="250"/>
      <c r="JHC177" s="250"/>
      <c r="JHD177" s="250"/>
      <c r="JHE177" s="250"/>
      <c r="JHF177" s="250"/>
      <c r="JHG177" s="250"/>
      <c r="JHH177" s="250"/>
      <c r="JHI177" s="250"/>
      <c r="JHJ177" s="250"/>
      <c r="JHK177" s="250"/>
      <c r="JHL177" s="250"/>
      <c r="JHM177" s="250"/>
      <c r="JHN177" s="250"/>
      <c r="JHO177" s="250"/>
      <c r="JHP177" s="250"/>
      <c r="JHQ177" s="250"/>
      <c r="JHR177" s="250"/>
      <c r="JHS177" s="250"/>
      <c r="JHT177" s="250"/>
      <c r="JHU177" s="250"/>
      <c r="JHV177" s="250"/>
      <c r="JHW177" s="250"/>
      <c r="JHX177" s="250"/>
      <c r="JHY177" s="250"/>
      <c r="JHZ177" s="250"/>
      <c r="JIA177" s="250"/>
      <c r="JIB177" s="250"/>
      <c r="JIC177" s="250"/>
      <c r="JID177" s="250"/>
      <c r="JIE177" s="250"/>
      <c r="JIF177" s="250"/>
      <c r="JIG177" s="250"/>
      <c r="JIH177" s="250"/>
      <c r="JII177" s="250"/>
      <c r="JIJ177" s="250"/>
      <c r="JIK177" s="250"/>
      <c r="JIL177" s="250"/>
      <c r="JIM177" s="250"/>
      <c r="JIN177" s="250"/>
      <c r="JIO177" s="250"/>
      <c r="JIP177" s="250"/>
      <c r="JIQ177" s="250"/>
      <c r="JIR177" s="250"/>
      <c r="JIS177" s="250"/>
      <c r="JIT177" s="250"/>
      <c r="JIU177" s="250"/>
      <c r="JIV177" s="250"/>
      <c r="JIW177" s="250"/>
      <c r="JIX177" s="250"/>
      <c r="JIY177" s="250"/>
      <c r="JIZ177" s="250"/>
      <c r="JJA177" s="250"/>
      <c r="JJB177" s="250"/>
      <c r="JJC177" s="250"/>
      <c r="JJD177" s="250"/>
      <c r="JJE177" s="250"/>
      <c r="JJF177" s="250"/>
      <c r="JJG177" s="250"/>
      <c r="JJH177" s="250"/>
      <c r="JJI177" s="250"/>
      <c r="JJJ177" s="250"/>
      <c r="JJK177" s="250"/>
      <c r="JJL177" s="250"/>
      <c r="JJM177" s="250"/>
      <c r="JJN177" s="250"/>
      <c r="JJO177" s="250"/>
      <c r="JJP177" s="250"/>
      <c r="JJQ177" s="250"/>
      <c r="JJR177" s="250"/>
      <c r="JJS177" s="250"/>
      <c r="JJT177" s="250"/>
      <c r="JJU177" s="250"/>
      <c r="JJV177" s="250"/>
      <c r="JJW177" s="250"/>
      <c r="JJX177" s="250"/>
      <c r="JJY177" s="250"/>
      <c r="JJZ177" s="250"/>
      <c r="JKA177" s="250"/>
      <c r="JKB177" s="250"/>
      <c r="JKC177" s="250"/>
      <c r="JKD177" s="250"/>
      <c r="JKE177" s="250"/>
      <c r="JKF177" s="250"/>
      <c r="JKG177" s="250"/>
      <c r="JKH177" s="250"/>
      <c r="JKI177" s="250"/>
      <c r="JKJ177" s="250"/>
      <c r="JKK177" s="250"/>
      <c r="JKL177" s="250"/>
      <c r="JKM177" s="250"/>
      <c r="JKN177" s="250"/>
      <c r="JKO177" s="250"/>
      <c r="JKP177" s="250"/>
      <c r="JKQ177" s="250"/>
      <c r="JKR177" s="250"/>
      <c r="JKS177" s="250"/>
      <c r="JKT177" s="250"/>
      <c r="JKU177" s="250"/>
      <c r="JKV177" s="250"/>
      <c r="JKW177" s="250"/>
      <c r="JKX177" s="250"/>
      <c r="JKY177" s="250"/>
      <c r="JKZ177" s="250"/>
      <c r="JLA177" s="250"/>
      <c r="JLB177" s="250"/>
      <c r="JLC177" s="250"/>
      <c r="JLD177" s="250"/>
      <c r="JLE177" s="250"/>
      <c r="JLF177" s="250"/>
      <c r="JLG177" s="250"/>
      <c r="JLH177" s="250"/>
      <c r="JLI177" s="250"/>
      <c r="JLJ177" s="250"/>
      <c r="JLK177" s="250"/>
      <c r="JLL177" s="250"/>
      <c r="JLM177" s="250"/>
      <c r="JLN177" s="250"/>
      <c r="JLO177" s="250"/>
      <c r="JLP177" s="250"/>
      <c r="JLQ177" s="250"/>
      <c r="JLR177" s="250"/>
      <c r="JLS177" s="250"/>
      <c r="JLT177" s="250"/>
      <c r="JLU177" s="250"/>
      <c r="JLV177" s="250"/>
      <c r="JLW177" s="250"/>
      <c r="JLX177" s="250"/>
      <c r="JLY177" s="250"/>
      <c r="JLZ177" s="250"/>
      <c r="JMA177" s="250"/>
      <c r="JMB177" s="250"/>
      <c r="JMC177" s="250"/>
      <c r="JMD177" s="250"/>
      <c r="JME177" s="250"/>
      <c r="JMF177" s="250"/>
      <c r="JMG177" s="250"/>
      <c r="JMH177" s="250"/>
      <c r="JMI177" s="250"/>
      <c r="JMJ177" s="250"/>
      <c r="JMK177" s="250"/>
      <c r="JML177" s="250"/>
      <c r="JMM177" s="250"/>
      <c r="JMN177" s="250"/>
      <c r="JMO177" s="250"/>
      <c r="JMP177" s="250"/>
      <c r="JMQ177" s="250"/>
      <c r="JMR177" s="250"/>
      <c r="JMS177" s="250"/>
      <c r="JMT177" s="250"/>
      <c r="JMU177" s="250"/>
      <c r="JMV177" s="250"/>
      <c r="JMW177" s="250"/>
      <c r="JMX177" s="250"/>
      <c r="JMY177" s="250"/>
      <c r="JMZ177" s="250"/>
      <c r="JNA177" s="250"/>
      <c r="JNB177" s="250"/>
      <c r="JNC177" s="250"/>
      <c r="JND177" s="250"/>
      <c r="JNE177" s="250"/>
      <c r="JNF177" s="250"/>
      <c r="JNG177" s="250"/>
      <c r="JNH177" s="250"/>
      <c r="JNI177" s="250"/>
      <c r="JNJ177" s="250"/>
      <c r="JNK177" s="250"/>
      <c r="JNL177" s="250"/>
      <c r="JNM177" s="250"/>
      <c r="JNN177" s="250"/>
      <c r="JNO177" s="250"/>
      <c r="JNP177" s="250"/>
      <c r="JNQ177" s="250"/>
      <c r="JNR177" s="250"/>
      <c r="JNS177" s="250"/>
      <c r="JNT177" s="250"/>
      <c r="JNU177" s="250"/>
      <c r="JNV177" s="250"/>
      <c r="JNW177" s="250"/>
      <c r="JNX177" s="250"/>
      <c r="JNY177" s="250"/>
      <c r="JNZ177" s="250"/>
      <c r="JOA177" s="250"/>
      <c r="JOB177" s="250"/>
      <c r="JOC177" s="250"/>
      <c r="JOD177" s="250"/>
      <c r="JOE177" s="250"/>
      <c r="JOF177" s="250"/>
      <c r="JOG177" s="250"/>
      <c r="JOH177" s="250"/>
      <c r="JOI177" s="250"/>
      <c r="JOJ177" s="250"/>
      <c r="JOK177" s="250"/>
      <c r="JOL177" s="250"/>
      <c r="JOM177" s="250"/>
      <c r="JON177" s="250"/>
      <c r="JOO177" s="250"/>
      <c r="JOP177" s="250"/>
      <c r="JOQ177" s="250"/>
      <c r="JOR177" s="250"/>
      <c r="JOS177" s="250"/>
      <c r="JOT177" s="250"/>
      <c r="JOU177" s="250"/>
      <c r="JOV177" s="250"/>
      <c r="JOW177" s="250"/>
      <c r="JOX177" s="250"/>
      <c r="JOY177" s="250"/>
      <c r="JOZ177" s="250"/>
      <c r="JPA177" s="250"/>
      <c r="JPB177" s="250"/>
      <c r="JPC177" s="250"/>
      <c r="JPD177" s="250"/>
      <c r="JPE177" s="250"/>
      <c r="JPF177" s="250"/>
      <c r="JPG177" s="250"/>
      <c r="JPH177" s="250"/>
      <c r="JPI177" s="250"/>
      <c r="JPJ177" s="250"/>
      <c r="JPK177" s="250"/>
      <c r="JPL177" s="250"/>
      <c r="JPM177" s="250"/>
      <c r="JPN177" s="250"/>
      <c r="JPO177" s="250"/>
      <c r="JPP177" s="250"/>
      <c r="JPQ177" s="250"/>
      <c r="JPR177" s="250"/>
      <c r="JPS177" s="250"/>
      <c r="JPT177" s="250"/>
      <c r="JPU177" s="250"/>
      <c r="JPV177" s="250"/>
      <c r="JPW177" s="250"/>
      <c r="JPX177" s="250"/>
      <c r="JPY177" s="250"/>
      <c r="JPZ177" s="250"/>
      <c r="JQA177" s="250"/>
      <c r="JQB177" s="250"/>
      <c r="JQC177" s="250"/>
      <c r="JQD177" s="250"/>
      <c r="JQE177" s="250"/>
      <c r="JQF177" s="250"/>
      <c r="JQG177" s="250"/>
      <c r="JQH177" s="250"/>
      <c r="JQI177" s="250"/>
      <c r="JQJ177" s="250"/>
      <c r="JQK177" s="250"/>
      <c r="JQL177" s="250"/>
      <c r="JQM177" s="250"/>
      <c r="JQN177" s="250"/>
      <c r="JQO177" s="250"/>
      <c r="JQP177" s="250"/>
      <c r="JQQ177" s="250"/>
      <c r="JQR177" s="250"/>
      <c r="JQS177" s="250"/>
      <c r="JQT177" s="250"/>
      <c r="JQU177" s="250"/>
      <c r="JQV177" s="250"/>
      <c r="JQW177" s="250"/>
      <c r="JQX177" s="250"/>
      <c r="JQY177" s="250"/>
      <c r="JQZ177" s="250"/>
      <c r="JRA177" s="250"/>
      <c r="JRB177" s="250"/>
      <c r="JRC177" s="250"/>
      <c r="JRD177" s="250"/>
      <c r="JRE177" s="250"/>
      <c r="JRF177" s="250"/>
      <c r="JRG177" s="250"/>
      <c r="JRH177" s="250"/>
      <c r="JRI177" s="250"/>
      <c r="JRJ177" s="250"/>
      <c r="JRK177" s="250"/>
      <c r="JRL177" s="250"/>
      <c r="JRM177" s="250"/>
      <c r="JRN177" s="250"/>
      <c r="JRO177" s="250"/>
      <c r="JRP177" s="250"/>
      <c r="JRQ177" s="250"/>
      <c r="JRR177" s="250"/>
      <c r="JRS177" s="250"/>
      <c r="JRT177" s="250"/>
      <c r="JRU177" s="250"/>
      <c r="JRV177" s="250"/>
      <c r="JRW177" s="250"/>
      <c r="JRX177" s="250"/>
      <c r="JRY177" s="250"/>
      <c r="JRZ177" s="250"/>
      <c r="JSA177" s="250"/>
      <c r="JSB177" s="250"/>
      <c r="JSC177" s="250"/>
      <c r="JSD177" s="250"/>
      <c r="JSE177" s="250"/>
      <c r="JSF177" s="250"/>
      <c r="JSG177" s="250"/>
      <c r="JSH177" s="250"/>
      <c r="JSI177" s="250"/>
      <c r="JSJ177" s="250"/>
      <c r="JSK177" s="250"/>
      <c r="JSL177" s="250"/>
      <c r="JSM177" s="250"/>
      <c r="JSN177" s="250"/>
      <c r="JSO177" s="250"/>
      <c r="JSP177" s="250"/>
      <c r="JSQ177" s="250"/>
      <c r="JSR177" s="250"/>
      <c r="JSS177" s="250"/>
      <c r="JST177" s="250"/>
      <c r="JSU177" s="250"/>
      <c r="JSV177" s="250"/>
      <c r="JSW177" s="250"/>
      <c r="JSX177" s="250"/>
      <c r="JSY177" s="250"/>
      <c r="JSZ177" s="250"/>
      <c r="JTA177" s="250"/>
      <c r="JTB177" s="250"/>
      <c r="JTC177" s="250"/>
      <c r="JTD177" s="250"/>
      <c r="JTE177" s="250"/>
      <c r="JTF177" s="250"/>
      <c r="JTG177" s="250"/>
      <c r="JTH177" s="250"/>
      <c r="JTI177" s="250"/>
      <c r="JTJ177" s="250"/>
      <c r="JTK177" s="250"/>
      <c r="JTL177" s="250"/>
      <c r="JTM177" s="250"/>
      <c r="JTN177" s="250"/>
      <c r="JTO177" s="250"/>
      <c r="JTP177" s="250"/>
      <c r="JTQ177" s="250"/>
      <c r="JTR177" s="250"/>
      <c r="JTS177" s="250"/>
      <c r="JTT177" s="250"/>
      <c r="JTU177" s="250"/>
      <c r="JTV177" s="250"/>
      <c r="JTW177" s="250"/>
      <c r="JTX177" s="250"/>
      <c r="JTY177" s="250"/>
      <c r="JTZ177" s="250"/>
      <c r="JUA177" s="250"/>
      <c r="JUB177" s="250"/>
      <c r="JUC177" s="250"/>
      <c r="JUD177" s="250"/>
      <c r="JUE177" s="250"/>
      <c r="JUF177" s="250"/>
      <c r="JUG177" s="250"/>
      <c r="JUH177" s="250"/>
      <c r="JUI177" s="250"/>
      <c r="JUJ177" s="250"/>
      <c r="JUK177" s="250"/>
      <c r="JUL177" s="250"/>
      <c r="JUM177" s="250"/>
      <c r="JUN177" s="250"/>
      <c r="JUO177" s="250"/>
      <c r="JUP177" s="250"/>
      <c r="JUQ177" s="250"/>
      <c r="JUR177" s="250"/>
      <c r="JUS177" s="250"/>
      <c r="JUT177" s="250"/>
      <c r="JUU177" s="250"/>
      <c r="JUV177" s="250"/>
      <c r="JUW177" s="250"/>
      <c r="JUX177" s="250"/>
      <c r="JUY177" s="250"/>
      <c r="JUZ177" s="250"/>
      <c r="JVA177" s="250"/>
      <c r="JVB177" s="250"/>
      <c r="JVC177" s="250"/>
      <c r="JVD177" s="250"/>
      <c r="JVE177" s="250"/>
      <c r="JVF177" s="250"/>
      <c r="JVG177" s="250"/>
      <c r="JVH177" s="250"/>
      <c r="JVI177" s="250"/>
      <c r="JVJ177" s="250"/>
      <c r="JVK177" s="250"/>
      <c r="JVL177" s="250"/>
      <c r="JVM177" s="250"/>
      <c r="JVN177" s="250"/>
      <c r="JVO177" s="250"/>
      <c r="JVP177" s="250"/>
      <c r="JVQ177" s="250"/>
      <c r="JVR177" s="250"/>
      <c r="JVS177" s="250"/>
      <c r="JVT177" s="250"/>
      <c r="JVU177" s="250"/>
      <c r="JVV177" s="250"/>
      <c r="JVW177" s="250"/>
      <c r="JVX177" s="250"/>
      <c r="JVY177" s="250"/>
      <c r="JVZ177" s="250"/>
      <c r="JWA177" s="250"/>
      <c r="JWB177" s="250"/>
      <c r="JWC177" s="250"/>
      <c r="JWD177" s="250"/>
      <c r="JWE177" s="250"/>
      <c r="JWF177" s="250"/>
      <c r="JWG177" s="250"/>
      <c r="JWH177" s="250"/>
      <c r="JWI177" s="250"/>
      <c r="JWJ177" s="250"/>
      <c r="JWK177" s="250"/>
      <c r="JWL177" s="250"/>
      <c r="JWM177" s="250"/>
      <c r="JWN177" s="250"/>
      <c r="JWO177" s="250"/>
      <c r="JWP177" s="250"/>
      <c r="JWQ177" s="250"/>
      <c r="JWR177" s="250"/>
      <c r="JWS177" s="250"/>
      <c r="JWT177" s="250"/>
      <c r="JWU177" s="250"/>
      <c r="JWV177" s="250"/>
      <c r="JWW177" s="250"/>
      <c r="JWX177" s="250"/>
      <c r="JWY177" s="250"/>
      <c r="JWZ177" s="250"/>
      <c r="JXA177" s="250"/>
      <c r="JXB177" s="250"/>
      <c r="JXC177" s="250"/>
      <c r="JXD177" s="250"/>
      <c r="JXE177" s="250"/>
      <c r="JXF177" s="250"/>
      <c r="JXG177" s="250"/>
      <c r="JXH177" s="250"/>
      <c r="JXI177" s="250"/>
      <c r="JXJ177" s="250"/>
      <c r="JXK177" s="250"/>
      <c r="JXL177" s="250"/>
      <c r="JXM177" s="250"/>
      <c r="JXN177" s="250"/>
      <c r="JXO177" s="250"/>
      <c r="JXP177" s="250"/>
      <c r="JXQ177" s="250"/>
      <c r="JXR177" s="250"/>
      <c r="JXS177" s="250"/>
      <c r="JXT177" s="250"/>
      <c r="JXU177" s="250"/>
      <c r="JXV177" s="250"/>
      <c r="JXW177" s="250"/>
      <c r="JXX177" s="250"/>
      <c r="JXY177" s="250"/>
      <c r="JXZ177" s="250"/>
      <c r="JYA177" s="250"/>
      <c r="JYB177" s="250"/>
      <c r="JYC177" s="250"/>
      <c r="JYD177" s="250"/>
      <c r="JYE177" s="250"/>
      <c r="JYF177" s="250"/>
      <c r="JYG177" s="250"/>
      <c r="JYH177" s="250"/>
      <c r="JYI177" s="250"/>
      <c r="JYJ177" s="250"/>
      <c r="JYK177" s="250"/>
      <c r="JYL177" s="250"/>
      <c r="JYM177" s="250"/>
      <c r="JYN177" s="250"/>
      <c r="JYO177" s="250"/>
      <c r="JYP177" s="250"/>
      <c r="JYQ177" s="250"/>
      <c r="JYR177" s="250"/>
      <c r="JYS177" s="250"/>
      <c r="JYT177" s="250"/>
      <c r="JYU177" s="250"/>
      <c r="JYV177" s="250"/>
      <c r="JYW177" s="250"/>
      <c r="JYX177" s="250"/>
      <c r="JYY177" s="250"/>
      <c r="JYZ177" s="250"/>
      <c r="JZA177" s="250"/>
      <c r="JZB177" s="250"/>
      <c r="JZC177" s="250"/>
      <c r="JZD177" s="250"/>
      <c r="JZE177" s="250"/>
      <c r="JZF177" s="250"/>
      <c r="JZG177" s="250"/>
      <c r="JZH177" s="250"/>
      <c r="JZI177" s="250"/>
      <c r="JZJ177" s="250"/>
      <c r="JZK177" s="250"/>
      <c r="JZL177" s="250"/>
      <c r="JZM177" s="250"/>
      <c r="JZN177" s="250"/>
      <c r="JZO177" s="250"/>
      <c r="JZP177" s="250"/>
      <c r="JZQ177" s="250"/>
      <c r="JZR177" s="250"/>
      <c r="JZS177" s="250"/>
      <c r="JZT177" s="250"/>
      <c r="JZU177" s="250"/>
      <c r="JZV177" s="250"/>
      <c r="JZW177" s="250"/>
      <c r="JZX177" s="250"/>
      <c r="JZY177" s="250"/>
      <c r="JZZ177" s="250"/>
      <c r="KAA177" s="250"/>
      <c r="KAB177" s="250"/>
      <c r="KAC177" s="250"/>
      <c r="KAD177" s="250"/>
      <c r="KAE177" s="250"/>
      <c r="KAF177" s="250"/>
      <c r="KAG177" s="250"/>
      <c r="KAH177" s="250"/>
      <c r="KAI177" s="250"/>
      <c r="KAJ177" s="250"/>
      <c r="KAK177" s="250"/>
      <c r="KAL177" s="250"/>
      <c r="KAM177" s="250"/>
      <c r="KAN177" s="250"/>
      <c r="KAO177" s="250"/>
      <c r="KAP177" s="250"/>
      <c r="KAQ177" s="250"/>
      <c r="KAR177" s="250"/>
      <c r="KAS177" s="250"/>
      <c r="KAT177" s="250"/>
      <c r="KAU177" s="250"/>
      <c r="KAV177" s="250"/>
      <c r="KAW177" s="250"/>
      <c r="KAX177" s="250"/>
      <c r="KAY177" s="250"/>
      <c r="KAZ177" s="250"/>
      <c r="KBA177" s="250"/>
      <c r="KBB177" s="250"/>
      <c r="KBC177" s="250"/>
      <c r="KBD177" s="250"/>
      <c r="KBE177" s="250"/>
      <c r="KBF177" s="250"/>
      <c r="KBG177" s="250"/>
      <c r="KBH177" s="250"/>
      <c r="KBI177" s="250"/>
      <c r="KBJ177" s="250"/>
      <c r="KBK177" s="250"/>
      <c r="KBL177" s="250"/>
      <c r="KBM177" s="250"/>
      <c r="KBN177" s="250"/>
      <c r="KBO177" s="250"/>
      <c r="KBP177" s="250"/>
      <c r="KBQ177" s="250"/>
      <c r="KBR177" s="250"/>
      <c r="KBS177" s="250"/>
      <c r="KBT177" s="250"/>
      <c r="KBU177" s="250"/>
      <c r="KBV177" s="250"/>
      <c r="KBW177" s="250"/>
      <c r="KBX177" s="250"/>
      <c r="KBY177" s="250"/>
      <c r="KBZ177" s="250"/>
      <c r="KCA177" s="250"/>
      <c r="KCB177" s="250"/>
      <c r="KCC177" s="250"/>
      <c r="KCD177" s="250"/>
      <c r="KCE177" s="250"/>
      <c r="KCF177" s="250"/>
      <c r="KCG177" s="250"/>
      <c r="KCH177" s="250"/>
      <c r="KCI177" s="250"/>
      <c r="KCJ177" s="250"/>
      <c r="KCK177" s="250"/>
      <c r="KCL177" s="250"/>
      <c r="KCM177" s="250"/>
      <c r="KCN177" s="250"/>
      <c r="KCO177" s="250"/>
      <c r="KCP177" s="250"/>
      <c r="KCQ177" s="250"/>
      <c r="KCR177" s="250"/>
      <c r="KCS177" s="250"/>
      <c r="KCT177" s="250"/>
      <c r="KCU177" s="250"/>
      <c r="KCV177" s="250"/>
      <c r="KCW177" s="250"/>
      <c r="KCX177" s="250"/>
      <c r="KCY177" s="250"/>
      <c r="KCZ177" s="250"/>
      <c r="KDA177" s="250"/>
      <c r="KDB177" s="250"/>
      <c r="KDC177" s="250"/>
      <c r="KDD177" s="250"/>
      <c r="KDE177" s="250"/>
      <c r="KDF177" s="250"/>
      <c r="KDG177" s="250"/>
      <c r="KDH177" s="250"/>
      <c r="KDI177" s="250"/>
      <c r="KDJ177" s="250"/>
      <c r="KDK177" s="250"/>
      <c r="KDL177" s="250"/>
      <c r="KDM177" s="250"/>
      <c r="KDN177" s="250"/>
      <c r="KDO177" s="250"/>
      <c r="KDP177" s="250"/>
      <c r="KDQ177" s="250"/>
      <c r="KDR177" s="250"/>
      <c r="KDS177" s="250"/>
      <c r="KDT177" s="250"/>
      <c r="KDU177" s="250"/>
      <c r="KDV177" s="250"/>
      <c r="KDW177" s="250"/>
      <c r="KDX177" s="250"/>
      <c r="KDY177" s="250"/>
      <c r="KDZ177" s="250"/>
      <c r="KEA177" s="250"/>
      <c r="KEB177" s="250"/>
      <c r="KEC177" s="250"/>
      <c r="KED177" s="250"/>
      <c r="KEE177" s="250"/>
      <c r="KEF177" s="250"/>
      <c r="KEG177" s="250"/>
      <c r="KEH177" s="250"/>
      <c r="KEI177" s="250"/>
      <c r="KEJ177" s="250"/>
      <c r="KEK177" s="250"/>
      <c r="KEL177" s="250"/>
      <c r="KEM177" s="250"/>
      <c r="KEN177" s="250"/>
      <c r="KEO177" s="250"/>
      <c r="KEP177" s="250"/>
      <c r="KEQ177" s="250"/>
      <c r="KER177" s="250"/>
      <c r="KES177" s="250"/>
      <c r="KET177" s="250"/>
      <c r="KEU177" s="250"/>
      <c r="KEV177" s="250"/>
      <c r="KEW177" s="250"/>
      <c r="KEX177" s="250"/>
      <c r="KEY177" s="250"/>
      <c r="KEZ177" s="250"/>
      <c r="KFA177" s="250"/>
      <c r="KFB177" s="250"/>
      <c r="KFC177" s="250"/>
      <c r="KFD177" s="250"/>
      <c r="KFE177" s="250"/>
      <c r="KFF177" s="250"/>
      <c r="KFG177" s="250"/>
      <c r="KFH177" s="250"/>
      <c r="KFI177" s="250"/>
      <c r="KFJ177" s="250"/>
      <c r="KFK177" s="250"/>
      <c r="KFL177" s="250"/>
      <c r="KFM177" s="250"/>
      <c r="KFN177" s="250"/>
      <c r="KFO177" s="250"/>
      <c r="KFP177" s="250"/>
      <c r="KFQ177" s="250"/>
      <c r="KFR177" s="250"/>
      <c r="KFS177" s="250"/>
      <c r="KFT177" s="250"/>
      <c r="KFU177" s="250"/>
      <c r="KFV177" s="250"/>
      <c r="KFW177" s="250"/>
      <c r="KFX177" s="250"/>
      <c r="KFY177" s="250"/>
      <c r="KFZ177" s="250"/>
      <c r="KGA177" s="250"/>
      <c r="KGB177" s="250"/>
      <c r="KGC177" s="250"/>
      <c r="KGD177" s="250"/>
      <c r="KGE177" s="250"/>
      <c r="KGF177" s="250"/>
      <c r="KGG177" s="250"/>
      <c r="KGH177" s="250"/>
      <c r="KGI177" s="250"/>
      <c r="KGJ177" s="250"/>
      <c r="KGK177" s="250"/>
      <c r="KGL177" s="250"/>
      <c r="KGM177" s="250"/>
      <c r="KGN177" s="250"/>
      <c r="KGO177" s="250"/>
      <c r="KGP177" s="250"/>
      <c r="KGQ177" s="250"/>
      <c r="KGR177" s="250"/>
      <c r="KGS177" s="250"/>
      <c r="KGT177" s="250"/>
      <c r="KGU177" s="250"/>
      <c r="KGV177" s="250"/>
      <c r="KGW177" s="250"/>
      <c r="KGX177" s="250"/>
      <c r="KGY177" s="250"/>
      <c r="KGZ177" s="250"/>
      <c r="KHA177" s="250"/>
      <c r="KHB177" s="250"/>
      <c r="KHC177" s="250"/>
      <c r="KHD177" s="250"/>
      <c r="KHE177" s="250"/>
      <c r="KHF177" s="250"/>
      <c r="KHG177" s="250"/>
      <c r="KHH177" s="250"/>
      <c r="KHI177" s="250"/>
      <c r="KHJ177" s="250"/>
      <c r="KHK177" s="250"/>
      <c r="KHL177" s="250"/>
      <c r="KHM177" s="250"/>
      <c r="KHN177" s="250"/>
      <c r="KHO177" s="250"/>
      <c r="KHP177" s="250"/>
      <c r="KHQ177" s="250"/>
      <c r="KHR177" s="250"/>
      <c r="KHS177" s="250"/>
      <c r="KHT177" s="250"/>
      <c r="KHU177" s="250"/>
      <c r="KHV177" s="250"/>
      <c r="KHW177" s="250"/>
      <c r="KHX177" s="250"/>
      <c r="KHY177" s="250"/>
      <c r="KHZ177" s="250"/>
      <c r="KIA177" s="250"/>
      <c r="KIB177" s="250"/>
      <c r="KIC177" s="250"/>
      <c r="KID177" s="250"/>
      <c r="KIE177" s="250"/>
      <c r="KIF177" s="250"/>
      <c r="KIG177" s="250"/>
      <c r="KIH177" s="250"/>
      <c r="KII177" s="250"/>
      <c r="KIJ177" s="250"/>
      <c r="KIK177" s="250"/>
      <c r="KIL177" s="250"/>
      <c r="KIM177" s="250"/>
      <c r="KIN177" s="250"/>
      <c r="KIO177" s="250"/>
      <c r="KIP177" s="250"/>
      <c r="KIQ177" s="250"/>
      <c r="KIR177" s="250"/>
      <c r="KIS177" s="250"/>
      <c r="KIT177" s="250"/>
      <c r="KIU177" s="250"/>
      <c r="KIV177" s="250"/>
      <c r="KIW177" s="250"/>
      <c r="KIX177" s="250"/>
      <c r="KIY177" s="250"/>
      <c r="KIZ177" s="250"/>
      <c r="KJA177" s="250"/>
      <c r="KJB177" s="250"/>
      <c r="KJC177" s="250"/>
      <c r="KJD177" s="250"/>
      <c r="KJE177" s="250"/>
      <c r="KJF177" s="250"/>
      <c r="KJG177" s="250"/>
      <c r="KJH177" s="250"/>
      <c r="KJI177" s="250"/>
      <c r="KJJ177" s="250"/>
      <c r="KJK177" s="250"/>
      <c r="KJL177" s="250"/>
      <c r="KJM177" s="250"/>
      <c r="KJN177" s="250"/>
      <c r="KJO177" s="250"/>
      <c r="KJP177" s="250"/>
      <c r="KJQ177" s="250"/>
      <c r="KJR177" s="250"/>
      <c r="KJS177" s="250"/>
      <c r="KJT177" s="250"/>
      <c r="KJU177" s="250"/>
      <c r="KJV177" s="250"/>
      <c r="KJW177" s="250"/>
      <c r="KJX177" s="250"/>
      <c r="KJY177" s="250"/>
      <c r="KJZ177" s="250"/>
      <c r="KKA177" s="250"/>
      <c r="KKB177" s="250"/>
      <c r="KKC177" s="250"/>
      <c r="KKD177" s="250"/>
      <c r="KKE177" s="250"/>
      <c r="KKF177" s="250"/>
      <c r="KKG177" s="250"/>
      <c r="KKH177" s="250"/>
      <c r="KKI177" s="250"/>
      <c r="KKJ177" s="250"/>
      <c r="KKK177" s="250"/>
      <c r="KKL177" s="250"/>
      <c r="KKM177" s="250"/>
      <c r="KKN177" s="250"/>
      <c r="KKO177" s="250"/>
      <c r="KKP177" s="250"/>
      <c r="KKQ177" s="250"/>
      <c r="KKR177" s="250"/>
      <c r="KKS177" s="250"/>
      <c r="KKT177" s="250"/>
      <c r="KKU177" s="250"/>
      <c r="KKV177" s="250"/>
      <c r="KKW177" s="250"/>
      <c r="KKX177" s="250"/>
      <c r="KKY177" s="250"/>
      <c r="KKZ177" s="250"/>
      <c r="KLA177" s="250"/>
      <c r="KLB177" s="250"/>
      <c r="KLC177" s="250"/>
      <c r="KLD177" s="250"/>
      <c r="KLE177" s="250"/>
      <c r="KLF177" s="250"/>
      <c r="KLG177" s="250"/>
      <c r="KLH177" s="250"/>
      <c r="KLI177" s="250"/>
      <c r="KLJ177" s="250"/>
      <c r="KLK177" s="250"/>
      <c r="KLL177" s="250"/>
      <c r="KLM177" s="250"/>
      <c r="KLN177" s="250"/>
      <c r="KLO177" s="250"/>
      <c r="KLP177" s="250"/>
      <c r="KLQ177" s="250"/>
      <c r="KLR177" s="250"/>
      <c r="KLS177" s="250"/>
      <c r="KLT177" s="250"/>
      <c r="KLU177" s="250"/>
      <c r="KLV177" s="250"/>
      <c r="KLW177" s="250"/>
      <c r="KLX177" s="250"/>
      <c r="KLY177" s="250"/>
      <c r="KLZ177" s="250"/>
      <c r="KMA177" s="250"/>
      <c r="KMB177" s="250"/>
      <c r="KMC177" s="250"/>
      <c r="KMD177" s="250"/>
      <c r="KME177" s="250"/>
      <c r="KMF177" s="250"/>
      <c r="KMG177" s="250"/>
      <c r="KMH177" s="250"/>
      <c r="KMI177" s="250"/>
      <c r="KMJ177" s="250"/>
      <c r="KMK177" s="250"/>
      <c r="KML177" s="250"/>
      <c r="KMM177" s="250"/>
      <c r="KMN177" s="250"/>
      <c r="KMO177" s="250"/>
      <c r="KMP177" s="250"/>
      <c r="KMQ177" s="250"/>
      <c r="KMR177" s="250"/>
      <c r="KMS177" s="250"/>
      <c r="KMT177" s="250"/>
      <c r="KMU177" s="250"/>
      <c r="KMV177" s="250"/>
      <c r="KMW177" s="250"/>
      <c r="KMX177" s="250"/>
      <c r="KMY177" s="250"/>
      <c r="KMZ177" s="250"/>
      <c r="KNA177" s="250"/>
      <c r="KNB177" s="250"/>
      <c r="KNC177" s="250"/>
      <c r="KND177" s="250"/>
      <c r="KNE177" s="250"/>
      <c r="KNF177" s="250"/>
      <c r="KNG177" s="250"/>
      <c r="KNH177" s="250"/>
      <c r="KNI177" s="250"/>
      <c r="KNJ177" s="250"/>
      <c r="KNK177" s="250"/>
      <c r="KNL177" s="250"/>
      <c r="KNM177" s="250"/>
      <c r="KNN177" s="250"/>
      <c r="KNO177" s="250"/>
      <c r="KNP177" s="250"/>
      <c r="KNQ177" s="250"/>
      <c r="KNR177" s="250"/>
      <c r="KNS177" s="250"/>
      <c r="KNT177" s="250"/>
      <c r="KNU177" s="250"/>
      <c r="KNV177" s="250"/>
      <c r="KNW177" s="250"/>
      <c r="KNX177" s="250"/>
      <c r="KNY177" s="250"/>
      <c r="KNZ177" s="250"/>
      <c r="KOA177" s="250"/>
      <c r="KOB177" s="250"/>
      <c r="KOC177" s="250"/>
      <c r="KOD177" s="250"/>
      <c r="KOE177" s="250"/>
      <c r="KOF177" s="250"/>
      <c r="KOG177" s="250"/>
      <c r="KOH177" s="250"/>
      <c r="KOI177" s="250"/>
      <c r="KOJ177" s="250"/>
      <c r="KOK177" s="250"/>
      <c r="KOL177" s="250"/>
      <c r="KOM177" s="250"/>
      <c r="KON177" s="250"/>
      <c r="KOO177" s="250"/>
      <c r="KOP177" s="250"/>
      <c r="KOQ177" s="250"/>
      <c r="KOR177" s="250"/>
      <c r="KOS177" s="250"/>
      <c r="KOT177" s="250"/>
      <c r="KOU177" s="250"/>
      <c r="KOV177" s="250"/>
      <c r="KOW177" s="250"/>
      <c r="KOX177" s="250"/>
      <c r="KOY177" s="250"/>
      <c r="KOZ177" s="250"/>
      <c r="KPA177" s="250"/>
      <c r="KPB177" s="250"/>
      <c r="KPC177" s="250"/>
      <c r="KPD177" s="250"/>
      <c r="KPE177" s="250"/>
      <c r="KPF177" s="250"/>
      <c r="KPG177" s="250"/>
      <c r="KPH177" s="250"/>
      <c r="KPI177" s="250"/>
      <c r="KPJ177" s="250"/>
      <c r="KPK177" s="250"/>
      <c r="KPL177" s="250"/>
      <c r="KPM177" s="250"/>
      <c r="KPN177" s="250"/>
      <c r="KPO177" s="250"/>
      <c r="KPP177" s="250"/>
      <c r="KPQ177" s="250"/>
      <c r="KPR177" s="250"/>
      <c r="KPS177" s="250"/>
      <c r="KPT177" s="250"/>
      <c r="KPU177" s="250"/>
      <c r="KPV177" s="250"/>
      <c r="KPW177" s="250"/>
      <c r="KPX177" s="250"/>
      <c r="KPY177" s="250"/>
      <c r="KPZ177" s="250"/>
      <c r="KQA177" s="250"/>
      <c r="KQB177" s="250"/>
      <c r="KQC177" s="250"/>
      <c r="KQD177" s="250"/>
      <c r="KQE177" s="250"/>
      <c r="KQF177" s="250"/>
      <c r="KQG177" s="250"/>
      <c r="KQH177" s="250"/>
      <c r="KQI177" s="250"/>
      <c r="KQJ177" s="250"/>
      <c r="KQK177" s="250"/>
      <c r="KQL177" s="250"/>
      <c r="KQM177" s="250"/>
      <c r="KQN177" s="250"/>
      <c r="KQO177" s="250"/>
      <c r="KQP177" s="250"/>
      <c r="KQQ177" s="250"/>
      <c r="KQR177" s="250"/>
      <c r="KQS177" s="250"/>
      <c r="KQT177" s="250"/>
      <c r="KQU177" s="250"/>
      <c r="KQV177" s="250"/>
      <c r="KQW177" s="250"/>
      <c r="KQX177" s="250"/>
      <c r="KQY177" s="250"/>
      <c r="KQZ177" s="250"/>
      <c r="KRA177" s="250"/>
      <c r="KRB177" s="250"/>
      <c r="KRC177" s="250"/>
      <c r="KRD177" s="250"/>
      <c r="KRE177" s="250"/>
      <c r="KRF177" s="250"/>
      <c r="KRG177" s="250"/>
      <c r="KRH177" s="250"/>
      <c r="KRI177" s="250"/>
      <c r="KRJ177" s="250"/>
      <c r="KRK177" s="250"/>
      <c r="KRL177" s="250"/>
      <c r="KRM177" s="250"/>
      <c r="KRN177" s="250"/>
      <c r="KRO177" s="250"/>
      <c r="KRP177" s="250"/>
      <c r="KRQ177" s="250"/>
      <c r="KRR177" s="250"/>
      <c r="KRS177" s="250"/>
      <c r="KRT177" s="250"/>
      <c r="KRU177" s="250"/>
      <c r="KRV177" s="250"/>
      <c r="KRW177" s="250"/>
      <c r="KRX177" s="250"/>
      <c r="KRY177" s="250"/>
      <c r="KRZ177" s="250"/>
      <c r="KSA177" s="250"/>
      <c r="KSB177" s="250"/>
      <c r="KSC177" s="250"/>
      <c r="KSD177" s="250"/>
      <c r="KSE177" s="250"/>
      <c r="KSF177" s="250"/>
      <c r="KSG177" s="250"/>
      <c r="KSH177" s="250"/>
      <c r="KSI177" s="250"/>
      <c r="KSJ177" s="250"/>
      <c r="KSK177" s="250"/>
      <c r="KSL177" s="250"/>
      <c r="KSM177" s="250"/>
      <c r="KSN177" s="250"/>
      <c r="KSO177" s="250"/>
      <c r="KSP177" s="250"/>
      <c r="KSQ177" s="250"/>
      <c r="KSR177" s="250"/>
      <c r="KSS177" s="250"/>
      <c r="KST177" s="250"/>
      <c r="KSU177" s="250"/>
      <c r="KSV177" s="250"/>
      <c r="KSW177" s="250"/>
      <c r="KSX177" s="250"/>
      <c r="KSY177" s="250"/>
      <c r="KSZ177" s="250"/>
      <c r="KTA177" s="250"/>
      <c r="KTB177" s="250"/>
      <c r="KTC177" s="250"/>
      <c r="KTD177" s="250"/>
      <c r="KTE177" s="250"/>
      <c r="KTF177" s="250"/>
      <c r="KTG177" s="250"/>
      <c r="KTH177" s="250"/>
      <c r="KTI177" s="250"/>
      <c r="KTJ177" s="250"/>
      <c r="KTK177" s="250"/>
      <c r="KTL177" s="250"/>
      <c r="KTM177" s="250"/>
      <c r="KTN177" s="250"/>
      <c r="KTO177" s="250"/>
      <c r="KTP177" s="250"/>
      <c r="KTQ177" s="250"/>
      <c r="KTR177" s="250"/>
      <c r="KTS177" s="250"/>
      <c r="KTT177" s="250"/>
      <c r="KTU177" s="250"/>
      <c r="KTV177" s="250"/>
      <c r="KTW177" s="250"/>
      <c r="KTX177" s="250"/>
      <c r="KTY177" s="250"/>
      <c r="KTZ177" s="250"/>
      <c r="KUA177" s="250"/>
      <c r="KUB177" s="250"/>
      <c r="KUC177" s="250"/>
      <c r="KUD177" s="250"/>
      <c r="KUE177" s="250"/>
      <c r="KUF177" s="250"/>
      <c r="KUG177" s="250"/>
      <c r="KUH177" s="250"/>
      <c r="KUI177" s="250"/>
      <c r="KUJ177" s="250"/>
      <c r="KUK177" s="250"/>
      <c r="KUL177" s="250"/>
      <c r="KUM177" s="250"/>
      <c r="KUN177" s="250"/>
      <c r="KUO177" s="250"/>
      <c r="KUP177" s="250"/>
      <c r="KUQ177" s="250"/>
      <c r="KUR177" s="250"/>
      <c r="KUS177" s="250"/>
      <c r="KUT177" s="250"/>
      <c r="KUU177" s="250"/>
      <c r="KUV177" s="250"/>
      <c r="KUW177" s="250"/>
      <c r="KUX177" s="250"/>
      <c r="KUY177" s="250"/>
      <c r="KUZ177" s="250"/>
      <c r="KVA177" s="250"/>
      <c r="KVB177" s="250"/>
      <c r="KVC177" s="250"/>
      <c r="KVD177" s="250"/>
      <c r="KVE177" s="250"/>
      <c r="KVF177" s="250"/>
      <c r="KVG177" s="250"/>
      <c r="KVH177" s="250"/>
      <c r="KVI177" s="250"/>
      <c r="KVJ177" s="250"/>
      <c r="KVK177" s="250"/>
      <c r="KVL177" s="250"/>
      <c r="KVM177" s="250"/>
      <c r="KVN177" s="250"/>
      <c r="KVO177" s="250"/>
      <c r="KVP177" s="250"/>
      <c r="KVQ177" s="250"/>
      <c r="KVR177" s="250"/>
      <c r="KVS177" s="250"/>
      <c r="KVT177" s="250"/>
      <c r="KVU177" s="250"/>
      <c r="KVV177" s="250"/>
      <c r="KVW177" s="250"/>
      <c r="KVX177" s="250"/>
      <c r="KVY177" s="250"/>
      <c r="KVZ177" s="250"/>
      <c r="KWA177" s="250"/>
      <c r="KWB177" s="250"/>
      <c r="KWC177" s="250"/>
      <c r="KWD177" s="250"/>
      <c r="KWE177" s="250"/>
      <c r="KWF177" s="250"/>
      <c r="KWG177" s="250"/>
      <c r="KWH177" s="250"/>
      <c r="KWI177" s="250"/>
      <c r="KWJ177" s="250"/>
      <c r="KWK177" s="250"/>
      <c r="KWL177" s="250"/>
      <c r="KWM177" s="250"/>
      <c r="KWN177" s="250"/>
      <c r="KWO177" s="250"/>
      <c r="KWP177" s="250"/>
      <c r="KWQ177" s="250"/>
      <c r="KWR177" s="250"/>
      <c r="KWS177" s="250"/>
      <c r="KWT177" s="250"/>
      <c r="KWU177" s="250"/>
      <c r="KWV177" s="250"/>
      <c r="KWW177" s="250"/>
      <c r="KWX177" s="250"/>
      <c r="KWY177" s="250"/>
      <c r="KWZ177" s="250"/>
      <c r="KXA177" s="250"/>
      <c r="KXB177" s="250"/>
      <c r="KXC177" s="250"/>
      <c r="KXD177" s="250"/>
      <c r="KXE177" s="250"/>
      <c r="KXF177" s="250"/>
      <c r="KXG177" s="250"/>
      <c r="KXH177" s="250"/>
      <c r="KXI177" s="250"/>
      <c r="KXJ177" s="250"/>
      <c r="KXK177" s="250"/>
      <c r="KXL177" s="250"/>
      <c r="KXM177" s="250"/>
      <c r="KXN177" s="250"/>
      <c r="KXO177" s="250"/>
      <c r="KXP177" s="250"/>
      <c r="KXQ177" s="250"/>
      <c r="KXR177" s="250"/>
      <c r="KXS177" s="250"/>
      <c r="KXT177" s="250"/>
      <c r="KXU177" s="250"/>
      <c r="KXV177" s="250"/>
      <c r="KXW177" s="250"/>
      <c r="KXX177" s="250"/>
      <c r="KXY177" s="250"/>
      <c r="KXZ177" s="250"/>
      <c r="KYA177" s="250"/>
      <c r="KYB177" s="250"/>
      <c r="KYC177" s="250"/>
      <c r="KYD177" s="250"/>
      <c r="KYE177" s="250"/>
      <c r="KYF177" s="250"/>
      <c r="KYG177" s="250"/>
      <c r="KYH177" s="250"/>
      <c r="KYI177" s="250"/>
      <c r="KYJ177" s="250"/>
      <c r="KYK177" s="250"/>
      <c r="KYL177" s="250"/>
      <c r="KYM177" s="250"/>
      <c r="KYN177" s="250"/>
      <c r="KYO177" s="250"/>
      <c r="KYP177" s="250"/>
      <c r="KYQ177" s="250"/>
      <c r="KYR177" s="250"/>
      <c r="KYS177" s="250"/>
      <c r="KYT177" s="250"/>
      <c r="KYU177" s="250"/>
      <c r="KYV177" s="250"/>
      <c r="KYW177" s="250"/>
      <c r="KYX177" s="250"/>
      <c r="KYY177" s="250"/>
      <c r="KYZ177" s="250"/>
      <c r="KZA177" s="250"/>
      <c r="KZB177" s="250"/>
      <c r="KZC177" s="250"/>
      <c r="KZD177" s="250"/>
      <c r="KZE177" s="250"/>
      <c r="KZF177" s="250"/>
      <c r="KZG177" s="250"/>
      <c r="KZH177" s="250"/>
      <c r="KZI177" s="250"/>
      <c r="KZJ177" s="250"/>
      <c r="KZK177" s="250"/>
      <c r="KZL177" s="250"/>
      <c r="KZM177" s="250"/>
      <c r="KZN177" s="250"/>
      <c r="KZO177" s="250"/>
      <c r="KZP177" s="250"/>
      <c r="KZQ177" s="250"/>
      <c r="KZR177" s="250"/>
      <c r="KZS177" s="250"/>
      <c r="KZT177" s="250"/>
      <c r="KZU177" s="250"/>
      <c r="KZV177" s="250"/>
      <c r="KZW177" s="250"/>
      <c r="KZX177" s="250"/>
      <c r="KZY177" s="250"/>
      <c r="KZZ177" s="250"/>
      <c r="LAA177" s="250"/>
      <c r="LAB177" s="250"/>
      <c r="LAC177" s="250"/>
      <c r="LAD177" s="250"/>
      <c r="LAE177" s="250"/>
      <c r="LAF177" s="250"/>
      <c r="LAG177" s="250"/>
      <c r="LAH177" s="250"/>
      <c r="LAI177" s="250"/>
      <c r="LAJ177" s="250"/>
      <c r="LAK177" s="250"/>
      <c r="LAL177" s="250"/>
      <c r="LAM177" s="250"/>
      <c r="LAN177" s="250"/>
      <c r="LAO177" s="250"/>
      <c r="LAP177" s="250"/>
      <c r="LAQ177" s="250"/>
      <c r="LAR177" s="250"/>
      <c r="LAS177" s="250"/>
      <c r="LAT177" s="250"/>
      <c r="LAU177" s="250"/>
      <c r="LAV177" s="250"/>
      <c r="LAW177" s="250"/>
      <c r="LAX177" s="250"/>
      <c r="LAY177" s="250"/>
      <c r="LAZ177" s="250"/>
      <c r="LBA177" s="250"/>
      <c r="LBB177" s="250"/>
      <c r="LBC177" s="250"/>
      <c r="LBD177" s="250"/>
      <c r="LBE177" s="250"/>
      <c r="LBF177" s="250"/>
      <c r="LBG177" s="250"/>
      <c r="LBH177" s="250"/>
      <c r="LBI177" s="250"/>
      <c r="LBJ177" s="250"/>
      <c r="LBK177" s="250"/>
      <c r="LBL177" s="250"/>
      <c r="LBM177" s="250"/>
      <c r="LBN177" s="250"/>
      <c r="LBO177" s="250"/>
      <c r="LBP177" s="250"/>
      <c r="LBQ177" s="250"/>
      <c r="LBR177" s="250"/>
      <c r="LBS177" s="250"/>
      <c r="LBT177" s="250"/>
      <c r="LBU177" s="250"/>
      <c r="LBV177" s="250"/>
      <c r="LBW177" s="250"/>
      <c r="LBX177" s="250"/>
      <c r="LBY177" s="250"/>
      <c r="LBZ177" s="250"/>
      <c r="LCA177" s="250"/>
      <c r="LCB177" s="250"/>
      <c r="LCC177" s="250"/>
      <c r="LCD177" s="250"/>
      <c r="LCE177" s="250"/>
      <c r="LCF177" s="250"/>
      <c r="LCG177" s="250"/>
      <c r="LCH177" s="250"/>
      <c r="LCI177" s="250"/>
      <c r="LCJ177" s="250"/>
      <c r="LCK177" s="250"/>
      <c r="LCL177" s="250"/>
      <c r="LCM177" s="250"/>
      <c r="LCN177" s="250"/>
      <c r="LCO177" s="250"/>
      <c r="LCP177" s="250"/>
      <c r="LCQ177" s="250"/>
      <c r="LCR177" s="250"/>
      <c r="LCS177" s="250"/>
      <c r="LCT177" s="250"/>
      <c r="LCU177" s="250"/>
      <c r="LCV177" s="250"/>
      <c r="LCW177" s="250"/>
      <c r="LCX177" s="250"/>
      <c r="LCY177" s="250"/>
      <c r="LCZ177" s="250"/>
      <c r="LDA177" s="250"/>
      <c r="LDB177" s="250"/>
      <c r="LDC177" s="250"/>
      <c r="LDD177" s="250"/>
      <c r="LDE177" s="250"/>
      <c r="LDF177" s="250"/>
      <c r="LDG177" s="250"/>
      <c r="LDH177" s="250"/>
      <c r="LDI177" s="250"/>
      <c r="LDJ177" s="250"/>
      <c r="LDK177" s="250"/>
      <c r="LDL177" s="250"/>
      <c r="LDM177" s="250"/>
      <c r="LDN177" s="250"/>
      <c r="LDO177" s="250"/>
      <c r="LDP177" s="250"/>
      <c r="LDQ177" s="250"/>
      <c r="LDR177" s="250"/>
      <c r="LDS177" s="250"/>
      <c r="LDT177" s="250"/>
      <c r="LDU177" s="250"/>
      <c r="LDV177" s="250"/>
      <c r="LDW177" s="250"/>
      <c r="LDX177" s="250"/>
      <c r="LDY177" s="250"/>
      <c r="LDZ177" s="250"/>
      <c r="LEA177" s="250"/>
      <c r="LEB177" s="250"/>
      <c r="LEC177" s="250"/>
      <c r="LED177" s="250"/>
      <c r="LEE177" s="250"/>
      <c r="LEF177" s="250"/>
      <c r="LEG177" s="250"/>
      <c r="LEH177" s="250"/>
      <c r="LEI177" s="250"/>
      <c r="LEJ177" s="250"/>
      <c r="LEK177" s="250"/>
      <c r="LEL177" s="250"/>
      <c r="LEM177" s="250"/>
      <c r="LEN177" s="250"/>
      <c r="LEO177" s="250"/>
      <c r="LEP177" s="250"/>
      <c r="LEQ177" s="250"/>
      <c r="LER177" s="250"/>
      <c r="LES177" s="250"/>
      <c r="LET177" s="250"/>
      <c r="LEU177" s="250"/>
      <c r="LEV177" s="250"/>
      <c r="LEW177" s="250"/>
      <c r="LEX177" s="250"/>
      <c r="LEY177" s="250"/>
      <c r="LEZ177" s="250"/>
      <c r="LFA177" s="250"/>
      <c r="LFB177" s="250"/>
      <c r="LFC177" s="250"/>
      <c r="LFD177" s="250"/>
      <c r="LFE177" s="250"/>
      <c r="LFF177" s="250"/>
      <c r="LFG177" s="250"/>
      <c r="LFH177" s="250"/>
      <c r="LFI177" s="250"/>
      <c r="LFJ177" s="250"/>
      <c r="LFK177" s="250"/>
      <c r="LFL177" s="250"/>
      <c r="LFM177" s="250"/>
      <c r="LFN177" s="250"/>
      <c r="LFO177" s="250"/>
      <c r="LFP177" s="250"/>
      <c r="LFQ177" s="250"/>
      <c r="LFR177" s="250"/>
      <c r="LFS177" s="250"/>
      <c r="LFT177" s="250"/>
      <c r="LFU177" s="250"/>
      <c r="LFV177" s="250"/>
      <c r="LFW177" s="250"/>
      <c r="LFX177" s="250"/>
      <c r="LFY177" s="250"/>
      <c r="LFZ177" s="250"/>
      <c r="LGA177" s="250"/>
      <c r="LGB177" s="250"/>
      <c r="LGC177" s="250"/>
      <c r="LGD177" s="250"/>
      <c r="LGE177" s="250"/>
      <c r="LGF177" s="250"/>
      <c r="LGG177" s="250"/>
      <c r="LGH177" s="250"/>
      <c r="LGI177" s="250"/>
      <c r="LGJ177" s="250"/>
      <c r="LGK177" s="250"/>
      <c r="LGL177" s="250"/>
      <c r="LGM177" s="250"/>
      <c r="LGN177" s="250"/>
      <c r="LGO177" s="250"/>
      <c r="LGP177" s="250"/>
      <c r="LGQ177" s="250"/>
      <c r="LGR177" s="250"/>
      <c r="LGS177" s="250"/>
      <c r="LGT177" s="250"/>
      <c r="LGU177" s="250"/>
      <c r="LGV177" s="250"/>
      <c r="LGW177" s="250"/>
      <c r="LGX177" s="250"/>
      <c r="LGY177" s="250"/>
      <c r="LGZ177" s="250"/>
      <c r="LHA177" s="250"/>
      <c r="LHB177" s="250"/>
      <c r="LHC177" s="250"/>
      <c r="LHD177" s="250"/>
      <c r="LHE177" s="250"/>
      <c r="LHF177" s="250"/>
      <c r="LHG177" s="250"/>
      <c r="LHH177" s="250"/>
      <c r="LHI177" s="250"/>
      <c r="LHJ177" s="250"/>
      <c r="LHK177" s="250"/>
      <c r="LHL177" s="250"/>
      <c r="LHM177" s="250"/>
      <c r="LHN177" s="250"/>
      <c r="LHO177" s="250"/>
      <c r="LHP177" s="250"/>
      <c r="LHQ177" s="250"/>
      <c r="LHR177" s="250"/>
      <c r="LHS177" s="250"/>
      <c r="LHT177" s="250"/>
      <c r="LHU177" s="250"/>
      <c r="LHV177" s="250"/>
      <c r="LHW177" s="250"/>
      <c r="LHX177" s="250"/>
      <c r="LHY177" s="250"/>
      <c r="LHZ177" s="250"/>
      <c r="LIA177" s="250"/>
      <c r="LIB177" s="250"/>
      <c r="LIC177" s="250"/>
      <c r="LID177" s="250"/>
      <c r="LIE177" s="250"/>
      <c r="LIF177" s="250"/>
      <c r="LIG177" s="250"/>
      <c r="LIH177" s="250"/>
      <c r="LII177" s="250"/>
      <c r="LIJ177" s="250"/>
      <c r="LIK177" s="250"/>
      <c r="LIL177" s="250"/>
      <c r="LIM177" s="250"/>
      <c r="LIN177" s="250"/>
      <c r="LIO177" s="250"/>
      <c r="LIP177" s="250"/>
      <c r="LIQ177" s="250"/>
      <c r="LIR177" s="250"/>
      <c r="LIS177" s="250"/>
      <c r="LIT177" s="250"/>
      <c r="LIU177" s="250"/>
      <c r="LIV177" s="250"/>
      <c r="LIW177" s="250"/>
      <c r="LIX177" s="250"/>
      <c r="LIY177" s="250"/>
      <c r="LIZ177" s="250"/>
      <c r="LJA177" s="250"/>
      <c r="LJB177" s="250"/>
      <c r="LJC177" s="250"/>
      <c r="LJD177" s="250"/>
      <c r="LJE177" s="250"/>
      <c r="LJF177" s="250"/>
      <c r="LJG177" s="250"/>
      <c r="LJH177" s="250"/>
      <c r="LJI177" s="250"/>
      <c r="LJJ177" s="250"/>
      <c r="LJK177" s="250"/>
      <c r="LJL177" s="250"/>
      <c r="LJM177" s="250"/>
      <c r="LJN177" s="250"/>
      <c r="LJO177" s="250"/>
      <c r="LJP177" s="250"/>
      <c r="LJQ177" s="250"/>
      <c r="LJR177" s="250"/>
      <c r="LJS177" s="250"/>
      <c r="LJT177" s="250"/>
      <c r="LJU177" s="250"/>
      <c r="LJV177" s="250"/>
      <c r="LJW177" s="250"/>
      <c r="LJX177" s="250"/>
      <c r="LJY177" s="250"/>
      <c r="LJZ177" s="250"/>
      <c r="LKA177" s="250"/>
      <c r="LKB177" s="250"/>
      <c r="LKC177" s="250"/>
      <c r="LKD177" s="250"/>
      <c r="LKE177" s="250"/>
      <c r="LKF177" s="250"/>
      <c r="LKG177" s="250"/>
      <c r="LKH177" s="250"/>
      <c r="LKI177" s="250"/>
      <c r="LKJ177" s="250"/>
      <c r="LKK177" s="250"/>
      <c r="LKL177" s="250"/>
      <c r="LKM177" s="250"/>
      <c r="LKN177" s="250"/>
      <c r="LKO177" s="250"/>
      <c r="LKP177" s="250"/>
      <c r="LKQ177" s="250"/>
      <c r="LKR177" s="250"/>
      <c r="LKS177" s="250"/>
      <c r="LKT177" s="250"/>
      <c r="LKU177" s="250"/>
      <c r="LKV177" s="250"/>
      <c r="LKW177" s="250"/>
      <c r="LKX177" s="250"/>
      <c r="LKY177" s="250"/>
      <c r="LKZ177" s="250"/>
      <c r="LLA177" s="250"/>
      <c r="LLB177" s="250"/>
      <c r="LLC177" s="250"/>
      <c r="LLD177" s="250"/>
      <c r="LLE177" s="250"/>
      <c r="LLF177" s="250"/>
      <c r="LLG177" s="250"/>
      <c r="LLH177" s="250"/>
      <c r="LLI177" s="250"/>
      <c r="LLJ177" s="250"/>
      <c r="LLK177" s="250"/>
      <c r="LLL177" s="250"/>
      <c r="LLM177" s="250"/>
      <c r="LLN177" s="250"/>
      <c r="LLO177" s="250"/>
      <c r="LLP177" s="250"/>
      <c r="LLQ177" s="250"/>
      <c r="LLR177" s="250"/>
      <c r="LLS177" s="250"/>
      <c r="LLT177" s="250"/>
      <c r="LLU177" s="250"/>
      <c r="LLV177" s="250"/>
      <c r="LLW177" s="250"/>
      <c r="LLX177" s="250"/>
      <c r="LLY177" s="250"/>
      <c r="LLZ177" s="250"/>
      <c r="LMA177" s="250"/>
      <c r="LMB177" s="250"/>
      <c r="LMC177" s="250"/>
      <c r="LMD177" s="250"/>
      <c r="LME177" s="250"/>
      <c r="LMF177" s="250"/>
      <c r="LMG177" s="250"/>
      <c r="LMH177" s="250"/>
      <c r="LMI177" s="250"/>
      <c r="LMJ177" s="250"/>
      <c r="LMK177" s="250"/>
      <c r="LML177" s="250"/>
      <c r="LMM177" s="250"/>
      <c r="LMN177" s="250"/>
      <c r="LMO177" s="250"/>
      <c r="LMP177" s="250"/>
      <c r="LMQ177" s="250"/>
      <c r="LMR177" s="250"/>
      <c r="LMS177" s="250"/>
      <c r="LMT177" s="250"/>
      <c r="LMU177" s="250"/>
      <c r="LMV177" s="250"/>
      <c r="LMW177" s="250"/>
      <c r="LMX177" s="250"/>
      <c r="LMY177" s="250"/>
      <c r="LMZ177" s="250"/>
      <c r="LNA177" s="250"/>
      <c r="LNB177" s="250"/>
      <c r="LNC177" s="250"/>
      <c r="LND177" s="250"/>
      <c r="LNE177" s="250"/>
      <c r="LNF177" s="250"/>
      <c r="LNG177" s="250"/>
      <c r="LNH177" s="250"/>
      <c r="LNI177" s="250"/>
      <c r="LNJ177" s="250"/>
      <c r="LNK177" s="250"/>
      <c r="LNL177" s="250"/>
      <c r="LNM177" s="250"/>
      <c r="LNN177" s="250"/>
      <c r="LNO177" s="250"/>
      <c r="LNP177" s="250"/>
      <c r="LNQ177" s="250"/>
      <c r="LNR177" s="250"/>
      <c r="LNS177" s="250"/>
      <c r="LNT177" s="250"/>
      <c r="LNU177" s="250"/>
      <c r="LNV177" s="250"/>
      <c r="LNW177" s="250"/>
      <c r="LNX177" s="250"/>
      <c r="LNY177" s="250"/>
      <c r="LNZ177" s="250"/>
      <c r="LOA177" s="250"/>
      <c r="LOB177" s="250"/>
      <c r="LOC177" s="250"/>
      <c r="LOD177" s="250"/>
      <c r="LOE177" s="250"/>
      <c r="LOF177" s="250"/>
      <c r="LOG177" s="250"/>
      <c r="LOH177" s="250"/>
      <c r="LOI177" s="250"/>
      <c r="LOJ177" s="250"/>
      <c r="LOK177" s="250"/>
      <c r="LOL177" s="250"/>
      <c r="LOM177" s="250"/>
      <c r="LON177" s="250"/>
      <c r="LOO177" s="250"/>
      <c r="LOP177" s="250"/>
      <c r="LOQ177" s="250"/>
      <c r="LOR177" s="250"/>
      <c r="LOS177" s="250"/>
      <c r="LOT177" s="250"/>
      <c r="LOU177" s="250"/>
      <c r="LOV177" s="250"/>
      <c r="LOW177" s="250"/>
      <c r="LOX177" s="250"/>
      <c r="LOY177" s="250"/>
      <c r="LOZ177" s="250"/>
      <c r="LPA177" s="250"/>
      <c r="LPB177" s="250"/>
      <c r="LPC177" s="250"/>
      <c r="LPD177" s="250"/>
      <c r="LPE177" s="250"/>
      <c r="LPF177" s="250"/>
      <c r="LPG177" s="250"/>
      <c r="LPH177" s="250"/>
      <c r="LPI177" s="250"/>
      <c r="LPJ177" s="250"/>
      <c r="LPK177" s="250"/>
      <c r="LPL177" s="250"/>
      <c r="LPM177" s="250"/>
      <c r="LPN177" s="250"/>
      <c r="LPO177" s="250"/>
      <c r="LPP177" s="250"/>
      <c r="LPQ177" s="250"/>
      <c r="LPR177" s="250"/>
      <c r="LPS177" s="250"/>
      <c r="LPT177" s="250"/>
      <c r="LPU177" s="250"/>
      <c r="LPV177" s="250"/>
      <c r="LPW177" s="250"/>
      <c r="LPX177" s="250"/>
      <c r="LPY177" s="250"/>
      <c r="LPZ177" s="250"/>
      <c r="LQA177" s="250"/>
      <c r="LQB177" s="250"/>
      <c r="LQC177" s="250"/>
      <c r="LQD177" s="250"/>
      <c r="LQE177" s="250"/>
      <c r="LQF177" s="250"/>
      <c r="LQG177" s="250"/>
      <c r="LQH177" s="250"/>
      <c r="LQI177" s="250"/>
      <c r="LQJ177" s="250"/>
      <c r="LQK177" s="250"/>
      <c r="LQL177" s="250"/>
      <c r="LQM177" s="250"/>
      <c r="LQN177" s="250"/>
      <c r="LQO177" s="250"/>
      <c r="LQP177" s="250"/>
      <c r="LQQ177" s="250"/>
      <c r="LQR177" s="250"/>
      <c r="LQS177" s="250"/>
      <c r="LQT177" s="250"/>
      <c r="LQU177" s="250"/>
      <c r="LQV177" s="250"/>
      <c r="LQW177" s="250"/>
      <c r="LQX177" s="250"/>
      <c r="LQY177" s="250"/>
      <c r="LQZ177" s="250"/>
      <c r="LRA177" s="250"/>
      <c r="LRB177" s="250"/>
      <c r="LRC177" s="250"/>
      <c r="LRD177" s="250"/>
      <c r="LRE177" s="250"/>
      <c r="LRF177" s="250"/>
      <c r="LRG177" s="250"/>
      <c r="LRH177" s="250"/>
      <c r="LRI177" s="250"/>
      <c r="LRJ177" s="250"/>
      <c r="LRK177" s="250"/>
      <c r="LRL177" s="250"/>
      <c r="LRM177" s="250"/>
      <c r="LRN177" s="250"/>
      <c r="LRO177" s="250"/>
      <c r="LRP177" s="250"/>
      <c r="LRQ177" s="250"/>
      <c r="LRR177" s="250"/>
      <c r="LRS177" s="250"/>
      <c r="LRT177" s="250"/>
      <c r="LRU177" s="250"/>
      <c r="LRV177" s="250"/>
      <c r="LRW177" s="250"/>
      <c r="LRX177" s="250"/>
      <c r="LRY177" s="250"/>
      <c r="LRZ177" s="250"/>
      <c r="LSA177" s="250"/>
      <c r="LSB177" s="250"/>
      <c r="LSC177" s="250"/>
      <c r="LSD177" s="250"/>
      <c r="LSE177" s="250"/>
      <c r="LSF177" s="250"/>
      <c r="LSG177" s="250"/>
      <c r="LSH177" s="250"/>
      <c r="LSI177" s="250"/>
      <c r="LSJ177" s="250"/>
      <c r="LSK177" s="250"/>
      <c r="LSL177" s="250"/>
      <c r="LSM177" s="250"/>
      <c r="LSN177" s="250"/>
      <c r="LSO177" s="250"/>
      <c r="LSP177" s="250"/>
      <c r="LSQ177" s="250"/>
      <c r="LSR177" s="250"/>
      <c r="LSS177" s="250"/>
      <c r="LST177" s="250"/>
      <c r="LSU177" s="250"/>
      <c r="LSV177" s="250"/>
      <c r="LSW177" s="250"/>
      <c r="LSX177" s="250"/>
      <c r="LSY177" s="250"/>
      <c r="LSZ177" s="250"/>
      <c r="LTA177" s="250"/>
      <c r="LTB177" s="250"/>
      <c r="LTC177" s="250"/>
      <c r="LTD177" s="250"/>
      <c r="LTE177" s="250"/>
      <c r="LTF177" s="250"/>
      <c r="LTG177" s="250"/>
      <c r="LTH177" s="250"/>
      <c r="LTI177" s="250"/>
      <c r="LTJ177" s="250"/>
      <c r="LTK177" s="250"/>
      <c r="LTL177" s="250"/>
      <c r="LTM177" s="250"/>
      <c r="LTN177" s="250"/>
      <c r="LTO177" s="250"/>
      <c r="LTP177" s="250"/>
      <c r="LTQ177" s="250"/>
      <c r="LTR177" s="250"/>
      <c r="LTS177" s="250"/>
      <c r="LTT177" s="250"/>
      <c r="LTU177" s="250"/>
      <c r="LTV177" s="250"/>
      <c r="LTW177" s="250"/>
      <c r="LTX177" s="250"/>
      <c r="LTY177" s="250"/>
      <c r="LTZ177" s="250"/>
      <c r="LUA177" s="250"/>
      <c r="LUB177" s="250"/>
      <c r="LUC177" s="250"/>
      <c r="LUD177" s="250"/>
      <c r="LUE177" s="250"/>
      <c r="LUF177" s="250"/>
      <c r="LUG177" s="250"/>
      <c r="LUH177" s="250"/>
      <c r="LUI177" s="250"/>
      <c r="LUJ177" s="250"/>
      <c r="LUK177" s="250"/>
      <c r="LUL177" s="250"/>
      <c r="LUM177" s="250"/>
      <c r="LUN177" s="250"/>
      <c r="LUO177" s="250"/>
      <c r="LUP177" s="250"/>
      <c r="LUQ177" s="250"/>
      <c r="LUR177" s="250"/>
      <c r="LUS177" s="250"/>
      <c r="LUT177" s="250"/>
      <c r="LUU177" s="250"/>
      <c r="LUV177" s="250"/>
      <c r="LUW177" s="250"/>
      <c r="LUX177" s="250"/>
      <c r="LUY177" s="250"/>
      <c r="LUZ177" s="250"/>
      <c r="LVA177" s="250"/>
      <c r="LVB177" s="250"/>
      <c r="LVC177" s="250"/>
      <c r="LVD177" s="250"/>
      <c r="LVE177" s="250"/>
      <c r="LVF177" s="250"/>
      <c r="LVG177" s="250"/>
      <c r="LVH177" s="250"/>
      <c r="LVI177" s="250"/>
      <c r="LVJ177" s="250"/>
      <c r="LVK177" s="250"/>
      <c r="LVL177" s="250"/>
      <c r="LVM177" s="250"/>
      <c r="LVN177" s="250"/>
      <c r="LVO177" s="250"/>
      <c r="LVP177" s="250"/>
      <c r="LVQ177" s="250"/>
      <c r="LVR177" s="250"/>
      <c r="LVS177" s="250"/>
      <c r="LVT177" s="250"/>
      <c r="LVU177" s="250"/>
      <c r="LVV177" s="250"/>
      <c r="LVW177" s="250"/>
      <c r="LVX177" s="250"/>
      <c r="LVY177" s="250"/>
      <c r="LVZ177" s="250"/>
      <c r="LWA177" s="250"/>
      <c r="LWB177" s="250"/>
      <c r="LWC177" s="250"/>
      <c r="LWD177" s="250"/>
      <c r="LWE177" s="250"/>
      <c r="LWF177" s="250"/>
      <c r="LWG177" s="250"/>
      <c r="LWH177" s="250"/>
      <c r="LWI177" s="250"/>
      <c r="LWJ177" s="250"/>
      <c r="LWK177" s="250"/>
      <c r="LWL177" s="250"/>
      <c r="LWM177" s="250"/>
      <c r="LWN177" s="250"/>
      <c r="LWO177" s="250"/>
      <c r="LWP177" s="250"/>
      <c r="LWQ177" s="250"/>
      <c r="LWR177" s="250"/>
      <c r="LWS177" s="250"/>
      <c r="LWT177" s="250"/>
      <c r="LWU177" s="250"/>
      <c r="LWV177" s="250"/>
      <c r="LWW177" s="250"/>
      <c r="LWX177" s="250"/>
      <c r="LWY177" s="250"/>
      <c r="LWZ177" s="250"/>
      <c r="LXA177" s="250"/>
      <c r="LXB177" s="250"/>
      <c r="LXC177" s="250"/>
      <c r="LXD177" s="250"/>
      <c r="LXE177" s="250"/>
      <c r="LXF177" s="250"/>
      <c r="LXG177" s="250"/>
      <c r="LXH177" s="250"/>
      <c r="LXI177" s="250"/>
      <c r="LXJ177" s="250"/>
      <c r="LXK177" s="250"/>
      <c r="LXL177" s="250"/>
      <c r="LXM177" s="250"/>
      <c r="LXN177" s="250"/>
      <c r="LXO177" s="250"/>
      <c r="LXP177" s="250"/>
      <c r="LXQ177" s="250"/>
      <c r="LXR177" s="250"/>
      <c r="LXS177" s="250"/>
      <c r="LXT177" s="250"/>
      <c r="LXU177" s="250"/>
      <c r="LXV177" s="250"/>
      <c r="LXW177" s="250"/>
      <c r="LXX177" s="250"/>
      <c r="LXY177" s="250"/>
      <c r="LXZ177" s="250"/>
      <c r="LYA177" s="250"/>
      <c r="LYB177" s="250"/>
      <c r="LYC177" s="250"/>
      <c r="LYD177" s="250"/>
      <c r="LYE177" s="250"/>
      <c r="LYF177" s="250"/>
      <c r="LYG177" s="250"/>
      <c r="LYH177" s="250"/>
      <c r="LYI177" s="250"/>
      <c r="LYJ177" s="250"/>
      <c r="LYK177" s="250"/>
      <c r="LYL177" s="250"/>
      <c r="LYM177" s="250"/>
      <c r="LYN177" s="250"/>
      <c r="LYO177" s="250"/>
      <c r="LYP177" s="250"/>
      <c r="LYQ177" s="250"/>
      <c r="LYR177" s="250"/>
      <c r="LYS177" s="250"/>
      <c r="LYT177" s="250"/>
      <c r="LYU177" s="250"/>
      <c r="LYV177" s="250"/>
      <c r="LYW177" s="250"/>
      <c r="LYX177" s="250"/>
      <c r="LYY177" s="250"/>
      <c r="LYZ177" s="250"/>
      <c r="LZA177" s="250"/>
      <c r="LZB177" s="250"/>
      <c r="LZC177" s="250"/>
      <c r="LZD177" s="250"/>
      <c r="LZE177" s="250"/>
      <c r="LZF177" s="250"/>
      <c r="LZG177" s="250"/>
      <c r="LZH177" s="250"/>
      <c r="LZI177" s="250"/>
      <c r="LZJ177" s="250"/>
      <c r="LZK177" s="250"/>
      <c r="LZL177" s="250"/>
      <c r="LZM177" s="250"/>
      <c r="LZN177" s="250"/>
      <c r="LZO177" s="250"/>
      <c r="LZP177" s="250"/>
      <c r="LZQ177" s="250"/>
      <c r="LZR177" s="250"/>
      <c r="LZS177" s="250"/>
      <c r="LZT177" s="250"/>
      <c r="LZU177" s="250"/>
      <c r="LZV177" s="250"/>
      <c r="LZW177" s="250"/>
      <c r="LZX177" s="250"/>
      <c r="LZY177" s="250"/>
      <c r="LZZ177" s="250"/>
      <c r="MAA177" s="250"/>
      <c r="MAB177" s="250"/>
      <c r="MAC177" s="250"/>
      <c r="MAD177" s="250"/>
      <c r="MAE177" s="250"/>
      <c r="MAF177" s="250"/>
      <c r="MAG177" s="250"/>
      <c r="MAH177" s="250"/>
      <c r="MAI177" s="250"/>
      <c r="MAJ177" s="250"/>
      <c r="MAK177" s="250"/>
      <c r="MAL177" s="250"/>
      <c r="MAM177" s="250"/>
      <c r="MAN177" s="250"/>
      <c r="MAO177" s="250"/>
      <c r="MAP177" s="250"/>
      <c r="MAQ177" s="250"/>
      <c r="MAR177" s="250"/>
      <c r="MAS177" s="250"/>
      <c r="MAT177" s="250"/>
      <c r="MAU177" s="250"/>
      <c r="MAV177" s="250"/>
      <c r="MAW177" s="250"/>
      <c r="MAX177" s="250"/>
      <c r="MAY177" s="250"/>
      <c r="MAZ177" s="250"/>
      <c r="MBA177" s="250"/>
      <c r="MBB177" s="250"/>
      <c r="MBC177" s="250"/>
      <c r="MBD177" s="250"/>
      <c r="MBE177" s="250"/>
      <c r="MBF177" s="250"/>
      <c r="MBG177" s="250"/>
      <c r="MBH177" s="250"/>
      <c r="MBI177" s="250"/>
      <c r="MBJ177" s="250"/>
      <c r="MBK177" s="250"/>
      <c r="MBL177" s="250"/>
      <c r="MBM177" s="250"/>
      <c r="MBN177" s="250"/>
      <c r="MBO177" s="250"/>
      <c r="MBP177" s="250"/>
      <c r="MBQ177" s="250"/>
      <c r="MBR177" s="250"/>
      <c r="MBS177" s="250"/>
      <c r="MBT177" s="250"/>
      <c r="MBU177" s="250"/>
      <c r="MBV177" s="250"/>
      <c r="MBW177" s="250"/>
      <c r="MBX177" s="250"/>
      <c r="MBY177" s="250"/>
      <c r="MBZ177" s="250"/>
      <c r="MCA177" s="250"/>
      <c r="MCB177" s="250"/>
      <c r="MCC177" s="250"/>
      <c r="MCD177" s="250"/>
      <c r="MCE177" s="250"/>
      <c r="MCF177" s="250"/>
      <c r="MCG177" s="250"/>
      <c r="MCH177" s="250"/>
      <c r="MCI177" s="250"/>
      <c r="MCJ177" s="250"/>
      <c r="MCK177" s="250"/>
      <c r="MCL177" s="250"/>
      <c r="MCM177" s="250"/>
      <c r="MCN177" s="250"/>
      <c r="MCO177" s="250"/>
      <c r="MCP177" s="250"/>
      <c r="MCQ177" s="250"/>
      <c r="MCR177" s="250"/>
      <c r="MCS177" s="250"/>
      <c r="MCT177" s="250"/>
      <c r="MCU177" s="250"/>
      <c r="MCV177" s="250"/>
      <c r="MCW177" s="250"/>
      <c r="MCX177" s="250"/>
      <c r="MCY177" s="250"/>
      <c r="MCZ177" s="250"/>
      <c r="MDA177" s="250"/>
      <c r="MDB177" s="250"/>
      <c r="MDC177" s="250"/>
      <c r="MDD177" s="250"/>
      <c r="MDE177" s="250"/>
      <c r="MDF177" s="250"/>
      <c r="MDG177" s="250"/>
      <c r="MDH177" s="250"/>
      <c r="MDI177" s="250"/>
      <c r="MDJ177" s="250"/>
      <c r="MDK177" s="250"/>
      <c r="MDL177" s="250"/>
      <c r="MDM177" s="250"/>
      <c r="MDN177" s="250"/>
      <c r="MDO177" s="250"/>
      <c r="MDP177" s="250"/>
      <c r="MDQ177" s="250"/>
      <c r="MDR177" s="250"/>
      <c r="MDS177" s="250"/>
      <c r="MDT177" s="250"/>
      <c r="MDU177" s="250"/>
      <c r="MDV177" s="250"/>
      <c r="MDW177" s="250"/>
      <c r="MDX177" s="250"/>
      <c r="MDY177" s="250"/>
      <c r="MDZ177" s="250"/>
      <c r="MEA177" s="250"/>
      <c r="MEB177" s="250"/>
      <c r="MEC177" s="250"/>
      <c r="MED177" s="250"/>
      <c r="MEE177" s="250"/>
      <c r="MEF177" s="250"/>
      <c r="MEG177" s="250"/>
      <c r="MEH177" s="250"/>
      <c r="MEI177" s="250"/>
      <c r="MEJ177" s="250"/>
      <c r="MEK177" s="250"/>
      <c r="MEL177" s="250"/>
      <c r="MEM177" s="250"/>
      <c r="MEN177" s="250"/>
      <c r="MEO177" s="250"/>
      <c r="MEP177" s="250"/>
      <c r="MEQ177" s="250"/>
      <c r="MER177" s="250"/>
      <c r="MES177" s="250"/>
      <c r="MET177" s="250"/>
      <c r="MEU177" s="250"/>
      <c r="MEV177" s="250"/>
      <c r="MEW177" s="250"/>
      <c r="MEX177" s="250"/>
      <c r="MEY177" s="250"/>
      <c r="MEZ177" s="250"/>
      <c r="MFA177" s="250"/>
      <c r="MFB177" s="250"/>
      <c r="MFC177" s="250"/>
      <c r="MFD177" s="250"/>
      <c r="MFE177" s="250"/>
      <c r="MFF177" s="250"/>
      <c r="MFG177" s="250"/>
      <c r="MFH177" s="250"/>
      <c r="MFI177" s="250"/>
      <c r="MFJ177" s="250"/>
      <c r="MFK177" s="250"/>
      <c r="MFL177" s="250"/>
      <c r="MFM177" s="250"/>
      <c r="MFN177" s="250"/>
      <c r="MFO177" s="250"/>
      <c r="MFP177" s="250"/>
      <c r="MFQ177" s="250"/>
      <c r="MFR177" s="250"/>
      <c r="MFS177" s="250"/>
      <c r="MFT177" s="250"/>
      <c r="MFU177" s="250"/>
      <c r="MFV177" s="250"/>
      <c r="MFW177" s="250"/>
      <c r="MFX177" s="250"/>
      <c r="MFY177" s="250"/>
      <c r="MFZ177" s="250"/>
      <c r="MGA177" s="250"/>
      <c r="MGB177" s="250"/>
      <c r="MGC177" s="250"/>
      <c r="MGD177" s="250"/>
      <c r="MGE177" s="250"/>
      <c r="MGF177" s="250"/>
      <c r="MGG177" s="250"/>
      <c r="MGH177" s="250"/>
      <c r="MGI177" s="250"/>
      <c r="MGJ177" s="250"/>
      <c r="MGK177" s="250"/>
      <c r="MGL177" s="250"/>
      <c r="MGM177" s="250"/>
      <c r="MGN177" s="250"/>
      <c r="MGO177" s="250"/>
      <c r="MGP177" s="250"/>
      <c r="MGQ177" s="250"/>
      <c r="MGR177" s="250"/>
      <c r="MGS177" s="250"/>
      <c r="MGT177" s="250"/>
      <c r="MGU177" s="250"/>
      <c r="MGV177" s="250"/>
      <c r="MGW177" s="250"/>
      <c r="MGX177" s="250"/>
      <c r="MGY177" s="250"/>
      <c r="MGZ177" s="250"/>
      <c r="MHA177" s="250"/>
      <c r="MHB177" s="250"/>
      <c r="MHC177" s="250"/>
      <c r="MHD177" s="250"/>
      <c r="MHE177" s="250"/>
      <c r="MHF177" s="250"/>
      <c r="MHG177" s="250"/>
      <c r="MHH177" s="250"/>
      <c r="MHI177" s="250"/>
      <c r="MHJ177" s="250"/>
      <c r="MHK177" s="250"/>
      <c r="MHL177" s="250"/>
      <c r="MHM177" s="250"/>
      <c r="MHN177" s="250"/>
      <c r="MHO177" s="250"/>
      <c r="MHP177" s="250"/>
      <c r="MHQ177" s="250"/>
      <c r="MHR177" s="250"/>
      <c r="MHS177" s="250"/>
      <c r="MHT177" s="250"/>
      <c r="MHU177" s="250"/>
      <c r="MHV177" s="250"/>
      <c r="MHW177" s="250"/>
      <c r="MHX177" s="250"/>
      <c r="MHY177" s="250"/>
      <c r="MHZ177" s="250"/>
      <c r="MIA177" s="250"/>
      <c r="MIB177" s="250"/>
      <c r="MIC177" s="250"/>
      <c r="MID177" s="250"/>
      <c r="MIE177" s="250"/>
      <c r="MIF177" s="250"/>
      <c r="MIG177" s="250"/>
      <c r="MIH177" s="250"/>
      <c r="MII177" s="250"/>
      <c r="MIJ177" s="250"/>
      <c r="MIK177" s="250"/>
      <c r="MIL177" s="250"/>
      <c r="MIM177" s="250"/>
      <c r="MIN177" s="250"/>
      <c r="MIO177" s="250"/>
      <c r="MIP177" s="250"/>
      <c r="MIQ177" s="250"/>
      <c r="MIR177" s="250"/>
      <c r="MIS177" s="250"/>
      <c r="MIT177" s="250"/>
      <c r="MIU177" s="250"/>
      <c r="MIV177" s="250"/>
      <c r="MIW177" s="250"/>
      <c r="MIX177" s="250"/>
      <c r="MIY177" s="250"/>
      <c r="MIZ177" s="250"/>
      <c r="MJA177" s="250"/>
      <c r="MJB177" s="250"/>
      <c r="MJC177" s="250"/>
      <c r="MJD177" s="250"/>
      <c r="MJE177" s="250"/>
      <c r="MJF177" s="250"/>
      <c r="MJG177" s="250"/>
      <c r="MJH177" s="250"/>
      <c r="MJI177" s="250"/>
      <c r="MJJ177" s="250"/>
      <c r="MJK177" s="250"/>
      <c r="MJL177" s="250"/>
      <c r="MJM177" s="250"/>
      <c r="MJN177" s="250"/>
      <c r="MJO177" s="250"/>
      <c r="MJP177" s="250"/>
      <c r="MJQ177" s="250"/>
      <c r="MJR177" s="250"/>
      <c r="MJS177" s="250"/>
      <c r="MJT177" s="250"/>
      <c r="MJU177" s="250"/>
      <c r="MJV177" s="250"/>
      <c r="MJW177" s="250"/>
      <c r="MJX177" s="250"/>
      <c r="MJY177" s="250"/>
      <c r="MJZ177" s="250"/>
      <c r="MKA177" s="250"/>
      <c r="MKB177" s="250"/>
      <c r="MKC177" s="250"/>
      <c r="MKD177" s="250"/>
      <c r="MKE177" s="250"/>
      <c r="MKF177" s="250"/>
      <c r="MKG177" s="250"/>
      <c r="MKH177" s="250"/>
      <c r="MKI177" s="250"/>
      <c r="MKJ177" s="250"/>
      <c r="MKK177" s="250"/>
      <c r="MKL177" s="250"/>
      <c r="MKM177" s="250"/>
      <c r="MKN177" s="250"/>
      <c r="MKO177" s="250"/>
      <c r="MKP177" s="250"/>
      <c r="MKQ177" s="250"/>
      <c r="MKR177" s="250"/>
      <c r="MKS177" s="250"/>
      <c r="MKT177" s="250"/>
      <c r="MKU177" s="250"/>
      <c r="MKV177" s="250"/>
      <c r="MKW177" s="250"/>
      <c r="MKX177" s="250"/>
      <c r="MKY177" s="250"/>
      <c r="MKZ177" s="250"/>
      <c r="MLA177" s="250"/>
      <c r="MLB177" s="250"/>
      <c r="MLC177" s="250"/>
      <c r="MLD177" s="250"/>
      <c r="MLE177" s="250"/>
      <c r="MLF177" s="250"/>
      <c r="MLG177" s="250"/>
      <c r="MLH177" s="250"/>
      <c r="MLI177" s="250"/>
      <c r="MLJ177" s="250"/>
      <c r="MLK177" s="250"/>
      <c r="MLL177" s="250"/>
      <c r="MLM177" s="250"/>
      <c r="MLN177" s="250"/>
      <c r="MLO177" s="250"/>
      <c r="MLP177" s="250"/>
      <c r="MLQ177" s="250"/>
      <c r="MLR177" s="250"/>
      <c r="MLS177" s="250"/>
      <c r="MLT177" s="250"/>
      <c r="MLU177" s="250"/>
      <c r="MLV177" s="250"/>
      <c r="MLW177" s="250"/>
      <c r="MLX177" s="250"/>
      <c r="MLY177" s="250"/>
      <c r="MLZ177" s="250"/>
      <c r="MMA177" s="250"/>
      <c r="MMB177" s="250"/>
      <c r="MMC177" s="250"/>
      <c r="MMD177" s="250"/>
      <c r="MME177" s="250"/>
      <c r="MMF177" s="250"/>
      <c r="MMG177" s="250"/>
      <c r="MMH177" s="250"/>
      <c r="MMI177" s="250"/>
      <c r="MMJ177" s="250"/>
      <c r="MMK177" s="250"/>
      <c r="MML177" s="250"/>
      <c r="MMM177" s="250"/>
      <c r="MMN177" s="250"/>
      <c r="MMO177" s="250"/>
      <c r="MMP177" s="250"/>
      <c r="MMQ177" s="250"/>
      <c r="MMR177" s="250"/>
      <c r="MMS177" s="250"/>
      <c r="MMT177" s="250"/>
      <c r="MMU177" s="250"/>
      <c r="MMV177" s="250"/>
      <c r="MMW177" s="250"/>
      <c r="MMX177" s="250"/>
      <c r="MMY177" s="250"/>
      <c r="MMZ177" s="250"/>
      <c r="MNA177" s="250"/>
      <c r="MNB177" s="250"/>
      <c r="MNC177" s="250"/>
      <c r="MND177" s="250"/>
      <c r="MNE177" s="250"/>
      <c r="MNF177" s="250"/>
      <c r="MNG177" s="250"/>
      <c r="MNH177" s="250"/>
      <c r="MNI177" s="250"/>
      <c r="MNJ177" s="250"/>
      <c r="MNK177" s="250"/>
      <c r="MNL177" s="250"/>
      <c r="MNM177" s="250"/>
      <c r="MNN177" s="250"/>
      <c r="MNO177" s="250"/>
      <c r="MNP177" s="250"/>
      <c r="MNQ177" s="250"/>
      <c r="MNR177" s="250"/>
      <c r="MNS177" s="250"/>
      <c r="MNT177" s="250"/>
      <c r="MNU177" s="250"/>
      <c r="MNV177" s="250"/>
      <c r="MNW177" s="250"/>
      <c r="MNX177" s="250"/>
      <c r="MNY177" s="250"/>
      <c r="MNZ177" s="250"/>
      <c r="MOA177" s="250"/>
      <c r="MOB177" s="250"/>
      <c r="MOC177" s="250"/>
      <c r="MOD177" s="250"/>
      <c r="MOE177" s="250"/>
      <c r="MOF177" s="250"/>
      <c r="MOG177" s="250"/>
      <c r="MOH177" s="250"/>
      <c r="MOI177" s="250"/>
      <c r="MOJ177" s="250"/>
      <c r="MOK177" s="250"/>
      <c r="MOL177" s="250"/>
      <c r="MOM177" s="250"/>
      <c r="MON177" s="250"/>
      <c r="MOO177" s="250"/>
      <c r="MOP177" s="250"/>
      <c r="MOQ177" s="250"/>
      <c r="MOR177" s="250"/>
      <c r="MOS177" s="250"/>
      <c r="MOT177" s="250"/>
      <c r="MOU177" s="250"/>
      <c r="MOV177" s="250"/>
      <c r="MOW177" s="250"/>
      <c r="MOX177" s="250"/>
      <c r="MOY177" s="250"/>
      <c r="MOZ177" s="250"/>
      <c r="MPA177" s="250"/>
      <c r="MPB177" s="250"/>
      <c r="MPC177" s="250"/>
      <c r="MPD177" s="250"/>
      <c r="MPE177" s="250"/>
      <c r="MPF177" s="250"/>
      <c r="MPG177" s="250"/>
      <c r="MPH177" s="250"/>
      <c r="MPI177" s="250"/>
      <c r="MPJ177" s="250"/>
      <c r="MPK177" s="250"/>
      <c r="MPL177" s="250"/>
      <c r="MPM177" s="250"/>
      <c r="MPN177" s="250"/>
      <c r="MPO177" s="250"/>
      <c r="MPP177" s="250"/>
      <c r="MPQ177" s="250"/>
      <c r="MPR177" s="250"/>
      <c r="MPS177" s="250"/>
      <c r="MPT177" s="250"/>
      <c r="MPU177" s="250"/>
      <c r="MPV177" s="250"/>
      <c r="MPW177" s="250"/>
      <c r="MPX177" s="250"/>
      <c r="MPY177" s="250"/>
      <c r="MPZ177" s="250"/>
      <c r="MQA177" s="250"/>
      <c r="MQB177" s="250"/>
      <c r="MQC177" s="250"/>
      <c r="MQD177" s="250"/>
      <c r="MQE177" s="250"/>
      <c r="MQF177" s="250"/>
      <c r="MQG177" s="250"/>
      <c r="MQH177" s="250"/>
      <c r="MQI177" s="250"/>
      <c r="MQJ177" s="250"/>
      <c r="MQK177" s="250"/>
      <c r="MQL177" s="250"/>
      <c r="MQM177" s="250"/>
      <c r="MQN177" s="250"/>
      <c r="MQO177" s="250"/>
      <c r="MQP177" s="250"/>
      <c r="MQQ177" s="250"/>
      <c r="MQR177" s="250"/>
      <c r="MQS177" s="250"/>
      <c r="MQT177" s="250"/>
      <c r="MQU177" s="250"/>
      <c r="MQV177" s="250"/>
      <c r="MQW177" s="250"/>
      <c r="MQX177" s="250"/>
      <c r="MQY177" s="250"/>
      <c r="MQZ177" s="250"/>
      <c r="MRA177" s="250"/>
      <c r="MRB177" s="250"/>
      <c r="MRC177" s="250"/>
      <c r="MRD177" s="250"/>
      <c r="MRE177" s="250"/>
      <c r="MRF177" s="250"/>
      <c r="MRG177" s="250"/>
      <c r="MRH177" s="250"/>
      <c r="MRI177" s="250"/>
      <c r="MRJ177" s="250"/>
      <c r="MRK177" s="250"/>
      <c r="MRL177" s="250"/>
      <c r="MRM177" s="250"/>
      <c r="MRN177" s="250"/>
      <c r="MRO177" s="250"/>
      <c r="MRP177" s="250"/>
      <c r="MRQ177" s="250"/>
      <c r="MRR177" s="250"/>
      <c r="MRS177" s="250"/>
      <c r="MRT177" s="250"/>
      <c r="MRU177" s="250"/>
      <c r="MRV177" s="250"/>
      <c r="MRW177" s="250"/>
      <c r="MRX177" s="250"/>
      <c r="MRY177" s="250"/>
      <c r="MRZ177" s="250"/>
      <c r="MSA177" s="250"/>
      <c r="MSB177" s="250"/>
      <c r="MSC177" s="250"/>
      <c r="MSD177" s="250"/>
      <c r="MSE177" s="250"/>
      <c r="MSF177" s="250"/>
      <c r="MSG177" s="250"/>
      <c r="MSH177" s="250"/>
      <c r="MSI177" s="250"/>
      <c r="MSJ177" s="250"/>
      <c r="MSK177" s="250"/>
      <c r="MSL177" s="250"/>
      <c r="MSM177" s="250"/>
      <c r="MSN177" s="250"/>
      <c r="MSO177" s="250"/>
      <c r="MSP177" s="250"/>
      <c r="MSQ177" s="250"/>
      <c r="MSR177" s="250"/>
      <c r="MSS177" s="250"/>
      <c r="MST177" s="250"/>
      <c r="MSU177" s="250"/>
      <c r="MSV177" s="250"/>
      <c r="MSW177" s="250"/>
      <c r="MSX177" s="250"/>
      <c r="MSY177" s="250"/>
      <c r="MSZ177" s="250"/>
      <c r="MTA177" s="250"/>
      <c r="MTB177" s="250"/>
      <c r="MTC177" s="250"/>
      <c r="MTD177" s="250"/>
      <c r="MTE177" s="250"/>
      <c r="MTF177" s="250"/>
      <c r="MTG177" s="250"/>
      <c r="MTH177" s="250"/>
      <c r="MTI177" s="250"/>
      <c r="MTJ177" s="250"/>
      <c r="MTK177" s="250"/>
      <c r="MTL177" s="250"/>
      <c r="MTM177" s="250"/>
      <c r="MTN177" s="250"/>
      <c r="MTO177" s="250"/>
      <c r="MTP177" s="250"/>
      <c r="MTQ177" s="250"/>
      <c r="MTR177" s="250"/>
      <c r="MTS177" s="250"/>
      <c r="MTT177" s="250"/>
      <c r="MTU177" s="250"/>
      <c r="MTV177" s="250"/>
      <c r="MTW177" s="250"/>
      <c r="MTX177" s="250"/>
      <c r="MTY177" s="250"/>
      <c r="MTZ177" s="250"/>
      <c r="MUA177" s="250"/>
      <c r="MUB177" s="250"/>
      <c r="MUC177" s="250"/>
      <c r="MUD177" s="250"/>
      <c r="MUE177" s="250"/>
      <c r="MUF177" s="250"/>
      <c r="MUG177" s="250"/>
      <c r="MUH177" s="250"/>
      <c r="MUI177" s="250"/>
      <c r="MUJ177" s="250"/>
      <c r="MUK177" s="250"/>
      <c r="MUL177" s="250"/>
      <c r="MUM177" s="250"/>
      <c r="MUN177" s="250"/>
      <c r="MUO177" s="250"/>
      <c r="MUP177" s="250"/>
      <c r="MUQ177" s="250"/>
      <c r="MUR177" s="250"/>
      <c r="MUS177" s="250"/>
      <c r="MUT177" s="250"/>
      <c r="MUU177" s="250"/>
      <c r="MUV177" s="250"/>
      <c r="MUW177" s="250"/>
      <c r="MUX177" s="250"/>
      <c r="MUY177" s="250"/>
      <c r="MUZ177" s="250"/>
      <c r="MVA177" s="250"/>
      <c r="MVB177" s="250"/>
      <c r="MVC177" s="250"/>
      <c r="MVD177" s="250"/>
      <c r="MVE177" s="250"/>
      <c r="MVF177" s="250"/>
      <c r="MVG177" s="250"/>
      <c r="MVH177" s="250"/>
      <c r="MVI177" s="250"/>
      <c r="MVJ177" s="250"/>
      <c r="MVK177" s="250"/>
      <c r="MVL177" s="250"/>
      <c r="MVM177" s="250"/>
      <c r="MVN177" s="250"/>
      <c r="MVO177" s="250"/>
      <c r="MVP177" s="250"/>
      <c r="MVQ177" s="250"/>
      <c r="MVR177" s="250"/>
      <c r="MVS177" s="250"/>
      <c r="MVT177" s="250"/>
      <c r="MVU177" s="250"/>
      <c r="MVV177" s="250"/>
      <c r="MVW177" s="250"/>
      <c r="MVX177" s="250"/>
      <c r="MVY177" s="250"/>
      <c r="MVZ177" s="250"/>
      <c r="MWA177" s="250"/>
      <c r="MWB177" s="250"/>
      <c r="MWC177" s="250"/>
      <c r="MWD177" s="250"/>
      <c r="MWE177" s="250"/>
      <c r="MWF177" s="250"/>
      <c r="MWG177" s="250"/>
      <c r="MWH177" s="250"/>
      <c r="MWI177" s="250"/>
      <c r="MWJ177" s="250"/>
      <c r="MWK177" s="250"/>
      <c r="MWL177" s="250"/>
      <c r="MWM177" s="250"/>
      <c r="MWN177" s="250"/>
      <c r="MWO177" s="250"/>
      <c r="MWP177" s="250"/>
      <c r="MWQ177" s="250"/>
      <c r="MWR177" s="250"/>
      <c r="MWS177" s="250"/>
      <c r="MWT177" s="250"/>
      <c r="MWU177" s="250"/>
      <c r="MWV177" s="250"/>
      <c r="MWW177" s="250"/>
      <c r="MWX177" s="250"/>
      <c r="MWY177" s="250"/>
      <c r="MWZ177" s="250"/>
      <c r="MXA177" s="250"/>
      <c r="MXB177" s="250"/>
      <c r="MXC177" s="250"/>
      <c r="MXD177" s="250"/>
      <c r="MXE177" s="250"/>
      <c r="MXF177" s="250"/>
      <c r="MXG177" s="250"/>
      <c r="MXH177" s="250"/>
      <c r="MXI177" s="250"/>
      <c r="MXJ177" s="250"/>
      <c r="MXK177" s="250"/>
      <c r="MXL177" s="250"/>
      <c r="MXM177" s="250"/>
      <c r="MXN177" s="250"/>
      <c r="MXO177" s="250"/>
      <c r="MXP177" s="250"/>
      <c r="MXQ177" s="250"/>
      <c r="MXR177" s="250"/>
      <c r="MXS177" s="250"/>
      <c r="MXT177" s="250"/>
      <c r="MXU177" s="250"/>
      <c r="MXV177" s="250"/>
      <c r="MXW177" s="250"/>
      <c r="MXX177" s="250"/>
      <c r="MXY177" s="250"/>
      <c r="MXZ177" s="250"/>
      <c r="MYA177" s="250"/>
      <c r="MYB177" s="250"/>
      <c r="MYC177" s="250"/>
      <c r="MYD177" s="250"/>
      <c r="MYE177" s="250"/>
      <c r="MYF177" s="250"/>
      <c r="MYG177" s="250"/>
      <c r="MYH177" s="250"/>
      <c r="MYI177" s="250"/>
      <c r="MYJ177" s="250"/>
      <c r="MYK177" s="250"/>
      <c r="MYL177" s="250"/>
      <c r="MYM177" s="250"/>
      <c r="MYN177" s="250"/>
      <c r="MYO177" s="250"/>
      <c r="MYP177" s="250"/>
      <c r="MYQ177" s="250"/>
      <c r="MYR177" s="250"/>
      <c r="MYS177" s="250"/>
      <c r="MYT177" s="250"/>
      <c r="MYU177" s="250"/>
      <c r="MYV177" s="250"/>
      <c r="MYW177" s="250"/>
      <c r="MYX177" s="250"/>
      <c r="MYY177" s="250"/>
      <c r="MYZ177" s="250"/>
      <c r="MZA177" s="250"/>
      <c r="MZB177" s="250"/>
      <c r="MZC177" s="250"/>
      <c r="MZD177" s="250"/>
      <c r="MZE177" s="250"/>
      <c r="MZF177" s="250"/>
      <c r="MZG177" s="250"/>
      <c r="MZH177" s="250"/>
      <c r="MZI177" s="250"/>
      <c r="MZJ177" s="250"/>
      <c r="MZK177" s="250"/>
      <c r="MZL177" s="250"/>
      <c r="MZM177" s="250"/>
      <c r="MZN177" s="250"/>
      <c r="MZO177" s="250"/>
      <c r="MZP177" s="250"/>
      <c r="MZQ177" s="250"/>
      <c r="MZR177" s="250"/>
      <c r="MZS177" s="250"/>
      <c r="MZT177" s="250"/>
      <c r="MZU177" s="250"/>
      <c r="MZV177" s="250"/>
      <c r="MZW177" s="250"/>
      <c r="MZX177" s="250"/>
      <c r="MZY177" s="250"/>
      <c r="MZZ177" s="250"/>
      <c r="NAA177" s="250"/>
      <c r="NAB177" s="250"/>
      <c r="NAC177" s="250"/>
      <c r="NAD177" s="250"/>
      <c r="NAE177" s="250"/>
      <c r="NAF177" s="250"/>
      <c r="NAG177" s="250"/>
      <c r="NAH177" s="250"/>
      <c r="NAI177" s="250"/>
      <c r="NAJ177" s="250"/>
      <c r="NAK177" s="250"/>
      <c r="NAL177" s="250"/>
      <c r="NAM177" s="250"/>
      <c r="NAN177" s="250"/>
      <c r="NAO177" s="250"/>
      <c r="NAP177" s="250"/>
      <c r="NAQ177" s="250"/>
      <c r="NAR177" s="250"/>
      <c r="NAS177" s="250"/>
      <c r="NAT177" s="250"/>
      <c r="NAU177" s="250"/>
      <c r="NAV177" s="250"/>
      <c r="NAW177" s="250"/>
      <c r="NAX177" s="250"/>
      <c r="NAY177" s="250"/>
      <c r="NAZ177" s="250"/>
      <c r="NBA177" s="250"/>
      <c r="NBB177" s="250"/>
      <c r="NBC177" s="250"/>
      <c r="NBD177" s="250"/>
      <c r="NBE177" s="250"/>
      <c r="NBF177" s="250"/>
      <c r="NBG177" s="250"/>
      <c r="NBH177" s="250"/>
      <c r="NBI177" s="250"/>
      <c r="NBJ177" s="250"/>
      <c r="NBK177" s="250"/>
      <c r="NBL177" s="250"/>
      <c r="NBM177" s="250"/>
      <c r="NBN177" s="250"/>
      <c r="NBO177" s="250"/>
      <c r="NBP177" s="250"/>
      <c r="NBQ177" s="250"/>
      <c r="NBR177" s="250"/>
      <c r="NBS177" s="250"/>
      <c r="NBT177" s="250"/>
      <c r="NBU177" s="250"/>
      <c r="NBV177" s="250"/>
      <c r="NBW177" s="250"/>
      <c r="NBX177" s="250"/>
      <c r="NBY177" s="250"/>
      <c r="NBZ177" s="250"/>
      <c r="NCA177" s="250"/>
      <c r="NCB177" s="250"/>
      <c r="NCC177" s="250"/>
      <c r="NCD177" s="250"/>
      <c r="NCE177" s="250"/>
      <c r="NCF177" s="250"/>
      <c r="NCG177" s="250"/>
      <c r="NCH177" s="250"/>
      <c r="NCI177" s="250"/>
      <c r="NCJ177" s="250"/>
      <c r="NCK177" s="250"/>
      <c r="NCL177" s="250"/>
      <c r="NCM177" s="250"/>
      <c r="NCN177" s="250"/>
      <c r="NCO177" s="250"/>
      <c r="NCP177" s="250"/>
      <c r="NCQ177" s="250"/>
      <c r="NCR177" s="250"/>
      <c r="NCS177" s="250"/>
      <c r="NCT177" s="250"/>
      <c r="NCU177" s="250"/>
      <c r="NCV177" s="250"/>
      <c r="NCW177" s="250"/>
      <c r="NCX177" s="250"/>
      <c r="NCY177" s="250"/>
      <c r="NCZ177" s="250"/>
      <c r="NDA177" s="250"/>
      <c r="NDB177" s="250"/>
      <c r="NDC177" s="250"/>
      <c r="NDD177" s="250"/>
      <c r="NDE177" s="250"/>
      <c r="NDF177" s="250"/>
      <c r="NDG177" s="250"/>
      <c r="NDH177" s="250"/>
      <c r="NDI177" s="250"/>
      <c r="NDJ177" s="250"/>
      <c r="NDK177" s="250"/>
      <c r="NDL177" s="250"/>
      <c r="NDM177" s="250"/>
      <c r="NDN177" s="250"/>
      <c r="NDO177" s="250"/>
      <c r="NDP177" s="250"/>
      <c r="NDQ177" s="250"/>
      <c r="NDR177" s="250"/>
      <c r="NDS177" s="250"/>
      <c r="NDT177" s="250"/>
      <c r="NDU177" s="250"/>
      <c r="NDV177" s="250"/>
      <c r="NDW177" s="250"/>
      <c r="NDX177" s="250"/>
      <c r="NDY177" s="250"/>
      <c r="NDZ177" s="250"/>
      <c r="NEA177" s="250"/>
      <c r="NEB177" s="250"/>
      <c r="NEC177" s="250"/>
      <c r="NED177" s="250"/>
      <c r="NEE177" s="250"/>
      <c r="NEF177" s="250"/>
      <c r="NEG177" s="250"/>
      <c r="NEH177" s="250"/>
      <c r="NEI177" s="250"/>
      <c r="NEJ177" s="250"/>
      <c r="NEK177" s="250"/>
      <c r="NEL177" s="250"/>
      <c r="NEM177" s="250"/>
      <c r="NEN177" s="250"/>
      <c r="NEO177" s="250"/>
      <c r="NEP177" s="250"/>
      <c r="NEQ177" s="250"/>
      <c r="NER177" s="250"/>
      <c r="NES177" s="250"/>
      <c r="NET177" s="250"/>
      <c r="NEU177" s="250"/>
      <c r="NEV177" s="250"/>
      <c r="NEW177" s="250"/>
      <c r="NEX177" s="250"/>
      <c r="NEY177" s="250"/>
      <c r="NEZ177" s="250"/>
      <c r="NFA177" s="250"/>
      <c r="NFB177" s="250"/>
      <c r="NFC177" s="250"/>
      <c r="NFD177" s="250"/>
      <c r="NFE177" s="250"/>
      <c r="NFF177" s="250"/>
      <c r="NFG177" s="250"/>
      <c r="NFH177" s="250"/>
      <c r="NFI177" s="250"/>
      <c r="NFJ177" s="250"/>
      <c r="NFK177" s="250"/>
      <c r="NFL177" s="250"/>
      <c r="NFM177" s="250"/>
      <c r="NFN177" s="250"/>
      <c r="NFO177" s="250"/>
      <c r="NFP177" s="250"/>
      <c r="NFQ177" s="250"/>
      <c r="NFR177" s="250"/>
      <c r="NFS177" s="250"/>
      <c r="NFT177" s="250"/>
      <c r="NFU177" s="250"/>
      <c r="NFV177" s="250"/>
      <c r="NFW177" s="250"/>
      <c r="NFX177" s="250"/>
      <c r="NFY177" s="250"/>
      <c r="NFZ177" s="250"/>
      <c r="NGA177" s="250"/>
      <c r="NGB177" s="250"/>
      <c r="NGC177" s="250"/>
      <c r="NGD177" s="250"/>
      <c r="NGE177" s="250"/>
      <c r="NGF177" s="250"/>
      <c r="NGG177" s="250"/>
      <c r="NGH177" s="250"/>
      <c r="NGI177" s="250"/>
      <c r="NGJ177" s="250"/>
      <c r="NGK177" s="250"/>
      <c r="NGL177" s="250"/>
      <c r="NGM177" s="250"/>
      <c r="NGN177" s="250"/>
      <c r="NGO177" s="250"/>
      <c r="NGP177" s="250"/>
      <c r="NGQ177" s="250"/>
      <c r="NGR177" s="250"/>
      <c r="NGS177" s="250"/>
      <c r="NGT177" s="250"/>
      <c r="NGU177" s="250"/>
      <c r="NGV177" s="250"/>
      <c r="NGW177" s="250"/>
      <c r="NGX177" s="250"/>
      <c r="NGY177" s="250"/>
      <c r="NGZ177" s="250"/>
      <c r="NHA177" s="250"/>
      <c r="NHB177" s="250"/>
      <c r="NHC177" s="250"/>
      <c r="NHD177" s="250"/>
      <c r="NHE177" s="250"/>
      <c r="NHF177" s="250"/>
      <c r="NHG177" s="250"/>
      <c r="NHH177" s="250"/>
      <c r="NHI177" s="250"/>
      <c r="NHJ177" s="250"/>
      <c r="NHK177" s="250"/>
      <c r="NHL177" s="250"/>
      <c r="NHM177" s="250"/>
      <c r="NHN177" s="250"/>
      <c r="NHO177" s="250"/>
      <c r="NHP177" s="250"/>
      <c r="NHQ177" s="250"/>
      <c r="NHR177" s="250"/>
      <c r="NHS177" s="250"/>
      <c r="NHT177" s="250"/>
      <c r="NHU177" s="250"/>
      <c r="NHV177" s="250"/>
      <c r="NHW177" s="250"/>
      <c r="NHX177" s="250"/>
      <c r="NHY177" s="250"/>
      <c r="NHZ177" s="250"/>
      <c r="NIA177" s="250"/>
      <c r="NIB177" s="250"/>
      <c r="NIC177" s="250"/>
      <c r="NID177" s="250"/>
      <c r="NIE177" s="250"/>
      <c r="NIF177" s="250"/>
      <c r="NIG177" s="250"/>
      <c r="NIH177" s="250"/>
      <c r="NII177" s="250"/>
      <c r="NIJ177" s="250"/>
      <c r="NIK177" s="250"/>
      <c r="NIL177" s="250"/>
      <c r="NIM177" s="250"/>
      <c r="NIN177" s="250"/>
      <c r="NIO177" s="250"/>
      <c r="NIP177" s="250"/>
      <c r="NIQ177" s="250"/>
      <c r="NIR177" s="250"/>
      <c r="NIS177" s="250"/>
      <c r="NIT177" s="250"/>
      <c r="NIU177" s="250"/>
      <c r="NIV177" s="250"/>
      <c r="NIW177" s="250"/>
      <c r="NIX177" s="250"/>
      <c r="NIY177" s="250"/>
      <c r="NIZ177" s="250"/>
      <c r="NJA177" s="250"/>
      <c r="NJB177" s="250"/>
      <c r="NJC177" s="250"/>
      <c r="NJD177" s="250"/>
      <c r="NJE177" s="250"/>
      <c r="NJF177" s="250"/>
      <c r="NJG177" s="250"/>
      <c r="NJH177" s="250"/>
      <c r="NJI177" s="250"/>
      <c r="NJJ177" s="250"/>
      <c r="NJK177" s="250"/>
      <c r="NJL177" s="250"/>
      <c r="NJM177" s="250"/>
      <c r="NJN177" s="250"/>
      <c r="NJO177" s="250"/>
      <c r="NJP177" s="250"/>
      <c r="NJQ177" s="250"/>
      <c r="NJR177" s="250"/>
      <c r="NJS177" s="250"/>
      <c r="NJT177" s="250"/>
      <c r="NJU177" s="250"/>
      <c r="NJV177" s="250"/>
      <c r="NJW177" s="250"/>
      <c r="NJX177" s="250"/>
      <c r="NJY177" s="250"/>
      <c r="NJZ177" s="250"/>
      <c r="NKA177" s="250"/>
      <c r="NKB177" s="250"/>
      <c r="NKC177" s="250"/>
      <c r="NKD177" s="250"/>
      <c r="NKE177" s="250"/>
      <c r="NKF177" s="250"/>
      <c r="NKG177" s="250"/>
      <c r="NKH177" s="250"/>
      <c r="NKI177" s="250"/>
      <c r="NKJ177" s="250"/>
      <c r="NKK177" s="250"/>
      <c r="NKL177" s="250"/>
      <c r="NKM177" s="250"/>
      <c r="NKN177" s="250"/>
      <c r="NKO177" s="250"/>
      <c r="NKP177" s="250"/>
      <c r="NKQ177" s="250"/>
      <c r="NKR177" s="250"/>
      <c r="NKS177" s="250"/>
      <c r="NKT177" s="250"/>
      <c r="NKU177" s="250"/>
      <c r="NKV177" s="250"/>
      <c r="NKW177" s="250"/>
      <c r="NKX177" s="250"/>
      <c r="NKY177" s="250"/>
      <c r="NKZ177" s="250"/>
      <c r="NLA177" s="250"/>
      <c r="NLB177" s="250"/>
      <c r="NLC177" s="250"/>
      <c r="NLD177" s="250"/>
      <c r="NLE177" s="250"/>
      <c r="NLF177" s="250"/>
      <c r="NLG177" s="250"/>
      <c r="NLH177" s="250"/>
      <c r="NLI177" s="250"/>
      <c r="NLJ177" s="250"/>
      <c r="NLK177" s="250"/>
      <c r="NLL177" s="250"/>
      <c r="NLM177" s="250"/>
      <c r="NLN177" s="250"/>
      <c r="NLO177" s="250"/>
      <c r="NLP177" s="250"/>
      <c r="NLQ177" s="250"/>
      <c r="NLR177" s="250"/>
      <c r="NLS177" s="250"/>
      <c r="NLT177" s="250"/>
      <c r="NLU177" s="250"/>
      <c r="NLV177" s="250"/>
      <c r="NLW177" s="250"/>
      <c r="NLX177" s="250"/>
      <c r="NLY177" s="250"/>
      <c r="NLZ177" s="250"/>
      <c r="NMA177" s="250"/>
      <c r="NMB177" s="250"/>
      <c r="NMC177" s="250"/>
      <c r="NMD177" s="250"/>
      <c r="NME177" s="250"/>
      <c r="NMF177" s="250"/>
      <c r="NMG177" s="250"/>
      <c r="NMH177" s="250"/>
      <c r="NMI177" s="250"/>
      <c r="NMJ177" s="250"/>
      <c r="NMK177" s="250"/>
      <c r="NML177" s="250"/>
      <c r="NMM177" s="250"/>
      <c r="NMN177" s="250"/>
      <c r="NMO177" s="250"/>
      <c r="NMP177" s="250"/>
      <c r="NMQ177" s="250"/>
      <c r="NMR177" s="250"/>
      <c r="NMS177" s="250"/>
      <c r="NMT177" s="250"/>
      <c r="NMU177" s="250"/>
      <c r="NMV177" s="250"/>
      <c r="NMW177" s="250"/>
      <c r="NMX177" s="250"/>
      <c r="NMY177" s="250"/>
      <c r="NMZ177" s="250"/>
      <c r="NNA177" s="250"/>
      <c r="NNB177" s="250"/>
      <c r="NNC177" s="250"/>
      <c r="NND177" s="250"/>
      <c r="NNE177" s="250"/>
      <c r="NNF177" s="250"/>
      <c r="NNG177" s="250"/>
      <c r="NNH177" s="250"/>
      <c r="NNI177" s="250"/>
      <c r="NNJ177" s="250"/>
      <c r="NNK177" s="250"/>
      <c r="NNL177" s="250"/>
      <c r="NNM177" s="250"/>
      <c r="NNN177" s="250"/>
      <c r="NNO177" s="250"/>
      <c r="NNP177" s="250"/>
      <c r="NNQ177" s="250"/>
      <c r="NNR177" s="250"/>
      <c r="NNS177" s="250"/>
      <c r="NNT177" s="250"/>
      <c r="NNU177" s="250"/>
      <c r="NNV177" s="250"/>
      <c r="NNW177" s="250"/>
      <c r="NNX177" s="250"/>
      <c r="NNY177" s="250"/>
      <c r="NNZ177" s="250"/>
      <c r="NOA177" s="250"/>
      <c r="NOB177" s="250"/>
      <c r="NOC177" s="250"/>
      <c r="NOD177" s="250"/>
      <c r="NOE177" s="250"/>
      <c r="NOF177" s="250"/>
      <c r="NOG177" s="250"/>
      <c r="NOH177" s="250"/>
      <c r="NOI177" s="250"/>
      <c r="NOJ177" s="250"/>
      <c r="NOK177" s="250"/>
      <c r="NOL177" s="250"/>
      <c r="NOM177" s="250"/>
      <c r="NON177" s="250"/>
      <c r="NOO177" s="250"/>
      <c r="NOP177" s="250"/>
      <c r="NOQ177" s="250"/>
      <c r="NOR177" s="250"/>
      <c r="NOS177" s="250"/>
      <c r="NOT177" s="250"/>
      <c r="NOU177" s="250"/>
      <c r="NOV177" s="250"/>
      <c r="NOW177" s="250"/>
      <c r="NOX177" s="250"/>
      <c r="NOY177" s="250"/>
      <c r="NOZ177" s="250"/>
      <c r="NPA177" s="250"/>
      <c r="NPB177" s="250"/>
      <c r="NPC177" s="250"/>
      <c r="NPD177" s="250"/>
      <c r="NPE177" s="250"/>
      <c r="NPF177" s="250"/>
      <c r="NPG177" s="250"/>
      <c r="NPH177" s="250"/>
      <c r="NPI177" s="250"/>
      <c r="NPJ177" s="250"/>
      <c r="NPK177" s="250"/>
      <c r="NPL177" s="250"/>
      <c r="NPM177" s="250"/>
      <c r="NPN177" s="250"/>
      <c r="NPO177" s="250"/>
      <c r="NPP177" s="250"/>
      <c r="NPQ177" s="250"/>
      <c r="NPR177" s="250"/>
      <c r="NPS177" s="250"/>
      <c r="NPT177" s="250"/>
      <c r="NPU177" s="250"/>
      <c r="NPV177" s="250"/>
      <c r="NPW177" s="250"/>
      <c r="NPX177" s="250"/>
      <c r="NPY177" s="250"/>
      <c r="NPZ177" s="250"/>
      <c r="NQA177" s="250"/>
      <c r="NQB177" s="250"/>
      <c r="NQC177" s="250"/>
      <c r="NQD177" s="250"/>
      <c r="NQE177" s="250"/>
      <c r="NQF177" s="250"/>
      <c r="NQG177" s="250"/>
      <c r="NQH177" s="250"/>
      <c r="NQI177" s="250"/>
      <c r="NQJ177" s="250"/>
      <c r="NQK177" s="250"/>
      <c r="NQL177" s="250"/>
      <c r="NQM177" s="250"/>
      <c r="NQN177" s="250"/>
      <c r="NQO177" s="250"/>
      <c r="NQP177" s="250"/>
      <c r="NQQ177" s="250"/>
      <c r="NQR177" s="250"/>
      <c r="NQS177" s="250"/>
      <c r="NQT177" s="250"/>
      <c r="NQU177" s="250"/>
      <c r="NQV177" s="250"/>
      <c r="NQW177" s="250"/>
      <c r="NQX177" s="250"/>
      <c r="NQY177" s="250"/>
      <c r="NQZ177" s="250"/>
      <c r="NRA177" s="250"/>
      <c r="NRB177" s="250"/>
      <c r="NRC177" s="250"/>
      <c r="NRD177" s="250"/>
      <c r="NRE177" s="250"/>
      <c r="NRF177" s="250"/>
      <c r="NRG177" s="250"/>
      <c r="NRH177" s="250"/>
      <c r="NRI177" s="250"/>
      <c r="NRJ177" s="250"/>
      <c r="NRK177" s="250"/>
      <c r="NRL177" s="250"/>
      <c r="NRM177" s="250"/>
      <c r="NRN177" s="250"/>
      <c r="NRO177" s="250"/>
      <c r="NRP177" s="250"/>
      <c r="NRQ177" s="250"/>
      <c r="NRR177" s="250"/>
      <c r="NRS177" s="250"/>
      <c r="NRT177" s="250"/>
      <c r="NRU177" s="250"/>
      <c r="NRV177" s="250"/>
      <c r="NRW177" s="250"/>
      <c r="NRX177" s="250"/>
      <c r="NRY177" s="250"/>
      <c r="NRZ177" s="250"/>
      <c r="NSA177" s="250"/>
      <c r="NSB177" s="250"/>
      <c r="NSC177" s="250"/>
      <c r="NSD177" s="250"/>
      <c r="NSE177" s="250"/>
      <c r="NSF177" s="250"/>
      <c r="NSG177" s="250"/>
      <c r="NSH177" s="250"/>
      <c r="NSI177" s="250"/>
      <c r="NSJ177" s="250"/>
      <c r="NSK177" s="250"/>
      <c r="NSL177" s="250"/>
      <c r="NSM177" s="250"/>
      <c r="NSN177" s="250"/>
      <c r="NSO177" s="250"/>
      <c r="NSP177" s="250"/>
      <c r="NSQ177" s="250"/>
      <c r="NSR177" s="250"/>
      <c r="NSS177" s="250"/>
      <c r="NST177" s="250"/>
      <c r="NSU177" s="250"/>
      <c r="NSV177" s="250"/>
      <c r="NSW177" s="250"/>
      <c r="NSX177" s="250"/>
      <c r="NSY177" s="250"/>
      <c r="NSZ177" s="250"/>
      <c r="NTA177" s="250"/>
      <c r="NTB177" s="250"/>
      <c r="NTC177" s="250"/>
      <c r="NTD177" s="250"/>
      <c r="NTE177" s="250"/>
      <c r="NTF177" s="250"/>
      <c r="NTG177" s="250"/>
      <c r="NTH177" s="250"/>
      <c r="NTI177" s="250"/>
      <c r="NTJ177" s="250"/>
      <c r="NTK177" s="250"/>
      <c r="NTL177" s="250"/>
      <c r="NTM177" s="250"/>
      <c r="NTN177" s="250"/>
      <c r="NTO177" s="250"/>
      <c r="NTP177" s="250"/>
      <c r="NTQ177" s="250"/>
      <c r="NTR177" s="250"/>
      <c r="NTS177" s="250"/>
      <c r="NTT177" s="250"/>
      <c r="NTU177" s="250"/>
      <c r="NTV177" s="250"/>
      <c r="NTW177" s="250"/>
      <c r="NTX177" s="250"/>
      <c r="NTY177" s="250"/>
      <c r="NTZ177" s="250"/>
      <c r="NUA177" s="250"/>
      <c r="NUB177" s="250"/>
      <c r="NUC177" s="250"/>
      <c r="NUD177" s="250"/>
      <c r="NUE177" s="250"/>
      <c r="NUF177" s="250"/>
      <c r="NUG177" s="250"/>
      <c r="NUH177" s="250"/>
      <c r="NUI177" s="250"/>
      <c r="NUJ177" s="250"/>
      <c r="NUK177" s="250"/>
      <c r="NUL177" s="250"/>
      <c r="NUM177" s="250"/>
      <c r="NUN177" s="250"/>
      <c r="NUO177" s="250"/>
      <c r="NUP177" s="250"/>
      <c r="NUQ177" s="250"/>
      <c r="NUR177" s="250"/>
      <c r="NUS177" s="250"/>
      <c r="NUT177" s="250"/>
      <c r="NUU177" s="250"/>
      <c r="NUV177" s="250"/>
      <c r="NUW177" s="250"/>
      <c r="NUX177" s="250"/>
      <c r="NUY177" s="250"/>
      <c r="NUZ177" s="250"/>
      <c r="NVA177" s="250"/>
      <c r="NVB177" s="250"/>
      <c r="NVC177" s="250"/>
      <c r="NVD177" s="250"/>
      <c r="NVE177" s="250"/>
      <c r="NVF177" s="250"/>
      <c r="NVG177" s="250"/>
      <c r="NVH177" s="250"/>
      <c r="NVI177" s="250"/>
      <c r="NVJ177" s="250"/>
      <c r="NVK177" s="250"/>
      <c r="NVL177" s="250"/>
      <c r="NVM177" s="250"/>
      <c r="NVN177" s="250"/>
      <c r="NVO177" s="250"/>
      <c r="NVP177" s="250"/>
      <c r="NVQ177" s="250"/>
      <c r="NVR177" s="250"/>
      <c r="NVS177" s="250"/>
      <c r="NVT177" s="250"/>
      <c r="NVU177" s="250"/>
      <c r="NVV177" s="250"/>
      <c r="NVW177" s="250"/>
      <c r="NVX177" s="250"/>
      <c r="NVY177" s="250"/>
      <c r="NVZ177" s="250"/>
      <c r="NWA177" s="250"/>
      <c r="NWB177" s="250"/>
      <c r="NWC177" s="250"/>
      <c r="NWD177" s="250"/>
      <c r="NWE177" s="250"/>
      <c r="NWF177" s="250"/>
      <c r="NWG177" s="250"/>
      <c r="NWH177" s="250"/>
      <c r="NWI177" s="250"/>
      <c r="NWJ177" s="250"/>
      <c r="NWK177" s="250"/>
      <c r="NWL177" s="250"/>
      <c r="NWM177" s="250"/>
      <c r="NWN177" s="250"/>
      <c r="NWO177" s="250"/>
      <c r="NWP177" s="250"/>
      <c r="NWQ177" s="250"/>
      <c r="NWR177" s="250"/>
      <c r="NWS177" s="250"/>
      <c r="NWT177" s="250"/>
      <c r="NWU177" s="250"/>
      <c r="NWV177" s="250"/>
      <c r="NWW177" s="250"/>
      <c r="NWX177" s="250"/>
      <c r="NWY177" s="250"/>
      <c r="NWZ177" s="250"/>
      <c r="NXA177" s="250"/>
      <c r="NXB177" s="250"/>
      <c r="NXC177" s="250"/>
      <c r="NXD177" s="250"/>
      <c r="NXE177" s="250"/>
      <c r="NXF177" s="250"/>
      <c r="NXG177" s="250"/>
      <c r="NXH177" s="250"/>
      <c r="NXI177" s="250"/>
      <c r="NXJ177" s="250"/>
      <c r="NXK177" s="250"/>
      <c r="NXL177" s="250"/>
      <c r="NXM177" s="250"/>
      <c r="NXN177" s="250"/>
      <c r="NXO177" s="250"/>
      <c r="NXP177" s="250"/>
      <c r="NXQ177" s="250"/>
      <c r="NXR177" s="250"/>
      <c r="NXS177" s="250"/>
      <c r="NXT177" s="250"/>
      <c r="NXU177" s="250"/>
      <c r="NXV177" s="250"/>
      <c r="NXW177" s="250"/>
      <c r="NXX177" s="250"/>
      <c r="NXY177" s="250"/>
      <c r="NXZ177" s="250"/>
      <c r="NYA177" s="250"/>
      <c r="NYB177" s="250"/>
      <c r="NYC177" s="250"/>
      <c r="NYD177" s="250"/>
      <c r="NYE177" s="250"/>
      <c r="NYF177" s="250"/>
      <c r="NYG177" s="250"/>
      <c r="NYH177" s="250"/>
      <c r="NYI177" s="250"/>
      <c r="NYJ177" s="250"/>
      <c r="NYK177" s="250"/>
      <c r="NYL177" s="250"/>
      <c r="NYM177" s="250"/>
      <c r="NYN177" s="250"/>
      <c r="NYO177" s="250"/>
      <c r="NYP177" s="250"/>
      <c r="NYQ177" s="250"/>
      <c r="NYR177" s="250"/>
      <c r="NYS177" s="250"/>
      <c r="NYT177" s="250"/>
      <c r="NYU177" s="250"/>
      <c r="NYV177" s="250"/>
      <c r="NYW177" s="250"/>
      <c r="NYX177" s="250"/>
      <c r="NYY177" s="250"/>
      <c r="NYZ177" s="250"/>
      <c r="NZA177" s="250"/>
      <c r="NZB177" s="250"/>
      <c r="NZC177" s="250"/>
      <c r="NZD177" s="250"/>
      <c r="NZE177" s="250"/>
      <c r="NZF177" s="250"/>
      <c r="NZG177" s="250"/>
      <c r="NZH177" s="250"/>
      <c r="NZI177" s="250"/>
      <c r="NZJ177" s="250"/>
      <c r="NZK177" s="250"/>
      <c r="NZL177" s="250"/>
      <c r="NZM177" s="250"/>
      <c r="NZN177" s="250"/>
      <c r="NZO177" s="250"/>
      <c r="NZP177" s="250"/>
      <c r="NZQ177" s="250"/>
      <c r="NZR177" s="250"/>
      <c r="NZS177" s="250"/>
      <c r="NZT177" s="250"/>
      <c r="NZU177" s="250"/>
      <c r="NZV177" s="250"/>
      <c r="NZW177" s="250"/>
      <c r="NZX177" s="250"/>
      <c r="NZY177" s="250"/>
      <c r="NZZ177" s="250"/>
      <c r="OAA177" s="250"/>
      <c r="OAB177" s="250"/>
      <c r="OAC177" s="250"/>
      <c r="OAD177" s="250"/>
      <c r="OAE177" s="250"/>
      <c r="OAF177" s="250"/>
      <c r="OAG177" s="250"/>
      <c r="OAH177" s="250"/>
      <c r="OAI177" s="250"/>
      <c r="OAJ177" s="250"/>
      <c r="OAK177" s="250"/>
      <c r="OAL177" s="250"/>
      <c r="OAM177" s="250"/>
      <c r="OAN177" s="250"/>
      <c r="OAO177" s="250"/>
      <c r="OAP177" s="250"/>
      <c r="OAQ177" s="250"/>
      <c r="OAR177" s="250"/>
      <c r="OAS177" s="250"/>
      <c r="OAT177" s="250"/>
      <c r="OAU177" s="250"/>
      <c r="OAV177" s="250"/>
      <c r="OAW177" s="250"/>
      <c r="OAX177" s="250"/>
      <c r="OAY177" s="250"/>
      <c r="OAZ177" s="250"/>
      <c r="OBA177" s="250"/>
      <c r="OBB177" s="250"/>
      <c r="OBC177" s="250"/>
      <c r="OBD177" s="250"/>
      <c r="OBE177" s="250"/>
      <c r="OBF177" s="250"/>
      <c r="OBG177" s="250"/>
      <c r="OBH177" s="250"/>
      <c r="OBI177" s="250"/>
      <c r="OBJ177" s="250"/>
      <c r="OBK177" s="250"/>
      <c r="OBL177" s="250"/>
      <c r="OBM177" s="250"/>
      <c r="OBN177" s="250"/>
      <c r="OBO177" s="250"/>
      <c r="OBP177" s="250"/>
      <c r="OBQ177" s="250"/>
      <c r="OBR177" s="250"/>
      <c r="OBS177" s="250"/>
      <c r="OBT177" s="250"/>
      <c r="OBU177" s="250"/>
      <c r="OBV177" s="250"/>
      <c r="OBW177" s="250"/>
      <c r="OBX177" s="250"/>
      <c r="OBY177" s="250"/>
      <c r="OBZ177" s="250"/>
      <c r="OCA177" s="250"/>
      <c r="OCB177" s="250"/>
      <c r="OCC177" s="250"/>
      <c r="OCD177" s="250"/>
      <c r="OCE177" s="250"/>
      <c r="OCF177" s="250"/>
      <c r="OCG177" s="250"/>
      <c r="OCH177" s="250"/>
      <c r="OCI177" s="250"/>
      <c r="OCJ177" s="250"/>
      <c r="OCK177" s="250"/>
      <c r="OCL177" s="250"/>
      <c r="OCM177" s="250"/>
      <c r="OCN177" s="250"/>
      <c r="OCO177" s="250"/>
      <c r="OCP177" s="250"/>
      <c r="OCQ177" s="250"/>
      <c r="OCR177" s="250"/>
      <c r="OCS177" s="250"/>
      <c r="OCT177" s="250"/>
      <c r="OCU177" s="250"/>
      <c r="OCV177" s="250"/>
      <c r="OCW177" s="250"/>
      <c r="OCX177" s="250"/>
      <c r="OCY177" s="250"/>
      <c r="OCZ177" s="250"/>
      <c r="ODA177" s="250"/>
      <c r="ODB177" s="250"/>
      <c r="ODC177" s="250"/>
      <c r="ODD177" s="250"/>
      <c r="ODE177" s="250"/>
      <c r="ODF177" s="250"/>
      <c r="ODG177" s="250"/>
      <c r="ODH177" s="250"/>
      <c r="ODI177" s="250"/>
      <c r="ODJ177" s="250"/>
      <c r="ODK177" s="250"/>
      <c r="ODL177" s="250"/>
      <c r="ODM177" s="250"/>
      <c r="ODN177" s="250"/>
      <c r="ODO177" s="250"/>
      <c r="ODP177" s="250"/>
      <c r="ODQ177" s="250"/>
      <c r="ODR177" s="250"/>
      <c r="ODS177" s="250"/>
      <c r="ODT177" s="250"/>
      <c r="ODU177" s="250"/>
      <c r="ODV177" s="250"/>
      <c r="ODW177" s="250"/>
      <c r="ODX177" s="250"/>
      <c r="ODY177" s="250"/>
      <c r="ODZ177" s="250"/>
      <c r="OEA177" s="250"/>
      <c r="OEB177" s="250"/>
      <c r="OEC177" s="250"/>
      <c r="OED177" s="250"/>
      <c r="OEE177" s="250"/>
      <c r="OEF177" s="250"/>
      <c r="OEG177" s="250"/>
      <c r="OEH177" s="250"/>
      <c r="OEI177" s="250"/>
      <c r="OEJ177" s="250"/>
      <c r="OEK177" s="250"/>
      <c r="OEL177" s="250"/>
      <c r="OEM177" s="250"/>
      <c r="OEN177" s="250"/>
      <c r="OEO177" s="250"/>
      <c r="OEP177" s="250"/>
      <c r="OEQ177" s="250"/>
      <c r="OER177" s="250"/>
      <c r="OES177" s="250"/>
      <c r="OET177" s="250"/>
      <c r="OEU177" s="250"/>
      <c r="OEV177" s="250"/>
      <c r="OEW177" s="250"/>
      <c r="OEX177" s="250"/>
      <c r="OEY177" s="250"/>
      <c r="OEZ177" s="250"/>
      <c r="OFA177" s="250"/>
      <c r="OFB177" s="250"/>
      <c r="OFC177" s="250"/>
      <c r="OFD177" s="250"/>
      <c r="OFE177" s="250"/>
      <c r="OFF177" s="250"/>
      <c r="OFG177" s="250"/>
      <c r="OFH177" s="250"/>
      <c r="OFI177" s="250"/>
      <c r="OFJ177" s="250"/>
      <c r="OFK177" s="250"/>
      <c r="OFL177" s="250"/>
      <c r="OFM177" s="250"/>
      <c r="OFN177" s="250"/>
      <c r="OFO177" s="250"/>
      <c r="OFP177" s="250"/>
      <c r="OFQ177" s="250"/>
      <c r="OFR177" s="250"/>
      <c r="OFS177" s="250"/>
      <c r="OFT177" s="250"/>
      <c r="OFU177" s="250"/>
      <c r="OFV177" s="250"/>
      <c r="OFW177" s="250"/>
      <c r="OFX177" s="250"/>
      <c r="OFY177" s="250"/>
      <c r="OFZ177" s="250"/>
      <c r="OGA177" s="250"/>
      <c r="OGB177" s="250"/>
      <c r="OGC177" s="250"/>
      <c r="OGD177" s="250"/>
      <c r="OGE177" s="250"/>
      <c r="OGF177" s="250"/>
      <c r="OGG177" s="250"/>
      <c r="OGH177" s="250"/>
      <c r="OGI177" s="250"/>
      <c r="OGJ177" s="250"/>
      <c r="OGK177" s="250"/>
      <c r="OGL177" s="250"/>
      <c r="OGM177" s="250"/>
      <c r="OGN177" s="250"/>
      <c r="OGO177" s="250"/>
      <c r="OGP177" s="250"/>
      <c r="OGQ177" s="250"/>
      <c r="OGR177" s="250"/>
      <c r="OGS177" s="250"/>
      <c r="OGT177" s="250"/>
      <c r="OGU177" s="250"/>
      <c r="OGV177" s="250"/>
      <c r="OGW177" s="250"/>
      <c r="OGX177" s="250"/>
      <c r="OGY177" s="250"/>
      <c r="OGZ177" s="250"/>
      <c r="OHA177" s="250"/>
      <c r="OHB177" s="250"/>
      <c r="OHC177" s="250"/>
      <c r="OHD177" s="250"/>
      <c r="OHE177" s="250"/>
      <c r="OHF177" s="250"/>
      <c r="OHG177" s="250"/>
      <c r="OHH177" s="250"/>
      <c r="OHI177" s="250"/>
      <c r="OHJ177" s="250"/>
      <c r="OHK177" s="250"/>
      <c r="OHL177" s="250"/>
      <c r="OHM177" s="250"/>
      <c r="OHN177" s="250"/>
      <c r="OHO177" s="250"/>
      <c r="OHP177" s="250"/>
      <c r="OHQ177" s="250"/>
      <c r="OHR177" s="250"/>
      <c r="OHS177" s="250"/>
      <c r="OHT177" s="250"/>
      <c r="OHU177" s="250"/>
      <c r="OHV177" s="250"/>
      <c r="OHW177" s="250"/>
      <c r="OHX177" s="250"/>
      <c r="OHY177" s="250"/>
      <c r="OHZ177" s="250"/>
      <c r="OIA177" s="250"/>
      <c r="OIB177" s="250"/>
      <c r="OIC177" s="250"/>
      <c r="OID177" s="250"/>
      <c r="OIE177" s="250"/>
      <c r="OIF177" s="250"/>
      <c r="OIG177" s="250"/>
      <c r="OIH177" s="250"/>
      <c r="OII177" s="250"/>
      <c r="OIJ177" s="250"/>
      <c r="OIK177" s="250"/>
      <c r="OIL177" s="250"/>
      <c r="OIM177" s="250"/>
      <c r="OIN177" s="250"/>
      <c r="OIO177" s="250"/>
      <c r="OIP177" s="250"/>
      <c r="OIQ177" s="250"/>
      <c r="OIR177" s="250"/>
      <c r="OIS177" s="250"/>
      <c r="OIT177" s="250"/>
      <c r="OIU177" s="250"/>
      <c r="OIV177" s="250"/>
      <c r="OIW177" s="250"/>
      <c r="OIX177" s="250"/>
      <c r="OIY177" s="250"/>
      <c r="OIZ177" s="250"/>
      <c r="OJA177" s="250"/>
      <c r="OJB177" s="250"/>
      <c r="OJC177" s="250"/>
      <c r="OJD177" s="250"/>
      <c r="OJE177" s="250"/>
      <c r="OJF177" s="250"/>
      <c r="OJG177" s="250"/>
      <c r="OJH177" s="250"/>
      <c r="OJI177" s="250"/>
      <c r="OJJ177" s="250"/>
      <c r="OJK177" s="250"/>
      <c r="OJL177" s="250"/>
      <c r="OJM177" s="250"/>
      <c r="OJN177" s="250"/>
      <c r="OJO177" s="250"/>
      <c r="OJP177" s="250"/>
      <c r="OJQ177" s="250"/>
      <c r="OJR177" s="250"/>
      <c r="OJS177" s="250"/>
      <c r="OJT177" s="250"/>
      <c r="OJU177" s="250"/>
      <c r="OJV177" s="250"/>
      <c r="OJW177" s="250"/>
      <c r="OJX177" s="250"/>
      <c r="OJY177" s="250"/>
      <c r="OJZ177" s="250"/>
      <c r="OKA177" s="250"/>
      <c r="OKB177" s="250"/>
      <c r="OKC177" s="250"/>
      <c r="OKD177" s="250"/>
      <c r="OKE177" s="250"/>
      <c r="OKF177" s="250"/>
      <c r="OKG177" s="250"/>
      <c r="OKH177" s="250"/>
      <c r="OKI177" s="250"/>
      <c r="OKJ177" s="250"/>
      <c r="OKK177" s="250"/>
      <c r="OKL177" s="250"/>
      <c r="OKM177" s="250"/>
      <c r="OKN177" s="250"/>
      <c r="OKO177" s="250"/>
      <c r="OKP177" s="250"/>
      <c r="OKQ177" s="250"/>
      <c r="OKR177" s="250"/>
      <c r="OKS177" s="250"/>
      <c r="OKT177" s="250"/>
      <c r="OKU177" s="250"/>
      <c r="OKV177" s="250"/>
      <c r="OKW177" s="250"/>
      <c r="OKX177" s="250"/>
      <c r="OKY177" s="250"/>
      <c r="OKZ177" s="250"/>
      <c r="OLA177" s="250"/>
      <c r="OLB177" s="250"/>
      <c r="OLC177" s="250"/>
      <c r="OLD177" s="250"/>
      <c r="OLE177" s="250"/>
      <c r="OLF177" s="250"/>
      <c r="OLG177" s="250"/>
      <c r="OLH177" s="250"/>
      <c r="OLI177" s="250"/>
      <c r="OLJ177" s="250"/>
      <c r="OLK177" s="250"/>
      <c r="OLL177" s="250"/>
      <c r="OLM177" s="250"/>
      <c r="OLN177" s="250"/>
      <c r="OLO177" s="250"/>
      <c r="OLP177" s="250"/>
      <c r="OLQ177" s="250"/>
      <c r="OLR177" s="250"/>
      <c r="OLS177" s="250"/>
      <c r="OLT177" s="250"/>
      <c r="OLU177" s="250"/>
      <c r="OLV177" s="250"/>
      <c r="OLW177" s="250"/>
      <c r="OLX177" s="250"/>
      <c r="OLY177" s="250"/>
      <c r="OLZ177" s="250"/>
      <c r="OMA177" s="250"/>
      <c r="OMB177" s="250"/>
      <c r="OMC177" s="250"/>
      <c r="OMD177" s="250"/>
      <c r="OME177" s="250"/>
      <c r="OMF177" s="250"/>
      <c r="OMG177" s="250"/>
      <c r="OMH177" s="250"/>
      <c r="OMI177" s="250"/>
      <c r="OMJ177" s="250"/>
      <c r="OMK177" s="250"/>
      <c r="OML177" s="250"/>
      <c r="OMM177" s="250"/>
      <c r="OMN177" s="250"/>
      <c r="OMO177" s="250"/>
      <c r="OMP177" s="250"/>
      <c r="OMQ177" s="250"/>
      <c r="OMR177" s="250"/>
      <c r="OMS177" s="250"/>
      <c r="OMT177" s="250"/>
      <c r="OMU177" s="250"/>
      <c r="OMV177" s="250"/>
      <c r="OMW177" s="250"/>
      <c r="OMX177" s="250"/>
      <c r="OMY177" s="250"/>
      <c r="OMZ177" s="250"/>
      <c r="ONA177" s="250"/>
      <c r="ONB177" s="250"/>
      <c r="ONC177" s="250"/>
      <c r="OND177" s="250"/>
      <c r="ONE177" s="250"/>
      <c r="ONF177" s="250"/>
      <c r="ONG177" s="250"/>
      <c r="ONH177" s="250"/>
      <c r="ONI177" s="250"/>
      <c r="ONJ177" s="250"/>
      <c r="ONK177" s="250"/>
      <c r="ONL177" s="250"/>
      <c r="ONM177" s="250"/>
      <c r="ONN177" s="250"/>
      <c r="ONO177" s="250"/>
      <c r="ONP177" s="250"/>
      <c r="ONQ177" s="250"/>
      <c r="ONR177" s="250"/>
      <c r="ONS177" s="250"/>
      <c r="ONT177" s="250"/>
      <c r="ONU177" s="250"/>
      <c r="ONV177" s="250"/>
      <c r="ONW177" s="250"/>
      <c r="ONX177" s="250"/>
      <c r="ONY177" s="250"/>
      <c r="ONZ177" s="250"/>
      <c r="OOA177" s="250"/>
      <c r="OOB177" s="250"/>
      <c r="OOC177" s="250"/>
      <c r="OOD177" s="250"/>
      <c r="OOE177" s="250"/>
      <c r="OOF177" s="250"/>
      <c r="OOG177" s="250"/>
      <c r="OOH177" s="250"/>
      <c r="OOI177" s="250"/>
      <c r="OOJ177" s="250"/>
      <c r="OOK177" s="250"/>
      <c r="OOL177" s="250"/>
      <c r="OOM177" s="250"/>
      <c r="OON177" s="250"/>
      <c r="OOO177" s="250"/>
      <c r="OOP177" s="250"/>
      <c r="OOQ177" s="250"/>
      <c r="OOR177" s="250"/>
      <c r="OOS177" s="250"/>
      <c r="OOT177" s="250"/>
      <c r="OOU177" s="250"/>
      <c r="OOV177" s="250"/>
      <c r="OOW177" s="250"/>
      <c r="OOX177" s="250"/>
      <c r="OOY177" s="250"/>
      <c r="OOZ177" s="250"/>
      <c r="OPA177" s="250"/>
      <c r="OPB177" s="250"/>
      <c r="OPC177" s="250"/>
      <c r="OPD177" s="250"/>
      <c r="OPE177" s="250"/>
      <c r="OPF177" s="250"/>
      <c r="OPG177" s="250"/>
      <c r="OPH177" s="250"/>
      <c r="OPI177" s="250"/>
      <c r="OPJ177" s="250"/>
      <c r="OPK177" s="250"/>
      <c r="OPL177" s="250"/>
      <c r="OPM177" s="250"/>
      <c r="OPN177" s="250"/>
      <c r="OPO177" s="250"/>
      <c r="OPP177" s="250"/>
      <c r="OPQ177" s="250"/>
      <c r="OPR177" s="250"/>
      <c r="OPS177" s="250"/>
      <c r="OPT177" s="250"/>
      <c r="OPU177" s="250"/>
      <c r="OPV177" s="250"/>
      <c r="OPW177" s="250"/>
      <c r="OPX177" s="250"/>
      <c r="OPY177" s="250"/>
      <c r="OPZ177" s="250"/>
      <c r="OQA177" s="250"/>
      <c r="OQB177" s="250"/>
      <c r="OQC177" s="250"/>
      <c r="OQD177" s="250"/>
      <c r="OQE177" s="250"/>
      <c r="OQF177" s="250"/>
      <c r="OQG177" s="250"/>
      <c r="OQH177" s="250"/>
      <c r="OQI177" s="250"/>
      <c r="OQJ177" s="250"/>
      <c r="OQK177" s="250"/>
      <c r="OQL177" s="250"/>
      <c r="OQM177" s="250"/>
      <c r="OQN177" s="250"/>
      <c r="OQO177" s="250"/>
      <c r="OQP177" s="250"/>
      <c r="OQQ177" s="250"/>
      <c r="OQR177" s="250"/>
      <c r="OQS177" s="250"/>
      <c r="OQT177" s="250"/>
      <c r="OQU177" s="250"/>
      <c r="OQV177" s="250"/>
      <c r="OQW177" s="250"/>
      <c r="OQX177" s="250"/>
      <c r="OQY177" s="250"/>
      <c r="OQZ177" s="250"/>
      <c r="ORA177" s="250"/>
      <c r="ORB177" s="250"/>
      <c r="ORC177" s="250"/>
      <c r="ORD177" s="250"/>
      <c r="ORE177" s="250"/>
      <c r="ORF177" s="250"/>
      <c r="ORG177" s="250"/>
      <c r="ORH177" s="250"/>
      <c r="ORI177" s="250"/>
      <c r="ORJ177" s="250"/>
      <c r="ORK177" s="250"/>
      <c r="ORL177" s="250"/>
      <c r="ORM177" s="250"/>
      <c r="ORN177" s="250"/>
      <c r="ORO177" s="250"/>
      <c r="ORP177" s="250"/>
      <c r="ORQ177" s="250"/>
      <c r="ORR177" s="250"/>
      <c r="ORS177" s="250"/>
      <c r="ORT177" s="250"/>
      <c r="ORU177" s="250"/>
      <c r="ORV177" s="250"/>
      <c r="ORW177" s="250"/>
      <c r="ORX177" s="250"/>
      <c r="ORY177" s="250"/>
      <c r="ORZ177" s="250"/>
      <c r="OSA177" s="250"/>
      <c r="OSB177" s="250"/>
      <c r="OSC177" s="250"/>
      <c r="OSD177" s="250"/>
      <c r="OSE177" s="250"/>
      <c r="OSF177" s="250"/>
      <c r="OSG177" s="250"/>
      <c r="OSH177" s="250"/>
      <c r="OSI177" s="250"/>
      <c r="OSJ177" s="250"/>
      <c r="OSK177" s="250"/>
      <c r="OSL177" s="250"/>
      <c r="OSM177" s="250"/>
      <c r="OSN177" s="250"/>
      <c r="OSO177" s="250"/>
      <c r="OSP177" s="250"/>
      <c r="OSQ177" s="250"/>
      <c r="OSR177" s="250"/>
      <c r="OSS177" s="250"/>
      <c r="OST177" s="250"/>
      <c r="OSU177" s="250"/>
      <c r="OSV177" s="250"/>
      <c r="OSW177" s="250"/>
      <c r="OSX177" s="250"/>
      <c r="OSY177" s="250"/>
      <c r="OSZ177" s="250"/>
      <c r="OTA177" s="250"/>
      <c r="OTB177" s="250"/>
      <c r="OTC177" s="250"/>
      <c r="OTD177" s="250"/>
      <c r="OTE177" s="250"/>
      <c r="OTF177" s="250"/>
      <c r="OTG177" s="250"/>
      <c r="OTH177" s="250"/>
      <c r="OTI177" s="250"/>
      <c r="OTJ177" s="250"/>
      <c r="OTK177" s="250"/>
      <c r="OTL177" s="250"/>
      <c r="OTM177" s="250"/>
      <c r="OTN177" s="250"/>
      <c r="OTO177" s="250"/>
      <c r="OTP177" s="250"/>
      <c r="OTQ177" s="250"/>
      <c r="OTR177" s="250"/>
      <c r="OTS177" s="250"/>
      <c r="OTT177" s="250"/>
      <c r="OTU177" s="250"/>
      <c r="OTV177" s="250"/>
      <c r="OTW177" s="250"/>
      <c r="OTX177" s="250"/>
      <c r="OTY177" s="250"/>
      <c r="OTZ177" s="250"/>
      <c r="OUA177" s="250"/>
      <c r="OUB177" s="250"/>
      <c r="OUC177" s="250"/>
      <c r="OUD177" s="250"/>
      <c r="OUE177" s="250"/>
      <c r="OUF177" s="250"/>
      <c r="OUG177" s="250"/>
      <c r="OUH177" s="250"/>
      <c r="OUI177" s="250"/>
      <c r="OUJ177" s="250"/>
      <c r="OUK177" s="250"/>
      <c r="OUL177" s="250"/>
      <c r="OUM177" s="250"/>
      <c r="OUN177" s="250"/>
      <c r="OUO177" s="250"/>
      <c r="OUP177" s="250"/>
      <c r="OUQ177" s="250"/>
      <c r="OUR177" s="250"/>
      <c r="OUS177" s="250"/>
      <c r="OUT177" s="250"/>
      <c r="OUU177" s="250"/>
      <c r="OUV177" s="250"/>
      <c r="OUW177" s="250"/>
      <c r="OUX177" s="250"/>
      <c r="OUY177" s="250"/>
      <c r="OUZ177" s="250"/>
      <c r="OVA177" s="250"/>
      <c r="OVB177" s="250"/>
      <c r="OVC177" s="250"/>
      <c r="OVD177" s="250"/>
      <c r="OVE177" s="250"/>
      <c r="OVF177" s="250"/>
      <c r="OVG177" s="250"/>
      <c r="OVH177" s="250"/>
      <c r="OVI177" s="250"/>
      <c r="OVJ177" s="250"/>
      <c r="OVK177" s="250"/>
      <c r="OVL177" s="250"/>
      <c r="OVM177" s="250"/>
      <c r="OVN177" s="250"/>
      <c r="OVO177" s="250"/>
      <c r="OVP177" s="250"/>
      <c r="OVQ177" s="250"/>
      <c r="OVR177" s="250"/>
      <c r="OVS177" s="250"/>
      <c r="OVT177" s="250"/>
      <c r="OVU177" s="250"/>
      <c r="OVV177" s="250"/>
      <c r="OVW177" s="250"/>
      <c r="OVX177" s="250"/>
      <c r="OVY177" s="250"/>
      <c r="OVZ177" s="250"/>
      <c r="OWA177" s="250"/>
      <c r="OWB177" s="250"/>
      <c r="OWC177" s="250"/>
      <c r="OWD177" s="250"/>
      <c r="OWE177" s="250"/>
      <c r="OWF177" s="250"/>
      <c r="OWG177" s="250"/>
      <c r="OWH177" s="250"/>
      <c r="OWI177" s="250"/>
      <c r="OWJ177" s="250"/>
      <c r="OWK177" s="250"/>
      <c r="OWL177" s="250"/>
      <c r="OWM177" s="250"/>
      <c r="OWN177" s="250"/>
      <c r="OWO177" s="250"/>
      <c r="OWP177" s="250"/>
      <c r="OWQ177" s="250"/>
      <c r="OWR177" s="250"/>
      <c r="OWS177" s="250"/>
      <c r="OWT177" s="250"/>
      <c r="OWU177" s="250"/>
      <c r="OWV177" s="250"/>
      <c r="OWW177" s="250"/>
      <c r="OWX177" s="250"/>
      <c r="OWY177" s="250"/>
      <c r="OWZ177" s="250"/>
      <c r="OXA177" s="250"/>
      <c r="OXB177" s="250"/>
      <c r="OXC177" s="250"/>
      <c r="OXD177" s="250"/>
      <c r="OXE177" s="250"/>
      <c r="OXF177" s="250"/>
      <c r="OXG177" s="250"/>
      <c r="OXH177" s="250"/>
      <c r="OXI177" s="250"/>
      <c r="OXJ177" s="250"/>
      <c r="OXK177" s="250"/>
      <c r="OXL177" s="250"/>
      <c r="OXM177" s="250"/>
      <c r="OXN177" s="250"/>
      <c r="OXO177" s="250"/>
      <c r="OXP177" s="250"/>
      <c r="OXQ177" s="250"/>
      <c r="OXR177" s="250"/>
      <c r="OXS177" s="250"/>
      <c r="OXT177" s="250"/>
      <c r="OXU177" s="250"/>
      <c r="OXV177" s="250"/>
      <c r="OXW177" s="250"/>
      <c r="OXX177" s="250"/>
      <c r="OXY177" s="250"/>
      <c r="OXZ177" s="250"/>
      <c r="OYA177" s="250"/>
      <c r="OYB177" s="250"/>
      <c r="OYC177" s="250"/>
      <c r="OYD177" s="250"/>
      <c r="OYE177" s="250"/>
      <c r="OYF177" s="250"/>
      <c r="OYG177" s="250"/>
      <c r="OYH177" s="250"/>
      <c r="OYI177" s="250"/>
      <c r="OYJ177" s="250"/>
      <c r="OYK177" s="250"/>
      <c r="OYL177" s="250"/>
      <c r="OYM177" s="250"/>
      <c r="OYN177" s="250"/>
      <c r="OYO177" s="250"/>
      <c r="OYP177" s="250"/>
      <c r="OYQ177" s="250"/>
      <c r="OYR177" s="250"/>
      <c r="OYS177" s="250"/>
      <c r="OYT177" s="250"/>
      <c r="OYU177" s="250"/>
      <c r="OYV177" s="250"/>
      <c r="OYW177" s="250"/>
      <c r="OYX177" s="250"/>
      <c r="OYY177" s="250"/>
      <c r="OYZ177" s="250"/>
      <c r="OZA177" s="250"/>
      <c r="OZB177" s="250"/>
      <c r="OZC177" s="250"/>
      <c r="OZD177" s="250"/>
      <c r="OZE177" s="250"/>
      <c r="OZF177" s="250"/>
      <c r="OZG177" s="250"/>
      <c r="OZH177" s="250"/>
      <c r="OZI177" s="250"/>
      <c r="OZJ177" s="250"/>
      <c r="OZK177" s="250"/>
      <c r="OZL177" s="250"/>
      <c r="OZM177" s="250"/>
      <c r="OZN177" s="250"/>
      <c r="OZO177" s="250"/>
      <c r="OZP177" s="250"/>
      <c r="OZQ177" s="250"/>
      <c r="OZR177" s="250"/>
      <c r="OZS177" s="250"/>
      <c r="OZT177" s="250"/>
      <c r="OZU177" s="250"/>
      <c r="OZV177" s="250"/>
      <c r="OZW177" s="250"/>
      <c r="OZX177" s="250"/>
      <c r="OZY177" s="250"/>
      <c r="OZZ177" s="250"/>
      <c r="PAA177" s="250"/>
      <c r="PAB177" s="250"/>
      <c r="PAC177" s="250"/>
      <c r="PAD177" s="250"/>
      <c r="PAE177" s="250"/>
      <c r="PAF177" s="250"/>
      <c r="PAG177" s="250"/>
      <c r="PAH177" s="250"/>
      <c r="PAI177" s="250"/>
      <c r="PAJ177" s="250"/>
      <c r="PAK177" s="250"/>
      <c r="PAL177" s="250"/>
      <c r="PAM177" s="250"/>
      <c r="PAN177" s="250"/>
      <c r="PAO177" s="250"/>
      <c r="PAP177" s="250"/>
      <c r="PAQ177" s="250"/>
      <c r="PAR177" s="250"/>
      <c r="PAS177" s="250"/>
      <c r="PAT177" s="250"/>
      <c r="PAU177" s="250"/>
      <c r="PAV177" s="250"/>
      <c r="PAW177" s="250"/>
      <c r="PAX177" s="250"/>
      <c r="PAY177" s="250"/>
      <c r="PAZ177" s="250"/>
      <c r="PBA177" s="250"/>
      <c r="PBB177" s="250"/>
      <c r="PBC177" s="250"/>
      <c r="PBD177" s="250"/>
      <c r="PBE177" s="250"/>
      <c r="PBF177" s="250"/>
      <c r="PBG177" s="250"/>
      <c r="PBH177" s="250"/>
      <c r="PBI177" s="250"/>
      <c r="PBJ177" s="250"/>
      <c r="PBK177" s="250"/>
      <c r="PBL177" s="250"/>
      <c r="PBM177" s="250"/>
      <c r="PBN177" s="250"/>
      <c r="PBO177" s="250"/>
      <c r="PBP177" s="250"/>
      <c r="PBQ177" s="250"/>
      <c r="PBR177" s="250"/>
      <c r="PBS177" s="250"/>
      <c r="PBT177" s="250"/>
      <c r="PBU177" s="250"/>
      <c r="PBV177" s="250"/>
      <c r="PBW177" s="250"/>
      <c r="PBX177" s="250"/>
      <c r="PBY177" s="250"/>
      <c r="PBZ177" s="250"/>
      <c r="PCA177" s="250"/>
      <c r="PCB177" s="250"/>
      <c r="PCC177" s="250"/>
      <c r="PCD177" s="250"/>
      <c r="PCE177" s="250"/>
      <c r="PCF177" s="250"/>
      <c r="PCG177" s="250"/>
      <c r="PCH177" s="250"/>
      <c r="PCI177" s="250"/>
      <c r="PCJ177" s="250"/>
      <c r="PCK177" s="250"/>
      <c r="PCL177" s="250"/>
      <c r="PCM177" s="250"/>
      <c r="PCN177" s="250"/>
      <c r="PCO177" s="250"/>
      <c r="PCP177" s="250"/>
      <c r="PCQ177" s="250"/>
      <c r="PCR177" s="250"/>
      <c r="PCS177" s="250"/>
      <c r="PCT177" s="250"/>
      <c r="PCU177" s="250"/>
      <c r="PCV177" s="250"/>
      <c r="PCW177" s="250"/>
      <c r="PCX177" s="250"/>
      <c r="PCY177" s="250"/>
      <c r="PCZ177" s="250"/>
      <c r="PDA177" s="250"/>
      <c r="PDB177" s="250"/>
      <c r="PDC177" s="250"/>
      <c r="PDD177" s="250"/>
      <c r="PDE177" s="250"/>
      <c r="PDF177" s="250"/>
      <c r="PDG177" s="250"/>
      <c r="PDH177" s="250"/>
      <c r="PDI177" s="250"/>
      <c r="PDJ177" s="250"/>
      <c r="PDK177" s="250"/>
      <c r="PDL177" s="250"/>
      <c r="PDM177" s="250"/>
      <c r="PDN177" s="250"/>
      <c r="PDO177" s="250"/>
      <c r="PDP177" s="250"/>
      <c r="PDQ177" s="250"/>
      <c r="PDR177" s="250"/>
      <c r="PDS177" s="250"/>
      <c r="PDT177" s="250"/>
      <c r="PDU177" s="250"/>
      <c r="PDV177" s="250"/>
      <c r="PDW177" s="250"/>
      <c r="PDX177" s="250"/>
      <c r="PDY177" s="250"/>
      <c r="PDZ177" s="250"/>
      <c r="PEA177" s="250"/>
      <c r="PEB177" s="250"/>
      <c r="PEC177" s="250"/>
      <c r="PED177" s="250"/>
      <c r="PEE177" s="250"/>
      <c r="PEF177" s="250"/>
      <c r="PEG177" s="250"/>
      <c r="PEH177" s="250"/>
      <c r="PEI177" s="250"/>
      <c r="PEJ177" s="250"/>
      <c r="PEK177" s="250"/>
      <c r="PEL177" s="250"/>
      <c r="PEM177" s="250"/>
      <c r="PEN177" s="250"/>
      <c r="PEO177" s="250"/>
      <c r="PEP177" s="250"/>
      <c r="PEQ177" s="250"/>
      <c r="PER177" s="250"/>
      <c r="PES177" s="250"/>
      <c r="PET177" s="250"/>
      <c r="PEU177" s="250"/>
      <c r="PEV177" s="250"/>
      <c r="PEW177" s="250"/>
      <c r="PEX177" s="250"/>
      <c r="PEY177" s="250"/>
      <c r="PEZ177" s="250"/>
      <c r="PFA177" s="250"/>
      <c r="PFB177" s="250"/>
      <c r="PFC177" s="250"/>
      <c r="PFD177" s="250"/>
      <c r="PFE177" s="250"/>
      <c r="PFF177" s="250"/>
      <c r="PFG177" s="250"/>
      <c r="PFH177" s="250"/>
      <c r="PFI177" s="250"/>
      <c r="PFJ177" s="250"/>
      <c r="PFK177" s="250"/>
      <c r="PFL177" s="250"/>
      <c r="PFM177" s="250"/>
      <c r="PFN177" s="250"/>
      <c r="PFO177" s="250"/>
      <c r="PFP177" s="250"/>
      <c r="PFQ177" s="250"/>
      <c r="PFR177" s="250"/>
      <c r="PFS177" s="250"/>
      <c r="PFT177" s="250"/>
      <c r="PFU177" s="250"/>
      <c r="PFV177" s="250"/>
      <c r="PFW177" s="250"/>
      <c r="PFX177" s="250"/>
      <c r="PFY177" s="250"/>
      <c r="PFZ177" s="250"/>
      <c r="PGA177" s="250"/>
      <c r="PGB177" s="250"/>
      <c r="PGC177" s="250"/>
      <c r="PGD177" s="250"/>
      <c r="PGE177" s="250"/>
      <c r="PGF177" s="250"/>
      <c r="PGG177" s="250"/>
      <c r="PGH177" s="250"/>
      <c r="PGI177" s="250"/>
      <c r="PGJ177" s="250"/>
      <c r="PGK177" s="250"/>
      <c r="PGL177" s="250"/>
      <c r="PGM177" s="250"/>
      <c r="PGN177" s="250"/>
      <c r="PGO177" s="250"/>
      <c r="PGP177" s="250"/>
      <c r="PGQ177" s="250"/>
      <c r="PGR177" s="250"/>
      <c r="PGS177" s="250"/>
      <c r="PGT177" s="250"/>
      <c r="PGU177" s="250"/>
      <c r="PGV177" s="250"/>
      <c r="PGW177" s="250"/>
      <c r="PGX177" s="250"/>
      <c r="PGY177" s="250"/>
      <c r="PGZ177" s="250"/>
      <c r="PHA177" s="250"/>
      <c r="PHB177" s="250"/>
      <c r="PHC177" s="250"/>
      <c r="PHD177" s="250"/>
      <c r="PHE177" s="250"/>
      <c r="PHF177" s="250"/>
      <c r="PHG177" s="250"/>
      <c r="PHH177" s="250"/>
      <c r="PHI177" s="250"/>
      <c r="PHJ177" s="250"/>
      <c r="PHK177" s="250"/>
      <c r="PHL177" s="250"/>
      <c r="PHM177" s="250"/>
      <c r="PHN177" s="250"/>
      <c r="PHO177" s="250"/>
      <c r="PHP177" s="250"/>
      <c r="PHQ177" s="250"/>
      <c r="PHR177" s="250"/>
      <c r="PHS177" s="250"/>
      <c r="PHT177" s="250"/>
      <c r="PHU177" s="250"/>
      <c r="PHV177" s="250"/>
      <c r="PHW177" s="250"/>
      <c r="PHX177" s="250"/>
      <c r="PHY177" s="250"/>
      <c r="PHZ177" s="250"/>
      <c r="PIA177" s="250"/>
      <c r="PIB177" s="250"/>
      <c r="PIC177" s="250"/>
      <c r="PID177" s="250"/>
      <c r="PIE177" s="250"/>
      <c r="PIF177" s="250"/>
      <c r="PIG177" s="250"/>
      <c r="PIH177" s="250"/>
      <c r="PII177" s="250"/>
      <c r="PIJ177" s="250"/>
      <c r="PIK177" s="250"/>
      <c r="PIL177" s="250"/>
      <c r="PIM177" s="250"/>
      <c r="PIN177" s="250"/>
      <c r="PIO177" s="250"/>
      <c r="PIP177" s="250"/>
      <c r="PIQ177" s="250"/>
      <c r="PIR177" s="250"/>
      <c r="PIS177" s="250"/>
      <c r="PIT177" s="250"/>
      <c r="PIU177" s="250"/>
      <c r="PIV177" s="250"/>
      <c r="PIW177" s="250"/>
      <c r="PIX177" s="250"/>
      <c r="PIY177" s="250"/>
      <c r="PIZ177" s="250"/>
      <c r="PJA177" s="250"/>
      <c r="PJB177" s="250"/>
      <c r="PJC177" s="250"/>
      <c r="PJD177" s="250"/>
      <c r="PJE177" s="250"/>
      <c r="PJF177" s="250"/>
      <c r="PJG177" s="250"/>
      <c r="PJH177" s="250"/>
      <c r="PJI177" s="250"/>
      <c r="PJJ177" s="250"/>
      <c r="PJK177" s="250"/>
      <c r="PJL177" s="250"/>
      <c r="PJM177" s="250"/>
      <c r="PJN177" s="250"/>
      <c r="PJO177" s="250"/>
      <c r="PJP177" s="250"/>
      <c r="PJQ177" s="250"/>
      <c r="PJR177" s="250"/>
      <c r="PJS177" s="250"/>
      <c r="PJT177" s="250"/>
      <c r="PJU177" s="250"/>
      <c r="PJV177" s="250"/>
      <c r="PJW177" s="250"/>
      <c r="PJX177" s="250"/>
      <c r="PJY177" s="250"/>
      <c r="PJZ177" s="250"/>
      <c r="PKA177" s="250"/>
      <c r="PKB177" s="250"/>
      <c r="PKC177" s="250"/>
      <c r="PKD177" s="250"/>
      <c r="PKE177" s="250"/>
      <c r="PKF177" s="250"/>
      <c r="PKG177" s="250"/>
      <c r="PKH177" s="250"/>
      <c r="PKI177" s="250"/>
      <c r="PKJ177" s="250"/>
      <c r="PKK177" s="250"/>
      <c r="PKL177" s="250"/>
      <c r="PKM177" s="250"/>
      <c r="PKN177" s="250"/>
      <c r="PKO177" s="250"/>
      <c r="PKP177" s="250"/>
      <c r="PKQ177" s="250"/>
      <c r="PKR177" s="250"/>
      <c r="PKS177" s="250"/>
      <c r="PKT177" s="250"/>
      <c r="PKU177" s="250"/>
      <c r="PKV177" s="250"/>
      <c r="PKW177" s="250"/>
      <c r="PKX177" s="250"/>
      <c r="PKY177" s="250"/>
      <c r="PKZ177" s="250"/>
      <c r="PLA177" s="250"/>
      <c r="PLB177" s="250"/>
      <c r="PLC177" s="250"/>
      <c r="PLD177" s="250"/>
      <c r="PLE177" s="250"/>
      <c r="PLF177" s="250"/>
      <c r="PLG177" s="250"/>
      <c r="PLH177" s="250"/>
      <c r="PLI177" s="250"/>
      <c r="PLJ177" s="250"/>
      <c r="PLK177" s="250"/>
      <c r="PLL177" s="250"/>
      <c r="PLM177" s="250"/>
      <c r="PLN177" s="250"/>
      <c r="PLO177" s="250"/>
      <c r="PLP177" s="250"/>
      <c r="PLQ177" s="250"/>
      <c r="PLR177" s="250"/>
      <c r="PLS177" s="250"/>
      <c r="PLT177" s="250"/>
      <c r="PLU177" s="250"/>
      <c r="PLV177" s="250"/>
      <c r="PLW177" s="250"/>
      <c r="PLX177" s="250"/>
      <c r="PLY177" s="250"/>
      <c r="PLZ177" s="250"/>
      <c r="PMA177" s="250"/>
      <c r="PMB177" s="250"/>
      <c r="PMC177" s="250"/>
      <c r="PMD177" s="250"/>
      <c r="PME177" s="250"/>
      <c r="PMF177" s="250"/>
      <c r="PMG177" s="250"/>
      <c r="PMH177" s="250"/>
      <c r="PMI177" s="250"/>
      <c r="PMJ177" s="250"/>
      <c r="PMK177" s="250"/>
      <c r="PML177" s="250"/>
      <c r="PMM177" s="250"/>
      <c r="PMN177" s="250"/>
      <c r="PMO177" s="250"/>
      <c r="PMP177" s="250"/>
      <c r="PMQ177" s="250"/>
      <c r="PMR177" s="250"/>
      <c r="PMS177" s="250"/>
      <c r="PMT177" s="250"/>
      <c r="PMU177" s="250"/>
      <c r="PMV177" s="250"/>
      <c r="PMW177" s="250"/>
      <c r="PMX177" s="250"/>
      <c r="PMY177" s="250"/>
      <c r="PMZ177" s="250"/>
      <c r="PNA177" s="250"/>
      <c r="PNB177" s="250"/>
      <c r="PNC177" s="250"/>
      <c r="PND177" s="250"/>
      <c r="PNE177" s="250"/>
      <c r="PNF177" s="250"/>
      <c r="PNG177" s="250"/>
      <c r="PNH177" s="250"/>
      <c r="PNI177" s="250"/>
      <c r="PNJ177" s="250"/>
      <c r="PNK177" s="250"/>
      <c r="PNL177" s="250"/>
      <c r="PNM177" s="250"/>
      <c r="PNN177" s="250"/>
      <c r="PNO177" s="250"/>
      <c r="PNP177" s="250"/>
      <c r="PNQ177" s="250"/>
      <c r="PNR177" s="250"/>
      <c r="PNS177" s="250"/>
      <c r="PNT177" s="250"/>
      <c r="PNU177" s="250"/>
      <c r="PNV177" s="250"/>
      <c r="PNW177" s="250"/>
      <c r="PNX177" s="250"/>
      <c r="PNY177" s="250"/>
      <c r="PNZ177" s="250"/>
      <c r="POA177" s="250"/>
      <c r="POB177" s="250"/>
      <c r="POC177" s="250"/>
      <c r="POD177" s="250"/>
      <c r="POE177" s="250"/>
      <c r="POF177" s="250"/>
      <c r="POG177" s="250"/>
      <c r="POH177" s="250"/>
      <c r="POI177" s="250"/>
      <c r="POJ177" s="250"/>
      <c r="POK177" s="250"/>
      <c r="POL177" s="250"/>
      <c r="POM177" s="250"/>
      <c r="PON177" s="250"/>
      <c r="POO177" s="250"/>
      <c r="POP177" s="250"/>
      <c r="POQ177" s="250"/>
      <c r="POR177" s="250"/>
      <c r="POS177" s="250"/>
      <c r="POT177" s="250"/>
      <c r="POU177" s="250"/>
      <c r="POV177" s="250"/>
      <c r="POW177" s="250"/>
      <c r="POX177" s="250"/>
      <c r="POY177" s="250"/>
      <c r="POZ177" s="250"/>
      <c r="PPA177" s="250"/>
      <c r="PPB177" s="250"/>
      <c r="PPC177" s="250"/>
      <c r="PPD177" s="250"/>
      <c r="PPE177" s="250"/>
      <c r="PPF177" s="250"/>
      <c r="PPG177" s="250"/>
      <c r="PPH177" s="250"/>
      <c r="PPI177" s="250"/>
      <c r="PPJ177" s="250"/>
      <c r="PPK177" s="250"/>
      <c r="PPL177" s="250"/>
      <c r="PPM177" s="250"/>
      <c r="PPN177" s="250"/>
      <c r="PPO177" s="250"/>
      <c r="PPP177" s="250"/>
      <c r="PPQ177" s="250"/>
      <c r="PPR177" s="250"/>
      <c r="PPS177" s="250"/>
      <c r="PPT177" s="250"/>
      <c r="PPU177" s="250"/>
      <c r="PPV177" s="250"/>
      <c r="PPW177" s="250"/>
      <c r="PPX177" s="250"/>
      <c r="PPY177" s="250"/>
      <c r="PPZ177" s="250"/>
      <c r="PQA177" s="250"/>
      <c r="PQB177" s="250"/>
      <c r="PQC177" s="250"/>
      <c r="PQD177" s="250"/>
      <c r="PQE177" s="250"/>
      <c r="PQF177" s="250"/>
      <c r="PQG177" s="250"/>
      <c r="PQH177" s="250"/>
      <c r="PQI177" s="250"/>
      <c r="PQJ177" s="250"/>
      <c r="PQK177" s="250"/>
      <c r="PQL177" s="250"/>
      <c r="PQM177" s="250"/>
      <c r="PQN177" s="250"/>
      <c r="PQO177" s="250"/>
      <c r="PQP177" s="250"/>
      <c r="PQQ177" s="250"/>
      <c r="PQR177" s="250"/>
      <c r="PQS177" s="250"/>
      <c r="PQT177" s="250"/>
      <c r="PQU177" s="250"/>
      <c r="PQV177" s="250"/>
      <c r="PQW177" s="250"/>
      <c r="PQX177" s="250"/>
      <c r="PQY177" s="250"/>
      <c r="PQZ177" s="250"/>
      <c r="PRA177" s="250"/>
      <c r="PRB177" s="250"/>
      <c r="PRC177" s="250"/>
      <c r="PRD177" s="250"/>
      <c r="PRE177" s="250"/>
      <c r="PRF177" s="250"/>
      <c r="PRG177" s="250"/>
      <c r="PRH177" s="250"/>
      <c r="PRI177" s="250"/>
      <c r="PRJ177" s="250"/>
      <c r="PRK177" s="250"/>
      <c r="PRL177" s="250"/>
      <c r="PRM177" s="250"/>
      <c r="PRN177" s="250"/>
      <c r="PRO177" s="250"/>
      <c r="PRP177" s="250"/>
      <c r="PRQ177" s="250"/>
      <c r="PRR177" s="250"/>
      <c r="PRS177" s="250"/>
      <c r="PRT177" s="250"/>
      <c r="PRU177" s="250"/>
      <c r="PRV177" s="250"/>
      <c r="PRW177" s="250"/>
      <c r="PRX177" s="250"/>
      <c r="PRY177" s="250"/>
      <c r="PRZ177" s="250"/>
      <c r="PSA177" s="250"/>
      <c r="PSB177" s="250"/>
      <c r="PSC177" s="250"/>
      <c r="PSD177" s="250"/>
      <c r="PSE177" s="250"/>
      <c r="PSF177" s="250"/>
      <c r="PSG177" s="250"/>
      <c r="PSH177" s="250"/>
      <c r="PSI177" s="250"/>
      <c r="PSJ177" s="250"/>
      <c r="PSK177" s="250"/>
      <c r="PSL177" s="250"/>
      <c r="PSM177" s="250"/>
      <c r="PSN177" s="250"/>
      <c r="PSO177" s="250"/>
      <c r="PSP177" s="250"/>
      <c r="PSQ177" s="250"/>
      <c r="PSR177" s="250"/>
      <c r="PSS177" s="250"/>
      <c r="PST177" s="250"/>
      <c r="PSU177" s="250"/>
      <c r="PSV177" s="250"/>
      <c r="PSW177" s="250"/>
      <c r="PSX177" s="250"/>
      <c r="PSY177" s="250"/>
      <c r="PSZ177" s="250"/>
      <c r="PTA177" s="250"/>
      <c r="PTB177" s="250"/>
      <c r="PTC177" s="250"/>
      <c r="PTD177" s="250"/>
      <c r="PTE177" s="250"/>
      <c r="PTF177" s="250"/>
      <c r="PTG177" s="250"/>
      <c r="PTH177" s="250"/>
      <c r="PTI177" s="250"/>
      <c r="PTJ177" s="250"/>
      <c r="PTK177" s="250"/>
      <c r="PTL177" s="250"/>
      <c r="PTM177" s="250"/>
      <c r="PTN177" s="250"/>
      <c r="PTO177" s="250"/>
      <c r="PTP177" s="250"/>
      <c r="PTQ177" s="250"/>
      <c r="PTR177" s="250"/>
      <c r="PTS177" s="250"/>
      <c r="PTT177" s="250"/>
      <c r="PTU177" s="250"/>
      <c r="PTV177" s="250"/>
      <c r="PTW177" s="250"/>
      <c r="PTX177" s="250"/>
      <c r="PTY177" s="250"/>
      <c r="PTZ177" s="250"/>
      <c r="PUA177" s="250"/>
      <c r="PUB177" s="250"/>
      <c r="PUC177" s="250"/>
      <c r="PUD177" s="250"/>
      <c r="PUE177" s="250"/>
      <c r="PUF177" s="250"/>
      <c r="PUG177" s="250"/>
      <c r="PUH177" s="250"/>
      <c r="PUI177" s="250"/>
      <c r="PUJ177" s="250"/>
      <c r="PUK177" s="250"/>
      <c r="PUL177" s="250"/>
      <c r="PUM177" s="250"/>
      <c r="PUN177" s="250"/>
      <c r="PUO177" s="250"/>
      <c r="PUP177" s="250"/>
      <c r="PUQ177" s="250"/>
      <c r="PUR177" s="250"/>
      <c r="PUS177" s="250"/>
      <c r="PUT177" s="250"/>
      <c r="PUU177" s="250"/>
      <c r="PUV177" s="250"/>
      <c r="PUW177" s="250"/>
      <c r="PUX177" s="250"/>
      <c r="PUY177" s="250"/>
      <c r="PUZ177" s="250"/>
      <c r="PVA177" s="250"/>
      <c r="PVB177" s="250"/>
      <c r="PVC177" s="250"/>
      <c r="PVD177" s="250"/>
      <c r="PVE177" s="250"/>
      <c r="PVF177" s="250"/>
      <c r="PVG177" s="250"/>
      <c r="PVH177" s="250"/>
      <c r="PVI177" s="250"/>
      <c r="PVJ177" s="250"/>
      <c r="PVK177" s="250"/>
      <c r="PVL177" s="250"/>
      <c r="PVM177" s="250"/>
      <c r="PVN177" s="250"/>
      <c r="PVO177" s="250"/>
      <c r="PVP177" s="250"/>
      <c r="PVQ177" s="250"/>
      <c r="PVR177" s="250"/>
      <c r="PVS177" s="250"/>
      <c r="PVT177" s="250"/>
      <c r="PVU177" s="250"/>
      <c r="PVV177" s="250"/>
      <c r="PVW177" s="250"/>
      <c r="PVX177" s="250"/>
      <c r="PVY177" s="250"/>
      <c r="PVZ177" s="250"/>
      <c r="PWA177" s="250"/>
      <c r="PWB177" s="250"/>
      <c r="PWC177" s="250"/>
      <c r="PWD177" s="250"/>
      <c r="PWE177" s="250"/>
      <c r="PWF177" s="250"/>
      <c r="PWG177" s="250"/>
      <c r="PWH177" s="250"/>
      <c r="PWI177" s="250"/>
      <c r="PWJ177" s="250"/>
      <c r="PWK177" s="250"/>
      <c r="PWL177" s="250"/>
      <c r="PWM177" s="250"/>
      <c r="PWN177" s="250"/>
      <c r="PWO177" s="250"/>
      <c r="PWP177" s="250"/>
      <c r="PWQ177" s="250"/>
      <c r="PWR177" s="250"/>
      <c r="PWS177" s="250"/>
      <c r="PWT177" s="250"/>
      <c r="PWU177" s="250"/>
      <c r="PWV177" s="250"/>
      <c r="PWW177" s="250"/>
      <c r="PWX177" s="250"/>
      <c r="PWY177" s="250"/>
      <c r="PWZ177" s="250"/>
      <c r="PXA177" s="250"/>
      <c r="PXB177" s="250"/>
      <c r="PXC177" s="250"/>
      <c r="PXD177" s="250"/>
      <c r="PXE177" s="250"/>
      <c r="PXF177" s="250"/>
      <c r="PXG177" s="250"/>
      <c r="PXH177" s="250"/>
      <c r="PXI177" s="250"/>
      <c r="PXJ177" s="250"/>
      <c r="PXK177" s="250"/>
      <c r="PXL177" s="250"/>
      <c r="PXM177" s="250"/>
      <c r="PXN177" s="250"/>
      <c r="PXO177" s="250"/>
      <c r="PXP177" s="250"/>
      <c r="PXQ177" s="250"/>
      <c r="PXR177" s="250"/>
      <c r="PXS177" s="250"/>
      <c r="PXT177" s="250"/>
      <c r="PXU177" s="250"/>
      <c r="PXV177" s="250"/>
      <c r="PXW177" s="250"/>
      <c r="PXX177" s="250"/>
      <c r="PXY177" s="250"/>
      <c r="PXZ177" s="250"/>
      <c r="PYA177" s="250"/>
      <c r="PYB177" s="250"/>
      <c r="PYC177" s="250"/>
      <c r="PYD177" s="250"/>
      <c r="PYE177" s="250"/>
      <c r="PYF177" s="250"/>
      <c r="PYG177" s="250"/>
      <c r="PYH177" s="250"/>
      <c r="PYI177" s="250"/>
      <c r="PYJ177" s="250"/>
      <c r="PYK177" s="250"/>
      <c r="PYL177" s="250"/>
      <c r="PYM177" s="250"/>
      <c r="PYN177" s="250"/>
      <c r="PYO177" s="250"/>
      <c r="PYP177" s="250"/>
      <c r="PYQ177" s="250"/>
      <c r="PYR177" s="250"/>
      <c r="PYS177" s="250"/>
      <c r="PYT177" s="250"/>
      <c r="PYU177" s="250"/>
      <c r="PYV177" s="250"/>
      <c r="PYW177" s="250"/>
      <c r="PYX177" s="250"/>
      <c r="PYY177" s="250"/>
      <c r="PYZ177" s="250"/>
      <c r="PZA177" s="250"/>
      <c r="PZB177" s="250"/>
      <c r="PZC177" s="250"/>
      <c r="PZD177" s="250"/>
      <c r="PZE177" s="250"/>
      <c r="PZF177" s="250"/>
      <c r="PZG177" s="250"/>
      <c r="PZH177" s="250"/>
      <c r="PZI177" s="250"/>
      <c r="PZJ177" s="250"/>
      <c r="PZK177" s="250"/>
      <c r="PZL177" s="250"/>
      <c r="PZM177" s="250"/>
      <c r="PZN177" s="250"/>
      <c r="PZO177" s="250"/>
      <c r="PZP177" s="250"/>
      <c r="PZQ177" s="250"/>
      <c r="PZR177" s="250"/>
      <c r="PZS177" s="250"/>
      <c r="PZT177" s="250"/>
      <c r="PZU177" s="250"/>
      <c r="PZV177" s="250"/>
      <c r="PZW177" s="250"/>
      <c r="PZX177" s="250"/>
      <c r="PZY177" s="250"/>
      <c r="PZZ177" s="250"/>
      <c r="QAA177" s="250"/>
      <c r="QAB177" s="250"/>
      <c r="QAC177" s="250"/>
      <c r="QAD177" s="250"/>
      <c r="QAE177" s="250"/>
      <c r="QAF177" s="250"/>
      <c r="QAG177" s="250"/>
      <c r="QAH177" s="250"/>
      <c r="QAI177" s="250"/>
      <c r="QAJ177" s="250"/>
      <c r="QAK177" s="250"/>
      <c r="QAL177" s="250"/>
      <c r="QAM177" s="250"/>
      <c r="QAN177" s="250"/>
      <c r="QAO177" s="250"/>
      <c r="QAP177" s="250"/>
      <c r="QAQ177" s="250"/>
      <c r="QAR177" s="250"/>
      <c r="QAS177" s="250"/>
      <c r="QAT177" s="250"/>
      <c r="QAU177" s="250"/>
      <c r="QAV177" s="250"/>
      <c r="QAW177" s="250"/>
      <c r="QAX177" s="250"/>
      <c r="QAY177" s="250"/>
      <c r="QAZ177" s="250"/>
      <c r="QBA177" s="250"/>
      <c r="QBB177" s="250"/>
      <c r="QBC177" s="250"/>
      <c r="QBD177" s="250"/>
      <c r="QBE177" s="250"/>
      <c r="QBF177" s="250"/>
      <c r="QBG177" s="250"/>
      <c r="QBH177" s="250"/>
      <c r="QBI177" s="250"/>
      <c r="QBJ177" s="250"/>
      <c r="QBK177" s="250"/>
      <c r="QBL177" s="250"/>
      <c r="QBM177" s="250"/>
      <c r="QBN177" s="250"/>
      <c r="QBO177" s="250"/>
      <c r="QBP177" s="250"/>
      <c r="QBQ177" s="250"/>
      <c r="QBR177" s="250"/>
      <c r="QBS177" s="250"/>
      <c r="QBT177" s="250"/>
      <c r="QBU177" s="250"/>
      <c r="QBV177" s="250"/>
      <c r="QBW177" s="250"/>
      <c r="QBX177" s="250"/>
      <c r="QBY177" s="250"/>
      <c r="QBZ177" s="250"/>
      <c r="QCA177" s="250"/>
      <c r="QCB177" s="250"/>
      <c r="QCC177" s="250"/>
      <c r="QCD177" s="250"/>
      <c r="QCE177" s="250"/>
      <c r="QCF177" s="250"/>
      <c r="QCG177" s="250"/>
      <c r="QCH177" s="250"/>
      <c r="QCI177" s="250"/>
      <c r="QCJ177" s="250"/>
      <c r="QCK177" s="250"/>
      <c r="QCL177" s="250"/>
      <c r="QCM177" s="250"/>
      <c r="QCN177" s="250"/>
      <c r="QCO177" s="250"/>
      <c r="QCP177" s="250"/>
      <c r="QCQ177" s="250"/>
      <c r="QCR177" s="250"/>
      <c r="QCS177" s="250"/>
      <c r="QCT177" s="250"/>
      <c r="QCU177" s="250"/>
      <c r="QCV177" s="250"/>
      <c r="QCW177" s="250"/>
      <c r="QCX177" s="250"/>
      <c r="QCY177" s="250"/>
      <c r="QCZ177" s="250"/>
      <c r="QDA177" s="250"/>
      <c r="QDB177" s="250"/>
      <c r="QDC177" s="250"/>
      <c r="QDD177" s="250"/>
      <c r="QDE177" s="250"/>
      <c r="QDF177" s="250"/>
      <c r="QDG177" s="250"/>
      <c r="QDH177" s="250"/>
      <c r="QDI177" s="250"/>
      <c r="QDJ177" s="250"/>
      <c r="QDK177" s="250"/>
      <c r="QDL177" s="250"/>
      <c r="QDM177" s="250"/>
      <c r="QDN177" s="250"/>
      <c r="QDO177" s="250"/>
      <c r="QDP177" s="250"/>
      <c r="QDQ177" s="250"/>
      <c r="QDR177" s="250"/>
      <c r="QDS177" s="250"/>
      <c r="QDT177" s="250"/>
      <c r="QDU177" s="250"/>
      <c r="QDV177" s="250"/>
      <c r="QDW177" s="250"/>
      <c r="QDX177" s="250"/>
      <c r="QDY177" s="250"/>
      <c r="QDZ177" s="250"/>
      <c r="QEA177" s="250"/>
      <c r="QEB177" s="250"/>
      <c r="QEC177" s="250"/>
      <c r="QED177" s="250"/>
      <c r="QEE177" s="250"/>
      <c r="QEF177" s="250"/>
      <c r="QEG177" s="250"/>
      <c r="QEH177" s="250"/>
      <c r="QEI177" s="250"/>
      <c r="QEJ177" s="250"/>
      <c r="QEK177" s="250"/>
      <c r="QEL177" s="250"/>
      <c r="QEM177" s="250"/>
      <c r="QEN177" s="250"/>
      <c r="QEO177" s="250"/>
      <c r="QEP177" s="250"/>
      <c r="QEQ177" s="250"/>
      <c r="QER177" s="250"/>
      <c r="QES177" s="250"/>
      <c r="QET177" s="250"/>
      <c r="QEU177" s="250"/>
      <c r="QEV177" s="250"/>
      <c r="QEW177" s="250"/>
      <c r="QEX177" s="250"/>
      <c r="QEY177" s="250"/>
      <c r="QEZ177" s="250"/>
      <c r="QFA177" s="250"/>
      <c r="QFB177" s="250"/>
      <c r="QFC177" s="250"/>
      <c r="QFD177" s="250"/>
      <c r="QFE177" s="250"/>
      <c r="QFF177" s="250"/>
      <c r="QFG177" s="250"/>
      <c r="QFH177" s="250"/>
      <c r="QFI177" s="250"/>
      <c r="QFJ177" s="250"/>
      <c r="QFK177" s="250"/>
      <c r="QFL177" s="250"/>
      <c r="QFM177" s="250"/>
      <c r="QFN177" s="250"/>
      <c r="QFO177" s="250"/>
      <c r="QFP177" s="250"/>
      <c r="QFQ177" s="250"/>
      <c r="QFR177" s="250"/>
      <c r="QFS177" s="250"/>
      <c r="QFT177" s="250"/>
      <c r="QFU177" s="250"/>
      <c r="QFV177" s="250"/>
      <c r="QFW177" s="250"/>
      <c r="QFX177" s="250"/>
      <c r="QFY177" s="250"/>
      <c r="QFZ177" s="250"/>
      <c r="QGA177" s="250"/>
      <c r="QGB177" s="250"/>
      <c r="QGC177" s="250"/>
      <c r="QGD177" s="250"/>
      <c r="QGE177" s="250"/>
      <c r="QGF177" s="250"/>
      <c r="QGG177" s="250"/>
      <c r="QGH177" s="250"/>
      <c r="QGI177" s="250"/>
      <c r="QGJ177" s="250"/>
      <c r="QGK177" s="250"/>
      <c r="QGL177" s="250"/>
      <c r="QGM177" s="250"/>
      <c r="QGN177" s="250"/>
      <c r="QGO177" s="250"/>
      <c r="QGP177" s="250"/>
      <c r="QGQ177" s="250"/>
      <c r="QGR177" s="250"/>
      <c r="QGS177" s="250"/>
      <c r="QGT177" s="250"/>
      <c r="QGU177" s="250"/>
      <c r="QGV177" s="250"/>
      <c r="QGW177" s="250"/>
      <c r="QGX177" s="250"/>
      <c r="QGY177" s="250"/>
      <c r="QGZ177" s="250"/>
      <c r="QHA177" s="250"/>
      <c r="QHB177" s="250"/>
      <c r="QHC177" s="250"/>
      <c r="QHD177" s="250"/>
      <c r="QHE177" s="250"/>
      <c r="QHF177" s="250"/>
      <c r="QHG177" s="250"/>
      <c r="QHH177" s="250"/>
      <c r="QHI177" s="250"/>
      <c r="QHJ177" s="250"/>
      <c r="QHK177" s="250"/>
      <c r="QHL177" s="250"/>
      <c r="QHM177" s="250"/>
      <c r="QHN177" s="250"/>
      <c r="QHO177" s="250"/>
      <c r="QHP177" s="250"/>
      <c r="QHQ177" s="250"/>
      <c r="QHR177" s="250"/>
      <c r="QHS177" s="250"/>
      <c r="QHT177" s="250"/>
      <c r="QHU177" s="250"/>
      <c r="QHV177" s="250"/>
      <c r="QHW177" s="250"/>
      <c r="QHX177" s="250"/>
      <c r="QHY177" s="250"/>
      <c r="QHZ177" s="250"/>
      <c r="QIA177" s="250"/>
      <c r="QIB177" s="250"/>
      <c r="QIC177" s="250"/>
      <c r="QID177" s="250"/>
      <c r="QIE177" s="250"/>
      <c r="QIF177" s="250"/>
      <c r="QIG177" s="250"/>
      <c r="QIH177" s="250"/>
      <c r="QII177" s="250"/>
      <c r="QIJ177" s="250"/>
      <c r="QIK177" s="250"/>
      <c r="QIL177" s="250"/>
      <c r="QIM177" s="250"/>
      <c r="QIN177" s="250"/>
      <c r="QIO177" s="250"/>
      <c r="QIP177" s="250"/>
      <c r="QIQ177" s="250"/>
      <c r="QIR177" s="250"/>
      <c r="QIS177" s="250"/>
      <c r="QIT177" s="250"/>
      <c r="QIU177" s="250"/>
      <c r="QIV177" s="250"/>
      <c r="QIW177" s="250"/>
      <c r="QIX177" s="250"/>
      <c r="QIY177" s="250"/>
      <c r="QIZ177" s="250"/>
      <c r="QJA177" s="250"/>
      <c r="QJB177" s="250"/>
      <c r="QJC177" s="250"/>
      <c r="QJD177" s="250"/>
      <c r="QJE177" s="250"/>
      <c r="QJF177" s="250"/>
      <c r="QJG177" s="250"/>
      <c r="QJH177" s="250"/>
      <c r="QJI177" s="250"/>
      <c r="QJJ177" s="250"/>
      <c r="QJK177" s="250"/>
      <c r="QJL177" s="250"/>
      <c r="QJM177" s="250"/>
      <c r="QJN177" s="250"/>
      <c r="QJO177" s="250"/>
      <c r="QJP177" s="250"/>
      <c r="QJQ177" s="250"/>
      <c r="QJR177" s="250"/>
      <c r="QJS177" s="250"/>
      <c r="QJT177" s="250"/>
      <c r="QJU177" s="250"/>
      <c r="QJV177" s="250"/>
      <c r="QJW177" s="250"/>
      <c r="QJX177" s="250"/>
      <c r="QJY177" s="250"/>
      <c r="QJZ177" s="250"/>
      <c r="QKA177" s="250"/>
      <c r="QKB177" s="250"/>
      <c r="QKC177" s="250"/>
      <c r="QKD177" s="250"/>
      <c r="QKE177" s="250"/>
      <c r="QKF177" s="250"/>
      <c r="QKG177" s="250"/>
      <c r="QKH177" s="250"/>
      <c r="QKI177" s="250"/>
      <c r="QKJ177" s="250"/>
      <c r="QKK177" s="250"/>
      <c r="QKL177" s="250"/>
      <c r="QKM177" s="250"/>
      <c r="QKN177" s="250"/>
      <c r="QKO177" s="250"/>
      <c r="QKP177" s="250"/>
      <c r="QKQ177" s="250"/>
      <c r="QKR177" s="250"/>
      <c r="QKS177" s="250"/>
      <c r="QKT177" s="250"/>
      <c r="QKU177" s="250"/>
      <c r="QKV177" s="250"/>
      <c r="QKW177" s="250"/>
      <c r="QKX177" s="250"/>
      <c r="QKY177" s="250"/>
      <c r="QKZ177" s="250"/>
      <c r="QLA177" s="250"/>
      <c r="QLB177" s="250"/>
      <c r="QLC177" s="250"/>
      <c r="QLD177" s="250"/>
      <c r="QLE177" s="250"/>
      <c r="QLF177" s="250"/>
      <c r="QLG177" s="250"/>
      <c r="QLH177" s="250"/>
      <c r="QLI177" s="250"/>
      <c r="QLJ177" s="250"/>
      <c r="QLK177" s="250"/>
      <c r="QLL177" s="250"/>
      <c r="QLM177" s="250"/>
      <c r="QLN177" s="250"/>
      <c r="QLO177" s="250"/>
      <c r="QLP177" s="250"/>
      <c r="QLQ177" s="250"/>
      <c r="QLR177" s="250"/>
      <c r="QLS177" s="250"/>
      <c r="QLT177" s="250"/>
      <c r="QLU177" s="250"/>
      <c r="QLV177" s="250"/>
      <c r="QLW177" s="250"/>
      <c r="QLX177" s="250"/>
      <c r="QLY177" s="250"/>
      <c r="QLZ177" s="250"/>
      <c r="QMA177" s="250"/>
      <c r="QMB177" s="250"/>
      <c r="QMC177" s="250"/>
      <c r="QMD177" s="250"/>
      <c r="QME177" s="250"/>
      <c r="QMF177" s="250"/>
      <c r="QMG177" s="250"/>
      <c r="QMH177" s="250"/>
      <c r="QMI177" s="250"/>
      <c r="QMJ177" s="250"/>
      <c r="QMK177" s="250"/>
      <c r="QML177" s="250"/>
      <c r="QMM177" s="250"/>
      <c r="QMN177" s="250"/>
      <c r="QMO177" s="250"/>
      <c r="QMP177" s="250"/>
      <c r="QMQ177" s="250"/>
      <c r="QMR177" s="250"/>
      <c r="QMS177" s="250"/>
      <c r="QMT177" s="250"/>
      <c r="QMU177" s="250"/>
      <c r="QMV177" s="250"/>
      <c r="QMW177" s="250"/>
      <c r="QMX177" s="250"/>
      <c r="QMY177" s="250"/>
      <c r="QMZ177" s="250"/>
      <c r="QNA177" s="250"/>
      <c r="QNB177" s="250"/>
      <c r="QNC177" s="250"/>
      <c r="QND177" s="250"/>
      <c r="QNE177" s="250"/>
      <c r="QNF177" s="250"/>
      <c r="QNG177" s="250"/>
      <c r="QNH177" s="250"/>
      <c r="QNI177" s="250"/>
      <c r="QNJ177" s="250"/>
      <c r="QNK177" s="250"/>
      <c r="QNL177" s="250"/>
      <c r="QNM177" s="250"/>
      <c r="QNN177" s="250"/>
      <c r="QNO177" s="250"/>
      <c r="QNP177" s="250"/>
      <c r="QNQ177" s="250"/>
      <c r="QNR177" s="250"/>
      <c r="QNS177" s="250"/>
      <c r="QNT177" s="250"/>
      <c r="QNU177" s="250"/>
      <c r="QNV177" s="250"/>
      <c r="QNW177" s="250"/>
      <c r="QNX177" s="250"/>
      <c r="QNY177" s="250"/>
      <c r="QNZ177" s="250"/>
      <c r="QOA177" s="250"/>
      <c r="QOB177" s="250"/>
      <c r="QOC177" s="250"/>
      <c r="QOD177" s="250"/>
      <c r="QOE177" s="250"/>
      <c r="QOF177" s="250"/>
      <c r="QOG177" s="250"/>
      <c r="QOH177" s="250"/>
      <c r="QOI177" s="250"/>
      <c r="QOJ177" s="250"/>
      <c r="QOK177" s="250"/>
      <c r="QOL177" s="250"/>
      <c r="QOM177" s="250"/>
      <c r="QON177" s="250"/>
      <c r="QOO177" s="250"/>
      <c r="QOP177" s="250"/>
      <c r="QOQ177" s="250"/>
      <c r="QOR177" s="250"/>
      <c r="QOS177" s="250"/>
      <c r="QOT177" s="250"/>
      <c r="QOU177" s="250"/>
      <c r="QOV177" s="250"/>
      <c r="QOW177" s="250"/>
      <c r="QOX177" s="250"/>
      <c r="QOY177" s="250"/>
      <c r="QOZ177" s="250"/>
      <c r="QPA177" s="250"/>
      <c r="QPB177" s="250"/>
      <c r="QPC177" s="250"/>
      <c r="QPD177" s="250"/>
      <c r="QPE177" s="250"/>
      <c r="QPF177" s="250"/>
      <c r="QPG177" s="250"/>
      <c r="QPH177" s="250"/>
      <c r="QPI177" s="250"/>
      <c r="QPJ177" s="250"/>
      <c r="QPK177" s="250"/>
      <c r="QPL177" s="250"/>
      <c r="QPM177" s="250"/>
      <c r="QPN177" s="250"/>
      <c r="QPO177" s="250"/>
      <c r="QPP177" s="250"/>
      <c r="QPQ177" s="250"/>
      <c r="QPR177" s="250"/>
      <c r="QPS177" s="250"/>
      <c r="QPT177" s="250"/>
      <c r="QPU177" s="250"/>
      <c r="QPV177" s="250"/>
      <c r="QPW177" s="250"/>
      <c r="QPX177" s="250"/>
      <c r="QPY177" s="250"/>
      <c r="QPZ177" s="250"/>
      <c r="QQA177" s="250"/>
      <c r="QQB177" s="250"/>
      <c r="QQC177" s="250"/>
      <c r="QQD177" s="250"/>
      <c r="QQE177" s="250"/>
      <c r="QQF177" s="250"/>
      <c r="QQG177" s="250"/>
      <c r="QQH177" s="250"/>
      <c r="QQI177" s="250"/>
      <c r="QQJ177" s="250"/>
      <c r="QQK177" s="250"/>
      <c r="QQL177" s="250"/>
      <c r="QQM177" s="250"/>
      <c r="QQN177" s="250"/>
      <c r="QQO177" s="250"/>
      <c r="QQP177" s="250"/>
      <c r="QQQ177" s="250"/>
      <c r="QQR177" s="250"/>
      <c r="QQS177" s="250"/>
      <c r="QQT177" s="250"/>
      <c r="QQU177" s="250"/>
      <c r="QQV177" s="250"/>
      <c r="QQW177" s="250"/>
      <c r="QQX177" s="250"/>
      <c r="QQY177" s="250"/>
      <c r="QQZ177" s="250"/>
      <c r="QRA177" s="250"/>
      <c r="QRB177" s="250"/>
      <c r="QRC177" s="250"/>
      <c r="QRD177" s="250"/>
      <c r="QRE177" s="250"/>
      <c r="QRF177" s="250"/>
      <c r="QRG177" s="250"/>
      <c r="QRH177" s="250"/>
      <c r="QRI177" s="250"/>
      <c r="QRJ177" s="250"/>
      <c r="QRK177" s="250"/>
      <c r="QRL177" s="250"/>
      <c r="QRM177" s="250"/>
      <c r="QRN177" s="250"/>
      <c r="QRO177" s="250"/>
      <c r="QRP177" s="250"/>
      <c r="QRQ177" s="250"/>
      <c r="QRR177" s="250"/>
      <c r="QRS177" s="250"/>
      <c r="QRT177" s="250"/>
      <c r="QRU177" s="250"/>
      <c r="QRV177" s="250"/>
      <c r="QRW177" s="250"/>
      <c r="QRX177" s="250"/>
      <c r="QRY177" s="250"/>
      <c r="QRZ177" s="250"/>
      <c r="QSA177" s="250"/>
      <c r="QSB177" s="250"/>
      <c r="QSC177" s="250"/>
      <c r="QSD177" s="250"/>
      <c r="QSE177" s="250"/>
      <c r="QSF177" s="250"/>
      <c r="QSG177" s="250"/>
      <c r="QSH177" s="250"/>
      <c r="QSI177" s="250"/>
      <c r="QSJ177" s="250"/>
      <c r="QSK177" s="250"/>
      <c r="QSL177" s="250"/>
      <c r="QSM177" s="250"/>
      <c r="QSN177" s="250"/>
      <c r="QSO177" s="250"/>
      <c r="QSP177" s="250"/>
      <c r="QSQ177" s="250"/>
      <c r="QSR177" s="250"/>
      <c r="QSS177" s="250"/>
      <c r="QST177" s="250"/>
      <c r="QSU177" s="250"/>
      <c r="QSV177" s="250"/>
      <c r="QSW177" s="250"/>
      <c r="QSX177" s="250"/>
      <c r="QSY177" s="250"/>
      <c r="QSZ177" s="250"/>
      <c r="QTA177" s="250"/>
      <c r="QTB177" s="250"/>
      <c r="QTC177" s="250"/>
      <c r="QTD177" s="250"/>
      <c r="QTE177" s="250"/>
      <c r="QTF177" s="250"/>
      <c r="QTG177" s="250"/>
      <c r="QTH177" s="250"/>
      <c r="QTI177" s="250"/>
      <c r="QTJ177" s="250"/>
      <c r="QTK177" s="250"/>
      <c r="QTL177" s="250"/>
      <c r="QTM177" s="250"/>
      <c r="QTN177" s="250"/>
      <c r="QTO177" s="250"/>
      <c r="QTP177" s="250"/>
      <c r="QTQ177" s="250"/>
      <c r="QTR177" s="250"/>
      <c r="QTS177" s="250"/>
      <c r="QTT177" s="250"/>
      <c r="QTU177" s="250"/>
      <c r="QTV177" s="250"/>
      <c r="QTW177" s="250"/>
      <c r="QTX177" s="250"/>
      <c r="QTY177" s="250"/>
      <c r="QTZ177" s="250"/>
      <c r="QUA177" s="250"/>
      <c r="QUB177" s="250"/>
      <c r="QUC177" s="250"/>
      <c r="QUD177" s="250"/>
      <c r="QUE177" s="250"/>
      <c r="QUF177" s="250"/>
      <c r="QUG177" s="250"/>
      <c r="QUH177" s="250"/>
      <c r="QUI177" s="250"/>
      <c r="QUJ177" s="250"/>
      <c r="QUK177" s="250"/>
      <c r="QUL177" s="250"/>
      <c r="QUM177" s="250"/>
      <c r="QUN177" s="250"/>
      <c r="QUO177" s="250"/>
      <c r="QUP177" s="250"/>
      <c r="QUQ177" s="250"/>
      <c r="QUR177" s="250"/>
      <c r="QUS177" s="250"/>
      <c r="QUT177" s="250"/>
      <c r="QUU177" s="250"/>
      <c r="QUV177" s="250"/>
      <c r="QUW177" s="250"/>
      <c r="QUX177" s="250"/>
      <c r="QUY177" s="250"/>
      <c r="QUZ177" s="250"/>
      <c r="QVA177" s="250"/>
      <c r="QVB177" s="250"/>
      <c r="QVC177" s="250"/>
      <c r="QVD177" s="250"/>
      <c r="QVE177" s="250"/>
      <c r="QVF177" s="250"/>
      <c r="QVG177" s="250"/>
      <c r="QVH177" s="250"/>
      <c r="QVI177" s="250"/>
      <c r="QVJ177" s="250"/>
      <c r="QVK177" s="250"/>
      <c r="QVL177" s="250"/>
      <c r="QVM177" s="250"/>
      <c r="QVN177" s="250"/>
      <c r="QVO177" s="250"/>
      <c r="QVP177" s="250"/>
      <c r="QVQ177" s="250"/>
      <c r="QVR177" s="250"/>
      <c r="QVS177" s="250"/>
      <c r="QVT177" s="250"/>
      <c r="QVU177" s="250"/>
      <c r="QVV177" s="250"/>
      <c r="QVW177" s="250"/>
      <c r="QVX177" s="250"/>
      <c r="QVY177" s="250"/>
      <c r="QVZ177" s="250"/>
      <c r="QWA177" s="250"/>
      <c r="QWB177" s="250"/>
      <c r="QWC177" s="250"/>
      <c r="QWD177" s="250"/>
      <c r="QWE177" s="250"/>
      <c r="QWF177" s="250"/>
      <c r="QWG177" s="250"/>
      <c r="QWH177" s="250"/>
      <c r="QWI177" s="250"/>
      <c r="QWJ177" s="250"/>
      <c r="QWK177" s="250"/>
      <c r="QWL177" s="250"/>
      <c r="QWM177" s="250"/>
      <c r="QWN177" s="250"/>
      <c r="QWO177" s="250"/>
      <c r="QWP177" s="250"/>
      <c r="QWQ177" s="250"/>
      <c r="QWR177" s="250"/>
      <c r="QWS177" s="250"/>
      <c r="QWT177" s="250"/>
      <c r="QWU177" s="250"/>
      <c r="QWV177" s="250"/>
      <c r="QWW177" s="250"/>
      <c r="QWX177" s="250"/>
      <c r="QWY177" s="250"/>
      <c r="QWZ177" s="250"/>
      <c r="QXA177" s="250"/>
      <c r="QXB177" s="250"/>
      <c r="QXC177" s="250"/>
      <c r="QXD177" s="250"/>
      <c r="QXE177" s="250"/>
      <c r="QXF177" s="250"/>
      <c r="QXG177" s="250"/>
      <c r="QXH177" s="250"/>
      <c r="QXI177" s="250"/>
      <c r="QXJ177" s="250"/>
      <c r="QXK177" s="250"/>
      <c r="QXL177" s="250"/>
      <c r="QXM177" s="250"/>
      <c r="QXN177" s="250"/>
      <c r="QXO177" s="250"/>
      <c r="QXP177" s="250"/>
      <c r="QXQ177" s="250"/>
      <c r="QXR177" s="250"/>
      <c r="QXS177" s="250"/>
      <c r="QXT177" s="250"/>
      <c r="QXU177" s="250"/>
      <c r="QXV177" s="250"/>
      <c r="QXW177" s="250"/>
      <c r="QXX177" s="250"/>
      <c r="QXY177" s="250"/>
      <c r="QXZ177" s="250"/>
      <c r="QYA177" s="250"/>
      <c r="QYB177" s="250"/>
      <c r="QYC177" s="250"/>
      <c r="QYD177" s="250"/>
      <c r="QYE177" s="250"/>
      <c r="QYF177" s="250"/>
      <c r="QYG177" s="250"/>
      <c r="QYH177" s="250"/>
      <c r="QYI177" s="250"/>
      <c r="QYJ177" s="250"/>
      <c r="QYK177" s="250"/>
      <c r="QYL177" s="250"/>
      <c r="QYM177" s="250"/>
      <c r="QYN177" s="250"/>
      <c r="QYO177" s="250"/>
      <c r="QYP177" s="250"/>
      <c r="QYQ177" s="250"/>
      <c r="QYR177" s="250"/>
      <c r="QYS177" s="250"/>
      <c r="QYT177" s="250"/>
      <c r="QYU177" s="250"/>
      <c r="QYV177" s="250"/>
      <c r="QYW177" s="250"/>
      <c r="QYX177" s="250"/>
      <c r="QYY177" s="250"/>
      <c r="QYZ177" s="250"/>
      <c r="QZA177" s="250"/>
      <c r="QZB177" s="250"/>
      <c r="QZC177" s="250"/>
      <c r="QZD177" s="250"/>
      <c r="QZE177" s="250"/>
      <c r="QZF177" s="250"/>
      <c r="QZG177" s="250"/>
      <c r="QZH177" s="250"/>
      <c r="QZI177" s="250"/>
      <c r="QZJ177" s="250"/>
      <c r="QZK177" s="250"/>
      <c r="QZL177" s="250"/>
      <c r="QZM177" s="250"/>
      <c r="QZN177" s="250"/>
      <c r="QZO177" s="250"/>
      <c r="QZP177" s="250"/>
      <c r="QZQ177" s="250"/>
      <c r="QZR177" s="250"/>
      <c r="QZS177" s="250"/>
      <c r="QZT177" s="250"/>
      <c r="QZU177" s="250"/>
      <c r="QZV177" s="250"/>
      <c r="QZW177" s="250"/>
      <c r="QZX177" s="250"/>
      <c r="QZY177" s="250"/>
      <c r="QZZ177" s="250"/>
      <c r="RAA177" s="250"/>
      <c r="RAB177" s="250"/>
      <c r="RAC177" s="250"/>
      <c r="RAD177" s="250"/>
      <c r="RAE177" s="250"/>
      <c r="RAF177" s="250"/>
      <c r="RAG177" s="250"/>
      <c r="RAH177" s="250"/>
      <c r="RAI177" s="250"/>
      <c r="RAJ177" s="250"/>
      <c r="RAK177" s="250"/>
      <c r="RAL177" s="250"/>
      <c r="RAM177" s="250"/>
      <c r="RAN177" s="250"/>
      <c r="RAO177" s="250"/>
      <c r="RAP177" s="250"/>
      <c r="RAQ177" s="250"/>
      <c r="RAR177" s="250"/>
      <c r="RAS177" s="250"/>
      <c r="RAT177" s="250"/>
      <c r="RAU177" s="250"/>
      <c r="RAV177" s="250"/>
      <c r="RAW177" s="250"/>
      <c r="RAX177" s="250"/>
      <c r="RAY177" s="250"/>
      <c r="RAZ177" s="250"/>
      <c r="RBA177" s="250"/>
      <c r="RBB177" s="250"/>
      <c r="RBC177" s="250"/>
      <c r="RBD177" s="250"/>
      <c r="RBE177" s="250"/>
      <c r="RBF177" s="250"/>
      <c r="RBG177" s="250"/>
      <c r="RBH177" s="250"/>
      <c r="RBI177" s="250"/>
      <c r="RBJ177" s="250"/>
      <c r="RBK177" s="250"/>
      <c r="RBL177" s="250"/>
      <c r="RBM177" s="250"/>
      <c r="RBN177" s="250"/>
      <c r="RBO177" s="250"/>
      <c r="RBP177" s="250"/>
      <c r="RBQ177" s="250"/>
      <c r="RBR177" s="250"/>
      <c r="RBS177" s="250"/>
      <c r="RBT177" s="250"/>
      <c r="RBU177" s="250"/>
      <c r="RBV177" s="250"/>
      <c r="RBW177" s="250"/>
      <c r="RBX177" s="250"/>
      <c r="RBY177" s="250"/>
      <c r="RBZ177" s="250"/>
      <c r="RCA177" s="250"/>
      <c r="RCB177" s="250"/>
      <c r="RCC177" s="250"/>
      <c r="RCD177" s="250"/>
      <c r="RCE177" s="250"/>
      <c r="RCF177" s="250"/>
      <c r="RCG177" s="250"/>
      <c r="RCH177" s="250"/>
      <c r="RCI177" s="250"/>
      <c r="RCJ177" s="250"/>
      <c r="RCK177" s="250"/>
      <c r="RCL177" s="250"/>
      <c r="RCM177" s="250"/>
      <c r="RCN177" s="250"/>
      <c r="RCO177" s="250"/>
      <c r="RCP177" s="250"/>
      <c r="RCQ177" s="250"/>
      <c r="RCR177" s="250"/>
      <c r="RCS177" s="250"/>
      <c r="RCT177" s="250"/>
      <c r="RCU177" s="250"/>
      <c r="RCV177" s="250"/>
      <c r="RCW177" s="250"/>
      <c r="RCX177" s="250"/>
      <c r="RCY177" s="250"/>
      <c r="RCZ177" s="250"/>
      <c r="RDA177" s="250"/>
      <c r="RDB177" s="250"/>
      <c r="RDC177" s="250"/>
      <c r="RDD177" s="250"/>
      <c r="RDE177" s="250"/>
      <c r="RDF177" s="250"/>
      <c r="RDG177" s="250"/>
      <c r="RDH177" s="250"/>
      <c r="RDI177" s="250"/>
      <c r="RDJ177" s="250"/>
      <c r="RDK177" s="250"/>
      <c r="RDL177" s="250"/>
      <c r="RDM177" s="250"/>
      <c r="RDN177" s="250"/>
      <c r="RDO177" s="250"/>
      <c r="RDP177" s="250"/>
      <c r="RDQ177" s="250"/>
      <c r="RDR177" s="250"/>
      <c r="RDS177" s="250"/>
      <c r="RDT177" s="250"/>
      <c r="RDU177" s="250"/>
      <c r="RDV177" s="250"/>
      <c r="RDW177" s="250"/>
      <c r="RDX177" s="250"/>
      <c r="RDY177" s="250"/>
      <c r="RDZ177" s="250"/>
      <c r="REA177" s="250"/>
      <c r="REB177" s="250"/>
      <c r="REC177" s="250"/>
      <c r="RED177" s="250"/>
      <c r="REE177" s="250"/>
      <c r="REF177" s="250"/>
      <c r="REG177" s="250"/>
      <c r="REH177" s="250"/>
      <c r="REI177" s="250"/>
      <c r="REJ177" s="250"/>
      <c r="REK177" s="250"/>
      <c r="REL177" s="250"/>
      <c r="REM177" s="250"/>
      <c r="REN177" s="250"/>
      <c r="REO177" s="250"/>
      <c r="REP177" s="250"/>
      <c r="REQ177" s="250"/>
      <c r="RER177" s="250"/>
      <c r="RES177" s="250"/>
      <c r="RET177" s="250"/>
      <c r="REU177" s="250"/>
      <c r="REV177" s="250"/>
      <c r="REW177" s="250"/>
      <c r="REX177" s="250"/>
      <c r="REY177" s="250"/>
      <c r="REZ177" s="250"/>
      <c r="RFA177" s="250"/>
      <c r="RFB177" s="250"/>
      <c r="RFC177" s="250"/>
      <c r="RFD177" s="250"/>
      <c r="RFE177" s="250"/>
      <c r="RFF177" s="250"/>
      <c r="RFG177" s="250"/>
      <c r="RFH177" s="250"/>
      <c r="RFI177" s="250"/>
      <c r="RFJ177" s="250"/>
      <c r="RFK177" s="250"/>
      <c r="RFL177" s="250"/>
      <c r="RFM177" s="250"/>
      <c r="RFN177" s="250"/>
      <c r="RFO177" s="250"/>
      <c r="RFP177" s="250"/>
      <c r="RFQ177" s="250"/>
      <c r="RFR177" s="250"/>
      <c r="RFS177" s="250"/>
      <c r="RFT177" s="250"/>
      <c r="RFU177" s="250"/>
      <c r="RFV177" s="250"/>
      <c r="RFW177" s="250"/>
      <c r="RFX177" s="250"/>
      <c r="RFY177" s="250"/>
      <c r="RFZ177" s="250"/>
      <c r="RGA177" s="250"/>
      <c r="RGB177" s="250"/>
      <c r="RGC177" s="250"/>
      <c r="RGD177" s="250"/>
      <c r="RGE177" s="250"/>
      <c r="RGF177" s="250"/>
      <c r="RGG177" s="250"/>
      <c r="RGH177" s="250"/>
      <c r="RGI177" s="250"/>
      <c r="RGJ177" s="250"/>
      <c r="RGK177" s="250"/>
      <c r="RGL177" s="250"/>
      <c r="RGM177" s="250"/>
      <c r="RGN177" s="250"/>
      <c r="RGO177" s="250"/>
      <c r="RGP177" s="250"/>
      <c r="RGQ177" s="250"/>
      <c r="RGR177" s="250"/>
      <c r="RGS177" s="250"/>
      <c r="RGT177" s="250"/>
      <c r="RGU177" s="250"/>
      <c r="RGV177" s="250"/>
      <c r="RGW177" s="250"/>
      <c r="RGX177" s="250"/>
      <c r="RGY177" s="250"/>
      <c r="RGZ177" s="250"/>
      <c r="RHA177" s="250"/>
      <c r="RHB177" s="250"/>
      <c r="RHC177" s="250"/>
      <c r="RHD177" s="250"/>
      <c r="RHE177" s="250"/>
      <c r="RHF177" s="250"/>
      <c r="RHG177" s="250"/>
      <c r="RHH177" s="250"/>
      <c r="RHI177" s="250"/>
      <c r="RHJ177" s="250"/>
      <c r="RHK177" s="250"/>
      <c r="RHL177" s="250"/>
      <c r="RHM177" s="250"/>
      <c r="RHN177" s="250"/>
      <c r="RHO177" s="250"/>
      <c r="RHP177" s="250"/>
      <c r="RHQ177" s="250"/>
      <c r="RHR177" s="250"/>
      <c r="RHS177" s="250"/>
      <c r="RHT177" s="250"/>
      <c r="RHU177" s="250"/>
      <c r="RHV177" s="250"/>
      <c r="RHW177" s="250"/>
      <c r="RHX177" s="250"/>
      <c r="RHY177" s="250"/>
      <c r="RHZ177" s="250"/>
      <c r="RIA177" s="250"/>
      <c r="RIB177" s="250"/>
      <c r="RIC177" s="250"/>
      <c r="RID177" s="250"/>
      <c r="RIE177" s="250"/>
      <c r="RIF177" s="250"/>
      <c r="RIG177" s="250"/>
      <c r="RIH177" s="250"/>
      <c r="RII177" s="250"/>
      <c r="RIJ177" s="250"/>
      <c r="RIK177" s="250"/>
      <c r="RIL177" s="250"/>
      <c r="RIM177" s="250"/>
      <c r="RIN177" s="250"/>
      <c r="RIO177" s="250"/>
      <c r="RIP177" s="250"/>
      <c r="RIQ177" s="250"/>
      <c r="RIR177" s="250"/>
      <c r="RIS177" s="250"/>
      <c r="RIT177" s="250"/>
      <c r="RIU177" s="250"/>
      <c r="RIV177" s="250"/>
      <c r="RIW177" s="250"/>
      <c r="RIX177" s="250"/>
      <c r="RIY177" s="250"/>
      <c r="RIZ177" s="250"/>
      <c r="RJA177" s="250"/>
      <c r="RJB177" s="250"/>
      <c r="RJC177" s="250"/>
      <c r="RJD177" s="250"/>
      <c r="RJE177" s="250"/>
      <c r="RJF177" s="250"/>
      <c r="RJG177" s="250"/>
      <c r="RJH177" s="250"/>
      <c r="RJI177" s="250"/>
      <c r="RJJ177" s="250"/>
      <c r="RJK177" s="250"/>
      <c r="RJL177" s="250"/>
      <c r="RJM177" s="250"/>
      <c r="RJN177" s="250"/>
      <c r="RJO177" s="250"/>
      <c r="RJP177" s="250"/>
      <c r="RJQ177" s="250"/>
      <c r="RJR177" s="250"/>
      <c r="RJS177" s="250"/>
      <c r="RJT177" s="250"/>
      <c r="RJU177" s="250"/>
      <c r="RJV177" s="250"/>
      <c r="RJW177" s="250"/>
      <c r="RJX177" s="250"/>
      <c r="RJY177" s="250"/>
      <c r="RJZ177" s="250"/>
      <c r="RKA177" s="250"/>
      <c r="RKB177" s="250"/>
      <c r="RKC177" s="250"/>
      <c r="RKD177" s="250"/>
      <c r="RKE177" s="250"/>
      <c r="RKF177" s="250"/>
      <c r="RKG177" s="250"/>
      <c r="RKH177" s="250"/>
      <c r="RKI177" s="250"/>
      <c r="RKJ177" s="250"/>
      <c r="RKK177" s="250"/>
      <c r="RKL177" s="250"/>
      <c r="RKM177" s="250"/>
      <c r="RKN177" s="250"/>
      <c r="RKO177" s="250"/>
      <c r="RKP177" s="250"/>
      <c r="RKQ177" s="250"/>
      <c r="RKR177" s="250"/>
      <c r="RKS177" s="250"/>
      <c r="RKT177" s="250"/>
      <c r="RKU177" s="250"/>
      <c r="RKV177" s="250"/>
      <c r="RKW177" s="250"/>
      <c r="RKX177" s="250"/>
      <c r="RKY177" s="250"/>
      <c r="RKZ177" s="250"/>
      <c r="RLA177" s="250"/>
      <c r="RLB177" s="250"/>
      <c r="RLC177" s="250"/>
      <c r="RLD177" s="250"/>
      <c r="RLE177" s="250"/>
      <c r="RLF177" s="250"/>
      <c r="RLG177" s="250"/>
      <c r="RLH177" s="250"/>
      <c r="RLI177" s="250"/>
      <c r="RLJ177" s="250"/>
      <c r="RLK177" s="250"/>
      <c r="RLL177" s="250"/>
      <c r="RLM177" s="250"/>
      <c r="RLN177" s="250"/>
      <c r="RLO177" s="250"/>
      <c r="RLP177" s="250"/>
      <c r="RLQ177" s="250"/>
      <c r="RLR177" s="250"/>
      <c r="RLS177" s="250"/>
      <c r="RLT177" s="250"/>
      <c r="RLU177" s="250"/>
      <c r="RLV177" s="250"/>
      <c r="RLW177" s="250"/>
      <c r="RLX177" s="250"/>
      <c r="RLY177" s="250"/>
      <c r="RLZ177" s="250"/>
      <c r="RMA177" s="250"/>
      <c r="RMB177" s="250"/>
      <c r="RMC177" s="250"/>
      <c r="RMD177" s="250"/>
      <c r="RME177" s="250"/>
      <c r="RMF177" s="250"/>
      <c r="RMG177" s="250"/>
      <c r="RMH177" s="250"/>
      <c r="RMI177" s="250"/>
      <c r="RMJ177" s="250"/>
      <c r="RMK177" s="250"/>
      <c r="RML177" s="250"/>
      <c r="RMM177" s="250"/>
      <c r="RMN177" s="250"/>
      <c r="RMO177" s="250"/>
      <c r="RMP177" s="250"/>
      <c r="RMQ177" s="250"/>
      <c r="RMR177" s="250"/>
      <c r="RMS177" s="250"/>
      <c r="RMT177" s="250"/>
      <c r="RMU177" s="250"/>
      <c r="RMV177" s="250"/>
      <c r="RMW177" s="250"/>
      <c r="RMX177" s="250"/>
      <c r="RMY177" s="250"/>
      <c r="RMZ177" s="250"/>
      <c r="RNA177" s="250"/>
      <c r="RNB177" s="250"/>
      <c r="RNC177" s="250"/>
      <c r="RND177" s="250"/>
      <c r="RNE177" s="250"/>
      <c r="RNF177" s="250"/>
      <c r="RNG177" s="250"/>
      <c r="RNH177" s="250"/>
      <c r="RNI177" s="250"/>
      <c r="RNJ177" s="250"/>
      <c r="RNK177" s="250"/>
      <c r="RNL177" s="250"/>
      <c r="RNM177" s="250"/>
      <c r="RNN177" s="250"/>
      <c r="RNO177" s="250"/>
      <c r="RNP177" s="250"/>
      <c r="RNQ177" s="250"/>
      <c r="RNR177" s="250"/>
      <c r="RNS177" s="250"/>
      <c r="RNT177" s="250"/>
      <c r="RNU177" s="250"/>
      <c r="RNV177" s="250"/>
      <c r="RNW177" s="250"/>
      <c r="RNX177" s="250"/>
      <c r="RNY177" s="250"/>
      <c r="RNZ177" s="250"/>
      <c r="ROA177" s="250"/>
      <c r="ROB177" s="250"/>
      <c r="ROC177" s="250"/>
      <c r="ROD177" s="250"/>
      <c r="ROE177" s="250"/>
      <c r="ROF177" s="250"/>
      <c r="ROG177" s="250"/>
      <c r="ROH177" s="250"/>
      <c r="ROI177" s="250"/>
      <c r="ROJ177" s="250"/>
      <c r="ROK177" s="250"/>
      <c r="ROL177" s="250"/>
      <c r="ROM177" s="250"/>
      <c r="RON177" s="250"/>
      <c r="ROO177" s="250"/>
      <c r="ROP177" s="250"/>
      <c r="ROQ177" s="250"/>
      <c r="ROR177" s="250"/>
      <c r="ROS177" s="250"/>
      <c r="ROT177" s="250"/>
      <c r="ROU177" s="250"/>
      <c r="ROV177" s="250"/>
      <c r="ROW177" s="250"/>
      <c r="ROX177" s="250"/>
      <c r="ROY177" s="250"/>
      <c r="ROZ177" s="250"/>
      <c r="RPA177" s="250"/>
      <c r="RPB177" s="250"/>
      <c r="RPC177" s="250"/>
      <c r="RPD177" s="250"/>
      <c r="RPE177" s="250"/>
      <c r="RPF177" s="250"/>
      <c r="RPG177" s="250"/>
      <c r="RPH177" s="250"/>
      <c r="RPI177" s="250"/>
      <c r="RPJ177" s="250"/>
      <c r="RPK177" s="250"/>
      <c r="RPL177" s="250"/>
      <c r="RPM177" s="250"/>
      <c r="RPN177" s="250"/>
      <c r="RPO177" s="250"/>
      <c r="RPP177" s="250"/>
      <c r="RPQ177" s="250"/>
      <c r="RPR177" s="250"/>
      <c r="RPS177" s="250"/>
      <c r="RPT177" s="250"/>
      <c r="RPU177" s="250"/>
      <c r="RPV177" s="250"/>
      <c r="RPW177" s="250"/>
      <c r="RPX177" s="250"/>
      <c r="RPY177" s="250"/>
      <c r="RPZ177" s="250"/>
      <c r="RQA177" s="250"/>
      <c r="RQB177" s="250"/>
      <c r="RQC177" s="250"/>
      <c r="RQD177" s="250"/>
      <c r="RQE177" s="250"/>
      <c r="RQF177" s="250"/>
      <c r="RQG177" s="250"/>
      <c r="RQH177" s="250"/>
      <c r="RQI177" s="250"/>
      <c r="RQJ177" s="250"/>
      <c r="RQK177" s="250"/>
      <c r="RQL177" s="250"/>
      <c r="RQM177" s="250"/>
      <c r="RQN177" s="250"/>
      <c r="RQO177" s="250"/>
      <c r="RQP177" s="250"/>
      <c r="RQQ177" s="250"/>
      <c r="RQR177" s="250"/>
      <c r="RQS177" s="250"/>
      <c r="RQT177" s="250"/>
      <c r="RQU177" s="250"/>
      <c r="RQV177" s="250"/>
      <c r="RQW177" s="250"/>
      <c r="RQX177" s="250"/>
      <c r="RQY177" s="250"/>
      <c r="RQZ177" s="250"/>
      <c r="RRA177" s="250"/>
      <c r="RRB177" s="250"/>
      <c r="RRC177" s="250"/>
      <c r="RRD177" s="250"/>
      <c r="RRE177" s="250"/>
      <c r="RRF177" s="250"/>
      <c r="RRG177" s="250"/>
      <c r="RRH177" s="250"/>
      <c r="RRI177" s="250"/>
      <c r="RRJ177" s="250"/>
      <c r="RRK177" s="250"/>
      <c r="RRL177" s="250"/>
      <c r="RRM177" s="250"/>
      <c r="RRN177" s="250"/>
      <c r="RRO177" s="250"/>
      <c r="RRP177" s="250"/>
      <c r="RRQ177" s="250"/>
      <c r="RRR177" s="250"/>
      <c r="RRS177" s="250"/>
      <c r="RRT177" s="250"/>
      <c r="RRU177" s="250"/>
      <c r="RRV177" s="250"/>
      <c r="RRW177" s="250"/>
      <c r="RRX177" s="250"/>
      <c r="RRY177" s="250"/>
      <c r="RRZ177" s="250"/>
      <c r="RSA177" s="250"/>
      <c r="RSB177" s="250"/>
      <c r="RSC177" s="250"/>
      <c r="RSD177" s="250"/>
      <c r="RSE177" s="250"/>
      <c r="RSF177" s="250"/>
      <c r="RSG177" s="250"/>
      <c r="RSH177" s="250"/>
      <c r="RSI177" s="250"/>
      <c r="RSJ177" s="250"/>
      <c r="RSK177" s="250"/>
      <c r="RSL177" s="250"/>
      <c r="RSM177" s="250"/>
      <c r="RSN177" s="250"/>
      <c r="RSO177" s="250"/>
      <c r="RSP177" s="250"/>
      <c r="RSQ177" s="250"/>
      <c r="RSR177" s="250"/>
      <c r="RSS177" s="250"/>
      <c r="RST177" s="250"/>
      <c r="RSU177" s="250"/>
      <c r="RSV177" s="250"/>
      <c r="RSW177" s="250"/>
      <c r="RSX177" s="250"/>
      <c r="RSY177" s="250"/>
      <c r="RSZ177" s="250"/>
      <c r="RTA177" s="250"/>
      <c r="RTB177" s="250"/>
      <c r="RTC177" s="250"/>
      <c r="RTD177" s="250"/>
      <c r="RTE177" s="250"/>
      <c r="RTF177" s="250"/>
      <c r="RTG177" s="250"/>
      <c r="RTH177" s="250"/>
      <c r="RTI177" s="250"/>
      <c r="RTJ177" s="250"/>
      <c r="RTK177" s="250"/>
      <c r="RTL177" s="250"/>
      <c r="RTM177" s="250"/>
      <c r="RTN177" s="250"/>
      <c r="RTO177" s="250"/>
      <c r="RTP177" s="250"/>
      <c r="RTQ177" s="250"/>
      <c r="RTR177" s="250"/>
      <c r="RTS177" s="250"/>
      <c r="RTT177" s="250"/>
      <c r="RTU177" s="250"/>
      <c r="RTV177" s="250"/>
      <c r="RTW177" s="250"/>
      <c r="RTX177" s="250"/>
      <c r="RTY177" s="250"/>
      <c r="RTZ177" s="250"/>
      <c r="RUA177" s="250"/>
      <c r="RUB177" s="250"/>
      <c r="RUC177" s="250"/>
      <c r="RUD177" s="250"/>
      <c r="RUE177" s="250"/>
      <c r="RUF177" s="250"/>
      <c r="RUG177" s="250"/>
      <c r="RUH177" s="250"/>
      <c r="RUI177" s="250"/>
      <c r="RUJ177" s="250"/>
      <c r="RUK177" s="250"/>
      <c r="RUL177" s="250"/>
      <c r="RUM177" s="250"/>
      <c r="RUN177" s="250"/>
      <c r="RUO177" s="250"/>
      <c r="RUP177" s="250"/>
      <c r="RUQ177" s="250"/>
      <c r="RUR177" s="250"/>
      <c r="RUS177" s="250"/>
      <c r="RUT177" s="250"/>
      <c r="RUU177" s="250"/>
      <c r="RUV177" s="250"/>
      <c r="RUW177" s="250"/>
      <c r="RUX177" s="250"/>
      <c r="RUY177" s="250"/>
      <c r="RUZ177" s="250"/>
      <c r="RVA177" s="250"/>
      <c r="RVB177" s="250"/>
      <c r="RVC177" s="250"/>
      <c r="RVD177" s="250"/>
      <c r="RVE177" s="250"/>
      <c r="RVF177" s="250"/>
      <c r="RVG177" s="250"/>
      <c r="RVH177" s="250"/>
      <c r="RVI177" s="250"/>
      <c r="RVJ177" s="250"/>
      <c r="RVK177" s="250"/>
      <c r="RVL177" s="250"/>
      <c r="RVM177" s="250"/>
      <c r="RVN177" s="250"/>
      <c r="RVO177" s="250"/>
      <c r="RVP177" s="250"/>
      <c r="RVQ177" s="250"/>
      <c r="RVR177" s="250"/>
      <c r="RVS177" s="250"/>
      <c r="RVT177" s="250"/>
      <c r="RVU177" s="250"/>
      <c r="RVV177" s="250"/>
      <c r="RVW177" s="250"/>
      <c r="RVX177" s="250"/>
      <c r="RVY177" s="250"/>
      <c r="RVZ177" s="250"/>
      <c r="RWA177" s="250"/>
      <c r="RWB177" s="250"/>
      <c r="RWC177" s="250"/>
      <c r="RWD177" s="250"/>
      <c r="RWE177" s="250"/>
      <c r="RWF177" s="250"/>
      <c r="RWG177" s="250"/>
      <c r="RWH177" s="250"/>
      <c r="RWI177" s="250"/>
      <c r="RWJ177" s="250"/>
      <c r="RWK177" s="250"/>
      <c r="RWL177" s="250"/>
      <c r="RWM177" s="250"/>
      <c r="RWN177" s="250"/>
      <c r="RWO177" s="250"/>
      <c r="RWP177" s="250"/>
      <c r="RWQ177" s="250"/>
      <c r="RWR177" s="250"/>
      <c r="RWS177" s="250"/>
      <c r="RWT177" s="250"/>
      <c r="RWU177" s="250"/>
      <c r="RWV177" s="250"/>
      <c r="RWW177" s="250"/>
      <c r="RWX177" s="250"/>
      <c r="RWY177" s="250"/>
      <c r="RWZ177" s="250"/>
      <c r="RXA177" s="250"/>
      <c r="RXB177" s="250"/>
      <c r="RXC177" s="250"/>
      <c r="RXD177" s="250"/>
      <c r="RXE177" s="250"/>
      <c r="RXF177" s="250"/>
      <c r="RXG177" s="250"/>
      <c r="RXH177" s="250"/>
      <c r="RXI177" s="250"/>
      <c r="RXJ177" s="250"/>
      <c r="RXK177" s="250"/>
      <c r="RXL177" s="250"/>
      <c r="RXM177" s="250"/>
      <c r="RXN177" s="250"/>
      <c r="RXO177" s="250"/>
      <c r="RXP177" s="250"/>
      <c r="RXQ177" s="250"/>
      <c r="RXR177" s="250"/>
      <c r="RXS177" s="250"/>
      <c r="RXT177" s="250"/>
      <c r="RXU177" s="250"/>
      <c r="RXV177" s="250"/>
      <c r="RXW177" s="250"/>
      <c r="RXX177" s="250"/>
      <c r="RXY177" s="250"/>
      <c r="RXZ177" s="250"/>
      <c r="RYA177" s="250"/>
      <c r="RYB177" s="250"/>
      <c r="RYC177" s="250"/>
      <c r="RYD177" s="250"/>
      <c r="RYE177" s="250"/>
      <c r="RYF177" s="250"/>
      <c r="RYG177" s="250"/>
      <c r="RYH177" s="250"/>
      <c r="RYI177" s="250"/>
      <c r="RYJ177" s="250"/>
      <c r="RYK177" s="250"/>
      <c r="RYL177" s="250"/>
      <c r="RYM177" s="250"/>
      <c r="RYN177" s="250"/>
      <c r="RYO177" s="250"/>
      <c r="RYP177" s="250"/>
      <c r="RYQ177" s="250"/>
      <c r="RYR177" s="250"/>
      <c r="RYS177" s="250"/>
      <c r="RYT177" s="250"/>
      <c r="RYU177" s="250"/>
      <c r="RYV177" s="250"/>
      <c r="RYW177" s="250"/>
      <c r="RYX177" s="250"/>
      <c r="RYY177" s="250"/>
      <c r="RYZ177" s="250"/>
      <c r="RZA177" s="250"/>
      <c r="RZB177" s="250"/>
      <c r="RZC177" s="250"/>
      <c r="RZD177" s="250"/>
      <c r="RZE177" s="250"/>
      <c r="RZF177" s="250"/>
      <c r="RZG177" s="250"/>
      <c r="RZH177" s="250"/>
      <c r="RZI177" s="250"/>
      <c r="RZJ177" s="250"/>
      <c r="RZK177" s="250"/>
      <c r="RZL177" s="250"/>
      <c r="RZM177" s="250"/>
      <c r="RZN177" s="250"/>
      <c r="RZO177" s="250"/>
      <c r="RZP177" s="250"/>
      <c r="RZQ177" s="250"/>
      <c r="RZR177" s="250"/>
      <c r="RZS177" s="250"/>
      <c r="RZT177" s="250"/>
      <c r="RZU177" s="250"/>
      <c r="RZV177" s="250"/>
      <c r="RZW177" s="250"/>
      <c r="RZX177" s="250"/>
      <c r="RZY177" s="250"/>
      <c r="RZZ177" s="250"/>
      <c r="SAA177" s="250"/>
      <c r="SAB177" s="250"/>
      <c r="SAC177" s="250"/>
      <c r="SAD177" s="250"/>
      <c r="SAE177" s="250"/>
      <c r="SAF177" s="250"/>
      <c r="SAG177" s="250"/>
      <c r="SAH177" s="250"/>
      <c r="SAI177" s="250"/>
      <c r="SAJ177" s="250"/>
      <c r="SAK177" s="250"/>
      <c r="SAL177" s="250"/>
      <c r="SAM177" s="250"/>
      <c r="SAN177" s="250"/>
      <c r="SAO177" s="250"/>
      <c r="SAP177" s="250"/>
      <c r="SAQ177" s="250"/>
      <c r="SAR177" s="250"/>
      <c r="SAS177" s="250"/>
      <c r="SAT177" s="250"/>
      <c r="SAU177" s="250"/>
      <c r="SAV177" s="250"/>
      <c r="SAW177" s="250"/>
      <c r="SAX177" s="250"/>
      <c r="SAY177" s="250"/>
      <c r="SAZ177" s="250"/>
      <c r="SBA177" s="250"/>
      <c r="SBB177" s="250"/>
      <c r="SBC177" s="250"/>
      <c r="SBD177" s="250"/>
      <c r="SBE177" s="250"/>
      <c r="SBF177" s="250"/>
      <c r="SBG177" s="250"/>
      <c r="SBH177" s="250"/>
      <c r="SBI177" s="250"/>
      <c r="SBJ177" s="250"/>
      <c r="SBK177" s="250"/>
      <c r="SBL177" s="250"/>
      <c r="SBM177" s="250"/>
      <c r="SBN177" s="250"/>
      <c r="SBO177" s="250"/>
      <c r="SBP177" s="250"/>
      <c r="SBQ177" s="250"/>
      <c r="SBR177" s="250"/>
      <c r="SBS177" s="250"/>
      <c r="SBT177" s="250"/>
      <c r="SBU177" s="250"/>
      <c r="SBV177" s="250"/>
      <c r="SBW177" s="250"/>
      <c r="SBX177" s="250"/>
      <c r="SBY177" s="250"/>
      <c r="SBZ177" s="250"/>
      <c r="SCA177" s="250"/>
      <c r="SCB177" s="250"/>
      <c r="SCC177" s="250"/>
      <c r="SCD177" s="250"/>
      <c r="SCE177" s="250"/>
      <c r="SCF177" s="250"/>
      <c r="SCG177" s="250"/>
      <c r="SCH177" s="250"/>
      <c r="SCI177" s="250"/>
      <c r="SCJ177" s="250"/>
      <c r="SCK177" s="250"/>
      <c r="SCL177" s="250"/>
      <c r="SCM177" s="250"/>
      <c r="SCN177" s="250"/>
      <c r="SCO177" s="250"/>
      <c r="SCP177" s="250"/>
      <c r="SCQ177" s="250"/>
      <c r="SCR177" s="250"/>
      <c r="SCS177" s="250"/>
      <c r="SCT177" s="250"/>
      <c r="SCU177" s="250"/>
      <c r="SCV177" s="250"/>
      <c r="SCW177" s="250"/>
      <c r="SCX177" s="250"/>
      <c r="SCY177" s="250"/>
      <c r="SCZ177" s="250"/>
      <c r="SDA177" s="250"/>
      <c r="SDB177" s="250"/>
      <c r="SDC177" s="250"/>
      <c r="SDD177" s="250"/>
      <c r="SDE177" s="250"/>
      <c r="SDF177" s="250"/>
      <c r="SDG177" s="250"/>
      <c r="SDH177" s="250"/>
      <c r="SDI177" s="250"/>
      <c r="SDJ177" s="250"/>
      <c r="SDK177" s="250"/>
      <c r="SDL177" s="250"/>
      <c r="SDM177" s="250"/>
      <c r="SDN177" s="250"/>
      <c r="SDO177" s="250"/>
      <c r="SDP177" s="250"/>
      <c r="SDQ177" s="250"/>
      <c r="SDR177" s="250"/>
      <c r="SDS177" s="250"/>
      <c r="SDT177" s="250"/>
      <c r="SDU177" s="250"/>
      <c r="SDV177" s="250"/>
      <c r="SDW177" s="250"/>
      <c r="SDX177" s="250"/>
      <c r="SDY177" s="250"/>
      <c r="SDZ177" s="250"/>
      <c r="SEA177" s="250"/>
      <c r="SEB177" s="250"/>
      <c r="SEC177" s="250"/>
      <c r="SED177" s="250"/>
      <c r="SEE177" s="250"/>
      <c r="SEF177" s="250"/>
      <c r="SEG177" s="250"/>
      <c r="SEH177" s="250"/>
      <c r="SEI177" s="250"/>
      <c r="SEJ177" s="250"/>
      <c r="SEK177" s="250"/>
      <c r="SEL177" s="250"/>
      <c r="SEM177" s="250"/>
      <c r="SEN177" s="250"/>
      <c r="SEO177" s="250"/>
      <c r="SEP177" s="250"/>
      <c r="SEQ177" s="250"/>
      <c r="SER177" s="250"/>
      <c r="SES177" s="250"/>
      <c r="SET177" s="250"/>
      <c r="SEU177" s="250"/>
      <c r="SEV177" s="250"/>
      <c r="SEW177" s="250"/>
      <c r="SEX177" s="250"/>
      <c r="SEY177" s="250"/>
      <c r="SEZ177" s="250"/>
      <c r="SFA177" s="250"/>
      <c r="SFB177" s="250"/>
      <c r="SFC177" s="250"/>
      <c r="SFD177" s="250"/>
      <c r="SFE177" s="250"/>
      <c r="SFF177" s="250"/>
      <c r="SFG177" s="250"/>
      <c r="SFH177" s="250"/>
      <c r="SFI177" s="250"/>
      <c r="SFJ177" s="250"/>
      <c r="SFK177" s="250"/>
      <c r="SFL177" s="250"/>
      <c r="SFM177" s="250"/>
      <c r="SFN177" s="250"/>
      <c r="SFO177" s="250"/>
      <c r="SFP177" s="250"/>
      <c r="SFQ177" s="250"/>
      <c r="SFR177" s="250"/>
      <c r="SFS177" s="250"/>
      <c r="SFT177" s="250"/>
      <c r="SFU177" s="250"/>
      <c r="SFV177" s="250"/>
      <c r="SFW177" s="250"/>
      <c r="SFX177" s="250"/>
      <c r="SFY177" s="250"/>
      <c r="SFZ177" s="250"/>
      <c r="SGA177" s="250"/>
      <c r="SGB177" s="250"/>
      <c r="SGC177" s="250"/>
      <c r="SGD177" s="250"/>
      <c r="SGE177" s="250"/>
      <c r="SGF177" s="250"/>
      <c r="SGG177" s="250"/>
      <c r="SGH177" s="250"/>
      <c r="SGI177" s="250"/>
      <c r="SGJ177" s="250"/>
      <c r="SGK177" s="250"/>
      <c r="SGL177" s="250"/>
      <c r="SGM177" s="250"/>
      <c r="SGN177" s="250"/>
      <c r="SGO177" s="250"/>
      <c r="SGP177" s="250"/>
      <c r="SGQ177" s="250"/>
      <c r="SGR177" s="250"/>
      <c r="SGS177" s="250"/>
      <c r="SGT177" s="250"/>
      <c r="SGU177" s="250"/>
      <c r="SGV177" s="250"/>
      <c r="SGW177" s="250"/>
      <c r="SGX177" s="250"/>
      <c r="SGY177" s="250"/>
      <c r="SGZ177" s="250"/>
      <c r="SHA177" s="250"/>
      <c r="SHB177" s="250"/>
      <c r="SHC177" s="250"/>
      <c r="SHD177" s="250"/>
      <c r="SHE177" s="250"/>
      <c r="SHF177" s="250"/>
      <c r="SHG177" s="250"/>
      <c r="SHH177" s="250"/>
      <c r="SHI177" s="250"/>
      <c r="SHJ177" s="250"/>
      <c r="SHK177" s="250"/>
      <c r="SHL177" s="250"/>
      <c r="SHM177" s="250"/>
      <c r="SHN177" s="250"/>
      <c r="SHO177" s="250"/>
      <c r="SHP177" s="250"/>
      <c r="SHQ177" s="250"/>
      <c r="SHR177" s="250"/>
      <c r="SHS177" s="250"/>
      <c r="SHT177" s="250"/>
      <c r="SHU177" s="250"/>
      <c r="SHV177" s="250"/>
      <c r="SHW177" s="250"/>
      <c r="SHX177" s="250"/>
      <c r="SHY177" s="250"/>
      <c r="SHZ177" s="250"/>
      <c r="SIA177" s="250"/>
      <c r="SIB177" s="250"/>
      <c r="SIC177" s="250"/>
      <c r="SID177" s="250"/>
      <c r="SIE177" s="250"/>
      <c r="SIF177" s="250"/>
      <c r="SIG177" s="250"/>
      <c r="SIH177" s="250"/>
      <c r="SII177" s="250"/>
      <c r="SIJ177" s="250"/>
      <c r="SIK177" s="250"/>
      <c r="SIL177" s="250"/>
      <c r="SIM177" s="250"/>
      <c r="SIN177" s="250"/>
      <c r="SIO177" s="250"/>
      <c r="SIP177" s="250"/>
      <c r="SIQ177" s="250"/>
      <c r="SIR177" s="250"/>
      <c r="SIS177" s="250"/>
      <c r="SIT177" s="250"/>
      <c r="SIU177" s="250"/>
      <c r="SIV177" s="250"/>
      <c r="SIW177" s="250"/>
      <c r="SIX177" s="250"/>
      <c r="SIY177" s="250"/>
      <c r="SIZ177" s="250"/>
      <c r="SJA177" s="250"/>
      <c r="SJB177" s="250"/>
      <c r="SJC177" s="250"/>
      <c r="SJD177" s="250"/>
      <c r="SJE177" s="250"/>
      <c r="SJF177" s="250"/>
      <c r="SJG177" s="250"/>
      <c r="SJH177" s="250"/>
      <c r="SJI177" s="250"/>
      <c r="SJJ177" s="250"/>
      <c r="SJK177" s="250"/>
      <c r="SJL177" s="250"/>
      <c r="SJM177" s="250"/>
      <c r="SJN177" s="250"/>
      <c r="SJO177" s="250"/>
      <c r="SJP177" s="250"/>
      <c r="SJQ177" s="250"/>
      <c r="SJR177" s="250"/>
      <c r="SJS177" s="250"/>
      <c r="SJT177" s="250"/>
      <c r="SJU177" s="250"/>
      <c r="SJV177" s="250"/>
      <c r="SJW177" s="250"/>
      <c r="SJX177" s="250"/>
      <c r="SJY177" s="250"/>
      <c r="SJZ177" s="250"/>
      <c r="SKA177" s="250"/>
      <c r="SKB177" s="250"/>
      <c r="SKC177" s="250"/>
      <c r="SKD177" s="250"/>
      <c r="SKE177" s="250"/>
      <c r="SKF177" s="250"/>
      <c r="SKG177" s="250"/>
      <c r="SKH177" s="250"/>
      <c r="SKI177" s="250"/>
      <c r="SKJ177" s="250"/>
      <c r="SKK177" s="250"/>
      <c r="SKL177" s="250"/>
      <c r="SKM177" s="250"/>
      <c r="SKN177" s="250"/>
      <c r="SKO177" s="250"/>
      <c r="SKP177" s="250"/>
      <c r="SKQ177" s="250"/>
      <c r="SKR177" s="250"/>
      <c r="SKS177" s="250"/>
      <c r="SKT177" s="250"/>
      <c r="SKU177" s="250"/>
      <c r="SKV177" s="250"/>
      <c r="SKW177" s="250"/>
      <c r="SKX177" s="250"/>
      <c r="SKY177" s="250"/>
      <c r="SKZ177" s="250"/>
      <c r="SLA177" s="250"/>
      <c r="SLB177" s="250"/>
      <c r="SLC177" s="250"/>
      <c r="SLD177" s="250"/>
      <c r="SLE177" s="250"/>
      <c r="SLF177" s="250"/>
      <c r="SLG177" s="250"/>
      <c r="SLH177" s="250"/>
      <c r="SLI177" s="250"/>
      <c r="SLJ177" s="250"/>
      <c r="SLK177" s="250"/>
      <c r="SLL177" s="250"/>
      <c r="SLM177" s="250"/>
      <c r="SLN177" s="250"/>
      <c r="SLO177" s="250"/>
      <c r="SLP177" s="250"/>
      <c r="SLQ177" s="250"/>
      <c r="SLR177" s="250"/>
      <c r="SLS177" s="250"/>
      <c r="SLT177" s="250"/>
      <c r="SLU177" s="250"/>
      <c r="SLV177" s="250"/>
      <c r="SLW177" s="250"/>
      <c r="SLX177" s="250"/>
      <c r="SLY177" s="250"/>
      <c r="SLZ177" s="250"/>
      <c r="SMA177" s="250"/>
      <c r="SMB177" s="250"/>
      <c r="SMC177" s="250"/>
      <c r="SMD177" s="250"/>
      <c r="SME177" s="250"/>
      <c r="SMF177" s="250"/>
      <c r="SMG177" s="250"/>
      <c r="SMH177" s="250"/>
      <c r="SMI177" s="250"/>
      <c r="SMJ177" s="250"/>
      <c r="SMK177" s="250"/>
      <c r="SML177" s="250"/>
      <c r="SMM177" s="250"/>
      <c r="SMN177" s="250"/>
      <c r="SMO177" s="250"/>
      <c r="SMP177" s="250"/>
      <c r="SMQ177" s="250"/>
      <c r="SMR177" s="250"/>
      <c r="SMS177" s="250"/>
      <c r="SMT177" s="250"/>
      <c r="SMU177" s="250"/>
      <c r="SMV177" s="250"/>
      <c r="SMW177" s="250"/>
      <c r="SMX177" s="250"/>
      <c r="SMY177" s="250"/>
      <c r="SMZ177" s="250"/>
      <c r="SNA177" s="250"/>
      <c r="SNB177" s="250"/>
      <c r="SNC177" s="250"/>
      <c r="SND177" s="250"/>
      <c r="SNE177" s="250"/>
      <c r="SNF177" s="250"/>
      <c r="SNG177" s="250"/>
      <c r="SNH177" s="250"/>
      <c r="SNI177" s="250"/>
      <c r="SNJ177" s="250"/>
      <c r="SNK177" s="250"/>
      <c r="SNL177" s="250"/>
      <c r="SNM177" s="250"/>
      <c r="SNN177" s="250"/>
      <c r="SNO177" s="250"/>
      <c r="SNP177" s="250"/>
      <c r="SNQ177" s="250"/>
      <c r="SNR177" s="250"/>
      <c r="SNS177" s="250"/>
      <c r="SNT177" s="250"/>
      <c r="SNU177" s="250"/>
      <c r="SNV177" s="250"/>
      <c r="SNW177" s="250"/>
      <c r="SNX177" s="250"/>
      <c r="SNY177" s="250"/>
      <c r="SNZ177" s="250"/>
      <c r="SOA177" s="250"/>
      <c r="SOB177" s="250"/>
      <c r="SOC177" s="250"/>
      <c r="SOD177" s="250"/>
      <c r="SOE177" s="250"/>
      <c r="SOF177" s="250"/>
      <c r="SOG177" s="250"/>
      <c r="SOH177" s="250"/>
      <c r="SOI177" s="250"/>
      <c r="SOJ177" s="250"/>
      <c r="SOK177" s="250"/>
      <c r="SOL177" s="250"/>
      <c r="SOM177" s="250"/>
      <c r="SON177" s="250"/>
      <c r="SOO177" s="250"/>
      <c r="SOP177" s="250"/>
      <c r="SOQ177" s="250"/>
      <c r="SOR177" s="250"/>
      <c r="SOS177" s="250"/>
      <c r="SOT177" s="250"/>
      <c r="SOU177" s="250"/>
      <c r="SOV177" s="250"/>
      <c r="SOW177" s="250"/>
      <c r="SOX177" s="250"/>
      <c r="SOY177" s="250"/>
      <c r="SOZ177" s="250"/>
      <c r="SPA177" s="250"/>
      <c r="SPB177" s="250"/>
      <c r="SPC177" s="250"/>
      <c r="SPD177" s="250"/>
      <c r="SPE177" s="250"/>
      <c r="SPF177" s="250"/>
      <c r="SPG177" s="250"/>
      <c r="SPH177" s="250"/>
      <c r="SPI177" s="250"/>
      <c r="SPJ177" s="250"/>
      <c r="SPK177" s="250"/>
      <c r="SPL177" s="250"/>
      <c r="SPM177" s="250"/>
      <c r="SPN177" s="250"/>
      <c r="SPO177" s="250"/>
      <c r="SPP177" s="250"/>
      <c r="SPQ177" s="250"/>
      <c r="SPR177" s="250"/>
      <c r="SPS177" s="250"/>
      <c r="SPT177" s="250"/>
      <c r="SPU177" s="250"/>
      <c r="SPV177" s="250"/>
      <c r="SPW177" s="250"/>
      <c r="SPX177" s="250"/>
      <c r="SPY177" s="250"/>
      <c r="SPZ177" s="250"/>
      <c r="SQA177" s="250"/>
      <c r="SQB177" s="250"/>
      <c r="SQC177" s="250"/>
      <c r="SQD177" s="250"/>
      <c r="SQE177" s="250"/>
      <c r="SQF177" s="250"/>
      <c r="SQG177" s="250"/>
      <c r="SQH177" s="250"/>
      <c r="SQI177" s="250"/>
      <c r="SQJ177" s="250"/>
      <c r="SQK177" s="250"/>
      <c r="SQL177" s="250"/>
      <c r="SQM177" s="250"/>
      <c r="SQN177" s="250"/>
      <c r="SQO177" s="250"/>
      <c r="SQP177" s="250"/>
      <c r="SQQ177" s="250"/>
      <c r="SQR177" s="250"/>
      <c r="SQS177" s="250"/>
      <c r="SQT177" s="250"/>
      <c r="SQU177" s="250"/>
      <c r="SQV177" s="250"/>
      <c r="SQW177" s="250"/>
      <c r="SQX177" s="250"/>
      <c r="SQY177" s="250"/>
      <c r="SQZ177" s="250"/>
      <c r="SRA177" s="250"/>
      <c r="SRB177" s="250"/>
      <c r="SRC177" s="250"/>
      <c r="SRD177" s="250"/>
      <c r="SRE177" s="250"/>
      <c r="SRF177" s="250"/>
      <c r="SRG177" s="250"/>
      <c r="SRH177" s="250"/>
      <c r="SRI177" s="250"/>
      <c r="SRJ177" s="250"/>
      <c r="SRK177" s="250"/>
      <c r="SRL177" s="250"/>
      <c r="SRM177" s="250"/>
      <c r="SRN177" s="250"/>
      <c r="SRO177" s="250"/>
      <c r="SRP177" s="250"/>
      <c r="SRQ177" s="250"/>
      <c r="SRR177" s="250"/>
      <c r="SRS177" s="250"/>
      <c r="SRT177" s="250"/>
      <c r="SRU177" s="250"/>
      <c r="SRV177" s="250"/>
      <c r="SRW177" s="250"/>
      <c r="SRX177" s="250"/>
      <c r="SRY177" s="250"/>
      <c r="SRZ177" s="250"/>
      <c r="SSA177" s="250"/>
      <c r="SSB177" s="250"/>
      <c r="SSC177" s="250"/>
      <c r="SSD177" s="250"/>
      <c r="SSE177" s="250"/>
      <c r="SSF177" s="250"/>
      <c r="SSG177" s="250"/>
      <c r="SSH177" s="250"/>
      <c r="SSI177" s="250"/>
      <c r="SSJ177" s="250"/>
      <c r="SSK177" s="250"/>
      <c r="SSL177" s="250"/>
      <c r="SSM177" s="250"/>
      <c r="SSN177" s="250"/>
      <c r="SSO177" s="250"/>
      <c r="SSP177" s="250"/>
      <c r="SSQ177" s="250"/>
      <c r="SSR177" s="250"/>
      <c r="SSS177" s="250"/>
      <c r="SST177" s="250"/>
      <c r="SSU177" s="250"/>
      <c r="SSV177" s="250"/>
      <c r="SSW177" s="250"/>
      <c r="SSX177" s="250"/>
      <c r="SSY177" s="250"/>
      <c r="SSZ177" s="250"/>
      <c r="STA177" s="250"/>
      <c r="STB177" s="250"/>
      <c r="STC177" s="250"/>
      <c r="STD177" s="250"/>
      <c r="STE177" s="250"/>
      <c r="STF177" s="250"/>
      <c r="STG177" s="250"/>
      <c r="STH177" s="250"/>
      <c r="STI177" s="250"/>
      <c r="STJ177" s="250"/>
      <c r="STK177" s="250"/>
      <c r="STL177" s="250"/>
      <c r="STM177" s="250"/>
      <c r="STN177" s="250"/>
      <c r="STO177" s="250"/>
      <c r="STP177" s="250"/>
      <c r="STQ177" s="250"/>
      <c r="STR177" s="250"/>
      <c r="STS177" s="250"/>
      <c r="STT177" s="250"/>
      <c r="STU177" s="250"/>
      <c r="STV177" s="250"/>
      <c r="STW177" s="250"/>
      <c r="STX177" s="250"/>
      <c r="STY177" s="250"/>
      <c r="STZ177" s="250"/>
      <c r="SUA177" s="250"/>
      <c r="SUB177" s="250"/>
      <c r="SUC177" s="250"/>
      <c r="SUD177" s="250"/>
      <c r="SUE177" s="250"/>
      <c r="SUF177" s="250"/>
      <c r="SUG177" s="250"/>
      <c r="SUH177" s="250"/>
      <c r="SUI177" s="250"/>
      <c r="SUJ177" s="250"/>
      <c r="SUK177" s="250"/>
      <c r="SUL177" s="250"/>
      <c r="SUM177" s="250"/>
      <c r="SUN177" s="250"/>
      <c r="SUO177" s="250"/>
      <c r="SUP177" s="250"/>
      <c r="SUQ177" s="250"/>
      <c r="SUR177" s="250"/>
      <c r="SUS177" s="250"/>
      <c r="SUT177" s="250"/>
      <c r="SUU177" s="250"/>
      <c r="SUV177" s="250"/>
      <c r="SUW177" s="250"/>
      <c r="SUX177" s="250"/>
      <c r="SUY177" s="250"/>
      <c r="SUZ177" s="250"/>
      <c r="SVA177" s="250"/>
      <c r="SVB177" s="250"/>
      <c r="SVC177" s="250"/>
      <c r="SVD177" s="250"/>
      <c r="SVE177" s="250"/>
      <c r="SVF177" s="250"/>
      <c r="SVG177" s="250"/>
      <c r="SVH177" s="250"/>
      <c r="SVI177" s="250"/>
      <c r="SVJ177" s="250"/>
      <c r="SVK177" s="250"/>
      <c r="SVL177" s="250"/>
      <c r="SVM177" s="250"/>
      <c r="SVN177" s="250"/>
      <c r="SVO177" s="250"/>
      <c r="SVP177" s="250"/>
      <c r="SVQ177" s="250"/>
      <c r="SVR177" s="250"/>
      <c r="SVS177" s="250"/>
      <c r="SVT177" s="250"/>
      <c r="SVU177" s="250"/>
      <c r="SVV177" s="250"/>
      <c r="SVW177" s="250"/>
      <c r="SVX177" s="250"/>
      <c r="SVY177" s="250"/>
      <c r="SVZ177" s="250"/>
      <c r="SWA177" s="250"/>
      <c r="SWB177" s="250"/>
      <c r="SWC177" s="250"/>
      <c r="SWD177" s="250"/>
      <c r="SWE177" s="250"/>
      <c r="SWF177" s="250"/>
      <c r="SWG177" s="250"/>
      <c r="SWH177" s="250"/>
      <c r="SWI177" s="250"/>
      <c r="SWJ177" s="250"/>
      <c r="SWK177" s="250"/>
      <c r="SWL177" s="250"/>
      <c r="SWM177" s="250"/>
      <c r="SWN177" s="250"/>
      <c r="SWO177" s="250"/>
      <c r="SWP177" s="250"/>
      <c r="SWQ177" s="250"/>
      <c r="SWR177" s="250"/>
      <c r="SWS177" s="250"/>
      <c r="SWT177" s="250"/>
      <c r="SWU177" s="250"/>
      <c r="SWV177" s="250"/>
      <c r="SWW177" s="250"/>
      <c r="SWX177" s="250"/>
      <c r="SWY177" s="250"/>
      <c r="SWZ177" s="250"/>
      <c r="SXA177" s="250"/>
      <c r="SXB177" s="250"/>
      <c r="SXC177" s="250"/>
      <c r="SXD177" s="250"/>
      <c r="SXE177" s="250"/>
      <c r="SXF177" s="250"/>
      <c r="SXG177" s="250"/>
      <c r="SXH177" s="250"/>
      <c r="SXI177" s="250"/>
      <c r="SXJ177" s="250"/>
      <c r="SXK177" s="250"/>
      <c r="SXL177" s="250"/>
      <c r="SXM177" s="250"/>
      <c r="SXN177" s="250"/>
      <c r="SXO177" s="250"/>
      <c r="SXP177" s="250"/>
      <c r="SXQ177" s="250"/>
      <c r="SXR177" s="250"/>
      <c r="SXS177" s="250"/>
      <c r="SXT177" s="250"/>
      <c r="SXU177" s="250"/>
      <c r="SXV177" s="250"/>
      <c r="SXW177" s="250"/>
      <c r="SXX177" s="250"/>
      <c r="SXY177" s="250"/>
      <c r="SXZ177" s="250"/>
      <c r="SYA177" s="250"/>
      <c r="SYB177" s="250"/>
      <c r="SYC177" s="250"/>
      <c r="SYD177" s="250"/>
      <c r="SYE177" s="250"/>
      <c r="SYF177" s="250"/>
      <c r="SYG177" s="250"/>
      <c r="SYH177" s="250"/>
      <c r="SYI177" s="250"/>
      <c r="SYJ177" s="250"/>
      <c r="SYK177" s="250"/>
      <c r="SYL177" s="250"/>
      <c r="SYM177" s="250"/>
      <c r="SYN177" s="250"/>
      <c r="SYO177" s="250"/>
      <c r="SYP177" s="250"/>
      <c r="SYQ177" s="250"/>
      <c r="SYR177" s="250"/>
      <c r="SYS177" s="250"/>
      <c r="SYT177" s="250"/>
      <c r="SYU177" s="250"/>
      <c r="SYV177" s="250"/>
      <c r="SYW177" s="250"/>
      <c r="SYX177" s="250"/>
      <c r="SYY177" s="250"/>
      <c r="SYZ177" s="250"/>
      <c r="SZA177" s="250"/>
      <c r="SZB177" s="250"/>
      <c r="SZC177" s="250"/>
      <c r="SZD177" s="250"/>
      <c r="SZE177" s="250"/>
      <c r="SZF177" s="250"/>
      <c r="SZG177" s="250"/>
      <c r="SZH177" s="250"/>
      <c r="SZI177" s="250"/>
      <c r="SZJ177" s="250"/>
      <c r="SZK177" s="250"/>
      <c r="SZL177" s="250"/>
      <c r="SZM177" s="250"/>
      <c r="SZN177" s="250"/>
      <c r="SZO177" s="250"/>
      <c r="SZP177" s="250"/>
      <c r="SZQ177" s="250"/>
      <c r="SZR177" s="250"/>
      <c r="SZS177" s="250"/>
      <c r="SZT177" s="250"/>
      <c r="SZU177" s="250"/>
      <c r="SZV177" s="250"/>
      <c r="SZW177" s="250"/>
      <c r="SZX177" s="250"/>
      <c r="SZY177" s="250"/>
      <c r="SZZ177" s="250"/>
      <c r="TAA177" s="250"/>
      <c r="TAB177" s="250"/>
      <c r="TAC177" s="250"/>
      <c r="TAD177" s="250"/>
      <c r="TAE177" s="250"/>
      <c r="TAF177" s="250"/>
      <c r="TAG177" s="250"/>
      <c r="TAH177" s="250"/>
      <c r="TAI177" s="250"/>
      <c r="TAJ177" s="250"/>
      <c r="TAK177" s="250"/>
      <c r="TAL177" s="250"/>
      <c r="TAM177" s="250"/>
      <c r="TAN177" s="250"/>
      <c r="TAO177" s="250"/>
      <c r="TAP177" s="250"/>
      <c r="TAQ177" s="250"/>
      <c r="TAR177" s="250"/>
      <c r="TAS177" s="250"/>
      <c r="TAT177" s="250"/>
      <c r="TAU177" s="250"/>
      <c r="TAV177" s="250"/>
      <c r="TAW177" s="250"/>
      <c r="TAX177" s="250"/>
      <c r="TAY177" s="250"/>
      <c r="TAZ177" s="250"/>
      <c r="TBA177" s="250"/>
      <c r="TBB177" s="250"/>
      <c r="TBC177" s="250"/>
      <c r="TBD177" s="250"/>
      <c r="TBE177" s="250"/>
      <c r="TBF177" s="250"/>
      <c r="TBG177" s="250"/>
      <c r="TBH177" s="250"/>
      <c r="TBI177" s="250"/>
      <c r="TBJ177" s="250"/>
      <c r="TBK177" s="250"/>
      <c r="TBL177" s="250"/>
      <c r="TBM177" s="250"/>
      <c r="TBN177" s="250"/>
      <c r="TBO177" s="250"/>
      <c r="TBP177" s="250"/>
      <c r="TBQ177" s="250"/>
      <c r="TBR177" s="250"/>
      <c r="TBS177" s="250"/>
      <c r="TBT177" s="250"/>
      <c r="TBU177" s="250"/>
      <c r="TBV177" s="250"/>
      <c r="TBW177" s="250"/>
      <c r="TBX177" s="250"/>
      <c r="TBY177" s="250"/>
      <c r="TBZ177" s="250"/>
      <c r="TCA177" s="250"/>
      <c r="TCB177" s="250"/>
      <c r="TCC177" s="250"/>
      <c r="TCD177" s="250"/>
      <c r="TCE177" s="250"/>
      <c r="TCF177" s="250"/>
      <c r="TCG177" s="250"/>
      <c r="TCH177" s="250"/>
      <c r="TCI177" s="250"/>
      <c r="TCJ177" s="250"/>
      <c r="TCK177" s="250"/>
      <c r="TCL177" s="250"/>
      <c r="TCM177" s="250"/>
      <c r="TCN177" s="250"/>
      <c r="TCO177" s="250"/>
      <c r="TCP177" s="250"/>
      <c r="TCQ177" s="250"/>
      <c r="TCR177" s="250"/>
      <c r="TCS177" s="250"/>
      <c r="TCT177" s="250"/>
      <c r="TCU177" s="250"/>
      <c r="TCV177" s="250"/>
      <c r="TCW177" s="250"/>
      <c r="TCX177" s="250"/>
      <c r="TCY177" s="250"/>
      <c r="TCZ177" s="250"/>
      <c r="TDA177" s="250"/>
      <c r="TDB177" s="250"/>
      <c r="TDC177" s="250"/>
      <c r="TDD177" s="250"/>
      <c r="TDE177" s="250"/>
      <c r="TDF177" s="250"/>
      <c r="TDG177" s="250"/>
      <c r="TDH177" s="250"/>
      <c r="TDI177" s="250"/>
      <c r="TDJ177" s="250"/>
      <c r="TDK177" s="250"/>
      <c r="TDL177" s="250"/>
      <c r="TDM177" s="250"/>
      <c r="TDN177" s="250"/>
      <c r="TDO177" s="250"/>
      <c r="TDP177" s="250"/>
      <c r="TDQ177" s="250"/>
      <c r="TDR177" s="250"/>
      <c r="TDS177" s="250"/>
      <c r="TDT177" s="250"/>
      <c r="TDU177" s="250"/>
      <c r="TDV177" s="250"/>
      <c r="TDW177" s="250"/>
      <c r="TDX177" s="250"/>
      <c r="TDY177" s="250"/>
      <c r="TDZ177" s="250"/>
      <c r="TEA177" s="250"/>
      <c r="TEB177" s="250"/>
      <c r="TEC177" s="250"/>
      <c r="TED177" s="250"/>
      <c r="TEE177" s="250"/>
      <c r="TEF177" s="250"/>
      <c r="TEG177" s="250"/>
      <c r="TEH177" s="250"/>
      <c r="TEI177" s="250"/>
      <c r="TEJ177" s="250"/>
      <c r="TEK177" s="250"/>
      <c r="TEL177" s="250"/>
      <c r="TEM177" s="250"/>
      <c r="TEN177" s="250"/>
      <c r="TEO177" s="250"/>
      <c r="TEP177" s="250"/>
      <c r="TEQ177" s="250"/>
      <c r="TER177" s="250"/>
      <c r="TES177" s="250"/>
      <c r="TET177" s="250"/>
      <c r="TEU177" s="250"/>
      <c r="TEV177" s="250"/>
      <c r="TEW177" s="250"/>
      <c r="TEX177" s="250"/>
      <c r="TEY177" s="250"/>
      <c r="TEZ177" s="250"/>
      <c r="TFA177" s="250"/>
      <c r="TFB177" s="250"/>
      <c r="TFC177" s="250"/>
      <c r="TFD177" s="250"/>
      <c r="TFE177" s="250"/>
      <c r="TFF177" s="250"/>
      <c r="TFG177" s="250"/>
      <c r="TFH177" s="250"/>
      <c r="TFI177" s="250"/>
      <c r="TFJ177" s="250"/>
      <c r="TFK177" s="250"/>
      <c r="TFL177" s="250"/>
      <c r="TFM177" s="250"/>
      <c r="TFN177" s="250"/>
      <c r="TFO177" s="250"/>
      <c r="TFP177" s="250"/>
      <c r="TFQ177" s="250"/>
      <c r="TFR177" s="250"/>
      <c r="TFS177" s="250"/>
      <c r="TFT177" s="250"/>
      <c r="TFU177" s="250"/>
      <c r="TFV177" s="250"/>
      <c r="TFW177" s="250"/>
      <c r="TFX177" s="250"/>
      <c r="TFY177" s="250"/>
      <c r="TFZ177" s="250"/>
      <c r="TGA177" s="250"/>
      <c r="TGB177" s="250"/>
      <c r="TGC177" s="250"/>
      <c r="TGD177" s="250"/>
      <c r="TGE177" s="250"/>
      <c r="TGF177" s="250"/>
      <c r="TGG177" s="250"/>
      <c r="TGH177" s="250"/>
      <c r="TGI177" s="250"/>
      <c r="TGJ177" s="250"/>
      <c r="TGK177" s="250"/>
      <c r="TGL177" s="250"/>
      <c r="TGM177" s="250"/>
      <c r="TGN177" s="250"/>
      <c r="TGO177" s="250"/>
      <c r="TGP177" s="250"/>
      <c r="TGQ177" s="250"/>
      <c r="TGR177" s="250"/>
      <c r="TGS177" s="250"/>
      <c r="TGT177" s="250"/>
      <c r="TGU177" s="250"/>
      <c r="TGV177" s="250"/>
      <c r="TGW177" s="250"/>
      <c r="TGX177" s="250"/>
      <c r="TGY177" s="250"/>
      <c r="TGZ177" s="250"/>
      <c r="THA177" s="250"/>
      <c r="THB177" s="250"/>
      <c r="THC177" s="250"/>
      <c r="THD177" s="250"/>
      <c r="THE177" s="250"/>
      <c r="THF177" s="250"/>
      <c r="THG177" s="250"/>
      <c r="THH177" s="250"/>
      <c r="THI177" s="250"/>
      <c r="THJ177" s="250"/>
      <c r="THK177" s="250"/>
      <c r="THL177" s="250"/>
      <c r="THM177" s="250"/>
      <c r="THN177" s="250"/>
      <c r="THO177" s="250"/>
      <c r="THP177" s="250"/>
      <c r="THQ177" s="250"/>
      <c r="THR177" s="250"/>
      <c r="THS177" s="250"/>
      <c r="THT177" s="250"/>
      <c r="THU177" s="250"/>
      <c r="THV177" s="250"/>
      <c r="THW177" s="250"/>
      <c r="THX177" s="250"/>
      <c r="THY177" s="250"/>
      <c r="THZ177" s="250"/>
      <c r="TIA177" s="250"/>
      <c r="TIB177" s="250"/>
      <c r="TIC177" s="250"/>
      <c r="TID177" s="250"/>
      <c r="TIE177" s="250"/>
      <c r="TIF177" s="250"/>
      <c r="TIG177" s="250"/>
      <c r="TIH177" s="250"/>
      <c r="TII177" s="250"/>
      <c r="TIJ177" s="250"/>
      <c r="TIK177" s="250"/>
      <c r="TIL177" s="250"/>
      <c r="TIM177" s="250"/>
      <c r="TIN177" s="250"/>
      <c r="TIO177" s="250"/>
      <c r="TIP177" s="250"/>
      <c r="TIQ177" s="250"/>
      <c r="TIR177" s="250"/>
      <c r="TIS177" s="250"/>
      <c r="TIT177" s="250"/>
      <c r="TIU177" s="250"/>
      <c r="TIV177" s="250"/>
      <c r="TIW177" s="250"/>
      <c r="TIX177" s="250"/>
      <c r="TIY177" s="250"/>
      <c r="TIZ177" s="250"/>
      <c r="TJA177" s="250"/>
      <c r="TJB177" s="250"/>
      <c r="TJC177" s="250"/>
      <c r="TJD177" s="250"/>
      <c r="TJE177" s="250"/>
      <c r="TJF177" s="250"/>
      <c r="TJG177" s="250"/>
      <c r="TJH177" s="250"/>
      <c r="TJI177" s="250"/>
      <c r="TJJ177" s="250"/>
      <c r="TJK177" s="250"/>
      <c r="TJL177" s="250"/>
      <c r="TJM177" s="250"/>
      <c r="TJN177" s="250"/>
      <c r="TJO177" s="250"/>
      <c r="TJP177" s="250"/>
      <c r="TJQ177" s="250"/>
      <c r="TJR177" s="250"/>
      <c r="TJS177" s="250"/>
      <c r="TJT177" s="250"/>
      <c r="TJU177" s="250"/>
      <c r="TJV177" s="250"/>
      <c r="TJW177" s="250"/>
      <c r="TJX177" s="250"/>
      <c r="TJY177" s="250"/>
      <c r="TJZ177" s="250"/>
      <c r="TKA177" s="250"/>
      <c r="TKB177" s="250"/>
      <c r="TKC177" s="250"/>
      <c r="TKD177" s="250"/>
      <c r="TKE177" s="250"/>
      <c r="TKF177" s="250"/>
      <c r="TKG177" s="250"/>
      <c r="TKH177" s="250"/>
      <c r="TKI177" s="250"/>
      <c r="TKJ177" s="250"/>
      <c r="TKK177" s="250"/>
      <c r="TKL177" s="250"/>
      <c r="TKM177" s="250"/>
      <c r="TKN177" s="250"/>
      <c r="TKO177" s="250"/>
      <c r="TKP177" s="250"/>
      <c r="TKQ177" s="250"/>
      <c r="TKR177" s="250"/>
      <c r="TKS177" s="250"/>
      <c r="TKT177" s="250"/>
      <c r="TKU177" s="250"/>
      <c r="TKV177" s="250"/>
      <c r="TKW177" s="250"/>
      <c r="TKX177" s="250"/>
      <c r="TKY177" s="250"/>
      <c r="TKZ177" s="250"/>
      <c r="TLA177" s="250"/>
      <c r="TLB177" s="250"/>
      <c r="TLC177" s="250"/>
      <c r="TLD177" s="250"/>
      <c r="TLE177" s="250"/>
      <c r="TLF177" s="250"/>
      <c r="TLG177" s="250"/>
      <c r="TLH177" s="250"/>
      <c r="TLI177" s="250"/>
      <c r="TLJ177" s="250"/>
      <c r="TLK177" s="250"/>
      <c r="TLL177" s="250"/>
      <c r="TLM177" s="250"/>
      <c r="TLN177" s="250"/>
      <c r="TLO177" s="250"/>
      <c r="TLP177" s="250"/>
      <c r="TLQ177" s="250"/>
      <c r="TLR177" s="250"/>
      <c r="TLS177" s="250"/>
      <c r="TLT177" s="250"/>
      <c r="TLU177" s="250"/>
      <c r="TLV177" s="250"/>
      <c r="TLW177" s="250"/>
      <c r="TLX177" s="250"/>
      <c r="TLY177" s="250"/>
      <c r="TLZ177" s="250"/>
      <c r="TMA177" s="250"/>
      <c r="TMB177" s="250"/>
      <c r="TMC177" s="250"/>
      <c r="TMD177" s="250"/>
      <c r="TME177" s="250"/>
      <c r="TMF177" s="250"/>
      <c r="TMG177" s="250"/>
      <c r="TMH177" s="250"/>
      <c r="TMI177" s="250"/>
      <c r="TMJ177" s="250"/>
      <c r="TMK177" s="250"/>
      <c r="TML177" s="250"/>
      <c r="TMM177" s="250"/>
      <c r="TMN177" s="250"/>
      <c r="TMO177" s="250"/>
      <c r="TMP177" s="250"/>
      <c r="TMQ177" s="250"/>
      <c r="TMR177" s="250"/>
      <c r="TMS177" s="250"/>
      <c r="TMT177" s="250"/>
      <c r="TMU177" s="250"/>
      <c r="TMV177" s="250"/>
      <c r="TMW177" s="250"/>
      <c r="TMX177" s="250"/>
      <c r="TMY177" s="250"/>
      <c r="TMZ177" s="250"/>
      <c r="TNA177" s="250"/>
      <c r="TNB177" s="250"/>
      <c r="TNC177" s="250"/>
      <c r="TND177" s="250"/>
      <c r="TNE177" s="250"/>
      <c r="TNF177" s="250"/>
      <c r="TNG177" s="250"/>
      <c r="TNH177" s="250"/>
      <c r="TNI177" s="250"/>
      <c r="TNJ177" s="250"/>
      <c r="TNK177" s="250"/>
      <c r="TNL177" s="250"/>
      <c r="TNM177" s="250"/>
      <c r="TNN177" s="250"/>
      <c r="TNO177" s="250"/>
      <c r="TNP177" s="250"/>
      <c r="TNQ177" s="250"/>
      <c r="TNR177" s="250"/>
      <c r="TNS177" s="250"/>
      <c r="TNT177" s="250"/>
      <c r="TNU177" s="250"/>
      <c r="TNV177" s="250"/>
      <c r="TNW177" s="250"/>
      <c r="TNX177" s="250"/>
      <c r="TNY177" s="250"/>
      <c r="TNZ177" s="250"/>
      <c r="TOA177" s="250"/>
      <c r="TOB177" s="250"/>
      <c r="TOC177" s="250"/>
      <c r="TOD177" s="250"/>
      <c r="TOE177" s="250"/>
      <c r="TOF177" s="250"/>
      <c r="TOG177" s="250"/>
      <c r="TOH177" s="250"/>
      <c r="TOI177" s="250"/>
      <c r="TOJ177" s="250"/>
      <c r="TOK177" s="250"/>
      <c r="TOL177" s="250"/>
      <c r="TOM177" s="250"/>
      <c r="TON177" s="250"/>
      <c r="TOO177" s="250"/>
      <c r="TOP177" s="250"/>
      <c r="TOQ177" s="250"/>
      <c r="TOR177" s="250"/>
      <c r="TOS177" s="250"/>
      <c r="TOT177" s="250"/>
      <c r="TOU177" s="250"/>
      <c r="TOV177" s="250"/>
      <c r="TOW177" s="250"/>
      <c r="TOX177" s="250"/>
      <c r="TOY177" s="250"/>
      <c r="TOZ177" s="250"/>
      <c r="TPA177" s="250"/>
      <c r="TPB177" s="250"/>
      <c r="TPC177" s="250"/>
      <c r="TPD177" s="250"/>
      <c r="TPE177" s="250"/>
      <c r="TPF177" s="250"/>
      <c r="TPG177" s="250"/>
      <c r="TPH177" s="250"/>
      <c r="TPI177" s="250"/>
      <c r="TPJ177" s="250"/>
      <c r="TPK177" s="250"/>
      <c r="TPL177" s="250"/>
      <c r="TPM177" s="250"/>
      <c r="TPN177" s="250"/>
      <c r="TPO177" s="250"/>
      <c r="TPP177" s="250"/>
      <c r="TPQ177" s="250"/>
      <c r="TPR177" s="250"/>
      <c r="TPS177" s="250"/>
      <c r="TPT177" s="250"/>
      <c r="TPU177" s="250"/>
      <c r="TPV177" s="250"/>
      <c r="TPW177" s="250"/>
      <c r="TPX177" s="250"/>
      <c r="TPY177" s="250"/>
      <c r="TPZ177" s="250"/>
      <c r="TQA177" s="250"/>
      <c r="TQB177" s="250"/>
      <c r="TQC177" s="250"/>
      <c r="TQD177" s="250"/>
      <c r="TQE177" s="250"/>
      <c r="TQF177" s="250"/>
      <c r="TQG177" s="250"/>
      <c r="TQH177" s="250"/>
      <c r="TQI177" s="250"/>
      <c r="TQJ177" s="250"/>
      <c r="TQK177" s="250"/>
      <c r="TQL177" s="250"/>
      <c r="TQM177" s="250"/>
      <c r="TQN177" s="250"/>
      <c r="TQO177" s="250"/>
      <c r="TQP177" s="250"/>
      <c r="TQQ177" s="250"/>
      <c r="TQR177" s="250"/>
      <c r="TQS177" s="250"/>
      <c r="TQT177" s="250"/>
      <c r="TQU177" s="250"/>
      <c r="TQV177" s="250"/>
      <c r="TQW177" s="250"/>
      <c r="TQX177" s="250"/>
      <c r="TQY177" s="250"/>
      <c r="TQZ177" s="250"/>
      <c r="TRA177" s="250"/>
      <c r="TRB177" s="250"/>
      <c r="TRC177" s="250"/>
      <c r="TRD177" s="250"/>
      <c r="TRE177" s="250"/>
      <c r="TRF177" s="250"/>
      <c r="TRG177" s="250"/>
      <c r="TRH177" s="250"/>
      <c r="TRI177" s="250"/>
      <c r="TRJ177" s="250"/>
      <c r="TRK177" s="250"/>
      <c r="TRL177" s="250"/>
      <c r="TRM177" s="250"/>
      <c r="TRN177" s="250"/>
      <c r="TRO177" s="250"/>
      <c r="TRP177" s="250"/>
      <c r="TRQ177" s="250"/>
      <c r="TRR177" s="250"/>
      <c r="TRS177" s="250"/>
      <c r="TRT177" s="250"/>
      <c r="TRU177" s="250"/>
      <c r="TRV177" s="250"/>
      <c r="TRW177" s="250"/>
      <c r="TRX177" s="250"/>
      <c r="TRY177" s="250"/>
      <c r="TRZ177" s="250"/>
      <c r="TSA177" s="250"/>
      <c r="TSB177" s="250"/>
      <c r="TSC177" s="250"/>
      <c r="TSD177" s="250"/>
      <c r="TSE177" s="250"/>
      <c r="TSF177" s="250"/>
      <c r="TSG177" s="250"/>
      <c r="TSH177" s="250"/>
      <c r="TSI177" s="250"/>
      <c r="TSJ177" s="250"/>
      <c r="TSK177" s="250"/>
      <c r="TSL177" s="250"/>
      <c r="TSM177" s="250"/>
      <c r="TSN177" s="250"/>
      <c r="TSO177" s="250"/>
      <c r="TSP177" s="250"/>
      <c r="TSQ177" s="250"/>
      <c r="TSR177" s="250"/>
      <c r="TSS177" s="250"/>
      <c r="TST177" s="250"/>
      <c r="TSU177" s="250"/>
      <c r="TSV177" s="250"/>
      <c r="TSW177" s="250"/>
      <c r="TSX177" s="250"/>
      <c r="TSY177" s="250"/>
      <c r="TSZ177" s="250"/>
      <c r="TTA177" s="250"/>
      <c r="TTB177" s="250"/>
      <c r="TTC177" s="250"/>
      <c r="TTD177" s="250"/>
      <c r="TTE177" s="250"/>
      <c r="TTF177" s="250"/>
      <c r="TTG177" s="250"/>
      <c r="TTH177" s="250"/>
      <c r="TTI177" s="250"/>
      <c r="TTJ177" s="250"/>
      <c r="TTK177" s="250"/>
      <c r="TTL177" s="250"/>
      <c r="TTM177" s="250"/>
      <c r="TTN177" s="250"/>
      <c r="TTO177" s="250"/>
      <c r="TTP177" s="250"/>
      <c r="TTQ177" s="250"/>
      <c r="TTR177" s="250"/>
      <c r="TTS177" s="250"/>
      <c r="TTT177" s="250"/>
      <c r="TTU177" s="250"/>
      <c r="TTV177" s="250"/>
      <c r="TTW177" s="250"/>
      <c r="TTX177" s="250"/>
      <c r="TTY177" s="250"/>
      <c r="TTZ177" s="250"/>
      <c r="TUA177" s="250"/>
      <c r="TUB177" s="250"/>
      <c r="TUC177" s="250"/>
      <c r="TUD177" s="250"/>
      <c r="TUE177" s="250"/>
      <c r="TUF177" s="250"/>
      <c r="TUG177" s="250"/>
      <c r="TUH177" s="250"/>
      <c r="TUI177" s="250"/>
      <c r="TUJ177" s="250"/>
      <c r="TUK177" s="250"/>
      <c r="TUL177" s="250"/>
      <c r="TUM177" s="250"/>
      <c r="TUN177" s="250"/>
      <c r="TUO177" s="250"/>
      <c r="TUP177" s="250"/>
      <c r="TUQ177" s="250"/>
      <c r="TUR177" s="250"/>
      <c r="TUS177" s="250"/>
      <c r="TUT177" s="250"/>
      <c r="TUU177" s="250"/>
      <c r="TUV177" s="250"/>
      <c r="TUW177" s="250"/>
      <c r="TUX177" s="250"/>
      <c r="TUY177" s="250"/>
      <c r="TUZ177" s="250"/>
      <c r="TVA177" s="250"/>
      <c r="TVB177" s="250"/>
      <c r="TVC177" s="250"/>
      <c r="TVD177" s="250"/>
      <c r="TVE177" s="250"/>
      <c r="TVF177" s="250"/>
      <c r="TVG177" s="250"/>
      <c r="TVH177" s="250"/>
      <c r="TVI177" s="250"/>
      <c r="TVJ177" s="250"/>
      <c r="TVK177" s="250"/>
      <c r="TVL177" s="250"/>
      <c r="TVM177" s="250"/>
      <c r="TVN177" s="250"/>
      <c r="TVO177" s="250"/>
      <c r="TVP177" s="250"/>
      <c r="TVQ177" s="250"/>
      <c r="TVR177" s="250"/>
      <c r="TVS177" s="250"/>
      <c r="TVT177" s="250"/>
      <c r="TVU177" s="250"/>
      <c r="TVV177" s="250"/>
      <c r="TVW177" s="250"/>
      <c r="TVX177" s="250"/>
      <c r="TVY177" s="250"/>
      <c r="TVZ177" s="250"/>
      <c r="TWA177" s="250"/>
      <c r="TWB177" s="250"/>
      <c r="TWC177" s="250"/>
      <c r="TWD177" s="250"/>
      <c r="TWE177" s="250"/>
      <c r="TWF177" s="250"/>
      <c r="TWG177" s="250"/>
      <c r="TWH177" s="250"/>
      <c r="TWI177" s="250"/>
      <c r="TWJ177" s="250"/>
      <c r="TWK177" s="250"/>
      <c r="TWL177" s="250"/>
      <c r="TWM177" s="250"/>
      <c r="TWN177" s="250"/>
      <c r="TWO177" s="250"/>
      <c r="TWP177" s="250"/>
      <c r="TWQ177" s="250"/>
      <c r="TWR177" s="250"/>
      <c r="TWS177" s="250"/>
      <c r="TWT177" s="250"/>
      <c r="TWU177" s="250"/>
      <c r="TWV177" s="250"/>
      <c r="TWW177" s="250"/>
      <c r="TWX177" s="250"/>
      <c r="TWY177" s="250"/>
      <c r="TWZ177" s="250"/>
      <c r="TXA177" s="250"/>
      <c r="TXB177" s="250"/>
      <c r="TXC177" s="250"/>
      <c r="TXD177" s="250"/>
      <c r="TXE177" s="250"/>
      <c r="TXF177" s="250"/>
      <c r="TXG177" s="250"/>
      <c r="TXH177" s="250"/>
      <c r="TXI177" s="250"/>
      <c r="TXJ177" s="250"/>
      <c r="TXK177" s="250"/>
      <c r="TXL177" s="250"/>
      <c r="TXM177" s="250"/>
      <c r="TXN177" s="250"/>
      <c r="TXO177" s="250"/>
      <c r="TXP177" s="250"/>
      <c r="TXQ177" s="250"/>
      <c r="TXR177" s="250"/>
      <c r="TXS177" s="250"/>
      <c r="TXT177" s="250"/>
      <c r="TXU177" s="250"/>
      <c r="TXV177" s="250"/>
      <c r="TXW177" s="250"/>
      <c r="TXX177" s="250"/>
      <c r="TXY177" s="250"/>
      <c r="TXZ177" s="250"/>
      <c r="TYA177" s="250"/>
      <c r="TYB177" s="250"/>
      <c r="TYC177" s="250"/>
      <c r="TYD177" s="250"/>
      <c r="TYE177" s="250"/>
      <c r="TYF177" s="250"/>
      <c r="TYG177" s="250"/>
      <c r="TYH177" s="250"/>
      <c r="TYI177" s="250"/>
      <c r="TYJ177" s="250"/>
      <c r="TYK177" s="250"/>
      <c r="TYL177" s="250"/>
      <c r="TYM177" s="250"/>
      <c r="TYN177" s="250"/>
      <c r="TYO177" s="250"/>
      <c r="TYP177" s="250"/>
      <c r="TYQ177" s="250"/>
      <c r="TYR177" s="250"/>
      <c r="TYS177" s="250"/>
      <c r="TYT177" s="250"/>
      <c r="TYU177" s="250"/>
      <c r="TYV177" s="250"/>
      <c r="TYW177" s="250"/>
      <c r="TYX177" s="250"/>
      <c r="TYY177" s="250"/>
      <c r="TYZ177" s="250"/>
      <c r="TZA177" s="250"/>
      <c r="TZB177" s="250"/>
      <c r="TZC177" s="250"/>
      <c r="TZD177" s="250"/>
      <c r="TZE177" s="250"/>
      <c r="TZF177" s="250"/>
      <c r="TZG177" s="250"/>
      <c r="TZH177" s="250"/>
      <c r="TZI177" s="250"/>
      <c r="TZJ177" s="250"/>
      <c r="TZK177" s="250"/>
      <c r="TZL177" s="250"/>
      <c r="TZM177" s="250"/>
      <c r="TZN177" s="250"/>
      <c r="TZO177" s="250"/>
      <c r="TZP177" s="250"/>
      <c r="TZQ177" s="250"/>
      <c r="TZR177" s="250"/>
      <c r="TZS177" s="250"/>
      <c r="TZT177" s="250"/>
      <c r="TZU177" s="250"/>
      <c r="TZV177" s="250"/>
      <c r="TZW177" s="250"/>
      <c r="TZX177" s="250"/>
      <c r="TZY177" s="250"/>
      <c r="TZZ177" s="250"/>
      <c r="UAA177" s="250"/>
      <c r="UAB177" s="250"/>
      <c r="UAC177" s="250"/>
      <c r="UAD177" s="250"/>
      <c r="UAE177" s="250"/>
      <c r="UAF177" s="250"/>
      <c r="UAG177" s="250"/>
      <c r="UAH177" s="250"/>
      <c r="UAI177" s="250"/>
      <c r="UAJ177" s="250"/>
      <c r="UAK177" s="250"/>
      <c r="UAL177" s="250"/>
      <c r="UAM177" s="250"/>
      <c r="UAN177" s="250"/>
      <c r="UAO177" s="250"/>
      <c r="UAP177" s="250"/>
      <c r="UAQ177" s="250"/>
      <c r="UAR177" s="250"/>
      <c r="UAS177" s="250"/>
      <c r="UAT177" s="250"/>
      <c r="UAU177" s="250"/>
      <c r="UAV177" s="250"/>
      <c r="UAW177" s="250"/>
      <c r="UAX177" s="250"/>
      <c r="UAY177" s="250"/>
      <c r="UAZ177" s="250"/>
      <c r="UBA177" s="250"/>
      <c r="UBB177" s="250"/>
      <c r="UBC177" s="250"/>
      <c r="UBD177" s="250"/>
      <c r="UBE177" s="250"/>
      <c r="UBF177" s="250"/>
      <c r="UBG177" s="250"/>
      <c r="UBH177" s="250"/>
      <c r="UBI177" s="250"/>
      <c r="UBJ177" s="250"/>
      <c r="UBK177" s="250"/>
      <c r="UBL177" s="250"/>
      <c r="UBM177" s="250"/>
      <c r="UBN177" s="250"/>
      <c r="UBO177" s="250"/>
      <c r="UBP177" s="250"/>
      <c r="UBQ177" s="250"/>
      <c r="UBR177" s="250"/>
      <c r="UBS177" s="250"/>
      <c r="UBT177" s="250"/>
      <c r="UBU177" s="250"/>
      <c r="UBV177" s="250"/>
      <c r="UBW177" s="250"/>
      <c r="UBX177" s="250"/>
      <c r="UBY177" s="250"/>
      <c r="UBZ177" s="250"/>
      <c r="UCA177" s="250"/>
      <c r="UCB177" s="250"/>
      <c r="UCC177" s="250"/>
      <c r="UCD177" s="250"/>
      <c r="UCE177" s="250"/>
      <c r="UCF177" s="250"/>
      <c r="UCG177" s="250"/>
      <c r="UCH177" s="250"/>
      <c r="UCI177" s="250"/>
      <c r="UCJ177" s="250"/>
      <c r="UCK177" s="250"/>
      <c r="UCL177" s="250"/>
      <c r="UCM177" s="250"/>
      <c r="UCN177" s="250"/>
      <c r="UCO177" s="250"/>
      <c r="UCP177" s="250"/>
      <c r="UCQ177" s="250"/>
      <c r="UCR177" s="250"/>
      <c r="UCS177" s="250"/>
      <c r="UCT177" s="250"/>
      <c r="UCU177" s="250"/>
      <c r="UCV177" s="250"/>
      <c r="UCW177" s="250"/>
      <c r="UCX177" s="250"/>
      <c r="UCY177" s="250"/>
      <c r="UCZ177" s="250"/>
      <c r="UDA177" s="250"/>
      <c r="UDB177" s="250"/>
      <c r="UDC177" s="250"/>
      <c r="UDD177" s="250"/>
      <c r="UDE177" s="250"/>
      <c r="UDF177" s="250"/>
      <c r="UDG177" s="250"/>
      <c r="UDH177" s="250"/>
      <c r="UDI177" s="250"/>
      <c r="UDJ177" s="250"/>
      <c r="UDK177" s="250"/>
      <c r="UDL177" s="250"/>
      <c r="UDM177" s="250"/>
      <c r="UDN177" s="250"/>
      <c r="UDO177" s="250"/>
      <c r="UDP177" s="250"/>
      <c r="UDQ177" s="250"/>
      <c r="UDR177" s="250"/>
      <c r="UDS177" s="250"/>
      <c r="UDT177" s="250"/>
      <c r="UDU177" s="250"/>
      <c r="UDV177" s="250"/>
      <c r="UDW177" s="250"/>
      <c r="UDX177" s="250"/>
      <c r="UDY177" s="250"/>
      <c r="UDZ177" s="250"/>
      <c r="UEA177" s="250"/>
      <c r="UEB177" s="250"/>
      <c r="UEC177" s="250"/>
      <c r="UED177" s="250"/>
      <c r="UEE177" s="250"/>
      <c r="UEF177" s="250"/>
      <c r="UEG177" s="250"/>
      <c r="UEH177" s="250"/>
      <c r="UEI177" s="250"/>
      <c r="UEJ177" s="250"/>
      <c r="UEK177" s="250"/>
      <c r="UEL177" s="250"/>
      <c r="UEM177" s="250"/>
      <c r="UEN177" s="250"/>
      <c r="UEO177" s="250"/>
      <c r="UEP177" s="250"/>
      <c r="UEQ177" s="250"/>
      <c r="UER177" s="250"/>
      <c r="UES177" s="250"/>
      <c r="UET177" s="250"/>
      <c r="UEU177" s="250"/>
      <c r="UEV177" s="250"/>
      <c r="UEW177" s="250"/>
      <c r="UEX177" s="250"/>
      <c r="UEY177" s="250"/>
      <c r="UEZ177" s="250"/>
      <c r="UFA177" s="250"/>
      <c r="UFB177" s="250"/>
      <c r="UFC177" s="250"/>
      <c r="UFD177" s="250"/>
      <c r="UFE177" s="250"/>
      <c r="UFF177" s="250"/>
      <c r="UFG177" s="250"/>
      <c r="UFH177" s="250"/>
      <c r="UFI177" s="250"/>
      <c r="UFJ177" s="250"/>
      <c r="UFK177" s="250"/>
      <c r="UFL177" s="250"/>
      <c r="UFM177" s="250"/>
      <c r="UFN177" s="250"/>
      <c r="UFO177" s="250"/>
      <c r="UFP177" s="250"/>
      <c r="UFQ177" s="250"/>
      <c r="UFR177" s="250"/>
      <c r="UFS177" s="250"/>
      <c r="UFT177" s="250"/>
      <c r="UFU177" s="250"/>
      <c r="UFV177" s="250"/>
      <c r="UFW177" s="250"/>
      <c r="UFX177" s="250"/>
      <c r="UFY177" s="250"/>
      <c r="UFZ177" s="250"/>
      <c r="UGA177" s="250"/>
      <c r="UGB177" s="250"/>
      <c r="UGC177" s="250"/>
      <c r="UGD177" s="250"/>
      <c r="UGE177" s="250"/>
      <c r="UGF177" s="250"/>
      <c r="UGG177" s="250"/>
      <c r="UGH177" s="250"/>
      <c r="UGI177" s="250"/>
      <c r="UGJ177" s="250"/>
      <c r="UGK177" s="250"/>
      <c r="UGL177" s="250"/>
      <c r="UGM177" s="250"/>
      <c r="UGN177" s="250"/>
      <c r="UGO177" s="250"/>
      <c r="UGP177" s="250"/>
      <c r="UGQ177" s="250"/>
      <c r="UGR177" s="250"/>
      <c r="UGS177" s="250"/>
      <c r="UGT177" s="250"/>
      <c r="UGU177" s="250"/>
      <c r="UGV177" s="250"/>
      <c r="UGW177" s="250"/>
      <c r="UGX177" s="250"/>
      <c r="UGY177" s="250"/>
      <c r="UGZ177" s="250"/>
      <c r="UHA177" s="250"/>
      <c r="UHB177" s="250"/>
      <c r="UHC177" s="250"/>
      <c r="UHD177" s="250"/>
      <c r="UHE177" s="250"/>
      <c r="UHF177" s="250"/>
      <c r="UHG177" s="250"/>
      <c r="UHH177" s="250"/>
      <c r="UHI177" s="250"/>
      <c r="UHJ177" s="250"/>
      <c r="UHK177" s="250"/>
      <c r="UHL177" s="250"/>
      <c r="UHM177" s="250"/>
      <c r="UHN177" s="250"/>
      <c r="UHO177" s="250"/>
      <c r="UHP177" s="250"/>
      <c r="UHQ177" s="250"/>
      <c r="UHR177" s="250"/>
      <c r="UHS177" s="250"/>
      <c r="UHT177" s="250"/>
      <c r="UHU177" s="250"/>
      <c r="UHV177" s="250"/>
      <c r="UHW177" s="250"/>
      <c r="UHX177" s="250"/>
      <c r="UHY177" s="250"/>
      <c r="UHZ177" s="250"/>
      <c r="UIA177" s="250"/>
      <c r="UIB177" s="250"/>
      <c r="UIC177" s="250"/>
      <c r="UID177" s="250"/>
      <c r="UIE177" s="250"/>
      <c r="UIF177" s="250"/>
      <c r="UIG177" s="250"/>
      <c r="UIH177" s="250"/>
      <c r="UII177" s="250"/>
      <c r="UIJ177" s="250"/>
      <c r="UIK177" s="250"/>
      <c r="UIL177" s="250"/>
      <c r="UIM177" s="250"/>
      <c r="UIN177" s="250"/>
      <c r="UIO177" s="250"/>
      <c r="UIP177" s="250"/>
      <c r="UIQ177" s="250"/>
      <c r="UIR177" s="250"/>
      <c r="UIS177" s="250"/>
      <c r="UIT177" s="250"/>
      <c r="UIU177" s="250"/>
      <c r="UIV177" s="250"/>
      <c r="UIW177" s="250"/>
      <c r="UIX177" s="250"/>
      <c r="UIY177" s="250"/>
      <c r="UIZ177" s="250"/>
      <c r="UJA177" s="250"/>
      <c r="UJB177" s="250"/>
      <c r="UJC177" s="250"/>
      <c r="UJD177" s="250"/>
      <c r="UJE177" s="250"/>
      <c r="UJF177" s="250"/>
      <c r="UJG177" s="250"/>
      <c r="UJH177" s="250"/>
      <c r="UJI177" s="250"/>
      <c r="UJJ177" s="250"/>
      <c r="UJK177" s="250"/>
      <c r="UJL177" s="250"/>
      <c r="UJM177" s="250"/>
      <c r="UJN177" s="250"/>
      <c r="UJO177" s="250"/>
      <c r="UJP177" s="250"/>
      <c r="UJQ177" s="250"/>
      <c r="UJR177" s="250"/>
      <c r="UJS177" s="250"/>
      <c r="UJT177" s="250"/>
      <c r="UJU177" s="250"/>
      <c r="UJV177" s="250"/>
      <c r="UJW177" s="250"/>
      <c r="UJX177" s="250"/>
      <c r="UJY177" s="250"/>
      <c r="UJZ177" s="250"/>
      <c r="UKA177" s="250"/>
      <c r="UKB177" s="250"/>
      <c r="UKC177" s="250"/>
      <c r="UKD177" s="250"/>
      <c r="UKE177" s="250"/>
      <c r="UKF177" s="250"/>
      <c r="UKG177" s="250"/>
      <c r="UKH177" s="250"/>
      <c r="UKI177" s="250"/>
      <c r="UKJ177" s="250"/>
      <c r="UKK177" s="250"/>
      <c r="UKL177" s="250"/>
      <c r="UKM177" s="250"/>
      <c r="UKN177" s="250"/>
      <c r="UKO177" s="250"/>
      <c r="UKP177" s="250"/>
      <c r="UKQ177" s="250"/>
      <c r="UKR177" s="250"/>
      <c r="UKS177" s="250"/>
      <c r="UKT177" s="250"/>
      <c r="UKU177" s="250"/>
      <c r="UKV177" s="250"/>
      <c r="UKW177" s="250"/>
      <c r="UKX177" s="250"/>
      <c r="UKY177" s="250"/>
      <c r="UKZ177" s="250"/>
      <c r="ULA177" s="250"/>
      <c r="ULB177" s="250"/>
      <c r="ULC177" s="250"/>
      <c r="ULD177" s="250"/>
      <c r="ULE177" s="250"/>
      <c r="ULF177" s="250"/>
      <c r="ULG177" s="250"/>
      <c r="ULH177" s="250"/>
      <c r="ULI177" s="250"/>
      <c r="ULJ177" s="250"/>
      <c r="ULK177" s="250"/>
      <c r="ULL177" s="250"/>
      <c r="ULM177" s="250"/>
      <c r="ULN177" s="250"/>
      <c r="ULO177" s="250"/>
      <c r="ULP177" s="250"/>
      <c r="ULQ177" s="250"/>
      <c r="ULR177" s="250"/>
      <c r="ULS177" s="250"/>
      <c r="ULT177" s="250"/>
      <c r="ULU177" s="250"/>
      <c r="ULV177" s="250"/>
      <c r="ULW177" s="250"/>
      <c r="ULX177" s="250"/>
      <c r="ULY177" s="250"/>
      <c r="ULZ177" s="250"/>
      <c r="UMA177" s="250"/>
      <c r="UMB177" s="250"/>
      <c r="UMC177" s="250"/>
      <c r="UMD177" s="250"/>
      <c r="UME177" s="250"/>
      <c r="UMF177" s="250"/>
      <c r="UMG177" s="250"/>
      <c r="UMH177" s="250"/>
      <c r="UMI177" s="250"/>
      <c r="UMJ177" s="250"/>
      <c r="UMK177" s="250"/>
      <c r="UML177" s="250"/>
      <c r="UMM177" s="250"/>
      <c r="UMN177" s="250"/>
      <c r="UMO177" s="250"/>
      <c r="UMP177" s="250"/>
      <c r="UMQ177" s="250"/>
      <c r="UMR177" s="250"/>
      <c r="UMS177" s="250"/>
      <c r="UMT177" s="250"/>
      <c r="UMU177" s="250"/>
      <c r="UMV177" s="250"/>
      <c r="UMW177" s="250"/>
      <c r="UMX177" s="250"/>
      <c r="UMY177" s="250"/>
      <c r="UMZ177" s="250"/>
      <c r="UNA177" s="250"/>
      <c r="UNB177" s="250"/>
      <c r="UNC177" s="250"/>
      <c r="UND177" s="250"/>
      <c r="UNE177" s="250"/>
      <c r="UNF177" s="250"/>
      <c r="UNG177" s="250"/>
      <c r="UNH177" s="250"/>
      <c r="UNI177" s="250"/>
      <c r="UNJ177" s="250"/>
      <c r="UNK177" s="250"/>
      <c r="UNL177" s="250"/>
      <c r="UNM177" s="250"/>
      <c r="UNN177" s="250"/>
      <c r="UNO177" s="250"/>
      <c r="UNP177" s="250"/>
      <c r="UNQ177" s="250"/>
      <c r="UNR177" s="250"/>
      <c r="UNS177" s="250"/>
      <c r="UNT177" s="250"/>
      <c r="UNU177" s="250"/>
      <c r="UNV177" s="250"/>
      <c r="UNW177" s="250"/>
      <c r="UNX177" s="250"/>
      <c r="UNY177" s="250"/>
      <c r="UNZ177" s="250"/>
      <c r="UOA177" s="250"/>
      <c r="UOB177" s="250"/>
      <c r="UOC177" s="250"/>
      <c r="UOD177" s="250"/>
      <c r="UOE177" s="250"/>
      <c r="UOF177" s="250"/>
      <c r="UOG177" s="250"/>
      <c r="UOH177" s="250"/>
      <c r="UOI177" s="250"/>
      <c r="UOJ177" s="250"/>
      <c r="UOK177" s="250"/>
      <c r="UOL177" s="250"/>
      <c r="UOM177" s="250"/>
      <c r="UON177" s="250"/>
      <c r="UOO177" s="250"/>
      <c r="UOP177" s="250"/>
      <c r="UOQ177" s="250"/>
      <c r="UOR177" s="250"/>
      <c r="UOS177" s="250"/>
      <c r="UOT177" s="250"/>
      <c r="UOU177" s="250"/>
      <c r="UOV177" s="250"/>
      <c r="UOW177" s="250"/>
      <c r="UOX177" s="250"/>
      <c r="UOY177" s="250"/>
      <c r="UOZ177" s="250"/>
      <c r="UPA177" s="250"/>
      <c r="UPB177" s="250"/>
      <c r="UPC177" s="250"/>
      <c r="UPD177" s="250"/>
      <c r="UPE177" s="250"/>
      <c r="UPF177" s="250"/>
      <c r="UPG177" s="250"/>
      <c r="UPH177" s="250"/>
      <c r="UPI177" s="250"/>
      <c r="UPJ177" s="250"/>
      <c r="UPK177" s="250"/>
      <c r="UPL177" s="250"/>
      <c r="UPM177" s="250"/>
      <c r="UPN177" s="250"/>
      <c r="UPO177" s="250"/>
      <c r="UPP177" s="250"/>
      <c r="UPQ177" s="250"/>
      <c r="UPR177" s="250"/>
      <c r="UPS177" s="250"/>
      <c r="UPT177" s="250"/>
      <c r="UPU177" s="250"/>
      <c r="UPV177" s="250"/>
      <c r="UPW177" s="250"/>
      <c r="UPX177" s="250"/>
      <c r="UPY177" s="250"/>
      <c r="UPZ177" s="250"/>
      <c r="UQA177" s="250"/>
      <c r="UQB177" s="250"/>
      <c r="UQC177" s="250"/>
      <c r="UQD177" s="250"/>
      <c r="UQE177" s="250"/>
      <c r="UQF177" s="250"/>
      <c r="UQG177" s="250"/>
      <c r="UQH177" s="250"/>
      <c r="UQI177" s="250"/>
      <c r="UQJ177" s="250"/>
      <c r="UQK177" s="250"/>
      <c r="UQL177" s="250"/>
      <c r="UQM177" s="250"/>
      <c r="UQN177" s="250"/>
      <c r="UQO177" s="250"/>
      <c r="UQP177" s="250"/>
      <c r="UQQ177" s="250"/>
      <c r="UQR177" s="250"/>
      <c r="UQS177" s="250"/>
      <c r="UQT177" s="250"/>
      <c r="UQU177" s="250"/>
      <c r="UQV177" s="250"/>
      <c r="UQW177" s="250"/>
      <c r="UQX177" s="250"/>
      <c r="UQY177" s="250"/>
      <c r="UQZ177" s="250"/>
      <c r="URA177" s="250"/>
      <c r="URB177" s="250"/>
      <c r="URC177" s="250"/>
      <c r="URD177" s="250"/>
      <c r="URE177" s="250"/>
      <c r="URF177" s="250"/>
      <c r="URG177" s="250"/>
      <c r="URH177" s="250"/>
      <c r="URI177" s="250"/>
      <c r="URJ177" s="250"/>
      <c r="URK177" s="250"/>
      <c r="URL177" s="250"/>
      <c r="URM177" s="250"/>
      <c r="URN177" s="250"/>
      <c r="URO177" s="250"/>
      <c r="URP177" s="250"/>
      <c r="URQ177" s="250"/>
      <c r="URR177" s="250"/>
      <c r="URS177" s="250"/>
      <c r="URT177" s="250"/>
      <c r="URU177" s="250"/>
      <c r="URV177" s="250"/>
      <c r="URW177" s="250"/>
      <c r="URX177" s="250"/>
      <c r="URY177" s="250"/>
      <c r="URZ177" s="250"/>
      <c r="USA177" s="250"/>
      <c r="USB177" s="250"/>
      <c r="USC177" s="250"/>
      <c r="USD177" s="250"/>
      <c r="USE177" s="250"/>
      <c r="USF177" s="250"/>
      <c r="USG177" s="250"/>
      <c r="USH177" s="250"/>
      <c r="USI177" s="250"/>
      <c r="USJ177" s="250"/>
      <c r="USK177" s="250"/>
      <c r="USL177" s="250"/>
      <c r="USM177" s="250"/>
      <c r="USN177" s="250"/>
      <c r="USO177" s="250"/>
      <c r="USP177" s="250"/>
      <c r="USQ177" s="250"/>
      <c r="USR177" s="250"/>
      <c r="USS177" s="250"/>
      <c r="UST177" s="250"/>
      <c r="USU177" s="250"/>
      <c r="USV177" s="250"/>
      <c r="USW177" s="250"/>
      <c r="USX177" s="250"/>
      <c r="USY177" s="250"/>
      <c r="USZ177" s="250"/>
      <c r="UTA177" s="250"/>
      <c r="UTB177" s="250"/>
      <c r="UTC177" s="250"/>
      <c r="UTD177" s="250"/>
      <c r="UTE177" s="250"/>
      <c r="UTF177" s="250"/>
      <c r="UTG177" s="250"/>
      <c r="UTH177" s="250"/>
      <c r="UTI177" s="250"/>
      <c r="UTJ177" s="250"/>
      <c r="UTK177" s="250"/>
      <c r="UTL177" s="250"/>
      <c r="UTM177" s="250"/>
      <c r="UTN177" s="250"/>
      <c r="UTO177" s="250"/>
      <c r="UTP177" s="250"/>
      <c r="UTQ177" s="250"/>
      <c r="UTR177" s="250"/>
      <c r="UTS177" s="250"/>
      <c r="UTT177" s="250"/>
      <c r="UTU177" s="250"/>
      <c r="UTV177" s="250"/>
      <c r="UTW177" s="250"/>
      <c r="UTX177" s="250"/>
      <c r="UTY177" s="250"/>
      <c r="UTZ177" s="250"/>
      <c r="UUA177" s="250"/>
      <c r="UUB177" s="250"/>
      <c r="UUC177" s="250"/>
      <c r="UUD177" s="250"/>
      <c r="UUE177" s="250"/>
      <c r="UUF177" s="250"/>
      <c r="UUG177" s="250"/>
      <c r="UUH177" s="250"/>
      <c r="UUI177" s="250"/>
      <c r="UUJ177" s="250"/>
      <c r="UUK177" s="250"/>
      <c r="UUL177" s="250"/>
      <c r="UUM177" s="250"/>
      <c r="UUN177" s="250"/>
      <c r="UUO177" s="250"/>
      <c r="UUP177" s="250"/>
      <c r="UUQ177" s="250"/>
      <c r="UUR177" s="250"/>
      <c r="UUS177" s="250"/>
      <c r="UUT177" s="250"/>
      <c r="UUU177" s="250"/>
      <c r="UUV177" s="250"/>
      <c r="UUW177" s="250"/>
      <c r="UUX177" s="250"/>
      <c r="UUY177" s="250"/>
      <c r="UUZ177" s="250"/>
      <c r="UVA177" s="250"/>
      <c r="UVB177" s="250"/>
      <c r="UVC177" s="250"/>
      <c r="UVD177" s="250"/>
      <c r="UVE177" s="250"/>
      <c r="UVF177" s="250"/>
      <c r="UVG177" s="250"/>
      <c r="UVH177" s="250"/>
      <c r="UVI177" s="250"/>
      <c r="UVJ177" s="250"/>
      <c r="UVK177" s="250"/>
      <c r="UVL177" s="250"/>
      <c r="UVM177" s="250"/>
      <c r="UVN177" s="250"/>
      <c r="UVO177" s="250"/>
      <c r="UVP177" s="250"/>
      <c r="UVQ177" s="250"/>
      <c r="UVR177" s="250"/>
      <c r="UVS177" s="250"/>
      <c r="UVT177" s="250"/>
      <c r="UVU177" s="250"/>
      <c r="UVV177" s="250"/>
      <c r="UVW177" s="250"/>
      <c r="UVX177" s="250"/>
      <c r="UVY177" s="250"/>
      <c r="UVZ177" s="250"/>
      <c r="UWA177" s="250"/>
      <c r="UWB177" s="250"/>
      <c r="UWC177" s="250"/>
      <c r="UWD177" s="250"/>
      <c r="UWE177" s="250"/>
      <c r="UWF177" s="250"/>
      <c r="UWG177" s="250"/>
      <c r="UWH177" s="250"/>
      <c r="UWI177" s="250"/>
      <c r="UWJ177" s="250"/>
      <c r="UWK177" s="250"/>
      <c r="UWL177" s="250"/>
      <c r="UWM177" s="250"/>
      <c r="UWN177" s="250"/>
      <c r="UWO177" s="250"/>
      <c r="UWP177" s="250"/>
      <c r="UWQ177" s="250"/>
      <c r="UWR177" s="250"/>
      <c r="UWS177" s="250"/>
      <c r="UWT177" s="250"/>
      <c r="UWU177" s="250"/>
      <c r="UWV177" s="250"/>
      <c r="UWW177" s="250"/>
      <c r="UWX177" s="250"/>
      <c r="UWY177" s="250"/>
      <c r="UWZ177" s="250"/>
      <c r="UXA177" s="250"/>
      <c r="UXB177" s="250"/>
      <c r="UXC177" s="250"/>
      <c r="UXD177" s="250"/>
      <c r="UXE177" s="250"/>
      <c r="UXF177" s="250"/>
      <c r="UXG177" s="250"/>
      <c r="UXH177" s="250"/>
      <c r="UXI177" s="250"/>
      <c r="UXJ177" s="250"/>
      <c r="UXK177" s="250"/>
      <c r="UXL177" s="250"/>
      <c r="UXM177" s="250"/>
      <c r="UXN177" s="250"/>
      <c r="UXO177" s="250"/>
      <c r="UXP177" s="250"/>
      <c r="UXQ177" s="250"/>
      <c r="UXR177" s="250"/>
      <c r="UXS177" s="250"/>
      <c r="UXT177" s="250"/>
      <c r="UXU177" s="250"/>
      <c r="UXV177" s="250"/>
      <c r="UXW177" s="250"/>
      <c r="UXX177" s="250"/>
      <c r="UXY177" s="250"/>
      <c r="UXZ177" s="250"/>
      <c r="UYA177" s="250"/>
      <c r="UYB177" s="250"/>
      <c r="UYC177" s="250"/>
      <c r="UYD177" s="250"/>
      <c r="UYE177" s="250"/>
      <c r="UYF177" s="250"/>
      <c r="UYG177" s="250"/>
      <c r="UYH177" s="250"/>
      <c r="UYI177" s="250"/>
      <c r="UYJ177" s="250"/>
      <c r="UYK177" s="250"/>
      <c r="UYL177" s="250"/>
      <c r="UYM177" s="250"/>
      <c r="UYN177" s="250"/>
      <c r="UYO177" s="250"/>
      <c r="UYP177" s="250"/>
      <c r="UYQ177" s="250"/>
      <c r="UYR177" s="250"/>
      <c r="UYS177" s="250"/>
      <c r="UYT177" s="250"/>
      <c r="UYU177" s="250"/>
      <c r="UYV177" s="250"/>
      <c r="UYW177" s="250"/>
      <c r="UYX177" s="250"/>
      <c r="UYY177" s="250"/>
      <c r="UYZ177" s="250"/>
      <c r="UZA177" s="250"/>
      <c r="UZB177" s="250"/>
      <c r="UZC177" s="250"/>
      <c r="UZD177" s="250"/>
      <c r="UZE177" s="250"/>
      <c r="UZF177" s="250"/>
      <c r="UZG177" s="250"/>
      <c r="UZH177" s="250"/>
      <c r="UZI177" s="250"/>
      <c r="UZJ177" s="250"/>
      <c r="UZK177" s="250"/>
      <c r="UZL177" s="250"/>
      <c r="UZM177" s="250"/>
      <c r="UZN177" s="250"/>
      <c r="UZO177" s="250"/>
      <c r="UZP177" s="250"/>
      <c r="UZQ177" s="250"/>
      <c r="UZR177" s="250"/>
      <c r="UZS177" s="250"/>
      <c r="UZT177" s="250"/>
      <c r="UZU177" s="250"/>
      <c r="UZV177" s="250"/>
      <c r="UZW177" s="250"/>
      <c r="UZX177" s="250"/>
      <c r="UZY177" s="250"/>
      <c r="UZZ177" s="250"/>
      <c r="VAA177" s="250"/>
      <c r="VAB177" s="250"/>
      <c r="VAC177" s="250"/>
      <c r="VAD177" s="250"/>
      <c r="VAE177" s="250"/>
      <c r="VAF177" s="250"/>
      <c r="VAG177" s="250"/>
      <c r="VAH177" s="250"/>
      <c r="VAI177" s="250"/>
      <c r="VAJ177" s="250"/>
      <c r="VAK177" s="250"/>
      <c r="VAL177" s="250"/>
      <c r="VAM177" s="250"/>
      <c r="VAN177" s="250"/>
      <c r="VAO177" s="250"/>
      <c r="VAP177" s="250"/>
      <c r="VAQ177" s="250"/>
      <c r="VAR177" s="250"/>
      <c r="VAS177" s="250"/>
      <c r="VAT177" s="250"/>
      <c r="VAU177" s="250"/>
      <c r="VAV177" s="250"/>
      <c r="VAW177" s="250"/>
      <c r="VAX177" s="250"/>
      <c r="VAY177" s="250"/>
      <c r="VAZ177" s="250"/>
      <c r="VBA177" s="250"/>
      <c r="VBB177" s="250"/>
      <c r="VBC177" s="250"/>
      <c r="VBD177" s="250"/>
      <c r="VBE177" s="250"/>
      <c r="VBF177" s="250"/>
      <c r="VBG177" s="250"/>
      <c r="VBH177" s="250"/>
      <c r="VBI177" s="250"/>
      <c r="VBJ177" s="250"/>
      <c r="VBK177" s="250"/>
      <c r="VBL177" s="250"/>
      <c r="VBM177" s="250"/>
      <c r="VBN177" s="250"/>
      <c r="VBO177" s="250"/>
      <c r="VBP177" s="250"/>
      <c r="VBQ177" s="250"/>
      <c r="VBR177" s="250"/>
      <c r="VBS177" s="250"/>
      <c r="VBT177" s="250"/>
      <c r="VBU177" s="250"/>
      <c r="VBV177" s="250"/>
      <c r="VBW177" s="250"/>
      <c r="VBX177" s="250"/>
      <c r="VBY177" s="250"/>
      <c r="VBZ177" s="250"/>
      <c r="VCA177" s="250"/>
      <c r="VCB177" s="250"/>
      <c r="VCC177" s="250"/>
      <c r="VCD177" s="250"/>
      <c r="VCE177" s="250"/>
      <c r="VCF177" s="250"/>
      <c r="VCG177" s="250"/>
      <c r="VCH177" s="250"/>
      <c r="VCI177" s="250"/>
      <c r="VCJ177" s="250"/>
      <c r="VCK177" s="250"/>
      <c r="VCL177" s="250"/>
      <c r="VCM177" s="250"/>
      <c r="VCN177" s="250"/>
      <c r="VCO177" s="250"/>
      <c r="VCP177" s="250"/>
      <c r="VCQ177" s="250"/>
      <c r="VCR177" s="250"/>
      <c r="VCS177" s="250"/>
      <c r="VCT177" s="250"/>
      <c r="VCU177" s="250"/>
      <c r="VCV177" s="250"/>
      <c r="VCW177" s="250"/>
      <c r="VCX177" s="250"/>
      <c r="VCY177" s="250"/>
      <c r="VCZ177" s="250"/>
      <c r="VDA177" s="250"/>
      <c r="VDB177" s="250"/>
      <c r="VDC177" s="250"/>
      <c r="VDD177" s="250"/>
      <c r="VDE177" s="250"/>
      <c r="VDF177" s="250"/>
      <c r="VDG177" s="250"/>
      <c r="VDH177" s="250"/>
      <c r="VDI177" s="250"/>
      <c r="VDJ177" s="250"/>
      <c r="VDK177" s="250"/>
      <c r="VDL177" s="250"/>
      <c r="VDM177" s="250"/>
      <c r="VDN177" s="250"/>
      <c r="VDO177" s="250"/>
      <c r="VDP177" s="250"/>
      <c r="VDQ177" s="250"/>
      <c r="VDR177" s="250"/>
      <c r="VDS177" s="250"/>
      <c r="VDT177" s="250"/>
      <c r="VDU177" s="250"/>
      <c r="VDV177" s="250"/>
      <c r="VDW177" s="250"/>
      <c r="VDX177" s="250"/>
      <c r="VDY177" s="250"/>
      <c r="VDZ177" s="250"/>
      <c r="VEA177" s="250"/>
      <c r="VEB177" s="250"/>
      <c r="VEC177" s="250"/>
      <c r="VED177" s="250"/>
      <c r="VEE177" s="250"/>
      <c r="VEF177" s="250"/>
      <c r="VEG177" s="250"/>
      <c r="VEH177" s="250"/>
      <c r="VEI177" s="250"/>
      <c r="VEJ177" s="250"/>
      <c r="VEK177" s="250"/>
      <c r="VEL177" s="250"/>
      <c r="VEM177" s="250"/>
      <c r="VEN177" s="250"/>
      <c r="VEO177" s="250"/>
      <c r="VEP177" s="250"/>
      <c r="VEQ177" s="250"/>
      <c r="VER177" s="250"/>
      <c r="VES177" s="250"/>
      <c r="VET177" s="250"/>
      <c r="VEU177" s="250"/>
      <c r="VEV177" s="250"/>
      <c r="VEW177" s="250"/>
      <c r="VEX177" s="250"/>
      <c r="VEY177" s="250"/>
      <c r="VEZ177" s="250"/>
      <c r="VFA177" s="250"/>
      <c r="VFB177" s="250"/>
      <c r="VFC177" s="250"/>
      <c r="VFD177" s="250"/>
      <c r="VFE177" s="250"/>
      <c r="VFF177" s="250"/>
      <c r="VFG177" s="250"/>
      <c r="VFH177" s="250"/>
      <c r="VFI177" s="250"/>
      <c r="VFJ177" s="250"/>
      <c r="VFK177" s="250"/>
      <c r="VFL177" s="250"/>
      <c r="VFM177" s="250"/>
      <c r="VFN177" s="250"/>
      <c r="VFO177" s="250"/>
      <c r="VFP177" s="250"/>
      <c r="VFQ177" s="250"/>
      <c r="VFR177" s="250"/>
      <c r="VFS177" s="250"/>
      <c r="VFT177" s="250"/>
      <c r="VFU177" s="250"/>
      <c r="VFV177" s="250"/>
      <c r="VFW177" s="250"/>
      <c r="VFX177" s="250"/>
      <c r="VFY177" s="250"/>
      <c r="VFZ177" s="250"/>
      <c r="VGA177" s="250"/>
      <c r="VGB177" s="250"/>
      <c r="VGC177" s="250"/>
      <c r="VGD177" s="250"/>
      <c r="VGE177" s="250"/>
      <c r="VGF177" s="250"/>
      <c r="VGG177" s="250"/>
      <c r="VGH177" s="250"/>
      <c r="VGI177" s="250"/>
      <c r="VGJ177" s="250"/>
      <c r="VGK177" s="250"/>
      <c r="VGL177" s="250"/>
      <c r="VGM177" s="250"/>
      <c r="VGN177" s="250"/>
      <c r="VGO177" s="250"/>
      <c r="VGP177" s="250"/>
      <c r="VGQ177" s="250"/>
      <c r="VGR177" s="250"/>
      <c r="VGS177" s="250"/>
      <c r="VGT177" s="250"/>
      <c r="VGU177" s="250"/>
      <c r="VGV177" s="250"/>
      <c r="VGW177" s="250"/>
      <c r="VGX177" s="250"/>
      <c r="VGY177" s="250"/>
      <c r="VGZ177" s="250"/>
      <c r="VHA177" s="250"/>
      <c r="VHB177" s="250"/>
      <c r="VHC177" s="250"/>
      <c r="VHD177" s="250"/>
      <c r="VHE177" s="250"/>
      <c r="VHF177" s="250"/>
      <c r="VHG177" s="250"/>
      <c r="VHH177" s="250"/>
      <c r="VHI177" s="250"/>
      <c r="VHJ177" s="250"/>
      <c r="VHK177" s="250"/>
      <c r="VHL177" s="250"/>
      <c r="VHM177" s="250"/>
      <c r="VHN177" s="250"/>
      <c r="VHO177" s="250"/>
      <c r="VHP177" s="250"/>
      <c r="VHQ177" s="250"/>
      <c r="VHR177" s="250"/>
      <c r="VHS177" s="250"/>
      <c r="VHT177" s="250"/>
      <c r="VHU177" s="250"/>
      <c r="VHV177" s="250"/>
      <c r="VHW177" s="250"/>
      <c r="VHX177" s="250"/>
      <c r="VHY177" s="250"/>
      <c r="VHZ177" s="250"/>
      <c r="VIA177" s="250"/>
      <c r="VIB177" s="250"/>
      <c r="VIC177" s="250"/>
      <c r="VID177" s="250"/>
      <c r="VIE177" s="250"/>
      <c r="VIF177" s="250"/>
      <c r="VIG177" s="250"/>
      <c r="VIH177" s="250"/>
      <c r="VII177" s="250"/>
      <c r="VIJ177" s="250"/>
      <c r="VIK177" s="250"/>
      <c r="VIL177" s="250"/>
      <c r="VIM177" s="250"/>
      <c r="VIN177" s="250"/>
      <c r="VIO177" s="250"/>
      <c r="VIP177" s="250"/>
      <c r="VIQ177" s="250"/>
      <c r="VIR177" s="250"/>
      <c r="VIS177" s="250"/>
      <c r="VIT177" s="250"/>
      <c r="VIU177" s="250"/>
      <c r="VIV177" s="250"/>
      <c r="VIW177" s="250"/>
      <c r="VIX177" s="250"/>
      <c r="VIY177" s="250"/>
      <c r="VIZ177" s="250"/>
      <c r="VJA177" s="250"/>
      <c r="VJB177" s="250"/>
      <c r="VJC177" s="250"/>
      <c r="VJD177" s="250"/>
      <c r="VJE177" s="250"/>
      <c r="VJF177" s="250"/>
      <c r="VJG177" s="250"/>
      <c r="VJH177" s="250"/>
      <c r="VJI177" s="250"/>
      <c r="VJJ177" s="250"/>
      <c r="VJK177" s="250"/>
      <c r="VJL177" s="250"/>
      <c r="VJM177" s="250"/>
      <c r="VJN177" s="250"/>
      <c r="VJO177" s="250"/>
      <c r="VJP177" s="250"/>
      <c r="VJQ177" s="250"/>
      <c r="VJR177" s="250"/>
      <c r="VJS177" s="250"/>
      <c r="VJT177" s="250"/>
      <c r="VJU177" s="250"/>
      <c r="VJV177" s="250"/>
      <c r="VJW177" s="250"/>
      <c r="VJX177" s="250"/>
      <c r="VJY177" s="250"/>
      <c r="VJZ177" s="250"/>
      <c r="VKA177" s="250"/>
      <c r="VKB177" s="250"/>
      <c r="VKC177" s="250"/>
      <c r="VKD177" s="250"/>
      <c r="VKE177" s="250"/>
      <c r="VKF177" s="250"/>
      <c r="VKG177" s="250"/>
      <c r="VKH177" s="250"/>
      <c r="VKI177" s="250"/>
      <c r="VKJ177" s="250"/>
      <c r="VKK177" s="250"/>
      <c r="VKL177" s="250"/>
      <c r="VKM177" s="250"/>
      <c r="VKN177" s="250"/>
      <c r="VKO177" s="250"/>
      <c r="VKP177" s="250"/>
      <c r="VKQ177" s="250"/>
      <c r="VKR177" s="250"/>
      <c r="VKS177" s="250"/>
      <c r="VKT177" s="250"/>
      <c r="VKU177" s="250"/>
      <c r="VKV177" s="250"/>
      <c r="VKW177" s="250"/>
      <c r="VKX177" s="250"/>
      <c r="VKY177" s="250"/>
      <c r="VKZ177" s="250"/>
      <c r="VLA177" s="250"/>
      <c r="VLB177" s="250"/>
      <c r="VLC177" s="250"/>
      <c r="VLD177" s="250"/>
      <c r="VLE177" s="250"/>
      <c r="VLF177" s="250"/>
      <c r="VLG177" s="250"/>
      <c r="VLH177" s="250"/>
      <c r="VLI177" s="250"/>
      <c r="VLJ177" s="250"/>
      <c r="VLK177" s="250"/>
      <c r="VLL177" s="250"/>
      <c r="VLM177" s="250"/>
      <c r="VLN177" s="250"/>
      <c r="VLO177" s="250"/>
      <c r="VLP177" s="250"/>
      <c r="VLQ177" s="250"/>
      <c r="VLR177" s="250"/>
      <c r="VLS177" s="250"/>
      <c r="VLT177" s="250"/>
      <c r="VLU177" s="250"/>
      <c r="VLV177" s="250"/>
      <c r="VLW177" s="250"/>
      <c r="VLX177" s="250"/>
      <c r="VLY177" s="250"/>
      <c r="VLZ177" s="250"/>
      <c r="VMA177" s="250"/>
      <c r="VMB177" s="250"/>
      <c r="VMC177" s="250"/>
      <c r="VMD177" s="250"/>
      <c r="VME177" s="250"/>
      <c r="VMF177" s="250"/>
      <c r="VMG177" s="250"/>
      <c r="VMH177" s="250"/>
      <c r="VMI177" s="250"/>
      <c r="VMJ177" s="250"/>
      <c r="VMK177" s="250"/>
      <c r="VML177" s="250"/>
      <c r="VMM177" s="250"/>
      <c r="VMN177" s="250"/>
      <c r="VMO177" s="250"/>
      <c r="VMP177" s="250"/>
      <c r="VMQ177" s="250"/>
      <c r="VMR177" s="250"/>
      <c r="VMS177" s="250"/>
      <c r="VMT177" s="250"/>
      <c r="VMU177" s="250"/>
      <c r="VMV177" s="250"/>
      <c r="VMW177" s="250"/>
      <c r="VMX177" s="250"/>
      <c r="VMY177" s="250"/>
      <c r="VMZ177" s="250"/>
      <c r="VNA177" s="250"/>
      <c r="VNB177" s="250"/>
      <c r="VNC177" s="250"/>
      <c r="VND177" s="250"/>
      <c r="VNE177" s="250"/>
      <c r="VNF177" s="250"/>
      <c r="VNG177" s="250"/>
      <c r="VNH177" s="250"/>
      <c r="VNI177" s="250"/>
      <c r="VNJ177" s="250"/>
      <c r="VNK177" s="250"/>
      <c r="VNL177" s="250"/>
      <c r="VNM177" s="250"/>
      <c r="VNN177" s="250"/>
      <c r="VNO177" s="250"/>
      <c r="VNP177" s="250"/>
      <c r="VNQ177" s="250"/>
      <c r="VNR177" s="250"/>
      <c r="VNS177" s="250"/>
      <c r="VNT177" s="250"/>
      <c r="VNU177" s="250"/>
      <c r="VNV177" s="250"/>
      <c r="VNW177" s="250"/>
      <c r="VNX177" s="250"/>
      <c r="VNY177" s="250"/>
      <c r="VNZ177" s="250"/>
      <c r="VOA177" s="250"/>
      <c r="VOB177" s="250"/>
      <c r="VOC177" s="250"/>
      <c r="VOD177" s="250"/>
      <c r="VOE177" s="250"/>
      <c r="VOF177" s="250"/>
      <c r="VOG177" s="250"/>
      <c r="VOH177" s="250"/>
      <c r="VOI177" s="250"/>
      <c r="VOJ177" s="250"/>
      <c r="VOK177" s="250"/>
      <c r="VOL177" s="250"/>
      <c r="VOM177" s="250"/>
      <c r="VON177" s="250"/>
      <c r="VOO177" s="250"/>
      <c r="VOP177" s="250"/>
      <c r="VOQ177" s="250"/>
      <c r="VOR177" s="250"/>
      <c r="VOS177" s="250"/>
      <c r="VOT177" s="250"/>
      <c r="VOU177" s="250"/>
      <c r="VOV177" s="250"/>
      <c r="VOW177" s="250"/>
      <c r="VOX177" s="250"/>
      <c r="VOY177" s="250"/>
      <c r="VOZ177" s="250"/>
      <c r="VPA177" s="250"/>
      <c r="VPB177" s="250"/>
      <c r="VPC177" s="250"/>
      <c r="VPD177" s="250"/>
      <c r="VPE177" s="250"/>
      <c r="VPF177" s="250"/>
      <c r="VPG177" s="250"/>
      <c r="VPH177" s="250"/>
      <c r="VPI177" s="250"/>
      <c r="VPJ177" s="250"/>
      <c r="VPK177" s="250"/>
      <c r="VPL177" s="250"/>
      <c r="VPM177" s="250"/>
      <c r="VPN177" s="250"/>
      <c r="VPO177" s="250"/>
      <c r="VPP177" s="250"/>
      <c r="VPQ177" s="250"/>
      <c r="VPR177" s="250"/>
      <c r="VPS177" s="250"/>
      <c r="VPT177" s="250"/>
      <c r="VPU177" s="250"/>
      <c r="VPV177" s="250"/>
      <c r="VPW177" s="250"/>
      <c r="VPX177" s="250"/>
      <c r="VPY177" s="250"/>
      <c r="VPZ177" s="250"/>
      <c r="VQA177" s="250"/>
      <c r="VQB177" s="250"/>
      <c r="VQC177" s="250"/>
      <c r="VQD177" s="250"/>
      <c r="VQE177" s="250"/>
      <c r="VQF177" s="250"/>
      <c r="VQG177" s="250"/>
      <c r="VQH177" s="250"/>
      <c r="VQI177" s="250"/>
      <c r="VQJ177" s="250"/>
      <c r="VQK177" s="250"/>
      <c r="VQL177" s="250"/>
      <c r="VQM177" s="250"/>
      <c r="VQN177" s="250"/>
      <c r="VQO177" s="250"/>
      <c r="VQP177" s="250"/>
      <c r="VQQ177" s="250"/>
      <c r="VQR177" s="250"/>
      <c r="VQS177" s="250"/>
      <c r="VQT177" s="250"/>
      <c r="VQU177" s="250"/>
      <c r="VQV177" s="250"/>
      <c r="VQW177" s="250"/>
      <c r="VQX177" s="250"/>
      <c r="VQY177" s="250"/>
      <c r="VQZ177" s="250"/>
      <c r="VRA177" s="250"/>
      <c r="VRB177" s="250"/>
      <c r="VRC177" s="250"/>
      <c r="VRD177" s="250"/>
      <c r="VRE177" s="250"/>
      <c r="VRF177" s="250"/>
      <c r="VRG177" s="250"/>
      <c r="VRH177" s="250"/>
      <c r="VRI177" s="250"/>
      <c r="VRJ177" s="250"/>
      <c r="VRK177" s="250"/>
      <c r="VRL177" s="250"/>
      <c r="VRM177" s="250"/>
      <c r="VRN177" s="250"/>
      <c r="VRO177" s="250"/>
      <c r="VRP177" s="250"/>
      <c r="VRQ177" s="250"/>
      <c r="VRR177" s="250"/>
      <c r="VRS177" s="250"/>
      <c r="VRT177" s="250"/>
      <c r="VRU177" s="250"/>
      <c r="VRV177" s="250"/>
      <c r="VRW177" s="250"/>
      <c r="VRX177" s="250"/>
      <c r="VRY177" s="250"/>
      <c r="VRZ177" s="250"/>
      <c r="VSA177" s="250"/>
      <c r="VSB177" s="250"/>
      <c r="VSC177" s="250"/>
      <c r="VSD177" s="250"/>
      <c r="VSE177" s="250"/>
      <c r="VSF177" s="250"/>
      <c r="VSG177" s="250"/>
      <c r="VSH177" s="250"/>
      <c r="VSI177" s="250"/>
      <c r="VSJ177" s="250"/>
      <c r="VSK177" s="250"/>
      <c r="VSL177" s="250"/>
      <c r="VSM177" s="250"/>
      <c r="VSN177" s="250"/>
      <c r="VSO177" s="250"/>
      <c r="VSP177" s="250"/>
      <c r="VSQ177" s="250"/>
      <c r="VSR177" s="250"/>
      <c r="VSS177" s="250"/>
      <c r="VST177" s="250"/>
      <c r="VSU177" s="250"/>
      <c r="VSV177" s="250"/>
      <c r="VSW177" s="250"/>
      <c r="VSX177" s="250"/>
      <c r="VSY177" s="250"/>
      <c r="VSZ177" s="250"/>
      <c r="VTA177" s="250"/>
      <c r="VTB177" s="250"/>
      <c r="VTC177" s="250"/>
      <c r="VTD177" s="250"/>
      <c r="VTE177" s="250"/>
      <c r="VTF177" s="250"/>
      <c r="VTG177" s="250"/>
      <c r="VTH177" s="250"/>
      <c r="VTI177" s="250"/>
      <c r="VTJ177" s="250"/>
      <c r="VTK177" s="250"/>
      <c r="VTL177" s="250"/>
      <c r="VTM177" s="250"/>
      <c r="VTN177" s="250"/>
      <c r="VTO177" s="250"/>
      <c r="VTP177" s="250"/>
      <c r="VTQ177" s="250"/>
      <c r="VTR177" s="250"/>
      <c r="VTS177" s="250"/>
      <c r="VTT177" s="250"/>
      <c r="VTU177" s="250"/>
      <c r="VTV177" s="250"/>
      <c r="VTW177" s="250"/>
      <c r="VTX177" s="250"/>
      <c r="VTY177" s="250"/>
      <c r="VTZ177" s="250"/>
      <c r="VUA177" s="250"/>
      <c r="VUB177" s="250"/>
      <c r="VUC177" s="250"/>
      <c r="VUD177" s="250"/>
      <c r="VUE177" s="250"/>
      <c r="VUF177" s="250"/>
      <c r="VUG177" s="250"/>
      <c r="VUH177" s="250"/>
      <c r="VUI177" s="250"/>
      <c r="VUJ177" s="250"/>
      <c r="VUK177" s="250"/>
      <c r="VUL177" s="250"/>
      <c r="VUM177" s="250"/>
      <c r="VUN177" s="250"/>
      <c r="VUO177" s="250"/>
      <c r="VUP177" s="250"/>
      <c r="VUQ177" s="250"/>
      <c r="VUR177" s="250"/>
      <c r="VUS177" s="250"/>
      <c r="VUT177" s="250"/>
      <c r="VUU177" s="250"/>
      <c r="VUV177" s="250"/>
      <c r="VUW177" s="250"/>
      <c r="VUX177" s="250"/>
      <c r="VUY177" s="250"/>
      <c r="VUZ177" s="250"/>
      <c r="VVA177" s="250"/>
      <c r="VVB177" s="250"/>
      <c r="VVC177" s="250"/>
      <c r="VVD177" s="250"/>
      <c r="VVE177" s="250"/>
      <c r="VVF177" s="250"/>
      <c r="VVG177" s="250"/>
      <c r="VVH177" s="250"/>
      <c r="VVI177" s="250"/>
      <c r="VVJ177" s="250"/>
      <c r="VVK177" s="250"/>
      <c r="VVL177" s="250"/>
      <c r="VVM177" s="250"/>
      <c r="VVN177" s="250"/>
      <c r="VVO177" s="250"/>
      <c r="VVP177" s="250"/>
      <c r="VVQ177" s="250"/>
      <c r="VVR177" s="250"/>
      <c r="VVS177" s="250"/>
      <c r="VVT177" s="250"/>
      <c r="VVU177" s="250"/>
      <c r="VVV177" s="250"/>
      <c r="VVW177" s="250"/>
      <c r="VVX177" s="250"/>
      <c r="VVY177" s="250"/>
      <c r="VVZ177" s="250"/>
      <c r="VWA177" s="250"/>
      <c r="VWB177" s="250"/>
      <c r="VWC177" s="250"/>
      <c r="VWD177" s="250"/>
      <c r="VWE177" s="250"/>
      <c r="VWF177" s="250"/>
      <c r="VWG177" s="250"/>
      <c r="VWH177" s="250"/>
      <c r="VWI177" s="250"/>
      <c r="VWJ177" s="250"/>
      <c r="VWK177" s="250"/>
      <c r="VWL177" s="250"/>
      <c r="VWM177" s="250"/>
      <c r="VWN177" s="250"/>
      <c r="VWO177" s="250"/>
      <c r="VWP177" s="250"/>
      <c r="VWQ177" s="250"/>
      <c r="VWR177" s="250"/>
      <c r="VWS177" s="250"/>
      <c r="VWT177" s="250"/>
      <c r="VWU177" s="250"/>
      <c r="VWV177" s="250"/>
      <c r="VWW177" s="250"/>
      <c r="VWX177" s="250"/>
      <c r="VWY177" s="250"/>
      <c r="VWZ177" s="250"/>
      <c r="VXA177" s="250"/>
      <c r="VXB177" s="250"/>
      <c r="VXC177" s="250"/>
      <c r="VXD177" s="250"/>
      <c r="VXE177" s="250"/>
      <c r="VXF177" s="250"/>
      <c r="VXG177" s="250"/>
      <c r="VXH177" s="250"/>
      <c r="VXI177" s="250"/>
      <c r="VXJ177" s="250"/>
      <c r="VXK177" s="250"/>
      <c r="VXL177" s="250"/>
      <c r="VXM177" s="250"/>
      <c r="VXN177" s="250"/>
      <c r="VXO177" s="250"/>
      <c r="VXP177" s="250"/>
      <c r="VXQ177" s="250"/>
      <c r="VXR177" s="250"/>
      <c r="VXS177" s="250"/>
      <c r="VXT177" s="250"/>
      <c r="VXU177" s="250"/>
      <c r="VXV177" s="250"/>
      <c r="VXW177" s="250"/>
      <c r="VXX177" s="250"/>
      <c r="VXY177" s="250"/>
      <c r="VXZ177" s="250"/>
      <c r="VYA177" s="250"/>
      <c r="VYB177" s="250"/>
      <c r="VYC177" s="250"/>
      <c r="VYD177" s="250"/>
      <c r="VYE177" s="250"/>
      <c r="VYF177" s="250"/>
      <c r="VYG177" s="250"/>
      <c r="VYH177" s="250"/>
      <c r="VYI177" s="250"/>
      <c r="VYJ177" s="250"/>
      <c r="VYK177" s="250"/>
      <c r="VYL177" s="250"/>
      <c r="VYM177" s="250"/>
      <c r="VYN177" s="250"/>
      <c r="VYO177" s="250"/>
      <c r="VYP177" s="250"/>
      <c r="VYQ177" s="250"/>
      <c r="VYR177" s="250"/>
      <c r="VYS177" s="250"/>
      <c r="VYT177" s="250"/>
      <c r="VYU177" s="250"/>
      <c r="VYV177" s="250"/>
      <c r="VYW177" s="250"/>
      <c r="VYX177" s="250"/>
      <c r="VYY177" s="250"/>
      <c r="VYZ177" s="250"/>
      <c r="VZA177" s="250"/>
      <c r="VZB177" s="250"/>
      <c r="VZC177" s="250"/>
      <c r="VZD177" s="250"/>
      <c r="VZE177" s="250"/>
      <c r="VZF177" s="250"/>
      <c r="VZG177" s="250"/>
      <c r="VZH177" s="250"/>
      <c r="VZI177" s="250"/>
      <c r="VZJ177" s="250"/>
      <c r="VZK177" s="250"/>
      <c r="VZL177" s="250"/>
      <c r="VZM177" s="250"/>
      <c r="VZN177" s="250"/>
      <c r="VZO177" s="250"/>
      <c r="VZP177" s="250"/>
      <c r="VZQ177" s="250"/>
      <c r="VZR177" s="250"/>
      <c r="VZS177" s="250"/>
      <c r="VZT177" s="250"/>
      <c r="VZU177" s="250"/>
      <c r="VZV177" s="250"/>
      <c r="VZW177" s="250"/>
      <c r="VZX177" s="250"/>
      <c r="VZY177" s="250"/>
      <c r="VZZ177" s="250"/>
      <c r="WAA177" s="250"/>
      <c r="WAB177" s="250"/>
      <c r="WAC177" s="250"/>
      <c r="WAD177" s="250"/>
      <c r="WAE177" s="250"/>
      <c r="WAF177" s="250"/>
      <c r="WAG177" s="250"/>
      <c r="WAH177" s="250"/>
      <c r="WAI177" s="250"/>
      <c r="WAJ177" s="250"/>
      <c r="WAK177" s="250"/>
      <c r="WAL177" s="250"/>
      <c r="WAM177" s="250"/>
      <c r="WAN177" s="250"/>
      <c r="WAO177" s="250"/>
      <c r="WAP177" s="250"/>
      <c r="WAQ177" s="250"/>
      <c r="WAR177" s="250"/>
      <c r="WAS177" s="250"/>
      <c r="WAT177" s="250"/>
      <c r="WAU177" s="250"/>
      <c r="WAV177" s="250"/>
      <c r="WAW177" s="250"/>
      <c r="WAX177" s="250"/>
      <c r="WAY177" s="250"/>
      <c r="WAZ177" s="250"/>
      <c r="WBA177" s="250"/>
      <c r="WBB177" s="250"/>
      <c r="WBC177" s="250"/>
      <c r="WBD177" s="250"/>
      <c r="WBE177" s="250"/>
      <c r="WBF177" s="250"/>
      <c r="WBG177" s="250"/>
      <c r="WBH177" s="250"/>
      <c r="WBI177" s="250"/>
      <c r="WBJ177" s="250"/>
      <c r="WBK177" s="250"/>
      <c r="WBL177" s="250"/>
      <c r="WBM177" s="250"/>
      <c r="WBN177" s="250"/>
      <c r="WBO177" s="250"/>
      <c r="WBP177" s="250"/>
      <c r="WBQ177" s="250"/>
      <c r="WBR177" s="250"/>
      <c r="WBS177" s="250"/>
      <c r="WBT177" s="250"/>
      <c r="WBU177" s="250"/>
      <c r="WBV177" s="250"/>
      <c r="WBW177" s="250"/>
      <c r="WBX177" s="250"/>
      <c r="WBY177" s="250"/>
      <c r="WBZ177" s="250"/>
      <c r="WCA177" s="250"/>
      <c r="WCB177" s="250"/>
      <c r="WCC177" s="250"/>
      <c r="WCD177" s="250"/>
      <c r="WCE177" s="250"/>
      <c r="WCF177" s="250"/>
      <c r="WCG177" s="250"/>
      <c r="WCH177" s="250"/>
      <c r="WCI177" s="250"/>
      <c r="WCJ177" s="250"/>
      <c r="WCK177" s="250"/>
      <c r="WCL177" s="250"/>
      <c r="WCM177" s="250"/>
      <c r="WCN177" s="250"/>
      <c r="WCO177" s="250"/>
      <c r="WCP177" s="250"/>
      <c r="WCQ177" s="250"/>
      <c r="WCR177" s="250"/>
      <c r="WCS177" s="250"/>
      <c r="WCT177" s="250"/>
      <c r="WCU177" s="250"/>
      <c r="WCV177" s="250"/>
      <c r="WCW177" s="250"/>
      <c r="WCX177" s="250"/>
      <c r="WCY177" s="250"/>
      <c r="WCZ177" s="250"/>
      <c r="WDA177" s="250"/>
      <c r="WDB177" s="250"/>
      <c r="WDC177" s="250"/>
      <c r="WDD177" s="250"/>
      <c r="WDE177" s="250"/>
      <c r="WDF177" s="250"/>
      <c r="WDG177" s="250"/>
      <c r="WDH177" s="250"/>
      <c r="WDI177" s="250"/>
      <c r="WDJ177" s="250"/>
      <c r="WDK177" s="250"/>
      <c r="WDL177" s="250"/>
      <c r="WDM177" s="250"/>
      <c r="WDN177" s="250"/>
      <c r="WDO177" s="250"/>
      <c r="WDP177" s="250"/>
      <c r="WDQ177" s="250"/>
      <c r="WDR177" s="250"/>
      <c r="WDS177" s="250"/>
      <c r="WDT177" s="250"/>
      <c r="WDU177" s="250"/>
      <c r="WDV177" s="250"/>
      <c r="WDW177" s="250"/>
      <c r="WDX177" s="250"/>
      <c r="WDY177" s="250"/>
      <c r="WDZ177" s="250"/>
      <c r="WEA177" s="250"/>
      <c r="WEB177" s="250"/>
      <c r="WEC177" s="250"/>
      <c r="WED177" s="250"/>
      <c r="WEE177" s="250"/>
      <c r="WEF177" s="250"/>
      <c r="WEG177" s="250"/>
      <c r="WEH177" s="250"/>
      <c r="WEI177" s="250"/>
      <c r="WEJ177" s="250"/>
      <c r="WEK177" s="250"/>
      <c r="WEL177" s="250"/>
      <c r="WEM177" s="250"/>
      <c r="WEN177" s="250"/>
      <c r="WEO177" s="250"/>
      <c r="WEP177" s="250"/>
      <c r="WEQ177" s="250"/>
      <c r="WER177" s="250"/>
      <c r="WES177" s="250"/>
      <c r="WET177" s="250"/>
      <c r="WEU177" s="250"/>
      <c r="WEV177" s="250"/>
      <c r="WEW177" s="250"/>
      <c r="WEX177" s="250"/>
      <c r="WEY177" s="250"/>
      <c r="WEZ177" s="250"/>
      <c r="WFA177" s="250"/>
      <c r="WFB177" s="250"/>
      <c r="WFC177" s="250"/>
      <c r="WFD177" s="250"/>
      <c r="WFE177" s="250"/>
      <c r="WFF177" s="250"/>
      <c r="WFG177" s="250"/>
      <c r="WFH177" s="250"/>
      <c r="WFI177" s="250"/>
      <c r="WFJ177" s="250"/>
      <c r="WFK177" s="250"/>
      <c r="WFL177" s="250"/>
      <c r="WFM177" s="250"/>
      <c r="WFN177" s="250"/>
      <c r="WFO177" s="250"/>
      <c r="WFP177" s="250"/>
      <c r="WFQ177" s="250"/>
      <c r="WFR177" s="250"/>
      <c r="WFS177" s="250"/>
      <c r="WFT177" s="250"/>
      <c r="WFU177" s="250"/>
      <c r="WFV177" s="250"/>
      <c r="WFW177" s="250"/>
      <c r="WFX177" s="250"/>
      <c r="WFY177" s="250"/>
      <c r="WFZ177" s="250"/>
      <c r="WGA177" s="250"/>
      <c r="WGB177" s="250"/>
      <c r="WGC177" s="250"/>
      <c r="WGD177" s="250"/>
      <c r="WGE177" s="250"/>
      <c r="WGF177" s="250"/>
      <c r="WGG177" s="250"/>
      <c r="WGH177" s="250"/>
      <c r="WGI177" s="250"/>
      <c r="WGJ177" s="250"/>
      <c r="WGK177" s="250"/>
      <c r="WGL177" s="250"/>
      <c r="WGM177" s="250"/>
      <c r="WGN177" s="250"/>
      <c r="WGO177" s="250"/>
      <c r="WGP177" s="250"/>
      <c r="WGQ177" s="250"/>
      <c r="WGR177" s="250"/>
      <c r="WGS177" s="250"/>
      <c r="WGT177" s="250"/>
      <c r="WGU177" s="250"/>
      <c r="WGV177" s="250"/>
      <c r="WGW177" s="250"/>
      <c r="WGX177" s="250"/>
      <c r="WGY177" s="250"/>
      <c r="WGZ177" s="250"/>
      <c r="WHA177" s="250"/>
      <c r="WHB177" s="250"/>
      <c r="WHC177" s="250"/>
      <c r="WHD177" s="250"/>
      <c r="WHE177" s="250"/>
      <c r="WHF177" s="250"/>
      <c r="WHG177" s="250"/>
      <c r="WHH177" s="250"/>
      <c r="WHI177" s="250"/>
      <c r="WHJ177" s="250"/>
      <c r="WHK177" s="250"/>
      <c r="WHL177" s="250"/>
      <c r="WHM177" s="250"/>
      <c r="WHN177" s="250"/>
      <c r="WHO177" s="250"/>
      <c r="WHP177" s="250"/>
      <c r="WHQ177" s="250"/>
      <c r="WHR177" s="250"/>
      <c r="WHS177" s="250"/>
      <c r="WHT177" s="250"/>
      <c r="WHU177" s="250"/>
      <c r="WHV177" s="250"/>
      <c r="WHW177" s="250"/>
      <c r="WHX177" s="250"/>
      <c r="WHY177" s="250"/>
      <c r="WHZ177" s="250"/>
      <c r="WIA177" s="250"/>
      <c r="WIB177" s="250"/>
      <c r="WIC177" s="250"/>
      <c r="WID177" s="250"/>
      <c r="WIE177" s="250"/>
      <c r="WIF177" s="250"/>
      <c r="WIG177" s="250"/>
      <c r="WIH177" s="250"/>
      <c r="WII177" s="250"/>
      <c r="WIJ177" s="250"/>
      <c r="WIK177" s="250"/>
      <c r="WIL177" s="250"/>
      <c r="WIM177" s="250"/>
      <c r="WIN177" s="250"/>
      <c r="WIO177" s="250"/>
      <c r="WIP177" s="250"/>
      <c r="WIQ177" s="250"/>
      <c r="WIR177" s="250"/>
      <c r="WIS177" s="250"/>
      <c r="WIT177" s="250"/>
      <c r="WIU177" s="250"/>
      <c r="WIV177" s="250"/>
      <c r="WIW177" s="250"/>
      <c r="WIX177" s="250"/>
      <c r="WIY177" s="250"/>
      <c r="WIZ177" s="250"/>
      <c r="WJA177" s="250"/>
      <c r="WJB177" s="250"/>
      <c r="WJC177" s="250"/>
      <c r="WJD177" s="250"/>
      <c r="WJE177" s="250"/>
      <c r="WJF177" s="250"/>
      <c r="WJG177" s="250"/>
      <c r="WJH177" s="250"/>
      <c r="WJI177" s="250"/>
      <c r="WJJ177" s="250"/>
      <c r="WJK177" s="250"/>
      <c r="WJL177" s="250"/>
      <c r="WJM177" s="250"/>
      <c r="WJN177" s="250"/>
      <c r="WJO177" s="250"/>
      <c r="WJP177" s="250"/>
      <c r="WJQ177" s="250"/>
      <c r="WJR177" s="250"/>
      <c r="WJS177" s="250"/>
      <c r="WJT177" s="250"/>
      <c r="WJU177" s="250"/>
      <c r="WJV177" s="250"/>
      <c r="WJW177" s="250"/>
      <c r="WJX177" s="250"/>
      <c r="WJY177" s="250"/>
      <c r="WJZ177" s="250"/>
      <c r="WKA177" s="250"/>
      <c r="WKB177" s="250"/>
      <c r="WKC177" s="250"/>
      <c r="WKD177" s="250"/>
      <c r="WKE177" s="250"/>
      <c r="WKF177" s="250"/>
      <c r="WKG177" s="250"/>
      <c r="WKH177" s="250"/>
      <c r="WKI177" s="250"/>
      <c r="WKJ177" s="250"/>
      <c r="WKK177" s="250"/>
      <c r="WKL177" s="250"/>
      <c r="WKM177" s="250"/>
      <c r="WKN177" s="250"/>
      <c r="WKO177" s="250"/>
      <c r="WKP177" s="250"/>
      <c r="WKQ177" s="250"/>
      <c r="WKR177" s="250"/>
      <c r="WKS177" s="250"/>
      <c r="WKT177" s="250"/>
      <c r="WKU177" s="250"/>
      <c r="WKV177" s="250"/>
      <c r="WKW177" s="250"/>
      <c r="WKX177" s="250"/>
      <c r="WKY177" s="250"/>
      <c r="WKZ177" s="250"/>
      <c r="WLA177" s="250"/>
      <c r="WLB177" s="250"/>
      <c r="WLC177" s="250"/>
      <c r="WLD177" s="250"/>
      <c r="WLE177" s="250"/>
      <c r="WLF177" s="250"/>
      <c r="WLG177" s="250"/>
      <c r="WLH177" s="250"/>
      <c r="WLI177" s="250"/>
      <c r="WLJ177" s="250"/>
      <c r="WLK177" s="250"/>
      <c r="WLL177" s="250"/>
      <c r="WLM177" s="250"/>
      <c r="WLN177" s="250"/>
      <c r="WLO177" s="250"/>
      <c r="WLP177" s="250"/>
      <c r="WLQ177" s="250"/>
      <c r="WLR177" s="250"/>
      <c r="WLS177" s="250"/>
      <c r="WLT177" s="250"/>
      <c r="WLU177" s="250"/>
      <c r="WLV177" s="250"/>
      <c r="WLW177" s="250"/>
      <c r="WLX177" s="250"/>
      <c r="WLY177" s="250"/>
      <c r="WLZ177" s="250"/>
      <c r="WMA177" s="250"/>
      <c r="WMB177" s="250"/>
      <c r="WMC177" s="250"/>
      <c r="WMD177" s="250"/>
      <c r="WME177" s="250"/>
      <c r="WMF177" s="250"/>
      <c r="WMG177" s="250"/>
      <c r="WMH177" s="250"/>
      <c r="WMI177" s="250"/>
      <c r="WMJ177" s="250"/>
      <c r="WMK177" s="250"/>
      <c r="WML177" s="250"/>
      <c r="WMM177" s="250"/>
      <c r="WMN177" s="250"/>
      <c r="WMO177" s="250"/>
      <c r="WMP177" s="250"/>
      <c r="WMQ177" s="250"/>
      <c r="WMR177" s="250"/>
      <c r="WMS177" s="250"/>
      <c r="WMT177" s="250"/>
      <c r="WMU177" s="250"/>
      <c r="WMV177" s="250"/>
      <c r="WMW177" s="250"/>
      <c r="WMX177" s="250"/>
      <c r="WMY177" s="250"/>
      <c r="WMZ177" s="250"/>
      <c r="WNA177" s="250"/>
      <c r="WNB177" s="250"/>
      <c r="WNC177" s="250"/>
      <c r="WND177" s="250"/>
      <c r="WNE177" s="250"/>
      <c r="WNF177" s="250"/>
      <c r="WNG177" s="250"/>
      <c r="WNH177" s="250"/>
      <c r="WNI177" s="250"/>
      <c r="WNJ177" s="250"/>
      <c r="WNK177" s="250"/>
      <c r="WNL177" s="250"/>
      <c r="WNM177" s="250"/>
      <c r="WNN177" s="250"/>
      <c r="WNO177" s="250"/>
      <c r="WNP177" s="250"/>
      <c r="WNQ177" s="250"/>
      <c r="WNR177" s="250"/>
      <c r="WNS177" s="250"/>
      <c r="WNT177" s="250"/>
      <c r="WNU177" s="250"/>
      <c r="WNV177" s="250"/>
      <c r="WNW177" s="250"/>
      <c r="WNX177" s="250"/>
      <c r="WNY177" s="250"/>
      <c r="WNZ177" s="250"/>
      <c r="WOA177" s="250"/>
      <c r="WOB177" s="250"/>
      <c r="WOC177" s="250"/>
      <c r="WOD177" s="250"/>
      <c r="WOE177" s="250"/>
      <c r="WOF177" s="250"/>
      <c r="WOG177" s="250"/>
      <c r="WOH177" s="250"/>
      <c r="WOI177" s="250"/>
      <c r="WOJ177" s="250"/>
      <c r="WOK177" s="250"/>
      <c r="WOL177" s="250"/>
      <c r="WOM177" s="250"/>
      <c r="WON177" s="250"/>
      <c r="WOO177" s="250"/>
      <c r="WOP177" s="250"/>
      <c r="WOQ177" s="250"/>
      <c r="WOR177" s="250"/>
      <c r="WOS177" s="250"/>
      <c r="WOT177" s="250"/>
      <c r="WOU177" s="250"/>
      <c r="WOV177" s="250"/>
      <c r="WOW177" s="250"/>
      <c r="WOX177" s="250"/>
      <c r="WOY177" s="250"/>
      <c r="WOZ177" s="250"/>
      <c r="WPA177" s="250"/>
      <c r="WPB177" s="250"/>
      <c r="WPC177" s="250"/>
      <c r="WPD177" s="250"/>
      <c r="WPE177" s="250"/>
      <c r="WPF177" s="250"/>
      <c r="WPG177" s="250"/>
      <c r="WPH177" s="250"/>
      <c r="WPI177" s="250"/>
      <c r="WPJ177" s="250"/>
      <c r="WPK177" s="250"/>
      <c r="WPL177" s="250"/>
      <c r="WPM177" s="250"/>
      <c r="WPN177" s="250"/>
      <c r="WPO177" s="250"/>
      <c r="WPP177" s="250"/>
      <c r="WPQ177" s="250"/>
      <c r="WPR177" s="250"/>
      <c r="WPS177" s="250"/>
      <c r="WPT177" s="250"/>
      <c r="WPU177" s="250"/>
      <c r="WPV177" s="250"/>
      <c r="WPW177" s="250"/>
      <c r="WPX177" s="250"/>
      <c r="WPY177" s="250"/>
      <c r="WPZ177" s="250"/>
      <c r="WQA177" s="250"/>
      <c r="WQB177" s="250"/>
      <c r="WQC177" s="250"/>
      <c r="WQD177" s="250"/>
      <c r="WQE177" s="250"/>
      <c r="WQF177" s="250"/>
      <c r="WQG177" s="250"/>
      <c r="WQH177" s="250"/>
      <c r="WQI177" s="250"/>
      <c r="WQJ177" s="250"/>
      <c r="WQK177" s="250"/>
      <c r="WQL177" s="250"/>
      <c r="WQM177" s="250"/>
      <c r="WQN177" s="250"/>
      <c r="WQO177" s="250"/>
      <c r="WQP177" s="250"/>
      <c r="WQQ177" s="250"/>
      <c r="WQR177" s="250"/>
      <c r="WQS177" s="250"/>
      <c r="WQT177" s="250"/>
      <c r="WQU177" s="250"/>
      <c r="WQV177" s="250"/>
      <c r="WQW177" s="250"/>
      <c r="WQX177" s="250"/>
      <c r="WQY177" s="250"/>
      <c r="WQZ177" s="250"/>
      <c r="WRA177" s="250"/>
      <c r="WRB177" s="250"/>
      <c r="WRC177" s="250"/>
      <c r="WRD177" s="250"/>
      <c r="WRE177" s="250"/>
      <c r="WRF177" s="250"/>
      <c r="WRG177" s="250"/>
      <c r="WRH177" s="250"/>
      <c r="WRI177" s="250"/>
      <c r="WRJ177" s="250"/>
      <c r="WRK177" s="250"/>
      <c r="WRL177" s="250"/>
      <c r="WRM177" s="250"/>
      <c r="WRN177" s="250"/>
      <c r="WRO177" s="250"/>
      <c r="WRP177" s="250"/>
      <c r="WRQ177" s="250"/>
      <c r="WRR177" s="250"/>
      <c r="WRS177" s="250"/>
      <c r="WRT177" s="250"/>
      <c r="WRU177" s="250"/>
      <c r="WRV177" s="250"/>
      <c r="WRW177" s="250"/>
      <c r="WRX177" s="250"/>
      <c r="WRY177" s="250"/>
      <c r="WRZ177" s="250"/>
      <c r="WSA177" s="250"/>
      <c r="WSB177" s="250"/>
      <c r="WSC177" s="250"/>
      <c r="WSD177" s="250"/>
      <c r="WSE177" s="250"/>
      <c r="WSF177" s="250"/>
      <c r="WSG177" s="250"/>
      <c r="WSH177" s="250"/>
      <c r="WSI177" s="250"/>
      <c r="WSJ177" s="250"/>
      <c r="WSK177" s="250"/>
      <c r="WSL177" s="250"/>
      <c r="WSM177" s="250"/>
      <c r="WSN177" s="250"/>
      <c r="WSO177" s="250"/>
      <c r="WSP177" s="250"/>
      <c r="WSQ177" s="250"/>
      <c r="WSR177" s="250"/>
      <c r="WSS177" s="250"/>
      <c r="WST177" s="250"/>
      <c r="WSU177" s="250"/>
      <c r="WSV177" s="250"/>
      <c r="WSW177" s="250"/>
      <c r="WSX177" s="250"/>
      <c r="WSY177" s="250"/>
      <c r="WSZ177" s="250"/>
      <c r="WTA177" s="250"/>
      <c r="WTB177" s="250"/>
      <c r="WTC177" s="250"/>
      <c r="WTD177" s="250"/>
      <c r="WTE177" s="250"/>
      <c r="WTF177" s="250"/>
      <c r="WTG177" s="250"/>
      <c r="WTH177" s="250"/>
      <c r="WTI177" s="250"/>
      <c r="WTJ177" s="250"/>
      <c r="WTK177" s="250"/>
      <c r="WTL177" s="250"/>
      <c r="WTM177" s="250"/>
      <c r="WTN177" s="250"/>
      <c r="WTO177" s="250"/>
      <c r="WTP177" s="250"/>
      <c r="WTQ177" s="250"/>
      <c r="WTR177" s="250"/>
      <c r="WTS177" s="250"/>
      <c r="WTT177" s="250"/>
      <c r="WTU177" s="250"/>
      <c r="WTV177" s="250"/>
      <c r="WTW177" s="250"/>
      <c r="WTX177" s="250"/>
      <c r="WTY177" s="250"/>
      <c r="WTZ177" s="250"/>
      <c r="WUA177" s="250"/>
      <c r="WUB177" s="250"/>
      <c r="WUC177" s="250"/>
      <c r="WUD177" s="250"/>
      <c r="WUE177" s="250"/>
      <c r="WUF177" s="250"/>
      <c r="WUG177" s="250"/>
      <c r="WUH177" s="250"/>
      <c r="WUI177" s="250"/>
      <c r="WUJ177" s="250"/>
      <c r="WUK177" s="250"/>
      <c r="WUL177" s="250"/>
      <c r="WUM177" s="250"/>
      <c r="WUN177" s="250"/>
      <c r="WUO177" s="250"/>
      <c r="WUP177" s="250"/>
      <c r="WUQ177" s="250"/>
      <c r="WUR177" s="250"/>
      <c r="WUS177" s="250"/>
      <c r="WUT177" s="250"/>
      <c r="WUU177" s="250"/>
      <c r="WUV177" s="250"/>
      <c r="WUW177" s="250"/>
      <c r="WUX177" s="250"/>
      <c r="WUY177" s="250"/>
      <c r="WUZ177" s="250"/>
      <c r="WVA177" s="250"/>
      <c r="WVB177" s="250"/>
      <c r="WVC177" s="250"/>
      <c r="WVD177" s="250"/>
      <c r="WVE177" s="250"/>
      <c r="WVF177" s="250"/>
      <c r="WVG177" s="250"/>
      <c r="WVH177" s="250"/>
      <c r="WVI177" s="250"/>
      <c r="WVJ177" s="250"/>
      <c r="WVK177" s="250"/>
      <c r="WVL177" s="250"/>
      <c r="WVM177" s="250"/>
      <c r="WVN177" s="250"/>
      <c r="WVO177" s="250"/>
      <c r="WVP177" s="250"/>
      <c r="WVQ177" s="250"/>
      <c r="WVR177" s="250"/>
      <c r="WVS177" s="250"/>
      <c r="WVT177" s="250"/>
      <c r="WVU177" s="250"/>
      <c r="WVV177" s="250"/>
      <c r="WVW177" s="250"/>
      <c r="WVX177" s="250"/>
      <c r="WVY177" s="250"/>
      <c r="WVZ177" s="250"/>
      <c r="WWA177" s="250"/>
      <c r="WWB177" s="250"/>
      <c r="WWC177" s="250"/>
      <c r="WWD177" s="250"/>
      <c r="WWE177" s="250"/>
      <c r="WWF177" s="250"/>
      <c r="WWG177" s="250"/>
      <c r="WWH177" s="250"/>
      <c r="WWI177" s="250"/>
      <c r="WWJ177" s="250"/>
      <c r="WWK177" s="250"/>
      <c r="WWL177" s="250"/>
      <c r="WWM177" s="250"/>
      <c r="WWN177" s="250"/>
      <c r="WWO177" s="250"/>
      <c r="WWP177" s="250"/>
      <c r="WWQ177" s="250"/>
      <c r="WWR177" s="250"/>
      <c r="WWS177" s="250"/>
      <c r="WWT177" s="250"/>
      <c r="WWU177" s="250"/>
      <c r="WWV177" s="250"/>
      <c r="WWW177" s="250"/>
      <c r="WWX177" s="250"/>
      <c r="WWY177" s="250"/>
      <c r="WWZ177" s="250"/>
      <c r="WXA177" s="250"/>
      <c r="WXB177" s="250"/>
      <c r="WXC177" s="250"/>
      <c r="WXD177" s="250"/>
      <c r="WXE177" s="250"/>
      <c r="WXF177" s="250"/>
      <c r="WXG177" s="250"/>
      <c r="WXH177" s="250"/>
      <c r="WXI177" s="250"/>
      <c r="WXJ177" s="250"/>
      <c r="WXK177" s="250"/>
      <c r="WXL177" s="250"/>
      <c r="WXM177" s="250"/>
      <c r="WXN177" s="250"/>
      <c r="WXO177" s="250"/>
      <c r="WXP177" s="250"/>
      <c r="WXQ177" s="250"/>
      <c r="WXR177" s="250"/>
      <c r="WXS177" s="250"/>
      <c r="WXT177" s="250"/>
      <c r="WXU177" s="250"/>
      <c r="WXV177" s="250"/>
      <c r="WXW177" s="250"/>
      <c r="WXX177" s="250"/>
      <c r="WXY177" s="250"/>
      <c r="WXZ177" s="250"/>
      <c r="WYA177" s="250"/>
      <c r="WYB177" s="250"/>
      <c r="WYC177" s="250"/>
      <c r="WYD177" s="250"/>
      <c r="WYE177" s="250"/>
      <c r="WYF177" s="250"/>
      <c r="WYG177" s="250"/>
      <c r="WYH177" s="250"/>
      <c r="WYI177" s="250"/>
      <c r="WYJ177" s="250"/>
      <c r="WYK177" s="250"/>
      <c r="WYL177" s="250"/>
      <c r="WYM177" s="250"/>
      <c r="WYN177" s="250"/>
      <c r="WYO177" s="250"/>
      <c r="WYP177" s="250"/>
      <c r="WYQ177" s="250"/>
      <c r="WYR177" s="250"/>
      <c r="WYS177" s="250"/>
      <c r="WYT177" s="250"/>
      <c r="WYU177" s="250"/>
      <c r="WYV177" s="250"/>
      <c r="WYW177" s="250"/>
      <c r="WYX177" s="250"/>
      <c r="WYY177" s="250"/>
      <c r="WYZ177" s="250"/>
      <c r="WZA177" s="250"/>
      <c r="WZB177" s="250"/>
      <c r="WZC177" s="250"/>
      <c r="WZD177" s="250"/>
      <c r="WZE177" s="250"/>
      <c r="WZF177" s="250"/>
      <c r="WZG177" s="250"/>
      <c r="WZH177" s="250"/>
      <c r="WZI177" s="250"/>
      <c r="WZJ177" s="250"/>
      <c r="WZK177" s="250"/>
      <c r="WZL177" s="250"/>
      <c r="WZM177" s="250"/>
      <c r="WZN177" s="250"/>
      <c r="WZO177" s="250"/>
      <c r="WZP177" s="250"/>
      <c r="WZQ177" s="250"/>
      <c r="WZR177" s="250"/>
      <c r="WZS177" s="250"/>
      <c r="WZT177" s="250"/>
      <c r="WZU177" s="250"/>
      <c r="WZV177" s="250"/>
      <c r="WZW177" s="250"/>
      <c r="WZX177" s="250"/>
      <c r="WZY177" s="250"/>
      <c r="WZZ177" s="250"/>
      <c r="XAA177" s="250"/>
      <c r="XAB177" s="250"/>
      <c r="XAC177" s="250"/>
      <c r="XAD177" s="250"/>
      <c r="XAE177" s="250"/>
      <c r="XAF177" s="250"/>
      <c r="XAG177" s="250"/>
      <c r="XAH177" s="250"/>
      <c r="XAI177" s="250"/>
      <c r="XAJ177" s="250"/>
      <c r="XAK177" s="250"/>
      <c r="XAL177" s="250"/>
      <c r="XAM177" s="250"/>
      <c r="XAN177" s="250"/>
      <c r="XAO177" s="250"/>
      <c r="XAP177" s="250"/>
      <c r="XAQ177" s="250"/>
      <c r="XAR177" s="250"/>
      <c r="XAS177" s="250"/>
      <c r="XAT177" s="250"/>
      <c r="XAU177" s="250"/>
      <c r="XAV177" s="250"/>
      <c r="XAW177" s="250"/>
      <c r="XAX177" s="250"/>
      <c r="XAY177" s="250"/>
      <c r="XAZ177" s="250"/>
      <c r="XBA177" s="250"/>
      <c r="XBB177" s="250"/>
      <c r="XBC177" s="250"/>
      <c r="XBD177" s="250"/>
      <c r="XBE177" s="250"/>
      <c r="XBF177" s="250"/>
      <c r="XBG177" s="250"/>
      <c r="XBH177" s="250"/>
      <c r="XBI177" s="250"/>
      <c r="XBJ177" s="250"/>
      <c r="XBK177" s="250"/>
      <c r="XBL177" s="250"/>
      <c r="XBM177" s="250"/>
      <c r="XBN177" s="250"/>
      <c r="XBO177" s="250"/>
      <c r="XBP177" s="250"/>
      <c r="XBQ177" s="250"/>
      <c r="XBR177" s="250"/>
      <c r="XBS177" s="250"/>
      <c r="XBT177" s="250"/>
      <c r="XBU177" s="250"/>
      <c r="XBV177" s="250"/>
      <c r="XBW177" s="250"/>
      <c r="XBX177" s="250"/>
      <c r="XBY177" s="250"/>
      <c r="XBZ177" s="250"/>
      <c r="XCA177" s="250"/>
      <c r="XCB177" s="250"/>
      <c r="XCC177" s="250"/>
      <c r="XCD177" s="250"/>
      <c r="XCE177" s="250"/>
      <c r="XCF177" s="250"/>
      <c r="XCG177" s="250"/>
      <c r="XCH177" s="250"/>
      <c r="XCI177" s="250"/>
      <c r="XCJ177" s="250"/>
      <c r="XCK177" s="250"/>
      <c r="XCL177" s="250"/>
      <c r="XCM177" s="250"/>
      <c r="XCN177" s="250"/>
      <c r="XCO177" s="250"/>
      <c r="XCP177" s="250"/>
      <c r="XCQ177" s="250"/>
      <c r="XCR177" s="250"/>
      <c r="XCS177" s="250"/>
      <c r="XCT177" s="250"/>
      <c r="XCU177" s="250"/>
      <c r="XCV177" s="250"/>
      <c r="XCW177" s="250"/>
      <c r="XCX177" s="250"/>
      <c r="XCY177" s="250"/>
      <c r="XCZ177" s="250"/>
      <c r="XDA177" s="250"/>
      <c r="XDB177" s="250"/>
      <c r="XDC177" s="250"/>
      <c r="XDD177" s="250"/>
      <c r="XDE177" s="250"/>
      <c r="XDF177" s="250"/>
      <c r="XDG177" s="250"/>
      <c r="XDH177" s="250"/>
      <c r="XDI177" s="250"/>
      <c r="XDJ177" s="250"/>
      <c r="XDK177" s="250"/>
      <c r="XDL177" s="250"/>
      <c r="XDM177" s="250"/>
      <c r="XDN177" s="250"/>
      <c r="XDO177" s="250"/>
      <c r="XDP177" s="250"/>
      <c r="XDQ177" s="250"/>
      <c r="XDR177" s="250"/>
      <c r="XDS177" s="250"/>
      <c r="XDT177" s="250"/>
      <c r="XDU177" s="250"/>
      <c r="XDV177" s="250"/>
      <c r="XDW177" s="250"/>
      <c r="XDX177" s="250"/>
      <c r="XDY177" s="250"/>
      <c r="XDZ177" s="250"/>
      <c r="XEA177" s="250"/>
      <c r="XEB177" s="250"/>
      <c r="XEC177" s="250"/>
      <c r="XED177" s="250"/>
      <c r="XEE177" s="250"/>
      <c r="XEF177" s="250"/>
      <c r="XEG177" s="250"/>
      <c r="XEH177" s="250"/>
      <c r="XEI177" s="250"/>
      <c r="XEJ177" s="250"/>
      <c r="XEK177" s="250"/>
      <c r="XEL177" s="250"/>
      <c r="XEM177" s="250"/>
      <c r="XEN177" s="250"/>
      <c r="XEO177" s="250"/>
      <c r="XEP177" s="250"/>
      <c r="XEQ177" s="250"/>
      <c r="XER177" s="250"/>
      <c r="XES177" s="250"/>
      <c r="XET177" s="250"/>
      <c r="XEU177" s="250"/>
      <c r="XEV177" s="250"/>
      <c r="XEW177" s="250"/>
      <c r="XEX177" s="250"/>
      <c r="XEY177" s="250"/>
      <c r="XEZ177" s="250"/>
      <c r="XFA177" s="250"/>
      <c r="XFB177" s="250"/>
      <c r="XFC177" s="250"/>
    </row>
    <row r="178" spans="1:16383" ht="12" customHeight="1" x14ac:dyDescent="0.2">
      <c r="A178" s="229"/>
      <c r="B178" s="232" t="s">
        <v>67</v>
      </c>
      <c r="C178" s="303" t="s">
        <v>191</v>
      </c>
      <c r="H178" s="229"/>
      <c r="I178" s="229"/>
      <c r="J178" s="229"/>
      <c r="K178" s="229"/>
      <c r="M178" s="229">
        <f t="shared" ref="M178:S178" si="37">YEAR(M$4)</f>
        <v>2020</v>
      </c>
      <c r="N178" s="229">
        <f t="shared" si="37"/>
        <v>2021</v>
      </c>
      <c r="O178" s="229">
        <f t="shared" si="37"/>
        <v>2022</v>
      </c>
      <c r="P178" s="229">
        <f t="shared" si="37"/>
        <v>2023</v>
      </c>
      <c r="Q178" s="229">
        <f t="shared" si="37"/>
        <v>2024</v>
      </c>
      <c r="R178" s="229">
        <f t="shared" si="37"/>
        <v>2025</v>
      </c>
      <c r="S178" s="229">
        <f t="shared" si="37"/>
        <v>2026</v>
      </c>
      <c r="T178" s="229"/>
      <c r="U178" s="229"/>
      <c r="V178" s="229"/>
      <c r="W178" s="229"/>
    </row>
    <row r="179" spans="1:16383" ht="12" customHeight="1" x14ac:dyDescent="0.2">
      <c r="A179" s="229"/>
      <c r="C179" s="303"/>
      <c r="H179" s="229"/>
      <c r="I179" s="229"/>
      <c r="J179" s="229"/>
      <c r="K179" s="229"/>
      <c r="M179" s="229"/>
      <c r="N179" s="229"/>
      <c r="O179" s="229"/>
      <c r="P179" s="229"/>
      <c r="Q179" s="229"/>
      <c r="R179" s="229"/>
      <c r="S179" s="229"/>
      <c r="T179" s="229"/>
      <c r="U179" s="229"/>
      <c r="V179" s="229"/>
      <c r="W179" s="229"/>
    </row>
    <row r="180" spans="1:16383" ht="12" customHeight="1" x14ac:dyDescent="0.2">
      <c r="A180" s="229"/>
    </row>
    <row r="222" spans="13:13" ht="12" customHeight="1" x14ac:dyDescent="0.2">
      <c r="M222" s="265"/>
    </row>
    <row r="223" spans="13:13" ht="12" customHeight="1" x14ac:dyDescent="0.2">
      <c r="M223" s="265"/>
    </row>
    <row r="224" spans="13:13" ht="12" customHeight="1" x14ac:dyDescent="0.2">
      <c r="M224" s="265"/>
    </row>
    <row r="225" spans="13:13" ht="12" customHeight="1" x14ac:dyDescent="0.2">
      <c r="M225" s="265"/>
    </row>
    <row r="226" spans="13:13" ht="12" customHeight="1" x14ac:dyDescent="0.2">
      <c r="M226" s="265"/>
    </row>
    <row r="227" spans="13:13" ht="12" customHeight="1" x14ac:dyDescent="0.2">
      <c r="M227" s="265"/>
    </row>
    <row r="228" spans="13:13" ht="12" customHeight="1" x14ac:dyDescent="0.2">
      <c r="M228" s="265"/>
    </row>
    <row r="229" spans="13:13" ht="12" customHeight="1" x14ac:dyDescent="0.2">
      <c r="M229" s="265"/>
    </row>
    <row r="230" spans="13:13" ht="12" customHeight="1" x14ac:dyDescent="0.2">
      <c r="M230" s="265"/>
    </row>
    <row r="231" spans="13:13" ht="12" customHeight="1" x14ac:dyDescent="0.2">
      <c r="M231" s="265"/>
    </row>
    <row r="232" spans="13:13" ht="12" customHeight="1" x14ac:dyDescent="0.2">
      <c r="M232" s="265"/>
    </row>
    <row r="233" spans="13:13" ht="12" customHeight="1" x14ac:dyDescent="0.2">
      <c r="M233" s="265"/>
    </row>
    <row r="234" spans="13:13" ht="12" customHeight="1" x14ac:dyDescent="0.2">
      <c r="M234" s="265"/>
    </row>
    <row r="235" spans="13:13" ht="12" customHeight="1" x14ac:dyDescent="0.2">
      <c r="M235" s="265"/>
    </row>
    <row r="236" spans="13:13" ht="12" customHeight="1" x14ac:dyDescent="0.2">
      <c r="M236" s="265"/>
    </row>
    <row r="237" spans="13:13" ht="12" customHeight="1" x14ac:dyDescent="0.2">
      <c r="M237" s="265"/>
    </row>
    <row r="238" spans="13:13" ht="12" customHeight="1" x14ac:dyDescent="0.2">
      <c r="M238" s="265"/>
    </row>
    <row r="239" spans="13:13" ht="12" customHeight="1" x14ac:dyDescent="0.2">
      <c r="M239" s="265"/>
    </row>
    <row r="240" spans="13:13" ht="12" customHeight="1" x14ac:dyDescent="0.2">
      <c r="M240" s="265"/>
    </row>
    <row r="241" spans="13:13" ht="12" customHeight="1" x14ac:dyDescent="0.2">
      <c r="M241" s="265"/>
    </row>
    <row r="242" spans="13:13" ht="12" customHeight="1" x14ac:dyDescent="0.2">
      <c r="M242" s="265"/>
    </row>
    <row r="243" spans="13:13" ht="12" customHeight="1" x14ac:dyDescent="0.2">
      <c r="M243" s="265"/>
    </row>
    <row r="244" spans="13:13" ht="12" customHeight="1" x14ac:dyDescent="0.2">
      <c r="M244" s="265"/>
    </row>
    <row r="245" spans="13:13" ht="12" customHeight="1" x14ac:dyDescent="0.2">
      <c r="M245" s="265"/>
    </row>
    <row r="246" spans="13:13" ht="12" customHeight="1" x14ac:dyDescent="0.2">
      <c r="M246" s="265"/>
    </row>
    <row r="247" spans="13:13" ht="12" customHeight="1" x14ac:dyDescent="0.2">
      <c r="M247" s="265"/>
    </row>
    <row r="248" spans="13:13" ht="12" customHeight="1" x14ac:dyDescent="0.2">
      <c r="M248" s="265"/>
    </row>
    <row r="249" spans="13:13" ht="12" customHeight="1" x14ac:dyDescent="0.2">
      <c r="M249" s="265"/>
    </row>
    <row r="250" spans="13:13" ht="12" customHeight="1" x14ac:dyDescent="0.2">
      <c r="M250" s="265"/>
    </row>
    <row r="251" spans="13:13" ht="12" customHeight="1" x14ac:dyDescent="0.2">
      <c r="M251" s="265"/>
    </row>
    <row r="252" spans="13:13" ht="12" customHeight="1" x14ac:dyDescent="0.2">
      <c r="M252" s="265"/>
    </row>
    <row r="253" spans="13:13" ht="12" customHeight="1" x14ac:dyDescent="0.2">
      <c r="M253" s="265"/>
    </row>
    <row r="254" spans="13:13" ht="12" customHeight="1" x14ac:dyDescent="0.2">
      <c r="M254" s="265"/>
    </row>
    <row r="255" spans="13:13" ht="12" customHeight="1" x14ac:dyDescent="0.2">
      <c r="M255" s="265"/>
    </row>
    <row r="256" spans="13:13" ht="12" customHeight="1" x14ac:dyDescent="0.2">
      <c r="M256" s="265"/>
    </row>
    <row r="257" spans="13:13" ht="12" customHeight="1" x14ac:dyDescent="0.2">
      <c r="M257" s="265"/>
    </row>
    <row r="258" spans="13:13" ht="12" customHeight="1" x14ac:dyDescent="0.2">
      <c r="M258" s="265"/>
    </row>
    <row r="259" spans="13:13" ht="12" customHeight="1" x14ac:dyDescent="0.2">
      <c r="M259" s="265"/>
    </row>
    <row r="260" spans="13:13" ht="12" customHeight="1" x14ac:dyDescent="0.2">
      <c r="M260" s="265"/>
    </row>
    <row r="261" spans="13:13" ht="12" customHeight="1" x14ac:dyDescent="0.2">
      <c r="M261" s="265"/>
    </row>
    <row r="262" spans="13:13" ht="12" customHeight="1" x14ac:dyDescent="0.2">
      <c r="M262" s="265"/>
    </row>
    <row r="263" spans="13:13" ht="12" customHeight="1" x14ac:dyDescent="0.2">
      <c r="M263" s="265"/>
    </row>
    <row r="264" spans="13:13" ht="12" customHeight="1" x14ac:dyDescent="0.2">
      <c r="M264" s="265"/>
    </row>
    <row r="265" spans="13:13" ht="12" customHeight="1" x14ac:dyDescent="0.2">
      <c r="M265" s="265"/>
    </row>
    <row r="266" spans="13:13" ht="12" customHeight="1" x14ac:dyDescent="0.2">
      <c r="M266" s="265"/>
    </row>
    <row r="267" spans="13:13" ht="12" customHeight="1" x14ac:dyDescent="0.2">
      <c r="M267" s="265"/>
    </row>
    <row r="268" spans="13:13" ht="12" customHeight="1" x14ac:dyDescent="0.2">
      <c r="M268" s="265"/>
    </row>
    <row r="269" spans="13:13" ht="12" customHeight="1" x14ac:dyDescent="0.2">
      <c r="M269" s="265"/>
    </row>
    <row r="270" spans="13:13" ht="12" customHeight="1" x14ac:dyDescent="0.2">
      <c r="M270" s="265"/>
    </row>
    <row r="271" spans="13:13" ht="12" customHeight="1" x14ac:dyDescent="0.2">
      <c r="M271" s="265"/>
    </row>
    <row r="272" spans="13:13" ht="12" customHeight="1" x14ac:dyDescent="0.2">
      <c r="M272" s="265"/>
    </row>
    <row r="273" spans="13:13" ht="12" customHeight="1" x14ac:dyDescent="0.2">
      <c r="M273" s="265"/>
    </row>
    <row r="274" spans="13:13" ht="12" customHeight="1" x14ac:dyDescent="0.2">
      <c r="M274" s="265"/>
    </row>
    <row r="275" spans="13:13" ht="12" customHeight="1" x14ac:dyDescent="0.2">
      <c r="M275" s="265"/>
    </row>
    <row r="276" spans="13:13" ht="12" customHeight="1" x14ac:dyDescent="0.2">
      <c r="M276" s="265"/>
    </row>
    <row r="277" spans="13:13" ht="12" customHeight="1" x14ac:dyDescent="0.2">
      <c r="M277" s="265"/>
    </row>
    <row r="278" spans="13:13" ht="12" customHeight="1" x14ac:dyDescent="0.2">
      <c r="M278" s="265"/>
    </row>
    <row r="279" spans="13:13" ht="12" customHeight="1" x14ac:dyDescent="0.2">
      <c r="M279" s="265"/>
    </row>
    <row r="280" spans="13:13" ht="12" customHeight="1" x14ac:dyDescent="0.2">
      <c r="M280" s="265"/>
    </row>
    <row r="281" spans="13:13" ht="12" customHeight="1" x14ac:dyDescent="0.2">
      <c r="M281" s="265"/>
    </row>
    <row r="282" spans="13:13" ht="12" customHeight="1" x14ac:dyDescent="0.2">
      <c r="M282" s="265"/>
    </row>
    <row r="283" spans="13:13" ht="12" customHeight="1" x14ac:dyDescent="0.2">
      <c r="M283" s="265"/>
    </row>
    <row r="284" spans="13:13" ht="12" customHeight="1" x14ac:dyDescent="0.2">
      <c r="M284" s="265"/>
    </row>
    <row r="285" spans="13:13" ht="12" customHeight="1" x14ac:dyDescent="0.2">
      <c r="M285" s="265"/>
    </row>
    <row r="286" spans="13:13" ht="12" customHeight="1" x14ac:dyDescent="0.2">
      <c r="M286" s="265"/>
    </row>
    <row r="287" spans="13:13" ht="12" customHeight="1" x14ac:dyDescent="0.2">
      <c r="M287" s="265"/>
    </row>
    <row r="288" spans="13:13" ht="12" customHeight="1" x14ac:dyDescent="0.2">
      <c r="M288" s="265"/>
    </row>
    <row r="289" spans="13:13" ht="12" customHeight="1" x14ac:dyDescent="0.2">
      <c r="M289" s="265"/>
    </row>
    <row r="290" spans="13:13" ht="12" customHeight="1" x14ac:dyDescent="0.2">
      <c r="M290" s="265"/>
    </row>
    <row r="291" spans="13:13" ht="12" customHeight="1" x14ac:dyDescent="0.2">
      <c r="M291" s="265"/>
    </row>
    <row r="292" spans="13:13" ht="12" customHeight="1" x14ac:dyDescent="0.2">
      <c r="M292" s="265"/>
    </row>
    <row r="293" spans="13:13" ht="12" customHeight="1" x14ac:dyDescent="0.2">
      <c r="M293" s="265"/>
    </row>
    <row r="294" spans="13:13" ht="12" customHeight="1" x14ac:dyDescent="0.2">
      <c r="M294" s="265"/>
    </row>
    <row r="295" spans="13:13" ht="12" customHeight="1" x14ac:dyDescent="0.2">
      <c r="M295" s="265"/>
    </row>
    <row r="296" spans="13:13" ht="12" customHeight="1" x14ac:dyDescent="0.2">
      <c r="M296" s="265"/>
    </row>
    <row r="297" spans="13:13" ht="12" customHeight="1" x14ac:dyDescent="0.2">
      <c r="M297" s="265"/>
    </row>
    <row r="298" spans="13:13" ht="12" customHeight="1" x14ac:dyDescent="0.2">
      <c r="M298" s="265"/>
    </row>
    <row r="299" spans="13:13" ht="12" customHeight="1" x14ac:dyDescent="0.2">
      <c r="M299" s="265"/>
    </row>
    <row r="300" spans="13:13" ht="12" customHeight="1" x14ac:dyDescent="0.2">
      <c r="M300" s="265"/>
    </row>
    <row r="301" spans="13:13" ht="12" customHeight="1" x14ac:dyDescent="0.2">
      <c r="M301" s="265"/>
    </row>
    <row r="302" spans="13:13" ht="12" customHeight="1" x14ac:dyDescent="0.2">
      <c r="M302" s="265"/>
    </row>
    <row r="303" spans="13:13" ht="12" customHeight="1" x14ac:dyDescent="0.2">
      <c r="M303" s="265"/>
    </row>
    <row r="304" spans="13:13" ht="12" customHeight="1" x14ac:dyDescent="0.2">
      <c r="M304" s="265"/>
    </row>
    <row r="305" spans="13:13" ht="12" customHeight="1" x14ac:dyDescent="0.2">
      <c r="M305" s="265"/>
    </row>
    <row r="306" spans="13:13" ht="12" customHeight="1" x14ac:dyDescent="0.2">
      <c r="M306" s="265"/>
    </row>
    <row r="307" spans="13:13" ht="12" customHeight="1" x14ac:dyDescent="0.2">
      <c r="M307" s="265"/>
    </row>
    <row r="308" spans="13:13" ht="12" customHeight="1" x14ac:dyDescent="0.2">
      <c r="M308" s="265"/>
    </row>
    <row r="309" spans="13:13" ht="12" customHeight="1" x14ac:dyDescent="0.2">
      <c r="M309" s="265"/>
    </row>
    <row r="310" spans="13:13" ht="12" customHeight="1" x14ac:dyDescent="0.2">
      <c r="M310" s="265"/>
    </row>
    <row r="311" spans="13:13" ht="12" customHeight="1" x14ac:dyDescent="0.2">
      <c r="M311" s="265"/>
    </row>
    <row r="312" spans="13:13" ht="12" customHeight="1" x14ac:dyDescent="0.2">
      <c r="M312" s="265"/>
    </row>
    <row r="313" spans="13:13" ht="12" customHeight="1" x14ac:dyDescent="0.2">
      <c r="M313" s="265"/>
    </row>
    <row r="314" spans="13:13" ht="12" customHeight="1" x14ac:dyDescent="0.2">
      <c r="M314" s="265"/>
    </row>
    <row r="315" spans="13:13" ht="12" customHeight="1" x14ac:dyDescent="0.2">
      <c r="M315" s="265"/>
    </row>
    <row r="316" spans="13:13" ht="12" customHeight="1" x14ac:dyDescent="0.2">
      <c r="M316" s="265"/>
    </row>
    <row r="317" spans="13:13" ht="12" customHeight="1" x14ac:dyDescent="0.2">
      <c r="M317" s="265"/>
    </row>
    <row r="318" spans="13:13" ht="12" customHeight="1" x14ac:dyDescent="0.2">
      <c r="M318" s="265"/>
    </row>
    <row r="319" spans="13:13" ht="12" customHeight="1" x14ac:dyDescent="0.2">
      <c r="M319" s="265"/>
    </row>
    <row r="320" spans="13:13" ht="12" customHeight="1" x14ac:dyDescent="0.2">
      <c r="M320" s="265"/>
    </row>
    <row r="321" spans="13:13" ht="12" customHeight="1" x14ac:dyDescent="0.2">
      <c r="M321" s="265"/>
    </row>
    <row r="322" spans="13:13" ht="12" customHeight="1" x14ac:dyDescent="0.2">
      <c r="M322" s="265"/>
    </row>
    <row r="323" spans="13:13" ht="12" customHeight="1" x14ac:dyDescent="0.2">
      <c r="M323" s="265"/>
    </row>
    <row r="324" spans="13:13" ht="12" customHeight="1" x14ac:dyDescent="0.2">
      <c r="M324" s="265"/>
    </row>
    <row r="325" spans="13:13" ht="12" customHeight="1" x14ac:dyDescent="0.2">
      <c r="M325" s="265"/>
    </row>
    <row r="326" spans="13:13" ht="12" customHeight="1" x14ac:dyDescent="0.2">
      <c r="M326" s="265"/>
    </row>
    <row r="327" spans="13:13" ht="12" customHeight="1" x14ac:dyDescent="0.2">
      <c r="M327" s="265"/>
    </row>
    <row r="328" spans="13:13" ht="12" customHeight="1" x14ac:dyDescent="0.2">
      <c r="M328" s="265"/>
    </row>
    <row r="329" spans="13:13" ht="12" customHeight="1" x14ac:dyDescent="0.2">
      <c r="M329" s="265"/>
    </row>
    <row r="330" spans="13:13" ht="12" customHeight="1" x14ac:dyDescent="0.2">
      <c r="M330" s="265"/>
    </row>
    <row r="331" spans="13:13" ht="12" customHeight="1" x14ac:dyDescent="0.2">
      <c r="M331" s="265"/>
    </row>
    <row r="332" spans="13:13" ht="12" customHeight="1" x14ac:dyDescent="0.2">
      <c r="M332" s="265"/>
    </row>
    <row r="333" spans="13:13" ht="12" customHeight="1" x14ac:dyDescent="0.2">
      <c r="M333" s="265"/>
    </row>
    <row r="334" spans="13:13" ht="12" customHeight="1" x14ac:dyDescent="0.2">
      <c r="M334" s="265"/>
    </row>
    <row r="335" spans="13:13" ht="12" customHeight="1" x14ac:dyDescent="0.2">
      <c r="M335" s="265"/>
    </row>
    <row r="336" spans="13:13" ht="12" customHeight="1" x14ac:dyDescent="0.2">
      <c r="M336" s="265"/>
    </row>
    <row r="337" spans="13:13" ht="12" customHeight="1" x14ac:dyDescent="0.2">
      <c r="M337" s="265"/>
    </row>
    <row r="338" spans="13:13" ht="12" customHeight="1" x14ac:dyDescent="0.2">
      <c r="M338" s="265"/>
    </row>
    <row r="339" spans="13:13" ht="12" customHeight="1" x14ac:dyDescent="0.2">
      <c r="M339" s="265"/>
    </row>
    <row r="340" spans="13:13" ht="12" customHeight="1" x14ac:dyDescent="0.2">
      <c r="M340" s="265"/>
    </row>
    <row r="341" spans="13:13" ht="12" customHeight="1" x14ac:dyDescent="0.2">
      <c r="M341" s="265"/>
    </row>
    <row r="342" spans="13:13" ht="12" customHeight="1" x14ac:dyDescent="0.2">
      <c r="M342" s="265"/>
    </row>
    <row r="343" spans="13:13" ht="12" customHeight="1" x14ac:dyDescent="0.2">
      <c r="M343" s="265"/>
    </row>
    <row r="344" spans="13:13" ht="12" customHeight="1" x14ac:dyDescent="0.2">
      <c r="M344" s="265"/>
    </row>
    <row r="345" spans="13:13" ht="12" customHeight="1" x14ac:dyDescent="0.2">
      <c r="M345" s="265"/>
    </row>
    <row r="346" spans="13:13" ht="12" customHeight="1" x14ac:dyDescent="0.2">
      <c r="M346" s="265"/>
    </row>
    <row r="347" spans="13:13" ht="12" customHeight="1" x14ac:dyDescent="0.2">
      <c r="M347" s="265"/>
    </row>
    <row r="348" spans="13:13" ht="12" customHeight="1" x14ac:dyDescent="0.2">
      <c r="M348" s="265"/>
    </row>
    <row r="349" spans="13:13" ht="12" customHeight="1" x14ac:dyDescent="0.2">
      <c r="M349" s="265"/>
    </row>
    <row r="350" spans="13:13" ht="12" customHeight="1" x14ac:dyDescent="0.2">
      <c r="M350" s="265"/>
    </row>
    <row r="351" spans="13:13" ht="12" customHeight="1" x14ac:dyDescent="0.2">
      <c r="M351" s="265"/>
    </row>
    <row r="352" spans="13:13" ht="12" customHeight="1" x14ac:dyDescent="0.2">
      <c r="M352" s="265"/>
    </row>
    <row r="353" spans="13:13" ht="12" customHeight="1" x14ac:dyDescent="0.2">
      <c r="M353" s="265"/>
    </row>
    <row r="354" spans="13:13" ht="12" customHeight="1" x14ac:dyDescent="0.2">
      <c r="M354" s="265"/>
    </row>
    <row r="355" spans="13:13" ht="12" customHeight="1" x14ac:dyDescent="0.2">
      <c r="M355" s="265"/>
    </row>
    <row r="356" spans="13:13" ht="12" customHeight="1" x14ac:dyDescent="0.2">
      <c r="M356" s="265"/>
    </row>
    <row r="357" spans="13:13" ht="12" customHeight="1" x14ac:dyDescent="0.2">
      <c r="M357" s="265"/>
    </row>
    <row r="358" spans="13:13" ht="12" customHeight="1" x14ac:dyDescent="0.2">
      <c r="M358" s="265"/>
    </row>
    <row r="359" spans="13:13" ht="12" customHeight="1" x14ac:dyDescent="0.2">
      <c r="M359" s="265"/>
    </row>
    <row r="360" spans="13:13" ht="12" customHeight="1" x14ac:dyDescent="0.2">
      <c r="M360" s="265"/>
    </row>
    <row r="361" spans="13:13" ht="12" customHeight="1" x14ac:dyDescent="0.2">
      <c r="M361" s="265"/>
    </row>
    <row r="362" spans="13:13" ht="12" customHeight="1" x14ac:dyDescent="0.2">
      <c r="M362" s="265"/>
    </row>
    <row r="363" spans="13:13" ht="12" customHeight="1" x14ac:dyDescent="0.2">
      <c r="M363" s="265"/>
    </row>
    <row r="364" spans="13:13" ht="12" customHeight="1" x14ac:dyDescent="0.2">
      <c r="M364" s="265"/>
    </row>
    <row r="365" spans="13:13" ht="12" customHeight="1" x14ac:dyDescent="0.2">
      <c r="M365" s="265"/>
    </row>
    <row r="366" spans="13:13" ht="12" customHeight="1" x14ac:dyDescent="0.2">
      <c r="M366" s="265"/>
    </row>
    <row r="367" spans="13:13" ht="12" customHeight="1" x14ac:dyDescent="0.2">
      <c r="M367" s="265"/>
    </row>
    <row r="368" spans="13:13" ht="12" customHeight="1" x14ac:dyDescent="0.2">
      <c r="M368" s="265"/>
    </row>
    <row r="369" spans="13:13" ht="12" customHeight="1" x14ac:dyDescent="0.2">
      <c r="M369" s="265"/>
    </row>
    <row r="370" spans="13:13" ht="12" customHeight="1" x14ac:dyDescent="0.2">
      <c r="M370" s="265"/>
    </row>
    <row r="371" spans="13:13" ht="12" customHeight="1" x14ac:dyDescent="0.2">
      <c r="M371" s="265"/>
    </row>
    <row r="372" spans="13:13" ht="12" customHeight="1" x14ac:dyDescent="0.2">
      <c r="M372" s="265"/>
    </row>
    <row r="373" spans="13:13" ht="12" customHeight="1" x14ac:dyDescent="0.2">
      <c r="M373" s="265"/>
    </row>
    <row r="374" spans="13:13" ht="12" customHeight="1" x14ac:dyDescent="0.2">
      <c r="M374" s="265"/>
    </row>
    <row r="375" spans="13:13" ht="12" customHeight="1" x14ac:dyDescent="0.2">
      <c r="M375" s="265"/>
    </row>
    <row r="376" spans="13:13" ht="12" customHeight="1" x14ac:dyDescent="0.2">
      <c r="M376" s="265"/>
    </row>
    <row r="377" spans="13:13" ht="12" customHeight="1" x14ac:dyDescent="0.2">
      <c r="M377" s="265"/>
    </row>
    <row r="378" spans="13:13" ht="12" customHeight="1" x14ac:dyDescent="0.2">
      <c r="M378" s="265"/>
    </row>
    <row r="379" spans="13:13" ht="12" customHeight="1" x14ac:dyDescent="0.2">
      <c r="M379" s="265"/>
    </row>
    <row r="380" spans="13:13" ht="12" customHeight="1" x14ac:dyDescent="0.2">
      <c r="M380" s="265"/>
    </row>
    <row r="381" spans="13:13" ht="12" customHeight="1" x14ac:dyDescent="0.2">
      <c r="M381" s="265"/>
    </row>
    <row r="382" spans="13:13" ht="12" customHeight="1" x14ac:dyDescent="0.2">
      <c r="M382" s="265"/>
    </row>
    <row r="383" spans="13:13" ht="12" customHeight="1" x14ac:dyDescent="0.2">
      <c r="M383" s="265"/>
    </row>
    <row r="384" spans="13:13" ht="12" customHeight="1" x14ac:dyDescent="0.2">
      <c r="M384" s="265"/>
    </row>
    <row r="385" spans="13:13" ht="12" customHeight="1" x14ac:dyDescent="0.2">
      <c r="M385" s="265"/>
    </row>
    <row r="386" spans="13:13" ht="12" customHeight="1" x14ac:dyDescent="0.2">
      <c r="M386" s="265"/>
    </row>
    <row r="387" spans="13:13" ht="12" customHeight="1" x14ac:dyDescent="0.2">
      <c r="M387" s="265"/>
    </row>
    <row r="388" spans="13:13" ht="12" customHeight="1" x14ac:dyDescent="0.2">
      <c r="M388" s="265"/>
    </row>
    <row r="389" spans="13:13" ht="12" customHeight="1" x14ac:dyDescent="0.2">
      <c r="M389" s="265"/>
    </row>
    <row r="390" spans="13:13" ht="12" customHeight="1" x14ac:dyDescent="0.2">
      <c r="M390" s="265"/>
    </row>
    <row r="391" spans="13:13" ht="12" customHeight="1" x14ac:dyDescent="0.2">
      <c r="M391" s="265"/>
    </row>
    <row r="392" spans="13:13" ht="12" customHeight="1" x14ac:dyDescent="0.2">
      <c r="M392" s="265"/>
    </row>
    <row r="393" spans="13:13" ht="12" customHeight="1" x14ac:dyDescent="0.2">
      <c r="M393" s="265"/>
    </row>
    <row r="394" spans="13:13" ht="12" customHeight="1" x14ac:dyDescent="0.2">
      <c r="M394" s="265"/>
    </row>
    <row r="395" spans="13:13" ht="12" customHeight="1" x14ac:dyDescent="0.2">
      <c r="M395" s="265"/>
    </row>
    <row r="396" spans="13:13" ht="12" customHeight="1" x14ac:dyDescent="0.2">
      <c r="M396" s="265"/>
    </row>
    <row r="397" spans="13:13" ht="12" customHeight="1" x14ac:dyDescent="0.2">
      <c r="M397" s="265"/>
    </row>
    <row r="398" spans="13:13" ht="12" customHeight="1" x14ac:dyDescent="0.2">
      <c r="M398" s="265"/>
    </row>
    <row r="399" spans="13:13" ht="12" customHeight="1" x14ac:dyDescent="0.2">
      <c r="M399" s="265"/>
    </row>
    <row r="400" spans="13:13" ht="12" customHeight="1" x14ac:dyDescent="0.2">
      <c r="M400" s="265"/>
    </row>
    <row r="401" spans="13:13" ht="12" customHeight="1" x14ac:dyDescent="0.2">
      <c r="M401" s="265"/>
    </row>
    <row r="402" spans="13:13" ht="12" customHeight="1" x14ac:dyDescent="0.2">
      <c r="M402" s="265"/>
    </row>
    <row r="403" spans="13:13" ht="12" customHeight="1" x14ac:dyDescent="0.2">
      <c r="M403" s="265"/>
    </row>
    <row r="404" spans="13:13" ht="12" customHeight="1" x14ac:dyDescent="0.2">
      <c r="M404" s="265"/>
    </row>
    <row r="405" spans="13:13" ht="12" customHeight="1" x14ac:dyDescent="0.2">
      <c r="M405" s="265"/>
    </row>
    <row r="406" spans="13:13" ht="12" customHeight="1" x14ac:dyDescent="0.2">
      <c r="M406" s="265"/>
    </row>
    <row r="407" spans="13:13" ht="12" customHeight="1" x14ac:dyDescent="0.2">
      <c r="M407" s="265"/>
    </row>
    <row r="408" spans="13:13" ht="12" customHeight="1" x14ac:dyDescent="0.2">
      <c r="M408" s="265"/>
    </row>
    <row r="409" spans="13:13" ht="12" customHeight="1" x14ac:dyDescent="0.2">
      <c r="M409" s="265"/>
    </row>
    <row r="410" spans="13:13" ht="12" customHeight="1" x14ac:dyDescent="0.2">
      <c r="M410" s="265"/>
    </row>
    <row r="411" spans="13:13" ht="12" customHeight="1" x14ac:dyDescent="0.2">
      <c r="M411" s="265"/>
    </row>
    <row r="412" spans="13:13" ht="12" customHeight="1" x14ac:dyDescent="0.2">
      <c r="M412" s="265"/>
    </row>
    <row r="413" spans="13:13" ht="12" customHeight="1" x14ac:dyDescent="0.2">
      <c r="M413" s="265"/>
    </row>
    <row r="414" spans="13:13" ht="12" customHeight="1" x14ac:dyDescent="0.2">
      <c r="M414" s="265"/>
    </row>
    <row r="415" spans="13:13" ht="12" customHeight="1" x14ac:dyDescent="0.2">
      <c r="M415" s="265"/>
    </row>
    <row r="416" spans="13:13" ht="12" customHeight="1" x14ac:dyDescent="0.2">
      <c r="M416" s="265"/>
    </row>
    <row r="417" spans="13:13" ht="12" customHeight="1" x14ac:dyDescent="0.2">
      <c r="M417" s="265"/>
    </row>
    <row r="418" spans="13:13" ht="12" customHeight="1" x14ac:dyDescent="0.2">
      <c r="M418" s="265"/>
    </row>
    <row r="419" spans="13:13" ht="12" customHeight="1" x14ac:dyDescent="0.2">
      <c r="M419" s="265"/>
    </row>
    <row r="420" spans="13:13" ht="12" customHeight="1" x14ac:dyDescent="0.2">
      <c r="M420" s="265"/>
    </row>
    <row r="421" spans="13:13" ht="12" customHeight="1" x14ac:dyDescent="0.2">
      <c r="M421" s="265"/>
    </row>
    <row r="422" spans="13:13" ht="12" customHeight="1" x14ac:dyDescent="0.2">
      <c r="M422" s="265"/>
    </row>
    <row r="423" spans="13:13" ht="12" customHeight="1" x14ac:dyDescent="0.2">
      <c r="M423" s="265"/>
    </row>
    <row r="424" spans="13:13" ht="12" customHeight="1" x14ac:dyDescent="0.2">
      <c r="M424" s="265"/>
    </row>
    <row r="425" spans="13:13" ht="12" customHeight="1" x14ac:dyDescent="0.2">
      <c r="M425" s="265"/>
    </row>
    <row r="426" spans="13:13" ht="12" customHeight="1" x14ac:dyDescent="0.2">
      <c r="M426" s="265"/>
    </row>
    <row r="427" spans="13:13" ht="12" customHeight="1" x14ac:dyDescent="0.2">
      <c r="M427" s="265"/>
    </row>
    <row r="428" spans="13:13" ht="12" customHeight="1" x14ac:dyDescent="0.2">
      <c r="M428" s="265"/>
    </row>
    <row r="429" spans="13:13" ht="12" customHeight="1" x14ac:dyDescent="0.2">
      <c r="M429" s="265"/>
    </row>
    <row r="430" spans="13:13" ht="12" customHeight="1" x14ac:dyDescent="0.2">
      <c r="M430" s="265"/>
    </row>
    <row r="431" spans="13:13" ht="12" customHeight="1" x14ac:dyDescent="0.2">
      <c r="M431" s="265"/>
    </row>
    <row r="432" spans="13:13" ht="12" customHeight="1" x14ac:dyDescent="0.2">
      <c r="M432" s="265"/>
    </row>
    <row r="433" spans="13:13" ht="12" customHeight="1" x14ac:dyDescent="0.2">
      <c r="M433" s="265"/>
    </row>
    <row r="434" spans="13:13" ht="12" customHeight="1" x14ac:dyDescent="0.2">
      <c r="M434" s="265"/>
    </row>
    <row r="435" spans="13:13" ht="12" customHeight="1" x14ac:dyDescent="0.2">
      <c r="M435" s="265"/>
    </row>
    <row r="436" spans="13:13" ht="12" customHeight="1" x14ac:dyDescent="0.2">
      <c r="M436" s="265"/>
    </row>
    <row r="437" spans="13:13" ht="12" customHeight="1" x14ac:dyDescent="0.2">
      <c r="M437" s="265"/>
    </row>
    <row r="438" spans="13:13" ht="12" customHeight="1" x14ac:dyDescent="0.2">
      <c r="M438" s="265"/>
    </row>
    <row r="439" spans="13:13" ht="12" customHeight="1" x14ac:dyDescent="0.2">
      <c r="M439" s="265"/>
    </row>
    <row r="440" spans="13:13" ht="12" customHeight="1" x14ac:dyDescent="0.2">
      <c r="M440" s="265"/>
    </row>
    <row r="441" spans="13:13" ht="12" customHeight="1" x14ac:dyDescent="0.2">
      <c r="M441" s="265"/>
    </row>
    <row r="442" spans="13:13" ht="12" customHeight="1" x14ac:dyDescent="0.2">
      <c r="M442" s="265"/>
    </row>
    <row r="443" spans="13:13" ht="12" customHeight="1" x14ac:dyDescent="0.2">
      <c r="M443" s="265"/>
    </row>
    <row r="444" spans="13:13" ht="12" customHeight="1" x14ac:dyDescent="0.2">
      <c r="M444" s="265"/>
    </row>
    <row r="445" spans="13:13" ht="12" customHeight="1" x14ac:dyDescent="0.2">
      <c r="M445" s="265"/>
    </row>
    <row r="446" spans="13:13" ht="12" customHeight="1" x14ac:dyDescent="0.2">
      <c r="M446" s="265"/>
    </row>
    <row r="447" spans="13:13" ht="12" customHeight="1" x14ac:dyDescent="0.2">
      <c r="M447" s="265"/>
    </row>
    <row r="448" spans="13:13" ht="12" customHeight="1" x14ac:dyDescent="0.2">
      <c r="M448" s="265"/>
    </row>
    <row r="449" spans="13:13" ht="12" customHeight="1" x14ac:dyDescent="0.2">
      <c r="M449" s="265"/>
    </row>
    <row r="450" spans="13:13" ht="12" customHeight="1" x14ac:dyDescent="0.2">
      <c r="M450" s="265"/>
    </row>
    <row r="451" spans="13:13" ht="12" customHeight="1" x14ac:dyDescent="0.2">
      <c r="M451" s="265"/>
    </row>
    <row r="452" spans="13:13" ht="12" customHeight="1" x14ac:dyDescent="0.2">
      <c r="M452" s="265"/>
    </row>
    <row r="453" spans="13:13" ht="12" customHeight="1" x14ac:dyDescent="0.2">
      <c r="M453" s="265"/>
    </row>
    <row r="454" spans="13:13" ht="12" customHeight="1" x14ac:dyDescent="0.2">
      <c r="M454" s="265"/>
    </row>
    <row r="455" spans="13:13" ht="12" customHeight="1" x14ac:dyDescent="0.2">
      <c r="M455" s="265"/>
    </row>
    <row r="456" spans="13:13" ht="12" customHeight="1" x14ac:dyDescent="0.2">
      <c r="M456" s="265"/>
    </row>
    <row r="457" spans="13:13" ht="12" customHeight="1" x14ac:dyDescent="0.2">
      <c r="M457" s="265"/>
    </row>
    <row r="458" spans="13:13" ht="12" customHeight="1" x14ac:dyDescent="0.2">
      <c r="M458" s="265"/>
    </row>
    <row r="459" spans="13:13" ht="12" customHeight="1" x14ac:dyDescent="0.2">
      <c r="M459" s="265"/>
    </row>
    <row r="460" spans="13:13" ht="12" customHeight="1" x14ac:dyDescent="0.2">
      <c r="M460" s="265"/>
    </row>
    <row r="461" spans="13:13" ht="12" customHeight="1" x14ac:dyDescent="0.2">
      <c r="M461" s="265"/>
    </row>
    <row r="462" spans="13:13" ht="12" customHeight="1" x14ac:dyDescent="0.2">
      <c r="M462" s="265"/>
    </row>
    <row r="463" spans="13:13" ht="12" customHeight="1" x14ac:dyDescent="0.2">
      <c r="M463" s="265"/>
    </row>
    <row r="464" spans="13:13" ht="12" customHeight="1" x14ac:dyDescent="0.2">
      <c r="M464" s="265"/>
    </row>
    <row r="465" spans="13:13" ht="12" customHeight="1" x14ac:dyDescent="0.2">
      <c r="M465" s="265"/>
    </row>
    <row r="466" spans="13:13" ht="12" customHeight="1" x14ac:dyDescent="0.2">
      <c r="M466" s="265"/>
    </row>
    <row r="467" spans="13:13" ht="12" customHeight="1" x14ac:dyDescent="0.2">
      <c r="M467" s="265"/>
    </row>
    <row r="468" spans="13:13" ht="12" customHeight="1" x14ac:dyDescent="0.2">
      <c r="M468" s="265"/>
    </row>
    <row r="469" spans="13:13" ht="12" customHeight="1" x14ac:dyDescent="0.2">
      <c r="M469" s="265"/>
    </row>
    <row r="470" spans="13:13" ht="12" customHeight="1" x14ac:dyDescent="0.2">
      <c r="M470" s="265"/>
    </row>
    <row r="471" spans="13:13" ht="12" customHeight="1" x14ac:dyDescent="0.2">
      <c r="M471" s="265"/>
    </row>
    <row r="472" spans="13:13" ht="12" customHeight="1" x14ac:dyDescent="0.2">
      <c r="M472" s="265"/>
    </row>
    <row r="473" spans="13:13" ht="12" customHeight="1" x14ac:dyDescent="0.2">
      <c r="M473" s="265"/>
    </row>
    <row r="474" spans="13:13" ht="12" customHeight="1" x14ac:dyDescent="0.2">
      <c r="M474" s="265"/>
    </row>
    <row r="475" spans="13:13" ht="12" customHeight="1" x14ac:dyDescent="0.2">
      <c r="M475" s="265"/>
    </row>
    <row r="476" spans="13:13" ht="12" customHeight="1" x14ac:dyDescent="0.2">
      <c r="M476" s="265"/>
    </row>
    <row r="477" spans="13:13" ht="12" customHeight="1" x14ac:dyDescent="0.2">
      <c r="M477" s="265"/>
    </row>
    <row r="478" spans="13:13" ht="12" customHeight="1" x14ac:dyDescent="0.2">
      <c r="M478" s="265"/>
    </row>
    <row r="479" spans="13:13" ht="12" customHeight="1" x14ac:dyDescent="0.2">
      <c r="M479" s="265"/>
    </row>
    <row r="480" spans="13:13" ht="12" customHeight="1" x14ac:dyDescent="0.2">
      <c r="M480" s="265"/>
    </row>
    <row r="481" spans="13:13" ht="12" customHeight="1" x14ac:dyDescent="0.2">
      <c r="M481" s="265"/>
    </row>
    <row r="482" spans="13:13" ht="12" customHeight="1" x14ac:dyDescent="0.2">
      <c r="M482" s="265"/>
    </row>
    <row r="483" spans="13:13" ht="12" customHeight="1" x14ac:dyDescent="0.2">
      <c r="M483" s="265"/>
    </row>
    <row r="484" spans="13:13" ht="12" customHeight="1" x14ac:dyDescent="0.2">
      <c r="M484" s="265"/>
    </row>
    <row r="485" spans="13:13" ht="12" customHeight="1" x14ac:dyDescent="0.2">
      <c r="M485" s="265"/>
    </row>
    <row r="486" spans="13:13" ht="12" customHeight="1" x14ac:dyDescent="0.2">
      <c r="M486" s="265"/>
    </row>
    <row r="487" spans="13:13" ht="12" customHeight="1" x14ac:dyDescent="0.2">
      <c r="M487" s="265"/>
    </row>
    <row r="488" spans="13:13" ht="12" customHeight="1" x14ac:dyDescent="0.2">
      <c r="M488" s="265"/>
    </row>
    <row r="489" spans="13:13" ht="12" customHeight="1" x14ac:dyDescent="0.2">
      <c r="M489" s="265"/>
    </row>
    <row r="490" spans="13:13" ht="12" customHeight="1" x14ac:dyDescent="0.2">
      <c r="M490" s="265"/>
    </row>
    <row r="491" spans="13:13" ht="12" customHeight="1" x14ac:dyDescent="0.2">
      <c r="M491" s="265"/>
    </row>
    <row r="492" spans="13:13" ht="12" customHeight="1" x14ac:dyDescent="0.2">
      <c r="M492" s="265"/>
    </row>
    <row r="493" spans="13:13" ht="12" customHeight="1" x14ac:dyDescent="0.2">
      <c r="M493" s="265"/>
    </row>
    <row r="494" spans="13:13" ht="12" customHeight="1" x14ac:dyDescent="0.2">
      <c r="M494" s="265"/>
    </row>
    <row r="495" spans="13:13" ht="12" customHeight="1" x14ac:dyDescent="0.2">
      <c r="M495" s="265"/>
    </row>
    <row r="496" spans="13:13" ht="12" customHeight="1" x14ac:dyDescent="0.2">
      <c r="M496" s="265"/>
    </row>
    <row r="497" spans="13:13" ht="12" customHeight="1" x14ac:dyDescent="0.2">
      <c r="M497" s="265"/>
    </row>
    <row r="498" spans="13:13" ht="12" customHeight="1" x14ac:dyDescent="0.2">
      <c r="M498" s="265"/>
    </row>
    <row r="499" spans="13:13" ht="12" customHeight="1" x14ac:dyDescent="0.2">
      <c r="M499" s="265"/>
    </row>
    <row r="500" spans="13:13" ht="12" customHeight="1" x14ac:dyDescent="0.2">
      <c r="M500" s="265"/>
    </row>
    <row r="501" spans="13:13" ht="12" customHeight="1" x14ac:dyDescent="0.2">
      <c r="M501" s="265"/>
    </row>
    <row r="502" spans="13:13" ht="12" customHeight="1" x14ac:dyDescent="0.2">
      <c r="M502" s="265"/>
    </row>
    <row r="503" spans="13:13" ht="12" customHeight="1" x14ac:dyDescent="0.2">
      <c r="M503" s="265"/>
    </row>
    <row r="504" spans="13:13" ht="12" customHeight="1" x14ac:dyDescent="0.2">
      <c r="M504" s="265"/>
    </row>
    <row r="505" spans="13:13" ht="12" customHeight="1" x14ac:dyDescent="0.2">
      <c r="M505" s="265"/>
    </row>
    <row r="506" spans="13:13" ht="12" customHeight="1" x14ac:dyDescent="0.2">
      <c r="M506" s="265"/>
    </row>
    <row r="507" spans="13:13" ht="12" customHeight="1" x14ac:dyDescent="0.2">
      <c r="M507" s="265"/>
    </row>
    <row r="508" spans="13:13" ht="12" customHeight="1" x14ac:dyDescent="0.2">
      <c r="M508" s="265"/>
    </row>
    <row r="509" spans="13:13" ht="12" customHeight="1" x14ac:dyDescent="0.2">
      <c r="M509" s="265"/>
    </row>
    <row r="510" spans="13:13" ht="12" customHeight="1" x14ac:dyDescent="0.2">
      <c r="M510" s="265"/>
    </row>
    <row r="511" spans="13:13" ht="12" customHeight="1" x14ac:dyDescent="0.2">
      <c r="M511" s="265"/>
    </row>
    <row r="512" spans="13:13" ht="12" customHeight="1" x14ac:dyDescent="0.2">
      <c r="M512" s="265"/>
    </row>
    <row r="513" spans="13:13" ht="12" customHeight="1" x14ac:dyDescent="0.2">
      <c r="M513" s="265"/>
    </row>
    <row r="514" spans="13:13" ht="12" customHeight="1" x14ac:dyDescent="0.2">
      <c r="M514" s="265"/>
    </row>
    <row r="515" spans="13:13" ht="12" customHeight="1" x14ac:dyDescent="0.2">
      <c r="M515" s="265"/>
    </row>
    <row r="516" spans="13:13" ht="12" customHeight="1" x14ac:dyDescent="0.2">
      <c r="M516" s="265"/>
    </row>
    <row r="517" spans="13:13" ht="12" customHeight="1" x14ac:dyDescent="0.2">
      <c r="M517" s="265"/>
    </row>
    <row r="518" spans="13:13" ht="12" customHeight="1" x14ac:dyDescent="0.2">
      <c r="M518" s="265"/>
    </row>
    <row r="519" spans="13:13" ht="12" customHeight="1" x14ac:dyDescent="0.2">
      <c r="M519" s="265"/>
    </row>
    <row r="520" spans="13:13" ht="12" customHeight="1" x14ac:dyDescent="0.2">
      <c r="M520" s="265"/>
    </row>
    <row r="521" spans="13:13" ht="12" customHeight="1" x14ac:dyDescent="0.2">
      <c r="M521" s="265"/>
    </row>
    <row r="522" spans="13:13" ht="12" customHeight="1" x14ac:dyDescent="0.2">
      <c r="M522" s="265"/>
    </row>
    <row r="523" spans="13:13" ht="12" customHeight="1" x14ac:dyDescent="0.2">
      <c r="M523" s="265"/>
    </row>
    <row r="524" spans="13:13" ht="12" customHeight="1" x14ac:dyDescent="0.2">
      <c r="M524" s="265"/>
    </row>
    <row r="525" spans="13:13" ht="12" customHeight="1" x14ac:dyDescent="0.2">
      <c r="M525" s="265"/>
    </row>
    <row r="526" spans="13:13" ht="12" customHeight="1" x14ac:dyDescent="0.2">
      <c r="M526" s="265"/>
    </row>
    <row r="527" spans="13:13" ht="12" customHeight="1" x14ac:dyDescent="0.2">
      <c r="M527" s="265"/>
    </row>
    <row r="528" spans="13:13" ht="12" customHeight="1" x14ac:dyDescent="0.2">
      <c r="M528" s="265"/>
    </row>
    <row r="529" spans="13:13" ht="12" customHeight="1" x14ac:dyDescent="0.2">
      <c r="M529" s="265"/>
    </row>
    <row r="530" spans="13:13" ht="12" customHeight="1" x14ac:dyDescent="0.2">
      <c r="M530" s="265"/>
    </row>
    <row r="531" spans="13:13" ht="12" customHeight="1" x14ac:dyDescent="0.2">
      <c r="M531" s="265"/>
    </row>
    <row r="532" spans="13:13" ht="12" customHeight="1" x14ac:dyDescent="0.2">
      <c r="M532" s="265"/>
    </row>
    <row r="533" spans="13:13" ht="12" customHeight="1" x14ac:dyDescent="0.2">
      <c r="M533" s="265"/>
    </row>
    <row r="534" spans="13:13" ht="12" customHeight="1" x14ac:dyDescent="0.2">
      <c r="M534" s="265"/>
    </row>
    <row r="535" spans="13:13" ht="12" customHeight="1" x14ac:dyDescent="0.2">
      <c r="M535" s="265"/>
    </row>
    <row r="536" spans="13:13" ht="12" customHeight="1" x14ac:dyDescent="0.2">
      <c r="M536" s="265"/>
    </row>
    <row r="537" spans="13:13" ht="12" customHeight="1" x14ac:dyDescent="0.2">
      <c r="M537" s="265"/>
    </row>
    <row r="538" spans="13:13" ht="12" customHeight="1" x14ac:dyDescent="0.2">
      <c r="M538" s="265"/>
    </row>
    <row r="539" spans="13:13" ht="12" customHeight="1" x14ac:dyDescent="0.2">
      <c r="M539" s="265"/>
    </row>
    <row r="540" spans="13:13" ht="12" customHeight="1" x14ac:dyDescent="0.2">
      <c r="M540" s="265"/>
    </row>
    <row r="541" spans="13:13" ht="12" customHeight="1" x14ac:dyDescent="0.2">
      <c r="M541" s="265"/>
    </row>
    <row r="542" spans="13:13" ht="12" customHeight="1" x14ac:dyDescent="0.2">
      <c r="M542" s="265"/>
    </row>
    <row r="543" spans="13:13" ht="12" customHeight="1" x14ac:dyDescent="0.2">
      <c r="M543" s="265"/>
    </row>
    <row r="544" spans="13:13" ht="12" customHeight="1" x14ac:dyDescent="0.2">
      <c r="M544" s="265"/>
    </row>
    <row r="545" spans="13:13" ht="12" customHeight="1" x14ac:dyDescent="0.2">
      <c r="M545" s="265"/>
    </row>
    <row r="546" spans="13:13" ht="12" customHeight="1" x14ac:dyDescent="0.2">
      <c r="M546" s="265"/>
    </row>
    <row r="547" spans="13:13" ht="12" customHeight="1" x14ac:dyDescent="0.2">
      <c r="M547" s="265"/>
    </row>
    <row r="548" spans="13:13" ht="12" customHeight="1" x14ac:dyDescent="0.2">
      <c r="M548" s="265"/>
    </row>
    <row r="549" spans="13:13" ht="12" customHeight="1" x14ac:dyDescent="0.2">
      <c r="M549" s="265"/>
    </row>
    <row r="550" spans="13:13" ht="12" customHeight="1" x14ac:dyDescent="0.2">
      <c r="M550" s="265"/>
    </row>
    <row r="551" spans="13:13" ht="12" customHeight="1" x14ac:dyDescent="0.2">
      <c r="M551" s="265"/>
    </row>
    <row r="552" spans="13:13" ht="12" customHeight="1" x14ac:dyDescent="0.2">
      <c r="M552" s="265"/>
    </row>
    <row r="553" spans="13:13" ht="12" customHeight="1" x14ac:dyDescent="0.2">
      <c r="M553" s="265"/>
    </row>
    <row r="554" spans="13:13" ht="12" customHeight="1" x14ac:dyDescent="0.2">
      <c r="M554" s="265"/>
    </row>
    <row r="555" spans="13:13" ht="12" customHeight="1" x14ac:dyDescent="0.2">
      <c r="M555" s="265"/>
    </row>
    <row r="556" spans="13:13" ht="12" customHeight="1" x14ac:dyDescent="0.2">
      <c r="M556" s="265"/>
    </row>
    <row r="557" spans="13:13" ht="12" customHeight="1" x14ac:dyDescent="0.2">
      <c r="M557" s="265"/>
    </row>
    <row r="558" spans="13:13" ht="12" customHeight="1" x14ac:dyDescent="0.2">
      <c r="M558" s="265"/>
    </row>
    <row r="559" spans="13:13" ht="12" customHeight="1" x14ac:dyDescent="0.2">
      <c r="M559" s="265"/>
    </row>
    <row r="560" spans="13:13" ht="12" customHeight="1" x14ac:dyDescent="0.2">
      <c r="M560" s="265"/>
    </row>
    <row r="561" spans="13:13" ht="12" customHeight="1" x14ac:dyDescent="0.2">
      <c r="M561" s="265"/>
    </row>
    <row r="562" spans="13:13" ht="12" customHeight="1" x14ac:dyDescent="0.2">
      <c r="M562" s="265"/>
    </row>
    <row r="563" spans="13:13" ht="12" customHeight="1" x14ac:dyDescent="0.2">
      <c r="M563" s="265"/>
    </row>
    <row r="564" spans="13:13" ht="12" customHeight="1" x14ac:dyDescent="0.2">
      <c r="M564" s="265"/>
    </row>
    <row r="565" spans="13:13" ht="12" customHeight="1" x14ac:dyDescent="0.2">
      <c r="M565" s="265"/>
    </row>
    <row r="566" spans="13:13" ht="12" customHeight="1" x14ac:dyDescent="0.2">
      <c r="M566" s="265"/>
    </row>
    <row r="567" spans="13:13" ht="12" customHeight="1" x14ac:dyDescent="0.2">
      <c r="M567" s="265"/>
    </row>
    <row r="568" spans="13:13" ht="12" customHeight="1" x14ac:dyDescent="0.2">
      <c r="M568" s="265"/>
    </row>
    <row r="569" spans="13:13" ht="12" customHeight="1" x14ac:dyDescent="0.2">
      <c r="M569" s="265"/>
    </row>
    <row r="570" spans="13:13" ht="12" customHeight="1" x14ac:dyDescent="0.2">
      <c r="M570" s="265"/>
    </row>
    <row r="571" spans="13:13" ht="12" customHeight="1" x14ac:dyDescent="0.2">
      <c r="M571" s="265"/>
    </row>
    <row r="572" spans="13:13" ht="12" customHeight="1" x14ac:dyDescent="0.2">
      <c r="M572" s="265"/>
    </row>
    <row r="573" spans="13:13" ht="12" customHeight="1" x14ac:dyDescent="0.2">
      <c r="M573" s="265"/>
    </row>
    <row r="574" spans="13:13" ht="12" customHeight="1" x14ac:dyDescent="0.2">
      <c r="M574" s="265"/>
    </row>
    <row r="575" spans="13:13" ht="12" customHeight="1" x14ac:dyDescent="0.2">
      <c r="M575" s="265"/>
    </row>
    <row r="576" spans="13:13" ht="12" customHeight="1" x14ac:dyDescent="0.2">
      <c r="M576" s="265"/>
    </row>
    <row r="577" spans="13:13" ht="12" customHeight="1" x14ac:dyDescent="0.2">
      <c r="M577" s="265"/>
    </row>
    <row r="578" spans="13:13" ht="12" customHeight="1" x14ac:dyDescent="0.2">
      <c r="M578" s="265"/>
    </row>
    <row r="579" spans="13:13" ht="12" customHeight="1" x14ac:dyDescent="0.2">
      <c r="M579" s="265"/>
    </row>
    <row r="580" spans="13:13" ht="12" customHeight="1" x14ac:dyDescent="0.2">
      <c r="M580" s="265"/>
    </row>
    <row r="581" spans="13:13" ht="12" customHeight="1" x14ac:dyDescent="0.2">
      <c r="M581" s="265"/>
    </row>
    <row r="582" spans="13:13" ht="12" customHeight="1" x14ac:dyDescent="0.2">
      <c r="M582" s="265"/>
    </row>
    <row r="583" spans="13:13" ht="12" customHeight="1" x14ac:dyDescent="0.2">
      <c r="M583" s="265"/>
    </row>
    <row r="584" spans="13:13" ht="12" customHeight="1" x14ac:dyDescent="0.2">
      <c r="M584" s="265"/>
    </row>
    <row r="585" spans="13:13" ht="12" customHeight="1" x14ac:dyDescent="0.2">
      <c r="M585" s="265"/>
    </row>
    <row r="586" spans="13:13" ht="12" customHeight="1" x14ac:dyDescent="0.2">
      <c r="M586" s="265"/>
    </row>
    <row r="587" spans="13:13" ht="12" customHeight="1" x14ac:dyDescent="0.2">
      <c r="M587" s="265"/>
    </row>
    <row r="588" spans="13:13" ht="12" customHeight="1" x14ac:dyDescent="0.2">
      <c r="M588" s="265"/>
    </row>
    <row r="589" spans="13:13" ht="12" customHeight="1" x14ac:dyDescent="0.2">
      <c r="M589" s="265"/>
    </row>
    <row r="590" spans="13:13" ht="12" customHeight="1" x14ac:dyDescent="0.2">
      <c r="M590" s="265"/>
    </row>
    <row r="591" spans="13:13" ht="12" customHeight="1" x14ac:dyDescent="0.2">
      <c r="M591" s="265"/>
    </row>
    <row r="592" spans="13:13" ht="12" customHeight="1" x14ac:dyDescent="0.2">
      <c r="M592" s="265"/>
    </row>
    <row r="593" spans="13:13" ht="12" customHeight="1" x14ac:dyDescent="0.2">
      <c r="M593" s="265"/>
    </row>
    <row r="594" spans="13:13" ht="12" customHeight="1" x14ac:dyDescent="0.2">
      <c r="M594" s="265"/>
    </row>
    <row r="595" spans="13:13" ht="12" customHeight="1" x14ac:dyDescent="0.2">
      <c r="M595" s="265"/>
    </row>
    <row r="596" spans="13:13" ht="12" customHeight="1" x14ac:dyDescent="0.2">
      <c r="M596" s="265"/>
    </row>
    <row r="597" spans="13:13" ht="12" customHeight="1" x14ac:dyDescent="0.2">
      <c r="M597" s="265"/>
    </row>
    <row r="598" spans="13:13" ht="12" customHeight="1" x14ac:dyDescent="0.2">
      <c r="M598" s="265"/>
    </row>
    <row r="599" spans="13:13" ht="12" customHeight="1" x14ac:dyDescent="0.2">
      <c r="M599" s="265"/>
    </row>
    <row r="600" spans="13:13" ht="12" customHeight="1" x14ac:dyDescent="0.2">
      <c r="M600" s="265"/>
    </row>
    <row r="601" spans="13:13" ht="12" customHeight="1" x14ac:dyDescent="0.2">
      <c r="M601" s="265"/>
    </row>
    <row r="602" spans="13:13" ht="12" customHeight="1" x14ac:dyDescent="0.2">
      <c r="M602" s="265"/>
    </row>
    <row r="603" spans="13:13" ht="12" customHeight="1" x14ac:dyDescent="0.2">
      <c r="M603" s="265"/>
    </row>
    <row r="604" spans="13:13" ht="12" customHeight="1" x14ac:dyDescent="0.2">
      <c r="M604" s="265"/>
    </row>
    <row r="605" spans="13:13" ht="12" customHeight="1" x14ac:dyDescent="0.2">
      <c r="M605" s="265"/>
    </row>
    <row r="606" spans="13:13" ht="12" customHeight="1" x14ac:dyDescent="0.2">
      <c r="M606" s="265"/>
    </row>
    <row r="607" spans="13:13" ht="12" customHeight="1" x14ac:dyDescent="0.2">
      <c r="M607" s="265"/>
    </row>
    <row r="608" spans="13:13" ht="12" customHeight="1" x14ac:dyDescent="0.2">
      <c r="M608" s="265"/>
    </row>
    <row r="609" spans="13:13" ht="12" customHeight="1" x14ac:dyDescent="0.2">
      <c r="M609" s="265"/>
    </row>
    <row r="610" spans="13:13" ht="12" customHeight="1" x14ac:dyDescent="0.2">
      <c r="M610" s="265"/>
    </row>
    <row r="611" spans="13:13" ht="12" customHeight="1" x14ac:dyDescent="0.2">
      <c r="M611" s="265"/>
    </row>
    <row r="612" spans="13:13" ht="12" customHeight="1" x14ac:dyDescent="0.2">
      <c r="M612" s="265"/>
    </row>
    <row r="613" spans="13:13" ht="12" customHeight="1" x14ac:dyDescent="0.2">
      <c r="M613" s="265"/>
    </row>
    <row r="614" spans="13:13" ht="12" customHeight="1" x14ac:dyDescent="0.2">
      <c r="M614" s="265"/>
    </row>
    <row r="615" spans="13:13" ht="12" customHeight="1" x14ac:dyDescent="0.2">
      <c r="M615" s="265"/>
    </row>
    <row r="616" spans="13:13" ht="12" customHeight="1" x14ac:dyDescent="0.2">
      <c r="M616" s="265"/>
    </row>
    <row r="617" spans="13:13" ht="12" customHeight="1" x14ac:dyDescent="0.2">
      <c r="M617" s="265"/>
    </row>
    <row r="618" spans="13:13" ht="12" customHeight="1" x14ac:dyDescent="0.2">
      <c r="M618" s="265"/>
    </row>
    <row r="619" spans="13:13" ht="12" customHeight="1" x14ac:dyDescent="0.2">
      <c r="M619" s="265"/>
    </row>
    <row r="620" spans="13:13" ht="12" customHeight="1" x14ac:dyDescent="0.2">
      <c r="M620" s="265"/>
    </row>
    <row r="621" spans="13:13" ht="12" customHeight="1" x14ac:dyDescent="0.2">
      <c r="M621" s="265"/>
    </row>
    <row r="622" spans="13:13" ht="12" customHeight="1" x14ac:dyDescent="0.2">
      <c r="M622" s="265"/>
    </row>
    <row r="623" spans="13:13" ht="12" customHeight="1" x14ac:dyDescent="0.2">
      <c r="M623" s="265"/>
    </row>
    <row r="624" spans="13:13" ht="12" customHeight="1" x14ac:dyDescent="0.2">
      <c r="M624" s="265"/>
    </row>
    <row r="625" spans="13:13" ht="12" customHeight="1" x14ac:dyDescent="0.2">
      <c r="M625" s="265"/>
    </row>
    <row r="626" spans="13:13" ht="12" customHeight="1" x14ac:dyDescent="0.2">
      <c r="M626" s="265"/>
    </row>
    <row r="627" spans="13:13" ht="12" customHeight="1" x14ac:dyDescent="0.2">
      <c r="M627" s="265"/>
    </row>
    <row r="628" spans="13:13" ht="12" customHeight="1" x14ac:dyDescent="0.2">
      <c r="M628" s="265"/>
    </row>
    <row r="629" spans="13:13" ht="12" customHeight="1" x14ac:dyDescent="0.2">
      <c r="M629" s="265"/>
    </row>
    <row r="630" spans="13:13" ht="12" customHeight="1" x14ac:dyDescent="0.2">
      <c r="M630" s="265"/>
    </row>
    <row r="631" spans="13:13" ht="12" customHeight="1" x14ac:dyDescent="0.2">
      <c r="M631" s="265"/>
    </row>
    <row r="632" spans="13:13" ht="12" customHeight="1" x14ac:dyDescent="0.2">
      <c r="M632" s="265"/>
    </row>
    <row r="633" spans="13:13" ht="12" customHeight="1" x14ac:dyDescent="0.2">
      <c r="M633" s="265"/>
    </row>
    <row r="634" spans="13:13" ht="12" customHeight="1" x14ac:dyDescent="0.2">
      <c r="M634" s="265"/>
    </row>
    <row r="635" spans="13:13" ht="12" customHeight="1" x14ac:dyDescent="0.2">
      <c r="M635" s="265"/>
    </row>
    <row r="636" spans="13:13" ht="12" customHeight="1" x14ac:dyDescent="0.2">
      <c r="M636" s="265"/>
    </row>
    <row r="637" spans="13:13" ht="12" customHeight="1" x14ac:dyDescent="0.2">
      <c r="M637" s="265"/>
    </row>
    <row r="638" spans="13:13" ht="12" customHeight="1" x14ac:dyDescent="0.2">
      <c r="M638" s="265"/>
    </row>
    <row r="639" spans="13:13" ht="12" customHeight="1" x14ac:dyDescent="0.2">
      <c r="M639" s="265"/>
    </row>
    <row r="640" spans="13:13" ht="12" customHeight="1" x14ac:dyDescent="0.2">
      <c r="M640" s="265"/>
    </row>
    <row r="641" spans="13:13" ht="12" customHeight="1" x14ac:dyDescent="0.2">
      <c r="M641" s="265"/>
    </row>
    <row r="642" spans="13:13" ht="12" customHeight="1" x14ac:dyDescent="0.2">
      <c r="M642" s="265"/>
    </row>
    <row r="643" spans="13:13" ht="12" customHeight="1" x14ac:dyDescent="0.2">
      <c r="M643" s="265"/>
    </row>
    <row r="644" spans="13:13" ht="12" customHeight="1" x14ac:dyDescent="0.2">
      <c r="M644" s="265"/>
    </row>
    <row r="645" spans="13:13" ht="12" customHeight="1" x14ac:dyDescent="0.2">
      <c r="M645" s="265"/>
    </row>
    <row r="646" spans="13:13" ht="12" customHeight="1" x14ac:dyDescent="0.2">
      <c r="M646" s="265"/>
    </row>
    <row r="647" spans="13:13" ht="12" customHeight="1" x14ac:dyDescent="0.2">
      <c r="M647" s="265"/>
    </row>
    <row r="648" spans="13:13" ht="12" customHeight="1" x14ac:dyDescent="0.2">
      <c r="M648" s="265"/>
    </row>
    <row r="649" spans="13:13" ht="12" customHeight="1" x14ac:dyDescent="0.2">
      <c r="M649" s="265"/>
    </row>
    <row r="650" spans="13:13" ht="12" customHeight="1" x14ac:dyDescent="0.2">
      <c r="M650" s="265"/>
    </row>
    <row r="651" spans="13:13" ht="12" customHeight="1" x14ac:dyDescent="0.2">
      <c r="M651" s="265"/>
    </row>
    <row r="652" spans="13:13" ht="12" customHeight="1" x14ac:dyDescent="0.2">
      <c r="M652" s="265"/>
    </row>
    <row r="653" spans="13:13" ht="12" customHeight="1" x14ac:dyDescent="0.2">
      <c r="M653" s="265"/>
    </row>
    <row r="654" spans="13:13" ht="12" customHeight="1" x14ac:dyDescent="0.2">
      <c r="M654" s="265"/>
    </row>
    <row r="655" spans="13:13" ht="12" customHeight="1" x14ac:dyDescent="0.2">
      <c r="M655" s="265"/>
    </row>
    <row r="656" spans="13:13" ht="12" customHeight="1" x14ac:dyDescent="0.2">
      <c r="M656" s="265"/>
    </row>
    <row r="657" spans="13:13" ht="12" customHeight="1" x14ac:dyDescent="0.2">
      <c r="M657" s="265"/>
    </row>
    <row r="658" spans="13:13" ht="12" customHeight="1" x14ac:dyDescent="0.2">
      <c r="M658" s="265"/>
    </row>
    <row r="659" spans="13:13" ht="12" customHeight="1" x14ac:dyDescent="0.2">
      <c r="M659" s="265"/>
    </row>
    <row r="660" spans="13:13" ht="12" customHeight="1" x14ac:dyDescent="0.2">
      <c r="M660" s="265"/>
    </row>
    <row r="661" spans="13:13" ht="12" customHeight="1" x14ac:dyDescent="0.2">
      <c r="M661" s="265"/>
    </row>
    <row r="662" spans="13:13" ht="12" customHeight="1" x14ac:dyDescent="0.2">
      <c r="M662" s="265"/>
    </row>
    <row r="663" spans="13:13" ht="12" customHeight="1" x14ac:dyDescent="0.2">
      <c r="M663" s="265"/>
    </row>
    <row r="664" spans="13:13" ht="12" customHeight="1" x14ac:dyDescent="0.2">
      <c r="M664" s="265"/>
    </row>
    <row r="665" spans="13:13" ht="12" customHeight="1" x14ac:dyDescent="0.2">
      <c r="M665" s="265"/>
    </row>
    <row r="666" spans="13:13" ht="12" customHeight="1" x14ac:dyDescent="0.2">
      <c r="M666" s="265"/>
    </row>
    <row r="667" spans="13:13" ht="12" customHeight="1" x14ac:dyDescent="0.2">
      <c r="M667" s="265"/>
    </row>
    <row r="668" spans="13:13" ht="12" customHeight="1" x14ac:dyDescent="0.2">
      <c r="M668" s="265"/>
    </row>
    <row r="669" spans="13:13" ht="12" customHeight="1" x14ac:dyDescent="0.2">
      <c r="M669" s="265"/>
    </row>
    <row r="670" spans="13:13" ht="12" customHeight="1" x14ac:dyDescent="0.2">
      <c r="M670" s="265"/>
    </row>
    <row r="671" spans="13:13" ht="12" customHeight="1" x14ac:dyDescent="0.2">
      <c r="M671" s="265"/>
    </row>
    <row r="672" spans="13:13" ht="12" customHeight="1" x14ac:dyDescent="0.2">
      <c r="M672" s="265"/>
    </row>
    <row r="673" spans="13:13" ht="12" customHeight="1" x14ac:dyDescent="0.2">
      <c r="M673" s="265"/>
    </row>
    <row r="674" spans="13:13" ht="12" customHeight="1" x14ac:dyDescent="0.2">
      <c r="M674" s="265"/>
    </row>
    <row r="675" spans="13:13" ht="12" customHeight="1" x14ac:dyDescent="0.2">
      <c r="M675" s="265"/>
    </row>
    <row r="676" spans="13:13" ht="12" customHeight="1" x14ac:dyDescent="0.2">
      <c r="M676" s="265"/>
    </row>
    <row r="677" spans="13:13" ht="12" customHeight="1" x14ac:dyDescent="0.2">
      <c r="M677" s="265"/>
    </row>
    <row r="678" spans="13:13" ht="12" customHeight="1" x14ac:dyDescent="0.2">
      <c r="M678" s="265"/>
    </row>
    <row r="679" spans="13:13" ht="12" customHeight="1" x14ac:dyDescent="0.2">
      <c r="M679" s="265"/>
    </row>
    <row r="680" spans="13:13" ht="12" customHeight="1" x14ac:dyDescent="0.2">
      <c r="M680" s="265"/>
    </row>
    <row r="681" spans="13:13" ht="12" customHeight="1" x14ac:dyDescent="0.2">
      <c r="M681" s="265"/>
    </row>
    <row r="682" spans="13:13" ht="12" customHeight="1" x14ac:dyDescent="0.2">
      <c r="M682" s="265"/>
    </row>
    <row r="683" spans="13:13" ht="12" customHeight="1" x14ac:dyDescent="0.2">
      <c r="M683" s="265"/>
    </row>
    <row r="684" spans="13:13" ht="12" customHeight="1" x14ac:dyDescent="0.2">
      <c r="M684" s="265"/>
    </row>
    <row r="685" spans="13:13" ht="12" customHeight="1" x14ac:dyDescent="0.2">
      <c r="M685" s="265"/>
    </row>
    <row r="686" spans="13:13" ht="12" customHeight="1" x14ac:dyDescent="0.2">
      <c r="M686" s="265"/>
    </row>
    <row r="687" spans="13:13" ht="12" customHeight="1" x14ac:dyDescent="0.2">
      <c r="M687" s="265"/>
    </row>
    <row r="688" spans="13:13" ht="12" customHeight="1" x14ac:dyDescent="0.2">
      <c r="M688" s="265"/>
    </row>
    <row r="689" spans="13:13" ht="12" customHeight="1" x14ac:dyDescent="0.2">
      <c r="M689" s="265"/>
    </row>
    <row r="690" spans="13:13" ht="12" customHeight="1" x14ac:dyDescent="0.2">
      <c r="M690" s="265"/>
    </row>
    <row r="691" spans="13:13" ht="12" customHeight="1" x14ac:dyDescent="0.2">
      <c r="M691" s="265"/>
    </row>
    <row r="692" spans="13:13" ht="12" customHeight="1" x14ac:dyDescent="0.2">
      <c r="M692" s="265"/>
    </row>
    <row r="693" spans="13:13" ht="12" customHeight="1" x14ac:dyDescent="0.2">
      <c r="M693" s="265"/>
    </row>
    <row r="694" spans="13:13" ht="12" customHeight="1" x14ac:dyDescent="0.2">
      <c r="M694" s="265"/>
    </row>
    <row r="695" spans="13:13" ht="12" customHeight="1" x14ac:dyDescent="0.2">
      <c r="M695" s="265"/>
    </row>
    <row r="696" spans="13:13" ht="12" customHeight="1" x14ac:dyDescent="0.2">
      <c r="M696" s="265"/>
    </row>
    <row r="697" spans="13:13" ht="12" customHeight="1" x14ac:dyDescent="0.2">
      <c r="M697" s="265"/>
    </row>
    <row r="698" spans="13:13" ht="12" customHeight="1" x14ac:dyDescent="0.2">
      <c r="M698" s="265"/>
    </row>
    <row r="699" spans="13:13" ht="12" customHeight="1" x14ac:dyDescent="0.2">
      <c r="M699" s="265"/>
    </row>
    <row r="700" spans="13:13" ht="12" customHeight="1" x14ac:dyDescent="0.2">
      <c r="M700" s="265"/>
    </row>
    <row r="701" spans="13:13" ht="12" customHeight="1" x14ac:dyDescent="0.2">
      <c r="M701" s="265"/>
    </row>
    <row r="702" spans="13:13" ht="12" customHeight="1" x14ac:dyDescent="0.2">
      <c r="M702" s="265"/>
    </row>
    <row r="703" spans="13:13" ht="12" customHeight="1" x14ac:dyDescent="0.2">
      <c r="M703" s="265"/>
    </row>
    <row r="704" spans="13:13" ht="12" customHeight="1" x14ac:dyDescent="0.2">
      <c r="M704" s="265"/>
    </row>
    <row r="705" spans="13:13" ht="12" customHeight="1" x14ac:dyDescent="0.2">
      <c r="M705" s="265"/>
    </row>
    <row r="706" spans="13:13" ht="12" customHeight="1" x14ac:dyDescent="0.2">
      <c r="M706" s="265"/>
    </row>
    <row r="707" spans="13:13" ht="12" customHeight="1" x14ac:dyDescent="0.2">
      <c r="M707" s="265"/>
    </row>
    <row r="708" spans="13:13" ht="12" customHeight="1" x14ac:dyDescent="0.2">
      <c r="M708" s="265"/>
    </row>
    <row r="709" spans="13:13" ht="12" customHeight="1" x14ac:dyDescent="0.2">
      <c r="M709" s="265"/>
    </row>
    <row r="710" spans="13:13" ht="12" customHeight="1" x14ac:dyDescent="0.2">
      <c r="M710" s="265"/>
    </row>
    <row r="711" spans="13:13" ht="12" customHeight="1" x14ac:dyDescent="0.2">
      <c r="M711" s="265"/>
    </row>
    <row r="712" spans="13:13" ht="12" customHeight="1" x14ac:dyDescent="0.2">
      <c r="M712" s="265"/>
    </row>
    <row r="713" spans="13:13" ht="12" customHeight="1" x14ac:dyDescent="0.2">
      <c r="M713" s="265"/>
    </row>
    <row r="714" spans="13:13" ht="12" customHeight="1" x14ac:dyDescent="0.2">
      <c r="M714" s="265"/>
    </row>
    <row r="715" spans="13:13" ht="12" customHeight="1" x14ac:dyDescent="0.2">
      <c r="M715" s="265"/>
    </row>
    <row r="716" spans="13:13" ht="12" customHeight="1" x14ac:dyDescent="0.2">
      <c r="M716" s="265"/>
    </row>
    <row r="717" spans="13:13" ht="12" customHeight="1" x14ac:dyDescent="0.2">
      <c r="M717" s="265"/>
    </row>
    <row r="718" spans="13:13" ht="12" customHeight="1" x14ac:dyDescent="0.2">
      <c r="M718" s="265"/>
    </row>
    <row r="719" spans="13:13" ht="12" customHeight="1" x14ac:dyDescent="0.2">
      <c r="M719" s="265"/>
    </row>
    <row r="720" spans="13:13" ht="12" customHeight="1" x14ac:dyDescent="0.2">
      <c r="M720" s="265"/>
    </row>
    <row r="721" spans="13:13" ht="12" customHeight="1" x14ac:dyDescent="0.2">
      <c r="M721" s="265"/>
    </row>
    <row r="722" spans="13:13" ht="12" customHeight="1" x14ac:dyDescent="0.2">
      <c r="M722" s="265"/>
    </row>
    <row r="723" spans="13:13" ht="12" customHeight="1" x14ac:dyDescent="0.2">
      <c r="M723" s="265"/>
    </row>
    <row r="724" spans="13:13" ht="12" customHeight="1" x14ac:dyDescent="0.2">
      <c r="M724" s="265"/>
    </row>
    <row r="725" spans="13:13" ht="12" customHeight="1" x14ac:dyDescent="0.2">
      <c r="M725" s="265"/>
    </row>
    <row r="726" spans="13:13" ht="12" customHeight="1" x14ac:dyDescent="0.2">
      <c r="M726" s="265"/>
    </row>
    <row r="727" spans="13:13" ht="12" customHeight="1" x14ac:dyDescent="0.2">
      <c r="M727" s="265"/>
    </row>
    <row r="728" spans="13:13" ht="12" customHeight="1" x14ac:dyDescent="0.2">
      <c r="M728" s="265"/>
    </row>
    <row r="729" spans="13:13" ht="12" customHeight="1" x14ac:dyDescent="0.2">
      <c r="M729" s="265"/>
    </row>
    <row r="730" spans="13:13" ht="12" customHeight="1" x14ac:dyDescent="0.2">
      <c r="M730" s="265"/>
    </row>
    <row r="731" spans="13:13" ht="12" customHeight="1" x14ac:dyDescent="0.2">
      <c r="M731" s="265"/>
    </row>
    <row r="732" spans="13:13" ht="12" customHeight="1" x14ac:dyDescent="0.2">
      <c r="M732" s="265"/>
    </row>
    <row r="733" spans="13:13" ht="12" customHeight="1" x14ac:dyDescent="0.2">
      <c r="M733" s="265"/>
    </row>
    <row r="734" spans="13:13" ht="12" customHeight="1" x14ac:dyDescent="0.2">
      <c r="M734" s="265"/>
    </row>
    <row r="735" spans="13:13" ht="12" customHeight="1" x14ac:dyDescent="0.2">
      <c r="M735" s="265"/>
    </row>
    <row r="736" spans="13:13" ht="12" customHeight="1" x14ac:dyDescent="0.2">
      <c r="M736" s="265"/>
    </row>
    <row r="737" spans="13:13" ht="12" customHeight="1" x14ac:dyDescent="0.2">
      <c r="M737" s="265"/>
    </row>
    <row r="738" spans="13:13" ht="12" customHeight="1" x14ac:dyDescent="0.2">
      <c r="M738" s="265"/>
    </row>
    <row r="739" spans="13:13" ht="12" customHeight="1" x14ac:dyDescent="0.2">
      <c r="M739" s="265"/>
    </row>
    <row r="740" spans="13:13" ht="12" customHeight="1" x14ac:dyDescent="0.2">
      <c r="M740" s="265"/>
    </row>
    <row r="741" spans="13:13" ht="12" customHeight="1" x14ac:dyDescent="0.2">
      <c r="M741" s="265"/>
    </row>
    <row r="742" spans="13:13" ht="12" customHeight="1" x14ac:dyDescent="0.2">
      <c r="M742" s="265"/>
    </row>
    <row r="743" spans="13:13" ht="12" customHeight="1" x14ac:dyDescent="0.2">
      <c r="M743" s="265"/>
    </row>
    <row r="744" spans="13:13" ht="12" customHeight="1" x14ac:dyDescent="0.2">
      <c r="M744" s="265"/>
    </row>
    <row r="745" spans="13:13" ht="12" customHeight="1" x14ac:dyDescent="0.2">
      <c r="M745" s="265"/>
    </row>
    <row r="746" spans="13:13" ht="12" customHeight="1" x14ac:dyDescent="0.2">
      <c r="M746" s="265"/>
    </row>
    <row r="747" spans="13:13" ht="12" customHeight="1" x14ac:dyDescent="0.2">
      <c r="M747" s="265"/>
    </row>
    <row r="748" spans="13:13" ht="12" customHeight="1" x14ac:dyDescent="0.2">
      <c r="M748" s="265"/>
    </row>
    <row r="749" spans="13:13" ht="12" customHeight="1" x14ac:dyDescent="0.2">
      <c r="M749" s="265"/>
    </row>
    <row r="750" spans="13:13" ht="12" customHeight="1" x14ac:dyDescent="0.2">
      <c r="M750" s="265"/>
    </row>
    <row r="751" spans="13:13" ht="12" customHeight="1" x14ac:dyDescent="0.2">
      <c r="M751" s="265"/>
    </row>
    <row r="752" spans="13:13" ht="12" customHeight="1" x14ac:dyDescent="0.2">
      <c r="M752" s="265"/>
    </row>
    <row r="753" spans="13:13" ht="12" customHeight="1" x14ac:dyDescent="0.2">
      <c r="M753" s="265"/>
    </row>
    <row r="754" spans="13:13" ht="12" customHeight="1" x14ac:dyDescent="0.2">
      <c r="M754" s="265"/>
    </row>
    <row r="755" spans="13:13" ht="12" customHeight="1" x14ac:dyDescent="0.2">
      <c r="M755" s="265"/>
    </row>
    <row r="756" spans="13:13" ht="12" customHeight="1" x14ac:dyDescent="0.2">
      <c r="M756" s="265"/>
    </row>
    <row r="757" spans="13:13" ht="12" customHeight="1" x14ac:dyDescent="0.2">
      <c r="M757" s="265"/>
    </row>
    <row r="758" spans="13:13" ht="12" customHeight="1" x14ac:dyDescent="0.2">
      <c r="M758" s="265"/>
    </row>
    <row r="759" spans="13:13" ht="12" customHeight="1" x14ac:dyDescent="0.2">
      <c r="M759" s="265"/>
    </row>
    <row r="760" spans="13:13" ht="12" customHeight="1" x14ac:dyDescent="0.2">
      <c r="M760" s="265"/>
    </row>
    <row r="761" spans="13:13" ht="12" customHeight="1" x14ac:dyDescent="0.2">
      <c r="M761" s="265"/>
    </row>
    <row r="762" spans="13:13" ht="12" customHeight="1" x14ac:dyDescent="0.2">
      <c r="M762" s="265"/>
    </row>
    <row r="763" spans="13:13" ht="12" customHeight="1" x14ac:dyDescent="0.2">
      <c r="M763" s="265"/>
    </row>
    <row r="764" spans="13:13" ht="12" customHeight="1" x14ac:dyDescent="0.2">
      <c r="M764" s="265"/>
    </row>
    <row r="765" spans="13:13" ht="12" customHeight="1" x14ac:dyDescent="0.2">
      <c r="M765" s="265"/>
    </row>
    <row r="766" spans="13:13" ht="12" customHeight="1" x14ac:dyDescent="0.2">
      <c r="M766" s="265"/>
    </row>
    <row r="767" spans="13:13" ht="12" customHeight="1" x14ac:dyDescent="0.2">
      <c r="M767" s="265"/>
    </row>
    <row r="768" spans="13:13" ht="12" customHeight="1" x14ac:dyDescent="0.2">
      <c r="M768" s="265"/>
    </row>
    <row r="769" spans="13:13" ht="12" customHeight="1" x14ac:dyDescent="0.2">
      <c r="M769" s="265"/>
    </row>
    <row r="770" spans="13:13" ht="12" customHeight="1" x14ac:dyDescent="0.2">
      <c r="M770" s="265"/>
    </row>
    <row r="771" spans="13:13" ht="12" customHeight="1" x14ac:dyDescent="0.2">
      <c r="M771" s="265"/>
    </row>
    <row r="772" spans="13:13" ht="12" customHeight="1" x14ac:dyDescent="0.2">
      <c r="M772" s="265"/>
    </row>
    <row r="773" spans="13:13" ht="12" customHeight="1" x14ac:dyDescent="0.2">
      <c r="M773" s="265"/>
    </row>
    <row r="774" spans="13:13" ht="12" customHeight="1" x14ac:dyDescent="0.2">
      <c r="M774" s="265"/>
    </row>
    <row r="775" spans="13:13" ht="12" customHeight="1" x14ac:dyDescent="0.2">
      <c r="M775" s="265"/>
    </row>
    <row r="776" spans="13:13" ht="12" customHeight="1" x14ac:dyDescent="0.2">
      <c r="M776" s="265"/>
    </row>
    <row r="777" spans="13:13" ht="12" customHeight="1" x14ac:dyDescent="0.2">
      <c r="M777" s="265"/>
    </row>
    <row r="778" spans="13:13" ht="12" customHeight="1" x14ac:dyDescent="0.2">
      <c r="M778" s="265"/>
    </row>
    <row r="779" spans="13:13" ht="12" customHeight="1" x14ac:dyDescent="0.2">
      <c r="M779" s="265"/>
    </row>
    <row r="780" spans="13:13" ht="12" customHeight="1" x14ac:dyDescent="0.2">
      <c r="M780" s="265"/>
    </row>
    <row r="781" spans="13:13" ht="12" customHeight="1" x14ac:dyDescent="0.2">
      <c r="M781" s="265"/>
    </row>
    <row r="782" spans="13:13" ht="12" customHeight="1" x14ac:dyDescent="0.2">
      <c r="M782" s="265"/>
    </row>
    <row r="783" spans="13:13" ht="12" customHeight="1" x14ac:dyDescent="0.2">
      <c r="M783" s="265"/>
    </row>
    <row r="784" spans="13:13" ht="12" customHeight="1" x14ac:dyDescent="0.2">
      <c r="M784" s="265"/>
    </row>
    <row r="785" spans="13:13" ht="12" customHeight="1" x14ac:dyDescent="0.2">
      <c r="M785" s="265"/>
    </row>
    <row r="786" spans="13:13" ht="12" customHeight="1" x14ac:dyDescent="0.2">
      <c r="M786" s="265"/>
    </row>
    <row r="787" spans="13:13" ht="12" customHeight="1" x14ac:dyDescent="0.2">
      <c r="M787" s="265"/>
    </row>
    <row r="788" spans="13:13" ht="12" customHeight="1" x14ac:dyDescent="0.2">
      <c r="M788" s="265"/>
    </row>
    <row r="789" spans="13:13" ht="12" customHeight="1" x14ac:dyDescent="0.2">
      <c r="M789" s="265"/>
    </row>
    <row r="790" spans="13:13" ht="12" customHeight="1" x14ac:dyDescent="0.2">
      <c r="M790" s="265"/>
    </row>
    <row r="791" spans="13:13" ht="12" customHeight="1" x14ac:dyDescent="0.2">
      <c r="M791" s="265"/>
    </row>
    <row r="792" spans="13:13" ht="12" customHeight="1" x14ac:dyDescent="0.2">
      <c r="M792" s="265"/>
    </row>
    <row r="793" spans="13:13" ht="12" customHeight="1" x14ac:dyDescent="0.2">
      <c r="M793" s="265"/>
    </row>
    <row r="794" spans="13:13" ht="12" customHeight="1" x14ac:dyDescent="0.2">
      <c r="M794" s="265"/>
    </row>
    <row r="795" spans="13:13" ht="12" customHeight="1" x14ac:dyDescent="0.2">
      <c r="M795" s="265"/>
    </row>
    <row r="796" spans="13:13" ht="12" customHeight="1" x14ac:dyDescent="0.2">
      <c r="M796" s="265"/>
    </row>
    <row r="797" spans="13:13" ht="12" customHeight="1" x14ac:dyDescent="0.2">
      <c r="M797" s="265"/>
    </row>
    <row r="798" spans="13:13" ht="12" customHeight="1" x14ac:dyDescent="0.2">
      <c r="M798" s="265"/>
    </row>
    <row r="799" spans="13:13" ht="12" customHeight="1" x14ac:dyDescent="0.2">
      <c r="M799" s="265"/>
    </row>
    <row r="800" spans="13:13" ht="12" customHeight="1" x14ac:dyDescent="0.2">
      <c r="M800" s="265"/>
    </row>
    <row r="801" spans="13:13" ht="12" customHeight="1" x14ac:dyDescent="0.2">
      <c r="M801" s="265"/>
    </row>
    <row r="802" spans="13:13" ht="12" customHeight="1" x14ac:dyDescent="0.2">
      <c r="M802" s="265"/>
    </row>
    <row r="803" spans="13:13" ht="12" customHeight="1" x14ac:dyDescent="0.2">
      <c r="M803" s="265"/>
    </row>
    <row r="804" spans="13:13" ht="12" customHeight="1" x14ac:dyDescent="0.2">
      <c r="M804" s="265"/>
    </row>
    <row r="805" spans="13:13" ht="12" customHeight="1" x14ac:dyDescent="0.2">
      <c r="M805" s="265"/>
    </row>
    <row r="806" spans="13:13" ht="12" customHeight="1" x14ac:dyDescent="0.2">
      <c r="M806" s="265"/>
    </row>
    <row r="807" spans="13:13" ht="12" customHeight="1" x14ac:dyDescent="0.2">
      <c r="M807" s="265"/>
    </row>
    <row r="808" spans="13:13" ht="12" customHeight="1" x14ac:dyDescent="0.2">
      <c r="M808" s="265"/>
    </row>
    <row r="809" spans="13:13" ht="12" customHeight="1" x14ac:dyDescent="0.2">
      <c r="M809" s="265"/>
    </row>
    <row r="810" spans="13:13" ht="12" customHeight="1" x14ac:dyDescent="0.2">
      <c r="M810" s="265"/>
    </row>
    <row r="811" spans="13:13" ht="12" customHeight="1" x14ac:dyDescent="0.2">
      <c r="M811" s="265"/>
    </row>
    <row r="812" spans="13:13" ht="12" customHeight="1" x14ac:dyDescent="0.2">
      <c r="M812" s="265"/>
    </row>
    <row r="813" spans="13:13" ht="12" customHeight="1" x14ac:dyDescent="0.2">
      <c r="M813" s="265"/>
    </row>
    <row r="814" spans="13:13" ht="12" customHeight="1" x14ac:dyDescent="0.2">
      <c r="M814" s="265"/>
    </row>
    <row r="815" spans="13:13" ht="12" customHeight="1" x14ac:dyDescent="0.2">
      <c r="M815" s="265"/>
    </row>
    <row r="816" spans="13:13" ht="12" customHeight="1" x14ac:dyDescent="0.2">
      <c r="M816" s="265"/>
    </row>
    <row r="817" spans="13:13" ht="12" customHeight="1" x14ac:dyDescent="0.2">
      <c r="M817" s="265"/>
    </row>
    <row r="818" spans="13:13" ht="12" customHeight="1" x14ac:dyDescent="0.2">
      <c r="M818" s="265"/>
    </row>
    <row r="819" spans="13:13" ht="12" customHeight="1" x14ac:dyDescent="0.2">
      <c r="M819" s="265"/>
    </row>
    <row r="820" spans="13:13" ht="12" customHeight="1" x14ac:dyDescent="0.2">
      <c r="M820" s="265"/>
    </row>
    <row r="821" spans="13:13" ht="12" customHeight="1" x14ac:dyDescent="0.2">
      <c r="M821" s="265"/>
    </row>
    <row r="822" spans="13:13" ht="12" customHeight="1" x14ac:dyDescent="0.2">
      <c r="M822" s="265"/>
    </row>
    <row r="823" spans="13:13" ht="12" customHeight="1" x14ac:dyDescent="0.2">
      <c r="M823" s="265"/>
    </row>
    <row r="824" spans="13:13" ht="12" customHeight="1" x14ac:dyDescent="0.2">
      <c r="M824" s="265"/>
    </row>
    <row r="825" spans="13:13" ht="12" customHeight="1" x14ac:dyDescent="0.2">
      <c r="M825" s="265"/>
    </row>
    <row r="826" spans="13:13" ht="12" customHeight="1" x14ac:dyDescent="0.2">
      <c r="M826" s="265"/>
    </row>
    <row r="827" spans="13:13" ht="12" customHeight="1" x14ac:dyDescent="0.2">
      <c r="M827" s="265"/>
    </row>
    <row r="828" spans="13:13" ht="12" customHeight="1" x14ac:dyDescent="0.2">
      <c r="M828" s="265"/>
    </row>
    <row r="829" spans="13:13" ht="12" customHeight="1" x14ac:dyDescent="0.2">
      <c r="M829" s="265"/>
    </row>
    <row r="830" spans="13:13" ht="12" customHeight="1" x14ac:dyDescent="0.2">
      <c r="M830" s="265"/>
    </row>
    <row r="831" spans="13:13" ht="12" customHeight="1" x14ac:dyDescent="0.2">
      <c r="M831" s="265"/>
    </row>
    <row r="832" spans="13:13" ht="12" customHeight="1" x14ac:dyDescent="0.2">
      <c r="M832" s="265"/>
    </row>
    <row r="833" spans="13:13" ht="12" customHeight="1" x14ac:dyDescent="0.2">
      <c r="M833" s="265"/>
    </row>
    <row r="834" spans="13:13" ht="12" customHeight="1" x14ac:dyDescent="0.2">
      <c r="M834" s="265"/>
    </row>
    <row r="835" spans="13:13" ht="12" customHeight="1" x14ac:dyDescent="0.2">
      <c r="M835" s="265"/>
    </row>
    <row r="836" spans="13:13" ht="12" customHeight="1" x14ac:dyDescent="0.2">
      <c r="M836" s="265"/>
    </row>
    <row r="837" spans="13:13" ht="12" customHeight="1" x14ac:dyDescent="0.2">
      <c r="M837" s="265"/>
    </row>
    <row r="838" spans="13:13" ht="12" customHeight="1" x14ac:dyDescent="0.2">
      <c r="M838" s="265"/>
    </row>
    <row r="839" spans="13:13" ht="12" customHeight="1" x14ac:dyDescent="0.2">
      <c r="M839" s="265"/>
    </row>
    <row r="840" spans="13:13" ht="12" customHeight="1" x14ac:dyDescent="0.2">
      <c r="M840" s="265"/>
    </row>
    <row r="841" spans="13:13" ht="12" customHeight="1" x14ac:dyDescent="0.2">
      <c r="M841" s="265"/>
    </row>
    <row r="842" spans="13:13" ht="12" customHeight="1" x14ac:dyDescent="0.2">
      <c r="M842" s="265"/>
    </row>
    <row r="843" spans="13:13" ht="12" customHeight="1" x14ac:dyDescent="0.2">
      <c r="M843" s="265"/>
    </row>
    <row r="844" spans="13:13" ht="12" customHeight="1" x14ac:dyDescent="0.2">
      <c r="M844" s="265"/>
    </row>
    <row r="845" spans="13:13" ht="12" customHeight="1" x14ac:dyDescent="0.2">
      <c r="M845" s="265"/>
    </row>
    <row r="846" spans="13:13" ht="12" customHeight="1" x14ac:dyDescent="0.2">
      <c r="M846" s="265"/>
    </row>
    <row r="847" spans="13:13" ht="12" customHeight="1" x14ac:dyDescent="0.2">
      <c r="M847" s="265"/>
    </row>
    <row r="848" spans="13:13" ht="12" customHeight="1" x14ac:dyDescent="0.2">
      <c r="M848" s="265"/>
    </row>
    <row r="849" spans="13:13" ht="12" customHeight="1" x14ac:dyDescent="0.2">
      <c r="M849" s="265"/>
    </row>
    <row r="850" spans="13:13" ht="12" customHeight="1" x14ac:dyDescent="0.2">
      <c r="M850" s="265"/>
    </row>
    <row r="851" spans="13:13" ht="12" customHeight="1" x14ac:dyDescent="0.2">
      <c r="M851" s="265"/>
    </row>
    <row r="852" spans="13:13" ht="12" customHeight="1" x14ac:dyDescent="0.2">
      <c r="M852" s="265"/>
    </row>
    <row r="853" spans="13:13" ht="12" customHeight="1" x14ac:dyDescent="0.2">
      <c r="M853" s="265"/>
    </row>
    <row r="854" spans="13:13" ht="12" customHeight="1" x14ac:dyDescent="0.2">
      <c r="M854" s="265"/>
    </row>
    <row r="855" spans="13:13" ht="12" customHeight="1" x14ac:dyDescent="0.2">
      <c r="M855" s="265"/>
    </row>
    <row r="856" spans="13:13" ht="12" customHeight="1" x14ac:dyDescent="0.2">
      <c r="M856" s="265"/>
    </row>
    <row r="857" spans="13:13" ht="12" customHeight="1" x14ac:dyDescent="0.2">
      <c r="M857" s="265"/>
    </row>
    <row r="858" spans="13:13" ht="12" customHeight="1" x14ac:dyDescent="0.2">
      <c r="M858" s="265"/>
    </row>
    <row r="859" spans="13:13" ht="12" customHeight="1" x14ac:dyDescent="0.2">
      <c r="M859" s="265"/>
    </row>
    <row r="860" spans="13:13" ht="12" customHeight="1" x14ac:dyDescent="0.2">
      <c r="M860" s="265"/>
    </row>
    <row r="861" spans="13:13" ht="12" customHeight="1" x14ac:dyDescent="0.2">
      <c r="M861" s="265"/>
    </row>
    <row r="862" spans="13:13" ht="12" customHeight="1" x14ac:dyDescent="0.2">
      <c r="M862" s="265"/>
    </row>
    <row r="863" spans="13:13" ht="12" customHeight="1" x14ac:dyDescent="0.2">
      <c r="M863" s="265"/>
    </row>
    <row r="864" spans="13:13" ht="12" customHeight="1" x14ac:dyDescent="0.2">
      <c r="M864" s="265"/>
    </row>
    <row r="865" spans="13:13" ht="12" customHeight="1" x14ac:dyDescent="0.2">
      <c r="M865" s="265"/>
    </row>
    <row r="866" spans="13:13" ht="12" customHeight="1" x14ac:dyDescent="0.2">
      <c r="M866" s="265"/>
    </row>
    <row r="867" spans="13:13" ht="12" customHeight="1" x14ac:dyDescent="0.2">
      <c r="M867" s="265"/>
    </row>
    <row r="868" spans="13:13" ht="12" customHeight="1" x14ac:dyDescent="0.2">
      <c r="M868" s="265"/>
    </row>
    <row r="869" spans="13:13" ht="12" customHeight="1" x14ac:dyDescent="0.2">
      <c r="M869" s="265"/>
    </row>
    <row r="870" spans="13:13" ht="12" customHeight="1" x14ac:dyDescent="0.2">
      <c r="M870" s="265"/>
    </row>
    <row r="871" spans="13:13" ht="12" customHeight="1" x14ac:dyDescent="0.2">
      <c r="M871" s="265"/>
    </row>
    <row r="872" spans="13:13" ht="12" customHeight="1" x14ac:dyDescent="0.2">
      <c r="M872" s="265"/>
    </row>
    <row r="873" spans="13:13" ht="12" customHeight="1" x14ac:dyDescent="0.2">
      <c r="M873" s="265"/>
    </row>
    <row r="874" spans="13:13" ht="12" customHeight="1" x14ac:dyDescent="0.2">
      <c r="M874" s="265"/>
    </row>
    <row r="875" spans="13:13" ht="12" customHeight="1" x14ac:dyDescent="0.2">
      <c r="M875" s="265"/>
    </row>
    <row r="876" spans="13:13" ht="12" customHeight="1" x14ac:dyDescent="0.2">
      <c r="M876" s="265"/>
    </row>
    <row r="877" spans="13:13" ht="12" customHeight="1" x14ac:dyDescent="0.2">
      <c r="M877" s="265"/>
    </row>
    <row r="878" spans="13:13" ht="12" customHeight="1" x14ac:dyDescent="0.2">
      <c r="M878" s="265"/>
    </row>
    <row r="879" spans="13:13" ht="12" customHeight="1" x14ac:dyDescent="0.2">
      <c r="M879" s="265"/>
    </row>
    <row r="880" spans="13:13" ht="12" customHeight="1" x14ac:dyDescent="0.2">
      <c r="M880" s="265"/>
    </row>
    <row r="881" spans="13:13" ht="12" customHeight="1" x14ac:dyDescent="0.2">
      <c r="M881" s="265"/>
    </row>
    <row r="882" spans="13:13" ht="12" customHeight="1" x14ac:dyDescent="0.2">
      <c r="M882" s="265"/>
    </row>
    <row r="883" spans="13:13" ht="12" customHeight="1" x14ac:dyDescent="0.2">
      <c r="M883" s="265"/>
    </row>
    <row r="884" spans="13:13" ht="12" customHeight="1" x14ac:dyDescent="0.2">
      <c r="M884" s="265"/>
    </row>
    <row r="885" spans="13:13" ht="12" customHeight="1" x14ac:dyDescent="0.2">
      <c r="M885" s="265"/>
    </row>
    <row r="886" spans="13:13" ht="12" customHeight="1" x14ac:dyDescent="0.2">
      <c r="M886" s="265"/>
    </row>
    <row r="887" spans="13:13" ht="12" customHeight="1" x14ac:dyDescent="0.2">
      <c r="M887" s="265"/>
    </row>
    <row r="888" spans="13:13" ht="12" customHeight="1" x14ac:dyDescent="0.2">
      <c r="M888" s="265"/>
    </row>
    <row r="889" spans="13:13" ht="12" customHeight="1" x14ac:dyDescent="0.2">
      <c r="M889" s="265"/>
    </row>
    <row r="890" spans="13:13" ht="12" customHeight="1" x14ac:dyDescent="0.2">
      <c r="M890" s="265"/>
    </row>
    <row r="891" spans="13:13" ht="12" customHeight="1" x14ac:dyDescent="0.2">
      <c r="M891" s="265"/>
    </row>
    <row r="892" spans="13:13" ht="12" customHeight="1" x14ac:dyDescent="0.2">
      <c r="M892" s="265"/>
    </row>
    <row r="893" spans="13:13" ht="12" customHeight="1" x14ac:dyDescent="0.2">
      <c r="M893" s="265"/>
    </row>
    <row r="894" spans="13:13" ht="12" customHeight="1" x14ac:dyDescent="0.2">
      <c r="M894" s="265"/>
    </row>
    <row r="895" spans="13:13" ht="12" customHeight="1" x14ac:dyDescent="0.2">
      <c r="M895" s="265"/>
    </row>
    <row r="896" spans="13:13" ht="12" customHeight="1" x14ac:dyDescent="0.2">
      <c r="M896" s="265"/>
    </row>
    <row r="897" spans="13:13" ht="12" customHeight="1" x14ac:dyDescent="0.2">
      <c r="M897" s="265"/>
    </row>
    <row r="898" spans="13:13" ht="12" customHeight="1" x14ac:dyDescent="0.2">
      <c r="M898" s="265"/>
    </row>
    <row r="899" spans="13:13" ht="12" customHeight="1" x14ac:dyDescent="0.2">
      <c r="M899" s="265"/>
    </row>
    <row r="900" spans="13:13" ht="12" customHeight="1" x14ac:dyDescent="0.2">
      <c r="M900" s="265"/>
    </row>
    <row r="901" spans="13:13" ht="12" customHeight="1" x14ac:dyDescent="0.2">
      <c r="M901" s="265"/>
    </row>
    <row r="902" spans="13:13" ht="12" customHeight="1" x14ac:dyDescent="0.2">
      <c r="M902" s="265"/>
    </row>
    <row r="903" spans="13:13" ht="12" customHeight="1" x14ac:dyDescent="0.2">
      <c r="M903" s="265"/>
    </row>
    <row r="904" spans="13:13" ht="12" customHeight="1" x14ac:dyDescent="0.2">
      <c r="M904" s="265"/>
    </row>
    <row r="905" spans="13:13" ht="12" customHeight="1" x14ac:dyDescent="0.2">
      <c r="M905" s="265"/>
    </row>
    <row r="906" spans="13:13" ht="12" customHeight="1" x14ac:dyDescent="0.2">
      <c r="M906" s="265"/>
    </row>
    <row r="907" spans="13:13" ht="12" customHeight="1" x14ac:dyDescent="0.2">
      <c r="M907" s="265"/>
    </row>
    <row r="908" spans="13:13" ht="12" customHeight="1" x14ac:dyDescent="0.2">
      <c r="M908" s="265"/>
    </row>
    <row r="909" spans="13:13" ht="12" customHeight="1" x14ac:dyDescent="0.2">
      <c r="M909" s="265"/>
    </row>
    <row r="910" spans="13:13" ht="12" customHeight="1" x14ac:dyDescent="0.2">
      <c r="M910" s="265"/>
    </row>
    <row r="911" spans="13:13" ht="12" customHeight="1" x14ac:dyDescent="0.2">
      <c r="M911" s="265"/>
    </row>
    <row r="912" spans="13:13" ht="12" customHeight="1" x14ac:dyDescent="0.2">
      <c r="M912" s="265"/>
    </row>
    <row r="913" spans="13:13" ht="12" customHeight="1" x14ac:dyDescent="0.2">
      <c r="M913" s="265"/>
    </row>
    <row r="914" spans="13:13" ht="12" customHeight="1" x14ac:dyDescent="0.2">
      <c r="M914" s="265"/>
    </row>
    <row r="915" spans="13:13" ht="12" customHeight="1" x14ac:dyDescent="0.2">
      <c r="M915" s="265"/>
    </row>
    <row r="916" spans="13:13" ht="12" customHeight="1" x14ac:dyDescent="0.2">
      <c r="M916" s="265"/>
    </row>
    <row r="917" spans="13:13" ht="12" customHeight="1" x14ac:dyDescent="0.2">
      <c r="M917" s="265"/>
    </row>
    <row r="918" spans="13:13" ht="12" customHeight="1" x14ac:dyDescent="0.2">
      <c r="M918" s="265"/>
    </row>
    <row r="919" spans="13:13" ht="12" customHeight="1" x14ac:dyDescent="0.2">
      <c r="M919" s="265"/>
    </row>
    <row r="920" spans="13:13" ht="12" customHeight="1" x14ac:dyDescent="0.2">
      <c r="M920" s="265"/>
    </row>
    <row r="921" spans="13:13" ht="12" customHeight="1" x14ac:dyDescent="0.2">
      <c r="M921" s="265"/>
    </row>
    <row r="922" spans="13:13" ht="12" customHeight="1" x14ac:dyDescent="0.2">
      <c r="M922" s="265"/>
    </row>
    <row r="923" spans="13:13" ht="12" customHeight="1" x14ac:dyDescent="0.2">
      <c r="M923" s="265"/>
    </row>
    <row r="924" spans="13:13" ht="12" customHeight="1" x14ac:dyDescent="0.2">
      <c r="M924" s="265"/>
    </row>
    <row r="925" spans="13:13" ht="12" customHeight="1" x14ac:dyDescent="0.2">
      <c r="M925" s="265"/>
    </row>
    <row r="926" spans="13:13" ht="12" customHeight="1" x14ac:dyDescent="0.2">
      <c r="M926" s="265"/>
    </row>
    <row r="927" spans="13:13" ht="12" customHeight="1" x14ac:dyDescent="0.2">
      <c r="M927" s="265"/>
    </row>
    <row r="928" spans="13:13" ht="12" customHeight="1" x14ac:dyDescent="0.2">
      <c r="M928" s="265"/>
    </row>
    <row r="929" spans="13:13" ht="12" customHeight="1" x14ac:dyDescent="0.2">
      <c r="M929" s="265"/>
    </row>
    <row r="930" spans="13:13" ht="12" customHeight="1" x14ac:dyDescent="0.2">
      <c r="M930" s="265"/>
    </row>
    <row r="931" spans="13:13" ht="12" customHeight="1" x14ac:dyDescent="0.2">
      <c r="M931" s="265"/>
    </row>
    <row r="932" spans="13:13" ht="12" customHeight="1" x14ac:dyDescent="0.2">
      <c r="M932" s="265"/>
    </row>
    <row r="933" spans="13:13" ht="12" customHeight="1" x14ac:dyDescent="0.2">
      <c r="M933" s="265"/>
    </row>
    <row r="934" spans="13:13" ht="12" customHeight="1" x14ac:dyDescent="0.2">
      <c r="M934" s="265"/>
    </row>
    <row r="935" spans="13:13" ht="12" customHeight="1" x14ac:dyDescent="0.2">
      <c r="M935" s="265"/>
    </row>
    <row r="936" spans="13:13" ht="12" customHeight="1" x14ac:dyDescent="0.2">
      <c r="M936" s="265"/>
    </row>
    <row r="937" spans="13:13" ht="12" customHeight="1" x14ac:dyDescent="0.2">
      <c r="M937" s="265"/>
    </row>
    <row r="938" spans="13:13" ht="12" customHeight="1" x14ac:dyDescent="0.2">
      <c r="M938" s="265"/>
    </row>
    <row r="939" spans="13:13" ht="12" customHeight="1" x14ac:dyDescent="0.2">
      <c r="M939" s="265"/>
    </row>
    <row r="940" spans="13:13" ht="12" customHeight="1" x14ac:dyDescent="0.2">
      <c r="M940" s="265"/>
    </row>
    <row r="941" spans="13:13" ht="12" customHeight="1" x14ac:dyDescent="0.2">
      <c r="M941" s="265"/>
    </row>
    <row r="942" spans="13:13" ht="12" customHeight="1" x14ac:dyDescent="0.2">
      <c r="M942" s="265"/>
    </row>
    <row r="943" spans="13:13" ht="12" customHeight="1" x14ac:dyDescent="0.2">
      <c r="M943" s="265"/>
    </row>
    <row r="944" spans="13:13" ht="12" customHeight="1" x14ac:dyDescent="0.2">
      <c r="M944" s="265"/>
    </row>
    <row r="945" spans="13:13" ht="12" customHeight="1" x14ac:dyDescent="0.2">
      <c r="M945" s="265"/>
    </row>
    <row r="946" spans="13:13" ht="12" customHeight="1" x14ac:dyDescent="0.2">
      <c r="M946" s="265"/>
    </row>
    <row r="947" spans="13:13" ht="12" customHeight="1" x14ac:dyDescent="0.2">
      <c r="M947" s="265"/>
    </row>
    <row r="948" spans="13:13" ht="12" customHeight="1" x14ac:dyDescent="0.2">
      <c r="M948" s="265"/>
    </row>
    <row r="949" spans="13:13" ht="12" customHeight="1" x14ac:dyDescent="0.2">
      <c r="M949" s="265"/>
    </row>
    <row r="950" spans="13:13" ht="12" customHeight="1" x14ac:dyDescent="0.2">
      <c r="M950" s="265"/>
    </row>
    <row r="951" spans="13:13" ht="12" customHeight="1" x14ac:dyDescent="0.2">
      <c r="M951" s="265"/>
    </row>
    <row r="952" spans="13:13" ht="12" customHeight="1" x14ac:dyDescent="0.2">
      <c r="M952" s="265"/>
    </row>
    <row r="953" spans="13:13" ht="12" customHeight="1" x14ac:dyDescent="0.2">
      <c r="M953" s="265"/>
    </row>
    <row r="954" spans="13:13" ht="12" customHeight="1" x14ac:dyDescent="0.2">
      <c r="M954" s="265"/>
    </row>
    <row r="955" spans="13:13" ht="12" customHeight="1" x14ac:dyDescent="0.2">
      <c r="M955" s="265"/>
    </row>
    <row r="956" spans="13:13" ht="12" customHeight="1" x14ac:dyDescent="0.2">
      <c r="M956" s="265"/>
    </row>
    <row r="957" spans="13:13" ht="12" customHeight="1" x14ac:dyDescent="0.2">
      <c r="M957" s="265"/>
    </row>
    <row r="958" spans="13:13" ht="12" customHeight="1" x14ac:dyDescent="0.2">
      <c r="M958" s="265"/>
    </row>
    <row r="959" spans="13:13" ht="12" customHeight="1" x14ac:dyDescent="0.2">
      <c r="M959" s="265"/>
    </row>
    <row r="960" spans="13:13" ht="12" customHeight="1" x14ac:dyDescent="0.2">
      <c r="M960" s="265"/>
    </row>
    <row r="961" spans="13:13" ht="12" customHeight="1" x14ac:dyDescent="0.2">
      <c r="M961" s="265"/>
    </row>
    <row r="962" spans="13:13" ht="12" customHeight="1" x14ac:dyDescent="0.2">
      <c r="M962" s="265"/>
    </row>
    <row r="963" spans="13:13" ht="12" customHeight="1" x14ac:dyDescent="0.2">
      <c r="M963" s="265"/>
    </row>
    <row r="964" spans="13:13" ht="12" customHeight="1" x14ac:dyDescent="0.2">
      <c r="M964" s="265"/>
    </row>
    <row r="965" spans="13:13" ht="12" customHeight="1" x14ac:dyDescent="0.2">
      <c r="M965" s="265"/>
    </row>
    <row r="966" spans="13:13" ht="12" customHeight="1" x14ac:dyDescent="0.2">
      <c r="M966" s="265"/>
    </row>
    <row r="967" spans="13:13" ht="12" customHeight="1" x14ac:dyDescent="0.2">
      <c r="M967" s="265"/>
    </row>
    <row r="968" spans="13:13" ht="12" customHeight="1" x14ac:dyDescent="0.2">
      <c r="M968" s="265"/>
    </row>
    <row r="969" spans="13:13" ht="12" customHeight="1" x14ac:dyDescent="0.2">
      <c r="M969" s="265"/>
    </row>
    <row r="970" spans="13:13" ht="12" customHeight="1" x14ac:dyDescent="0.2">
      <c r="M970" s="265"/>
    </row>
    <row r="971" spans="13:13" ht="12" customHeight="1" x14ac:dyDescent="0.2">
      <c r="M971" s="265"/>
    </row>
    <row r="972" spans="13:13" ht="12" customHeight="1" x14ac:dyDescent="0.2">
      <c r="M972" s="265"/>
    </row>
    <row r="973" spans="13:13" ht="12" customHeight="1" x14ac:dyDescent="0.2">
      <c r="M973" s="265"/>
    </row>
    <row r="974" spans="13:13" ht="12" customHeight="1" x14ac:dyDescent="0.2">
      <c r="M974" s="265"/>
    </row>
    <row r="975" spans="13:13" ht="12" customHeight="1" x14ac:dyDescent="0.2">
      <c r="M975" s="265"/>
    </row>
    <row r="976" spans="13:13" ht="12" customHeight="1" x14ac:dyDescent="0.2">
      <c r="M976" s="265"/>
    </row>
    <row r="977" spans="13:13" ht="12" customHeight="1" x14ac:dyDescent="0.2">
      <c r="M977" s="265"/>
    </row>
    <row r="978" spans="13:13" ht="12" customHeight="1" x14ac:dyDescent="0.2">
      <c r="M978" s="265"/>
    </row>
    <row r="979" spans="13:13" ht="12" customHeight="1" x14ac:dyDescent="0.2">
      <c r="M979" s="265"/>
    </row>
    <row r="980" spans="13:13" ht="12" customHeight="1" x14ac:dyDescent="0.2">
      <c r="M980" s="265"/>
    </row>
    <row r="981" spans="13:13" ht="12" customHeight="1" x14ac:dyDescent="0.2">
      <c r="M981" s="265"/>
    </row>
    <row r="982" spans="13:13" ht="12" customHeight="1" x14ac:dyDescent="0.2">
      <c r="M982" s="265"/>
    </row>
    <row r="983" spans="13:13" ht="12" customHeight="1" x14ac:dyDescent="0.2">
      <c r="M983" s="265"/>
    </row>
    <row r="984" spans="13:13" ht="12" customHeight="1" x14ac:dyDescent="0.2">
      <c r="M984" s="265"/>
    </row>
    <row r="985" spans="13:13" ht="12" customHeight="1" x14ac:dyDescent="0.2">
      <c r="M985" s="265"/>
    </row>
    <row r="986" spans="13:13" ht="12" customHeight="1" x14ac:dyDescent="0.2">
      <c r="M986" s="265"/>
    </row>
    <row r="987" spans="13:13" ht="12" customHeight="1" x14ac:dyDescent="0.2">
      <c r="M987" s="265"/>
    </row>
    <row r="988" spans="13:13" ht="12" customHeight="1" x14ac:dyDescent="0.2">
      <c r="M988" s="265"/>
    </row>
    <row r="989" spans="13:13" ht="12" customHeight="1" x14ac:dyDescent="0.2">
      <c r="M989" s="265"/>
    </row>
    <row r="990" spans="13:13" ht="12" customHeight="1" x14ac:dyDescent="0.2">
      <c r="M990" s="265"/>
    </row>
    <row r="991" spans="13:13" ht="12" customHeight="1" x14ac:dyDescent="0.2">
      <c r="M991" s="265"/>
    </row>
    <row r="992" spans="13:13" ht="12" customHeight="1" x14ac:dyDescent="0.2">
      <c r="M992" s="265"/>
    </row>
    <row r="993" spans="13:13" ht="12" customHeight="1" x14ac:dyDescent="0.2">
      <c r="M993" s="265"/>
    </row>
    <row r="994" spans="13:13" ht="12" customHeight="1" x14ac:dyDescent="0.2">
      <c r="M994" s="265"/>
    </row>
    <row r="995" spans="13:13" ht="12" customHeight="1" x14ac:dyDescent="0.2">
      <c r="M995" s="265"/>
    </row>
    <row r="996" spans="13:13" ht="12" customHeight="1" x14ac:dyDescent="0.2">
      <c r="M996" s="265"/>
    </row>
    <row r="997" spans="13:13" ht="12" customHeight="1" x14ac:dyDescent="0.2">
      <c r="M997" s="265"/>
    </row>
    <row r="998" spans="13:13" ht="12" customHeight="1" x14ac:dyDescent="0.2">
      <c r="M998" s="265"/>
    </row>
    <row r="999" spans="13:13" ht="12" customHeight="1" x14ac:dyDescent="0.2">
      <c r="M999" s="265"/>
    </row>
    <row r="1000" spans="13:13" ht="12" customHeight="1" x14ac:dyDescent="0.2">
      <c r="M1000" s="265"/>
    </row>
    <row r="1001" spans="13:13" ht="12" customHeight="1" x14ac:dyDescent="0.2">
      <c r="M1001" s="265"/>
    </row>
    <row r="1002" spans="13:13" ht="12" customHeight="1" x14ac:dyDescent="0.2">
      <c r="M1002" s="265"/>
    </row>
    <row r="1003" spans="13:13" ht="12" customHeight="1" x14ac:dyDescent="0.2">
      <c r="M1003" s="265"/>
    </row>
    <row r="1004" spans="13:13" ht="12" customHeight="1" x14ac:dyDescent="0.2">
      <c r="M1004" s="265"/>
    </row>
    <row r="1005" spans="13:13" ht="12" customHeight="1" x14ac:dyDescent="0.2">
      <c r="M1005" s="265"/>
    </row>
    <row r="1006" spans="13:13" ht="12" customHeight="1" x14ac:dyDescent="0.2">
      <c r="M1006" s="265"/>
    </row>
    <row r="1007" spans="13:13" ht="12" customHeight="1" x14ac:dyDescent="0.2">
      <c r="M1007" s="265"/>
    </row>
    <row r="1008" spans="13:13" ht="12" customHeight="1" x14ac:dyDescent="0.2">
      <c r="M1008" s="265"/>
    </row>
    <row r="1009" spans="13:13" ht="12" customHeight="1" x14ac:dyDescent="0.2">
      <c r="M1009" s="265"/>
    </row>
    <row r="1010" spans="13:13" ht="12" customHeight="1" x14ac:dyDescent="0.2">
      <c r="M1010" s="265"/>
    </row>
    <row r="1011" spans="13:13" ht="12" customHeight="1" x14ac:dyDescent="0.2">
      <c r="M1011" s="265"/>
    </row>
    <row r="1012" spans="13:13" ht="12" customHeight="1" x14ac:dyDescent="0.2">
      <c r="M1012" s="265"/>
    </row>
    <row r="1013" spans="13:13" ht="12" customHeight="1" x14ac:dyDescent="0.2">
      <c r="M1013" s="265"/>
    </row>
    <row r="1014" spans="13:13" ht="12" customHeight="1" x14ac:dyDescent="0.2">
      <c r="M1014" s="265"/>
    </row>
    <row r="1015" spans="13:13" ht="12" customHeight="1" x14ac:dyDescent="0.2">
      <c r="M1015" s="265"/>
    </row>
    <row r="1016" spans="13:13" ht="12" customHeight="1" x14ac:dyDescent="0.2">
      <c r="M1016" s="265"/>
    </row>
    <row r="1017" spans="13:13" ht="12" customHeight="1" x14ac:dyDescent="0.2">
      <c r="M1017" s="265"/>
    </row>
    <row r="1018" spans="13:13" ht="12" customHeight="1" x14ac:dyDescent="0.2">
      <c r="M1018" s="265"/>
    </row>
    <row r="1019" spans="13:13" ht="12" customHeight="1" x14ac:dyDescent="0.2">
      <c r="M1019" s="265"/>
    </row>
    <row r="1020" spans="13:13" ht="12" customHeight="1" x14ac:dyDescent="0.2">
      <c r="M1020" s="265"/>
    </row>
    <row r="1021" spans="13:13" ht="12" customHeight="1" x14ac:dyDescent="0.2">
      <c r="M1021" s="265"/>
    </row>
    <row r="1022" spans="13:13" ht="12" customHeight="1" x14ac:dyDescent="0.2">
      <c r="M1022" s="265"/>
    </row>
    <row r="1023" spans="13:13" ht="12" customHeight="1" x14ac:dyDescent="0.2">
      <c r="M1023" s="265"/>
    </row>
    <row r="1024" spans="13:13" ht="12" customHeight="1" x14ac:dyDescent="0.2">
      <c r="M1024" s="265"/>
    </row>
    <row r="1025" spans="13:13" ht="12" customHeight="1" x14ac:dyDescent="0.2">
      <c r="M1025" s="265"/>
    </row>
    <row r="1026" spans="13:13" ht="12" customHeight="1" x14ac:dyDescent="0.2">
      <c r="M1026" s="265"/>
    </row>
    <row r="1027" spans="13:13" ht="12" customHeight="1" x14ac:dyDescent="0.2">
      <c r="M1027" s="265"/>
    </row>
    <row r="1028" spans="13:13" ht="12" customHeight="1" x14ac:dyDescent="0.2">
      <c r="M1028" s="265"/>
    </row>
    <row r="1029" spans="13:13" ht="12" customHeight="1" x14ac:dyDescent="0.2">
      <c r="M1029" s="265"/>
    </row>
    <row r="1030" spans="13:13" ht="12" customHeight="1" x14ac:dyDescent="0.2">
      <c r="M1030" s="265"/>
    </row>
    <row r="1031" spans="13:13" ht="12" customHeight="1" x14ac:dyDescent="0.2">
      <c r="M1031" s="265"/>
    </row>
    <row r="1032" spans="13:13" ht="12" customHeight="1" x14ac:dyDescent="0.2">
      <c r="M1032" s="265"/>
    </row>
    <row r="1033" spans="13:13" ht="12" customHeight="1" x14ac:dyDescent="0.2">
      <c r="M1033" s="265"/>
    </row>
    <row r="1034" spans="13:13" ht="12" customHeight="1" x14ac:dyDescent="0.2">
      <c r="M1034" s="265"/>
    </row>
    <row r="1035" spans="13:13" ht="12" customHeight="1" x14ac:dyDescent="0.2">
      <c r="M1035" s="265"/>
    </row>
    <row r="1036" spans="13:13" ht="12" customHeight="1" x14ac:dyDescent="0.2">
      <c r="M1036" s="265"/>
    </row>
    <row r="1037" spans="13:13" ht="12" customHeight="1" x14ac:dyDescent="0.2">
      <c r="M1037" s="265"/>
    </row>
    <row r="1038" spans="13:13" ht="12" customHeight="1" x14ac:dyDescent="0.2">
      <c r="M1038" s="265"/>
    </row>
    <row r="1039" spans="13:13" ht="12" customHeight="1" x14ac:dyDescent="0.2">
      <c r="M1039" s="265"/>
    </row>
    <row r="1040" spans="13:13" ht="12" customHeight="1" x14ac:dyDescent="0.2">
      <c r="M1040" s="265"/>
    </row>
    <row r="1041" spans="13:13" ht="12" customHeight="1" x14ac:dyDescent="0.2">
      <c r="M1041" s="265"/>
    </row>
    <row r="1042" spans="13:13" ht="12" customHeight="1" x14ac:dyDescent="0.2">
      <c r="M1042" s="265"/>
    </row>
    <row r="1043" spans="13:13" ht="12" customHeight="1" x14ac:dyDescent="0.2">
      <c r="M1043" s="265"/>
    </row>
    <row r="1044" spans="13:13" ht="12" customHeight="1" x14ac:dyDescent="0.2">
      <c r="M1044" s="265"/>
    </row>
    <row r="1045" spans="13:13" ht="12" customHeight="1" x14ac:dyDescent="0.2">
      <c r="M1045" s="265"/>
    </row>
    <row r="1046" spans="13:13" ht="12" customHeight="1" x14ac:dyDescent="0.2">
      <c r="M1046" s="265"/>
    </row>
    <row r="1047" spans="13:13" ht="12" customHeight="1" x14ac:dyDescent="0.2">
      <c r="M1047" s="265"/>
    </row>
    <row r="1048" spans="13:13" ht="12" customHeight="1" x14ac:dyDescent="0.2">
      <c r="M1048" s="265"/>
    </row>
    <row r="1049" spans="13:13" ht="12" customHeight="1" x14ac:dyDescent="0.2">
      <c r="M1049" s="265"/>
    </row>
    <row r="1050" spans="13:13" ht="12" customHeight="1" x14ac:dyDescent="0.2">
      <c r="M1050" s="265"/>
    </row>
    <row r="1051" spans="13:13" ht="12" customHeight="1" x14ac:dyDescent="0.2">
      <c r="M1051" s="265"/>
    </row>
    <row r="1052" spans="13:13" ht="12" customHeight="1" x14ac:dyDescent="0.2">
      <c r="M1052" s="265"/>
    </row>
    <row r="1053" spans="13:13" ht="12" customHeight="1" x14ac:dyDescent="0.2">
      <c r="M1053" s="265"/>
    </row>
    <row r="1054" spans="13:13" ht="12" customHeight="1" x14ac:dyDescent="0.2">
      <c r="M1054" s="265"/>
    </row>
    <row r="1055" spans="13:13" ht="12" customHeight="1" x14ac:dyDescent="0.2">
      <c r="M1055" s="265"/>
    </row>
    <row r="1056" spans="13:13" ht="12" customHeight="1" x14ac:dyDescent="0.2">
      <c r="M1056" s="265"/>
    </row>
    <row r="1057" spans="13:13" ht="12" customHeight="1" x14ac:dyDescent="0.2">
      <c r="M1057" s="265"/>
    </row>
    <row r="1058" spans="13:13" ht="12" customHeight="1" x14ac:dyDescent="0.2">
      <c r="M1058" s="265"/>
    </row>
    <row r="1059" spans="13:13" ht="12" customHeight="1" x14ac:dyDescent="0.2">
      <c r="M1059" s="265"/>
    </row>
    <row r="1060" spans="13:13" ht="12" customHeight="1" x14ac:dyDescent="0.2">
      <c r="M1060" s="265"/>
    </row>
    <row r="1061" spans="13:13" ht="12" customHeight="1" x14ac:dyDescent="0.2">
      <c r="M1061" s="265"/>
    </row>
    <row r="1062" spans="13:13" ht="12" customHeight="1" x14ac:dyDescent="0.2">
      <c r="M1062" s="265"/>
    </row>
    <row r="1063" spans="13:13" ht="12" customHeight="1" x14ac:dyDescent="0.2">
      <c r="M1063" s="265"/>
    </row>
    <row r="1064" spans="13:13" ht="12" customHeight="1" x14ac:dyDescent="0.2">
      <c r="M1064" s="265"/>
    </row>
    <row r="1065" spans="13:13" ht="12" customHeight="1" x14ac:dyDescent="0.2">
      <c r="M1065" s="265"/>
    </row>
    <row r="1066" spans="13:13" ht="12" customHeight="1" x14ac:dyDescent="0.2">
      <c r="M1066" s="265"/>
    </row>
    <row r="1067" spans="13:13" ht="12" customHeight="1" x14ac:dyDescent="0.2">
      <c r="M1067" s="265"/>
    </row>
    <row r="1068" spans="13:13" ht="12" customHeight="1" x14ac:dyDescent="0.2">
      <c r="M1068" s="265"/>
    </row>
    <row r="1069" spans="13:13" ht="12" customHeight="1" x14ac:dyDescent="0.2">
      <c r="M1069" s="265"/>
    </row>
    <row r="1070" spans="13:13" ht="12" customHeight="1" x14ac:dyDescent="0.2">
      <c r="M1070" s="265"/>
    </row>
    <row r="1071" spans="13:13" ht="12" customHeight="1" x14ac:dyDescent="0.2">
      <c r="M1071" s="265"/>
    </row>
    <row r="1072" spans="13:13" ht="12" customHeight="1" x14ac:dyDescent="0.2">
      <c r="M1072" s="265"/>
    </row>
    <row r="1073" spans="13:13" ht="12" customHeight="1" x14ac:dyDescent="0.2">
      <c r="M1073" s="265"/>
    </row>
    <row r="1074" spans="13:13" ht="12" customHeight="1" x14ac:dyDescent="0.2">
      <c r="M1074" s="265"/>
    </row>
    <row r="1075" spans="13:13" ht="12" customHeight="1" x14ac:dyDescent="0.2">
      <c r="M1075" s="265"/>
    </row>
    <row r="1076" spans="13:13" ht="12" customHeight="1" x14ac:dyDescent="0.2">
      <c r="M1076" s="265"/>
    </row>
    <row r="1077" spans="13:13" ht="12" customHeight="1" x14ac:dyDescent="0.2">
      <c r="M1077" s="265"/>
    </row>
    <row r="1078" spans="13:13" ht="12" customHeight="1" x14ac:dyDescent="0.2">
      <c r="M1078" s="265"/>
    </row>
    <row r="1079" spans="13:13" ht="12" customHeight="1" x14ac:dyDescent="0.2">
      <c r="M1079" s="265"/>
    </row>
    <row r="1080" spans="13:13" ht="12" customHeight="1" x14ac:dyDescent="0.2">
      <c r="M1080" s="265"/>
    </row>
    <row r="1081" spans="13:13" ht="12" customHeight="1" x14ac:dyDescent="0.2">
      <c r="M1081" s="265"/>
    </row>
    <row r="1082" spans="13:13" ht="12" customHeight="1" x14ac:dyDescent="0.2">
      <c r="M1082" s="265"/>
    </row>
    <row r="1083" spans="13:13" ht="12" customHeight="1" x14ac:dyDescent="0.2">
      <c r="M1083" s="265"/>
    </row>
    <row r="1084" spans="13:13" ht="12" customHeight="1" x14ac:dyDescent="0.2">
      <c r="M1084" s="265"/>
    </row>
    <row r="1085" spans="13:13" ht="12" customHeight="1" x14ac:dyDescent="0.2">
      <c r="M1085" s="265"/>
    </row>
    <row r="1086" spans="13:13" ht="12" customHeight="1" x14ac:dyDescent="0.2">
      <c r="M1086" s="265"/>
    </row>
    <row r="1087" spans="13:13" ht="12" customHeight="1" x14ac:dyDescent="0.2">
      <c r="M1087" s="265"/>
    </row>
    <row r="1088" spans="13:13" ht="12" customHeight="1" x14ac:dyDescent="0.2">
      <c r="M1088" s="265"/>
    </row>
    <row r="1089" spans="13:13" ht="12" customHeight="1" x14ac:dyDescent="0.2">
      <c r="M1089" s="265"/>
    </row>
    <row r="1090" spans="13:13" ht="12" customHeight="1" x14ac:dyDescent="0.2">
      <c r="M1090" s="265"/>
    </row>
    <row r="1091" spans="13:13" ht="12" customHeight="1" x14ac:dyDescent="0.2">
      <c r="M1091" s="265"/>
    </row>
    <row r="1092" spans="13:13" ht="12" customHeight="1" x14ac:dyDescent="0.2">
      <c r="M1092" s="265"/>
    </row>
    <row r="1093" spans="13:13" ht="12" customHeight="1" x14ac:dyDescent="0.2">
      <c r="M1093" s="265"/>
    </row>
    <row r="1094" spans="13:13" ht="12" customHeight="1" x14ac:dyDescent="0.2">
      <c r="M1094" s="265"/>
    </row>
    <row r="1095" spans="13:13" ht="12" customHeight="1" x14ac:dyDescent="0.2">
      <c r="M1095" s="265"/>
    </row>
    <row r="1096" spans="13:13" ht="12" customHeight="1" x14ac:dyDescent="0.2">
      <c r="M1096" s="265"/>
    </row>
    <row r="1097" spans="13:13" ht="12" customHeight="1" x14ac:dyDescent="0.2">
      <c r="M1097" s="265"/>
    </row>
    <row r="1098" spans="13:13" ht="12" customHeight="1" x14ac:dyDescent="0.2">
      <c r="M1098" s="265"/>
    </row>
    <row r="1099" spans="13:13" ht="12" customHeight="1" x14ac:dyDescent="0.2">
      <c r="M1099" s="265"/>
    </row>
    <row r="1100" spans="13:13" ht="12" customHeight="1" x14ac:dyDescent="0.2">
      <c r="M1100" s="265"/>
    </row>
    <row r="1101" spans="13:13" ht="12" customHeight="1" x14ac:dyDescent="0.2">
      <c r="M1101" s="265"/>
    </row>
    <row r="1102" spans="13:13" ht="12" customHeight="1" x14ac:dyDescent="0.2">
      <c r="M1102" s="265"/>
    </row>
    <row r="1103" spans="13:13" ht="12" customHeight="1" x14ac:dyDescent="0.2">
      <c r="M1103" s="265"/>
    </row>
    <row r="1104" spans="13:13" ht="12" customHeight="1" x14ac:dyDescent="0.2">
      <c r="M1104" s="265"/>
    </row>
    <row r="1105" spans="13:13" ht="12" customHeight="1" x14ac:dyDescent="0.2">
      <c r="M1105" s="265"/>
    </row>
    <row r="1106" spans="13:13" ht="12" customHeight="1" x14ac:dyDescent="0.2">
      <c r="M1106" s="265"/>
    </row>
    <row r="1107" spans="13:13" ht="12" customHeight="1" x14ac:dyDescent="0.2">
      <c r="M1107" s="265"/>
    </row>
    <row r="1108" spans="13:13" ht="12" customHeight="1" x14ac:dyDescent="0.2">
      <c r="M1108" s="265"/>
    </row>
    <row r="1109" spans="13:13" ht="12" customHeight="1" x14ac:dyDescent="0.2">
      <c r="M1109" s="265"/>
    </row>
    <row r="1110" spans="13:13" ht="12" customHeight="1" x14ac:dyDescent="0.2">
      <c r="M1110" s="265"/>
    </row>
    <row r="1111" spans="13:13" ht="12" customHeight="1" x14ac:dyDescent="0.2">
      <c r="M1111" s="265"/>
    </row>
    <row r="1112" spans="13:13" ht="12" customHeight="1" x14ac:dyDescent="0.2">
      <c r="M1112" s="265"/>
    </row>
    <row r="1113" spans="13:13" ht="12" customHeight="1" x14ac:dyDescent="0.2">
      <c r="M1113" s="265"/>
    </row>
    <row r="1114" spans="13:13" ht="12" customHeight="1" x14ac:dyDescent="0.2">
      <c r="M1114" s="265"/>
    </row>
    <row r="1115" spans="13:13" ht="12" customHeight="1" x14ac:dyDescent="0.2">
      <c r="M1115" s="265"/>
    </row>
    <row r="1116" spans="13:13" ht="12" customHeight="1" x14ac:dyDescent="0.2">
      <c r="M1116" s="265"/>
    </row>
    <row r="1117" spans="13:13" ht="12" customHeight="1" x14ac:dyDescent="0.2">
      <c r="M1117" s="265"/>
    </row>
    <row r="1118" spans="13:13" ht="12" customHeight="1" x14ac:dyDescent="0.2">
      <c r="M1118" s="265"/>
    </row>
    <row r="1119" spans="13:13" ht="12" customHeight="1" x14ac:dyDescent="0.2">
      <c r="M1119" s="265"/>
    </row>
    <row r="1120" spans="13:13" ht="12" customHeight="1" x14ac:dyDescent="0.2">
      <c r="M1120" s="265"/>
    </row>
    <row r="1121" spans="13:13" ht="12" customHeight="1" x14ac:dyDescent="0.2">
      <c r="M1121" s="265"/>
    </row>
    <row r="1122" spans="13:13" ht="12" customHeight="1" x14ac:dyDescent="0.2">
      <c r="M1122" s="265"/>
    </row>
    <row r="1123" spans="13:13" ht="12" customHeight="1" x14ac:dyDescent="0.2">
      <c r="M1123" s="265"/>
    </row>
    <row r="1124" spans="13:13" ht="12" customHeight="1" x14ac:dyDescent="0.2">
      <c r="M1124" s="265"/>
    </row>
    <row r="1125" spans="13:13" ht="12" customHeight="1" x14ac:dyDescent="0.2">
      <c r="M1125" s="265"/>
    </row>
    <row r="1126" spans="13:13" ht="12" customHeight="1" x14ac:dyDescent="0.2">
      <c r="M1126" s="265"/>
    </row>
    <row r="1127" spans="13:13" ht="12" customHeight="1" x14ac:dyDescent="0.2">
      <c r="M1127" s="265"/>
    </row>
    <row r="1128" spans="13:13" ht="12" customHeight="1" x14ac:dyDescent="0.2">
      <c r="M1128" s="265"/>
    </row>
    <row r="1129" spans="13:13" ht="12" customHeight="1" x14ac:dyDescent="0.2">
      <c r="M1129" s="265"/>
    </row>
    <row r="1130" spans="13:13" ht="12" customHeight="1" x14ac:dyDescent="0.2">
      <c r="M1130" s="265"/>
    </row>
    <row r="1131" spans="13:13" ht="12" customHeight="1" x14ac:dyDescent="0.2">
      <c r="M1131" s="265"/>
    </row>
    <row r="1132" spans="13:13" ht="12" customHeight="1" x14ac:dyDescent="0.2">
      <c r="M1132" s="265"/>
    </row>
    <row r="1133" spans="13:13" ht="12" customHeight="1" x14ac:dyDescent="0.2">
      <c r="M1133" s="265"/>
    </row>
    <row r="1134" spans="13:13" ht="12" customHeight="1" x14ac:dyDescent="0.2">
      <c r="M1134" s="265"/>
    </row>
    <row r="1135" spans="13:13" ht="12" customHeight="1" x14ac:dyDescent="0.2">
      <c r="M1135" s="265"/>
    </row>
    <row r="1136" spans="13:13" ht="12" customHeight="1" x14ac:dyDescent="0.2">
      <c r="M1136" s="265"/>
    </row>
    <row r="1137" spans="13:13" ht="12" customHeight="1" x14ac:dyDescent="0.2">
      <c r="M1137" s="265"/>
    </row>
    <row r="1138" spans="13:13" ht="12" customHeight="1" x14ac:dyDescent="0.2">
      <c r="M1138" s="265"/>
    </row>
    <row r="1139" spans="13:13" ht="12" customHeight="1" x14ac:dyDescent="0.2">
      <c r="M1139" s="265"/>
    </row>
    <row r="1140" spans="13:13" ht="12" customHeight="1" x14ac:dyDescent="0.2">
      <c r="M1140" s="265"/>
    </row>
    <row r="1141" spans="13:13" ht="12" customHeight="1" x14ac:dyDescent="0.2">
      <c r="M1141" s="265"/>
    </row>
    <row r="1142" spans="13:13" ht="12" customHeight="1" x14ac:dyDescent="0.2">
      <c r="M1142" s="265"/>
    </row>
    <row r="1143" spans="13:13" ht="12" customHeight="1" x14ac:dyDescent="0.2">
      <c r="M1143" s="265"/>
    </row>
    <row r="1144" spans="13:13" ht="12" customHeight="1" x14ac:dyDescent="0.2">
      <c r="M1144" s="265"/>
    </row>
    <row r="1145" spans="13:13" ht="12" customHeight="1" x14ac:dyDescent="0.2">
      <c r="M1145" s="265"/>
    </row>
    <row r="1146" spans="13:13" ht="12" customHeight="1" x14ac:dyDescent="0.2">
      <c r="M1146" s="265"/>
    </row>
    <row r="1147" spans="13:13" ht="12" customHeight="1" x14ac:dyDescent="0.2">
      <c r="M1147" s="265"/>
    </row>
    <row r="1148" spans="13:13" ht="12" customHeight="1" x14ac:dyDescent="0.2">
      <c r="M1148" s="265"/>
    </row>
    <row r="1149" spans="13:13" ht="12" customHeight="1" x14ac:dyDescent="0.2">
      <c r="M1149" s="265"/>
    </row>
    <row r="1150" spans="13:13" ht="12" customHeight="1" x14ac:dyDescent="0.2">
      <c r="M1150" s="265"/>
    </row>
    <row r="1151" spans="13:13" ht="12" customHeight="1" x14ac:dyDescent="0.2">
      <c r="M1151" s="265"/>
    </row>
    <row r="1152" spans="13:13" ht="12" customHeight="1" x14ac:dyDescent="0.2">
      <c r="M1152" s="265"/>
    </row>
    <row r="1153" spans="13:13" ht="12" customHeight="1" x14ac:dyDescent="0.2">
      <c r="M1153" s="265"/>
    </row>
    <row r="1154" spans="13:13" ht="12" customHeight="1" x14ac:dyDescent="0.2">
      <c r="M1154" s="265"/>
    </row>
    <row r="1155" spans="13:13" ht="12" customHeight="1" x14ac:dyDescent="0.2">
      <c r="M1155" s="265"/>
    </row>
    <row r="1156" spans="13:13" ht="12" customHeight="1" x14ac:dyDescent="0.2">
      <c r="M1156" s="265"/>
    </row>
    <row r="1157" spans="13:13" ht="12" customHeight="1" x14ac:dyDescent="0.2">
      <c r="M1157" s="265"/>
    </row>
    <row r="1158" spans="13:13" ht="12" customHeight="1" x14ac:dyDescent="0.2">
      <c r="M1158" s="265"/>
    </row>
    <row r="1159" spans="13:13" ht="12" customHeight="1" x14ac:dyDescent="0.2">
      <c r="M1159" s="265"/>
    </row>
    <row r="1160" spans="13:13" ht="12" customHeight="1" x14ac:dyDescent="0.2">
      <c r="M1160" s="265"/>
    </row>
    <row r="1161" spans="13:13" ht="12" customHeight="1" x14ac:dyDescent="0.2">
      <c r="M1161" s="265"/>
    </row>
    <row r="1162" spans="13:13" ht="12" customHeight="1" x14ac:dyDescent="0.2">
      <c r="M1162" s="265"/>
    </row>
    <row r="1163" spans="13:13" ht="12" customHeight="1" x14ac:dyDescent="0.2">
      <c r="M1163" s="265"/>
    </row>
    <row r="1164" spans="13:13" ht="12" customHeight="1" x14ac:dyDescent="0.2">
      <c r="M1164" s="265"/>
    </row>
    <row r="1165" spans="13:13" ht="12" customHeight="1" x14ac:dyDescent="0.2">
      <c r="M1165" s="265"/>
    </row>
    <row r="1166" spans="13:13" ht="12" customHeight="1" x14ac:dyDescent="0.2">
      <c r="M1166" s="265"/>
    </row>
    <row r="1167" spans="13:13" ht="12" customHeight="1" x14ac:dyDescent="0.2">
      <c r="M1167" s="265"/>
    </row>
    <row r="1168" spans="13:13" ht="12" customHeight="1" x14ac:dyDescent="0.2">
      <c r="M1168" s="265"/>
    </row>
    <row r="1169" spans="13:13" ht="12" customHeight="1" x14ac:dyDescent="0.2">
      <c r="M1169" s="265"/>
    </row>
    <row r="1170" spans="13:13" ht="12" customHeight="1" x14ac:dyDescent="0.2">
      <c r="M1170" s="265"/>
    </row>
    <row r="1171" spans="13:13" ht="12" customHeight="1" x14ac:dyDescent="0.2">
      <c r="M1171" s="265"/>
    </row>
    <row r="1172" spans="13:13" ht="12" customHeight="1" x14ac:dyDescent="0.2">
      <c r="M1172" s="265"/>
    </row>
    <row r="1173" spans="13:13" ht="12" customHeight="1" x14ac:dyDescent="0.2">
      <c r="M1173" s="265"/>
    </row>
    <row r="1174" spans="13:13" ht="12" customHeight="1" x14ac:dyDescent="0.2">
      <c r="M1174" s="265"/>
    </row>
    <row r="1175" spans="13:13" ht="12" customHeight="1" x14ac:dyDescent="0.2">
      <c r="M1175" s="265"/>
    </row>
    <row r="1176" spans="13:13" ht="12" customHeight="1" x14ac:dyDescent="0.2">
      <c r="M1176" s="265"/>
    </row>
    <row r="1177" spans="13:13" ht="12" customHeight="1" x14ac:dyDescent="0.2">
      <c r="M1177" s="265"/>
    </row>
    <row r="1178" spans="13:13" ht="12" customHeight="1" x14ac:dyDescent="0.2">
      <c r="M1178" s="265"/>
    </row>
    <row r="1179" spans="13:13" ht="12" customHeight="1" x14ac:dyDescent="0.2">
      <c r="M1179" s="265"/>
    </row>
    <row r="1180" spans="13:13" ht="12" customHeight="1" x14ac:dyDescent="0.2">
      <c r="M1180" s="265"/>
    </row>
    <row r="1181" spans="13:13" ht="12" customHeight="1" x14ac:dyDescent="0.2">
      <c r="M1181" s="265"/>
    </row>
    <row r="1182" spans="13:13" ht="12" customHeight="1" x14ac:dyDescent="0.2">
      <c r="M1182" s="265"/>
    </row>
    <row r="1183" spans="13:13" ht="12" customHeight="1" x14ac:dyDescent="0.2">
      <c r="M1183" s="265"/>
    </row>
    <row r="1184" spans="13:13" ht="12" customHeight="1" x14ac:dyDescent="0.2">
      <c r="M1184" s="265"/>
    </row>
    <row r="1185" spans="13:13" ht="12" customHeight="1" x14ac:dyDescent="0.2">
      <c r="M1185" s="265"/>
    </row>
    <row r="1186" spans="13:13" ht="12" customHeight="1" x14ac:dyDescent="0.2">
      <c r="M1186" s="265"/>
    </row>
    <row r="1187" spans="13:13" ht="12" customHeight="1" x14ac:dyDescent="0.2">
      <c r="M1187" s="265"/>
    </row>
    <row r="1188" spans="13:13" ht="12" customHeight="1" x14ac:dyDescent="0.2">
      <c r="M1188" s="265"/>
    </row>
    <row r="1189" spans="13:13" ht="12" customHeight="1" x14ac:dyDescent="0.2">
      <c r="M1189" s="265"/>
    </row>
    <row r="1190" spans="13:13" ht="12" customHeight="1" x14ac:dyDescent="0.2">
      <c r="M1190" s="265"/>
    </row>
    <row r="1191" spans="13:13" ht="12" customHeight="1" x14ac:dyDescent="0.2">
      <c r="M1191" s="265"/>
    </row>
    <row r="1192" spans="13:13" ht="12" customHeight="1" x14ac:dyDescent="0.2">
      <c r="M1192" s="265"/>
    </row>
    <row r="1193" spans="13:13" ht="12" customHeight="1" x14ac:dyDescent="0.2">
      <c r="M1193" s="265"/>
    </row>
    <row r="1194" spans="13:13" ht="12" customHeight="1" x14ac:dyDescent="0.2">
      <c r="M1194" s="265"/>
    </row>
    <row r="1195" spans="13:13" ht="12" customHeight="1" x14ac:dyDescent="0.2">
      <c r="M1195" s="265"/>
    </row>
    <row r="1196" spans="13:13" ht="12" customHeight="1" x14ac:dyDescent="0.2">
      <c r="M1196" s="265"/>
    </row>
    <row r="1197" spans="13:13" ht="12" customHeight="1" x14ac:dyDescent="0.2">
      <c r="M1197" s="265"/>
    </row>
    <row r="1198" spans="13:13" ht="12" customHeight="1" x14ac:dyDescent="0.2">
      <c r="M1198" s="265"/>
    </row>
    <row r="1199" spans="13:13" ht="12" customHeight="1" x14ac:dyDescent="0.2">
      <c r="M1199" s="265"/>
    </row>
    <row r="1200" spans="13:13" ht="12" customHeight="1" x14ac:dyDescent="0.2">
      <c r="M1200" s="265"/>
    </row>
    <row r="1201" spans="13:13" ht="12" customHeight="1" x14ac:dyDescent="0.2">
      <c r="M1201" s="265"/>
    </row>
    <row r="1202" spans="13:13" ht="12" customHeight="1" x14ac:dyDescent="0.2">
      <c r="M1202" s="265"/>
    </row>
    <row r="1203" spans="13:13" ht="12" customHeight="1" x14ac:dyDescent="0.2">
      <c r="M1203" s="265"/>
    </row>
    <row r="1204" spans="13:13" ht="12" customHeight="1" x14ac:dyDescent="0.2">
      <c r="M1204" s="265"/>
    </row>
    <row r="1205" spans="13:13" ht="12" customHeight="1" x14ac:dyDescent="0.2">
      <c r="M1205" s="265"/>
    </row>
    <row r="1206" spans="13:13" ht="12" customHeight="1" x14ac:dyDescent="0.2">
      <c r="M1206" s="265"/>
    </row>
    <row r="1207" spans="13:13" ht="12" customHeight="1" x14ac:dyDescent="0.2">
      <c r="M1207" s="265"/>
    </row>
    <row r="1208" spans="13:13" ht="12" customHeight="1" x14ac:dyDescent="0.2">
      <c r="M1208" s="265"/>
    </row>
    <row r="1209" spans="13:13" ht="12" customHeight="1" x14ac:dyDescent="0.2">
      <c r="M1209" s="265"/>
    </row>
    <row r="1210" spans="13:13" ht="12" customHeight="1" x14ac:dyDescent="0.2">
      <c r="M1210" s="265"/>
    </row>
    <row r="1211" spans="13:13" ht="12" customHeight="1" x14ac:dyDescent="0.2">
      <c r="M1211" s="265"/>
    </row>
    <row r="1212" spans="13:13" ht="12" customHeight="1" x14ac:dyDescent="0.2">
      <c r="M1212" s="265"/>
    </row>
    <row r="1213" spans="13:13" ht="12" customHeight="1" x14ac:dyDescent="0.2">
      <c r="M1213" s="265"/>
    </row>
    <row r="1214" spans="13:13" ht="12" customHeight="1" x14ac:dyDescent="0.2">
      <c r="M1214" s="265"/>
    </row>
    <row r="1215" spans="13:13" ht="12" customHeight="1" x14ac:dyDescent="0.2">
      <c r="M1215" s="265"/>
    </row>
    <row r="1216" spans="13:13" ht="12" customHeight="1" x14ac:dyDescent="0.2">
      <c r="M1216" s="265"/>
    </row>
    <row r="1217" spans="13:13" ht="12" customHeight="1" x14ac:dyDescent="0.2">
      <c r="M1217" s="265"/>
    </row>
    <row r="1218" spans="13:13" ht="12" customHeight="1" x14ac:dyDescent="0.2">
      <c r="M1218" s="265"/>
    </row>
    <row r="1219" spans="13:13" ht="12" customHeight="1" x14ac:dyDescent="0.2">
      <c r="M1219" s="265"/>
    </row>
    <row r="1220" spans="13:13" ht="12" customHeight="1" x14ac:dyDescent="0.2">
      <c r="M1220" s="265"/>
    </row>
    <row r="1221" spans="13:13" ht="12" customHeight="1" x14ac:dyDescent="0.2">
      <c r="M1221" s="265"/>
    </row>
    <row r="1222" spans="13:13" ht="12" customHeight="1" x14ac:dyDescent="0.2">
      <c r="M1222" s="265"/>
    </row>
    <row r="1223" spans="13:13" ht="12" customHeight="1" x14ac:dyDescent="0.2">
      <c r="M1223" s="265"/>
    </row>
    <row r="1224" spans="13:13" ht="12" customHeight="1" x14ac:dyDescent="0.2">
      <c r="M1224" s="265"/>
    </row>
    <row r="1225" spans="13:13" ht="12" customHeight="1" x14ac:dyDescent="0.2">
      <c r="M1225" s="265"/>
    </row>
    <row r="1226" spans="13:13" ht="12" customHeight="1" x14ac:dyDescent="0.2">
      <c r="M1226" s="265"/>
    </row>
    <row r="1227" spans="13:13" ht="12" customHeight="1" x14ac:dyDescent="0.2">
      <c r="M1227" s="265"/>
    </row>
    <row r="1228" spans="13:13" ht="12" customHeight="1" x14ac:dyDescent="0.2">
      <c r="M1228" s="265"/>
    </row>
    <row r="1229" spans="13:13" ht="12" customHeight="1" x14ac:dyDescent="0.2">
      <c r="M1229" s="265"/>
    </row>
    <row r="1230" spans="13:13" ht="12" customHeight="1" x14ac:dyDescent="0.2">
      <c r="M1230" s="265"/>
    </row>
    <row r="1231" spans="13:13" ht="12" customHeight="1" x14ac:dyDescent="0.2">
      <c r="M1231" s="265"/>
    </row>
    <row r="1232" spans="13:13" ht="12" customHeight="1" x14ac:dyDescent="0.2">
      <c r="M1232" s="265"/>
    </row>
    <row r="1233" spans="13:13" ht="12" customHeight="1" x14ac:dyDescent="0.2">
      <c r="M1233" s="265"/>
    </row>
    <row r="1234" spans="13:13" ht="12" customHeight="1" x14ac:dyDescent="0.2">
      <c r="M1234" s="265"/>
    </row>
    <row r="1235" spans="13:13" ht="12" customHeight="1" x14ac:dyDescent="0.2">
      <c r="M1235" s="265"/>
    </row>
    <row r="1236" spans="13:13" ht="12" customHeight="1" x14ac:dyDescent="0.2">
      <c r="M1236" s="265"/>
    </row>
    <row r="1237" spans="13:13" ht="12" customHeight="1" x14ac:dyDescent="0.2">
      <c r="M1237" s="265"/>
    </row>
    <row r="1238" spans="13:13" ht="12" customHeight="1" x14ac:dyDescent="0.2">
      <c r="M1238" s="265"/>
    </row>
    <row r="1239" spans="13:13" ht="12" customHeight="1" x14ac:dyDescent="0.2">
      <c r="M1239" s="265"/>
    </row>
    <row r="1240" spans="13:13" ht="12" customHeight="1" x14ac:dyDescent="0.2">
      <c r="M1240" s="265"/>
    </row>
    <row r="1241" spans="13:13" ht="12" customHeight="1" x14ac:dyDescent="0.2">
      <c r="M1241" s="265"/>
    </row>
    <row r="1242" spans="13:13" ht="12" customHeight="1" x14ac:dyDescent="0.2">
      <c r="M1242" s="265"/>
    </row>
    <row r="1243" spans="13:13" ht="12" customHeight="1" x14ac:dyDescent="0.2">
      <c r="M1243" s="265"/>
    </row>
    <row r="1244" spans="13:13" ht="12" customHeight="1" x14ac:dyDescent="0.2">
      <c r="M1244" s="265"/>
    </row>
    <row r="1245" spans="13:13" ht="12" customHeight="1" x14ac:dyDescent="0.2">
      <c r="M1245" s="265"/>
    </row>
    <row r="1246" spans="13:13" ht="12" customHeight="1" x14ac:dyDescent="0.2">
      <c r="M1246" s="265"/>
    </row>
    <row r="1247" spans="13:13" ht="12" customHeight="1" x14ac:dyDescent="0.2">
      <c r="M1247" s="265"/>
    </row>
    <row r="1248" spans="13:13" ht="12" customHeight="1" x14ac:dyDescent="0.2">
      <c r="M1248" s="265"/>
    </row>
    <row r="1249" spans="13:13" ht="12" customHeight="1" x14ac:dyDescent="0.2">
      <c r="M1249" s="265"/>
    </row>
    <row r="1250" spans="13:13" ht="12" customHeight="1" x14ac:dyDescent="0.2">
      <c r="M1250" s="265"/>
    </row>
    <row r="1251" spans="13:13" ht="12" customHeight="1" x14ac:dyDescent="0.2">
      <c r="M1251" s="265"/>
    </row>
    <row r="1252" spans="13:13" ht="12" customHeight="1" x14ac:dyDescent="0.2">
      <c r="M1252" s="265"/>
    </row>
    <row r="1253" spans="13:13" ht="12" customHeight="1" x14ac:dyDescent="0.2">
      <c r="M1253" s="265"/>
    </row>
    <row r="1254" spans="13:13" ht="12" customHeight="1" x14ac:dyDescent="0.2">
      <c r="M1254" s="265"/>
    </row>
    <row r="1255" spans="13:13" ht="12" customHeight="1" x14ac:dyDescent="0.2">
      <c r="M1255" s="265"/>
    </row>
    <row r="1256" spans="13:13" ht="12" customHeight="1" x14ac:dyDescent="0.2">
      <c r="M1256" s="265"/>
    </row>
    <row r="1257" spans="13:13" ht="12" customHeight="1" x14ac:dyDescent="0.2">
      <c r="M1257" s="265"/>
    </row>
    <row r="1258" spans="13:13" ht="12" customHeight="1" x14ac:dyDescent="0.2">
      <c r="M1258" s="265"/>
    </row>
    <row r="1259" spans="13:13" ht="12" customHeight="1" x14ac:dyDescent="0.2">
      <c r="M1259" s="265"/>
    </row>
    <row r="1260" spans="13:13" ht="12" customHeight="1" x14ac:dyDescent="0.2">
      <c r="M1260" s="265"/>
    </row>
    <row r="1261" spans="13:13" ht="12" customHeight="1" x14ac:dyDescent="0.2">
      <c r="M1261" s="265"/>
    </row>
    <row r="1262" spans="13:13" ht="12" customHeight="1" x14ac:dyDescent="0.2">
      <c r="M1262" s="265"/>
    </row>
    <row r="1263" spans="13:13" ht="12" customHeight="1" x14ac:dyDescent="0.2">
      <c r="M1263" s="265"/>
    </row>
    <row r="1264" spans="13:13" ht="12" customHeight="1" x14ac:dyDescent="0.2">
      <c r="M1264" s="265"/>
    </row>
    <row r="1265" spans="13:13" ht="12" customHeight="1" x14ac:dyDescent="0.2">
      <c r="M1265" s="265"/>
    </row>
    <row r="1266" spans="13:13" ht="12" customHeight="1" x14ac:dyDescent="0.2">
      <c r="M1266" s="265"/>
    </row>
    <row r="1267" spans="13:13" ht="12" customHeight="1" x14ac:dyDescent="0.2">
      <c r="M1267" s="265"/>
    </row>
    <row r="1268" spans="13:13" ht="12" customHeight="1" x14ac:dyDescent="0.2">
      <c r="M1268" s="265"/>
    </row>
    <row r="1269" spans="13:13" ht="12" customHeight="1" x14ac:dyDescent="0.2">
      <c r="M1269" s="265"/>
    </row>
    <row r="1270" spans="13:13" ht="12" customHeight="1" x14ac:dyDescent="0.2">
      <c r="M1270" s="265"/>
    </row>
    <row r="1271" spans="13:13" ht="12" customHeight="1" x14ac:dyDescent="0.2">
      <c r="M1271" s="265"/>
    </row>
    <row r="1272" spans="13:13" ht="12" customHeight="1" x14ac:dyDescent="0.2">
      <c r="M1272" s="265"/>
    </row>
    <row r="1273" spans="13:13" ht="12" customHeight="1" x14ac:dyDescent="0.2">
      <c r="M1273" s="265"/>
    </row>
    <row r="1274" spans="13:13" ht="12" customHeight="1" x14ac:dyDescent="0.2">
      <c r="M1274" s="265"/>
    </row>
    <row r="1275" spans="13:13" ht="12" customHeight="1" x14ac:dyDescent="0.2">
      <c r="M1275" s="265"/>
    </row>
    <row r="1276" spans="13:13" ht="12" customHeight="1" x14ac:dyDescent="0.2">
      <c r="M1276" s="265"/>
    </row>
    <row r="1277" spans="13:13" ht="12" customHeight="1" x14ac:dyDescent="0.2">
      <c r="M1277" s="265"/>
    </row>
    <row r="1278" spans="13:13" ht="12" customHeight="1" x14ac:dyDescent="0.2">
      <c r="M1278" s="265"/>
    </row>
    <row r="1279" spans="13:13" ht="12" customHeight="1" x14ac:dyDescent="0.2">
      <c r="M1279" s="265"/>
    </row>
    <row r="1280" spans="13:13" ht="12" customHeight="1" x14ac:dyDescent="0.2">
      <c r="M1280" s="265"/>
    </row>
    <row r="1281" spans="13:13" ht="12" customHeight="1" x14ac:dyDescent="0.2">
      <c r="M1281" s="265"/>
    </row>
    <row r="1282" spans="13:13" ht="12" customHeight="1" x14ac:dyDescent="0.2">
      <c r="M1282" s="265"/>
    </row>
    <row r="1283" spans="13:13" ht="12" customHeight="1" x14ac:dyDescent="0.2">
      <c r="M1283" s="265"/>
    </row>
    <row r="1284" spans="13:13" ht="12" customHeight="1" x14ac:dyDescent="0.2">
      <c r="M1284" s="265"/>
    </row>
    <row r="1285" spans="13:13" ht="12" customHeight="1" x14ac:dyDescent="0.2">
      <c r="M1285" s="265"/>
    </row>
    <row r="1286" spans="13:13" ht="12" customHeight="1" x14ac:dyDescent="0.2">
      <c r="M1286" s="265"/>
    </row>
    <row r="1287" spans="13:13" ht="12" customHeight="1" x14ac:dyDescent="0.2">
      <c r="M1287" s="265"/>
    </row>
    <row r="1288" spans="13:13" ht="12" customHeight="1" x14ac:dyDescent="0.2">
      <c r="M1288" s="265"/>
    </row>
    <row r="1289" spans="13:13" ht="12" customHeight="1" x14ac:dyDescent="0.2">
      <c r="M1289" s="265"/>
    </row>
    <row r="1290" spans="13:13" ht="12" customHeight="1" x14ac:dyDescent="0.2">
      <c r="M1290" s="265"/>
    </row>
    <row r="1291" spans="13:13" ht="12" customHeight="1" x14ac:dyDescent="0.2">
      <c r="M1291" s="265"/>
    </row>
    <row r="1292" spans="13:13" ht="12" customHeight="1" x14ac:dyDescent="0.2">
      <c r="M1292" s="265"/>
    </row>
    <row r="1293" spans="13:13" ht="12" customHeight="1" x14ac:dyDescent="0.2">
      <c r="M1293" s="265"/>
    </row>
    <row r="1294" spans="13:13" ht="12" customHeight="1" x14ac:dyDescent="0.2">
      <c r="M1294" s="265"/>
    </row>
    <row r="1295" spans="13:13" ht="12" customHeight="1" x14ac:dyDescent="0.2">
      <c r="M1295" s="265"/>
    </row>
    <row r="1296" spans="13:13" ht="12" customHeight="1" x14ac:dyDescent="0.2">
      <c r="M1296" s="265"/>
    </row>
    <row r="1297" spans="13:13" ht="12" customHeight="1" x14ac:dyDescent="0.2">
      <c r="M1297" s="265"/>
    </row>
    <row r="1298" spans="13:13" ht="12" customHeight="1" x14ac:dyDescent="0.2">
      <c r="M1298" s="265"/>
    </row>
    <row r="1299" spans="13:13" ht="12" customHeight="1" x14ac:dyDescent="0.2">
      <c r="M1299" s="265"/>
    </row>
    <row r="1300" spans="13:13" ht="12" customHeight="1" x14ac:dyDescent="0.2">
      <c r="M1300" s="265"/>
    </row>
    <row r="1301" spans="13:13" ht="12" customHeight="1" x14ac:dyDescent="0.2">
      <c r="M1301" s="265"/>
    </row>
    <row r="1302" spans="13:13" ht="12" customHeight="1" x14ac:dyDescent="0.2">
      <c r="M1302" s="265"/>
    </row>
    <row r="1303" spans="13:13" ht="12" customHeight="1" x14ac:dyDescent="0.2">
      <c r="M1303" s="265"/>
    </row>
    <row r="1304" spans="13:13" ht="12" customHeight="1" x14ac:dyDescent="0.2">
      <c r="M1304" s="265"/>
    </row>
    <row r="1305" spans="13:13" ht="12" customHeight="1" x14ac:dyDescent="0.2">
      <c r="M1305" s="265"/>
    </row>
    <row r="1306" spans="13:13" ht="12" customHeight="1" x14ac:dyDescent="0.2">
      <c r="M1306" s="265"/>
    </row>
    <row r="1307" spans="13:13" ht="12" customHeight="1" x14ac:dyDescent="0.2">
      <c r="M1307" s="265"/>
    </row>
    <row r="1308" spans="13:13" ht="12" customHeight="1" x14ac:dyDescent="0.2">
      <c r="M1308" s="265"/>
    </row>
    <row r="1309" spans="13:13" ht="12" customHeight="1" x14ac:dyDescent="0.2">
      <c r="M1309" s="265"/>
    </row>
    <row r="1310" spans="13:13" ht="12" customHeight="1" x14ac:dyDescent="0.2">
      <c r="M1310" s="265"/>
    </row>
    <row r="1311" spans="13:13" ht="12" customHeight="1" x14ac:dyDescent="0.2">
      <c r="M1311" s="265"/>
    </row>
    <row r="1312" spans="13:13" ht="12" customHeight="1" x14ac:dyDescent="0.2">
      <c r="M1312" s="265"/>
    </row>
    <row r="1313" spans="13:13" ht="12" customHeight="1" x14ac:dyDescent="0.2">
      <c r="M1313" s="265"/>
    </row>
    <row r="1314" spans="13:13" ht="12" customHeight="1" x14ac:dyDescent="0.2">
      <c r="M1314" s="265"/>
    </row>
    <row r="1315" spans="13:13" ht="12" customHeight="1" x14ac:dyDescent="0.2">
      <c r="M1315" s="265"/>
    </row>
    <row r="1316" spans="13:13" ht="12" customHeight="1" x14ac:dyDescent="0.2">
      <c r="M1316" s="265"/>
    </row>
    <row r="1317" spans="13:13" ht="12" customHeight="1" x14ac:dyDescent="0.2">
      <c r="M1317" s="265"/>
    </row>
    <row r="1318" spans="13:13" ht="12" customHeight="1" x14ac:dyDescent="0.2">
      <c r="M1318" s="265"/>
    </row>
    <row r="1319" spans="13:13" ht="12" customHeight="1" x14ac:dyDescent="0.2">
      <c r="M1319" s="265"/>
    </row>
    <row r="1320" spans="13:13" ht="12" customHeight="1" x14ac:dyDescent="0.2">
      <c r="M1320" s="265"/>
    </row>
    <row r="1321" spans="13:13" ht="12" customHeight="1" x14ac:dyDescent="0.2">
      <c r="M1321" s="265"/>
    </row>
    <row r="1322" spans="13:13" ht="12" customHeight="1" x14ac:dyDescent="0.2">
      <c r="M1322" s="265"/>
    </row>
    <row r="1323" spans="13:13" ht="12" customHeight="1" x14ac:dyDescent="0.2">
      <c r="M1323" s="265"/>
    </row>
    <row r="1324" spans="13:13" ht="12" customHeight="1" x14ac:dyDescent="0.2">
      <c r="M1324" s="265"/>
    </row>
    <row r="1325" spans="13:13" ht="12" customHeight="1" x14ac:dyDescent="0.2">
      <c r="M1325" s="265"/>
    </row>
    <row r="1326" spans="13:13" ht="12" customHeight="1" x14ac:dyDescent="0.2">
      <c r="M1326" s="265"/>
    </row>
    <row r="1327" spans="13:13" ht="12" customHeight="1" x14ac:dyDescent="0.2">
      <c r="M1327" s="265"/>
    </row>
    <row r="1328" spans="13:13" ht="12" customHeight="1" x14ac:dyDescent="0.2">
      <c r="M1328" s="265"/>
    </row>
    <row r="1329" spans="13:13" ht="12" customHeight="1" x14ac:dyDescent="0.2">
      <c r="M1329" s="265"/>
    </row>
    <row r="1330" spans="13:13" ht="12" customHeight="1" x14ac:dyDescent="0.2">
      <c r="M1330" s="265"/>
    </row>
    <row r="1331" spans="13:13" ht="12" customHeight="1" x14ac:dyDescent="0.2">
      <c r="M1331" s="265"/>
    </row>
    <row r="1332" spans="13:13" ht="12" customHeight="1" x14ac:dyDescent="0.2">
      <c r="M1332" s="265"/>
    </row>
    <row r="1333" spans="13:13" ht="12" customHeight="1" x14ac:dyDescent="0.2">
      <c r="M1333" s="265"/>
    </row>
    <row r="1334" spans="13:13" ht="12" customHeight="1" x14ac:dyDescent="0.2">
      <c r="M1334" s="265"/>
    </row>
    <row r="1335" spans="13:13" ht="12" customHeight="1" x14ac:dyDescent="0.2">
      <c r="M1335" s="265"/>
    </row>
    <row r="1336" spans="13:13" ht="12" customHeight="1" x14ac:dyDescent="0.2">
      <c r="M1336" s="265"/>
    </row>
    <row r="1337" spans="13:13" ht="12" customHeight="1" x14ac:dyDescent="0.2">
      <c r="M1337" s="265"/>
    </row>
    <row r="1338" spans="13:13" ht="12" customHeight="1" x14ac:dyDescent="0.2">
      <c r="M1338" s="265"/>
    </row>
    <row r="1339" spans="13:13" ht="12" customHeight="1" x14ac:dyDescent="0.2">
      <c r="M1339" s="265"/>
    </row>
    <row r="1340" spans="13:13" ht="12" customHeight="1" x14ac:dyDescent="0.2">
      <c r="M1340" s="265"/>
    </row>
    <row r="1341" spans="13:13" ht="12" customHeight="1" x14ac:dyDescent="0.2">
      <c r="M1341" s="265"/>
    </row>
    <row r="1342" spans="13:13" ht="12" customHeight="1" x14ac:dyDescent="0.2">
      <c r="M1342" s="265"/>
    </row>
    <row r="1343" spans="13:13" ht="12" customHeight="1" x14ac:dyDescent="0.2">
      <c r="M1343" s="265"/>
    </row>
    <row r="1344" spans="13:13" ht="12" customHeight="1" x14ac:dyDescent="0.2">
      <c r="M1344" s="265"/>
    </row>
    <row r="1345" spans="13:13" ht="12" customHeight="1" x14ac:dyDescent="0.2">
      <c r="M1345" s="265"/>
    </row>
    <row r="1346" spans="13:13" ht="12" customHeight="1" x14ac:dyDescent="0.2">
      <c r="M1346" s="265"/>
    </row>
    <row r="1347" spans="13:13" ht="12" customHeight="1" x14ac:dyDescent="0.2">
      <c r="M1347" s="265"/>
    </row>
    <row r="1348" spans="13:13" ht="12" customHeight="1" x14ac:dyDescent="0.2">
      <c r="M1348" s="265"/>
    </row>
    <row r="1349" spans="13:13" ht="12" customHeight="1" x14ac:dyDescent="0.2">
      <c r="M1349" s="265"/>
    </row>
    <row r="1350" spans="13:13" ht="12" customHeight="1" x14ac:dyDescent="0.2">
      <c r="M1350" s="265"/>
    </row>
    <row r="1351" spans="13:13" ht="12" customHeight="1" x14ac:dyDescent="0.2">
      <c r="M1351" s="265"/>
    </row>
    <row r="1352" spans="13:13" ht="12" customHeight="1" x14ac:dyDescent="0.2">
      <c r="M1352" s="265"/>
    </row>
    <row r="1353" spans="13:13" ht="12" customHeight="1" x14ac:dyDescent="0.2">
      <c r="M1353" s="265"/>
    </row>
    <row r="1354" spans="13:13" ht="12" customHeight="1" x14ac:dyDescent="0.2">
      <c r="M1354" s="265"/>
    </row>
    <row r="1355" spans="13:13" ht="12" customHeight="1" x14ac:dyDescent="0.2">
      <c r="M1355" s="265"/>
    </row>
    <row r="1356" spans="13:13" ht="12" customHeight="1" x14ac:dyDescent="0.2">
      <c r="M1356" s="265"/>
    </row>
    <row r="1357" spans="13:13" ht="12" customHeight="1" x14ac:dyDescent="0.2">
      <c r="M1357" s="265"/>
    </row>
    <row r="1358" spans="13:13" ht="12" customHeight="1" x14ac:dyDescent="0.2">
      <c r="M1358" s="265"/>
    </row>
    <row r="1359" spans="13:13" ht="12" customHeight="1" x14ac:dyDescent="0.2">
      <c r="M1359" s="265"/>
    </row>
    <row r="1360" spans="13:13" ht="12" customHeight="1" x14ac:dyDescent="0.2">
      <c r="M1360" s="265"/>
    </row>
    <row r="1361" spans="13:13" ht="12" customHeight="1" x14ac:dyDescent="0.2">
      <c r="M1361" s="265"/>
    </row>
    <row r="1362" spans="13:13" ht="12" customHeight="1" x14ac:dyDescent="0.2">
      <c r="M1362" s="265"/>
    </row>
    <row r="1363" spans="13:13" ht="12" customHeight="1" x14ac:dyDescent="0.2">
      <c r="M1363" s="265"/>
    </row>
    <row r="1364" spans="13:13" ht="12" customHeight="1" x14ac:dyDescent="0.2">
      <c r="M1364" s="265"/>
    </row>
    <row r="1365" spans="13:13" ht="12" customHeight="1" x14ac:dyDescent="0.2">
      <c r="M1365" s="265"/>
    </row>
    <row r="1366" spans="13:13" ht="12" customHeight="1" x14ac:dyDescent="0.2">
      <c r="M1366" s="265"/>
    </row>
    <row r="1367" spans="13:13" ht="12" customHeight="1" x14ac:dyDescent="0.2">
      <c r="M1367" s="265"/>
    </row>
    <row r="1368" spans="13:13" ht="12" customHeight="1" x14ac:dyDescent="0.2">
      <c r="M1368" s="265"/>
    </row>
    <row r="1369" spans="13:13" ht="12" customHeight="1" x14ac:dyDescent="0.2">
      <c r="M1369" s="265"/>
    </row>
    <row r="1370" spans="13:13" ht="12" customHeight="1" x14ac:dyDescent="0.2">
      <c r="M1370" s="265"/>
    </row>
    <row r="1371" spans="13:13" ht="12" customHeight="1" x14ac:dyDescent="0.2">
      <c r="M1371" s="265"/>
    </row>
    <row r="1372" spans="13:13" ht="12" customHeight="1" x14ac:dyDescent="0.2">
      <c r="M1372" s="265"/>
    </row>
    <row r="1373" spans="13:13" ht="12" customHeight="1" x14ac:dyDescent="0.2">
      <c r="M1373" s="265"/>
    </row>
    <row r="1374" spans="13:13" ht="12" customHeight="1" x14ac:dyDescent="0.2">
      <c r="M1374" s="265"/>
    </row>
    <row r="1375" spans="13:13" ht="12" customHeight="1" x14ac:dyDescent="0.2">
      <c r="M1375" s="265"/>
    </row>
    <row r="1376" spans="13:13" ht="12" customHeight="1" x14ac:dyDescent="0.2">
      <c r="M1376" s="265"/>
    </row>
    <row r="1377" spans="13:13" ht="12" customHeight="1" x14ac:dyDescent="0.2">
      <c r="M1377" s="265"/>
    </row>
    <row r="1378" spans="13:13" ht="12" customHeight="1" x14ac:dyDescent="0.2">
      <c r="M1378" s="265"/>
    </row>
    <row r="1379" spans="13:13" ht="12" customHeight="1" x14ac:dyDescent="0.2">
      <c r="M1379" s="265"/>
    </row>
    <row r="1380" spans="13:13" ht="12" customHeight="1" x14ac:dyDescent="0.2">
      <c r="M1380" s="265"/>
    </row>
    <row r="1381" spans="13:13" ht="12" customHeight="1" x14ac:dyDescent="0.2">
      <c r="M1381" s="265"/>
    </row>
    <row r="1382" spans="13:13" ht="12" customHeight="1" x14ac:dyDescent="0.2">
      <c r="M1382" s="265"/>
    </row>
    <row r="1383" spans="13:13" ht="12" customHeight="1" x14ac:dyDescent="0.2">
      <c r="M1383" s="265"/>
    </row>
    <row r="1384" spans="13:13" ht="12" customHeight="1" x14ac:dyDescent="0.2">
      <c r="M1384" s="265"/>
    </row>
    <row r="1385" spans="13:13" ht="12" customHeight="1" x14ac:dyDescent="0.2">
      <c r="M1385" s="265"/>
    </row>
    <row r="1386" spans="13:13" ht="12" customHeight="1" x14ac:dyDescent="0.2">
      <c r="M1386" s="265"/>
    </row>
    <row r="1387" spans="13:13" ht="12" customHeight="1" x14ac:dyDescent="0.2">
      <c r="M1387" s="265"/>
    </row>
    <row r="1388" spans="13:13" ht="12" customHeight="1" x14ac:dyDescent="0.2">
      <c r="M1388" s="265"/>
    </row>
    <row r="1389" spans="13:13" ht="12" customHeight="1" x14ac:dyDescent="0.2">
      <c r="M1389" s="265"/>
    </row>
    <row r="1390" spans="13:13" ht="12" customHeight="1" x14ac:dyDescent="0.2">
      <c r="M1390" s="265"/>
    </row>
    <row r="1391" spans="13:13" ht="12" customHeight="1" x14ac:dyDescent="0.2">
      <c r="M1391" s="265"/>
    </row>
    <row r="1392" spans="13:13" ht="12" customHeight="1" x14ac:dyDescent="0.2">
      <c r="M1392" s="265"/>
    </row>
    <row r="1393" spans="13:13" ht="12" customHeight="1" x14ac:dyDescent="0.2">
      <c r="M1393" s="265"/>
    </row>
    <row r="1394" spans="13:13" ht="12" customHeight="1" x14ac:dyDescent="0.2">
      <c r="M1394" s="265"/>
    </row>
    <row r="1395" spans="13:13" ht="12" customHeight="1" x14ac:dyDescent="0.2">
      <c r="M1395" s="265"/>
    </row>
    <row r="1396" spans="13:13" ht="12" customHeight="1" x14ac:dyDescent="0.2">
      <c r="M1396" s="265"/>
    </row>
    <row r="1397" spans="13:13" ht="12" customHeight="1" x14ac:dyDescent="0.2">
      <c r="M1397" s="265"/>
    </row>
    <row r="1398" spans="13:13" ht="12" customHeight="1" x14ac:dyDescent="0.2">
      <c r="M1398" s="265"/>
    </row>
    <row r="1399" spans="13:13" ht="12" customHeight="1" x14ac:dyDescent="0.2">
      <c r="M1399" s="265"/>
    </row>
    <row r="1400" spans="13:13" ht="12" customHeight="1" x14ac:dyDescent="0.2">
      <c r="M1400" s="265"/>
    </row>
    <row r="1401" spans="13:13" ht="12" customHeight="1" x14ac:dyDescent="0.2">
      <c r="M1401" s="265"/>
    </row>
    <row r="1402" spans="13:13" ht="12" customHeight="1" x14ac:dyDescent="0.2">
      <c r="M1402" s="265"/>
    </row>
    <row r="1403" spans="13:13" ht="12" customHeight="1" x14ac:dyDescent="0.2">
      <c r="M1403" s="265"/>
    </row>
    <row r="1404" spans="13:13" ht="12" customHeight="1" x14ac:dyDescent="0.2">
      <c r="M1404" s="265"/>
    </row>
    <row r="1405" spans="13:13" ht="12" customHeight="1" x14ac:dyDescent="0.2">
      <c r="M1405" s="265"/>
    </row>
    <row r="1406" spans="13:13" ht="12" customHeight="1" x14ac:dyDescent="0.2">
      <c r="M1406" s="265"/>
    </row>
    <row r="1407" spans="13:13" ht="12" customHeight="1" x14ac:dyDescent="0.2">
      <c r="M1407" s="265"/>
    </row>
    <row r="1408" spans="13:13" ht="12" customHeight="1" x14ac:dyDescent="0.2">
      <c r="M1408" s="265"/>
    </row>
    <row r="1409" spans="13:13" ht="12" customHeight="1" x14ac:dyDescent="0.2">
      <c r="M1409" s="265"/>
    </row>
    <row r="1410" spans="13:13" ht="12" customHeight="1" x14ac:dyDescent="0.2">
      <c r="M1410" s="265"/>
    </row>
    <row r="1411" spans="13:13" ht="12" customHeight="1" x14ac:dyDescent="0.2">
      <c r="M1411" s="265"/>
    </row>
    <row r="1412" spans="13:13" ht="12" customHeight="1" x14ac:dyDescent="0.2">
      <c r="M1412" s="265"/>
    </row>
    <row r="1413" spans="13:13" ht="12" customHeight="1" x14ac:dyDescent="0.2">
      <c r="M1413" s="265"/>
    </row>
    <row r="1414" spans="13:13" ht="12" customHeight="1" x14ac:dyDescent="0.2">
      <c r="M1414" s="265"/>
    </row>
    <row r="1415" spans="13:13" ht="12" customHeight="1" x14ac:dyDescent="0.2">
      <c r="M1415" s="265"/>
    </row>
    <row r="1416" spans="13:13" ht="12" customHeight="1" x14ac:dyDescent="0.2">
      <c r="M1416" s="265"/>
    </row>
    <row r="1417" spans="13:13" ht="12" customHeight="1" x14ac:dyDescent="0.2">
      <c r="M1417" s="265"/>
    </row>
    <row r="1418" spans="13:13" ht="12" customHeight="1" x14ac:dyDescent="0.2">
      <c r="M1418" s="265"/>
    </row>
    <row r="1419" spans="13:13" ht="12" customHeight="1" x14ac:dyDescent="0.2">
      <c r="M1419" s="265"/>
    </row>
    <row r="1420" spans="13:13" ht="12" customHeight="1" x14ac:dyDescent="0.2">
      <c r="M1420" s="265"/>
    </row>
    <row r="1421" spans="13:13" ht="12" customHeight="1" x14ac:dyDescent="0.2">
      <c r="M1421" s="265"/>
    </row>
    <row r="1422" spans="13:13" ht="12" customHeight="1" x14ac:dyDescent="0.2">
      <c r="M1422" s="265"/>
    </row>
    <row r="1423" spans="13:13" ht="12" customHeight="1" x14ac:dyDescent="0.2">
      <c r="M1423" s="265"/>
    </row>
    <row r="1424" spans="13:13" ht="12" customHeight="1" x14ac:dyDescent="0.2">
      <c r="M1424" s="265"/>
    </row>
    <row r="1425" spans="13:13" ht="12" customHeight="1" x14ac:dyDescent="0.2">
      <c r="M1425" s="265"/>
    </row>
    <row r="1426" spans="13:13" ht="12" customHeight="1" x14ac:dyDescent="0.2">
      <c r="M1426" s="265"/>
    </row>
    <row r="1427" spans="13:13" ht="12" customHeight="1" x14ac:dyDescent="0.2">
      <c r="M1427" s="265"/>
    </row>
    <row r="1428" spans="13:13" ht="12" customHeight="1" x14ac:dyDescent="0.2">
      <c r="M1428" s="265"/>
    </row>
    <row r="1429" spans="13:13" ht="12" customHeight="1" x14ac:dyDescent="0.2">
      <c r="M1429" s="265"/>
    </row>
    <row r="1430" spans="13:13" ht="12" customHeight="1" x14ac:dyDescent="0.2">
      <c r="M1430" s="265"/>
    </row>
    <row r="1431" spans="13:13" ht="12" customHeight="1" x14ac:dyDescent="0.2">
      <c r="M1431" s="265"/>
    </row>
    <row r="1432" spans="13:13" ht="12" customHeight="1" x14ac:dyDescent="0.2">
      <c r="M1432" s="265"/>
    </row>
    <row r="1433" spans="13:13" ht="12" customHeight="1" x14ac:dyDescent="0.2">
      <c r="M1433" s="265"/>
    </row>
    <row r="1434" spans="13:13" ht="12" customHeight="1" x14ac:dyDescent="0.2">
      <c r="M1434" s="265"/>
    </row>
    <row r="1435" spans="13:13" ht="12" customHeight="1" x14ac:dyDescent="0.2">
      <c r="M1435" s="265"/>
    </row>
    <row r="1436" spans="13:13" ht="12" customHeight="1" x14ac:dyDescent="0.2">
      <c r="M1436" s="265"/>
    </row>
    <row r="1437" spans="13:13" ht="12" customHeight="1" x14ac:dyDescent="0.2">
      <c r="M1437" s="265"/>
    </row>
    <row r="1438" spans="13:13" ht="12" customHeight="1" x14ac:dyDescent="0.2">
      <c r="M1438" s="265"/>
    </row>
    <row r="1439" spans="13:13" ht="12" customHeight="1" x14ac:dyDescent="0.2">
      <c r="M1439" s="265"/>
    </row>
    <row r="1440" spans="13:13" ht="12" customHeight="1" x14ac:dyDescent="0.2">
      <c r="M1440" s="265"/>
    </row>
    <row r="1441" spans="13:13" ht="12" customHeight="1" x14ac:dyDescent="0.2">
      <c r="M1441" s="265"/>
    </row>
    <row r="1442" spans="13:13" ht="12" customHeight="1" x14ac:dyDescent="0.2">
      <c r="M1442" s="265"/>
    </row>
    <row r="1443" spans="13:13" ht="12" customHeight="1" x14ac:dyDescent="0.2">
      <c r="M1443" s="265"/>
    </row>
    <row r="1444" spans="13:13" ht="12" customHeight="1" x14ac:dyDescent="0.2">
      <c r="M1444" s="265"/>
    </row>
    <row r="1445" spans="13:13" ht="12" customHeight="1" x14ac:dyDescent="0.2">
      <c r="M1445" s="265"/>
    </row>
    <row r="1446" spans="13:13" ht="12" customHeight="1" x14ac:dyDescent="0.2">
      <c r="M1446" s="265"/>
    </row>
    <row r="1447" spans="13:13" ht="12" customHeight="1" x14ac:dyDescent="0.2">
      <c r="M1447" s="265"/>
    </row>
    <row r="1448" spans="13:13" ht="12" customHeight="1" x14ac:dyDescent="0.2">
      <c r="M1448" s="265"/>
    </row>
    <row r="1449" spans="13:13" ht="12" customHeight="1" x14ac:dyDescent="0.2">
      <c r="M1449" s="265"/>
    </row>
    <row r="1450" spans="13:13" ht="12" customHeight="1" x14ac:dyDescent="0.2">
      <c r="M1450" s="265"/>
    </row>
    <row r="1451" spans="13:13" ht="12" customHeight="1" x14ac:dyDescent="0.2">
      <c r="M1451" s="265"/>
    </row>
    <row r="1452" spans="13:13" ht="12" customHeight="1" x14ac:dyDescent="0.2">
      <c r="M1452" s="265"/>
    </row>
    <row r="1453" spans="13:13" ht="12" customHeight="1" x14ac:dyDescent="0.2">
      <c r="M1453" s="265"/>
    </row>
    <row r="1454" spans="13:13" ht="12" customHeight="1" x14ac:dyDescent="0.2">
      <c r="M1454" s="265"/>
    </row>
    <row r="1455" spans="13:13" ht="12" customHeight="1" x14ac:dyDescent="0.2">
      <c r="M1455" s="265"/>
    </row>
    <row r="1456" spans="13:13" ht="12" customHeight="1" x14ac:dyDescent="0.2">
      <c r="M1456" s="265"/>
    </row>
    <row r="1457" spans="13:13" ht="12" customHeight="1" x14ac:dyDescent="0.2">
      <c r="M1457" s="265"/>
    </row>
    <row r="1458" spans="13:13" ht="12" customHeight="1" x14ac:dyDescent="0.2">
      <c r="M1458" s="265"/>
    </row>
    <row r="1459" spans="13:13" ht="12" customHeight="1" x14ac:dyDescent="0.2">
      <c r="M1459" s="265"/>
    </row>
    <row r="1460" spans="13:13" ht="12" customHeight="1" x14ac:dyDescent="0.2">
      <c r="M1460" s="265"/>
    </row>
    <row r="1461" spans="13:13" ht="12" customHeight="1" x14ac:dyDescent="0.2">
      <c r="M1461" s="265"/>
    </row>
    <row r="1462" spans="13:13" ht="12" customHeight="1" x14ac:dyDescent="0.2">
      <c r="M1462" s="265"/>
    </row>
    <row r="1463" spans="13:13" ht="12" customHeight="1" x14ac:dyDescent="0.2">
      <c r="M1463" s="265"/>
    </row>
    <row r="1464" spans="13:13" ht="12" customHeight="1" x14ac:dyDescent="0.2">
      <c r="M1464" s="265"/>
    </row>
    <row r="1465" spans="13:13" ht="12" customHeight="1" x14ac:dyDescent="0.2">
      <c r="M1465" s="265"/>
    </row>
    <row r="1466" spans="13:13" ht="12" customHeight="1" x14ac:dyDescent="0.2">
      <c r="M1466" s="265"/>
    </row>
    <row r="1467" spans="13:13" ht="12" customHeight="1" x14ac:dyDescent="0.2">
      <c r="M1467" s="265"/>
    </row>
    <row r="1468" spans="13:13" ht="12" customHeight="1" x14ac:dyDescent="0.2">
      <c r="M1468" s="265"/>
    </row>
    <row r="1469" spans="13:13" ht="12" customHeight="1" x14ac:dyDescent="0.2">
      <c r="M1469" s="265"/>
    </row>
    <row r="1470" spans="13:13" ht="12" customHeight="1" x14ac:dyDescent="0.2">
      <c r="M1470" s="265"/>
    </row>
    <row r="1471" spans="13:13" ht="12" customHeight="1" x14ac:dyDescent="0.2">
      <c r="M1471" s="265"/>
    </row>
    <row r="1472" spans="13:13" ht="12" customHeight="1" x14ac:dyDescent="0.2">
      <c r="M1472" s="265"/>
    </row>
    <row r="1473" spans="13:13" ht="12" customHeight="1" x14ac:dyDescent="0.2">
      <c r="M1473" s="265"/>
    </row>
    <row r="1474" spans="13:13" ht="12" customHeight="1" x14ac:dyDescent="0.2">
      <c r="M1474" s="265"/>
    </row>
    <row r="1475" spans="13:13" ht="12" customHeight="1" x14ac:dyDescent="0.2">
      <c r="M1475" s="265"/>
    </row>
    <row r="1476" spans="13:13" ht="12" customHeight="1" x14ac:dyDescent="0.2">
      <c r="M1476" s="265"/>
    </row>
    <row r="1477" spans="13:13" ht="12" customHeight="1" x14ac:dyDescent="0.2">
      <c r="M1477" s="265"/>
    </row>
    <row r="1478" spans="13:13" ht="12" customHeight="1" x14ac:dyDescent="0.2">
      <c r="M1478" s="265"/>
    </row>
    <row r="1479" spans="13:13" ht="12" customHeight="1" x14ac:dyDescent="0.2">
      <c r="M1479" s="265"/>
    </row>
    <row r="1480" spans="13:13" ht="12" customHeight="1" x14ac:dyDescent="0.2">
      <c r="M1480" s="265"/>
    </row>
    <row r="1481" spans="13:13" ht="12" customHeight="1" x14ac:dyDescent="0.2">
      <c r="M1481" s="265"/>
    </row>
    <row r="1482" spans="13:13" ht="12" customHeight="1" x14ac:dyDescent="0.2">
      <c r="M1482" s="265"/>
    </row>
    <row r="1483" spans="13:13" ht="12" customHeight="1" x14ac:dyDescent="0.2">
      <c r="M1483" s="265"/>
    </row>
    <row r="1484" spans="13:13" ht="12" customHeight="1" x14ac:dyDescent="0.2">
      <c r="M1484" s="265"/>
    </row>
    <row r="1485" spans="13:13" ht="12" customHeight="1" x14ac:dyDescent="0.2">
      <c r="M1485" s="265"/>
    </row>
    <row r="1486" spans="13:13" ht="12" customHeight="1" x14ac:dyDescent="0.2">
      <c r="M1486" s="265"/>
    </row>
    <row r="1487" spans="13:13" ht="12" customHeight="1" x14ac:dyDescent="0.2">
      <c r="M1487" s="265"/>
    </row>
    <row r="1488" spans="13:13" ht="12" customHeight="1" x14ac:dyDescent="0.2">
      <c r="M1488" s="265"/>
    </row>
    <row r="1489" spans="13:13" ht="12" customHeight="1" x14ac:dyDescent="0.2">
      <c r="M1489" s="265"/>
    </row>
    <row r="1490" spans="13:13" ht="12" customHeight="1" x14ac:dyDescent="0.2">
      <c r="M1490" s="265"/>
    </row>
    <row r="1491" spans="13:13" ht="12" customHeight="1" x14ac:dyDescent="0.2">
      <c r="M1491" s="265"/>
    </row>
    <row r="1492" spans="13:13" ht="12" customHeight="1" x14ac:dyDescent="0.2">
      <c r="M1492" s="265"/>
    </row>
    <row r="1493" spans="13:13" ht="12" customHeight="1" x14ac:dyDescent="0.2">
      <c r="M1493" s="265"/>
    </row>
    <row r="1494" spans="13:13" ht="12" customHeight="1" x14ac:dyDescent="0.2">
      <c r="M1494" s="265"/>
    </row>
    <row r="1495" spans="13:13" ht="12" customHeight="1" x14ac:dyDescent="0.2">
      <c r="M1495" s="265"/>
    </row>
    <row r="1496" spans="13:13" ht="12" customHeight="1" x14ac:dyDescent="0.2">
      <c r="M1496" s="265"/>
    </row>
    <row r="1497" spans="13:13" ht="12" customHeight="1" x14ac:dyDescent="0.2">
      <c r="M1497" s="265"/>
    </row>
    <row r="1498" spans="13:13" ht="12" customHeight="1" x14ac:dyDescent="0.2">
      <c r="M1498" s="265"/>
    </row>
    <row r="1499" spans="13:13" ht="12" customHeight="1" x14ac:dyDescent="0.2">
      <c r="M1499" s="265"/>
    </row>
    <row r="1500" spans="13:13" ht="12" customHeight="1" x14ac:dyDescent="0.2">
      <c r="M1500" s="265"/>
    </row>
    <row r="1501" spans="13:13" ht="12" customHeight="1" x14ac:dyDescent="0.2">
      <c r="M1501" s="265"/>
    </row>
    <row r="1502" spans="13:13" ht="12" customHeight="1" x14ac:dyDescent="0.2">
      <c r="M1502" s="265"/>
    </row>
    <row r="1503" spans="13:13" ht="12" customHeight="1" x14ac:dyDescent="0.2">
      <c r="M1503" s="265"/>
    </row>
    <row r="1504" spans="13:13" ht="12" customHeight="1" x14ac:dyDescent="0.2">
      <c r="M1504" s="265"/>
    </row>
    <row r="1505" spans="13:13" ht="12" customHeight="1" x14ac:dyDescent="0.2">
      <c r="M1505" s="265"/>
    </row>
    <row r="1506" spans="13:13" ht="12" customHeight="1" x14ac:dyDescent="0.2">
      <c r="M1506" s="265"/>
    </row>
    <row r="1507" spans="13:13" ht="12" customHeight="1" x14ac:dyDescent="0.2">
      <c r="M1507" s="265"/>
    </row>
    <row r="1508" spans="13:13" ht="12" customHeight="1" x14ac:dyDescent="0.2">
      <c r="M1508" s="265"/>
    </row>
    <row r="1509" spans="13:13" ht="12" customHeight="1" x14ac:dyDescent="0.2">
      <c r="M1509" s="265"/>
    </row>
    <row r="1510" spans="13:13" ht="12" customHeight="1" x14ac:dyDescent="0.2">
      <c r="M1510" s="265"/>
    </row>
    <row r="1511" spans="13:13" ht="12" customHeight="1" x14ac:dyDescent="0.2">
      <c r="M1511" s="265"/>
    </row>
    <row r="1512" spans="13:13" ht="12" customHeight="1" x14ac:dyDescent="0.2">
      <c r="M1512" s="265"/>
    </row>
    <row r="1513" spans="13:13" ht="12" customHeight="1" x14ac:dyDescent="0.2">
      <c r="M1513" s="265"/>
    </row>
    <row r="1514" spans="13:13" ht="12" customHeight="1" x14ac:dyDescent="0.2">
      <c r="M1514" s="265"/>
    </row>
    <row r="1515" spans="13:13" ht="12" customHeight="1" x14ac:dyDescent="0.2">
      <c r="M1515" s="265"/>
    </row>
    <row r="1516" spans="13:13" ht="12" customHeight="1" x14ac:dyDescent="0.2">
      <c r="M1516" s="265"/>
    </row>
    <row r="1517" spans="13:13" ht="12" customHeight="1" x14ac:dyDescent="0.2">
      <c r="M1517" s="265"/>
    </row>
    <row r="1518" spans="13:13" ht="12" customHeight="1" x14ac:dyDescent="0.2">
      <c r="M1518" s="265"/>
    </row>
    <row r="1519" spans="13:13" ht="12" customHeight="1" x14ac:dyDescent="0.2">
      <c r="M1519" s="265"/>
    </row>
    <row r="1520" spans="13:13" ht="12" customHeight="1" x14ac:dyDescent="0.2">
      <c r="M1520" s="265"/>
    </row>
    <row r="1521" spans="13:13" ht="12" customHeight="1" x14ac:dyDescent="0.2">
      <c r="M1521" s="265"/>
    </row>
    <row r="1522" spans="13:13" ht="12" customHeight="1" x14ac:dyDescent="0.2">
      <c r="M1522" s="265"/>
    </row>
    <row r="1523" spans="13:13" ht="12" customHeight="1" x14ac:dyDescent="0.2">
      <c r="M1523" s="265"/>
    </row>
    <row r="1524" spans="13:13" ht="12" customHeight="1" x14ac:dyDescent="0.2">
      <c r="M1524" s="265"/>
    </row>
    <row r="1525" spans="13:13" ht="12" customHeight="1" x14ac:dyDescent="0.2">
      <c r="M1525" s="265"/>
    </row>
    <row r="1526" spans="13:13" ht="12" customHeight="1" x14ac:dyDescent="0.2">
      <c r="M1526" s="265"/>
    </row>
    <row r="1527" spans="13:13" ht="12" customHeight="1" x14ac:dyDescent="0.2">
      <c r="M1527" s="265"/>
    </row>
    <row r="1528" spans="13:13" ht="12" customHeight="1" x14ac:dyDescent="0.2">
      <c r="M1528" s="265"/>
    </row>
    <row r="1529" spans="13:13" ht="12" customHeight="1" x14ac:dyDescent="0.2">
      <c r="M1529" s="265"/>
    </row>
    <row r="1530" spans="13:13" ht="12" customHeight="1" x14ac:dyDescent="0.2">
      <c r="M1530" s="265"/>
    </row>
    <row r="1531" spans="13:13" ht="12" customHeight="1" x14ac:dyDescent="0.2">
      <c r="M1531" s="265"/>
    </row>
    <row r="1532" spans="13:13" ht="12" customHeight="1" x14ac:dyDescent="0.2">
      <c r="M1532" s="265"/>
    </row>
    <row r="1533" spans="13:13" ht="12" customHeight="1" x14ac:dyDescent="0.2">
      <c r="M1533" s="265"/>
    </row>
    <row r="1534" spans="13:13" ht="12" customHeight="1" x14ac:dyDescent="0.2">
      <c r="M1534" s="265"/>
    </row>
    <row r="1535" spans="13:13" ht="12" customHeight="1" x14ac:dyDescent="0.2">
      <c r="M1535" s="265"/>
    </row>
    <row r="1536" spans="13:13" ht="12" customHeight="1" x14ac:dyDescent="0.2">
      <c r="M1536" s="265"/>
    </row>
    <row r="1537" spans="13:13" ht="12" customHeight="1" x14ac:dyDescent="0.2">
      <c r="M1537" s="265"/>
    </row>
    <row r="1538" spans="13:13" ht="12" customHeight="1" x14ac:dyDescent="0.2">
      <c r="M1538" s="265"/>
    </row>
    <row r="1539" spans="13:13" ht="12" customHeight="1" x14ac:dyDescent="0.2">
      <c r="M1539" s="265"/>
    </row>
    <row r="1540" spans="13:13" ht="12" customHeight="1" x14ac:dyDescent="0.2">
      <c r="M1540" s="265"/>
    </row>
    <row r="1541" spans="13:13" ht="12" customHeight="1" x14ac:dyDescent="0.2">
      <c r="M1541" s="265"/>
    </row>
    <row r="1542" spans="13:13" ht="12" customHeight="1" x14ac:dyDescent="0.2">
      <c r="M1542" s="265"/>
    </row>
    <row r="1543" spans="13:13" ht="12" customHeight="1" x14ac:dyDescent="0.2">
      <c r="M1543" s="265"/>
    </row>
    <row r="1544" spans="13:13" ht="12" customHeight="1" x14ac:dyDescent="0.2">
      <c r="M1544" s="265"/>
    </row>
    <row r="1545" spans="13:13" ht="12" customHeight="1" x14ac:dyDescent="0.2">
      <c r="M1545" s="265"/>
    </row>
    <row r="1546" spans="13:13" ht="12" customHeight="1" x14ac:dyDescent="0.2">
      <c r="M1546" s="265"/>
    </row>
    <row r="1547" spans="13:13" ht="12" customHeight="1" x14ac:dyDescent="0.2">
      <c r="M1547" s="265"/>
    </row>
    <row r="1548" spans="13:13" ht="12" customHeight="1" x14ac:dyDescent="0.2">
      <c r="M1548" s="265"/>
    </row>
    <row r="1549" spans="13:13" ht="12" customHeight="1" x14ac:dyDescent="0.2">
      <c r="M1549" s="265"/>
    </row>
    <row r="1550" spans="13:13" ht="12" customHeight="1" x14ac:dyDescent="0.2">
      <c r="M1550" s="265"/>
    </row>
    <row r="1551" spans="13:13" ht="12" customHeight="1" x14ac:dyDescent="0.2">
      <c r="M1551" s="265"/>
    </row>
    <row r="1552" spans="13:13" ht="12" customHeight="1" x14ac:dyDescent="0.2">
      <c r="M1552" s="265"/>
    </row>
    <row r="1553" spans="13:13" ht="12" customHeight="1" x14ac:dyDescent="0.2">
      <c r="M1553" s="265"/>
    </row>
    <row r="1554" spans="13:13" ht="12" customHeight="1" x14ac:dyDescent="0.2">
      <c r="M1554" s="265"/>
    </row>
    <row r="1555" spans="13:13" ht="12" customHeight="1" x14ac:dyDescent="0.2">
      <c r="M1555" s="265"/>
    </row>
    <row r="1556" spans="13:13" ht="12" customHeight="1" x14ac:dyDescent="0.2">
      <c r="M1556" s="265"/>
    </row>
    <row r="1557" spans="13:13" ht="12" customHeight="1" x14ac:dyDescent="0.2">
      <c r="M1557" s="265"/>
    </row>
    <row r="1558" spans="13:13" ht="12" customHeight="1" x14ac:dyDescent="0.2">
      <c r="M1558" s="265"/>
    </row>
    <row r="1559" spans="13:13" ht="12" customHeight="1" x14ac:dyDescent="0.2">
      <c r="M1559" s="265"/>
    </row>
    <row r="1560" spans="13:13" ht="12" customHeight="1" x14ac:dyDescent="0.2">
      <c r="M1560" s="265"/>
    </row>
    <row r="1561" spans="13:13" ht="12" customHeight="1" x14ac:dyDescent="0.2">
      <c r="M1561" s="265"/>
    </row>
    <row r="1562" spans="13:13" ht="12" customHeight="1" x14ac:dyDescent="0.2">
      <c r="M1562" s="265"/>
    </row>
    <row r="1563" spans="13:13" ht="12" customHeight="1" x14ac:dyDescent="0.2">
      <c r="M1563" s="265"/>
    </row>
    <row r="1564" spans="13:13" ht="12" customHeight="1" x14ac:dyDescent="0.2">
      <c r="M1564" s="265"/>
    </row>
    <row r="1565" spans="13:13" ht="12" customHeight="1" x14ac:dyDescent="0.2">
      <c r="M1565" s="265"/>
    </row>
    <row r="1566" spans="13:13" ht="12" customHeight="1" x14ac:dyDescent="0.2">
      <c r="M1566" s="265"/>
    </row>
    <row r="1567" spans="13:13" ht="12" customHeight="1" x14ac:dyDescent="0.2">
      <c r="M1567" s="265"/>
    </row>
    <row r="1568" spans="13:13" ht="12" customHeight="1" x14ac:dyDescent="0.2">
      <c r="M1568" s="265"/>
    </row>
    <row r="1569" spans="13:13" ht="12" customHeight="1" x14ac:dyDescent="0.2">
      <c r="M1569" s="265"/>
    </row>
    <row r="1570" spans="13:13" ht="12" customHeight="1" x14ac:dyDescent="0.2">
      <c r="M1570" s="265"/>
    </row>
    <row r="1571" spans="13:13" ht="12" customHeight="1" x14ac:dyDescent="0.2">
      <c r="M1571" s="265"/>
    </row>
    <row r="1572" spans="13:13" ht="12" customHeight="1" x14ac:dyDescent="0.2">
      <c r="M1572" s="265"/>
    </row>
    <row r="1573" spans="13:13" ht="12" customHeight="1" x14ac:dyDescent="0.2">
      <c r="M1573" s="265"/>
    </row>
    <row r="1574" spans="13:13" ht="12" customHeight="1" x14ac:dyDescent="0.2">
      <c r="M1574" s="265"/>
    </row>
    <row r="1575" spans="13:13" ht="12" customHeight="1" x14ac:dyDescent="0.2">
      <c r="M1575" s="265"/>
    </row>
    <row r="1576" spans="13:13" ht="12" customHeight="1" x14ac:dyDescent="0.2">
      <c r="M1576" s="265"/>
    </row>
    <row r="1577" spans="13:13" ht="12" customHeight="1" x14ac:dyDescent="0.2">
      <c r="M1577" s="265"/>
    </row>
    <row r="1578" spans="13:13" ht="12" customHeight="1" x14ac:dyDescent="0.2">
      <c r="M1578" s="265"/>
    </row>
    <row r="1579" spans="13:13" ht="12" customHeight="1" x14ac:dyDescent="0.2">
      <c r="M1579" s="265"/>
    </row>
    <row r="1580" spans="13:13" ht="12" customHeight="1" x14ac:dyDescent="0.2">
      <c r="M1580" s="265"/>
    </row>
    <row r="1581" spans="13:13" ht="12" customHeight="1" x14ac:dyDescent="0.2">
      <c r="M1581" s="265"/>
    </row>
    <row r="1582" spans="13:13" ht="12" customHeight="1" x14ac:dyDescent="0.2">
      <c r="M1582" s="265"/>
    </row>
    <row r="1583" spans="13:13" ht="12" customHeight="1" x14ac:dyDescent="0.2">
      <c r="M1583" s="265"/>
    </row>
    <row r="1584" spans="13:13" ht="12" customHeight="1" x14ac:dyDescent="0.2">
      <c r="M1584" s="265"/>
    </row>
    <row r="1585" spans="13:13" ht="12" customHeight="1" x14ac:dyDescent="0.2">
      <c r="M1585" s="265"/>
    </row>
    <row r="1586" spans="13:13" ht="12" customHeight="1" x14ac:dyDescent="0.2">
      <c r="M1586" s="265"/>
    </row>
    <row r="1587" spans="13:13" ht="12" customHeight="1" x14ac:dyDescent="0.2">
      <c r="M1587" s="265"/>
    </row>
    <row r="1588" spans="13:13" ht="12" customHeight="1" x14ac:dyDescent="0.2">
      <c r="M1588" s="265"/>
    </row>
    <row r="1589" spans="13:13" ht="12" customHeight="1" x14ac:dyDescent="0.2">
      <c r="M1589" s="265"/>
    </row>
    <row r="1590" spans="13:13" ht="12" customHeight="1" x14ac:dyDescent="0.2">
      <c r="M1590" s="265"/>
    </row>
    <row r="1591" spans="13:13" ht="12" customHeight="1" x14ac:dyDescent="0.2">
      <c r="M1591" s="265"/>
    </row>
    <row r="1592" spans="13:13" ht="12" customHeight="1" x14ac:dyDescent="0.2">
      <c r="M1592" s="265"/>
    </row>
    <row r="1593" spans="13:13" ht="12" customHeight="1" x14ac:dyDescent="0.2">
      <c r="M1593" s="265"/>
    </row>
    <row r="1594" spans="13:13" ht="12" customHeight="1" x14ac:dyDescent="0.2">
      <c r="M1594" s="265"/>
    </row>
    <row r="1595" spans="13:13" ht="12" customHeight="1" x14ac:dyDescent="0.2">
      <c r="M1595" s="265"/>
    </row>
    <row r="1596" spans="13:13" ht="12" customHeight="1" x14ac:dyDescent="0.2">
      <c r="M1596" s="265"/>
    </row>
    <row r="1597" spans="13:13" ht="12" customHeight="1" x14ac:dyDescent="0.2">
      <c r="M1597" s="265"/>
    </row>
    <row r="1598" spans="13:13" ht="12" customHeight="1" x14ac:dyDescent="0.2">
      <c r="M1598" s="265"/>
    </row>
    <row r="1599" spans="13:13" ht="12" customHeight="1" x14ac:dyDescent="0.2">
      <c r="M1599" s="265"/>
    </row>
    <row r="1600" spans="13:13" ht="12" customHeight="1" x14ac:dyDescent="0.2">
      <c r="M1600" s="265"/>
    </row>
    <row r="1601" spans="13:13" ht="12" customHeight="1" x14ac:dyDescent="0.2">
      <c r="M1601" s="265"/>
    </row>
    <row r="1602" spans="13:13" ht="12" customHeight="1" x14ac:dyDescent="0.2">
      <c r="M1602" s="265"/>
    </row>
    <row r="1603" spans="13:13" ht="12" customHeight="1" x14ac:dyDescent="0.2">
      <c r="M1603" s="265"/>
    </row>
    <row r="1604" spans="13:13" ht="12" customHeight="1" x14ac:dyDescent="0.2">
      <c r="M1604" s="265"/>
    </row>
    <row r="1605" spans="13:13" ht="12" customHeight="1" x14ac:dyDescent="0.2">
      <c r="M1605" s="265"/>
    </row>
    <row r="1606" spans="13:13" ht="12" customHeight="1" x14ac:dyDescent="0.2">
      <c r="M1606" s="265"/>
    </row>
    <row r="1607" spans="13:13" ht="12" customHeight="1" x14ac:dyDescent="0.2">
      <c r="M1607" s="265"/>
    </row>
    <row r="1608" spans="13:13" ht="12" customHeight="1" x14ac:dyDescent="0.2">
      <c r="M1608" s="265"/>
    </row>
    <row r="1609" spans="13:13" ht="12" customHeight="1" x14ac:dyDescent="0.2">
      <c r="M1609" s="265"/>
    </row>
    <row r="1610" spans="13:13" ht="12" customHeight="1" x14ac:dyDescent="0.2">
      <c r="M1610" s="265"/>
    </row>
    <row r="1611" spans="13:13" ht="12" customHeight="1" x14ac:dyDescent="0.2">
      <c r="M1611" s="265"/>
    </row>
    <row r="1612" spans="13:13" ht="12" customHeight="1" x14ac:dyDescent="0.2">
      <c r="M1612" s="265"/>
    </row>
    <row r="1613" spans="13:13" ht="12" customHeight="1" x14ac:dyDescent="0.2">
      <c r="M1613" s="265"/>
    </row>
    <row r="1614" spans="13:13" ht="12" customHeight="1" x14ac:dyDescent="0.2">
      <c r="M1614" s="265"/>
    </row>
    <row r="1615" spans="13:13" ht="12" customHeight="1" x14ac:dyDescent="0.2">
      <c r="M1615" s="265"/>
    </row>
    <row r="1616" spans="13:13" ht="12" customHeight="1" x14ac:dyDescent="0.2">
      <c r="M1616" s="265"/>
    </row>
    <row r="1617" spans="13:13" ht="12" customHeight="1" x14ac:dyDescent="0.2">
      <c r="M1617" s="265"/>
    </row>
    <row r="1618" spans="13:13" ht="12" customHeight="1" x14ac:dyDescent="0.2">
      <c r="M1618" s="265"/>
    </row>
    <row r="1619" spans="13:13" ht="12" customHeight="1" x14ac:dyDescent="0.2">
      <c r="M1619" s="265"/>
    </row>
    <row r="1620" spans="13:13" ht="12" customHeight="1" x14ac:dyDescent="0.2">
      <c r="M1620" s="265"/>
    </row>
    <row r="1621" spans="13:13" ht="12" customHeight="1" x14ac:dyDescent="0.2">
      <c r="M1621" s="265"/>
    </row>
    <row r="1622" spans="13:13" ht="12" customHeight="1" x14ac:dyDescent="0.2">
      <c r="M1622" s="265"/>
    </row>
    <row r="1623" spans="13:13" ht="12" customHeight="1" x14ac:dyDescent="0.2">
      <c r="M1623" s="265"/>
    </row>
    <row r="1624" spans="13:13" ht="12" customHeight="1" x14ac:dyDescent="0.2">
      <c r="M1624" s="265"/>
    </row>
    <row r="1625" spans="13:13" ht="12" customHeight="1" x14ac:dyDescent="0.2">
      <c r="M1625" s="265"/>
    </row>
    <row r="1626" spans="13:13" ht="12" customHeight="1" x14ac:dyDescent="0.2">
      <c r="M1626" s="265"/>
    </row>
    <row r="1627" spans="13:13" ht="12" customHeight="1" x14ac:dyDescent="0.2">
      <c r="M1627" s="265"/>
    </row>
    <row r="1628" spans="13:13" ht="12" customHeight="1" x14ac:dyDescent="0.2">
      <c r="M1628" s="265"/>
    </row>
    <row r="1629" spans="13:13" ht="12" customHeight="1" x14ac:dyDescent="0.2">
      <c r="M1629" s="265"/>
    </row>
    <row r="1630" spans="13:13" ht="12" customHeight="1" x14ac:dyDescent="0.2">
      <c r="M1630" s="265"/>
    </row>
    <row r="1631" spans="13:13" ht="12" customHeight="1" x14ac:dyDescent="0.2">
      <c r="M1631" s="265"/>
    </row>
    <row r="1632" spans="13:13" ht="12" customHeight="1" x14ac:dyDescent="0.2">
      <c r="M1632" s="265"/>
    </row>
    <row r="1633" spans="13:13" ht="12" customHeight="1" x14ac:dyDescent="0.2">
      <c r="M1633" s="265"/>
    </row>
    <row r="1634" spans="13:13" ht="12" customHeight="1" x14ac:dyDescent="0.2">
      <c r="M1634" s="265"/>
    </row>
    <row r="1635" spans="13:13" ht="12" customHeight="1" x14ac:dyDescent="0.2">
      <c r="M1635" s="265"/>
    </row>
    <row r="1636" spans="13:13" ht="12" customHeight="1" x14ac:dyDescent="0.2">
      <c r="M1636" s="265"/>
    </row>
    <row r="1637" spans="13:13" ht="12" customHeight="1" x14ac:dyDescent="0.2">
      <c r="M1637" s="265"/>
    </row>
    <row r="1638" spans="13:13" ht="12" customHeight="1" x14ac:dyDescent="0.2">
      <c r="M1638" s="265"/>
    </row>
    <row r="1639" spans="13:13" ht="12" customHeight="1" x14ac:dyDescent="0.2">
      <c r="M1639" s="265"/>
    </row>
    <row r="1640" spans="13:13" ht="12" customHeight="1" x14ac:dyDescent="0.2">
      <c r="M1640" s="265"/>
    </row>
    <row r="1641" spans="13:13" ht="12" customHeight="1" x14ac:dyDescent="0.2">
      <c r="M1641" s="265"/>
    </row>
    <row r="1642" spans="13:13" ht="12" customHeight="1" x14ac:dyDescent="0.2">
      <c r="M1642" s="265"/>
    </row>
    <row r="1643" spans="13:13" ht="12" customHeight="1" x14ac:dyDescent="0.2">
      <c r="M1643" s="265"/>
    </row>
    <row r="1644" spans="13:13" ht="12" customHeight="1" x14ac:dyDescent="0.2">
      <c r="M1644" s="265"/>
    </row>
    <row r="1645" spans="13:13" ht="12" customHeight="1" x14ac:dyDescent="0.2">
      <c r="M1645" s="265"/>
    </row>
    <row r="1646" spans="13:13" ht="12" customHeight="1" x14ac:dyDescent="0.2">
      <c r="M1646" s="265"/>
    </row>
    <row r="1647" spans="13:13" ht="12" customHeight="1" x14ac:dyDescent="0.2">
      <c r="M1647" s="265"/>
    </row>
    <row r="1648" spans="13:13" ht="12" customHeight="1" x14ac:dyDescent="0.2">
      <c r="M1648" s="265"/>
    </row>
    <row r="1649" spans="13:13" ht="12" customHeight="1" x14ac:dyDescent="0.2">
      <c r="M1649" s="265"/>
    </row>
    <row r="1650" spans="13:13" ht="12" customHeight="1" x14ac:dyDescent="0.2">
      <c r="M1650" s="265"/>
    </row>
    <row r="1651" spans="13:13" ht="12" customHeight="1" x14ac:dyDescent="0.2">
      <c r="M1651" s="265"/>
    </row>
    <row r="1652" spans="13:13" ht="12" customHeight="1" x14ac:dyDescent="0.2">
      <c r="M1652" s="265"/>
    </row>
    <row r="1653" spans="13:13" ht="12" customHeight="1" x14ac:dyDescent="0.2">
      <c r="M1653" s="265"/>
    </row>
    <row r="1654" spans="13:13" ht="12" customHeight="1" x14ac:dyDescent="0.2">
      <c r="M1654" s="265"/>
    </row>
    <row r="1655" spans="13:13" ht="12" customHeight="1" x14ac:dyDescent="0.2">
      <c r="M1655" s="265"/>
    </row>
    <row r="1656" spans="13:13" ht="12" customHeight="1" x14ac:dyDescent="0.2">
      <c r="M1656" s="265"/>
    </row>
    <row r="1657" spans="13:13" ht="12" customHeight="1" x14ac:dyDescent="0.2">
      <c r="M1657" s="265"/>
    </row>
    <row r="1658" spans="13:13" ht="12" customHeight="1" x14ac:dyDescent="0.2">
      <c r="M1658" s="265"/>
    </row>
    <row r="1659" spans="13:13" ht="12" customHeight="1" x14ac:dyDescent="0.2">
      <c r="M1659" s="265"/>
    </row>
    <row r="1660" spans="13:13" ht="12" customHeight="1" x14ac:dyDescent="0.2">
      <c r="M1660" s="265"/>
    </row>
    <row r="1661" spans="13:13" ht="12" customHeight="1" x14ac:dyDescent="0.2">
      <c r="M1661" s="265"/>
    </row>
    <row r="1662" spans="13:13" ht="12" customHeight="1" x14ac:dyDescent="0.2">
      <c r="M1662" s="265"/>
    </row>
    <row r="1663" spans="13:13" ht="12" customHeight="1" x14ac:dyDescent="0.2">
      <c r="M1663" s="265"/>
    </row>
    <row r="1664" spans="13:13" ht="12" customHeight="1" x14ac:dyDescent="0.2">
      <c r="M1664" s="265"/>
    </row>
    <row r="1665" spans="13:13" ht="12" customHeight="1" x14ac:dyDescent="0.2">
      <c r="M1665" s="265"/>
    </row>
    <row r="1666" spans="13:13" ht="12" customHeight="1" x14ac:dyDescent="0.2">
      <c r="M1666" s="265"/>
    </row>
    <row r="1667" spans="13:13" ht="12" customHeight="1" x14ac:dyDescent="0.2">
      <c r="M1667" s="265"/>
    </row>
    <row r="1668" spans="13:13" ht="12" customHeight="1" x14ac:dyDescent="0.2">
      <c r="M1668" s="265"/>
    </row>
    <row r="1669" spans="13:13" ht="12" customHeight="1" x14ac:dyDescent="0.2">
      <c r="M1669" s="265"/>
    </row>
    <row r="1670" spans="13:13" ht="12" customHeight="1" x14ac:dyDescent="0.2">
      <c r="M1670" s="265"/>
    </row>
    <row r="1671" spans="13:13" ht="12" customHeight="1" x14ac:dyDescent="0.2">
      <c r="M1671" s="265"/>
    </row>
    <row r="1672" spans="13:13" ht="12" customHeight="1" x14ac:dyDescent="0.2">
      <c r="M1672" s="265"/>
    </row>
    <row r="1673" spans="13:13" ht="12" customHeight="1" x14ac:dyDescent="0.2">
      <c r="M1673" s="265"/>
    </row>
    <row r="1674" spans="13:13" ht="12" customHeight="1" x14ac:dyDescent="0.2">
      <c r="M1674" s="265"/>
    </row>
    <row r="1675" spans="13:13" ht="12" customHeight="1" x14ac:dyDescent="0.2">
      <c r="M1675" s="265"/>
    </row>
    <row r="1676" spans="13:13" ht="12" customHeight="1" x14ac:dyDescent="0.2">
      <c r="M1676" s="265"/>
    </row>
    <row r="1677" spans="13:13" ht="12" customHeight="1" x14ac:dyDescent="0.2">
      <c r="M1677" s="265"/>
    </row>
    <row r="1678" spans="13:13" ht="12" customHeight="1" x14ac:dyDescent="0.2">
      <c r="M1678" s="265"/>
    </row>
    <row r="1679" spans="13:13" ht="12" customHeight="1" x14ac:dyDescent="0.2">
      <c r="M1679" s="265"/>
    </row>
    <row r="1680" spans="13:13" ht="12" customHeight="1" x14ac:dyDescent="0.2">
      <c r="M1680" s="265"/>
    </row>
    <row r="1681" spans="13:13" ht="12" customHeight="1" x14ac:dyDescent="0.2">
      <c r="M1681" s="265"/>
    </row>
    <row r="1682" spans="13:13" ht="12" customHeight="1" x14ac:dyDescent="0.2">
      <c r="M1682" s="265"/>
    </row>
    <row r="1683" spans="13:13" ht="12" customHeight="1" x14ac:dyDescent="0.2">
      <c r="M1683" s="265"/>
    </row>
    <row r="1684" spans="13:13" ht="12" customHeight="1" x14ac:dyDescent="0.2">
      <c r="M1684" s="265"/>
    </row>
    <row r="1685" spans="13:13" ht="12" customHeight="1" x14ac:dyDescent="0.2">
      <c r="M1685" s="265"/>
    </row>
    <row r="1686" spans="13:13" ht="12" customHeight="1" x14ac:dyDescent="0.2">
      <c r="M1686" s="265"/>
    </row>
    <row r="1687" spans="13:13" ht="12" customHeight="1" x14ac:dyDescent="0.2">
      <c r="M1687" s="265"/>
    </row>
    <row r="1688" spans="13:13" ht="12" customHeight="1" x14ac:dyDescent="0.2">
      <c r="M1688" s="265"/>
    </row>
    <row r="1689" spans="13:13" ht="12" customHeight="1" x14ac:dyDescent="0.2">
      <c r="M1689" s="265"/>
    </row>
    <row r="1690" spans="13:13" ht="12" customHeight="1" x14ac:dyDescent="0.2">
      <c r="M1690" s="265"/>
    </row>
    <row r="1691" spans="13:13" ht="12" customHeight="1" x14ac:dyDescent="0.2">
      <c r="M1691" s="265"/>
    </row>
    <row r="1692" spans="13:13" ht="12" customHeight="1" x14ac:dyDescent="0.2">
      <c r="M1692" s="265"/>
    </row>
    <row r="1693" spans="13:13" ht="12" customHeight="1" x14ac:dyDescent="0.2">
      <c r="M1693" s="265"/>
    </row>
    <row r="1694" spans="13:13" ht="12" customHeight="1" x14ac:dyDescent="0.2">
      <c r="M1694" s="265"/>
    </row>
    <row r="1695" spans="13:13" ht="12" customHeight="1" x14ac:dyDescent="0.2">
      <c r="M1695" s="265"/>
    </row>
    <row r="1696" spans="13:13" ht="12" customHeight="1" x14ac:dyDescent="0.2">
      <c r="M1696" s="265"/>
    </row>
    <row r="1697" spans="13:13" ht="12" customHeight="1" x14ac:dyDescent="0.2">
      <c r="M1697" s="265"/>
    </row>
    <row r="1698" spans="13:13" ht="12" customHeight="1" x14ac:dyDescent="0.2">
      <c r="M1698" s="265"/>
    </row>
    <row r="1699" spans="13:13" ht="12" customHeight="1" x14ac:dyDescent="0.2">
      <c r="M1699" s="265"/>
    </row>
    <row r="1700" spans="13:13" ht="12" customHeight="1" x14ac:dyDescent="0.2">
      <c r="M1700" s="265"/>
    </row>
    <row r="1701" spans="13:13" ht="12" customHeight="1" x14ac:dyDescent="0.2">
      <c r="M1701" s="265"/>
    </row>
    <row r="1702" spans="13:13" ht="12" customHeight="1" x14ac:dyDescent="0.2">
      <c r="M1702" s="265"/>
    </row>
    <row r="1703" spans="13:13" ht="12" customHeight="1" x14ac:dyDescent="0.2">
      <c r="M1703" s="265"/>
    </row>
    <row r="1704" spans="13:13" ht="12" customHeight="1" x14ac:dyDescent="0.2">
      <c r="M1704" s="265"/>
    </row>
    <row r="1705" spans="13:13" ht="12" customHeight="1" x14ac:dyDescent="0.2">
      <c r="M1705" s="265"/>
    </row>
    <row r="1706" spans="13:13" ht="12" customHeight="1" x14ac:dyDescent="0.2">
      <c r="M1706" s="265"/>
    </row>
    <row r="1707" spans="13:13" ht="12" customHeight="1" x14ac:dyDescent="0.2">
      <c r="M1707" s="265"/>
    </row>
    <row r="1708" spans="13:13" ht="12" customHeight="1" x14ac:dyDescent="0.2">
      <c r="M1708" s="265"/>
    </row>
    <row r="1709" spans="13:13" ht="12" customHeight="1" x14ac:dyDescent="0.2">
      <c r="M1709" s="265"/>
    </row>
    <row r="1710" spans="13:13" ht="12" customHeight="1" x14ac:dyDescent="0.2">
      <c r="M1710" s="265"/>
    </row>
    <row r="1711" spans="13:13" ht="12" customHeight="1" x14ac:dyDescent="0.2">
      <c r="M1711" s="265"/>
    </row>
    <row r="1712" spans="13:13" ht="12" customHeight="1" x14ac:dyDescent="0.2">
      <c r="M1712" s="265"/>
    </row>
    <row r="1713" spans="13:13" ht="12" customHeight="1" x14ac:dyDescent="0.2">
      <c r="M1713" s="265"/>
    </row>
    <row r="1714" spans="13:13" ht="12" customHeight="1" x14ac:dyDescent="0.2">
      <c r="M1714" s="265"/>
    </row>
    <row r="1715" spans="13:13" ht="12" customHeight="1" x14ac:dyDescent="0.2">
      <c r="M1715" s="265"/>
    </row>
    <row r="1716" spans="13:13" ht="12" customHeight="1" x14ac:dyDescent="0.2">
      <c r="M1716" s="265"/>
    </row>
    <row r="1717" spans="13:13" ht="12" customHeight="1" x14ac:dyDescent="0.2">
      <c r="M1717" s="265"/>
    </row>
    <row r="1718" spans="13:13" ht="12" customHeight="1" x14ac:dyDescent="0.2">
      <c r="M1718" s="265"/>
    </row>
    <row r="1719" spans="13:13" ht="12" customHeight="1" x14ac:dyDescent="0.2">
      <c r="M1719" s="265"/>
    </row>
    <row r="1720" spans="13:13" ht="12" customHeight="1" x14ac:dyDescent="0.2">
      <c r="M1720" s="265"/>
    </row>
    <row r="1721" spans="13:13" ht="12" customHeight="1" x14ac:dyDescent="0.2">
      <c r="M1721" s="265"/>
    </row>
    <row r="1722" spans="13:13" ht="12" customHeight="1" x14ac:dyDescent="0.2">
      <c r="M1722" s="265"/>
    </row>
    <row r="1723" spans="13:13" ht="12" customHeight="1" x14ac:dyDescent="0.2">
      <c r="M1723" s="265"/>
    </row>
    <row r="1724" spans="13:13" ht="12" customHeight="1" x14ac:dyDescent="0.2">
      <c r="M1724" s="265"/>
    </row>
    <row r="1725" spans="13:13" ht="12" customHeight="1" x14ac:dyDescent="0.2">
      <c r="M1725" s="265"/>
    </row>
    <row r="1726" spans="13:13" ht="12" customHeight="1" x14ac:dyDescent="0.2">
      <c r="M1726" s="265"/>
    </row>
    <row r="1727" spans="13:13" ht="12" customHeight="1" x14ac:dyDescent="0.2">
      <c r="M1727" s="265"/>
    </row>
    <row r="1728" spans="13:13" ht="12" customHeight="1" x14ac:dyDescent="0.2">
      <c r="M1728" s="265"/>
    </row>
    <row r="1729" spans="13:13" ht="12" customHeight="1" x14ac:dyDescent="0.2">
      <c r="M1729" s="265"/>
    </row>
    <row r="1730" spans="13:13" ht="12" customHeight="1" x14ac:dyDescent="0.2">
      <c r="M1730" s="265"/>
    </row>
    <row r="1731" spans="13:13" ht="12" customHeight="1" x14ac:dyDescent="0.2">
      <c r="M1731" s="265"/>
    </row>
    <row r="1732" spans="13:13" ht="12" customHeight="1" x14ac:dyDescent="0.2">
      <c r="M1732" s="265"/>
    </row>
    <row r="1733" spans="13:13" ht="12" customHeight="1" x14ac:dyDescent="0.2">
      <c r="M1733" s="265"/>
    </row>
    <row r="1734" spans="13:13" ht="12" customHeight="1" x14ac:dyDescent="0.2">
      <c r="M1734" s="265"/>
    </row>
    <row r="1735" spans="13:13" ht="12" customHeight="1" x14ac:dyDescent="0.2">
      <c r="M1735" s="265"/>
    </row>
    <row r="1736" spans="13:13" ht="12" customHeight="1" x14ac:dyDescent="0.2">
      <c r="M1736" s="265"/>
    </row>
    <row r="1737" spans="13:13" ht="12" customHeight="1" x14ac:dyDescent="0.2">
      <c r="M1737" s="265"/>
    </row>
    <row r="1738" spans="13:13" ht="12" customHeight="1" x14ac:dyDescent="0.2">
      <c r="M1738" s="265"/>
    </row>
    <row r="1739" spans="13:13" ht="12" customHeight="1" x14ac:dyDescent="0.2">
      <c r="M1739" s="265"/>
    </row>
    <row r="1740" spans="13:13" ht="12" customHeight="1" x14ac:dyDescent="0.2">
      <c r="M1740" s="265"/>
    </row>
    <row r="1741" spans="13:13" ht="12" customHeight="1" x14ac:dyDescent="0.2">
      <c r="M1741" s="265"/>
    </row>
    <row r="1742" spans="13:13" ht="12" customHeight="1" x14ac:dyDescent="0.2">
      <c r="M1742" s="265"/>
    </row>
    <row r="1743" spans="13:13" ht="12" customHeight="1" x14ac:dyDescent="0.2">
      <c r="M1743" s="265"/>
    </row>
    <row r="1744" spans="13:13" ht="12" customHeight="1" x14ac:dyDescent="0.2">
      <c r="M1744" s="265"/>
    </row>
    <row r="1745" spans="13:13" ht="12" customHeight="1" x14ac:dyDescent="0.2">
      <c r="M1745" s="265"/>
    </row>
    <row r="1746" spans="13:13" ht="12" customHeight="1" x14ac:dyDescent="0.2">
      <c r="M1746" s="265"/>
    </row>
    <row r="1747" spans="13:13" ht="12" customHeight="1" x14ac:dyDescent="0.2">
      <c r="M1747" s="265"/>
    </row>
    <row r="1748" spans="13:13" ht="12" customHeight="1" x14ac:dyDescent="0.2">
      <c r="M1748" s="265"/>
    </row>
    <row r="1749" spans="13:13" ht="12" customHeight="1" x14ac:dyDescent="0.2">
      <c r="M1749" s="265"/>
    </row>
    <row r="1750" spans="13:13" ht="12" customHeight="1" x14ac:dyDescent="0.2">
      <c r="M1750" s="265"/>
    </row>
    <row r="1751" spans="13:13" ht="12" customHeight="1" x14ac:dyDescent="0.2">
      <c r="M1751" s="265"/>
    </row>
    <row r="1752" spans="13:13" ht="12" customHeight="1" x14ac:dyDescent="0.2">
      <c r="M1752" s="265"/>
    </row>
    <row r="1753" spans="13:13" ht="12" customHeight="1" x14ac:dyDescent="0.2">
      <c r="M1753" s="265"/>
    </row>
    <row r="1754" spans="13:13" ht="12" customHeight="1" x14ac:dyDescent="0.2">
      <c r="M1754" s="265"/>
    </row>
    <row r="1755" spans="13:13" ht="12" customHeight="1" x14ac:dyDescent="0.2">
      <c r="M1755" s="265"/>
    </row>
    <row r="1756" spans="13:13" ht="12" customHeight="1" x14ac:dyDescent="0.2">
      <c r="M1756" s="265"/>
    </row>
    <row r="1757" spans="13:13" ht="12" customHeight="1" x14ac:dyDescent="0.2">
      <c r="M1757" s="265"/>
    </row>
    <row r="1758" spans="13:13" ht="12" customHeight="1" x14ac:dyDescent="0.2">
      <c r="M1758" s="265"/>
    </row>
    <row r="1759" spans="13:13" ht="12" customHeight="1" x14ac:dyDescent="0.2">
      <c r="M1759" s="265"/>
    </row>
    <row r="1760" spans="13:13" ht="12" customHeight="1" x14ac:dyDescent="0.2">
      <c r="M1760" s="265"/>
    </row>
    <row r="1761" spans="13:13" ht="12" customHeight="1" x14ac:dyDescent="0.2">
      <c r="M1761" s="265"/>
    </row>
    <row r="1762" spans="13:13" ht="12" customHeight="1" x14ac:dyDescent="0.2">
      <c r="M1762" s="265"/>
    </row>
    <row r="1763" spans="13:13" ht="12" customHeight="1" x14ac:dyDescent="0.2">
      <c r="M1763" s="265"/>
    </row>
    <row r="1764" spans="13:13" ht="12" customHeight="1" x14ac:dyDescent="0.2">
      <c r="M1764" s="265"/>
    </row>
    <row r="1765" spans="13:13" ht="12" customHeight="1" x14ac:dyDescent="0.2">
      <c r="M1765" s="265"/>
    </row>
    <row r="1766" spans="13:13" ht="12" customHeight="1" x14ac:dyDescent="0.2">
      <c r="M1766" s="265"/>
    </row>
    <row r="1767" spans="13:13" ht="12" customHeight="1" x14ac:dyDescent="0.2">
      <c r="M1767" s="265"/>
    </row>
    <row r="1768" spans="13:13" ht="12" customHeight="1" x14ac:dyDescent="0.2">
      <c r="M1768" s="265"/>
    </row>
    <row r="1769" spans="13:13" ht="12" customHeight="1" x14ac:dyDescent="0.2">
      <c r="M1769" s="265"/>
    </row>
    <row r="1770" spans="13:13" ht="12" customHeight="1" x14ac:dyDescent="0.2">
      <c r="M1770" s="265"/>
    </row>
    <row r="1771" spans="13:13" ht="12" customHeight="1" x14ac:dyDescent="0.2">
      <c r="M1771" s="265"/>
    </row>
    <row r="1772" spans="13:13" ht="12" customHeight="1" x14ac:dyDescent="0.2">
      <c r="M1772" s="265"/>
    </row>
    <row r="1773" spans="13:13" ht="12" customHeight="1" x14ac:dyDescent="0.2">
      <c r="M1773" s="265"/>
    </row>
    <row r="1774" spans="13:13" ht="12" customHeight="1" x14ac:dyDescent="0.2">
      <c r="M1774" s="265"/>
    </row>
    <row r="1775" spans="13:13" ht="12" customHeight="1" x14ac:dyDescent="0.2">
      <c r="M1775" s="265"/>
    </row>
    <row r="1776" spans="13:13" ht="12" customHeight="1" x14ac:dyDescent="0.2">
      <c r="M1776" s="265"/>
    </row>
    <row r="1777" spans="13:13" ht="12" customHeight="1" x14ac:dyDescent="0.2">
      <c r="M1777" s="265"/>
    </row>
    <row r="1778" spans="13:13" ht="12" customHeight="1" x14ac:dyDescent="0.2">
      <c r="M1778" s="265"/>
    </row>
    <row r="1779" spans="13:13" ht="12" customHeight="1" x14ac:dyDescent="0.2">
      <c r="M1779" s="265"/>
    </row>
    <row r="1780" spans="13:13" ht="12" customHeight="1" x14ac:dyDescent="0.2">
      <c r="M1780" s="265"/>
    </row>
    <row r="1781" spans="13:13" ht="12" customHeight="1" x14ac:dyDescent="0.2">
      <c r="M1781" s="265"/>
    </row>
    <row r="1782" spans="13:13" ht="12" customHeight="1" x14ac:dyDescent="0.2">
      <c r="M1782" s="265"/>
    </row>
    <row r="1783" spans="13:13" ht="12" customHeight="1" x14ac:dyDescent="0.2">
      <c r="M1783" s="265"/>
    </row>
    <row r="1784" spans="13:13" ht="12" customHeight="1" x14ac:dyDescent="0.2">
      <c r="M1784" s="265"/>
    </row>
    <row r="1785" spans="13:13" ht="12" customHeight="1" x14ac:dyDescent="0.2">
      <c r="M1785" s="265"/>
    </row>
    <row r="1786" spans="13:13" ht="12" customHeight="1" x14ac:dyDescent="0.2">
      <c r="M1786" s="265"/>
    </row>
    <row r="1787" spans="13:13" ht="12" customHeight="1" x14ac:dyDescent="0.2">
      <c r="M1787" s="265"/>
    </row>
    <row r="1788" spans="13:13" ht="12" customHeight="1" x14ac:dyDescent="0.2">
      <c r="M1788" s="265"/>
    </row>
    <row r="1789" spans="13:13" ht="12" customHeight="1" x14ac:dyDescent="0.2">
      <c r="M1789" s="265"/>
    </row>
    <row r="1790" spans="13:13" ht="12" customHeight="1" x14ac:dyDescent="0.2">
      <c r="M1790" s="265"/>
    </row>
    <row r="1791" spans="13:13" ht="12" customHeight="1" x14ac:dyDescent="0.2">
      <c r="M1791" s="265"/>
    </row>
    <row r="1792" spans="13:13" ht="12" customHeight="1" x14ac:dyDescent="0.2">
      <c r="M1792" s="265"/>
    </row>
    <row r="1793" spans="13:13" ht="12" customHeight="1" x14ac:dyDescent="0.2">
      <c r="M1793" s="265"/>
    </row>
    <row r="1794" spans="13:13" ht="12" customHeight="1" x14ac:dyDescent="0.2">
      <c r="M1794" s="265"/>
    </row>
    <row r="1795" spans="13:13" ht="12" customHeight="1" x14ac:dyDescent="0.2">
      <c r="M1795" s="265"/>
    </row>
    <row r="1796" spans="13:13" ht="12" customHeight="1" x14ac:dyDescent="0.2">
      <c r="M1796" s="265"/>
    </row>
    <row r="1797" spans="13:13" ht="12" customHeight="1" x14ac:dyDescent="0.2">
      <c r="M1797" s="265"/>
    </row>
    <row r="1798" spans="13:13" ht="12" customHeight="1" x14ac:dyDescent="0.2">
      <c r="M1798" s="265"/>
    </row>
    <row r="1799" spans="13:13" ht="12" customHeight="1" x14ac:dyDescent="0.2">
      <c r="M1799" s="265"/>
    </row>
    <row r="1800" spans="13:13" ht="12" customHeight="1" x14ac:dyDescent="0.2">
      <c r="M1800" s="265"/>
    </row>
    <row r="1801" spans="13:13" ht="12" customHeight="1" x14ac:dyDescent="0.2">
      <c r="M1801" s="265"/>
    </row>
    <row r="1802" spans="13:13" ht="12" customHeight="1" x14ac:dyDescent="0.2">
      <c r="M1802" s="265"/>
    </row>
    <row r="1803" spans="13:13" ht="12" customHeight="1" x14ac:dyDescent="0.2">
      <c r="M1803" s="265"/>
    </row>
    <row r="1804" spans="13:13" ht="12" customHeight="1" x14ac:dyDescent="0.2">
      <c r="M1804" s="265"/>
    </row>
    <row r="1805" spans="13:13" ht="12" customHeight="1" x14ac:dyDescent="0.2">
      <c r="M1805" s="265"/>
    </row>
    <row r="1806" spans="13:13" ht="12" customHeight="1" x14ac:dyDescent="0.2">
      <c r="M1806" s="265"/>
    </row>
    <row r="1807" spans="13:13" ht="12" customHeight="1" x14ac:dyDescent="0.2">
      <c r="M1807" s="265"/>
    </row>
    <row r="1808" spans="13:13" ht="12" customHeight="1" x14ac:dyDescent="0.2">
      <c r="M1808" s="265"/>
    </row>
    <row r="1809" spans="13:13" ht="12" customHeight="1" x14ac:dyDescent="0.2">
      <c r="M1809" s="265"/>
    </row>
    <row r="1810" spans="13:13" ht="12" customHeight="1" x14ac:dyDescent="0.2">
      <c r="M1810" s="265"/>
    </row>
    <row r="1811" spans="13:13" ht="12" customHeight="1" x14ac:dyDescent="0.2">
      <c r="M1811" s="265"/>
    </row>
    <row r="1812" spans="13:13" ht="12" customHeight="1" x14ac:dyDescent="0.2">
      <c r="M1812" s="265"/>
    </row>
    <row r="1813" spans="13:13" ht="12" customHeight="1" x14ac:dyDescent="0.2">
      <c r="M1813" s="265"/>
    </row>
    <row r="1814" spans="13:13" ht="12" customHeight="1" x14ac:dyDescent="0.2">
      <c r="M1814" s="265"/>
    </row>
    <row r="1815" spans="13:13" ht="12" customHeight="1" x14ac:dyDescent="0.2">
      <c r="M1815" s="265"/>
    </row>
    <row r="1816" spans="13:13" ht="12" customHeight="1" x14ac:dyDescent="0.2">
      <c r="M1816" s="265"/>
    </row>
    <row r="1817" spans="13:13" ht="12" customHeight="1" x14ac:dyDescent="0.2">
      <c r="M1817" s="265"/>
    </row>
    <row r="1818" spans="13:13" ht="12" customHeight="1" x14ac:dyDescent="0.2">
      <c r="M1818" s="265"/>
    </row>
    <row r="1819" spans="13:13" ht="12" customHeight="1" x14ac:dyDescent="0.2">
      <c r="M1819" s="265"/>
    </row>
    <row r="1820" spans="13:13" ht="12" customHeight="1" x14ac:dyDescent="0.2">
      <c r="M1820" s="265"/>
    </row>
    <row r="1821" spans="13:13" ht="12" customHeight="1" x14ac:dyDescent="0.2">
      <c r="M1821" s="265"/>
    </row>
    <row r="1822" spans="13:13" ht="12" customHeight="1" x14ac:dyDescent="0.2">
      <c r="M1822" s="265"/>
    </row>
    <row r="1823" spans="13:13" ht="12" customHeight="1" x14ac:dyDescent="0.2">
      <c r="M1823" s="265"/>
    </row>
    <row r="1824" spans="13:13" ht="12" customHeight="1" x14ac:dyDescent="0.2">
      <c r="M1824" s="265"/>
    </row>
    <row r="1825" spans="13:13" ht="12" customHeight="1" x14ac:dyDescent="0.2">
      <c r="M1825" s="265"/>
    </row>
    <row r="1826" spans="13:13" ht="12" customHeight="1" x14ac:dyDescent="0.2">
      <c r="M1826" s="265"/>
    </row>
    <row r="1827" spans="13:13" ht="12" customHeight="1" x14ac:dyDescent="0.2">
      <c r="M1827" s="265"/>
    </row>
    <row r="1828" spans="13:13" ht="12" customHeight="1" x14ac:dyDescent="0.2">
      <c r="M1828" s="265"/>
    </row>
    <row r="1829" spans="13:13" ht="12" customHeight="1" x14ac:dyDescent="0.2">
      <c r="M1829" s="265"/>
    </row>
    <row r="1830" spans="13:13" ht="12" customHeight="1" x14ac:dyDescent="0.2">
      <c r="M1830" s="265"/>
    </row>
    <row r="1831" spans="13:13" ht="12" customHeight="1" x14ac:dyDescent="0.2">
      <c r="M1831" s="265"/>
    </row>
    <row r="1832" spans="13:13" ht="12" customHeight="1" x14ac:dyDescent="0.2">
      <c r="M1832" s="265"/>
    </row>
    <row r="1833" spans="13:13" ht="12" customHeight="1" x14ac:dyDescent="0.2">
      <c r="M1833" s="265"/>
    </row>
    <row r="1834" spans="13:13" ht="12" customHeight="1" x14ac:dyDescent="0.2">
      <c r="M1834" s="265"/>
    </row>
    <row r="1835" spans="13:13" ht="12" customHeight="1" x14ac:dyDescent="0.2">
      <c r="M1835" s="265"/>
    </row>
    <row r="1836" spans="13:13" ht="12" customHeight="1" x14ac:dyDescent="0.2">
      <c r="M1836" s="265"/>
    </row>
    <row r="1837" spans="13:13" ht="12" customHeight="1" x14ac:dyDescent="0.2">
      <c r="M1837" s="265"/>
    </row>
    <row r="1838" spans="13:13" ht="12" customHeight="1" x14ac:dyDescent="0.2">
      <c r="M1838" s="265"/>
    </row>
    <row r="1839" spans="13:13" ht="12" customHeight="1" x14ac:dyDescent="0.2">
      <c r="M1839" s="265"/>
    </row>
    <row r="1840" spans="13:13" ht="12" customHeight="1" x14ac:dyDescent="0.2">
      <c r="M1840" s="265"/>
    </row>
    <row r="1841" spans="13:13" ht="12" customHeight="1" x14ac:dyDescent="0.2">
      <c r="M1841" s="265"/>
    </row>
    <row r="1842" spans="13:13" ht="12" customHeight="1" x14ac:dyDescent="0.2">
      <c r="M1842" s="265"/>
    </row>
    <row r="1843" spans="13:13" ht="12" customHeight="1" x14ac:dyDescent="0.2">
      <c r="M1843" s="265"/>
    </row>
    <row r="1844" spans="13:13" ht="12" customHeight="1" x14ac:dyDescent="0.2">
      <c r="M1844" s="265"/>
    </row>
    <row r="1845" spans="13:13" ht="12" customHeight="1" x14ac:dyDescent="0.2">
      <c r="M1845" s="265"/>
    </row>
    <row r="1846" spans="13:13" ht="12" customHeight="1" x14ac:dyDescent="0.2">
      <c r="M1846" s="265"/>
    </row>
    <row r="1847" spans="13:13" ht="12" customHeight="1" x14ac:dyDescent="0.2">
      <c r="M1847" s="265"/>
    </row>
    <row r="1848" spans="13:13" ht="12" customHeight="1" x14ac:dyDescent="0.2">
      <c r="M1848" s="265"/>
    </row>
    <row r="1849" spans="13:13" ht="12" customHeight="1" x14ac:dyDescent="0.2">
      <c r="M1849" s="265"/>
    </row>
    <row r="1850" spans="13:13" ht="12" customHeight="1" x14ac:dyDescent="0.2">
      <c r="M1850" s="265"/>
    </row>
    <row r="1851" spans="13:13" ht="12" customHeight="1" x14ac:dyDescent="0.2">
      <c r="M1851" s="265"/>
    </row>
    <row r="1852" spans="13:13" ht="12" customHeight="1" x14ac:dyDescent="0.2">
      <c r="M1852" s="265"/>
    </row>
    <row r="1853" spans="13:13" ht="12" customHeight="1" x14ac:dyDescent="0.2">
      <c r="M1853" s="265"/>
    </row>
    <row r="1854" spans="13:13" ht="12" customHeight="1" x14ac:dyDescent="0.2">
      <c r="M1854" s="265"/>
    </row>
    <row r="1855" spans="13:13" ht="12" customHeight="1" x14ac:dyDescent="0.2">
      <c r="M1855" s="265"/>
    </row>
    <row r="1856" spans="13:13" ht="12" customHeight="1" x14ac:dyDescent="0.2">
      <c r="M1856" s="265"/>
    </row>
    <row r="1857" spans="13:13" ht="12" customHeight="1" x14ac:dyDescent="0.2">
      <c r="M1857" s="265"/>
    </row>
    <row r="1858" spans="13:13" ht="12" customHeight="1" x14ac:dyDescent="0.2">
      <c r="M1858" s="265"/>
    </row>
    <row r="1859" spans="13:13" ht="12" customHeight="1" x14ac:dyDescent="0.2">
      <c r="M1859" s="265"/>
    </row>
    <row r="1860" spans="13:13" ht="12" customHeight="1" x14ac:dyDescent="0.2">
      <c r="M1860" s="265"/>
    </row>
    <row r="1861" spans="13:13" ht="12" customHeight="1" x14ac:dyDescent="0.2">
      <c r="M1861" s="265"/>
    </row>
    <row r="1862" spans="13:13" ht="12" customHeight="1" x14ac:dyDescent="0.2">
      <c r="M1862" s="265"/>
    </row>
    <row r="1863" spans="13:13" ht="12" customHeight="1" x14ac:dyDescent="0.2">
      <c r="M1863" s="265"/>
    </row>
    <row r="1864" spans="13:13" ht="12" customHeight="1" x14ac:dyDescent="0.2">
      <c r="M1864" s="265"/>
    </row>
    <row r="1865" spans="13:13" ht="12" customHeight="1" x14ac:dyDescent="0.2">
      <c r="M1865" s="265"/>
    </row>
    <row r="1866" spans="13:13" ht="12" customHeight="1" x14ac:dyDescent="0.2">
      <c r="M1866" s="265"/>
    </row>
    <row r="1867" spans="13:13" ht="12" customHeight="1" x14ac:dyDescent="0.2">
      <c r="M1867" s="265"/>
    </row>
    <row r="1868" spans="13:13" ht="12" customHeight="1" x14ac:dyDescent="0.2">
      <c r="M1868" s="265"/>
    </row>
    <row r="1869" spans="13:13" ht="12" customHeight="1" x14ac:dyDescent="0.2">
      <c r="M1869" s="265"/>
    </row>
    <row r="1870" spans="13:13" ht="12" customHeight="1" x14ac:dyDescent="0.2">
      <c r="M1870" s="265"/>
    </row>
    <row r="1871" spans="13:13" ht="12" customHeight="1" x14ac:dyDescent="0.2">
      <c r="M1871" s="265"/>
    </row>
    <row r="1872" spans="13:13" ht="12" customHeight="1" x14ac:dyDescent="0.2">
      <c r="M1872" s="265"/>
    </row>
    <row r="1873" spans="13:13" ht="12" customHeight="1" x14ac:dyDescent="0.2">
      <c r="M1873" s="265"/>
    </row>
    <row r="1874" spans="13:13" ht="12" customHeight="1" x14ac:dyDescent="0.2">
      <c r="M1874" s="265"/>
    </row>
    <row r="1875" spans="13:13" ht="12" customHeight="1" x14ac:dyDescent="0.2">
      <c r="M1875" s="265"/>
    </row>
    <row r="1876" spans="13:13" ht="12" customHeight="1" x14ac:dyDescent="0.2">
      <c r="M1876" s="265"/>
    </row>
    <row r="1877" spans="13:13" ht="12" customHeight="1" x14ac:dyDescent="0.2">
      <c r="M1877" s="265"/>
    </row>
    <row r="1878" spans="13:13" ht="12" customHeight="1" x14ac:dyDescent="0.2">
      <c r="M1878" s="265"/>
    </row>
    <row r="1879" spans="13:13" ht="12" customHeight="1" x14ac:dyDescent="0.2">
      <c r="M1879" s="265"/>
    </row>
    <row r="1880" spans="13:13" ht="12" customHeight="1" x14ac:dyDescent="0.2">
      <c r="M1880" s="265"/>
    </row>
    <row r="1881" spans="13:13" ht="12" customHeight="1" x14ac:dyDescent="0.2">
      <c r="M1881" s="265"/>
    </row>
    <row r="1882" spans="13:13" ht="12" customHeight="1" x14ac:dyDescent="0.2">
      <c r="M1882" s="265"/>
    </row>
    <row r="1883" spans="13:13" ht="12" customHeight="1" x14ac:dyDescent="0.2">
      <c r="M1883" s="265"/>
    </row>
    <row r="1884" spans="13:13" ht="12" customHeight="1" x14ac:dyDescent="0.2">
      <c r="M1884" s="265"/>
    </row>
    <row r="1885" spans="13:13" ht="12" customHeight="1" x14ac:dyDescent="0.2">
      <c r="M1885" s="265"/>
    </row>
    <row r="1886" spans="13:13" ht="12" customHeight="1" x14ac:dyDescent="0.2">
      <c r="M1886" s="265"/>
    </row>
    <row r="1887" spans="13:13" ht="12" customHeight="1" x14ac:dyDescent="0.2">
      <c r="M1887" s="265"/>
    </row>
    <row r="1888" spans="13:13" ht="12" customHeight="1" x14ac:dyDescent="0.2">
      <c r="M1888" s="265"/>
    </row>
    <row r="1889" spans="13:13" ht="12" customHeight="1" x14ac:dyDescent="0.2">
      <c r="M1889" s="265"/>
    </row>
    <row r="1890" spans="13:13" ht="12" customHeight="1" x14ac:dyDescent="0.2">
      <c r="M1890" s="265"/>
    </row>
    <row r="1891" spans="13:13" ht="12" customHeight="1" x14ac:dyDescent="0.2">
      <c r="M1891" s="265"/>
    </row>
    <row r="1892" spans="13:13" ht="12" customHeight="1" x14ac:dyDescent="0.2">
      <c r="M1892" s="265"/>
    </row>
    <row r="1893" spans="13:13" ht="12" customHeight="1" x14ac:dyDescent="0.2">
      <c r="M1893" s="265"/>
    </row>
    <row r="1894" spans="13:13" ht="12" customHeight="1" x14ac:dyDescent="0.2">
      <c r="M1894" s="265"/>
    </row>
    <row r="1895" spans="13:13" ht="12" customHeight="1" x14ac:dyDescent="0.2">
      <c r="M1895" s="265"/>
    </row>
    <row r="1896" spans="13:13" ht="12" customHeight="1" x14ac:dyDescent="0.2">
      <c r="M1896" s="265"/>
    </row>
    <row r="1897" spans="13:13" ht="12" customHeight="1" x14ac:dyDescent="0.2">
      <c r="M1897" s="265"/>
    </row>
    <row r="1898" spans="13:13" ht="12" customHeight="1" x14ac:dyDescent="0.2">
      <c r="M1898" s="265"/>
    </row>
    <row r="1899" spans="13:13" ht="12" customHeight="1" x14ac:dyDescent="0.2">
      <c r="M1899" s="265"/>
    </row>
    <row r="1900" spans="13:13" ht="12" customHeight="1" x14ac:dyDescent="0.2">
      <c r="M1900" s="265"/>
    </row>
    <row r="1901" spans="13:13" ht="12" customHeight="1" x14ac:dyDescent="0.2">
      <c r="M1901" s="265"/>
    </row>
    <row r="1902" spans="13:13" ht="12" customHeight="1" x14ac:dyDescent="0.2">
      <c r="M1902" s="265"/>
    </row>
    <row r="1903" spans="13:13" ht="12" customHeight="1" x14ac:dyDescent="0.2">
      <c r="M1903" s="265"/>
    </row>
    <row r="1904" spans="13:13" ht="12" customHeight="1" x14ac:dyDescent="0.2">
      <c r="M1904" s="265"/>
    </row>
    <row r="1905" spans="13:13" ht="12" customHeight="1" x14ac:dyDescent="0.2">
      <c r="M1905" s="265"/>
    </row>
    <row r="1906" spans="13:13" ht="12" customHeight="1" x14ac:dyDescent="0.2">
      <c r="M1906" s="265"/>
    </row>
    <row r="1907" spans="13:13" ht="12" customHeight="1" x14ac:dyDescent="0.2">
      <c r="M1907" s="265"/>
    </row>
    <row r="1908" spans="13:13" ht="12" customHeight="1" x14ac:dyDescent="0.2">
      <c r="M1908" s="265"/>
    </row>
    <row r="1909" spans="13:13" ht="12" customHeight="1" x14ac:dyDescent="0.2">
      <c r="M1909" s="265"/>
    </row>
    <row r="1910" spans="13:13" ht="12" customHeight="1" x14ac:dyDescent="0.2">
      <c r="M1910" s="265"/>
    </row>
    <row r="1911" spans="13:13" ht="12" customHeight="1" x14ac:dyDescent="0.2">
      <c r="M1911" s="265"/>
    </row>
    <row r="1912" spans="13:13" ht="12" customHeight="1" x14ac:dyDescent="0.2">
      <c r="M1912" s="265"/>
    </row>
    <row r="1913" spans="13:13" ht="12" customHeight="1" x14ac:dyDescent="0.2">
      <c r="M1913" s="265"/>
    </row>
    <row r="1914" spans="13:13" ht="12" customHeight="1" x14ac:dyDescent="0.2">
      <c r="M1914" s="265"/>
    </row>
    <row r="1915" spans="13:13" ht="12" customHeight="1" x14ac:dyDescent="0.2">
      <c r="M1915" s="265"/>
    </row>
    <row r="1916" spans="13:13" ht="12" customHeight="1" x14ac:dyDescent="0.2">
      <c r="M1916" s="265"/>
    </row>
    <row r="1917" spans="13:13" ht="12" customHeight="1" x14ac:dyDescent="0.2">
      <c r="M1917" s="265"/>
    </row>
    <row r="1918" spans="13:13" ht="12" customHeight="1" x14ac:dyDescent="0.2">
      <c r="M1918" s="265"/>
    </row>
    <row r="1919" spans="13:13" ht="12" customHeight="1" x14ac:dyDescent="0.2">
      <c r="M1919" s="265"/>
    </row>
    <row r="1920" spans="13:13" ht="12" customHeight="1" x14ac:dyDescent="0.2">
      <c r="M1920" s="265"/>
    </row>
    <row r="1921" spans="13:13" ht="12" customHeight="1" x14ac:dyDescent="0.2">
      <c r="M1921" s="265"/>
    </row>
    <row r="1922" spans="13:13" ht="12" customHeight="1" x14ac:dyDescent="0.2">
      <c r="M1922" s="265"/>
    </row>
    <row r="1923" spans="13:13" ht="12" customHeight="1" x14ac:dyDescent="0.2">
      <c r="M1923" s="265"/>
    </row>
    <row r="1924" spans="13:13" ht="12" customHeight="1" x14ac:dyDescent="0.2">
      <c r="M1924" s="265"/>
    </row>
    <row r="1925" spans="13:13" ht="12" customHeight="1" x14ac:dyDescent="0.2">
      <c r="M1925" s="265"/>
    </row>
    <row r="1926" spans="13:13" ht="12" customHeight="1" x14ac:dyDescent="0.2">
      <c r="M1926" s="265"/>
    </row>
    <row r="1927" spans="13:13" ht="12" customHeight="1" x14ac:dyDescent="0.2">
      <c r="M1927" s="265"/>
    </row>
    <row r="1928" spans="13:13" ht="12" customHeight="1" x14ac:dyDescent="0.2">
      <c r="M1928" s="265"/>
    </row>
    <row r="1929" spans="13:13" ht="12" customHeight="1" x14ac:dyDescent="0.2">
      <c r="M1929" s="265"/>
    </row>
    <row r="1930" spans="13:13" ht="12" customHeight="1" x14ac:dyDescent="0.2">
      <c r="M1930" s="265"/>
    </row>
    <row r="1931" spans="13:13" ht="12" customHeight="1" x14ac:dyDescent="0.2">
      <c r="M1931" s="265"/>
    </row>
    <row r="1932" spans="13:13" ht="12" customHeight="1" x14ac:dyDescent="0.2">
      <c r="M1932" s="265"/>
    </row>
    <row r="1933" spans="13:13" ht="12" customHeight="1" x14ac:dyDescent="0.2">
      <c r="M1933" s="265"/>
    </row>
    <row r="1934" spans="13:13" ht="12" customHeight="1" x14ac:dyDescent="0.2">
      <c r="M1934" s="265"/>
    </row>
    <row r="1935" spans="13:13" ht="12" customHeight="1" x14ac:dyDescent="0.2">
      <c r="M1935" s="265"/>
    </row>
    <row r="1936" spans="13:13" ht="12" customHeight="1" x14ac:dyDescent="0.2">
      <c r="M1936" s="265"/>
    </row>
    <row r="1937" spans="13:13" ht="12" customHeight="1" x14ac:dyDescent="0.2">
      <c r="M1937" s="265"/>
    </row>
    <row r="1938" spans="13:13" ht="12" customHeight="1" x14ac:dyDescent="0.2">
      <c r="M1938" s="265"/>
    </row>
    <row r="1939" spans="13:13" ht="12" customHeight="1" x14ac:dyDescent="0.2">
      <c r="M1939" s="265"/>
    </row>
    <row r="1940" spans="13:13" ht="12" customHeight="1" x14ac:dyDescent="0.2">
      <c r="M1940" s="265"/>
    </row>
    <row r="1941" spans="13:13" ht="12" customHeight="1" x14ac:dyDescent="0.2">
      <c r="M1941" s="265"/>
    </row>
    <row r="1942" spans="13:13" ht="12" customHeight="1" x14ac:dyDescent="0.2">
      <c r="M1942" s="265"/>
    </row>
    <row r="1943" spans="13:13" ht="12" customHeight="1" x14ac:dyDescent="0.2">
      <c r="M1943" s="265"/>
    </row>
    <row r="1944" spans="13:13" ht="12" customHeight="1" x14ac:dyDescent="0.2">
      <c r="M1944" s="265"/>
    </row>
    <row r="1945" spans="13:13" ht="12" customHeight="1" x14ac:dyDescent="0.2">
      <c r="M1945" s="265"/>
    </row>
    <row r="1946" spans="13:13" ht="12" customHeight="1" x14ac:dyDescent="0.2">
      <c r="M1946" s="265"/>
    </row>
    <row r="1947" spans="13:13" ht="12" customHeight="1" x14ac:dyDescent="0.2">
      <c r="M1947" s="265"/>
    </row>
    <row r="1948" spans="13:13" ht="12" customHeight="1" x14ac:dyDescent="0.2">
      <c r="M1948" s="265"/>
    </row>
    <row r="1949" spans="13:13" ht="12" customHeight="1" x14ac:dyDescent="0.2">
      <c r="M1949" s="265"/>
    </row>
    <row r="1950" spans="13:13" ht="12" customHeight="1" x14ac:dyDescent="0.2">
      <c r="M1950" s="265"/>
    </row>
    <row r="1951" spans="13:13" ht="12" customHeight="1" x14ac:dyDescent="0.2">
      <c r="M1951" s="265"/>
    </row>
    <row r="1952" spans="13:13" ht="12" customHeight="1" x14ac:dyDescent="0.2">
      <c r="M1952" s="265"/>
    </row>
    <row r="1953" spans="13:13" ht="12" customHeight="1" x14ac:dyDescent="0.2">
      <c r="M1953" s="265"/>
    </row>
    <row r="1954" spans="13:13" ht="12" customHeight="1" x14ac:dyDescent="0.2">
      <c r="M1954" s="265"/>
    </row>
    <row r="1955" spans="13:13" ht="12" customHeight="1" x14ac:dyDescent="0.2">
      <c r="M1955" s="265"/>
    </row>
    <row r="1956" spans="13:13" ht="12" customHeight="1" x14ac:dyDescent="0.2">
      <c r="M1956" s="265"/>
    </row>
    <row r="1957" spans="13:13" ht="12" customHeight="1" x14ac:dyDescent="0.2">
      <c r="M1957" s="265"/>
    </row>
    <row r="1958" spans="13:13" ht="12" customHeight="1" x14ac:dyDescent="0.2">
      <c r="M1958" s="265"/>
    </row>
    <row r="1959" spans="13:13" ht="12" customHeight="1" x14ac:dyDescent="0.2">
      <c r="M1959" s="265"/>
    </row>
    <row r="1960" spans="13:13" ht="12" customHeight="1" x14ac:dyDescent="0.2">
      <c r="M1960" s="265"/>
    </row>
    <row r="1961" spans="13:13" ht="12" customHeight="1" x14ac:dyDescent="0.2">
      <c r="M1961" s="265"/>
    </row>
    <row r="1962" spans="13:13" ht="12" customHeight="1" x14ac:dyDescent="0.2">
      <c r="M1962" s="265"/>
    </row>
    <row r="1963" spans="13:13" ht="12" customHeight="1" x14ac:dyDescent="0.2">
      <c r="M1963" s="265"/>
    </row>
    <row r="1964" spans="13:13" ht="12" customHeight="1" x14ac:dyDescent="0.2">
      <c r="M1964" s="265"/>
    </row>
    <row r="1965" spans="13:13" ht="12" customHeight="1" x14ac:dyDescent="0.2">
      <c r="M1965" s="265"/>
    </row>
    <row r="1966" spans="13:13" ht="12" customHeight="1" x14ac:dyDescent="0.2">
      <c r="M1966" s="265"/>
    </row>
    <row r="1967" spans="13:13" ht="12" customHeight="1" x14ac:dyDescent="0.2">
      <c r="M1967" s="265"/>
    </row>
    <row r="1968" spans="13:13" ht="12" customHeight="1" x14ac:dyDescent="0.2">
      <c r="M1968" s="265"/>
    </row>
    <row r="1969" spans="13:13" ht="12" customHeight="1" x14ac:dyDescent="0.2">
      <c r="M1969" s="265"/>
    </row>
    <row r="1970" spans="13:13" ht="12" customHeight="1" x14ac:dyDescent="0.2">
      <c r="M1970" s="265"/>
    </row>
    <row r="1971" spans="13:13" ht="12" customHeight="1" x14ac:dyDescent="0.2">
      <c r="M1971" s="265"/>
    </row>
    <row r="1972" spans="13:13" ht="12" customHeight="1" x14ac:dyDescent="0.2">
      <c r="M1972" s="265"/>
    </row>
    <row r="1973" spans="13:13" ht="12" customHeight="1" x14ac:dyDescent="0.2">
      <c r="M1973" s="265"/>
    </row>
    <row r="1974" spans="13:13" ht="12" customHeight="1" x14ac:dyDescent="0.2">
      <c r="M1974" s="265"/>
    </row>
    <row r="1975" spans="13:13" ht="12" customHeight="1" x14ac:dyDescent="0.2">
      <c r="M1975" s="265"/>
    </row>
    <row r="1976" spans="13:13" ht="12" customHeight="1" x14ac:dyDescent="0.2">
      <c r="M1976" s="265"/>
    </row>
    <row r="1977" spans="13:13" ht="12" customHeight="1" x14ac:dyDescent="0.2">
      <c r="M1977" s="265"/>
    </row>
    <row r="1978" spans="13:13" ht="12" customHeight="1" x14ac:dyDescent="0.2">
      <c r="M1978" s="265"/>
    </row>
    <row r="1979" spans="13:13" ht="12" customHeight="1" x14ac:dyDescent="0.2">
      <c r="M1979" s="265"/>
    </row>
    <row r="1980" spans="13:13" ht="12" customHeight="1" x14ac:dyDescent="0.2">
      <c r="M1980" s="265"/>
    </row>
    <row r="1981" spans="13:13" ht="12" customHeight="1" x14ac:dyDescent="0.2">
      <c r="M1981" s="265"/>
    </row>
    <row r="1982" spans="13:13" ht="12" customHeight="1" x14ac:dyDescent="0.2">
      <c r="M1982" s="265"/>
    </row>
    <row r="1983" spans="13:13" ht="12" customHeight="1" x14ac:dyDescent="0.2">
      <c r="M1983" s="265"/>
    </row>
    <row r="1984" spans="13:13" ht="12" customHeight="1" x14ac:dyDescent="0.2">
      <c r="M1984" s="265"/>
    </row>
    <row r="1985" spans="13:13" ht="12" customHeight="1" x14ac:dyDescent="0.2">
      <c r="M1985" s="265"/>
    </row>
    <row r="1986" spans="13:13" ht="12" customHeight="1" x14ac:dyDescent="0.2">
      <c r="M1986" s="265"/>
    </row>
    <row r="1987" spans="13:13" ht="12" customHeight="1" x14ac:dyDescent="0.2">
      <c r="M1987" s="265"/>
    </row>
    <row r="1988" spans="13:13" ht="12" customHeight="1" x14ac:dyDescent="0.2">
      <c r="M1988" s="265"/>
    </row>
    <row r="1989" spans="13:13" ht="12" customHeight="1" x14ac:dyDescent="0.2">
      <c r="M1989" s="265"/>
    </row>
    <row r="1990" spans="13:13" ht="12" customHeight="1" x14ac:dyDescent="0.2">
      <c r="M1990" s="265"/>
    </row>
    <row r="1991" spans="13:13" ht="12" customHeight="1" x14ac:dyDescent="0.2">
      <c r="M1991" s="265"/>
    </row>
    <row r="1992" spans="13:13" ht="12" customHeight="1" x14ac:dyDescent="0.2">
      <c r="M1992" s="265"/>
    </row>
    <row r="1993" spans="13:13" ht="12" customHeight="1" x14ac:dyDescent="0.2">
      <c r="M1993" s="265"/>
    </row>
    <row r="1994" spans="13:13" ht="12" customHeight="1" x14ac:dyDescent="0.2">
      <c r="M1994" s="265"/>
    </row>
    <row r="1995" spans="13:13" ht="12" customHeight="1" x14ac:dyDescent="0.2">
      <c r="M1995" s="265"/>
    </row>
    <row r="1996" spans="13:13" ht="12" customHeight="1" x14ac:dyDescent="0.2">
      <c r="M1996" s="265"/>
    </row>
    <row r="1997" spans="13:13" ht="12" customHeight="1" x14ac:dyDescent="0.2">
      <c r="M1997" s="265"/>
    </row>
    <row r="1998" spans="13:13" ht="12" customHeight="1" x14ac:dyDescent="0.2">
      <c r="M1998" s="265"/>
    </row>
    <row r="1999" spans="13:13" ht="12" customHeight="1" x14ac:dyDescent="0.2">
      <c r="M1999" s="265"/>
    </row>
    <row r="2000" spans="13:13" ht="12" customHeight="1" x14ac:dyDescent="0.2">
      <c r="M2000" s="265"/>
    </row>
    <row r="2001" spans="13:13" ht="12" customHeight="1" x14ac:dyDescent="0.2">
      <c r="M2001" s="265"/>
    </row>
    <row r="2002" spans="13:13" ht="12" customHeight="1" x14ac:dyDescent="0.2">
      <c r="M2002" s="265"/>
    </row>
    <row r="2003" spans="13:13" ht="12" customHeight="1" x14ac:dyDescent="0.2">
      <c r="M2003" s="265"/>
    </row>
    <row r="2004" spans="13:13" ht="12" customHeight="1" x14ac:dyDescent="0.2">
      <c r="M2004" s="265"/>
    </row>
    <row r="2005" spans="13:13" ht="12" customHeight="1" x14ac:dyDescent="0.2">
      <c r="M2005" s="265"/>
    </row>
    <row r="2006" spans="13:13" ht="12" customHeight="1" x14ac:dyDescent="0.2">
      <c r="M2006" s="265"/>
    </row>
    <row r="2007" spans="13:13" ht="12" customHeight="1" x14ac:dyDescent="0.2">
      <c r="M2007" s="265"/>
    </row>
    <row r="2008" spans="13:13" ht="12" customHeight="1" x14ac:dyDescent="0.2">
      <c r="M2008" s="265"/>
    </row>
    <row r="2009" spans="13:13" ht="12" customHeight="1" x14ac:dyDescent="0.2">
      <c r="M2009" s="265"/>
    </row>
    <row r="2010" spans="13:13" ht="12" customHeight="1" x14ac:dyDescent="0.2">
      <c r="M2010" s="265"/>
    </row>
    <row r="2011" spans="13:13" ht="12" customHeight="1" x14ac:dyDescent="0.2">
      <c r="M2011" s="265"/>
    </row>
    <row r="2012" spans="13:13" ht="12" customHeight="1" x14ac:dyDescent="0.2">
      <c r="M2012" s="265"/>
    </row>
    <row r="2013" spans="13:13" ht="12" customHeight="1" x14ac:dyDescent="0.2">
      <c r="M2013" s="265"/>
    </row>
    <row r="2014" spans="13:13" ht="12" customHeight="1" x14ac:dyDescent="0.2">
      <c r="M2014" s="265"/>
    </row>
    <row r="2015" spans="13:13" ht="12" customHeight="1" x14ac:dyDescent="0.2">
      <c r="M2015" s="265"/>
    </row>
    <row r="2016" spans="13:13" ht="12" customHeight="1" x14ac:dyDescent="0.2">
      <c r="M2016" s="265"/>
    </row>
    <row r="2017" spans="13:13" ht="12" customHeight="1" x14ac:dyDescent="0.2">
      <c r="M2017" s="265"/>
    </row>
    <row r="2018" spans="13:13" ht="12" customHeight="1" x14ac:dyDescent="0.2">
      <c r="M2018" s="265"/>
    </row>
    <row r="2019" spans="13:13" ht="12" customHeight="1" x14ac:dyDescent="0.2">
      <c r="M2019" s="265"/>
    </row>
    <row r="2020" spans="13:13" ht="12" customHeight="1" x14ac:dyDescent="0.2">
      <c r="M2020" s="265"/>
    </row>
    <row r="2021" spans="13:13" ht="12" customHeight="1" x14ac:dyDescent="0.2">
      <c r="M2021" s="265"/>
    </row>
    <row r="2022" spans="13:13" ht="12" customHeight="1" x14ac:dyDescent="0.2">
      <c r="M2022" s="265"/>
    </row>
    <row r="2023" spans="13:13" ht="12" customHeight="1" x14ac:dyDescent="0.2">
      <c r="M2023" s="265"/>
    </row>
    <row r="2024" spans="13:13" ht="12" customHeight="1" x14ac:dyDescent="0.2">
      <c r="M2024" s="265"/>
    </row>
    <row r="2025" spans="13:13" ht="12" customHeight="1" x14ac:dyDescent="0.2">
      <c r="M2025" s="265"/>
    </row>
    <row r="2026" spans="13:13" ht="12" customHeight="1" x14ac:dyDescent="0.2">
      <c r="M2026" s="265"/>
    </row>
    <row r="2027" spans="13:13" ht="12" customHeight="1" x14ac:dyDescent="0.2">
      <c r="M2027" s="265"/>
    </row>
    <row r="2028" spans="13:13" ht="12" customHeight="1" x14ac:dyDescent="0.2">
      <c r="M2028" s="265"/>
    </row>
    <row r="2029" spans="13:13" ht="12" customHeight="1" x14ac:dyDescent="0.2">
      <c r="M2029" s="265"/>
    </row>
    <row r="2030" spans="13:13" ht="12" customHeight="1" x14ac:dyDescent="0.2">
      <c r="M2030" s="265"/>
    </row>
    <row r="2031" spans="13:13" ht="12" customHeight="1" x14ac:dyDescent="0.2">
      <c r="M2031" s="265"/>
    </row>
    <row r="2032" spans="13:13" ht="12" customHeight="1" x14ac:dyDescent="0.2">
      <c r="M2032" s="265"/>
    </row>
    <row r="2033" spans="13:13" ht="12" customHeight="1" x14ac:dyDescent="0.2">
      <c r="M2033" s="265"/>
    </row>
    <row r="2034" spans="13:13" ht="12" customHeight="1" x14ac:dyDescent="0.2">
      <c r="M2034" s="265"/>
    </row>
    <row r="2035" spans="13:13" ht="12" customHeight="1" x14ac:dyDescent="0.2">
      <c r="M2035" s="265"/>
    </row>
    <row r="2036" spans="13:13" ht="12" customHeight="1" x14ac:dyDescent="0.2">
      <c r="M2036" s="265"/>
    </row>
    <row r="2037" spans="13:13" ht="12" customHeight="1" x14ac:dyDescent="0.2">
      <c r="M2037" s="265"/>
    </row>
    <row r="2038" spans="13:13" ht="12" customHeight="1" x14ac:dyDescent="0.2">
      <c r="M2038" s="265"/>
    </row>
    <row r="2039" spans="13:13" ht="12" customHeight="1" x14ac:dyDescent="0.2">
      <c r="M2039" s="265"/>
    </row>
    <row r="2040" spans="13:13" ht="12" customHeight="1" x14ac:dyDescent="0.2">
      <c r="M2040" s="265"/>
    </row>
    <row r="2041" spans="13:13" ht="12" customHeight="1" x14ac:dyDescent="0.2">
      <c r="M2041" s="265"/>
    </row>
    <row r="2042" spans="13:13" ht="12" customHeight="1" x14ac:dyDescent="0.2">
      <c r="M2042" s="265"/>
    </row>
    <row r="2043" spans="13:13" ht="12" customHeight="1" x14ac:dyDescent="0.2">
      <c r="M2043" s="265"/>
    </row>
    <row r="2044" spans="13:13" ht="12" customHeight="1" x14ac:dyDescent="0.2">
      <c r="M2044" s="265"/>
    </row>
    <row r="2045" spans="13:13" ht="12" customHeight="1" x14ac:dyDescent="0.2">
      <c r="M2045" s="265"/>
    </row>
    <row r="2046" spans="13:13" ht="12" customHeight="1" x14ac:dyDescent="0.2">
      <c r="M2046" s="265"/>
    </row>
    <row r="2047" spans="13:13" ht="12" customHeight="1" x14ac:dyDescent="0.2">
      <c r="M2047" s="265"/>
    </row>
    <row r="2048" spans="13:13" ht="12" customHeight="1" x14ac:dyDescent="0.2">
      <c r="M2048" s="265"/>
    </row>
    <row r="2049" spans="13:13" ht="12" customHeight="1" x14ac:dyDescent="0.2">
      <c r="M2049" s="265"/>
    </row>
    <row r="2050" spans="13:13" ht="12" customHeight="1" x14ac:dyDescent="0.2">
      <c r="M2050" s="265"/>
    </row>
    <row r="2051" spans="13:13" ht="12" customHeight="1" x14ac:dyDescent="0.2">
      <c r="M2051" s="265"/>
    </row>
    <row r="2052" spans="13:13" ht="12" customHeight="1" x14ac:dyDescent="0.2">
      <c r="M2052" s="265"/>
    </row>
    <row r="2053" spans="13:13" ht="12" customHeight="1" x14ac:dyDescent="0.2">
      <c r="M2053" s="265"/>
    </row>
    <row r="2054" spans="13:13" ht="12" customHeight="1" x14ac:dyDescent="0.2">
      <c r="M2054" s="265"/>
    </row>
    <row r="2055" spans="13:13" ht="12" customHeight="1" x14ac:dyDescent="0.2">
      <c r="M2055" s="265"/>
    </row>
    <row r="2056" spans="13:13" ht="12" customHeight="1" x14ac:dyDescent="0.2">
      <c r="M2056" s="265"/>
    </row>
    <row r="2057" spans="13:13" ht="12" customHeight="1" x14ac:dyDescent="0.2">
      <c r="M2057" s="265"/>
    </row>
    <row r="2058" spans="13:13" ht="12" customHeight="1" x14ac:dyDescent="0.2">
      <c r="M2058" s="265"/>
    </row>
    <row r="2059" spans="13:13" ht="12" customHeight="1" x14ac:dyDescent="0.2">
      <c r="M2059" s="265"/>
    </row>
    <row r="2060" spans="13:13" ht="12" customHeight="1" x14ac:dyDescent="0.2">
      <c r="M2060" s="265"/>
    </row>
    <row r="2061" spans="13:13" ht="12" customHeight="1" x14ac:dyDescent="0.2">
      <c r="M2061" s="265"/>
    </row>
    <row r="2062" spans="13:13" ht="12" customHeight="1" x14ac:dyDescent="0.2">
      <c r="M2062" s="265"/>
    </row>
    <row r="2063" spans="13:13" ht="12" customHeight="1" x14ac:dyDescent="0.2">
      <c r="M2063" s="265"/>
    </row>
    <row r="2064" spans="13:13" ht="12" customHeight="1" x14ac:dyDescent="0.2">
      <c r="M2064" s="265"/>
    </row>
    <row r="2065" spans="13:13" ht="12" customHeight="1" x14ac:dyDescent="0.2">
      <c r="M2065" s="265"/>
    </row>
    <row r="2066" spans="13:13" ht="12" customHeight="1" x14ac:dyDescent="0.2">
      <c r="M2066" s="265"/>
    </row>
    <row r="2067" spans="13:13" ht="12" customHeight="1" x14ac:dyDescent="0.2">
      <c r="M2067" s="265"/>
    </row>
    <row r="2068" spans="13:13" ht="12" customHeight="1" x14ac:dyDescent="0.2">
      <c r="M2068" s="265"/>
    </row>
    <row r="2069" spans="13:13" ht="12" customHeight="1" x14ac:dyDescent="0.2">
      <c r="M2069" s="265"/>
    </row>
    <row r="2070" spans="13:13" ht="12" customHeight="1" x14ac:dyDescent="0.2">
      <c r="M2070" s="265"/>
    </row>
    <row r="2071" spans="13:13" ht="12" customHeight="1" x14ac:dyDescent="0.2">
      <c r="M2071" s="265"/>
    </row>
    <row r="2072" spans="13:13" ht="12" customHeight="1" x14ac:dyDescent="0.2">
      <c r="M2072" s="265"/>
    </row>
    <row r="2073" spans="13:13" ht="12" customHeight="1" x14ac:dyDescent="0.2">
      <c r="M2073" s="265"/>
    </row>
    <row r="2074" spans="13:13" ht="12" customHeight="1" x14ac:dyDescent="0.2">
      <c r="M2074" s="265"/>
    </row>
    <row r="2075" spans="13:13" ht="12" customHeight="1" x14ac:dyDescent="0.2">
      <c r="M2075" s="265"/>
    </row>
    <row r="2076" spans="13:13" ht="12" customHeight="1" x14ac:dyDescent="0.2">
      <c r="M2076" s="265"/>
    </row>
    <row r="2077" spans="13:13" ht="12" customHeight="1" x14ac:dyDescent="0.2">
      <c r="M2077" s="265"/>
    </row>
    <row r="2078" spans="13:13" ht="12" customHeight="1" x14ac:dyDescent="0.2">
      <c r="M2078" s="265"/>
    </row>
    <row r="2079" spans="13:13" ht="12" customHeight="1" x14ac:dyDescent="0.2">
      <c r="M2079" s="265"/>
    </row>
    <row r="2080" spans="13:13" ht="12" customHeight="1" x14ac:dyDescent="0.2">
      <c r="M2080" s="265"/>
    </row>
    <row r="2081" spans="13:13" ht="12" customHeight="1" x14ac:dyDescent="0.2">
      <c r="M2081" s="265"/>
    </row>
    <row r="2082" spans="13:13" ht="12" customHeight="1" x14ac:dyDescent="0.2">
      <c r="M2082" s="265"/>
    </row>
    <row r="2083" spans="13:13" ht="12" customHeight="1" x14ac:dyDescent="0.2">
      <c r="M2083" s="265"/>
    </row>
    <row r="2084" spans="13:13" ht="12" customHeight="1" x14ac:dyDescent="0.2">
      <c r="M2084" s="265"/>
    </row>
    <row r="2085" spans="13:13" ht="12" customHeight="1" x14ac:dyDescent="0.2">
      <c r="M2085" s="265"/>
    </row>
    <row r="2086" spans="13:13" ht="12" customHeight="1" x14ac:dyDescent="0.2">
      <c r="M2086" s="265"/>
    </row>
    <row r="2087" spans="13:13" ht="12" customHeight="1" x14ac:dyDescent="0.2">
      <c r="M2087" s="265"/>
    </row>
    <row r="2088" spans="13:13" ht="12" customHeight="1" x14ac:dyDescent="0.2">
      <c r="M2088" s="265"/>
    </row>
    <row r="2089" spans="13:13" ht="12" customHeight="1" x14ac:dyDescent="0.2">
      <c r="M2089" s="265"/>
    </row>
    <row r="2090" spans="13:13" ht="12" customHeight="1" x14ac:dyDescent="0.2">
      <c r="M2090" s="265"/>
    </row>
    <row r="2091" spans="13:13" ht="12" customHeight="1" x14ac:dyDescent="0.2">
      <c r="M2091" s="265"/>
    </row>
    <row r="2092" spans="13:13" ht="12" customHeight="1" x14ac:dyDescent="0.2">
      <c r="M2092" s="265"/>
    </row>
    <row r="2093" spans="13:13" ht="12" customHeight="1" x14ac:dyDescent="0.2">
      <c r="M2093" s="265"/>
    </row>
    <row r="2094" spans="13:13" ht="12" customHeight="1" x14ac:dyDescent="0.2">
      <c r="M2094" s="265"/>
    </row>
    <row r="2095" spans="13:13" ht="12" customHeight="1" x14ac:dyDescent="0.2">
      <c r="M2095" s="265"/>
    </row>
    <row r="2096" spans="13:13" ht="12" customHeight="1" x14ac:dyDescent="0.2">
      <c r="M2096" s="265"/>
    </row>
    <row r="2097" spans="13:13" ht="12" customHeight="1" x14ac:dyDescent="0.2">
      <c r="M2097" s="265"/>
    </row>
    <row r="2098" spans="13:13" ht="12" customHeight="1" x14ac:dyDescent="0.2">
      <c r="M2098" s="265"/>
    </row>
    <row r="2099" spans="13:13" ht="12" customHeight="1" x14ac:dyDescent="0.2">
      <c r="M2099" s="265"/>
    </row>
    <row r="2100" spans="13:13" ht="12" customHeight="1" x14ac:dyDescent="0.2">
      <c r="M2100" s="265"/>
    </row>
    <row r="2101" spans="13:13" ht="12" customHeight="1" x14ac:dyDescent="0.2">
      <c r="M2101" s="265"/>
    </row>
    <row r="2102" spans="13:13" ht="12" customHeight="1" x14ac:dyDescent="0.2">
      <c r="M2102" s="265"/>
    </row>
    <row r="2103" spans="13:13" ht="12" customHeight="1" x14ac:dyDescent="0.2">
      <c r="M2103" s="265"/>
    </row>
    <row r="2104" spans="13:13" ht="12" customHeight="1" x14ac:dyDescent="0.2">
      <c r="M2104" s="265"/>
    </row>
    <row r="2105" spans="13:13" ht="12" customHeight="1" x14ac:dyDescent="0.2">
      <c r="M2105" s="265"/>
    </row>
    <row r="2106" spans="13:13" ht="12" customHeight="1" x14ac:dyDescent="0.2">
      <c r="M2106" s="265"/>
    </row>
    <row r="2107" spans="13:13" ht="12" customHeight="1" x14ac:dyDescent="0.2">
      <c r="M2107" s="265"/>
    </row>
    <row r="2108" spans="13:13" ht="12" customHeight="1" x14ac:dyDescent="0.2">
      <c r="M2108" s="265"/>
    </row>
    <row r="2109" spans="13:13" ht="12" customHeight="1" x14ac:dyDescent="0.2">
      <c r="M2109" s="265"/>
    </row>
    <row r="2110" spans="13:13" ht="12" customHeight="1" x14ac:dyDescent="0.2">
      <c r="M2110" s="265"/>
    </row>
    <row r="2111" spans="13:13" ht="12" customHeight="1" x14ac:dyDescent="0.2">
      <c r="M2111" s="265"/>
    </row>
    <row r="2112" spans="13:13" ht="12" customHeight="1" x14ac:dyDescent="0.2">
      <c r="M2112" s="265"/>
    </row>
    <row r="2113" spans="13:13" ht="12" customHeight="1" x14ac:dyDescent="0.2">
      <c r="M2113" s="265"/>
    </row>
    <row r="2114" spans="13:13" ht="12" customHeight="1" x14ac:dyDescent="0.2">
      <c r="M2114" s="265"/>
    </row>
    <row r="2115" spans="13:13" ht="12" customHeight="1" x14ac:dyDescent="0.2">
      <c r="M2115" s="265"/>
    </row>
    <row r="2116" spans="13:13" ht="12" customHeight="1" x14ac:dyDescent="0.2">
      <c r="M2116" s="265"/>
    </row>
    <row r="2117" spans="13:13" ht="12" customHeight="1" x14ac:dyDescent="0.2">
      <c r="M2117" s="265"/>
    </row>
    <row r="2118" spans="13:13" ht="12" customHeight="1" x14ac:dyDescent="0.2">
      <c r="M2118" s="265"/>
    </row>
    <row r="2119" spans="13:13" ht="12" customHeight="1" x14ac:dyDescent="0.2">
      <c r="M2119" s="265"/>
    </row>
    <row r="2120" spans="13:13" ht="12" customHeight="1" x14ac:dyDescent="0.2">
      <c r="M2120" s="265"/>
    </row>
    <row r="2121" spans="13:13" ht="12" customHeight="1" x14ac:dyDescent="0.2">
      <c r="M2121" s="265"/>
    </row>
    <row r="2122" spans="13:13" ht="12" customHeight="1" x14ac:dyDescent="0.2">
      <c r="M2122" s="265"/>
    </row>
    <row r="2123" spans="13:13" ht="12" customHeight="1" x14ac:dyDescent="0.2">
      <c r="M2123" s="265"/>
    </row>
    <row r="2124" spans="13:13" ht="12" customHeight="1" x14ac:dyDescent="0.2">
      <c r="M2124" s="265"/>
    </row>
    <row r="2125" spans="13:13" ht="12" customHeight="1" x14ac:dyDescent="0.2">
      <c r="M2125" s="265"/>
    </row>
    <row r="2126" spans="13:13" ht="12" customHeight="1" x14ac:dyDescent="0.2">
      <c r="M2126" s="265"/>
    </row>
    <row r="2127" spans="13:13" ht="12" customHeight="1" x14ac:dyDescent="0.2">
      <c r="M2127" s="265"/>
    </row>
    <row r="2128" spans="13:13" ht="12" customHeight="1" x14ac:dyDescent="0.2">
      <c r="M2128" s="265"/>
    </row>
    <row r="2129" spans="13:13" ht="12" customHeight="1" x14ac:dyDescent="0.2">
      <c r="M2129" s="265"/>
    </row>
    <row r="2130" spans="13:13" ht="12" customHeight="1" x14ac:dyDescent="0.2">
      <c r="M2130" s="265"/>
    </row>
    <row r="2131" spans="13:13" ht="12" customHeight="1" x14ac:dyDescent="0.2">
      <c r="M2131" s="265"/>
    </row>
    <row r="2132" spans="13:13" ht="12" customHeight="1" x14ac:dyDescent="0.2">
      <c r="M2132" s="265"/>
    </row>
    <row r="2133" spans="13:13" ht="12" customHeight="1" x14ac:dyDescent="0.2">
      <c r="M2133" s="265"/>
    </row>
    <row r="2134" spans="13:13" ht="12" customHeight="1" x14ac:dyDescent="0.2">
      <c r="M2134" s="265"/>
    </row>
    <row r="2135" spans="13:13" ht="12" customHeight="1" x14ac:dyDescent="0.2">
      <c r="M2135" s="265"/>
    </row>
    <row r="2136" spans="13:13" ht="12" customHeight="1" x14ac:dyDescent="0.2">
      <c r="M2136" s="265"/>
    </row>
    <row r="2137" spans="13:13" ht="12" customHeight="1" x14ac:dyDescent="0.2">
      <c r="M2137" s="265"/>
    </row>
    <row r="2138" spans="13:13" ht="12" customHeight="1" x14ac:dyDescent="0.2">
      <c r="M2138" s="265"/>
    </row>
    <row r="2139" spans="13:13" ht="12" customHeight="1" x14ac:dyDescent="0.2">
      <c r="M2139" s="265"/>
    </row>
    <row r="2140" spans="13:13" ht="12" customHeight="1" x14ac:dyDescent="0.2">
      <c r="M2140" s="265"/>
    </row>
    <row r="2141" spans="13:13" ht="12" customHeight="1" x14ac:dyDescent="0.2">
      <c r="M2141" s="265"/>
    </row>
    <row r="2142" spans="13:13" ht="12" customHeight="1" x14ac:dyDescent="0.2">
      <c r="M2142" s="265"/>
    </row>
    <row r="2143" spans="13:13" ht="12" customHeight="1" x14ac:dyDescent="0.2">
      <c r="M2143" s="265"/>
    </row>
    <row r="2144" spans="13:13" ht="12" customHeight="1" x14ac:dyDescent="0.2">
      <c r="M2144" s="265"/>
    </row>
    <row r="2145" spans="13:13" ht="12" customHeight="1" x14ac:dyDescent="0.2">
      <c r="M2145" s="265"/>
    </row>
    <row r="2146" spans="13:13" ht="12" customHeight="1" x14ac:dyDescent="0.2">
      <c r="M2146" s="265"/>
    </row>
    <row r="2147" spans="13:13" ht="12" customHeight="1" x14ac:dyDescent="0.2">
      <c r="M2147" s="265"/>
    </row>
    <row r="2148" spans="13:13" ht="12" customHeight="1" x14ac:dyDescent="0.2">
      <c r="M2148" s="265"/>
    </row>
    <row r="2149" spans="13:13" ht="12" customHeight="1" x14ac:dyDescent="0.2">
      <c r="M2149" s="265"/>
    </row>
    <row r="2150" spans="13:13" ht="12" customHeight="1" x14ac:dyDescent="0.2">
      <c r="M2150" s="265"/>
    </row>
    <row r="2151" spans="13:13" ht="12" customHeight="1" x14ac:dyDescent="0.2">
      <c r="M2151" s="265"/>
    </row>
    <row r="2152" spans="13:13" ht="12" customHeight="1" x14ac:dyDescent="0.2">
      <c r="M2152" s="265"/>
    </row>
    <row r="2153" spans="13:13" ht="12" customHeight="1" x14ac:dyDescent="0.2">
      <c r="M2153" s="265"/>
    </row>
    <row r="2154" spans="13:13" ht="12" customHeight="1" x14ac:dyDescent="0.2">
      <c r="M2154" s="265"/>
    </row>
    <row r="2155" spans="13:13" ht="12" customHeight="1" x14ac:dyDescent="0.2">
      <c r="M2155" s="265"/>
    </row>
    <row r="2156" spans="13:13" ht="12" customHeight="1" x14ac:dyDescent="0.2">
      <c r="M2156" s="265"/>
    </row>
    <row r="2157" spans="13:13" ht="12" customHeight="1" x14ac:dyDescent="0.2">
      <c r="M2157" s="265"/>
    </row>
    <row r="2158" spans="13:13" ht="12" customHeight="1" x14ac:dyDescent="0.2">
      <c r="M2158" s="265"/>
    </row>
    <row r="2159" spans="13:13" ht="12" customHeight="1" x14ac:dyDescent="0.2">
      <c r="M2159" s="265"/>
    </row>
    <row r="2160" spans="13:13" ht="12" customHeight="1" x14ac:dyDescent="0.2">
      <c r="M2160" s="265"/>
    </row>
    <row r="2161" spans="13:13" ht="12" customHeight="1" x14ac:dyDescent="0.2">
      <c r="M2161" s="265"/>
    </row>
    <row r="2162" spans="13:13" ht="12" customHeight="1" x14ac:dyDescent="0.2">
      <c r="M2162" s="265"/>
    </row>
    <row r="2163" spans="13:13" ht="12" customHeight="1" x14ac:dyDescent="0.2">
      <c r="M2163" s="265"/>
    </row>
    <row r="2164" spans="13:13" ht="12" customHeight="1" x14ac:dyDescent="0.2">
      <c r="M2164" s="265"/>
    </row>
    <row r="2165" spans="13:13" ht="12" customHeight="1" x14ac:dyDescent="0.2">
      <c r="M2165" s="265"/>
    </row>
    <row r="2166" spans="13:13" ht="12" customHeight="1" x14ac:dyDescent="0.2">
      <c r="M2166" s="265"/>
    </row>
    <row r="2167" spans="13:13" ht="12" customHeight="1" x14ac:dyDescent="0.2">
      <c r="M2167" s="265"/>
    </row>
    <row r="2168" spans="13:13" ht="12" customHeight="1" x14ac:dyDescent="0.2">
      <c r="M2168" s="265"/>
    </row>
    <row r="2169" spans="13:13" ht="12" customHeight="1" x14ac:dyDescent="0.2">
      <c r="M2169" s="265"/>
    </row>
    <row r="2170" spans="13:13" ht="12" customHeight="1" x14ac:dyDescent="0.2">
      <c r="M2170" s="265"/>
    </row>
    <row r="2171" spans="13:13" ht="12" customHeight="1" x14ac:dyDescent="0.2">
      <c r="M2171" s="265"/>
    </row>
    <row r="2172" spans="13:13" ht="12" customHeight="1" x14ac:dyDescent="0.2">
      <c r="M2172" s="265"/>
    </row>
    <row r="2173" spans="13:13" ht="12" customHeight="1" x14ac:dyDescent="0.2">
      <c r="M2173" s="265"/>
    </row>
    <row r="2174" spans="13:13" ht="12" customHeight="1" x14ac:dyDescent="0.2">
      <c r="M2174" s="265"/>
    </row>
    <row r="2175" spans="13:13" ht="12" customHeight="1" x14ac:dyDescent="0.2">
      <c r="M2175" s="265"/>
    </row>
    <row r="2176" spans="13:13" ht="12" customHeight="1" x14ac:dyDescent="0.2">
      <c r="M2176" s="265"/>
    </row>
    <row r="2177" spans="13:13" ht="12" customHeight="1" x14ac:dyDescent="0.2">
      <c r="M2177" s="265"/>
    </row>
    <row r="2178" spans="13:13" ht="12" customHeight="1" x14ac:dyDescent="0.2">
      <c r="M2178" s="265"/>
    </row>
    <row r="2179" spans="13:13" ht="12" customHeight="1" x14ac:dyDescent="0.2">
      <c r="M2179" s="265"/>
    </row>
    <row r="2180" spans="13:13" ht="12" customHeight="1" x14ac:dyDescent="0.2">
      <c r="M2180" s="265"/>
    </row>
    <row r="2181" spans="13:13" ht="12" customHeight="1" x14ac:dyDescent="0.2">
      <c r="M2181" s="265"/>
    </row>
    <row r="2182" spans="13:13" ht="12" customHeight="1" x14ac:dyDescent="0.2">
      <c r="M2182" s="265"/>
    </row>
    <row r="2183" spans="13:13" ht="12" customHeight="1" x14ac:dyDescent="0.2">
      <c r="M2183" s="265"/>
    </row>
    <row r="2184" spans="13:13" ht="12" customHeight="1" x14ac:dyDescent="0.2">
      <c r="M2184" s="265"/>
    </row>
    <row r="2185" spans="13:13" ht="12" customHeight="1" x14ac:dyDescent="0.2">
      <c r="M2185" s="265"/>
    </row>
    <row r="2186" spans="13:13" ht="12" customHeight="1" x14ac:dyDescent="0.2">
      <c r="M2186" s="265"/>
    </row>
    <row r="2187" spans="13:13" ht="12" customHeight="1" x14ac:dyDescent="0.2">
      <c r="M2187" s="265"/>
    </row>
    <row r="2188" spans="13:13" ht="12" customHeight="1" x14ac:dyDescent="0.2">
      <c r="M2188" s="265"/>
    </row>
    <row r="2189" spans="13:13" ht="12" customHeight="1" x14ac:dyDescent="0.2">
      <c r="M2189" s="265"/>
    </row>
    <row r="2190" spans="13:13" ht="12" customHeight="1" x14ac:dyDescent="0.2">
      <c r="M2190" s="265"/>
    </row>
    <row r="2191" spans="13:13" ht="12" customHeight="1" x14ac:dyDescent="0.2">
      <c r="M2191" s="265"/>
    </row>
    <row r="2192" spans="13:13" ht="12" customHeight="1" x14ac:dyDescent="0.2">
      <c r="M2192" s="265"/>
    </row>
    <row r="2193" spans="13:13" ht="12" customHeight="1" x14ac:dyDescent="0.2">
      <c r="M2193" s="265"/>
    </row>
    <row r="2194" spans="13:13" ht="12" customHeight="1" x14ac:dyDescent="0.2">
      <c r="M2194" s="265"/>
    </row>
    <row r="2195" spans="13:13" ht="12" customHeight="1" x14ac:dyDescent="0.2">
      <c r="M2195" s="265"/>
    </row>
    <row r="2196" spans="13:13" ht="12" customHeight="1" x14ac:dyDescent="0.2">
      <c r="M2196" s="265"/>
    </row>
    <row r="2197" spans="13:13" ht="12" customHeight="1" x14ac:dyDescent="0.2">
      <c r="M2197" s="265"/>
    </row>
    <row r="2198" spans="13:13" ht="12" customHeight="1" x14ac:dyDescent="0.2">
      <c r="M2198" s="265"/>
    </row>
    <row r="2199" spans="13:13" ht="12" customHeight="1" x14ac:dyDescent="0.2">
      <c r="M2199" s="265"/>
    </row>
    <row r="2200" spans="13:13" ht="12" customHeight="1" x14ac:dyDescent="0.2">
      <c r="M2200" s="265"/>
    </row>
    <row r="2201" spans="13:13" ht="12" customHeight="1" x14ac:dyDescent="0.2">
      <c r="M2201" s="265"/>
    </row>
    <row r="2202" spans="13:13" ht="12" customHeight="1" x14ac:dyDescent="0.2">
      <c r="M2202" s="265"/>
    </row>
    <row r="2203" spans="13:13" ht="12" customHeight="1" x14ac:dyDescent="0.2">
      <c r="M2203" s="265"/>
    </row>
    <row r="2204" spans="13:13" ht="12" customHeight="1" x14ac:dyDescent="0.2">
      <c r="M2204" s="265"/>
    </row>
    <row r="2205" spans="13:13" ht="12" customHeight="1" x14ac:dyDescent="0.2">
      <c r="M2205" s="265"/>
    </row>
    <row r="2206" spans="13:13" ht="12" customHeight="1" x14ac:dyDescent="0.2">
      <c r="M2206" s="265"/>
    </row>
    <row r="2207" spans="13:13" ht="12" customHeight="1" x14ac:dyDescent="0.2">
      <c r="M2207" s="265"/>
    </row>
    <row r="2208" spans="13:13" ht="12" customHeight="1" x14ac:dyDescent="0.2">
      <c r="M2208" s="265"/>
    </row>
    <row r="2209" spans="13:13" ht="12" customHeight="1" x14ac:dyDescent="0.2">
      <c r="M2209" s="265"/>
    </row>
    <row r="2210" spans="13:13" ht="12" customHeight="1" x14ac:dyDescent="0.2">
      <c r="M2210" s="265"/>
    </row>
    <row r="2211" spans="13:13" ht="12" customHeight="1" x14ac:dyDescent="0.2">
      <c r="M2211" s="265"/>
    </row>
    <row r="2212" spans="13:13" ht="12" customHeight="1" x14ac:dyDescent="0.2">
      <c r="M2212" s="265"/>
    </row>
    <row r="2213" spans="13:13" ht="12" customHeight="1" x14ac:dyDescent="0.2">
      <c r="M2213" s="265"/>
    </row>
    <row r="2214" spans="13:13" ht="12" customHeight="1" x14ac:dyDescent="0.2">
      <c r="M2214" s="265"/>
    </row>
    <row r="2215" spans="13:13" ht="12" customHeight="1" x14ac:dyDescent="0.2">
      <c r="M2215" s="265"/>
    </row>
    <row r="2216" spans="13:13" ht="12" customHeight="1" x14ac:dyDescent="0.2">
      <c r="M2216" s="265"/>
    </row>
    <row r="2217" spans="13:13" ht="12" customHeight="1" x14ac:dyDescent="0.2">
      <c r="M2217" s="265"/>
    </row>
    <row r="2218" spans="13:13" ht="12" customHeight="1" x14ac:dyDescent="0.2">
      <c r="M2218" s="265"/>
    </row>
    <row r="2219" spans="13:13" ht="12" customHeight="1" x14ac:dyDescent="0.2">
      <c r="M2219" s="265"/>
    </row>
    <row r="2220" spans="13:13" ht="12" customHeight="1" x14ac:dyDescent="0.2">
      <c r="M2220" s="265"/>
    </row>
    <row r="2221" spans="13:13" ht="12" customHeight="1" x14ac:dyDescent="0.2">
      <c r="M2221" s="265"/>
    </row>
    <row r="2222" spans="13:13" ht="12" customHeight="1" x14ac:dyDescent="0.2">
      <c r="M2222" s="265"/>
    </row>
    <row r="2223" spans="13:13" ht="12" customHeight="1" x14ac:dyDescent="0.2">
      <c r="M2223" s="265"/>
    </row>
    <row r="2224" spans="13:13" ht="12" customHeight="1" x14ac:dyDescent="0.2">
      <c r="M2224" s="265"/>
    </row>
    <row r="2225" spans="13:13" ht="12" customHeight="1" x14ac:dyDescent="0.2">
      <c r="M2225" s="265"/>
    </row>
    <row r="2226" spans="13:13" ht="12" customHeight="1" x14ac:dyDescent="0.2">
      <c r="M2226" s="265"/>
    </row>
    <row r="2227" spans="13:13" ht="12" customHeight="1" x14ac:dyDescent="0.2">
      <c r="M2227" s="265"/>
    </row>
    <row r="2228" spans="13:13" ht="12" customHeight="1" x14ac:dyDescent="0.2">
      <c r="M2228" s="265"/>
    </row>
    <row r="2229" spans="13:13" ht="12" customHeight="1" x14ac:dyDescent="0.2">
      <c r="M2229" s="265"/>
    </row>
    <row r="2230" spans="13:13" ht="12" customHeight="1" x14ac:dyDescent="0.2">
      <c r="M2230" s="265"/>
    </row>
    <row r="2231" spans="13:13" ht="12" customHeight="1" x14ac:dyDescent="0.2">
      <c r="M2231" s="265"/>
    </row>
    <row r="2232" spans="13:13" ht="12" customHeight="1" x14ac:dyDescent="0.2">
      <c r="M2232" s="265"/>
    </row>
    <row r="2233" spans="13:13" ht="12" customHeight="1" x14ac:dyDescent="0.2">
      <c r="M2233" s="265"/>
    </row>
    <row r="2234" spans="13:13" ht="12" customHeight="1" x14ac:dyDescent="0.2">
      <c r="M2234" s="265"/>
    </row>
    <row r="2235" spans="13:13" ht="12" customHeight="1" x14ac:dyDescent="0.2">
      <c r="M2235" s="265"/>
    </row>
    <row r="2236" spans="13:13" ht="12" customHeight="1" x14ac:dyDescent="0.2">
      <c r="M2236" s="265"/>
    </row>
    <row r="2237" spans="13:13" ht="12" customHeight="1" x14ac:dyDescent="0.2">
      <c r="M2237" s="265"/>
    </row>
    <row r="2238" spans="13:13" ht="12" customHeight="1" x14ac:dyDescent="0.2">
      <c r="M2238" s="265"/>
    </row>
    <row r="2239" spans="13:13" ht="12" customHeight="1" x14ac:dyDescent="0.2">
      <c r="M2239" s="265"/>
    </row>
    <row r="2240" spans="13:13" ht="12" customHeight="1" x14ac:dyDescent="0.2">
      <c r="M2240" s="265"/>
    </row>
    <row r="2241" spans="13:13" ht="12" customHeight="1" x14ac:dyDescent="0.2">
      <c r="M2241" s="265"/>
    </row>
    <row r="2242" spans="13:13" ht="12" customHeight="1" x14ac:dyDescent="0.2">
      <c r="M2242" s="265"/>
    </row>
    <row r="2243" spans="13:13" ht="12" customHeight="1" x14ac:dyDescent="0.2">
      <c r="M2243" s="265"/>
    </row>
    <row r="2244" spans="13:13" ht="12" customHeight="1" x14ac:dyDescent="0.2">
      <c r="M2244" s="265"/>
    </row>
    <row r="2245" spans="13:13" ht="12" customHeight="1" x14ac:dyDescent="0.2">
      <c r="M2245" s="265"/>
    </row>
    <row r="2246" spans="13:13" ht="12" customHeight="1" x14ac:dyDescent="0.2">
      <c r="M2246" s="265"/>
    </row>
    <row r="2247" spans="13:13" ht="12" customHeight="1" x14ac:dyDescent="0.2">
      <c r="M2247" s="265"/>
    </row>
    <row r="2248" spans="13:13" ht="12" customHeight="1" x14ac:dyDescent="0.2">
      <c r="M2248" s="265"/>
    </row>
    <row r="2249" spans="13:13" ht="12" customHeight="1" x14ac:dyDescent="0.2">
      <c r="M2249" s="265"/>
    </row>
    <row r="2250" spans="13:13" ht="12" customHeight="1" x14ac:dyDescent="0.2">
      <c r="M2250" s="265"/>
    </row>
    <row r="2251" spans="13:13" ht="12" customHeight="1" x14ac:dyDescent="0.2">
      <c r="M2251" s="265"/>
    </row>
    <row r="2252" spans="13:13" ht="12" customHeight="1" x14ac:dyDescent="0.2">
      <c r="M2252" s="265"/>
    </row>
    <row r="2253" spans="13:13" ht="12" customHeight="1" x14ac:dyDescent="0.2">
      <c r="M2253" s="265"/>
    </row>
    <row r="2254" spans="13:13" ht="12" customHeight="1" x14ac:dyDescent="0.2">
      <c r="M2254" s="265"/>
    </row>
    <row r="2255" spans="13:13" ht="12" customHeight="1" x14ac:dyDescent="0.2">
      <c r="M2255" s="265"/>
    </row>
    <row r="2256" spans="13:13" ht="12" customHeight="1" x14ac:dyDescent="0.2">
      <c r="M2256" s="265"/>
    </row>
    <row r="2257" spans="13:13" ht="12" customHeight="1" x14ac:dyDescent="0.2">
      <c r="M2257" s="265"/>
    </row>
    <row r="2258" spans="13:13" ht="12" customHeight="1" x14ac:dyDescent="0.2">
      <c r="M2258" s="265"/>
    </row>
    <row r="2259" spans="13:13" ht="12" customHeight="1" x14ac:dyDescent="0.2">
      <c r="M2259" s="265"/>
    </row>
    <row r="2260" spans="13:13" ht="12" customHeight="1" x14ac:dyDescent="0.2">
      <c r="M2260" s="265"/>
    </row>
    <row r="2261" spans="13:13" ht="12" customHeight="1" x14ac:dyDescent="0.2">
      <c r="M2261" s="265"/>
    </row>
    <row r="2262" spans="13:13" ht="12" customHeight="1" x14ac:dyDescent="0.2">
      <c r="M2262" s="265"/>
    </row>
    <row r="2263" spans="13:13" ht="12" customHeight="1" x14ac:dyDescent="0.2">
      <c r="M2263" s="265"/>
    </row>
    <row r="2264" spans="13:13" ht="12" customHeight="1" x14ac:dyDescent="0.2">
      <c r="M2264" s="265"/>
    </row>
    <row r="2265" spans="13:13" ht="12" customHeight="1" x14ac:dyDescent="0.2">
      <c r="M2265" s="265"/>
    </row>
    <row r="2266" spans="13:13" ht="12" customHeight="1" x14ac:dyDescent="0.2">
      <c r="M2266" s="265"/>
    </row>
    <row r="2267" spans="13:13" ht="12" customHeight="1" x14ac:dyDescent="0.2">
      <c r="M2267" s="265"/>
    </row>
    <row r="2268" spans="13:13" ht="12" customHeight="1" x14ac:dyDescent="0.2">
      <c r="M2268" s="265"/>
    </row>
    <row r="2269" spans="13:13" ht="12" customHeight="1" x14ac:dyDescent="0.2">
      <c r="M2269" s="265"/>
    </row>
    <row r="2270" spans="13:13" ht="12" customHeight="1" x14ac:dyDescent="0.2">
      <c r="M2270" s="265"/>
    </row>
    <row r="2271" spans="13:13" ht="12" customHeight="1" x14ac:dyDescent="0.2">
      <c r="M2271" s="265"/>
    </row>
    <row r="2272" spans="13:13" ht="12" customHeight="1" x14ac:dyDescent="0.2">
      <c r="M2272" s="265"/>
    </row>
    <row r="2273" spans="13:13" ht="12" customHeight="1" x14ac:dyDescent="0.2">
      <c r="M2273" s="265"/>
    </row>
    <row r="2274" spans="13:13" ht="12" customHeight="1" x14ac:dyDescent="0.2">
      <c r="M2274" s="265"/>
    </row>
    <row r="2275" spans="13:13" ht="12" customHeight="1" x14ac:dyDescent="0.2">
      <c r="M2275" s="265"/>
    </row>
    <row r="2276" spans="13:13" ht="12" customHeight="1" x14ac:dyDescent="0.2">
      <c r="M2276" s="265"/>
    </row>
    <row r="2277" spans="13:13" ht="12" customHeight="1" x14ac:dyDescent="0.2">
      <c r="M2277" s="265"/>
    </row>
    <row r="2278" spans="13:13" ht="12" customHeight="1" x14ac:dyDescent="0.2">
      <c r="M2278" s="265"/>
    </row>
    <row r="2279" spans="13:13" ht="12" customHeight="1" x14ac:dyDescent="0.2">
      <c r="M2279" s="265"/>
    </row>
    <row r="2280" spans="13:13" ht="12" customHeight="1" x14ac:dyDescent="0.2">
      <c r="M2280" s="265"/>
    </row>
    <row r="2281" spans="13:13" ht="12" customHeight="1" x14ac:dyDescent="0.2">
      <c r="M2281" s="265"/>
    </row>
    <row r="2282" spans="13:13" ht="12" customHeight="1" x14ac:dyDescent="0.2">
      <c r="M2282" s="265"/>
    </row>
    <row r="2283" spans="13:13" ht="12" customHeight="1" x14ac:dyDescent="0.2">
      <c r="M2283" s="265"/>
    </row>
    <row r="2284" spans="13:13" ht="12" customHeight="1" x14ac:dyDescent="0.2">
      <c r="M2284" s="265"/>
    </row>
    <row r="2285" spans="13:13" ht="12" customHeight="1" x14ac:dyDescent="0.2">
      <c r="M2285" s="265"/>
    </row>
    <row r="2286" spans="13:13" ht="12" customHeight="1" x14ac:dyDescent="0.2">
      <c r="M2286" s="265"/>
    </row>
    <row r="2287" spans="13:13" ht="12" customHeight="1" x14ac:dyDescent="0.2">
      <c r="M2287" s="265"/>
    </row>
    <row r="2288" spans="13:13" ht="12" customHeight="1" x14ac:dyDescent="0.2">
      <c r="M2288" s="265"/>
    </row>
    <row r="2289" spans="13:13" ht="12" customHeight="1" x14ac:dyDescent="0.2">
      <c r="M2289" s="265"/>
    </row>
    <row r="2290" spans="13:13" ht="12" customHeight="1" x14ac:dyDescent="0.2">
      <c r="M2290" s="265"/>
    </row>
    <row r="2291" spans="13:13" ht="12" customHeight="1" x14ac:dyDescent="0.2">
      <c r="M2291" s="265"/>
    </row>
    <row r="2292" spans="13:13" ht="12" customHeight="1" x14ac:dyDescent="0.2">
      <c r="M2292" s="265"/>
    </row>
    <row r="2293" spans="13:13" ht="12" customHeight="1" x14ac:dyDescent="0.2">
      <c r="M2293" s="265"/>
    </row>
    <row r="2294" spans="13:13" ht="12" customHeight="1" x14ac:dyDescent="0.2">
      <c r="M2294" s="265"/>
    </row>
    <row r="2295" spans="13:13" ht="12" customHeight="1" x14ac:dyDescent="0.2">
      <c r="M2295" s="265"/>
    </row>
    <row r="2296" spans="13:13" ht="12" customHeight="1" x14ac:dyDescent="0.2">
      <c r="M2296" s="265"/>
    </row>
    <row r="2297" spans="13:13" ht="12" customHeight="1" x14ac:dyDescent="0.2">
      <c r="M2297" s="265"/>
    </row>
    <row r="2298" spans="13:13" ht="12" customHeight="1" x14ac:dyDescent="0.2">
      <c r="M2298" s="265"/>
    </row>
    <row r="2299" spans="13:13" ht="12" customHeight="1" x14ac:dyDescent="0.2">
      <c r="M2299" s="265"/>
    </row>
    <row r="2300" spans="13:13" ht="12" customHeight="1" x14ac:dyDescent="0.2">
      <c r="M2300" s="265"/>
    </row>
    <row r="2301" spans="13:13" ht="12" customHeight="1" x14ac:dyDescent="0.2">
      <c r="M2301" s="265"/>
    </row>
    <row r="2302" spans="13:13" ht="12" customHeight="1" x14ac:dyDescent="0.2">
      <c r="M2302" s="265"/>
    </row>
    <row r="2303" spans="13:13" ht="12" customHeight="1" x14ac:dyDescent="0.2">
      <c r="M2303" s="265"/>
    </row>
    <row r="2304" spans="13:13" ht="12" customHeight="1" x14ac:dyDescent="0.2">
      <c r="M2304" s="265"/>
    </row>
    <row r="2305" spans="13:13" ht="12" customHeight="1" x14ac:dyDescent="0.2">
      <c r="M2305" s="265"/>
    </row>
    <row r="2306" spans="13:13" ht="12" customHeight="1" x14ac:dyDescent="0.2">
      <c r="M2306" s="265"/>
    </row>
    <row r="2307" spans="13:13" ht="12" customHeight="1" x14ac:dyDescent="0.2">
      <c r="M2307" s="265"/>
    </row>
    <row r="2308" spans="13:13" ht="12" customHeight="1" x14ac:dyDescent="0.2">
      <c r="M2308" s="265"/>
    </row>
    <row r="2309" spans="13:13" ht="12" customHeight="1" x14ac:dyDescent="0.2">
      <c r="M2309" s="265"/>
    </row>
    <row r="2310" spans="13:13" ht="12" customHeight="1" x14ac:dyDescent="0.2">
      <c r="M2310" s="265"/>
    </row>
    <row r="2311" spans="13:13" ht="12" customHeight="1" x14ac:dyDescent="0.2">
      <c r="M2311" s="265"/>
    </row>
    <row r="2312" spans="13:13" ht="12" customHeight="1" x14ac:dyDescent="0.2">
      <c r="M2312" s="265"/>
    </row>
    <row r="2313" spans="13:13" ht="12" customHeight="1" x14ac:dyDescent="0.2">
      <c r="M2313" s="265"/>
    </row>
    <row r="2314" spans="13:13" ht="12" customHeight="1" x14ac:dyDescent="0.2">
      <c r="M2314" s="265"/>
    </row>
    <row r="2315" spans="13:13" ht="12" customHeight="1" x14ac:dyDescent="0.2">
      <c r="M2315" s="265"/>
    </row>
    <row r="2316" spans="13:13" ht="12" customHeight="1" x14ac:dyDescent="0.2">
      <c r="M2316" s="265"/>
    </row>
    <row r="2317" spans="13:13" ht="12" customHeight="1" x14ac:dyDescent="0.2">
      <c r="M2317" s="265"/>
    </row>
    <row r="2318" spans="13:13" ht="12" customHeight="1" x14ac:dyDescent="0.2">
      <c r="M2318" s="265"/>
    </row>
    <row r="2319" spans="13:13" ht="12" customHeight="1" x14ac:dyDescent="0.2">
      <c r="M2319" s="265"/>
    </row>
    <row r="2320" spans="13:13" ht="12" customHeight="1" x14ac:dyDescent="0.2">
      <c r="M2320" s="265"/>
    </row>
    <row r="2321" spans="13:13" ht="12" customHeight="1" x14ac:dyDescent="0.2">
      <c r="M2321" s="265"/>
    </row>
    <row r="2322" spans="13:13" ht="12" customHeight="1" x14ac:dyDescent="0.2">
      <c r="M2322" s="265"/>
    </row>
    <row r="2323" spans="13:13" ht="12" customHeight="1" x14ac:dyDescent="0.2">
      <c r="M2323" s="265"/>
    </row>
    <row r="2324" spans="13:13" ht="12" customHeight="1" x14ac:dyDescent="0.2">
      <c r="M2324" s="265"/>
    </row>
    <row r="2325" spans="13:13" ht="12" customHeight="1" x14ac:dyDescent="0.2">
      <c r="M2325" s="265"/>
    </row>
    <row r="2326" spans="13:13" ht="12" customHeight="1" x14ac:dyDescent="0.2">
      <c r="M2326" s="265"/>
    </row>
    <row r="2327" spans="13:13" ht="12" customHeight="1" x14ac:dyDescent="0.2">
      <c r="M2327" s="265"/>
    </row>
    <row r="2328" spans="13:13" ht="12" customHeight="1" x14ac:dyDescent="0.2">
      <c r="M2328" s="265"/>
    </row>
    <row r="2329" spans="13:13" ht="12" customHeight="1" x14ac:dyDescent="0.2">
      <c r="M2329" s="265"/>
    </row>
    <row r="2330" spans="13:13" ht="12" customHeight="1" x14ac:dyDescent="0.2">
      <c r="M2330" s="265"/>
    </row>
    <row r="2331" spans="13:13" ht="12" customHeight="1" x14ac:dyDescent="0.2">
      <c r="M2331" s="265"/>
    </row>
    <row r="2332" spans="13:13" ht="12" customHeight="1" x14ac:dyDescent="0.2">
      <c r="M2332" s="265"/>
    </row>
    <row r="2333" spans="13:13" ht="12" customHeight="1" x14ac:dyDescent="0.2">
      <c r="M2333" s="265"/>
    </row>
    <row r="2334" spans="13:13" ht="12" customHeight="1" x14ac:dyDescent="0.2">
      <c r="M2334" s="265"/>
    </row>
    <row r="2335" spans="13:13" ht="12" customHeight="1" x14ac:dyDescent="0.2">
      <c r="M2335" s="265"/>
    </row>
    <row r="2336" spans="13:13" ht="12" customHeight="1" x14ac:dyDescent="0.2">
      <c r="M2336" s="265"/>
    </row>
    <row r="2337" spans="13:13" ht="12" customHeight="1" x14ac:dyDescent="0.2">
      <c r="M2337" s="265"/>
    </row>
    <row r="2338" spans="13:13" ht="12" customHeight="1" x14ac:dyDescent="0.2">
      <c r="M2338" s="265"/>
    </row>
    <row r="2339" spans="13:13" ht="12" customHeight="1" x14ac:dyDescent="0.2">
      <c r="M2339" s="265"/>
    </row>
    <row r="2340" spans="13:13" ht="12" customHeight="1" x14ac:dyDescent="0.2">
      <c r="M2340" s="265"/>
    </row>
    <row r="2341" spans="13:13" ht="12" customHeight="1" x14ac:dyDescent="0.2">
      <c r="M2341" s="265"/>
    </row>
    <row r="2342" spans="13:13" ht="12" customHeight="1" x14ac:dyDescent="0.2">
      <c r="M2342" s="265"/>
    </row>
    <row r="2343" spans="13:13" ht="12" customHeight="1" x14ac:dyDescent="0.2">
      <c r="M2343" s="265"/>
    </row>
    <row r="2344" spans="13:13" ht="12" customHeight="1" x14ac:dyDescent="0.2">
      <c r="M2344" s="265"/>
    </row>
    <row r="2345" spans="13:13" ht="12" customHeight="1" x14ac:dyDescent="0.2">
      <c r="M2345" s="265"/>
    </row>
    <row r="2346" spans="13:13" ht="12" customHeight="1" x14ac:dyDescent="0.2">
      <c r="M2346" s="265"/>
    </row>
    <row r="2347" spans="13:13" ht="12" customHeight="1" x14ac:dyDescent="0.2">
      <c r="M2347" s="265"/>
    </row>
    <row r="2348" spans="13:13" ht="12" customHeight="1" x14ac:dyDescent="0.2">
      <c r="M2348" s="265"/>
    </row>
    <row r="2349" spans="13:13" ht="12" customHeight="1" x14ac:dyDescent="0.2">
      <c r="M2349" s="265"/>
    </row>
    <row r="2350" spans="13:13" ht="12" customHeight="1" x14ac:dyDescent="0.2">
      <c r="M2350" s="265"/>
    </row>
    <row r="2351" spans="13:13" ht="12" customHeight="1" x14ac:dyDescent="0.2">
      <c r="M2351" s="265"/>
    </row>
    <row r="2352" spans="13:13" ht="12" customHeight="1" x14ac:dyDescent="0.2">
      <c r="M2352" s="265"/>
    </row>
    <row r="2353" spans="13:13" ht="12" customHeight="1" x14ac:dyDescent="0.2">
      <c r="M2353" s="265"/>
    </row>
    <row r="2354" spans="13:13" ht="12" customHeight="1" x14ac:dyDescent="0.2">
      <c r="M2354" s="265"/>
    </row>
    <row r="2355" spans="13:13" ht="12" customHeight="1" x14ac:dyDescent="0.2">
      <c r="M2355" s="265"/>
    </row>
    <row r="2356" spans="13:13" ht="12" customHeight="1" x14ac:dyDescent="0.2">
      <c r="M2356" s="265"/>
    </row>
    <row r="2357" spans="13:13" ht="12" customHeight="1" x14ac:dyDescent="0.2">
      <c r="M2357" s="265"/>
    </row>
    <row r="2358" spans="13:13" ht="12" customHeight="1" x14ac:dyDescent="0.2">
      <c r="M2358" s="265"/>
    </row>
    <row r="2359" spans="13:13" ht="12" customHeight="1" x14ac:dyDescent="0.2">
      <c r="M2359" s="265"/>
    </row>
    <row r="2360" spans="13:13" ht="12" customHeight="1" x14ac:dyDescent="0.2">
      <c r="M2360" s="265"/>
    </row>
    <row r="2361" spans="13:13" ht="12" customHeight="1" x14ac:dyDescent="0.2">
      <c r="M2361" s="265"/>
    </row>
    <row r="2362" spans="13:13" ht="12" customHeight="1" x14ac:dyDescent="0.2">
      <c r="M2362" s="265"/>
    </row>
    <row r="2363" spans="13:13" ht="12" customHeight="1" x14ac:dyDescent="0.2">
      <c r="M2363" s="265"/>
    </row>
    <row r="2364" spans="13:13" ht="12" customHeight="1" x14ac:dyDescent="0.2">
      <c r="M2364" s="265"/>
    </row>
    <row r="2365" spans="13:13" ht="12" customHeight="1" x14ac:dyDescent="0.2">
      <c r="M2365" s="265"/>
    </row>
    <row r="2366" spans="13:13" ht="12" customHeight="1" x14ac:dyDescent="0.2">
      <c r="M2366" s="265"/>
    </row>
    <row r="2367" spans="13:13" ht="12" customHeight="1" x14ac:dyDescent="0.2">
      <c r="M2367" s="265"/>
    </row>
    <row r="2368" spans="13:13" ht="12" customHeight="1" x14ac:dyDescent="0.2">
      <c r="M2368" s="265"/>
    </row>
    <row r="2369" spans="13:13" ht="12" customHeight="1" x14ac:dyDescent="0.2">
      <c r="M2369" s="265"/>
    </row>
    <row r="2370" spans="13:13" ht="12" customHeight="1" x14ac:dyDescent="0.2">
      <c r="M2370" s="265"/>
    </row>
    <row r="2371" spans="13:13" ht="12" customHeight="1" x14ac:dyDescent="0.2">
      <c r="M2371" s="265"/>
    </row>
    <row r="2372" spans="13:13" ht="12" customHeight="1" x14ac:dyDescent="0.2">
      <c r="M2372" s="265"/>
    </row>
    <row r="2373" spans="13:13" ht="12" customHeight="1" x14ac:dyDescent="0.2">
      <c r="M2373" s="265"/>
    </row>
    <row r="2374" spans="13:13" ht="12" customHeight="1" x14ac:dyDescent="0.2">
      <c r="M2374" s="265"/>
    </row>
    <row r="2375" spans="13:13" ht="12" customHeight="1" x14ac:dyDescent="0.2">
      <c r="M2375" s="265"/>
    </row>
    <row r="2376" spans="13:13" ht="12" customHeight="1" x14ac:dyDescent="0.2">
      <c r="M2376" s="265"/>
    </row>
    <row r="2377" spans="13:13" ht="12" customHeight="1" x14ac:dyDescent="0.2">
      <c r="M2377" s="265"/>
    </row>
    <row r="2378" spans="13:13" ht="12" customHeight="1" x14ac:dyDescent="0.2">
      <c r="M2378" s="265"/>
    </row>
    <row r="2379" spans="13:13" ht="12" customHeight="1" x14ac:dyDescent="0.2">
      <c r="M2379" s="265"/>
    </row>
    <row r="2380" spans="13:13" ht="12" customHeight="1" x14ac:dyDescent="0.2">
      <c r="M2380" s="265"/>
    </row>
    <row r="2381" spans="13:13" ht="12" customHeight="1" x14ac:dyDescent="0.2">
      <c r="M2381" s="265"/>
    </row>
    <row r="2382" spans="13:13" ht="12" customHeight="1" x14ac:dyDescent="0.2">
      <c r="M2382" s="265"/>
    </row>
    <row r="2383" spans="13:13" ht="12" customHeight="1" x14ac:dyDescent="0.2">
      <c r="M2383" s="265"/>
    </row>
    <row r="2384" spans="13:13" ht="12" customHeight="1" x14ac:dyDescent="0.2">
      <c r="M2384" s="265"/>
    </row>
    <row r="2385" spans="13:13" ht="12" customHeight="1" x14ac:dyDescent="0.2">
      <c r="M2385" s="265"/>
    </row>
    <row r="2386" spans="13:13" ht="12" customHeight="1" x14ac:dyDescent="0.2">
      <c r="M2386" s="265"/>
    </row>
    <row r="2387" spans="13:13" ht="12" customHeight="1" x14ac:dyDescent="0.2">
      <c r="M2387" s="265"/>
    </row>
    <row r="2388" spans="13:13" ht="12" customHeight="1" x14ac:dyDescent="0.2">
      <c r="M2388" s="265"/>
    </row>
    <row r="2389" spans="13:13" ht="12" customHeight="1" x14ac:dyDescent="0.2">
      <c r="M2389" s="265"/>
    </row>
    <row r="2390" spans="13:13" ht="12" customHeight="1" x14ac:dyDescent="0.2">
      <c r="M2390" s="265"/>
    </row>
    <row r="2391" spans="13:13" ht="12" customHeight="1" x14ac:dyDescent="0.2">
      <c r="M2391" s="265"/>
    </row>
    <row r="2392" spans="13:13" ht="12" customHeight="1" x14ac:dyDescent="0.2">
      <c r="M2392" s="265"/>
    </row>
    <row r="2393" spans="13:13" ht="12" customHeight="1" x14ac:dyDescent="0.2">
      <c r="M2393" s="265"/>
    </row>
    <row r="2394" spans="13:13" ht="12" customHeight="1" x14ac:dyDescent="0.2">
      <c r="M2394" s="265"/>
    </row>
    <row r="2395" spans="13:13" ht="12" customHeight="1" x14ac:dyDescent="0.2">
      <c r="M2395" s="265"/>
    </row>
    <row r="2396" spans="13:13" ht="12" customHeight="1" x14ac:dyDescent="0.2">
      <c r="M2396" s="265"/>
    </row>
    <row r="2397" spans="13:13" ht="12" customHeight="1" x14ac:dyDescent="0.2">
      <c r="M2397" s="265"/>
    </row>
    <row r="2398" spans="13:13" ht="12" customHeight="1" x14ac:dyDescent="0.2">
      <c r="M2398" s="265"/>
    </row>
    <row r="2399" spans="13:13" ht="12" customHeight="1" x14ac:dyDescent="0.2">
      <c r="M2399" s="265"/>
    </row>
    <row r="2400" spans="13:13" ht="12" customHeight="1" x14ac:dyDescent="0.2">
      <c r="M2400" s="265"/>
    </row>
    <row r="2401" spans="13:13" ht="12" customHeight="1" x14ac:dyDescent="0.2">
      <c r="M2401" s="265"/>
    </row>
    <row r="2402" spans="13:13" ht="12" customHeight="1" x14ac:dyDescent="0.2">
      <c r="M2402" s="265"/>
    </row>
    <row r="2403" spans="13:13" ht="12" customHeight="1" x14ac:dyDescent="0.2">
      <c r="M2403" s="265"/>
    </row>
    <row r="2404" spans="13:13" ht="12" customHeight="1" x14ac:dyDescent="0.2">
      <c r="M2404" s="265"/>
    </row>
    <row r="2405" spans="13:13" ht="12" customHeight="1" x14ac:dyDescent="0.2">
      <c r="M2405" s="265"/>
    </row>
    <row r="2406" spans="13:13" ht="12" customHeight="1" x14ac:dyDescent="0.2">
      <c r="M2406" s="265"/>
    </row>
    <row r="2407" spans="13:13" ht="12" customHeight="1" x14ac:dyDescent="0.2">
      <c r="M2407" s="265"/>
    </row>
    <row r="2408" spans="13:13" ht="12" customHeight="1" x14ac:dyDescent="0.2">
      <c r="M2408" s="265"/>
    </row>
    <row r="2409" spans="13:13" ht="12" customHeight="1" x14ac:dyDescent="0.2">
      <c r="M2409" s="265"/>
    </row>
    <row r="2410" spans="13:13" ht="12" customHeight="1" x14ac:dyDescent="0.2">
      <c r="M2410" s="265"/>
    </row>
    <row r="2411" spans="13:13" ht="12" customHeight="1" x14ac:dyDescent="0.2">
      <c r="M2411" s="265"/>
    </row>
    <row r="2412" spans="13:13" ht="12" customHeight="1" x14ac:dyDescent="0.2">
      <c r="M2412" s="265"/>
    </row>
    <row r="2413" spans="13:13" ht="12" customHeight="1" x14ac:dyDescent="0.2">
      <c r="M2413" s="265"/>
    </row>
    <row r="2414" spans="13:13" ht="12" customHeight="1" x14ac:dyDescent="0.2">
      <c r="M2414" s="265"/>
    </row>
    <row r="2415" spans="13:13" ht="12" customHeight="1" x14ac:dyDescent="0.2">
      <c r="M2415" s="265"/>
    </row>
    <row r="2416" spans="13:13" ht="12" customHeight="1" x14ac:dyDescent="0.2">
      <c r="M2416" s="265"/>
    </row>
    <row r="2417" spans="13:13" ht="12" customHeight="1" x14ac:dyDescent="0.2">
      <c r="M2417" s="265"/>
    </row>
    <row r="2418" spans="13:13" ht="12" customHeight="1" x14ac:dyDescent="0.2">
      <c r="M2418" s="265"/>
    </row>
    <row r="2419" spans="13:13" ht="12" customHeight="1" x14ac:dyDescent="0.2">
      <c r="M2419" s="265"/>
    </row>
    <row r="2420" spans="13:13" ht="12" customHeight="1" x14ac:dyDescent="0.2">
      <c r="M2420" s="265"/>
    </row>
    <row r="2421" spans="13:13" ht="12" customHeight="1" x14ac:dyDescent="0.2">
      <c r="M2421" s="265"/>
    </row>
    <row r="2422" spans="13:13" ht="12" customHeight="1" x14ac:dyDescent="0.2">
      <c r="M2422" s="265"/>
    </row>
    <row r="2423" spans="13:13" ht="12" customHeight="1" x14ac:dyDescent="0.2">
      <c r="M2423" s="265"/>
    </row>
    <row r="2424" spans="13:13" ht="12" customHeight="1" x14ac:dyDescent="0.2">
      <c r="M2424" s="265"/>
    </row>
    <row r="2425" spans="13:13" ht="12" customHeight="1" x14ac:dyDescent="0.2">
      <c r="M2425" s="265"/>
    </row>
    <row r="2426" spans="13:13" ht="12" customHeight="1" x14ac:dyDescent="0.2">
      <c r="M2426" s="265"/>
    </row>
    <row r="2427" spans="13:13" ht="12" customHeight="1" x14ac:dyDescent="0.2">
      <c r="M2427" s="265"/>
    </row>
    <row r="2428" spans="13:13" ht="12" customHeight="1" x14ac:dyDescent="0.2">
      <c r="M2428" s="265"/>
    </row>
    <row r="2429" spans="13:13" ht="12" customHeight="1" x14ac:dyDescent="0.2">
      <c r="M2429" s="265"/>
    </row>
    <row r="2430" spans="13:13" ht="12" customHeight="1" x14ac:dyDescent="0.2">
      <c r="M2430" s="265"/>
    </row>
    <row r="2431" spans="13:13" ht="12" customHeight="1" x14ac:dyDescent="0.2">
      <c r="M2431" s="265"/>
    </row>
    <row r="2432" spans="13:13" ht="12" customHeight="1" x14ac:dyDescent="0.2">
      <c r="M2432" s="265"/>
    </row>
    <row r="2433" spans="13:13" ht="12" customHeight="1" x14ac:dyDescent="0.2">
      <c r="M2433" s="265"/>
    </row>
    <row r="2434" spans="13:13" ht="12" customHeight="1" x14ac:dyDescent="0.2">
      <c r="M2434" s="265"/>
    </row>
    <row r="2435" spans="13:13" ht="12" customHeight="1" x14ac:dyDescent="0.2">
      <c r="M2435" s="265"/>
    </row>
    <row r="2436" spans="13:13" ht="12" customHeight="1" x14ac:dyDescent="0.2">
      <c r="M2436" s="265"/>
    </row>
    <row r="2437" spans="13:13" ht="12" customHeight="1" x14ac:dyDescent="0.2">
      <c r="M2437" s="265"/>
    </row>
    <row r="2438" spans="13:13" ht="12" customHeight="1" x14ac:dyDescent="0.2">
      <c r="M2438" s="265"/>
    </row>
    <row r="2439" spans="13:13" ht="12" customHeight="1" x14ac:dyDescent="0.2">
      <c r="M2439" s="265"/>
    </row>
    <row r="2440" spans="13:13" ht="12" customHeight="1" x14ac:dyDescent="0.2">
      <c r="M2440" s="265"/>
    </row>
    <row r="2441" spans="13:13" ht="12" customHeight="1" x14ac:dyDescent="0.2">
      <c r="M2441" s="265"/>
    </row>
    <row r="2442" spans="13:13" ht="12" customHeight="1" x14ac:dyDescent="0.2">
      <c r="M2442" s="265"/>
    </row>
    <row r="2443" spans="13:13" ht="12" customHeight="1" x14ac:dyDescent="0.2">
      <c r="M2443" s="265"/>
    </row>
    <row r="2444" spans="13:13" ht="12" customHeight="1" x14ac:dyDescent="0.2">
      <c r="M2444" s="265"/>
    </row>
    <row r="2445" spans="13:13" ht="12" customHeight="1" x14ac:dyDescent="0.2">
      <c r="M2445" s="265"/>
    </row>
    <row r="2446" spans="13:13" ht="12" customHeight="1" x14ac:dyDescent="0.2">
      <c r="M2446" s="265"/>
    </row>
    <row r="2447" spans="13:13" ht="12" customHeight="1" x14ac:dyDescent="0.2">
      <c r="M2447" s="265"/>
    </row>
    <row r="2448" spans="13:13" ht="12" customHeight="1" x14ac:dyDescent="0.2">
      <c r="M2448" s="265"/>
    </row>
    <row r="2449" spans="13:13" ht="12" customHeight="1" x14ac:dyDescent="0.2">
      <c r="M2449" s="265"/>
    </row>
    <row r="2450" spans="13:13" ht="12" customHeight="1" x14ac:dyDescent="0.2">
      <c r="M2450" s="265"/>
    </row>
    <row r="2451" spans="13:13" ht="12" customHeight="1" x14ac:dyDescent="0.2">
      <c r="M2451" s="265"/>
    </row>
    <row r="2452" spans="13:13" ht="12" customHeight="1" x14ac:dyDescent="0.2">
      <c r="M2452" s="265"/>
    </row>
    <row r="2453" spans="13:13" ht="12" customHeight="1" x14ac:dyDescent="0.2">
      <c r="M2453" s="265"/>
    </row>
    <row r="2454" spans="13:13" ht="12" customHeight="1" x14ac:dyDescent="0.2">
      <c r="M2454" s="265"/>
    </row>
    <row r="2455" spans="13:13" ht="12" customHeight="1" x14ac:dyDescent="0.2">
      <c r="M2455" s="265"/>
    </row>
    <row r="2456" spans="13:13" ht="12" customHeight="1" x14ac:dyDescent="0.2">
      <c r="M2456" s="265"/>
    </row>
    <row r="2457" spans="13:13" ht="12" customHeight="1" x14ac:dyDescent="0.2">
      <c r="M2457" s="265"/>
    </row>
    <row r="2458" spans="13:13" ht="12" customHeight="1" x14ac:dyDescent="0.2">
      <c r="M2458" s="265"/>
    </row>
    <row r="2459" spans="13:13" ht="12" customHeight="1" x14ac:dyDescent="0.2">
      <c r="M2459" s="265"/>
    </row>
    <row r="2460" spans="13:13" ht="12" customHeight="1" x14ac:dyDescent="0.2">
      <c r="M2460" s="265"/>
    </row>
    <row r="2461" spans="13:13" ht="12" customHeight="1" x14ac:dyDescent="0.2">
      <c r="M2461" s="265"/>
    </row>
    <row r="2462" spans="13:13" ht="12" customHeight="1" x14ac:dyDescent="0.2">
      <c r="M2462" s="265"/>
    </row>
    <row r="2463" spans="13:13" ht="12" customHeight="1" x14ac:dyDescent="0.2">
      <c r="M2463" s="265"/>
    </row>
    <row r="2464" spans="13:13" ht="12" customHeight="1" x14ac:dyDescent="0.2">
      <c r="M2464" s="265"/>
    </row>
    <row r="2465" spans="13:13" ht="12" customHeight="1" x14ac:dyDescent="0.2">
      <c r="M2465" s="265"/>
    </row>
    <row r="2466" spans="13:13" ht="12" customHeight="1" x14ac:dyDescent="0.2">
      <c r="M2466" s="265"/>
    </row>
    <row r="2467" spans="13:13" ht="12" customHeight="1" x14ac:dyDescent="0.2">
      <c r="M2467" s="265"/>
    </row>
    <row r="2468" spans="13:13" ht="12" customHeight="1" x14ac:dyDescent="0.2">
      <c r="M2468" s="265"/>
    </row>
    <row r="2469" spans="13:13" ht="12" customHeight="1" x14ac:dyDescent="0.2">
      <c r="M2469" s="265"/>
    </row>
    <row r="2470" spans="13:13" ht="12" customHeight="1" x14ac:dyDescent="0.2">
      <c r="M2470" s="265"/>
    </row>
    <row r="2471" spans="13:13" ht="12" customHeight="1" x14ac:dyDescent="0.2">
      <c r="M2471" s="265"/>
    </row>
    <row r="2472" spans="13:13" ht="12" customHeight="1" x14ac:dyDescent="0.2">
      <c r="M2472" s="265"/>
    </row>
    <row r="2473" spans="13:13" ht="12" customHeight="1" x14ac:dyDescent="0.2">
      <c r="M2473" s="265"/>
    </row>
    <row r="2474" spans="13:13" ht="12" customHeight="1" x14ac:dyDescent="0.2">
      <c r="M2474" s="265"/>
    </row>
    <row r="2475" spans="13:13" ht="12" customHeight="1" x14ac:dyDescent="0.2">
      <c r="M2475" s="265"/>
    </row>
    <row r="2476" spans="13:13" ht="12" customHeight="1" x14ac:dyDescent="0.2">
      <c r="M2476" s="265"/>
    </row>
    <row r="2477" spans="13:13" ht="12" customHeight="1" x14ac:dyDescent="0.2">
      <c r="M2477" s="265"/>
    </row>
    <row r="2478" spans="13:13" ht="12" customHeight="1" x14ac:dyDescent="0.2">
      <c r="M2478" s="265"/>
    </row>
    <row r="2479" spans="13:13" ht="12" customHeight="1" x14ac:dyDescent="0.2">
      <c r="M2479" s="265"/>
    </row>
    <row r="2480" spans="13:13" ht="12" customHeight="1" x14ac:dyDescent="0.2">
      <c r="M2480" s="265"/>
    </row>
    <row r="2481" spans="13:13" ht="12" customHeight="1" x14ac:dyDescent="0.2">
      <c r="M2481" s="265"/>
    </row>
    <row r="2482" spans="13:13" ht="12" customHeight="1" x14ac:dyDescent="0.2">
      <c r="M2482" s="265"/>
    </row>
    <row r="2483" spans="13:13" ht="12" customHeight="1" x14ac:dyDescent="0.2">
      <c r="M2483" s="265"/>
    </row>
    <row r="2484" spans="13:13" ht="12" customHeight="1" x14ac:dyDescent="0.2">
      <c r="M2484" s="265"/>
    </row>
    <row r="2485" spans="13:13" ht="12" customHeight="1" x14ac:dyDescent="0.2">
      <c r="M2485" s="265"/>
    </row>
    <row r="2486" spans="13:13" ht="12" customHeight="1" x14ac:dyDescent="0.2">
      <c r="M2486" s="265"/>
    </row>
    <row r="2487" spans="13:13" ht="12" customHeight="1" x14ac:dyDescent="0.2">
      <c r="M2487" s="265"/>
    </row>
    <row r="2488" spans="13:13" ht="12" customHeight="1" x14ac:dyDescent="0.2">
      <c r="M2488" s="265"/>
    </row>
    <row r="2489" spans="13:13" ht="12" customHeight="1" x14ac:dyDescent="0.2">
      <c r="M2489" s="265"/>
    </row>
    <row r="2490" spans="13:13" ht="12" customHeight="1" x14ac:dyDescent="0.2">
      <c r="M2490" s="265"/>
    </row>
    <row r="2491" spans="13:13" ht="12" customHeight="1" x14ac:dyDescent="0.2">
      <c r="M2491" s="265"/>
    </row>
    <row r="2492" spans="13:13" ht="12" customHeight="1" x14ac:dyDescent="0.2">
      <c r="M2492" s="265"/>
    </row>
    <row r="2493" spans="13:13" ht="12" customHeight="1" x14ac:dyDescent="0.2">
      <c r="M2493" s="265"/>
    </row>
    <row r="2494" spans="13:13" ht="12" customHeight="1" x14ac:dyDescent="0.2">
      <c r="M2494" s="265"/>
    </row>
    <row r="2495" spans="13:13" ht="12" customHeight="1" x14ac:dyDescent="0.2">
      <c r="M2495" s="265"/>
    </row>
    <row r="2496" spans="13:13" ht="12" customHeight="1" x14ac:dyDescent="0.2">
      <c r="M2496" s="265"/>
    </row>
    <row r="2497" spans="13:13" ht="12" customHeight="1" x14ac:dyDescent="0.2">
      <c r="M2497" s="265"/>
    </row>
    <row r="2498" spans="13:13" ht="12" customHeight="1" x14ac:dyDescent="0.2">
      <c r="M2498" s="265"/>
    </row>
    <row r="2499" spans="13:13" ht="12" customHeight="1" x14ac:dyDescent="0.2">
      <c r="M2499" s="265"/>
    </row>
    <row r="2500" spans="13:13" ht="12" customHeight="1" x14ac:dyDescent="0.2">
      <c r="M2500" s="265"/>
    </row>
    <row r="2501" spans="13:13" ht="12" customHeight="1" x14ac:dyDescent="0.2">
      <c r="M2501" s="265"/>
    </row>
    <row r="2502" spans="13:13" ht="12" customHeight="1" x14ac:dyDescent="0.2">
      <c r="M2502" s="265"/>
    </row>
    <row r="2503" spans="13:13" ht="12" customHeight="1" x14ac:dyDescent="0.2">
      <c r="M2503" s="265"/>
    </row>
    <row r="2504" spans="13:13" ht="12" customHeight="1" x14ac:dyDescent="0.2">
      <c r="M2504" s="265"/>
    </row>
    <row r="2505" spans="13:13" ht="12" customHeight="1" x14ac:dyDescent="0.2">
      <c r="M2505" s="265"/>
    </row>
    <row r="2506" spans="13:13" ht="12" customHeight="1" x14ac:dyDescent="0.2">
      <c r="M2506" s="265"/>
    </row>
    <row r="2507" spans="13:13" ht="12" customHeight="1" x14ac:dyDescent="0.2">
      <c r="M2507" s="265"/>
    </row>
    <row r="2508" spans="13:13" ht="12" customHeight="1" x14ac:dyDescent="0.2">
      <c r="M2508" s="265"/>
    </row>
    <row r="2509" spans="13:13" ht="12" customHeight="1" x14ac:dyDescent="0.2">
      <c r="M2509" s="265"/>
    </row>
    <row r="2510" spans="13:13" ht="12" customHeight="1" x14ac:dyDescent="0.2">
      <c r="M2510" s="265"/>
    </row>
    <row r="2511" spans="13:13" ht="12" customHeight="1" x14ac:dyDescent="0.2">
      <c r="M2511" s="265"/>
    </row>
    <row r="2512" spans="13:13" ht="12" customHeight="1" x14ac:dyDescent="0.2">
      <c r="M2512" s="265"/>
    </row>
    <row r="2513" spans="13:13" ht="12" customHeight="1" x14ac:dyDescent="0.2">
      <c r="M2513" s="265"/>
    </row>
    <row r="2514" spans="13:13" ht="12" customHeight="1" x14ac:dyDescent="0.2">
      <c r="M2514" s="265"/>
    </row>
    <row r="2515" spans="13:13" ht="12" customHeight="1" x14ac:dyDescent="0.2">
      <c r="M2515" s="265"/>
    </row>
    <row r="2516" spans="13:13" ht="12" customHeight="1" x14ac:dyDescent="0.2">
      <c r="M2516" s="265"/>
    </row>
    <row r="2517" spans="13:13" ht="12" customHeight="1" x14ac:dyDescent="0.2">
      <c r="M2517" s="265"/>
    </row>
    <row r="2518" spans="13:13" ht="12" customHeight="1" x14ac:dyDescent="0.2">
      <c r="M2518" s="265"/>
    </row>
    <row r="2519" spans="13:13" ht="12" customHeight="1" x14ac:dyDescent="0.2">
      <c r="M2519" s="265"/>
    </row>
    <row r="2520" spans="13:13" ht="12" customHeight="1" x14ac:dyDescent="0.2">
      <c r="M2520" s="265"/>
    </row>
    <row r="2521" spans="13:13" ht="12" customHeight="1" x14ac:dyDescent="0.2">
      <c r="M2521" s="265"/>
    </row>
    <row r="2522" spans="13:13" ht="12" customHeight="1" x14ac:dyDescent="0.2">
      <c r="M2522" s="265"/>
    </row>
    <row r="2523" spans="13:13" ht="12" customHeight="1" x14ac:dyDescent="0.2">
      <c r="M2523" s="265"/>
    </row>
    <row r="2524" spans="13:13" ht="12" customHeight="1" x14ac:dyDescent="0.2">
      <c r="M2524" s="265"/>
    </row>
    <row r="2525" spans="13:13" ht="12" customHeight="1" x14ac:dyDescent="0.2">
      <c r="M2525" s="265"/>
    </row>
    <row r="2526" spans="13:13" ht="12" customHeight="1" x14ac:dyDescent="0.2">
      <c r="M2526" s="265"/>
    </row>
    <row r="2527" spans="13:13" ht="12" customHeight="1" x14ac:dyDescent="0.2">
      <c r="M2527" s="265"/>
    </row>
    <row r="2528" spans="13:13" ht="12" customHeight="1" x14ac:dyDescent="0.2">
      <c r="M2528" s="265"/>
    </row>
    <row r="2529" spans="13:13" ht="12" customHeight="1" x14ac:dyDescent="0.2">
      <c r="M2529" s="265"/>
    </row>
    <row r="2530" spans="13:13" ht="12" customHeight="1" x14ac:dyDescent="0.2">
      <c r="M2530" s="265"/>
    </row>
    <row r="2531" spans="13:13" ht="12" customHeight="1" x14ac:dyDescent="0.2">
      <c r="M2531" s="265"/>
    </row>
    <row r="2532" spans="13:13" ht="12" customHeight="1" x14ac:dyDescent="0.2">
      <c r="M2532" s="265"/>
    </row>
    <row r="2533" spans="13:13" ht="12" customHeight="1" x14ac:dyDescent="0.2">
      <c r="M2533" s="265"/>
    </row>
    <row r="2534" spans="13:13" ht="12" customHeight="1" x14ac:dyDescent="0.2">
      <c r="M2534" s="265"/>
    </row>
    <row r="2535" spans="13:13" ht="12" customHeight="1" x14ac:dyDescent="0.2">
      <c r="M2535" s="265"/>
    </row>
    <row r="2536" spans="13:13" ht="12" customHeight="1" x14ac:dyDescent="0.2">
      <c r="M2536" s="265"/>
    </row>
    <row r="2537" spans="13:13" ht="12" customHeight="1" x14ac:dyDescent="0.2">
      <c r="M2537" s="265"/>
    </row>
    <row r="2538" spans="13:13" ht="12" customHeight="1" x14ac:dyDescent="0.2">
      <c r="M2538" s="265"/>
    </row>
    <row r="2539" spans="13:13" ht="12" customHeight="1" x14ac:dyDescent="0.2">
      <c r="M2539" s="265"/>
    </row>
    <row r="2540" spans="13:13" ht="12" customHeight="1" x14ac:dyDescent="0.2">
      <c r="M2540" s="265"/>
    </row>
    <row r="2541" spans="13:13" ht="12" customHeight="1" x14ac:dyDescent="0.2">
      <c r="M2541" s="265"/>
    </row>
    <row r="2542" spans="13:13" ht="12" customHeight="1" x14ac:dyDescent="0.2">
      <c r="M2542" s="265"/>
    </row>
    <row r="2543" spans="13:13" ht="12" customHeight="1" x14ac:dyDescent="0.2">
      <c r="M2543" s="265"/>
    </row>
    <row r="2544" spans="13:13" ht="12" customHeight="1" x14ac:dyDescent="0.2">
      <c r="M2544" s="265"/>
    </row>
    <row r="2545" spans="13:13" ht="12" customHeight="1" x14ac:dyDescent="0.2">
      <c r="M2545" s="265"/>
    </row>
    <row r="2546" spans="13:13" ht="12" customHeight="1" x14ac:dyDescent="0.2">
      <c r="M2546" s="265"/>
    </row>
    <row r="2547" spans="13:13" ht="12" customHeight="1" x14ac:dyDescent="0.2">
      <c r="M2547" s="265"/>
    </row>
    <row r="2548" spans="13:13" ht="12" customHeight="1" x14ac:dyDescent="0.2">
      <c r="M2548" s="265"/>
    </row>
    <row r="2549" spans="13:13" ht="12" customHeight="1" x14ac:dyDescent="0.2">
      <c r="M2549" s="265"/>
    </row>
    <row r="2550" spans="13:13" ht="12" customHeight="1" x14ac:dyDescent="0.2">
      <c r="M2550" s="265"/>
    </row>
    <row r="2551" spans="13:13" ht="12" customHeight="1" x14ac:dyDescent="0.2">
      <c r="M2551" s="265"/>
    </row>
    <row r="2552" spans="13:13" ht="12" customHeight="1" x14ac:dyDescent="0.2">
      <c r="M2552" s="265"/>
    </row>
    <row r="2553" spans="13:13" ht="12" customHeight="1" x14ac:dyDescent="0.2">
      <c r="M2553" s="265"/>
    </row>
    <row r="2554" spans="13:13" ht="12" customHeight="1" x14ac:dyDescent="0.2">
      <c r="M2554" s="265"/>
    </row>
    <row r="2555" spans="13:13" ht="12" customHeight="1" x14ac:dyDescent="0.2">
      <c r="M2555" s="265"/>
    </row>
    <row r="2556" spans="13:13" ht="12" customHeight="1" x14ac:dyDescent="0.2">
      <c r="M2556" s="265"/>
    </row>
    <row r="2557" spans="13:13" ht="12" customHeight="1" x14ac:dyDescent="0.2">
      <c r="M2557" s="265"/>
    </row>
    <row r="2558" spans="13:13" ht="12" customHeight="1" x14ac:dyDescent="0.2">
      <c r="M2558" s="265"/>
    </row>
    <row r="2559" spans="13:13" ht="12" customHeight="1" x14ac:dyDescent="0.2">
      <c r="M2559" s="265"/>
    </row>
    <row r="2560" spans="13:13" ht="12" customHeight="1" x14ac:dyDescent="0.2">
      <c r="M2560" s="265"/>
    </row>
    <row r="2561" spans="13:13" ht="12" customHeight="1" x14ac:dyDescent="0.2">
      <c r="M2561" s="265"/>
    </row>
    <row r="2562" spans="13:13" ht="12" customHeight="1" x14ac:dyDescent="0.2">
      <c r="M2562" s="265"/>
    </row>
    <row r="2563" spans="13:13" ht="12" customHeight="1" x14ac:dyDescent="0.2">
      <c r="M2563" s="265"/>
    </row>
    <row r="2564" spans="13:13" ht="12" customHeight="1" x14ac:dyDescent="0.2">
      <c r="M2564" s="265"/>
    </row>
    <row r="2565" spans="13:13" ht="12" customHeight="1" x14ac:dyDescent="0.2">
      <c r="M2565" s="265"/>
    </row>
    <row r="2566" spans="13:13" ht="12" customHeight="1" x14ac:dyDescent="0.2">
      <c r="M2566" s="265"/>
    </row>
    <row r="2567" spans="13:13" ht="12" customHeight="1" x14ac:dyDescent="0.2">
      <c r="M2567" s="265"/>
    </row>
    <row r="2568" spans="13:13" ht="12" customHeight="1" x14ac:dyDescent="0.2">
      <c r="M2568" s="265"/>
    </row>
    <row r="2569" spans="13:13" ht="12" customHeight="1" x14ac:dyDescent="0.2">
      <c r="M2569" s="265"/>
    </row>
    <row r="2570" spans="13:13" ht="12" customHeight="1" x14ac:dyDescent="0.2">
      <c r="M2570" s="265"/>
    </row>
    <row r="2571" spans="13:13" ht="12" customHeight="1" x14ac:dyDescent="0.2">
      <c r="M2571" s="265"/>
    </row>
    <row r="2572" spans="13:13" ht="12" customHeight="1" x14ac:dyDescent="0.2">
      <c r="M2572" s="265"/>
    </row>
    <row r="2573" spans="13:13" ht="12" customHeight="1" x14ac:dyDescent="0.2">
      <c r="M2573" s="265"/>
    </row>
    <row r="2574" spans="13:13" ht="12" customHeight="1" x14ac:dyDescent="0.2">
      <c r="M2574" s="265"/>
    </row>
    <row r="2575" spans="13:13" ht="12" customHeight="1" x14ac:dyDescent="0.2">
      <c r="M2575" s="265"/>
    </row>
    <row r="2576" spans="13:13" ht="12" customHeight="1" x14ac:dyDescent="0.2">
      <c r="M2576" s="265"/>
    </row>
    <row r="2577" spans="13:13" ht="12" customHeight="1" x14ac:dyDescent="0.2">
      <c r="M2577" s="265"/>
    </row>
    <row r="2578" spans="13:13" ht="12" customHeight="1" x14ac:dyDescent="0.2">
      <c r="M2578" s="265"/>
    </row>
    <row r="2579" spans="13:13" ht="12" customHeight="1" x14ac:dyDescent="0.2">
      <c r="M2579" s="265"/>
    </row>
    <row r="2580" spans="13:13" ht="12" customHeight="1" x14ac:dyDescent="0.2">
      <c r="M2580" s="265"/>
    </row>
    <row r="2581" spans="13:13" ht="12" customHeight="1" x14ac:dyDescent="0.2">
      <c r="M2581" s="265"/>
    </row>
    <row r="2582" spans="13:13" ht="12" customHeight="1" x14ac:dyDescent="0.2">
      <c r="M2582" s="265"/>
    </row>
    <row r="2583" spans="13:13" ht="12" customHeight="1" x14ac:dyDescent="0.2">
      <c r="M2583" s="265"/>
    </row>
    <row r="2584" spans="13:13" ht="12" customHeight="1" x14ac:dyDescent="0.2">
      <c r="M2584" s="265"/>
    </row>
    <row r="2585" spans="13:13" ht="12" customHeight="1" x14ac:dyDescent="0.2">
      <c r="M2585" s="265"/>
    </row>
    <row r="2586" spans="13:13" ht="12" customHeight="1" x14ac:dyDescent="0.2">
      <c r="M2586" s="265"/>
    </row>
    <row r="2587" spans="13:13" ht="12" customHeight="1" x14ac:dyDescent="0.2">
      <c r="M2587" s="265"/>
    </row>
    <row r="2588" spans="13:13" ht="12" customHeight="1" x14ac:dyDescent="0.2">
      <c r="M2588" s="265"/>
    </row>
    <row r="2589" spans="13:13" ht="12" customHeight="1" x14ac:dyDescent="0.2">
      <c r="M2589" s="265"/>
    </row>
    <row r="2590" spans="13:13" ht="12" customHeight="1" x14ac:dyDescent="0.2">
      <c r="M2590" s="265"/>
    </row>
    <row r="2591" spans="13:13" ht="12" customHeight="1" x14ac:dyDescent="0.2">
      <c r="M2591" s="265"/>
    </row>
    <row r="2592" spans="13:13" ht="12" customHeight="1" x14ac:dyDescent="0.2">
      <c r="M2592" s="265"/>
    </row>
    <row r="2593" spans="13:13" ht="12" customHeight="1" x14ac:dyDescent="0.2">
      <c r="M2593" s="265"/>
    </row>
    <row r="2594" spans="13:13" ht="12" customHeight="1" x14ac:dyDescent="0.2">
      <c r="M2594" s="265"/>
    </row>
    <row r="2595" spans="13:13" ht="12" customHeight="1" x14ac:dyDescent="0.2">
      <c r="M2595" s="265"/>
    </row>
    <row r="2596" spans="13:13" ht="12" customHeight="1" x14ac:dyDescent="0.2">
      <c r="M2596" s="265"/>
    </row>
    <row r="2597" spans="13:13" ht="12" customHeight="1" x14ac:dyDescent="0.2">
      <c r="M2597" s="265"/>
    </row>
    <row r="2598" spans="13:13" ht="12" customHeight="1" x14ac:dyDescent="0.2">
      <c r="M2598" s="265"/>
    </row>
    <row r="2599" spans="13:13" ht="12" customHeight="1" x14ac:dyDescent="0.2">
      <c r="M2599" s="265"/>
    </row>
    <row r="2600" spans="13:13" ht="12" customHeight="1" x14ac:dyDescent="0.2">
      <c r="M2600" s="265"/>
    </row>
    <row r="2601" spans="13:13" ht="12" customHeight="1" x14ac:dyDescent="0.2">
      <c r="M2601" s="265"/>
    </row>
    <row r="2602" spans="13:13" ht="12" customHeight="1" x14ac:dyDescent="0.2">
      <c r="M2602" s="265"/>
    </row>
    <row r="2603" spans="13:13" ht="12" customHeight="1" x14ac:dyDescent="0.2">
      <c r="M2603" s="265"/>
    </row>
    <row r="2604" spans="13:13" ht="12" customHeight="1" x14ac:dyDescent="0.2">
      <c r="M2604" s="265"/>
    </row>
    <row r="2605" spans="13:13" ht="12" customHeight="1" x14ac:dyDescent="0.2">
      <c r="M2605" s="265"/>
    </row>
    <row r="2606" spans="13:13" ht="12" customHeight="1" x14ac:dyDescent="0.2">
      <c r="M2606" s="265"/>
    </row>
    <row r="2607" spans="13:13" ht="12" customHeight="1" x14ac:dyDescent="0.2">
      <c r="M2607" s="265"/>
    </row>
    <row r="2608" spans="13:13" ht="12" customHeight="1" x14ac:dyDescent="0.2">
      <c r="M2608" s="265"/>
    </row>
    <row r="2609" spans="13:13" ht="12" customHeight="1" x14ac:dyDescent="0.2">
      <c r="M2609" s="265"/>
    </row>
    <row r="2610" spans="13:13" ht="12" customHeight="1" x14ac:dyDescent="0.2">
      <c r="M2610" s="265"/>
    </row>
    <row r="2611" spans="13:13" ht="12" customHeight="1" x14ac:dyDescent="0.2">
      <c r="M2611" s="265"/>
    </row>
    <row r="2612" spans="13:13" ht="12" customHeight="1" x14ac:dyDescent="0.2">
      <c r="M2612" s="265"/>
    </row>
    <row r="2613" spans="13:13" ht="12" customHeight="1" x14ac:dyDescent="0.2">
      <c r="M2613" s="265"/>
    </row>
    <row r="2614" spans="13:13" ht="12" customHeight="1" x14ac:dyDescent="0.2">
      <c r="M2614" s="265"/>
    </row>
    <row r="2615" spans="13:13" ht="12" customHeight="1" x14ac:dyDescent="0.2">
      <c r="M2615" s="265"/>
    </row>
    <row r="2616" spans="13:13" ht="12" customHeight="1" x14ac:dyDescent="0.2">
      <c r="M2616" s="265"/>
    </row>
    <row r="2617" spans="13:13" ht="12" customHeight="1" x14ac:dyDescent="0.2">
      <c r="M2617" s="265"/>
    </row>
    <row r="2618" spans="13:13" ht="12" customHeight="1" x14ac:dyDescent="0.2">
      <c r="M2618" s="265"/>
    </row>
    <row r="2619" spans="13:13" ht="12" customHeight="1" x14ac:dyDescent="0.2">
      <c r="M2619" s="265"/>
    </row>
    <row r="2620" spans="13:13" ht="12" customHeight="1" x14ac:dyDescent="0.2">
      <c r="M2620" s="265"/>
    </row>
    <row r="2621" spans="13:13" ht="12" customHeight="1" x14ac:dyDescent="0.2">
      <c r="M2621" s="265"/>
    </row>
    <row r="2622" spans="13:13" ht="12" customHeight="1" x14ac:dyDescent="0.2">
      <c r="M2622" s="265"/>
    </row>
    <row r="2623" spans="13:13" ht="12" customHeight="1" x14ac:dyDescent="0.2">
      <c r="M2623" s="265"/>
    </row>
    <row r="2624" spans="13:13" ht="12" customHeight="1" x14ac:dyDescent="0.2">
      <c r="M2624" s="265"/>
    </row>
    <row r="2625" spans="13:13" ht="12" customHeight="1" x14ac:dyDescent="0.2">
      <c r="M2625" s="265"/>
    </row>
    <row r="2626" spans="13:13" ht="12" customHeight="1" x14ac:dyDescent="0.2">
      <c r="M2626" s="265"/>
    </row>
    <row r="2627" spans="13:13" ht="12" customHeight="1" x14ac:dyDescent="0.2">
      <c r="M2627" s="265"/>
    </row>
    <row r="2628" spans="13:13" ht="12" customHeight="1" x14ac:dyDescent="0.2">
      <c r="M2628" s="265"/>
    </row>
    <row r="2629" spans="13:13" ht="12" customHeight="1" x14ac:dyDescent="0.2">
      <c r="M2629" s="265"/>
    </row>
    <row r="2630" spans="13:13" ht="12" customHeight="1" x14ac:dyDescent="0.2">
      <c r="M2630" s="265"/>
    </row>
    <row r="2631" spans="13:13" ht="12" customHeight="1" x14ac:dyDescent="0.2">
      <c r="M2631" s="265"/>
    </row>
    <row r="2632" spans="13:13" ht="12" customHeight="1" x14ac:dyDescent="0.2">
      <c r="M2632" s="265"/>
    </row>
    <row r="2633" spans="13:13" ht="12" customHeight="1" x14ac:dyDescent="0.2">
      <c r="M2633" s="265"/>
    </row>
    <row r="2634" spans="13:13" ht="12" customHeight="1" x14ac:dyDescent="0.2">
      <c r="M2634" s="265"/>
    </row>
    <row r="2635" spans="13:13" ht="12" customHeight="1" x14ac:dyDescent="0.2">
      <c r="M2635" s="265"/>
    </row>
    <row r="2636" spans="13:13" ht="12" customHeight="1" x14ac:dyDescent="0.2">
      <c r="M2636" s="265"/>
    </row>
    <row r="2637" spans="13:13" ht="12" customHeight="1" x14ac:dyDescent="0.2">
      <c r="M2637" s="265"/>
    </row>
    <row r="2638" spans="13:13" ht="12" customHeight="1" x14ac:dyDescent="0.2">
      <c r="M2638" s="265"/>
    </row>
    <row r="2639" spans="13:13" ht="12" customHeight="1" x14ac:dyDescent="0.2">
      <c r="M2639" s="265"/>
    </row>
    <row r="2640" spans="13:13" ht="12" customHeight="1" x14ac:dyDescent="0.2">
      <c r="M2640" s="265"/>
    </row>
    <row r="2641" spans="13:13" ht="12" customHeight="1" x14ac:dyDescent="0.2">
      <c r="M2641" s="265"/>
    </row>
    <row r="2642" spans="13:13" ht="12" customHeight="1" x14ac:dyDescent="0.2">
      <c r="M2642" s="265"/>
    </row>
    <row r="2643" spans="13:13" ht="12" customHeight="1" x14ac:dyDescent="0.2">
      <c r="M2643" s="265"/>
    </row>
    <row r="2644" spans="13:13" ht="12" customHeight="1" x14ac:dyDescent="0.2">
      <c r="M2644" s="265"/>
    </row>
    <row r="2645" spans="13:13" ht="12" customHeight="1" x14ac:dyDescent="0.2">
      <c r="M2645" s="265"/>
    </row>
    <row r="2646" spans="13:13" ht="12" customHeight="1" x14ac:dyDescent="0.2">
      <c r="M2646" s="265"/>
    </row>
    <row r="2647" spans="13:13" ht="12" customHeight="1" x14ac:dyDescent="0.2">
      <c r="M2647" s="265"/>
    </row>
    <row r="2648" spans="13:13" ht="12" customHeight="1" x14ac:dyDescent="0.2">
      <c r="M2648" s="265"/>
    </row>
    <row r="2649" spans="13:13" ht="12" customHeight="1" x14ac:dyDescent="0.2">
      <c r="M2649" s="265"/>
    </row>
    <row r="2650" spans="13:13" ht="12" customHeight="1" x14ac:dyDescent="0.2">
      <c r="M2650" s="265"/>
    </row>
    <row r="2651" spans="13:13" ht="12" customHeight="1" x14ac:dyDescent="0.2">
      <c r="M2651" s="265"/>
    </row>
    <row r="2652" spans="13:13" ht="12" customHeight="1" x14ac:dyDescent="0.2">
      <c r="M2652" s="265"/>
    </row>
    <row r="2653" spans="13:13" ht="12" customHeight="1" x14ac:dyDescent="0.2">
      <c r="M2653" s="265"/>
    </row>
    <row r="2654" spans="13:13" ht="12" customHeight="1" x14ac:dyDescent="0.2">
      <c r="M2654" s="265"/>
    </row>
    <row r="2655" spans="13:13" ht="12" customHeight="1" x14ac:dyDescent="0.2">
      <c r="M2655" s="265"/>
    </row>
    <row r="2656" spans="13:13" ht="12" customHeight="1" x14ac:dyDescent="0.2">
      <c r="M2656" s="265"/>
    </row>
    <row r="2657" spans="13:13" ht="12" customHeight="1" x14ac:dyDescent="0.2">
      <c r="M2657" s="265"/>
    </row>
    <row r="2658" spans="13:13" ht="12" customHeight="1" x14ac:dyDescent="0.2">
      <c r="M2658" s="265"/>
    </row>
    <row r="2659" spans="13:13" ht="12" customHeight="1" x14ac:dyDescent="0.2">
      <c r="M2659" s="265"/>
    </row>
    <row r="2660" spans="13:13" ht="12" customHeight="1" x14ac:dyDescent="0.2">
      <c r="M2660" s="265"/>
    </row>
    <row r="2661" spans="13:13" ht="12" customHeight="1" x14ac:dyDescent="0.2">
      <c r="M2661" s="265"/>
    </row>
    <row r="2662" spans="13:13" ht="12" customHeight="1" x14ac:dyDescent="0.2">
      <c r="M2662" s="265"/>
    </row>
    <row r="2663" spans="13:13" ht="12" customHeight="1" x14ac:dyDescent="0.2">
      <c r="M2663" s="265"/>
    </row>
    <row r="2664" spans="13:13" ht="12" customHeight="1" x14ac:dyDescent="0.2">
      <c r="M2664" s="265"/>
    </row>
    <row r="2665" spans="13:13" ht="12" customHeight="1" x14ac:dyDescent="0.2">
      <c r="M2665" s="265"/>
    </row>
    <row r="2666" spans="13:13" ht="12" customHeight="1" x14ac:dyDescent="0.2">
      <c r="M2666" s="265"/>
    </row>
    <row r="2667" spans="13:13" ht="12" customHeight="1" x14ac:dyDescent="0.2">
      <c r="M2667" s="265"/>
    </row>
    <row r="2668" spans="13:13" ht="12" customHeight="1" x14ac:dyDescent="0.2">
      <c r="M2668" s="265"/>
    </row>
    <row r="2669" spans="13:13" ht="12" customHeight="1" x14ac:dyDescent="0.2">
      <c r="M2669" s="265"/>
    </row>
    <row r="2670" spans="13:13" ht="12" customHeight="1" x14ac:dyDescent="0.2">
      <c r="M2670" s="265"/>
    </row>
    <row r="2671" spans="13:13" ht="12" customHeight="1" x14ac:dyDescent="0.2">
      <c r="M2671" s="265"/>
    </row>
    <row r="2672" spans="13:13" ht="12" customHeight="1" x14ac:dyDescent="0.2">
      <c r="M2672" s="265"/>
    </row>
    <row r="2673" spans="13:13" ht="12" customHeight="1" x14ac:dyDescent="0.2">
      <c r="M2673" s="265"/>
    </row>
    <row r="2674" spans="13:13" ht="12" customHeight="1" x14ac:dyDescent="0.2">
      <c r="M2674" s="265"/>
    </row>
    <row r="2675" spans="13:13" ht="12" customHeight="1" x14ac:dyDescent="0.2">
      <c r="M2675" s="265"/>
    </row>
    <row r="2676" spans="13:13" ht="12" customHeight="1" x14ac:dyDescent="0.2">
      <c r="M2676" s="265"/>
    </row>
    <row r="2677" spans="13:13" ht="12" customHeight="1" x14ac:dyDescent="0.2">
      <c r="M2677" s="265"/>
    </row>
    <row r="2678" spans="13:13" ht="12" customHeight="1" x14ac:dyDescent="0.2">
      <c r="M2678" s="265"/>
    </row>
    <row r="2679" spans="13:13" ht="12" customHeight="1" x14ac:dyDescent="0.2">
      <c r="M2679" s="265"/>
    </row>
    <row r="2680" spans="13:13" ht="12" customHeight="1" x14ac:dyDescent="0.2">
      <c r="M2680" s="265"/>
    </row>
    <row r="2681" spans="13:13" ht="12" customHeight="1" x14ac:dyDescent="0.2">
      <c r="M2681" s="265"/>
    </row>
    <row r="2682" spans="13:13" ht="12" customHeight="1" x14ac:dyDescent="0.2">
      <c r="M2682" s="265"/>
    </row>
    <row r="2683" spans="13:13" ht="12" customHeight="1" x14ac:dyDescent="0.2">
      <c r="M2683" s="265"/>
    </row>
    <row r="2684" spans="13:13" ht="12" customHeight="1" x14ac:dyDescent="0.2">
      <c r="M2684" s="265"/>
    </row>
    <row r="2685" spans="13:13" ht="12" customHeight="1" x14ac:dyDescent="0.2">
      <c r="M2685" s="265"/>
    </row>
    <row r="2686" spans="13:13" ht="12" customHeight="1" x14ac:dyDescent="0.2">
      <c r="M2686" s="265"/>
    </row>
    <row r="2687" spans="13:13" ht="12" customHeight="1" x14ac:dyDescent="0.2">
      <c r="M2687" s="265"/>
    </row>
    <row r="2688" spans="13:13" ht="12" customHeight="1" x14ac:dyDescent="0.2">
      <c r="M2688" s="265"/>
    </row>
    <row r="2689" spans="13:13" ht="12" customHeight="1" x14ac:dyDescent="0.2">
      <c r="M2689" s="265"/>
    </row>
    <row r="2690" spans="13:13" ht="12" customHeight="1" x14ac:dyDescent="0.2">
      <c r="M2690" s="265"/>
    </row>
    <row r="2691" spans="13:13" ht="12" customHeight="1" x14ac:dyDescent="0.2">
      <c r="M2691" s="265"/>
    </row>
    <row r="2692" spans="13:13" ht="12" customHeight="1" x14ac:dyDescent="0.2">
      <c r="M2692" s="265"/>
    </row>
    <row r="2693" spans="13:13" ht="12" customHeight="1" x14ac:dyDescent="0.2">
      <c r="M2693" s="265"/>
    </row>
    <row r="2694" spans="13:13" ht="12" customHeight="1" x14ac:dyDescent="0.2">
      <c r="M2694" s="265"/>
    </row>
    <row r="2695" spans="13:13" ht="12" customHeight="1" x14ac:dyDescent="0.2">
      <c r="M2695" s="265"/>
    </row>
    <row r="2696" spans="13:13" ht="12" customHeight="1" x14ac:dyDescent="0.2">
      <c r="M2696" s="265"/>
    </row>
    <row r="2697" spans="13:13" ht="12" customHeight="1" x14ac:dyDescent="0.2">
      <c r="M2697" s="265"/>
    </row>
    <row r="2698" spans="13:13" ht="12" customHeight="1" x14ac:dyDescent="0.2">
      <c r="M2698" s="265"/>
    </row>
    <row r="2699" spans="13:13" ht="12" customHeight="1" x14ac:dyDescent="0.2">
      <c r="M2699" s="265"/>
    </row>
    <row r="2700" spans="13:13" ht="12" customHeight="1" x14ac:dyDescent="0.2">
      <c r="M2700" s="265"/>
    </row>
    <row r="2701" spans="13:13" ht="12" customHeight="1" x14ac:dyDescent="0.2">
      <c r="M2701" s="265"/>
    </row>
    <row r="2702" spans="13:13" ht="12" customHeight="1" x14ac:dyDescent="0.2">
      <c r="M2702" s="265"/>
    </row>
    <row r="2703" spans="13:13" ht="12" customHeight="1" x14ac:dyDescent="0.2">
      <c r="M2703" s="265"/>
    </row>
    <row r="2704" spans="13:13" ht="12" customHeight="1" x14ac:dyDescent="0.2">
      <c r="M2704" s="265"/>
    </row>
    <row r="2705" spans="13:13" ht="12" customHeight="1" x14ac:dyDescent="0.2">
      <c r="M2705" s="265"/>
    </row>
    <row r="2706" spans="13:13" ht="12" customHeight="1" x14ac:dyDescent="0.2">
      <c r="M2706" s="265"/>
    </row>
    <row r="2707" spans="13:13" ht="12" customHeight="1" x14ac:dyDescent="0.2">
      <c r="M2707" s="265"/>
    </row>
    <row r="2708" spans="13:13" ht="12" customHeight="1" x14ac:dyDescent="0.2">
      <c r="M2708" s="265"/>
    </row>
    <row r="2709" spans="13:13" ht="12" customHeight="1" x14ac:dyDescent="0.2">
      <c r="M2709" s="265"/>
    </row>
    <row r="2710" spans="13:13" ht="12" customHeight="1" x14ac:dyDescent="0.2">
      <c r="M2710" s="265"/>
    </row>
    <row r="2711" spans="13:13" ht="12" customHeight="1" x14ac:dyDescent="0.2">
      <c r="M2711" s="265"/>
    </row>
    <row r="2712" spans="13:13" ht="12" customHeight="1" x14ac:dyDescent="0.2">
      <c r="M2712" s="265"/>
    </row>
    <row r="2713" spans="13:13" ht="12" customHeight="1" x14ac:dyDescent="0.2">
      <c r="M2713" s="265"/>
    </row>
    <row r="2714" spans="13:13" ht="12" customHeight="1" x14ac:dyDescent="0.2">
      <c r="M2714" s="265"/>
    </row>
    <row r="2715" spans="13:13" ht="12" customHeight="1" x14ac:dyDescent="0.2">
      <c r="M2715" s="265"/>
    </row>
    <row r="2716" spans="13:13" ht="12" customHeight="1" x14ac:dyDescent="0.2">
      <c r="M2716" s="265"/>
    </row>
    <row r="2717" spans="13:13" ht="12" customHeight="1" x14ac:dyDescent="0.2">
      <c r="M2717" s="265"/>
    </row>
    <row r="2718" spans="13:13" ht="12" customHeight="1" x14ac:dyDescent="0.2">
      <c r="M2718" s="265"/>
    </row>
    <row r="2719" spans="13:13" ht="12" customHeight="1" x14ac:dyDescent="0.2">
      <c r="M2719" s="265"/>
    </row>
    <row r="2720" spans="13:13" ht="12" customHeight="1" x14ac:dyDescent="0.2">
      <c r="M2720" s="265"/>
    </row>
    <row r="2721" spans="13:13" ht="12" customHeight="1" x14ac:dyDescent="0.2">
      <c r="M2721" s="265"/>
    </row>
    <row r="2722" spans="13:13" ht="12" customHeight="1" x14ac:dyDescent="0.2">
      <c r="M2722" s="265"/>
    </row>
    <row r="2723" spans="13:13" ht="12" customHeight="1" x14ac:dyDescent="0.2">
      <c r="M2723" s="265"/>
    </row>
    <row r="2724" spans="13:13" ht="12" customHeight="1" x14ac:dyDescent="0.2">
      <c r="M2724" s="265"/>
    </row>
    <row r="2725" spans="13:13" ht="12" customHeight="1" x14ac:dyDescent="0.2">
      <c r="M2725" s="265"/>
    </row>
    <row r="2726" spans="13:13" ht="12" customHeight="1" x14ac:dyDescent="0.2">
      <c r="M2726" s="265"/>
    </row>
    <row r="2727" spans="13:13" ht="12" customHeight="1" x14ac:dyDescent="0.2">
      <c r="M2727" s="265"/>
    </row>
    <row r="2728" spans="13:13" ht="12" customHeight="1" x14ac:dyDescent="0.2">
      <c r="M2728" s="265"/>
    </row>
    <row r="2729" spans="13:13" ht="12" customHeight="1" x14ac:dyDescent="0.2">
      <c r="M2729" s="265"/>
    </row>
    <row r="2730" spans="13:13" ht="12" customHeight="1" x14ac:dyDescent="0.2">
      <c r="M2730" s="265"/>
    </row>
    <row r="2731" spans="13:13" ht="12" customHeight="1" x14ac:dyDescent="0.2">
      <c r="M2731" s="265"/>
    </row>
    <row r="2732" spans="13:13" ht="12" customHeight="1" x14ac:dyDescent="0.2">
      <c r="M2732" s="265"/>
    </row>
    <row r="2733" spans="13:13" ht="12" customHeight="1" x14ac:dyDescent="0.2">
      <c r="M2733" s="265"/>
    </row>
    <row r="2734" spans="13:13" ht="12" customHeight="1" x14ac:dyDescent="0.2">
      <c r="M2734" s="265"/>
    </row>
    <row r="2735" spans="13:13" ht="12" customHeight="1" x14ac:dyDescent="0.2">
      <c r="M2735" s="265"/>
    </row>
    <row r="2736" spans="13:13" ht="12" customHeight="1" x14ac:dyDescent="0.2">
      <c r="M2736" s="265"/>
    </row>
    <row r="2737" spans="13:13" ht="12" customHeight="1" x14ac:dyDescent="0.2">
      <c r="M2737" s="265"/>
    </row>
    <row r="2738" spans="13:13" ht="12" customHeight="1" x14ac:dyDescent="0.2">
      <c r="M2738" s="265"/>
    </row>
    <row r="2739" spans="13:13" ht="12" customHeight="1" x14ac:dyDescent="0.2">
      <c r="M2739" s="265"/>
    </row>
    <row r="2740" spans="13:13" ht="12" customHeight="1" x14ac:dyDescent="0.2">
      <c r="M2740" s="265"/>
    </row>
    <row r="2741" spans="13:13" ht="12" customHeight="1" x14ac:dyDescent="0.2">
      <c r="M2741" s="265"/>
    </row>
    <row r="2742" spans="13:13" ht="12" customHeight="1" x14ac:dyDescent="0.2">
      <c r="M2742" s="265"/>
    </row>
    <row r="2743" spans="13:13" ht="12" customHeight="1" x14ac:dyDescent="0.2">
      <c r="M2743" s="265"/>
    </row>
    <row r="2744" spans="13:13" ht="12" customHeight="1" x14ac:dyDescent="0.2">
      <c r="M2744" s="265"/>
    </row>
    <row r="2745" spans="13:13" ht="12" customHeight="1" x14ac:dyDescent="0.2">
      <c r="M2745" s="265"/>
    </row>
    <row r="2746" spans="13:13" ht="12" customHeight="1" x14ac:dyDescent="0.2">
      <c r="M2746" s="265"/>
    </row>
    <row r="2747" spans="13:13" ht="12" customHeight="1" x14ac:dyDescent="0.2">
      <c r="M2747" s="265"/>
    </row>
    <row r="2748" spans="13:13" ht="12" customHeight="1" x14ac:dyDescent="0.2">
      <c r="M2748" s="265"/>
    </row>
    <row r="2749" spans="13:13" ht="12" customHeight="1" x14ac:dyDescent="0.2">
      <c r="M2749" s="265"/>
    </row>
    <row r="2750" spans="13:13" ht="12" customHeight="1" x14ac:dyDescent="0.2">
      <c r="M2750" s="265"/>
    </row>
    <row r="2751" spans="13:13" ht="12" customHeight="1" x14ac:dyDescent="0.2">
      <c r="M2751" s="265"/>
    </row>
    <row r="2752" spans="13:13" ht="12" customHeight="1" x14ac:dyDescent="0.2">
      <c r="M2752" s="265"/>
    </row>
    <row r="2753" spans="13:13" ht="12" customHeight="1" x14ac:dyDescent="0.2">
      <c r="M2753" s="265"/>
    </row>
    <row r="2754" spans="13:13" ht="12" customHeight="1" x14ac:dyDescent="0.2">
      <c r="M2754" s="265"/>
    </row>
    <row r="2755" spans="13:13" ht="12" customHeight="1" x14ac:dyDescent="0.2">
      <c r="M2755" s="265"/>
    </row>
    <row r="2756" spans="13:13" ht="12" customHeight="1" x14ac:dyDescent="0.2">
      <c r="M2756" s="265"/>
    </row>
    <row r="2757" spans="13:13" ht="12" customHeight="1" x14ac:dyDescent="0.2">
      <c r="M2757" s="265"/>
    </row>
    <row r="2758" spans="13:13" ht="12" customHeight="1" x14ac:dyDescent="0.2">
      <c r="M2758" s="265"/>
    </row>
    <row r="2759" spans="13:13" ht="12" customHeight="1" x14ac:dyDescent="0.2">
      <c r="M2759" s="265"/>
    </row>
    <row r="2760" spans="13:13" ht="12" customHeight="1" x14ac:dyDescent="0.2">
      <c r="M2760" s="265"/>
    </row>
    <row r="2761" spans="13:13" ht="12" customHeight="1" x14ac:dyDescent="0.2">
      <c r="M2761" s="265"/>
    </row>
    <row r="2762" spans="13:13" ht="12" customHeight="1" x14ac:dyDescent="0.2">
      <c r="M2762" s="265"/>
    </row>
    <row r="2763" spans="13:13" ht="12" customHeight="1" x14ac:dyDescent="0.2">
      <c r="M2763" s="265"/>
    </row>
    <row r="2764" spans="13:13" ht="12" customHeight="1" x14ac:dyDescent="0.2">
      <c r="M2764" s="265"/>
    </row>
    <row r="2765" spans="13:13" ht="12" customHeight="1" x14ac:dyDescent="0.2">
      <c r="M2765" s="265"/>
    </row>
    <row r="2766" spans="13:13" ht="12" customHeight="1" x14ac:dyDescent="0.2">
      <c r="M2766" s="265"/>
    </row>
    <row r="2767" spans="13:13" ht="12" customHeight="1" x14ac:dyDescent="0.2">
      <c r="M2767" s="265"/>
    </row>
    <row r="2768" spans="13:13" ht="12" customHeight="1" x14ac:dyDescent="0.2">
      <c r="M2768" s="265"/>
    </row>
    <row r="2769" spans="13:13" ht="12" customHeight="1" x14ac:dyDescent="0.2">
      <c r="M2769" s="265"/>
    </row>
    <row r="2770" spans="13:13" ht="12" customHeight="1" x14ac:dyDescent="0.2">
      <c r="M2770" s="265"/>
    </row>
    <row r="2771" spans="13:13" ht="12" customHeight="1" x14ac:dyDescent="0.2">
      <c r="M2771" s="265"/>
    </row>
    <row r="2772" spans="13:13" ht="12" customHeight="1" x14ac:dyDescent="0.2">
      <c r="M2772" s="265"/>
    </row>
    <row r="2773" spans="13:13" ht="12" customHeight="1" x14ac:dyDescent="0.2">
      <c r="M2773" s="265"/>
    </row>
    <row r="2774" spans="13:13" ht="12" customHeight="1" x14ac:dyDescent="0.2">
      <c r="M2774" s="265"/>
    </row>
    <row r="2775" spans="13:13" ht="12" customHeight="1" x14ac:dyDescent="0.2">
      <c r="M2775" s="265"/>
    </row>
    <row r="2776" spans="13:13" ht="12" customHeight="1" x14ac:dyDescent="0.2">
      <c r="M2776" s="265"/>
    </row>
    <row r="2777" spans="13:13" ht="12" customHeight="1" x14ac:dyDescent="0.2">
      <c r="M2777" s="265"/>
    </row>
    <row r="2778" spans="13:13" ht="12" customHeight="1" x14ac:dyDescent="0.2">
      <c r="M2778" s="265"/>
    </row>
    <row r="2779" spans="13:13" ht="12" customHeight="1" x14ac:dyDescent="0.2">
      <c r="M2779" s="265"/>
    </row>
    <row r="2780" spans="13:13" ht="12" customHeight="1" x14ac:dyDescent="0.2">
      <c r="M2780" s="265"/>
    </row>
    <row r="2781" spans="13:13" ht="12" customHeight="1" x14ac:dyDescent="0.2">
      <c r="M2781" s="265"/>
    </row>
    <row r="2782" spans="13:13" ht="12" customHeight="1" x14ac:dyDescent="0.2">
      <c r="M2782" s="265"/>
    </row>
    <row r="2783" spans="13:13" ht="12" customHeight="1" x14ac:dyDescent="0.2">
      <c r="M2783" s="265"/>
    </row>
    <row r="2784" spans="13:13" ht="12" customHeight="1" x14ac:dyDescent="0.2">
      <c r="M2784" s="265"/>
    </row>
    <row r="2785" spans="13:13" ht="12" customHeight="1" x14ac:dyDescent="0.2">
      <c r="M2785" s="265"/>
    </row>
    <row r="2786" spans="13:13" ht="12" customHeight="1" x14ac:dyDescent="0.2">
      <c r="M2786" s="265"/>
    </row>
    <row r="2787" spans="13:13" ht="12" customHeight="1" x14ac:dyDescent="0.2">
      <c r="M2787" s="265"/>
    </row>
    <row r="2788" spans="13:13" ht="12" customHeight="1" x14ac:dyDescent="0.2">
      <c r="M2788" s="265"/>
    </row>
    <row r="2789" spans="13:13" ht="12" customHeight="1" x14ac:dyDescent="0.2">
      <c r="M2789" s="265"/>
    </row>
    <row r="2790" spans="13:13" ht="12" customHeight="1" x14ac:dyDescent="0.2">
      <c r="M2790" s="265"/>
    </row>
    <row r="2791" spans="13:13" ht="12" customHeight="1" x14ac:dyDescent="0.2">
      <c r="M2791" s="265"/>
    </row>
    <row r="2792" spans="13:13" ht="12" customHeight="1" x14ac:dyDescent="0.2">
      <c r="M2792" s="265"/>
    </row>
    <row r="2793" spans="13:13" ht="12" customHeight="1" x14ac:dyDescent="0.2">
      <c r="M2793" s="265"/>
    </row>
    <row r="2794" spans="13:13" ht="12" customHeight="1" x14ac:dyDescent="0.2">
      <c r="M2794" s="265"/>
    </row>
    <row r="2795" spans="13:13" ht="12" customHeight="1" x14ac:dyDescent="0.2">
      <c r="M2795" s="265"/>
    </row>
    <row r="2796" spans="13:13" ht="12" customHeight="1" x14ac:dyDescent="0.2">
      <c r="M2796" s="265"/>
    </row>
    <row r="2797" spans="13:13" ht="12" customHeight="1" x14ac:dyDescent="0.2">
      <c r="M2797" s="265"/>
    </row>
    <row r="2798" spans="13:13" ht="12" customHeight="1" x14ac:dyDescent="0.2">
      <c r="M2798" s="265"/>
    </row>
    <row r="2799" spans="13:13" ht="12" customHeight="1" x14ac:dyDescent="0.2">
      <c r="M2799" s="265"/>
    </row>
    <row r="2800" spans="13:13" ht="12" customHeight="1" x14ac:dyDescent="0.2">
      <c r="M2800" s="265"/>
    </row>
    <row r="2801" spans="13:13" ht="12" customHeight="1" x14ac:dyDescent="0.2">
      <c r="M2801" s="265"/>
    </row>
    <row r="2802" spans="13:13" ht="12" customHeight="1" x14ac:dyDescent="0.2">
      <c r="M2802" s="265"/>
    </row>
    <row r="2803" spans="13:13" ht="12" customHeight="1" x14ac:dyDescent="0.2">
      <c r="M2803" s="265"/>
    </row>
    <row r="2804" spans="13:13" ht="12" customHeight="1" x14ac:dyDescent="0.2">
      <c r="M2804" s="265"/>
    </row>
    <row r="2805" spans="13:13" ht="12" customHeight="1" x14ac:dyDescent="0.2">
      <c r="M2805" s="265"/>
    </row>
    <row r="2806" spans="13:13" ht="12" customHeight="1" x14ac:dyDescent="0.2">
      <c r="M2806" s="265"/>
    </row>
    <row r="2807" spans="13:13" ht="12" customHeight="1" x14ac:dyDescent="0.2">
      <c r="M2807" s="265"/>
    </row>
    <row r="2808" spans="13:13" ht="12" customHeight="1" x14ac:dyDescent="0.2">
      <c r="M2808" s="265"/>
    </row>
    <row r="2809" spans="13:13" ht="12" customHeight="1" x14ac:dyDescent="0.2">
      <c r="M2809" s="265"/>
    </row>
    <row r="2810" spans="13:13" ht="12" customHeight="1" x14ac:dyDescent="0.2">
      <c r="M2810" s="265"/>
    </row>
    <row r="2811" spans="13:13" ht="12" customHeight="1" x14ac:dyDescent="0.2">
      <c r="M2811" s="265"/>
    </row>
    <row r="2812" spans="13:13" ht="12" customHeight="1" x14ac:dyDescent="0.2">
      <c r="M2812" s="265"/>
    </row>
    <row r="2813" spans="13:13" ht="12" customHeight="1" x14ac:dyDescent="0.2">
      <c r="M2813" s="265"/>
    </row>
    <row r="2814" spans="13:13" ht="12" customHeight="1" x14ac:dyDescent="0.2">
      <c r="M2814" s="265"/>
    </row>
    <row r="2815" spans="13:13" ht="12" customHeight="1" x14ac:dyDescent="0.2">
      <c r="M2815" s="265"/>
    </row>
    <row r="2816" spans="13:13" ht="12" customHeight="1" x14ac:dyDescent="0.2">
      <c r="M2816" s="265"/>
    </row>
    <row r="2817" spans="13:13" ht="12" customHeight="1" x14ac:dyDescent="0.2">
      <c r="M2817" s="265"/>
    </row>
    <row r="2818" spans="13:13" ht="12" customHeight="1" x14ac:dyDescent="0.2">
      <c r="M2818" s="265"/>
    </row>
    <row r="2819" spans="13:13" ht="12" customHeight="1" x14ac:dyDescent="0.2">
      <c r="M2819" s="265"/>
    </row>
    <row r="2820" spans="13:13" ht="12" customHeight="1" x14ac:dyDescent="0.2">
      <c r="M2820" s="265"/>
    </row>
    <row r="2821" spans="13:13" ht="12" customHeight="1" x14ac:dyDescent="0.2">
      <c r="M2821" s="265"/>
    </row>
    <row r="2822" spans="13:13" ht="12" customHeight="1" x14ac:dyDescent="0.2">
      <c r="M2822" s="265"/>
    </row>
    <row r="2823" spans="13:13" ht="12" customHeight="1" x14ac:dyDescent="0.2">
      <c r="M2823" s="265"/>
    </row>
    <row r="2824" spans="13:13" ht="12" customHeight="1" x14ac:dyDescent="0.2">
      <c r="M2824" s="265"/>
    </row>
    <row r="2825" spans="13:13" ht="12" customHeight="1" x14ac:dyDescent="0.2">
      <c r="M2825" s="265"/>
    </row>
    <row r="2826" spans="13:13" ht="12" customHeight="1" x14ac:dyDescent="0.2">
      <c r="M2826" s="265"/>
    </row>
    <row r="2827" spans="13:13" ht="12" customHeight="1" x14ac:dyDescent="0.2">
      <c r="M2827" s="265"/>
    </row>
    <row r="2828" spans="13:13" ht="12" customHeight="1" x14ac:dyDescent="0.2">
      <c r="M2828" s="265"/>
    </row>
    <row r="2829" spans="13:13" ht="12" customHeight="1" x14ac:dyDescent="0.2">
      <c r="M2829" s="265"/>
    </row>
    <row r="2830" spans="13:13" ht="12" customHeight="1" x14ac:dyDescent="0.2">
      <c r="M2830" s="265"/>
    </row>
    <row r="2831" spans="13:13" ht="12" customHeight="1" x14ac:dyDescent="0.2">
      <c r="M2831" s="265"/>
    </row>
    <row r="2832" spans="13:13" ht="12" customHeight="1" x14ac:dyDescent="0.2">
      <c r="M2832" s="265"/>
    </row>
    <row r="2833" spans="13:13" ht="12" customHeight="1" x14ac:dyDescent="0.2">
      <c r="M2833" s="265"/>
    </row>
    <row r="2834" spans="13:13" ht="12" customHeight="1" x14ac:dyDescent="0.2">
      <c r="M2834" s="265"/>
    </row>
    <row r="2835" spans="13:13" ht="12" customHeight="1" x14ac:dyDescent="0.2">
      <c r="M2835" s="265"/>
    </row>
    <row r="2836" spans="13:13" ht="12" customHeight="1" x14ac:dyDescent="0.2">
      <c r="M2836" s="265"/>
    </row>
    <row r="2837" spans="13:13" ht="12" customHeight="1" x14ac:dyDescent="0.2">
      <c r="M2837" s="265"/>
    </row>
    <row r="2838" spans="13:13" ht="12" customHeight="1" x14ac:dyDescent="0.2">
      <c r="M2838" s="265"/>
    </row>
    <row r="2839" spans="13:13" ht="12" customHeight="1" x14ac:dyDescent="0.2">
      <c r="M2839" s="265"/>
    </row>
    <row r="2840" spans="13:13" ht="12" customHeight="1" x14ac:dyDescent="0.2">
      <c r="M2840" s="265"/>
    </row>
    <row r="2841" spans="13:13" ht="12" customHeight="1" x14ac:dyDescent="0.2">
      <c r="M2841" s="265"/>
    </row>
    <row r="2842" spans="13:13" ht="12" customHeight="1" x14ac:dyDescent="0.2">
      <c r="M2842" s="265"/>
    </row>
    <row r="2843" spans="13:13" ht="12" customHeight="1" x14ac:dyDescent="0.2">
      <c r="M2843" s="265"/>
    </row>
    <row r="2844" spans="13:13" ht="12" customHeight="1" x14ac:dyDescent="0.2">
      <c r="M2844" s="265"/>
    </row>
    <row r="2845" spans="13:13" ht="12" customHeight="1" x14ac:dyDescent="0.2">
      <c r="M2845" s="265"/>
    </row>
    <row r="2846" spans="13:13" ht="12" customHeight="1" x14ac:dyDescent="0.2">
      <c r="M2846" s="265"/>
    </row>
    <row r="2847" spans="13:13" ht="12" customHeight="1" x14ac:dyDescent="0.2">
      <c r="M2847" s="265"/>
    </row>
    <row r="2848" spans="13:13" ht="12" customHeight="1" x14ac:dyDescent="0.2">
      <c r="M2848" s="265"/>
    </row>
    <row r="2849" spans="13:13" ht="12" customHeight="1" x14ac:dyDescent="0.2">
      <c r="M2849" s="265"/>
    </row>
    <row r="2850" spans="13:13" ht="12" customHeight="1" x14ac:dyDescent="0.2">
      <c r="M2850" s="265"/>
    </row>
    <row r="2851" spans="13:13" ht="12" customHeight="1" x14ac:dyDescent="0.2">
      <c r="M2851" s="265"/>
    </row>
    <row r="2852" spans="13:13" ht="12" customHeight="1" x14ac:dyDescent="0.2">
      <c r="M2852" s="265"/>
    </row>
    <row r="2853" spans="13:13" ht="12" customHeight="1" x14ac:dyDescent="0.2">
      <c r="M2853" s="265"/>
    </row>
    <row r="2854" spans="13:13" ht="12" customHeight="1" x14ac:dyDescent="0.2">
      <c r="M2854" s="265"/>
    </row>
    <row r="2855" spans="13:13" ht="12" customHeight="1" x14ac:dyDescent="0.2">
      <c r="M2855" s="265"/>
    </row>
    <row r="2856" spans="13:13" ht="12" customHeight="1" x14ac:dyDescent="0.2">
      <c r="M2856" s="265"/>
    </row>
    <row r="2857" spans="13:13" ht="12" customHeight="1" x14ac:dyDescent="0.2">
      <c r="M2857" s="265"/>
    </row>
    <row r="2858" spans="13:13" ht="12" customHeight="1" x14ac:dyDescent="0.2">
      <c r="M2858" s="265"/>
    </row>
    <row r="2859" spans="13:13" ht="12" customHeight="1" x14ac:dyDescent="0.2">
      <c r="M2859" s="265"/>
    </row>
    <row r="2860" spans="13:13" ht="12" customHeight="1" x14ac:dyDescent="0.2">
      <c r="M2860" s="265"/>
    </row>
    <row r="2861" spans="13:13" ht="12" customHeight="1" x14ac:dyDescent="0.2">
      <c r="M2861" s="265"/>
    </row>
    <row r="2862" spans="13:13" ht="12" customHeight="1" x14ac:dyDescent="0.2">
      <c r="M2862" s="265"/>
    </row>
    <row r="2863" spans="13:13" ht="12" customHeight="1" x14ac:dyDescent="0.2">
      <c r="M2863" s="265"/>
    </row>
    <row r="2864" spans="13:13" ht="12" customHeight="1" x14ac:dyDescent="0.2">
      <c r="M2864" s="265"/>
    </row>
    <row r="2865" spans="13:13" ht="12" customHeight="1" x14ac:dyDescent="0.2">
      <c r="M2865" s="265"/>
    </row>
    <row r="2866" spans="13:13" ht="12" customHeight="1" x14ac:dyDescent="0.2">
      <c r="M2866" s="265"/>
    </row>
    <row r="2867" spans="13:13" ht="12" customHeight="1" x14ac:dyDescent="0.2">
      <c r="M2867" s="265"/>
    </row>
    <row r="2868" spans="13:13" ht="12" customHeight="1" x14ac:dyDescent="0.2">
      <c r="M2868" s="265"/>
    </row>
    <row r="2869" spans="13:13" ht="12" customHeight="1" x14ac:dyDescent="0.2">
      <c r="M2869" s="265"/>
    </row>
    <row r="2870" spans="13:13" ht="12" customHeight="1" x14ac:dyDescent="0.2">
      <c r="M2870" s="265"/>
    </row>
    <row r="2871" spans="13:13" ht="12" customHeight="1" x14ac:dyDescent="0.2">
      <c r="M2871" s="265"/>
    </row>
    <row r="2872" spans="13:13" ht="12" customHeight="1" x14ac:dyDescent="0.2">
      <c r="M2872" s="265"/>
    </row>
    <row r="2873" spans="13:13" ht="12" customHeight="1" x14ac:dyDescent="0.2">
      <c r="M2873" s="265"/>
    </row>
    <row r="2874" spans="13:13" ht="12" customHeight="1" x14ac:dyDescent="0.2">
      <c r="M2874" s="265"/>
    </row>
    <row r="2875" spans="13:13" ht="12" customHeight="1" x14ac:dyDescent="0.2">
      <c r="M2875" s="265"/>
    </row>
    <row r="2876" spans="13:13" ht="12" customHeight="1" x14ac:dyDescent="0.2">
      <c r="M2876" s="265"/>
    </row>
    <row r="2877" spans="13:13" ht="12" customHeight="1" x14ac:dyDescent="0.2">
      <c r="M2877" s="265"/>
    </row>
    <row r="2878" spans="13:13" ht="12" customHeight="1" x14ac:dyDescent="0.2">
      <c r="M2878" s="265"/>
    </row>
    <row r="2879" spans="13:13" ht="12" customHeight="1" x14ac:dyDescent="0.2">
      <c r="M2879" s="265"/>
    </row>
    <row r="2880" spans="13:13" ht="12" customHeight="1" x14ac:dyDescent="0.2">
      <c r="M2880" s="265"/>
    </row>
    <row r="2881" spans="13:13" ht="12" customHeight="1" x14ac:dyDescent="0.2">
      <c r="M2881" s="265"/>
    </row>
    <row r="2882" spans="13:13" ht="12" customHeight="1" x14ac:dyDescent="0.2">
      <c r="M2882" s="265"/>
    </row>
    <row r="2883" spans="13:13" ht="12" customHeight="1" x14ac:dyDescent="0.2">
      <c r="M2883" s="265"/>
    </row>
    <row r="2884" spans="13:13" ht="12" customHeight="1" x14ac:dyDescent="0.2">
      <c r="M2884" s="265"/>
    </row>
    <row r="2885" spans="13:13" ht="12" customHeight="1" x14ac:dyDescent="0.2">
      <c r="M2885" s="265"/>
    </row>
    <row r="2886" spans="13:13" ht="12" customHeight="1" x14ac:dyDescent="0.2">
      <c r="M2886" s="265"/>
    </row>
    <row r="2887" spans="13:13" ht="12" customHeight="1" x14ac:dyDescent="0.2">
      <c r="M2887" s="265"/>
    </row>
    <row r="2888" spans="13:13" ht="12" customHeight="1" x14ac:dyDescent="0.2">
      <c r="M2888" s="265"/>
    </row>
    <row r="2889" spans="13:13" ht="12" customHeight="1" x14ac:dyDescent="0.2">
      <c r="M2889" s="265"/>
    </row>
    <row r="2890" spans="13:13" ht="12" customHeight="1" x14ac:dyDescent="0.2">
      <c r="M2890" s="265"/>
    </row>
    <row r="2891" spans="13:13" ht="12" customHeight="1" x14ac:dyDescent="0.2">
      <c r="M2891" s="265"/>
    </row>
    <row r="2892" spans="13:13" ht="12" customHeight="1" x14ac:dyDescent="0.2">
      <c r="M2892" s="265"/>
    </row>
    <row r="2893" spans="13:13" ht="12" customHeight="1" x14ac:dyDescent="0.2">
      <c r="M2893" s="265"/>
    </row>
    <row r="2894" spans="13:13" ht="12" customHeight="1" x14ac:dyDescent="0.2">
      <c r="M2894" s="265"/>
    </row>
  </sheetData>
  <sheetProtection algorithmName="SHA-512" hashValue="UKA8OzxM14fIZ5S47KKf36ka20H5bo226PRe9QfYADzZvhDJuR2wxG68bus+dWbT9b6hOqPcBX1AYpkWRnCnKQ==" saltValue="8PZKsdmhD3UHVVBSwaqHtg==" spinCount="100000" sheet="1" objects="1" scenarios="1"/>
  <sortState xmlns:xlrd2="http://schemas.microsoft.com/office/spreadsheetml/2017/richdata2" ref="M184:M221">
    <sortCondition ref="M184:M221"/>
  </sortState>
  <conditionalFormatting sqref="U1:XFD1 A1:S1">
    <cfRule type="expression" dxfId="388" priority="85">
      <formula>$A1="MODEL ERROR"</formula>
    </cfRule>
  </conditionalFormatting>
  <conditionalFormatting sqref="D40:E40">
    <cfRule type="cellIs" dxfId="387" priority="44" stopIfTrue="1" operator="equal">
      <formula>0</formula>
    </cfRule>
    <cfRule type="cellIs" dxfId="386" priority="45" stopIfTrue="1" operator="notEqual">
      <formula>0</formula>
    </cfRule>
  </conditionalFormatting>
  <conditionalFormatting sqref="D39:E39">
    <cfRule type="cellIs" dxfId="385" priority="40" stopIfTrue="1" operator="equal">
      <formula>0</formula>
    </cfRule>
    <cfRule type="cellIs" dxfId="384" priority="41" stopIfTrue="1" operator="notEqual">
      <formula>0</formula>
    </cfRule>
  </conditionalFormatting>
  <conditionalFormatting sqref="D39:E39">
    <cfRule type="cellIs" dxfId="383" priority="42" stopIfTrue="1" operator="equal">
      <formula>0</formula>
    </cfRule>
    <cfRule type="cellIs" dxfId="382" priority="43" stopIfTrue="1" operator="notEqual">
      <formula>0</formula>
    </cfRule>
  </conditionalFormatting>
  <conditionalFormatting sqref="D53:E53">
    <cfRule type="cellIs" dxfId="381" priority="36" stopIfTrue="1" operator="equal">
      <formula>0</formula>
    </cfRule>
    <cfRule type="cellIs" dxfId="380" priority="37" stopIfTrue="1" operator="notEqual">
      <formula>0</formula>
    </cfRule>
  </conditionalFormatting>
  <conditionalFormatting sqref="D53:E53">
    <cfRule type="cellIs" dxfId="379" priority="38" stopIfTrue="1" operator="equal">
      <formula>0</formula>
    </cfRule>
    <cfRule type="cellIs" dxfId="378" priority="39" stopIfTrue="1" operator="notEqual">
      <formula>0</formula>
    </cfRule>
  </conditionalFormatting>
  <conditionalFormatting sqref="D67:E67">
    <cfRule type="cellIs" dxfId="377" priority="32" stopIfTrue="1" operator="equal">
      <formula>0</formula>
    </cfRule>
    <cfRule type="cellIs" dxfId="376" priority="33" stopIfTrue="1" operator="notEqual">
      <formula>0</formula>
    </cfRule>
  </conditionalFormatting>
  <conditionalFormatting sqref="D67:E67">
    <cfRule type="cellIs" dxfId="375" priority="34" stopIfTrue="1" operator="equal">
      <formula>0</formula>
    </cfRule>
    <cfRule type="cellIs" dxfId="374" priority="35" stopIfTrue="1" operator="notEqual">
      <formula>0</formula>
    </cfRule>
  </conditionalFormatting>
  <conditionalFormatting sqref="D81:E81">
    <cfRule type="cellIs" dxfId="373" priority="28" stopIfTrue="1" operator="equal">
      <formula>0</formula>
    </cfRule>
    <cfRule type="cellIs" dxfId="372" priority="29" stopIfTrue="1" operator="notEqual">
      <formula>0</formula>
    </cfRule>
  </conditionalFormatting>
  <conditionalFormatting sqref="D81:E81">
    <cfRule type="cellIs" dxfId="371" priority="30" stopIfTrue="1" operator="equal">
      <formula>0</formula>
    </cfRule>
    <cfRule type="cellIs" dxfId="370" priority="31" stopIfTrue="1" operator="notEqual">
      <formula>0</formula>
    </cfRule>
  </conditionalFormatting>
  <conditionalFormatting sqref="D96:E96">
    <cfRule type="cellIs" dxfId="369" priority="26" stopIfTrue="1" operator="equal">
      <formula>0</formula>
    </cfRule>
    <cfRule type="cellIs" dxfId="368" priority="27" stopIfTrue="1" operator="notEqual">
      <formula>0</formula>
    </cfRule>
  </conditionalFormatting>
  <conditionalFormatting sqref="D95:E95">
    <cfRule type="cellIs" dxfId="367" priority="22" stopIfTrue="1" operator="equal">
      <formula>0</formula>
    </cfRule>
    <cfRule type="cellIs" dxfId="366" priority="23" stopIfTrue="1" operator="notEqual">
      <formula>0</formula>
    </cfRule>
  </conditionalFormatting>
  <conditionalFormatting sqref="D95:E95">
    <cfRule type="cellIs" dxfId="365" priority="24" stopIfTrue="1" operator="equal">
      <formula>0</formula>
    </cfRule>
    <cfRule type="cellIs" dxfId="364" priority="25" stopIfTrue="1" operator="notEqual">
      <formula>0</formula>
    </cfRule>
  </conditionalFormatting>
  <conditionalFormatting sqref="D110:E110">
    <cfRule type="cellIs" dxfId="363" priority="20" stopIfTrue="1" operator="equal">
      <formula>0</formula>
    </cfRule>
    <cfRule type="cellIs" dxfId="362" priority="21" stopIfTrue="1" operator="notEqual">
      <formula>0</formula>
    </cfRule>
  </conditionalFormatting>
  <conditionalFormatting sqref="D109:E109">
    <cfRule type="cellIs" dxfId="361" priority="16" stopIfTrue="1" operator="equal">
      <formula>0</formula>
    </cfRule>
    <cfRule type="cellIs" dxfId="360" priority="17" stopIfTrue="1" operator="notEqual">
      <formula>0</formula>
    </cfRule>
  </conditionalFormatting>
  <conditionalFormatting sqref="D109:E109">
    <cfRule type="cellIs" dxfId="359" priority="18" stopIfTrue="1" operator="equal">
      <formula>0</formula>
    </cfRule>
    <cfRule type="cellIs" dxfId="358" priority="19" stopIfTrue="1" operator="notEqual">
      <formula>0</formula>
    </cfRule>
  </conditionalFormatting>
  <conditionalFormatting sqref="C2">
    <cfRule type="expression" dxfId="357" priority="10">
      <formula>Model_check&lt;&gt;0</formula>
    </cfRule>
    <cfRule type="expression" dxfId="356" priority="11">
      <formula>Model_check=0</formula>
    </cfRule>
  </conditionalFormatting>
  <conditionalFormatting sqref="D157">
    <cfRule type="expression" dxfId="355" priority="121">
      <formula>O$135="CPI"</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2" manualBreakCount="2">
    <brk id="68" min="1" max="19" man="1"/>
    <brk id="130" min="1" max="19" man="1"/>
  </rowBreaks>
  <extLst>
    <ext xmlns:x14="http://schemas.microsoft.com/office/spreadsheetml/2009/9/main" uri="{78C0D931-6437-407d-A8EE-F0AAD7539E65}">
      <x14:conditionalFormattings>
        <x14:conditionalFormatting xmlns:xm="http://schemas.microsoft.com/office/excel/2006/main">
          <x14:cfRule type="expression" priority="84" id="{90AD62B5-98AD-4471-9BAA-903218530A43}">
            <xm:f>'Global inputs'!$A1="MODEL ERROR"</xm:f>
            <x14:dxf>
              <fill>
                <patternFill>
                  <bgColor theme="1"/>
                </patternFill>
              </fill>
            </x14:dxf>
          </x14:cfRule>
          <xm:sqref>T1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AA105"/>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x14ac:dyDescent="0.2"/>
  <cols>
    <col min="1" max="1" width="2.75" style="232" customWidth="1"/>
    <col min="2" max="2" width="35.75" style="232" customWidth="1"/>
    <col min="3" max="5" width="15.75" style="232" customWidth="1"/>
    <col min="6" max="7" width="2.75" style="232" customWidth="1"/>
    <col min="8" max="8" width="10.75" style="232" customWidth="1"/>
    <col min="9" max="9" width="10.75" style="234" customWidth="1"/>
    <col min="10" max="20" width="10.75" style="232" customWidth="1"/>
    <col min="21" max="21" width="2.75" style="232" customWidth="1"/>
    <col min="22" max="23" width="8.25" style="232" hidden="1" customWidth="1"/>
    <col min="24" max="25" width="8.75" style="232" hidden="1" customWidth="1"/>
    <col min="26" max="27" width="8.25" style="232" hidden="1" customWidth="1"/>
    <col min="28" max="16384" width="8.25" style="232" hidden="1"/>
  </cols>
  <sheetData>
    <row r="1" spans="1:24" ht="12" customHeight="1" x14ac:dyDescent="0.2">
      <c r="A1" s="229"/>
      <c r="B1" s="229"/>
      <c r="C1" s="276"/>
      <c r="D1" s="229"/>
      <c r="E1" s="229"/>
      <c r="F1" s="229"/>
      <c r="G1" s="229"/>
      <c r="H1" s="229"/>
      <c r="I1" s="229"/>
      <c r="J1" s="229"/>
      <c r="K1" s="229"/>
      <c r="L1" s="229"/>
      <c r="M1" s="229"/>
      <c r="N1" s="229"/>
      <c r="O1" s="229"/>
      <c r="P1" s="229"/>
      <c r="Q1" s="229"/>
      <c r="R1" s="229"/>
      <c r="S1" s="229"/>
      <c r="T1" s="229"/>
      <c r="U1" s="229"/>
      <c r="V1" s="229"/>
      <c r="W1" s="229"/>
      <c r="X1" s="229"/>
    </row>
    <row r="2" spans="1:24" s="229" customFormat="1" ht="15" customHeight="1" x14ac:dyDescent="0.25">
      <c r="B2" s="212" t="str">
        <f ca="1">MID(CELL("filename",B2),FIND("]",CELL("filename",B2))+1,255)</f>
        <v>Opex summary</v>
      </c>
      <c r="C2" s="241" t="str">
        <f>'Global inputs'!$C$2</f>
        <v>Model: Ok</v>
      </c>
      <c r="D2" s="277"/>
      <c r="E2" s="277"/>
      <c r="F2" s="242"/>
      <c r="G2" s="242"/>
      <c r="H2" s="242"/>
      <c r="I2" s="242"/>
      <c r="J2" s="242"/>
      <c r="K2" s="242"/>
      <c r="L2" s="242"/>
      <c r="M2" s="242"/>
      <c r="N2" s="242"/>
      <c r="O2" s="242"/>
      <c r="P2" s="242"/>
      <c r="Q2" s="242"/>
      <c r="R2" s="242"/>
      <c r="S2" s="242"/>
      <c r="T2" s="242"/>
    </row>
    <row r="3" spans="1:24" s="243" customFormat="1" ht="12" customHeight="1" x14ac:dyDescent="0.2">
      <c r="B3" s="300"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Escalators!T3</f>
        <v>45748</v>
      </c>
      <c r="T3" s="213"/>
    </row>
    <row r="4" spans="1:24" s="243" customFormat="1" ht="12" customHeight="1" x14ac:dyDescent="0.2">
      <c r="B4" s="300"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Escalators!T4</f>
        <v>46112</v>
      </c>
      <c r="T4" s="213"/>
    </row>
    <row r="5" spans="1:24" s="243" customFormat="1" ht="12" customHeight="1" x14ac:dyDescent="0.2">
      <c r="B5" s="300"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Escalators!T5</f>
        <v>RY26</v>
      </c>
      <c r="T5" s="214"/>
    </row>
    <row r="6" spans="1:24" s="243" customFormat="1" ht="12" customHeight="1" x14ac:dyDescent="0.2">
      <c r="B6" s="300" t="s">
        <v>45</v>
      </c>
      <c r="C6" s="278"/>
      <c r="D6" s="279"/>
      <c r="E6" s="279"/>
      <c r="F6" s="244"/>
      <c r="G6" s="247"/>
      <c r="H6" s="215" t="s">
        <v>46</v>
      </c>
      <c r="I6" s="216"/>
      <c r="J6" s="216"/>
      <c r="K6" s="216"/>
      <c r="L6" s="216"/>
      <c r="M6" s="215" t="s">
        <v>47</v>
      </c>
      <c r="N6" s="216"/>
      <c r="O6" s="215" t="s">
        <v>48</v>
      </c>
      <c r="P6" s="216"/>
      <c r="Q6" s="216"/>
      <c r="R6" s="216"/>
      <c r="S6" s="216"/>
      <c r="T6" s="215" t="s">
        <v>49</v>
      </c>
    </row>
    <row r="7" spans="1:24" ht="12" customHeight="1" x14ac:dyDescent="0.2">
      <c r="B7" s="242"/>
      <c r="C7" s="280"/>
      <c r="D7" s="248"/>
      <c r="E7" s="248"/>
      <c r="F7" s="242"/>
      <c r="G7" s="242"/>
      <c r="H7" s="242"/>
      <c r="I7" s="242"/>
      <c r="J7" s="242"/>
      <c r="K7" s="242"/>
      <c r="L7" s="242"/>
      <c r="M7" s="242"/>
      <c r="N7" s="242"/>
      <c r="O7" s="242"/>
      <c r="P7" s="242"/>
      <c r="Q7" s="242"/>
      <c r="R7" s="242"/>
      <c r="S7" s="242"/>
      <c r="T7" s="242"/>
    </row>
    <row r="8" spans="1:24" ht="12" customHeight="1" x14ac:dyDescent="0.2">
      <c r="B8" s="242"/>
      <c r="C8" s="280"/>
      <c r="D8" s="248"/>
      <c r="E8" s="248"/>
      <c r="F8" s="242"/>
      <c r="G8" s="242"/>
      <c r="H8" s="242"/>
      <c r="I8" s="242"/>
      <c r="J8" s="242"/>
      <c r="K8" s="242"/>
      <c r="L8" s="242"/>
      <c r="M8" s="242"/>
      <c r="N8" s="242"/>
      <c r="O8" s="242"/>
      <c r="P8" s="242"/>
      <c r="Q8" s="242"/>
      <c r="R8" s="242"/>
      <c r="S8" s="242"/>
      <c r="T8" s="242"/>
    </row>
    <row r="9" spans="1:24" s="229" customFormat="1" ht="12" customHeight="1" x14ac:dyDescent="0.2">
      <c r="A9" s="232"/>
      <c r="B9" s="283" t="s">
        <v>319</v>
      </c>
      <c r="C9" s="284" t="s">
        <v>51</v>
      </c>
      <c r="D9" s="285" t="s">
        <v>52</v>
      </c>
      <c r="E9" s="284" t="s">
        <v>53</v>
      </c>
      <c r="F9" s="242"/>
      <c r="G9" s="302"/>
      <c r="H9" s="302"/>
      <c r="I9" s="302"/>
      <c r="J9" s="302"/>
      <c r="K9" s="242"/>
      <c r="L9" s="242"/>
      <c r="M9" s="242"/>
      <c r="N9" s="242"/>
      <c r="O9" s="242"/>
      <c r="P9" s="242"/>
      <c r="Q9" s="242"/>
      <c r="R9" s="242"/>
      <c r="S9" s="242"/>
      <c r="T9" s="242"/>
    </row>
    <row r="10" spans="1:24" x14ac:dyDescent="0.2">
      <c r="K10" s="289"/>
      <c r="L10" s="289"/>
      <c r="M10" s="289"/>
      <c r="N10" s="289"/>
      <c r="O10" s="289"/>
      <c r="P10" s="289"/>
      <c r="Q10" s="289"/>
      <c r="R10" s="289"/>
      <c r="S10" s="289"/>
      <c r="T10" s="242"/>
    </row>
    <row r="11" spans="1:24" x14ac:dyDescent="0.2">
      <c r="B11" s="232" t="s">
        <v>412</v>
      </c>
      <c r="C11" s="232" t="s">
        <v>67</v>
      </c>
      <c r="I11" s="232"/>
      <c r="M11" s="328">
        <f>YEAR(M$4)</f>
        <v>2020</v>
      </c>
      <c r="N11" s="328">
        <f t="shared" ref="N11:S11" si="0">YEAR(N$4)</f>
        <v>2021</v>
      </c>
      <c r="O11" s="328">
        <f t="shared" si="0"/>
        <v>2022</v>
      </c>
      <c r="P11" s="328">
        <f t="shared" si="0"/>
        <v>2023</v>
      </c>
      <c r="Q11" s="328">
        <f t="shared" si="0"/>
        <v>2024</v>
      </c>
      <c r="R11" s="328">
        <f t="shared" si="0"/>
        <v>2025</v>
      </c>
      <c r="S11" s="328">
        <f t="shared" si="0"/>
        <v>2026</v>
      </c>
      <c r="T11" s="229"/>
    </row>
    <row r="12" spans="1:24" x14ac:dyDescent="0.2">
      <c r="K12" s="289"/>
      <c r="L12" s="289"/>
      <c r="M12" s="289"/>
      <c r="N12" s="289"/>
      <c r="O12" s="289"/>
      <c r="P12" s="289"/>
      <c r="Q12" s="289"/>
      <c r="R12" s="289"/>
      <c r="S12" s="289"/>
      <c r="T12" s="242"/>
    </row>
    <row r="13" spans="1:24" s="229" customFormat="1" ht="12" customHeight="1" x14ac:dyDescent="0.2">
      <c r="A13" s="232"/>
      <c r="B13" s="283" t="s">
        <v>239</v>
      </c>
      <c r="C13" s="284" t="s">
        <v>51</v>
      </c>
      <c r="D13" s="285" t="s">
        <v>52</v>
      </c>
      <c r="E13" s="284" t="s">
        <v>53</v>
      </c>
      <c r="F13" s="242"/>
      <c r="G13" s="302"/>
      <c r="H13" s="302"/>
      <c r="I13" s="302"/>
      <c r="J13" s="302"/>
      <c r="K13" s="242"/>
      <c r="L13" s="242"/>
      <c r="M13" s="242"/>
      <c r="N13" s="242"/>
      <c r="O13" s="242"/>
      <c r="P13" s="242"/>
      <c r="Q13" s="242"/>
      <c r="R13" s="242"/>
      <c r="S13" s="242"/>
      <c r="T13" s="242"/>
    </row>
    <row r="14" spans="1:24" x14ac:dyDescent="0.2">
      <c r="K14" s="289"/>
      <c r="L14" s="289"/>
      <c r="M14" s="289"/>
      <c r="N14" s="289"/>
      <c r="O14" s="289"/>
      <c r="P14" s="289"/>
      <c r="Q14" s="289"/>
      <c r="R14" s="289"/>
      <c r="S14" s="289"/>
      <c r="T14" s="242"/>
    </row>
    <row r="15" spans="1:24" x14ac:dyDescent="0.2">
      <c r="B15" s="329" t="s">
        <v>413</v>
      </c>
      <c r="K15" s="289"/>
      <c r="L15" s="289"/>
      <c r="M15" s="289"/>
      <c r="N15" s="289"/>
      <c r="O15" s="289"/>
      <c r="P15" s="289"/>
      <c r="Q15" s="289"/>
      <c r="R15" s="289"/>
      <c r="S15" s="289"/>
      <c r="T15" s="242"/>
    </row>
    <row r="16" spans="1:24" x14ac:dyDescent="0.2">
      <c r="K16" s="289"/>
      <c r="L16" s="289"/>
      <c r="M16" s="289"/>
      <c r="N16" s="289"/>
      <c r="O16" s="289"/>
      <c r="P16" s="289"/>
      <c r="Q16" s="289"/>
      <c r="R16" s="289"/>
      <c r="S16" s="289"/>
      <c r="T16" s="242"/>
    </row>
    <row r="17" spans="2:27" s="331" customFormat="1" x14ac:dyDescent="0.2">
      <c r="B17" s="287" t="s">
        <v>240</v>
      </c>
      <c r="C17" s="329"/>
      <c r="D17" s="232"/>
      <c r="E17" s="232"/>
      <c r="F17" s="229"/>
      <c r="G17" s="229"/>
      <c r="H17" s="290"/>
      <c r="I17" s="229"/>
      <c r="J17" s="229"/>
      <c r="K17" s="229"/>
      <c r="L17" s="229"/>
      <c r="M17" s="229"/>
      <c r="N17" s="229"/>
      <c r="O17" s="229"/>
      <c r="P17" s="229"/>
      <c r="Q17" s="229"/>
      <c r="R17" s="229"/>
      <c r="S17" s="229"/>
      <c r="T17" s="229"/>
      <c r="U17" s="229"/>
      <c r="V17" s="229"/>
      <c r="W17" s="229"/>
      <c r="X17" s="229"/>
      <c r="Y17" s="330"/>
      <c r="Z17" s="330"/>
      <c r="AA17" s="330"/>
    </row>
    <row r="18" spans="2:27" s="331" customFormat="1" x14ac:dyDescent="0.2">
      <c r="B18" s="332"/>
      <c r="C18" s="329"/>
      <c r="D18" s="232"/>
      <c r="E18" s="232"/>
      <c r="F18" s="229"/>
      <c r="G18" s="229"/>
      <c r="H18" s="229"/>
      <c r="I18" s="229"/>
      <c r="J18" s="229"/>
      <c r="K18" s="229"/>
      <c r="L18" s="229"/>
      <c r="M18" s="229"/>
      <c r="N18" s="229"/>
      <c r="O18" s="229"/>
      <c r="P18" s="229"/>
      <c r="Q18" s="229"/>
      <c r="R18" s="229"/>
      <c r="S18" s="229"/>
      <c r="T18" s="229"/>
      <c r="U18" s="229"/>
      <c r="V18" s="229"/>
      <c r="W18" s="229"/>
      <c r="X18" s="229"/>
      <c r="Y18" s="330"/>
      <c r="Z18" s="330"/>
      <c r="AA18" s="330"/>
    </row>
    <row r="19" spans="2:27" x14ac:dyDescent="0.2">
      <c r="B19" s="229" t="s">
        <v>241</v>
      </c>
      <c r="C19" s="286" t="s">
        <v>242</v>
      </c>
      <c r="I19" s="232"/>
      <c r="M19" s="238">
        <f>SUMIFS('Forecast opex'!$O$9:$O$232,'Forecast opex'!$C$9:$C$232,$B19,'Forecast opex'!$I$9:$I$232,M$11)</f>
        <v>3950943.5</v>
      </c>
      <c r="N19" s="238">
        <f>SUMIFS('Forecast opex'!$O$9:$O$232,'Forecast opex'!$C$9:$C$232,$B19,'Forecast opex'!$I$9:$I$232,N$11)</f>
        <v>4682517.7037692918</v>
      </c>
      <c r="O19" s="238">
        <f>SUMIFS('Forecast opex'!$O$9:$O$232,'Forecast opex'!$C$9:$C$232,$B19,'Forecast opex'!$I$9:$I$232,O$11)</f>
        <v>4627620.3848450473</v>
      </c>
      <c r="P19" s="238">
        <f>SUMIFS('Forecast opex'!$O$9:$O$232,'Forecast opex'!$C$9:$C$232,$B19,'Forecast opex'!$I$9:$I$232,P$11)</f>
        <v>4585728.445365984</v>
      </c>
      <c r="Q19" s="238">
        <f>SUMIFS('Forecast opex'!$O$9:$O$232,'Forecast opex'!$C$9:$C$232,$B19,'Forecast opex'!$I$9:$I$232,Q$11)</f>
        <v>4506011.9413954243</v>
      </c>
      <c r="R19" s="238">
        <f>SUMIFS('Forecast opex'!$O$9:$O$232,'Forecast opex'!$C$9:$C$232,$B19,'Forecast opex'!$I$9:$I$232,R$11)</f>
        <v>4440120.6203921102</v>
      </c>
      <c r="S19" s="238">
        <f>SUMIFS('Forecast opex'!$O$9:$O$232,'Forecast opex'!$C$9:$C$232,$B19,'Forecast opex'!$I$9:$I$232,S$11)</f>
        <v>4343662.6255583018</v>
      </c>
      <c r="T19" s="229"/>
    </row>
    <row r="20" spans="2:27" x14ac:dyDescent="0.2">
      <c r="B20" s="232" t="s">
        <v>243</v>
      </c>
      <c r="C20" s="286" t="s">
        <v>242</v>
      </c>
      <c r="I20" s="232"/>
      <c r="M20" s="238">
        <f>SUMIFS('Forecast opex'!$O$9:$O$232,'Forecast opex'!$C$9:$C$232,$B20,'Forecast opex'!$I$9:$I$232,M$11)</f>
        <v>5579509.060934145</v>
      </c>
      <c r="N20" s="238">
        <f>SUMIFS('Forecast opex'!$O$9:$O$232,'Forecast opex'!$C$9:$C$232,$B20,'Forecast opex'!$I$9:$I$232,N$11)</f>
        <v>4020000</v>
      </c>
      <c r="O20" s="238">
        <f>SUMIFS('Forecast opex'!$O$9:$O$232,'Forecast opex'!$C$9:$C$232,$B20,'Forecast opex'!$I$9:$I$232,O$11)</f>
        <v>4095757.6369944601</v>
      </c>
      <c r="P20" s="238">
        <f>SUMIFS('Forecast opex'!$O$9:$O$232,'Forecast opex'!$C$9:$C$232,$B20,'Forecast opex'!$I$9:$I$232,P$11)</f>
        <v>3797356.1950003924</v>
      </c>
      <c r="Q20" s="238">
        <f>SUMIFS('Forecast opex'!$O$9:$O$232,'Forecast opex'!$C$9:$C$232,$B20,'Forecast opex'!$I$9:$I$232,Q$11)</f>
        <v>2782715.0334069654</v>
      </c>
      <c r="R20" s="238">
        <f>SUMIFS('Forecast opex'!$O$9:$O$232,'Forecast opex'!$C$9:$C$232,$B20,'Forecast opex'!$I$9:$I$232,R$11)</f>
        <v>2729686.3025436895</v>
      </c>
      <c r="S20" s="238">
        <f>SUMIFS('Forecast opex'!$O$9:$O$232,'Forecast opex'!$C$9:$C$232,$B20,'Forecast opex'!$I$9:$I$232,S$11)</f>
        <v>2659393.0723261419</v>
      </c>
      <c r="T20" s="229"/>
    </row>
    <row r="21" spans="2:27" x14ac:dyDescent="0.2">
      <c r="B21" s="232" t="s">
        <v>244</v>
      </c>
      <c r="C21" s="286" t="s">
        <v>242</v>
      </c>
      <c r="I21" s="232"/>
      <c r="M21" s="238">
        <f>SUMIFS('Forecast opex'!$O$9:$O$232,'Forecast opex'!$C$9:$C$232,$B21,'Forecast opex'!$I$9:$I$232,M$11)</f>
        <v>7575601</v>
      </c>
      <c r="N21" s="238">
        <f>SUMIFS('Forecast opex'!$O$9:$O$232,'Forecast opex'!$C$9:$C$232,$B21,'Forecast opex'!$I$9:$I$232,N$11)</f>
        <v>8835158.7398074809</v>
      </c>
      <c r="O21" s="238">
        <f>SUMIFS('Forecast opex'!$O$9:$O$232,'Forecast opex'!$C$9:$C$232,$B21,'Forecast opex'!$I$9:$I$232,O$11)</f>
        <v>10164826.048079081</v>
      </c>
      <c r="P21" s="238">
        <f>SUMIFS('Forecast opex'!$O$9:$O$232,'Forecast opex'!$C$9:$C$232,$B21,'Forecast opex'!$I$9:$I$232,P$11)</f>
        <v>9610932.0235747155</v>
      </c>
      <c r="Q21" s="238">
        <f>SUMIFS('Forecast opex'!$O$9:$O$232,'Forecast opex'!$C$9:$C$232,$B21,'Forecast opex'!$I$9:$I$232,Q$11)</f>
        <v>9690527.334617991</v>
      </c>
      <c r="R21" s="238">
        <f>SUMIFS('Forecast opex'!$O$9:$O$232,'Forecast opex'!$C$9:$C$232,$B21,'Forecast opex'!$I$9:$I$232,R$11)</f>
        <v>8729806.9229259752</v>
      </c>
      <c r="S21" s="238">
        <f>SUMIFS('Forecast opex'!$O$9:$O$232,'Forecast opex'!$C$9:$C$232,$B21,'Forecast opex'!$I$9:$I$232,S$11)</f>
        <v>8714691.7089779954</v>
      </c>
      <c r="T21" s="229"/>
    </row>
    <row r="22" spans="2:27" x14ac:dyDescent="0.2">
      <c r="B22" s="229" t="s">
        <v>100</v>
      </c>
      <c r="C22" s="286" t="s">
        <v>242</v>
      </c>
      <c r="I22" s="232"/>
      <c r="M22" s="238">
        <f>SUMIFS('Forecast opex'!$O$9:$O$232,'Forecast opex'!$C$9:$C$232,$B22,'Forecast opex'!$I$9:$I$232,M$11)</f>
        <v>0</v>
      </c>
      <c r="N22" s="238">
        <f>SUMIFS('Forecast opex'!$O$9:$O$232,'Forecast opex'!$C$9:$C$232,$B22,'Forecast opex'!$I$9:$I$232,N$11)</f>
        <v>0</v>
      </c>
      <c r="O22" s="238">
        <f>SUMIFS('Forecast opex'!$O$9:$O$232,'Forecast opex'!$C$9:$C$232,$B22,'Forecast opex'!$I$9:$I$232,O$11)</f>
        <v>0</v>
      </c>
      <c r="P22" s="238">
        <f>SUMIFS('Forecast opex'!$O$9:$O$232,'Forecast opex'!$C$9:$C$232,$B22,'Forecast opex'!$I$9:$I$232,P$11)</f>
        <v>0</v>
      </c>
      <c r="Q22" s="238">
        <f>SUMIFS('Forecast opex'!$O$9:$O$232,'Forecast opex'!$C$9:$C$232,$B22,'Forecast opex'!$I$9:$I$232,Q$11)</f>
        <v>0</v>
      </c>
      <c r="R22" s="238">
        <f>SUMIFS('Forecast opex'!$O$9:$O$232,'Forecast opex'!$C$9:$C$232,$B22,'Forecast opex'!$I$9:$I$232,R$11)</f>
        <v>0</v>
      </c>
      <c r="S22" s="238">
        <f>SUMIFS('Forecast opex'!$O$9:$O$232,'Forecast opex'!$C$9:$C$232,$B22,'Forecast opex'!$I$9:$I$232,S$11)</f>
        <v>0</v>
      </c>
    </row>
    <row r="23" spans="2:27" x14ac:dyDescent="0.2">
      <c r="B23" s="243" t="s">
        <v>245</v>
      </c>
      <c r="C23" s="292" t="s">
        <v>242</v>
      </c>
      <c r="D23" s="243"/>
      <c r="E23" s="243"/>
      <c r="F23" s="243"/>
      <c r="G23" s="243"/>
      <c r="H23" s="243"/>
      <c r="I23" s="243"/>
      <c r="J23" s="243"/>
      <c r="K23" s="243"/>
      <c r="L23" s="243"/>
      <c r="M23" s="333">
        <f t="shared" ref="M23:S23" si="1">SUM(M19:M22)</f>
        <v>17106053.560934145</v>
      </c>
      <c r="N23" s="333">
        <f t="shared" si="1"/>
        <v>17537676.443576775</v>
      </c>
      <c r="O23" s="333">
        <f t="shared" si="1"/>
        <v>18888204.069918588</v>
      </c>
      <c r="P23" s="333">
        <f t="shared" si="1"/>
        <v>17994016.663941093</v>
      </c>
      <c r="Q23" s="333">
        <f t="shared" si="1"/>
        <v>16979254.309420381</v>
      </c>
      <c r="R23" s="235">
        <f t="shared" si="1"/>
        <v>15899613.845861774</v>
      </c>
      <c r="S23" s="235">
        <f t="shared" si="1"/>
        <v>15717747.40686244</v>
      </c>
      <c r="V23" s="229"/>
    </row>
    <row r="24" spans="2:27" x14ac:dyDescent="0.2">
      <c r="C24" s="286"/>
      <c r="I24" s="232"/>
      <c r="M24" s="229"/>
    </row>
    <row r="25" spans="2:27" x14ac:dyDescent="0.2">
      <c r="B25" s="232" t="s">
        <v>246</v>
      </c>
      <c r="C25" s="286" t="s">
        <v>242</v>
      </c>
      <c r="I25" s="232"/>
      <c r="M25" s="238">
        <f>SUMIFS('Forecast opex'!$O$9:$O$232,'Forecast opex'!$C$9:$C$232,$B25,'Forecast opex'!$I$9:$I$232,M$11)</f>
        <v>15037203.627220649</v>
      </c>
      <c r="N25" s="238">
        <f>SUMIFS('Forecast opex'!$O$9:$O$232,'Forecast opex'!$C$9:$C$232,$B25,'Forecast opex'!$I$9:$I$232,N$11)</f>
        <v>15742414.692267995</v>
      </c>
      <c r="O25" s="238">
        <f>SUMIFS('Forecast opex'!$O$9:$O$232,'Forecast opex'!$C$9:$C$232,$B25,'Forecast opex'!$I$9:$I$232,O$11)</f>
        <v>11102661.8600697</v>
      </c>
      <c r="P25" s="238">
        <f>SUMIFS('Forecast opex'!$O$9:$O$232,'Forecast opex'!$C$9:$C$232,$B25,'Forecast opex'!$I$9:$I$232,P$11)</f>
        <v>12545110.497889806</v>
      </c>
      <c r="Q25" s="238">
        <f>SUMIFS('Forecast opex'!$O$9:$O$232,'Forecast opex'!$C$9:$C$232,$B25,'Forecast opex'!$I$9:$I$232,Q$11)</f>
        <v>11232956.559809048</v>
      </c>
      <c r="R25" s="238">
        <f>SUMIFS('Forecast opex'!$O$9:$O$232,'Forecast opex'!$C$9:$C$232,$B25,'Forecast opex'!$I$9:$I$232,R$11)</f>
        <v>10868317.964284552</v>
      </c>
      <c r="S25" s="238">
        <f>SUMIFS('Forecast opex'!$O$9:$O$232,'Forecast opex'!$C$9:$C$232,$B25,'Forecast opex'!$I$9:$I$232,S$11)</f>
        <v>10484448.991031352</v>
      </c>
    </row>
    <row r="26" spans="2:27" x14ac:dyDescent="0.2">
      <c r="B26" s="232" t="s">
        <v>68</v>
      </c>
      <c r="C26" s="286" t="s">
        <v>242</v>
      </c>
      <c r="I26" s="232"/>
      <c r="M26" s="238">
        <f>SUMIFS('Forecast opex'!$O$9:$O$232,'Forecast opex'!$C$9:$C$232,$B26,'Forecast opex'!$I$9:$I$232,M$11)</f>
        <v>15095413.912937853</v>
      </c>
      <c r="N26" s="238">
        <f>SUMIFS('Forecast opex'!$O$9:$O$232,'Forecast opex'!$C$9:$C$232,$B26,'Forecast opex'!$I$9:$I$232,N$11)</f>
        <v>14599102.404354136</v>
      </c>
      <c r="O26" s="238">
        <f>SUMIFS('Forecast opex'!$O$9:$O$232,'Forecast opex'!$C$9:$C$232,$B26,'Forecast opex'!$I$9:$I$232,O$11)</f>
        <v>11865262.104226682</v>
      </c>
      <c r="P26" s="238">
        <f>SUMIFS('Forecast opex'!$O$9:$O$232,'Forecast opex'!$C$9:$C$232,$B26,'Forecast opex'!$I$9:$I$232,P$11)</f>
        <v>12834153.370664142</v>
      </c>
      <c r="Q26" s="238">
        <f>SUMIFS('Forecast opex'!$O$9:$O$232,'Forecast opex'!$C$9:$C$232,$B26,'Forecast opex'!$I$9:$I$232,Q$11)</f>
        <v>12172059.902422626</v>
      </c>
      <c r="R26" s="238">
        <f>SUMIFS('Forecast opex'!$O$9:$O$232,'Forecast opex'!$C$9:$C$232,$B26,'Forecast opex'!$I$9:$I$232,R$11)</f>
        <v>11859956.657195821</v>
      </c>
      <c r="S26" s="238">
        <f>SUMIFS('Forecast opex'!$O$9:$O$232,'Forecast opex'!$C$9:$C$232,$B26,'Forecast opex'!$I$9:$I$232,S$11)</f>
        <v>11849772.361461263</v>
      </c>
    </row>
    <row r="27" spans="2:27" x14ac:dyDescent="0.2">
      <c r="B27" s="243" t="s">
        <v>247</v>
      </c>
      <c r="C27" s="292" t="s">
        <v>242</v>
      </c>
      <c r="D27" s="243"/>
      <c r="E27" s="243"/>
      <c r="F27" s="243"/>
      <c r="G27" s="243"/>
      <c r="H27" s="243"/>
      <c r="I27" s="243"/>
      <c r="J27" s="243"/>
      <c r="K27" s="243"/>
      <c r="L27" s="243"/>
      <c r="M27" s="333">
        <f t="shared" ref="M27:S27" si="2">SUM(M25:M26)</f>
        <v>30132617.540158503</v>
      </c>
      <c r="N27" s="333">
        <f t="shared" si="2"/>
        <v>30341517.096622132</v>
      </c>
      <c r="O27" s="235">
        <f t="shared" si="2"/>
        <v>22967923.964296382</v>
      </c>
      <c r="P27" s="333">
        <f t="shared" si="2"/>
        <v>25379263.868553948</v>
      </c>
      <c r="Q27" s="333">
        <f t="shared" si="2"/>
        <v>23405016.462231673</v>
      </c>
      <c r="R27" s="333">
        <f t="shared" si="2"/>
        <v>22728274.621480376</v>
      </c>
      <c r="S27" s="333">
        <f t="shared" si="2"/>
        <v>22334221.352492616</v>
      </c>
    </row>
    <row r="28" spans="2:27" x14ac:dyDescent="0.2">
      <c r="C28" s="286"/>
      <c r="I28" s="232"/>
    </row>
    <row r="29" spans="2:27" x14ac:dyDescent="0.2">
      <c r="B29" s="243" t="s">
        <v>248</v>
      </c>
      <c r="C29" s="292" t="s">
        <v>242</v>
      </c>
      <c r="D29" s="243"/>
      <c r="E29" s="243"/>
      <c r="F29" s="243"/>
      <c r="G29" s="243"/>
      <c r="H29" s="243"/>
      <c r="I29" s="243"/>
      <c r="J29" s="243"/>
      <c r="K29" s="243"/>
      <c r="L29" s="243"/>
      <c r="M29" s="333">
        <f t="shared" ref="M29:S29" si="3">M23+M27</f>
        <v>47238671.101092651</v>
      </c>
      <c r="N29" s="333">
        <f t="shared" si="3"/>
        <v>47879193.540198907</v>
      </c>
      <c r="O29" s="235">
        <f t="shared" si="3"/>
        <v>41856128.034214973</v>
      </c>
      <c r="P29" s="333">
        <f t="shared" si="3"/>
        <v>43373280.532495037</v>
      </c>
      <c r="Q29" s="333">
        <f t="shared" si="3"/>
        <v>40384270.771652058</v>
      </c>
      <c r="R29" s="333">
        <f t="shared" si="3"/>
        <v>38627888.467342153</v>
      </c>
      <c r="S29" s="333">
        <f t="shared" si="3"/>
        <v>38051968.759355053</v>
      </c>
    </row>
    <row r="30" spans="2:27" x14ac:dyDescent="0.2">
      <c r="M30" s="229"/>
    </row>
    <row r="31" spans="2:27" x14ac:dyDescent="0.2">
      <c r="B31" s="242" t="s">
        <v>222</v>
      </c>
      <c r="C31" s="280" t="s">
        <v>58</v>
      </c>
      <c r="D31" s="297">
        <f>SUM(H31:S31)</f>
        <v>0</v>
      </c>
      <c r="E31" s="298"/>
      <c r="F31" s="229"/>
      <c r="G31" s="229"/>
      <c r="H31" s="229"/>
      <c r="I31" s="230"/>
      <c r="J31" s="229"/>
      <c r="K31" s="229"/>
      <c r="L31" s="229"/>
      <c r="M31" s="228">
        <f>IF(ABS(SUMIFS('Forecast opex'!$O$9:$O$232,'Forecast opex'!$I$9:$I$232,M$11)-M29)&lt;0.001,0,1)</f>
        <v>0</v>
      </c>
      <c r="N31" s="228">
        <f>IF(ABS(SUMIFS('Forecast opex'!$O$9:$O$232,'Forecast opex'!$I$9:$I$232,N$11)-N29)&lt;0.001,0,1)</f>
        <v>0</v>
      </c>
      <c r="O31" s="228">
        <f>IF(ABS(SUMIFS('Forecast opex'!$O$9:$O$232,'Forecast opex'!$I$9:$I$232,O$11)-O29)&lt;0.001,0,1)</f>
        <v>0</v>
      </c>
      <c r="P31" s="228">
        <f>IF(ABS(SUMIFS('Forecast opex'!$O$9:$O$232,'Forecast opex'!$I$9:$I$232,P$11)-P29)&lt;0.001,0,1)</f>
        <v>0</v>
      </c>
      <c r="Q31" s="228">
        <f>IF(ABS(SUMIFS('Forecast opex'!$O$9:$O$232,'Forecast opex'!$I$9:$I$232,Q$11)-Q29)&lt;0.001,0,1)</f>
        <v>0</v>
      </c>
      <c r="R31" s="228">
        <f>IF(ABS(SUMIFS('Forecast opex'!$O$9:$O$232,'Forecast opex'!$I$9:$I$232,R$11)-R29)&lt;0.001,0,1)</f>
        <v>0</v>
      </c>
      <c r="S31" s="228">
        <f>IF(ABS(SUMIFS('Forecast opex'!$O$9:$O$232,'Forecast opex'!$I$9:$I$232,S$11)-S29)&lt;0.001,0,1)</f>
        <v>0</v>
      </c>
    </row>
    <row r="32" spans="2:27" x14ac:dyDescent="0.2">
      <c r="B32" s="229"/>
    </row>
    <row r="33" spans="2:27" s="331" customFormat="1" x14ac:dyDescent="0.2">
      <c r="B33" s="287" t="s">
        <v>249</v>
      </c>
      <c r="C33" s="329"/>
      <c r="D33" s="232"/>
      <c r="E33" s="232"/>
      <c r="F33" s="229"/>
      <c r="G33" s="229"/>
      <c r="H33" s="290"/>
      <c r="I33" s="229"/>
      <c r="J33" s="229"/>
      <c r="K33" s="229"/>
      <c r="L33" s="229"/>
      <c r="M33" s="229"/>
      <c r="N33" s="229"/>
      <c r="O33" s="229"/>
      <c r="P33" s="229"/>
      <c r="Q33" s="229"/>
      <c r="R33" s="229"/>
      <c r="S33" s="229"/>
      <c r="T33" s="229"/>
      <c r="U33" s="229"/>
      <c r="V33" s="229"/>
      <c r="W33" s="229"/>
      <c r="X33" s="229"/>
      <c r="Y33" s="330"/>
      <c r="Z33" s="330"/>
      <c r="AA33" s="330"/>
    </row>
    <row r="34" spans="2:27" s="331" customFormat="1" x14ac:dyDescent="0.2">
      <c r="B34" s="332"/>
      <c r="C34" s="329"/>
      <c r="D34" s="232"/>
      <c r="E34" s="232"/>
      <c r="F34" s="229"/>
      <c r="G34" s="229"/>
      <c r="H34" s="229"/>
      <c r="I34" s="229"/>
      <c r="J34" s="229"/>
      <c r="K34" s="229"/>
      <c r="L34" s="229"/>
      <c r="M34" s="229"/>
      <c r="N34" s="229"/>
      <c r="O34" s="229"/>
      <c r="P34" s="229"/>
      <c r="Q34" s="229"/>
      <c r="R34" s="229"/>
      <c r="S34" s="229"/>
      <c r="T34" s="229"/>
      <c r="U34" s="229"/>
      <c r="V34" s="229"/>
      <c r="W34" s="229"/>
      <c r="X34" s="229"/>
      <c r="Y34" s="330"/>
      <c r="Z34" s="330"/>
      <c r="AA34" s="330"/>
    </row>
    <row r="35" spans="2:27" x14ac:dyDescent="0.2">
      <c r="B35" s="232" t="s">
        <v>241</v>
      </c>
      <c r="C35" s="286" t="s">
        <v>250</v>
      </c>
      <c r="I35" s="232"/>
      <c r="M35" s="238">
        <f>SUMIFS('Forecast opex'!$R$9:$R$232,'Forecast opex'!$C$9:$C$232,$B35,'Forecast opex'!$I$9:$I$232,M$11)</f>
        <v>3950943.5</v>
      </c>
      <c r="N35" s="238">
        <f>SUMIFS('Forecast opex'!$R$9:$R$232,'Forecast opex'!$C$9:$C$232,$B35,'Forecast opex'!$I$9:$I$232,N$11)</f>
        <v>4746544.415740639</v>
      </c>
      <c r="O35" s="238">
        <f>SUMIFS('Forecast opex'!$R$9:$R$232,'Forecast opex'!$C$9:$C$232,$B35,'Forecast opex'!$I$9:$I$232,O$11)</f>
        <v>4756573.9635536158</v>
      </c>
      <c r="P35" s="238">
        <f>SUMIFS('Forecast opex'!$R$9:$R$232,'Forecast opex'!$C$9:$C$232,$B35,'Forecast opex'!$I$9:$I$232,P$11)</f>
        <v>4784987.0139170717</v>
      </c>
      <c r="Q35" s="238">
        <f>SUMIFS('Forecast opex'!$R$9:$R$232,'Forecast opex'!$C$9:$C$232,$B35,'Forecast opex'!$I$9:$I$232,Q$11)</f>
        <v>4781591.7791276155</v>
      </c>
      <c r="R35" s="238">
        <f>SUMIFS('Forecast opex'!$R$9:$R$232,'Forecast opex'!$C$9:$C$232,$B35,'Forecast opex'!$I$9:$I$232,R$11)</f>
        <v>4801654.4301383216</v>
      </c>
      <c r="S35" s="238">
        <f>SUMIFS('Forecast opex'!$R$9:$R$232,'Forecast opex'!$C$9:$C$232,$B35,'Forecast opex'!$I$9:$I$232,S$11)</f>
        <v>4787062.3837759988</v>
      </c>
      <c r="T35" s="229"/>
    </row>
    <row r="36" spans="2:27" x14ac:dyDescent="0.2">
      <c r="B36" s="232" t="s">
        <v>243</v>
      </c>
      <c r="C36" s="286" t="s">
        <v>250</v>
      </c>
      <c r="I36" s="232"/>
      <c r="M36" s="238">
        <f>SUMIFS('Forecast opex'!$R$9:$R$232,'Forecast opex'!$C$9:$C$232,$B36,'Forecast opex'!$I$9:$I$232,M$11)</f>
        <v>5579509.060934145</v>
      </c>
      <c r="N36" s="238">
        <f>SUMIFS('Forecast opex'!$R$9:$R$232,'Forecast opex'!$C$9:$C$232,$B36,'Forecast opex'!$I$9:$I$232,N$11)</f>
        <v>4074967.7328326218</v>
      </c>
      <c r="O36" s="238">
        <f>SUMIFS('Forecast opex'!$R$9:$R$232,'Forecast opex'!$C$9:$C$232,$B36,'Forecast opex'!$I$9:$I$232,O$11)</f>
        <v>4209890.2928499542</v>
      </c>
      <c r="P36" s="238">
        <f>SUMIFS('Forecast opex'!$R$9:$R$232,'Forecast opex'!$C$9:$C$232,$B36,'Forecast opex'!$I$9:$I$232,P$11)</f>
        <v>3962358.4991510026</v>
      </c>
      <c r="Q36" s="238">
        <f>SUMIFS('Forecast opex'!$R$9:$R$232,'Forecast opex'!$C$9:$C$232,$B36,'Forecast opex'!$I$9:$I$232,Q$11)</f>
        <v>2952901.0354271326</v>
      </c>
      <c r="R36" s="238">
        <f>SUMIFS('Forecast opex'!$R$9:$R$232,'Forecast opex'!$C$9:$C$232,$B36,'Forecast opex'!$I$9:$I$232,R$11)</f>
        <v>2951949.1581603275</v>
      </c>
      <c r="S36" s="238">
        <f>SUMIFS('Forecast opex'!$R$9:$R$232,'Forecast opex'!$C$9:$C$232,$B36,'Forecast opex'!$I$9:$I$232,S$11)</f>
        <v>2930863.1073921518</v>
      </c>
      <c r="T36" s="229"/>
    </row>
    <row r="37" spans="2:27" x14ac:dyDescent="0.2">
      <c r="B37" s="232" t="s">
        <v>244</v>
      </c>
      <c r="C37" s="286" t="s">
        <v>250</v>
      </c>
      <c r="I37" s="232"/>
      <c r="M37" s="238">
        <f>SUMIFS('Forecast opex'!$R$9:$R$232,'Forecast opex'!$C$9:$C$232,$B37,'Forecast opex'!$I$9:$I$232,M$11)</f>
        <v>7575601</v>
      </c>
      <c r="N37" s="238">
        <f>SUMIFS('Forecast opex'!$R$9:$R$232,'Forecast opex'!$C$9:$C$232,$B37,'Forecast opex'!$I$9:$I$232,N$11)</f>
        <v>8952539.9195158817</v>
      </c>
      <c r="O37" s="238">
        <f>SUMIFS('Forecast opex'!$R$9:$R$232,'Forecast opex'!$C$9:$C$232,$B37,'Forecast opex'!$I$9:$I$232,O$11)</f>
        <v>10441311.745797276</v>
      </c>
      <c r="P37" s="238">
        <f>SUMIFS('Forecast opex'!$R$9:$R$232,'Forecast opex'!$C$9:$C$232,$B37,'Forecast opex'!$I$9:$I$232,P$11)</f>
        <v>10015112.805274285</v>
      </c>
      <c r="Q37" s="238">
        <f>SUMIFS('Forecast opex'!$R$9:$R$232,'Forecast opex'!$C$9:$C$232,$B37,'Forecast opex'!$I$9:$I$232,Q$11)</f>
        <v>10268846.21193628</v>
      </c>
      <c r="R37" s="238">
        <f>SUMIFS('Forecast opex'!$R$9:$R$232,'Forecast opex'!$C$9:$C$232,$B37,'Forecast opex'!$I$9:$I$232,R$11)</f>
        <v>9424517.0285123158</v>
      </c>
      <c r="S37" s="238">
        <f>SUMIFS('Forecast opex'!$R$9:$R$232,'Forecast opex'!$C$9:$C$232,$B37,'Forecast opex'!$I$9:$I$232,S$11)</f>
        <v>9584903.4719508532</v>
      </c>
      <c r="T37" s="229"/>
    </row>
    <row r="38" spans="2:27" x14ac:dyDescent="0.2">
      <c r="B38" s="232" t="s">
        <v>100</v>
      </c>
      <c r="C38" s="286" t="s">
        <v>250</v>
      </c>
      <c r="I38" s="232"/>
      <c r="M38" s="238">
        <f>SUMIFS('Forecast opex'!$R$9:$R$232,'Forecast opex'!$C$9:$C$232,$B38,'Forecast opex'!$I$9:$I$232,M$11)</f>
        <v>0</v>
      </c>
      <c r="N38" s="238">
        <f>SUMIFS('Forecast opex'!$R$9:$R$232,'Forecast opex'!$C$9:$C$232,$B38,'Forecast opex'!$I$9:$I$232,N$11)</f>
        <v>0</v>
      </c>
      <c r="O38" s="238">
        <f>SUMIFS('Forecast opex'!$R$9:$R$232,'Forecast opex'!$C$9:$C$232,$B38,'Forecast opex'!$I$9:$I$232,O$11)</f>
        <v>0</v>
      </c>
      <c r="P38" s="238">
        <f>SUMIFS('Forecast opex'!$R$9:$R$232,'Forecast opex'!$C$9:$C$232,$B38,'Forecast opex'!$I$9:$I$232,P$11)</f>
        <v>0</v>
      </c>
      <c r="Q38" s="238">
        <f>SUMIFS('Forecast opex'!$R$9:$R$232,'Forecast opex'!$C$9:$C$232,$B38,'Forecast opex'!$I$9:$I$232,Q$11)</f>
        <v>0</v>
      </c>
      <c r="R38" s="238">
        <f>SUMIFS('Forecast opex'!$R$9:$R$232,'Forecast opex'!$C$9:$C$232,$B38,'Forecast opex'!$I$9:$I$232,R$11)</f>
        <v>0</v>
      </c>
      <c r="S38" s="238">
        <f>SUMIFS('Forecast opex'!$R$9:$R$232,'Forecast opex'!$C$9:$C$232,$B38,'Forecast opex'!$I$9:$I$232,S$11)</f>
        <v>0</v>
      </c>
    </row>
    <row r="39" spans="2:27" x14ac:dyDescent="0.2">
      <c r="B39" s="243" t="s">
        <v>245</v>
      </c>
      <c r="C39" s="292" t="s">
        <v>250</v>
      </c>
      <c r="D39" s="243"/>
      <c r="E39" s="243"/>
      <c r="F39" s="243"/>
      <c r="G39" s="243"/>
      <c r="H39" s="243"/>
      <c r="I39" s="243"/>
      <c r="J39" s="243"/>
      <c r="K39" s="243"/>
      <c r="L39" s="243"/>
      <c r="M39" s="235">
        <f t="shared" ref="M39:S39" si="4">SUM(M35:M38)</f>
        <v>17106053.560934145</v>
      </c>
      <c r="N39" s="333">
        <f t="shared" si="4"/>
        <v>17774052.068089142</v>
      </c>
      <c r="O39" s="333">
        <f t="shared" si="4"/>
        <v>19407776.002200846</v>
      </c>
      <c r="P39" s="333">
        <f t="shared" si="4"/>
        <v>18762458.318342358</v>
      </c>
      <c r="Q39" s="235">
        <f t="shared" si="4"/>
        <v>18003339.026491027</v>
      </c>
      <c r="R39" s="333">
        <f t="shared" si="4"/>
        <v>17178120.616810963</v>
      </c>
      <c r="S39" s="333">
        <f t="shared" si="4"/>
        <v>17302828.963119004</v>
      </c>
      <c r="T39" s="229"/>
    </row>
    <row r="40" spans="2:27" x14ac:dyDescent="0.2">
      <c r="C40" s="286"/>
      <c r="I40" s="232"/>
      <c r="M40" s="229"/>
    </row>
    <row r="41" spans="2:27" x14ac:dyDescent="0.2">
      <c r="B41" s="232" t="s">
        <v>246</v>
      </c>
      <c r="C41" s="286" t="s">
        <v>250</v>
      </c>
      <c r="I41" s="232"/>
      <c r="M41" s="238">
        <f>SUMIFS('Forecast opex'!$R$9:$R$232,'Forecast opex'!$C$9:$C$232,$B41,'Forecast opex'!$I$9:$I$232,M$11)</f>
        <v>15037203.627220649</v>
      </c>
      <c r="N41" s="238">
        <f>SUMIFS('Forecast opex'!$R$9:$R$232,'Forecast opex'!$C$9:$C$232,$B41,'Forecast opex'!$I$9:$I$232,N$11)</f>
        <v>15972139.048512053</v>
      </c>
      <c r="O41" s="238">
        <f>SUMIFS('Forecast opex'!$R$9:$R$232,'Forecast opex'!$C$9:$C$232,$B41,'Forecast opex'!$I$9:$I$232,O$11)</f>
        <v>11430567.257698415</v>
      </c>
      <c r="P41" s="238">
        <f>SUMIFS('Forecast opex'!$R$9:$R$232,'Forecast opex'!$C$9:$C$232,$B41,'Forecast opex'!$I$9:$I$232,P$11)</f>
        <v>13132992.437478419</v>
      </c>
      <c r="Q41" s="238">
        <f>SUMIFS('Forecast opex'!$R$9:$R$232,'Forecast opex'!$C$9:$C$232,$B41,'Forecast opex'!$I$9:$I$232,Q$11)</f>
        <v>11958143.888746528</v>
      </c>
      <c r="R41" s="238">
        <f>SUMIFS('Forecast opex'!$R$9:$R$232,'Forecast opex'!$C$9:$C$232,$B41,'Forecast opex'!$I$9:$I$232,R$11)</f>
        <v>11797958.922470275</v>
      </c>
      <c r="S41" s="238">
        <f>SUMIFS('Forecast opex'!$R$9:$R$232,'Forecast opex'!$C$9:$C$232,$B41,'Forecast opex'!$I$9:$I$232,S$11)</f>
        <v>11606690.420728896</v>
      </c>
    </row>
    <row r="42" spans="2:27" x14ac:dyDescent="0.2">
      <c r="B42" s="232" t="s">
        <v>68</v>
      </c>
      <c r="C42" s="286" t="s">
        <v>250</v>
      </c>
      <c r="I42" s="232"/>
      <c r="M42" s="238">
        <f>SUMIFS('Forecast opex'!$R$9:$R$232,'Forecast opex'!$C$9:$C$232,$B42,'Forecast opex'!$I$9:$I$232,M$11)</f>
        <v>15095413.912937853</v>
      </c>
      <c r="N42" s="238">
        <f>SUMIFS('Forecast opex'!$R$9:$R$232,'Forecast opex'!$C$9:$C$232,$B42,'Forecast opex'!$I$9:$I$232,N$11)</f>
        <v>14799267.432969997</v>
      </c>
      <c r="O42" s="238">
        <f>SUMIFS('Forecast opex'!$R$9:$R$232,'Forecast opex'!$C$9:$C$232,$B42,'Forecast opex'!$I$9:$I$232,O$11)</f>
        <v>12193081.971134793</v>
      </c>
      <c r="P42" s="238">
        <f>SUMIFS('Forecast opex'!$R$9:$R$232,'Forecast opex'!$C$9:$C$232,$B42,'Forecast opex'!$I$9:$I$232,P$11)</f>
        <v>13387160.684956057</v>
      </c>
      <c r="Q42" s="238">
        <f>SUMIFS('Forecast opex'!$R$9:$R$232,'Forecast opex'!$C$9:$C$232,$B42,'Forecast opex'!$I$9:$I$232,Q$11)</f>
        <v>12909493.327657375</v>
      </c>
      <c r="R42" s="238">
        <f>SUMIFS('Forecast opex'!$R$9:$R$232,'Forecast opex'!$C$9:$C$232,$B42,'Forecast opex'!$I$9:$I$232,R$11)</f>
        <v>12812838.428646034</v>
      </c>
      <c r="S42" s="238">
        <f>SUMIFS('Forecast opex'!$R$9:$R$232,'Forecast opex'!$C$9:$C$232,$B42,'Forecast opex'!$I$9:$I$232,S$11)</f>
        <v>13043085.299960708</v>
      </c>
    </row>
    <row r="43" spans="2:27" x14ac:dyDescent="0.2">
      <c r="B43" s="243" t="s">
        <v>247</v>
      </c>
      <c r="C43" s="292" t="s">
        <v>250</v>
      </c>
      <c r="D43" s="243"/>
      <c r="E43" s="243"/>
      <c r="F43" s="243"/>
      <c r="G43" s="243"/>
      <c r="H43" s="243"/>
      <c r="I43" s="243"/>
      <c r="J43" s="243"/>
      <c r="K43" s="243"/>
      <c r="L43" s="243"/>
      <c r="M43" s="333">
        <f t="shared" ref="M43:S43" si="5">SUM(M41:M42)</f>
        <v>30132617.540158503</v>
      </c>
      <c r="N43" s="333">
        <f t="shared" si="5"/>
        <v>30771406.481482051</v>
      </c>
      <c r="O43" s="333">
        <f t="shared" si="5"/>
        <v>23623649.228833206</v>
      </c>
      <c r="P43" s="333">
        <f t="shared" si="5"/>
        <v>26520153.122434475</v>
      </c>
      <c r="Q43" s="235">
        <f t="shared" si="5"/>
        <v>24867637.216403902</v>
      </c>
      <c r="R43" s="333">
        <f t="shared" si="5"/>
        <v>24610797.351116307</v>
      </c>
      <c r="S43" s="333">
        <f t="shared" si="5"/>
        <v>24649775.720689602</v>
      </c>
    </row>
    <row r="44" spans="2:27" x14ac:dyDescent="0.2">
      <c r="C44" s="286"/>
      <c r="I44" s="232"/>
    </row>
    <row r="45" spans="2:27" x14ac:dyDescent="0.2">
      <c r="B45" s="243" t="s">
        <v>248</v>
      </c>
      <c r="C45" s="292" t="s">
        <v>250</v>
      </c>
      <c r="D45" s="243"/>
      <c r="E45" s="243"/>
      <c r="F45" s="243"/>
      <c r="G45" s="243"/>
      <c r="H45" s="243"/>
      <c r="I45" s="243"/>
      <c r="J45" s="243"/>
      <c r="K45" s="243"/>
      <c r="L45" s="243"/>
      <c r="M45" s="333">
        <f t="shared" ref="M45:S45" si="6">M39+M43</f>
        <v>47238671.101092651</v>
      </c>
      <c r="N45" s="333">
        <f t="shared" si="6"/>
        <v>48545458.549571194</v>
      </c>
      <c r="O45" s="333">
        <f t="shared" si="6"/>
        <v>43031425.231034055</v>
      </c>
      <c r="P45" s="333">
        <f t="shared" si="6"/>
        <v>45282611.440776832</v>
      </c>
      <c r="Q45" s="333">
        <f t="shared" si="6"/>
        <v>42870976.242894933</v>
      </c>
      <c r="R45" s="333">
        <f t="shared" si="6"/>
        <v>41788917.96792727</v>
      </c>
      <c r="S45" s="333">
        <f t="shared" si="6"/>
        <v>41952604.68380861</v>
      </c>
    </row>
    <row r="47" spans="2:27" x14ac:dyDescent="0.2">
      <c r="B47" s="242" t="s">
        <v>224</v>
      </c>
      <c r="C47" s="280" t="s">
        <v>58</v>
      </c>
      <c r="D47" s="297">
        <f>SUM(H47:S47)</f>
        <v>0</v>
      </c>
      <c r="E47" s="298"/>
      <c r="F47" s="229"/>
      <c r="G47" s="229"/>
      <c r="H47" s="229"/>
      <c r="I47" s="230"/>
      <c r="J47" s="229"/>
      <c r="K47" s="229"/>
      <c r="L47" s="229"/>
      <c r="M47" s="228">
        <f>IF(ABS(SUMIFS('Forecast opex'!$R$9:$R$232,'Forecast opex'!$I$9:$I$232,M$11)-M45)&lt;0.001,0,1)</f>
        <v>0</v>
      </c>
      <c r="N47" s="228">
        <f>IF(ABS(SUMIFS('Forecast opex'!$R$9:$R$232,'Forecast opex'!$I$9:$I$232,N$11)-N45)&lt;0.001,0,1)</f>
        <v>0</v>
      </c>
      <c r="O47" s="228">
        <f>IF(ABS(SUMIFS('Forecast opex'!$R$9:$R$232,'Forecast opex'!$I$9:$I$232,O$11)-O45)&lt;0.001,0,1)</f>
        <v>0</v>
      </c>
      <c r="P47" s="228">
        <f>IF(ABS(SUMIFS('Forecast opex'!$R$9:$R$232,'Forecast opex'!$I$9:$I$232,P$11)-P45)&lt;0.001,0,1)</f>
        <v>0</v>
      </c>
      <c r="Q47" s="228">
        <f>IF(ABS(SUMIFS('Forecast opex'!$R$9:$R$232,'Forecast opex'!$I$9:$I$232,Q$11)-Q45)&lt;0.001,0,1)</f>
        <v>0</v>
      </c>
      <c r="R47" s="228">
        <f>IF(ABS(SUMIFS('Forecast opex'!$R$9:$R$232,'Forecast opex'!$I$9:$I$232,R$11)-R45)&lt;0.001,0,1)</f>
        <v>0</v>
      </c>
      <c r="S47" s="228">
        <f>IF(ABS(SUMIFS('Forecast opex'!$R$9:$R$232,'Forecast opex'!$I$9:$I$232,S$11)-S45)&lt;0.001,0,1)</f>
        <v>0</v>
      </c>
    </row>
    <row r="49" spans="1:27" s="229" customFormat="1" ht="12" customHeight="1" x14ac:dyDescent="0.2">
      <c r="A49" s="232"/>
      <c r="B49" s="283" t="s">
        <v>252</v>
      </c>
      <c r="C49" s="284" t="s">
        <v>51</v>
      </c>
      <c r="D49" s="285" t="s">
        <v>52</v>
      </c>
      <c r="E49" s="284" t="s">
        <v>53</v>
      </c>
      <c r="F49" s="242"/>
      <c r="G49" s="302"/>
      <c r="H49" s="302"/>
      <c r="I49" s="302"/>
      <c r="J49" s="302"/>
      <c r="K49" s="242"/>
      <c r="L49" s="242"/>
      <c r="M49" s="242"/>
      <c r="N49" s="242"/>
      <c r="O49" s="242"/>
      <c r="P49" s="242"/>
      <c r="Q49" s="242"/>
      <c r="R49" s="242"/>
      <c r="S49" s="242"/>
      <c r="T49" s="242"/>
    </row>
    <row r="50" spans="1:27" x14ac:dyDescent="0.2">
      <c r="K50" s="289"/>
      <c r="L50" s="289"/>
      <c r="M50" s="289"/>
      <c r="N50" s="289"/>
      <c r="O50" s="289"/>
      <c r="P50" s="289"/>
      <c r="Q50" s="289"/>
      <c r="R50" s="289"/>
      <c r="S50" s="289"/>
      <c r="T50" s="242"/>
    </row>
    <row r="51" spans="1:27" s="331" customFormat="1" x14ac:dyDescent="0.2">
      <c r="B51" s="287" t="s">
        <v>240</v>
      </c>
      <c r="C51" s="329"/>
      <c r="D51" s="232"/>
      <c r="E51" s="232"/>
      <c r="F51" s="229"/>
      <c r="G51" s="229"/>
      <c r="H51" s="290"/>
      <c r="I51" s="229"/>
      <c r="J51" s="229"/>
      <c r="K51" s="229"/>
      <c r="L51" s="229"/>
      <c r="M51" s="229"/>
      <c r="N51" s="229"/>
      <c r="O51" s="229"/>
      <c r="P51" s="229"/>
      <c r="Q51" s="229"/>
      <c r="R51" s="229"/>
      <c r="S51" s="229"/>
      <c r="T51" s="229"/>
      <c r="U51" s="229"/>
      <c r="V51" s="229"/>
      <c r="W51" s="229"/>
      <c r="X51" s="229"/>
      <c r="Y51" s="330"/>
      <c r="Z51" s="330"/>
      <c r="AA51" s="330"/>
    </row>
    <row r="52" spans="1:27" s="331" customFormat="1" x14ac:dyDescent="0.2">
      <c r="B52" s="287"/>
      <c r="C52" s="329"/>
      <c r="D52" s="232"/>
      <c r="E52" s="232"/>
      <c r="F52" s="229"/>
      <c r="G52" s="229"/>
      <c r="H52" s="290"/>
      <c r="I52" s="229"/>
      <c r="J52" s="229"/>
      <c r="K52" s="229"/>
      <c r="L52" s="229"/>
      <c r="M52" s="229"/>
      <c r="N52" s="229"/>
      <c r="O52" s="229"/>
      <c r="P52" s="229"/>
      <c r="Q52" s="229"/>
      <c r="R52" s="229"/>
      <c r="S52" s="229"/>
      <c r="T52" s="229"/>
      <c r="U52" s="229"/>
      <c r="V52" s="229"/>
      <c r="W52" s="229"/>
      <c r="X52" s="229"/>
      <c r="Y52" s="330"/>
      <c r="Z52" s="330"/>
      <c r="AA52" s="330"/>
    </row>
    <row r="53" spans="1:27" s="331" customFormat="1" x14ac:dyDescent="0.2">
      <c r="B53" s="334" t="s">
        <v>241</v>
      </c>
      <c r="C53" s="329"/>
      <c r="D53" s="232"/>
      <c r="E53" s="232"/>
      <c r="F53" s="229"/>
      <c r="G53" s="229"/>
      <c r="H53" s="290"/>
      <c r="I53" s="229"/>
      <c r="J53" s="229"/>
      <c r="K53" s="229"/>
      <c r="L53" s="229"/>
      <c r="M53" s="229"/>
      <c r="N53" s="229"/>
      <c r="O53" s="229"/>
      <c r="P53" s="229"/>
      <c r="Q53" s="229"/>
      <c r="R53" s="229"/>
      <c r="S53" s="229"/>
      <c r="T53" s="229"/>
      <c r="U53" s="229"/>
      <c r="V53" s="229"/>
      <c r="W53" s="229"/>
      <c r="X53" s="229"/>
      <c r="Y53" s="330"/>
      <c r="Z53" s="330"/>
      <c r="AA53" s="330"/>
    </row>
    <row r="54" spans="1:27" s="331" customFormat="1" x14ac:dyDescent="0.2">
      <c r="B54" s="267" t="s">
        <v>414</v>
      </c>
      <c r="C54" s="263" t="s">
        <v>242</v>
      </c>
      <c r="D54" s="232"/>
      <c r="E54" s="232"/>
      <c r="F54" s="229"/>
      <c r="G54" s="229"/>
      <c r="H54" s="229"/>
      <c r="I54" s="229"/>
      <c r="J54" s="229"/>
      <c r="K54" s="229"/>
      <c r="L54" s="229"/>
      <c r="M54" s="238">
        <f>SUMIFS('Forecast opex'!$O$9:$O$232,'Forecast opex'!$D$9:$D$232,$B54,'Forecast opex'!$I$9:$I$232,M$11)</f>
        <v>3950943.5</v>
      </c>
      <c r="N54" s="238">
        <f>SUMIFS('Forecast opex'!$O$9:$O$232,'Forecast opex'!$D$9:$D$232,$B54,'Forecast opex'!$I$9:$I$232,N$11)</f>
        <v>4682517.7037692918</v>
      </c>
      <c r="O54" s="238">
        <f>SUMIFS('Forecast opex'!$O$9:$O$232,'Forecast opex'!$D$9:$D$232,$B54,'Forecast opex'!$I$9:$I$232,O$11)</f>
        <v>4627620.3848450473</v>
      </c>
      <c r="P54" s="238">
        <f>SUMIFS('Forecast opex'!$O$9:$O$232,'Forecast opex'!$D$9:$D$232,$B54,'Forecast opex'!$I$9:$I$232,P$11)</f>
        <v>4585728.445365984</v>
      </c>
      <c r="Q54" s="238">
        <f>SUMIFS('Forecast opex'!$O$9:$O$232,'Forecast opex'!$D$9:$D$232,$B54,'Forecast opex'!$I$9:$I$232,Q$11)</f>
        <v>4506011.9413954243</v>
      </c>
      <c r="R54" s="238">
        <f>SUMIFS('Forecast opex'!$O$9:$O$232,'Forecast opex'!$D$9:$D$232,$B54,'Forecast opex'!$I$9:$I$232,R$11)</f>
        <v>4440120.6203921102</v>
      </c>
      <c r="S54" s="238">
        <f>SUMIFS('Forecast opex'!$O$9:$O$232,'Forecast opex'!$D$9:$D$232,$B54,'Forecast opex'!$I$9:$I$232,S$11)</f>
        <v>4343662.6255583018</v>
      </c>
      <c r="T54" s="229"/>
      <c r="U54" s="229"/>
      <c r="V54" s="229"/>
      <c r="W54" s="229"/>
      <c r="X54" s="229"/>
      <c r="Y54" s="330"/>
      <c r="Z54" s="330"/>
      <c r="AA54" s="330"/>
    </row>
    <row r="56" spans="1:27" x14ac:dyDescent="0.2">
      <c r="B56" s="334" t="s">
        <v>243</v>
      </c>
    </row>
    <row r="57" spans="1:27" x14ac:dyDescent="0.2">
      <c r="B57" s="263" t="s">
        <v>415</v>
      </c>
      <c r="C57" s="263" t="s">
        <v>242</v>
      </c>
      <c r="M57" s="238">
        <f>SUMIFS('Forecast opex'!$O$9:$O$232,'Forecast opex'!$D$9:$D$232,$B57,'Forecast opex'!$I$9:$I$232,M$11)</f>
        <v>5579509.060934145</v>
      </c>
      <c r="N57" s="238">
        <f>SUMIFS('Forecast opex'!$O$9:$O$232,'Forecast opex'!$D$9:$D$232,$B57,'Forecast opex'!$I$9:$I$232,N$11)</f>
        <v>4020000</v>
      </c>
      <c r="O57" s="238">
        <f>SUMIFS('Forecast opex'!$O$9:$O$232,'Forecast opex'!$D$9:$D$232,$B57,'Forecast opex'!$I$9:$I$232,O$11)</f>
        <v>4095757.6369944601</v>
      </c>
      <c r="P57" s="238">
        <f>SUMIFS('Forecast opex'!$O$9:$O$232,'Forecast opex'!$D$9:$D$232,$B57,'Forecast opex'!$I$9:$I$232,P$11)</f>
        <v>3797356.1950003924</v>
      </c>
      <c r="Q57" s="238">
        <f>SUMIFS('Forecast opex'!$O$9:$O$232,'Forecast opex'!$D$9:$D$232,$B57,'Forecast opex'!$I$9:$I$232,Q$11)</f>
        <v>2782715.0334069654</v>
      </c>
      <c r="R57" s="238">
        <f>SUMIFS('Forecast opex'!$O$9:$O$232,'Forecast opex'!$D$9:$D$232,$B57,'Forecast opex'!$I$9:$I$232,R$11)</f>
        <v>2729686.3025436895</v>
      </c>
      <c r="S57" s="238">
        <f>SUMIFS('Forecast opex'!$O$9:$O$232,'Forecast opex'!$D$9:$D$232,$B57,'Forecast opex'!$I$9:$I$232,S$11)</f>
        <v>2659393.0723261419</v>
      </c>
      <c r="T57" s="229"/>
    </row>
    <row r="59" spans="1:27" x14ac:dyDescent="0.2">
      <c r="B59" s="291" t="s">
        <v>244</v>
      </c>
    </row>
    <row r="60" spans="1:27" x14ac:dyDescent="0.2">
      <c r="B60" s="263" t="s">
        <v>416</v>
      </c>
      <c r="C60" s="263" t="s">
        <v>242</v>
      </c>
      <c r="M60" s="238">
        <f>SUMIFS('Forecast opex'!$O$9:$O$232,'Forecast opex'!$D$9:$D$232,$B60,'Forecast opex'!$I$9:$I$232,M$11)</f>
        <v>4907013</v>
      </c>
      <c r="N60" s="238">
        <f>SUMIFS('Forecast opex'!$O$9:$O$232,'Forecast opex'!$D$9:$D$232,$B60,'Forecast opex'!$I$9:$I$232,N$11)</f>
        <v>5618563.455285687</v>
      </c>
      <c r="O60" s="238">
        <f>SUMIFS('Forecast opex'!$O$9:$O$232,'Forecast opex'!$D$9:$D$232,$B60,'Forecast opex'!$I$9:$I$232,O$11)</f>
        <v>6499775.5278537963</v>
      </c>
      <c r="P60" s="238">
        <f>SUMIFS('Forecast opex'!$O$9:$O$232,'Forecast opex'!$D$9:$D$232,$B60,'Forecast opex'!$I$9:$I$232,P$11)</f>
        <v>5998191.2647409001</v>
      </c>
      <c r="Q60" s="238">
        <f>SUMIFS('Forecast opex'!$O$9:$O$232,'Forecast opex'!$D$9:$D$232,$B60,'Forecast opex'!$I$9:$I$232,Q$11)</f>
        <v>6458956.9118335275</v>
      </c>
      <c r="R60" s="238">
        <f>SUMIFS('Forecast opex'!$O$9:$O$232,'Forecast opex'!$D$9:$D$232,$B60,'Forecast opex'!$I$9:$I$232,R$11)</f>
        <v>5604279.4989743168</v>
      </c>
      <c r="S60" s="238">
        <f>SUMIFS('Forecast opex'!$O$9:$O$232,'Forecast opex'!$D$9:$D$232,$B60,'Forecast opex'!$I$9:$I$232,S$11)</f>
        <v>5970250.0994486585</v>
      </c>
    </row>
    <row r="61" spans="1:27" x14ac:dyDescent="0.2">
      <c r="B61" s="263" t="s">
        <v>417</v>
      </c>
      <c r="C61" s="263" t="s">
        <v>242</v>
      </c>
      <c r="M61" s="238">
        <f>SUMIFS('Forecast opex'!$O$9:$O$232,'Forecast opex'!$D$9:$D$232,$B61,'Forecast opex'!$I$9:$I$232,M$11)</f>
        <v>2668588</v>
      </c>
      <c r="N61" s="238">
        <f>SUMIFS('Forecast opex'!$O$9:$O$232,'Forecast opex'!$D$9:$D$232,$B61,'Forecast opex'!$I$9:$I$232,N$11)</f>
        <v>3216595.284521793</v>
      </c>
      <c r="O61" s="238">
        <f>SUMIFS('Forecast opex'!$O$9:$O$232,'Forecast opex'!$D$9:$D$232,$B61,'Forecast opex'!$I$9:$I$232,O$11)</f>
        <v>3665050.520225286</v>
      </c>
      <c r="P61" s="238">
        <f>SUMIFS('Forecast opex'!$O$9:$O$232,'Forecast opex'!$D$9:$D$232,$B61,'Forecast opex'!$I$9:$I$232,P$11)</f>
        <v>3612740.7588338153</v>
      </c>
      <c r="Q61" s="238">
        <f>SUMIFS('Forecast opex'!$O$9:$O$232,'Forecast opex'!$D$9:$D$232,$B61,'Forecast opex'!$I$9:$I$232,Q$11)</f>
        <v>3231570.4227844649</v>
      </c>
      <c r="R61" s="238">
        <f>SUMIFS('Forecast opex'!$O$9:$O$232,'Forecast opex'!$D$9:$D$232,$B61,'Forecast opex'!$I$9:$I$232,R$11)</f>
        <v>3125527.4239516584</v>
      </c>
      <c r="S61" s="238">
        <f>SUMIFS('Forecast opex'!$O$9:$O$232,'Forecast opex'!$D$9:$D$232,$B61,'Forecast opex'!$I$9:$I$232,S$11)</f>
        <v>2744441.6095293378</v>
      </c>
    </row>
    <row r="63" spans="1:27" x14ac:dyDescent="0.2">
      <c r="B63" s="291" t="s">
        <v>68</v>
      </c>
    </row>
    <row r="64" spans="1:27" x14ac:dyDescent="0.2">
      <c r="B64" s="263" t="s">
        <v>418</v>
      </c>
      <c r="C64" s="263" t="s">
        <v>242</v>
      </c>
      <c r="M64" s="238">
        <f>SUMIFS('Forecast opex'!$O$9:$O$232,'Forecast opex'!$D$9:$D$232,$B64,'Forecast opex'!$I$9:$I$232,M$11)</f>
        <v>9761357.209558893</v>
      </c>
      <c r="N64" s="238">
        <f>SUMIFS('Forecast opex'!$O$9:$O$232,'Forecast opex'!$D$9:$D$232,$B64,'Forecast opex'!$I$9:$I$232,N$11)</f>
        <v>8445817.8135142121</v>
      </c>
      <c r="O64" s="238">
        <f>SUMIFS('Forecast opex'!$O$9:$O$232,'Forecast opex'!$D$9:$D$232,$B64,'Forecast opex'!$I$9:$I$232,O$11)</f>
        <v>5292911.6937096892</v>
      </c>
      <c r="P64" s="238">
        <f>SUMIFS('Forecast opex'!$O$9:$O$232,'Forecast opex'!$D$9:$D$232,$B64,'Forecast opex'!$I$9:$I$232,P$11)</f>
        <v>6307078.3603763562</v>
      </c>
      <c r="Q64" s="238">
        <f>SUMIFS('Forecast opex'!$O$9:$O$232,'Forecast opex'!$D$9:$D$232,$B64,'Forecast opex'!$I$9:$I$232,Q$11)</f>
        <v>5464809.3667574041</v>
      </c>
      <c r="R64" s="238">
        <f>SUMIFS('Forecast opex'!$O$9:$O$232,'Forecast opex'!$D$9:$D$232,$B64,'Forecast opex'!$I$9:$I$232,R$11)</f>
        <v>5035040.3731384519</v>
      </c>
      <c r="S64" s="238">
        <f>SUMIFS('Forecast opex'!$O$9:$O$232,'Forecast opex'!$D$9:$D$232,$B64,'Forecast opex'!$I$9:$I$232,S$11)</f>
        <v>5035040.3731384519</v>
      </c>
    </row>
    <row r="65" spans="2:27" x14ac:dyDescent="0.2">
      <c r="B65" s="263" t="s">
        <v>419</v>
      </c>
      <c r="C65" s="263" t="s">
        <v>242</v>
      </c>
      <c r="M65" s="238">
        <f>SUMIFS('Forecast opex'!$O$9:$O$232,'Forecast opex'!$D$9:$D$232,$B65,'Forecast opex'!$I$9:$I$232,M$11)</f>
        <v>2349158.7000000002</v>
      </c>
      <c r="N65" s="238">
        <f>SUMIFS('Forecast opex'!$O$9:$O$232,'Forecast opex'!$D$9:$D$232,$B65,'Forecast opex'!$I$9:$I$232,N$11)</f>
        <v>3064658.7</v>
      </c>
      <c r="O65" s="238">
        <f>SUMIFS('Forecast opex'!$O$9:$O$232,'Forecast opex'!$D$9:$D$232,$B65,'Forecast opex'!$I$9:$I$232,O$11)</f>
        <v>3465313.8200000003</v>
      </c>
      <c r="P65" s="238">
        <f>SUMIFS('Forecast opex'!$O$9:$O$232,'Forecast opex'!$D$9:$D$232,$B65,'Forecast opex'!$I$9:$I$232,P$11)</f>
        <v>3304496.3000000003</v>
      </c>
      <c r="Q65" s="238">
        <f>SUMIFS('Forecast opex'!$O$9:$O$232,'Forecast opex'!$D$9:$D$232,$B65,'Forecast opex'!$I$9:$I$232,Q$11)</f>
        <v>3477496.3000000003</v>
      </c>
      <c r="R65" s="238">
        <f>SUMIFS('Forecast opex'!$O$9:$O$232,'Forecast opex'!$D$9:$D$232,$B65,'Forecast opex'!$I$9:$I$232,R$11)</f>
        <v>3418183.47</v>
      </c>
      <c r="S65" s="238">
        <f>SUMIFS('Forecast opex'!$O$9:$O$232,'Forecast opex'!$D$9:$D$232,$B65,'Forecast opex'!$I$9:$I$232,S$11)</f>
        <v>3366683.47</v>
      </c>
    </row>
    <row r="66" spans="2:27" x14ac:dyDescent="0.2">
      <c r="B66" s="263" t="s">
        <v>420</v>
      </c>
      <c r="C66" s="263" t="s">
        <v>242</v>
      </c>
      <c r="M66" s="238">
        <f>SUMIFS('Forecast opex'!$O$9:$O$232,'Forecast opex'!$D$9:$D$232,$B66,'Forecast opex'!$I$9:$I$232,M$11)</f>
        <v>148009.06763347588</v>
      </c>
      <c r="N66" s="238">
        <f>SUMIFS('Forecast opex'!$O$9:$O$232,'Forecast opex'!$D$9:$D$232,$B66,'Forecast opex'!$I$9:$I$232,N$11)</f>
        <v>240757.89296684857</v>
      </c>
      <c r="O66" s="238">
        <f>SUMIFS('Forecast opex'!$O$9:$O$232,'Forecast opex'!$D$9:$D$232,$B66,'Forecast opex'!$I$9:$I$232,O$11)</f>
        <v>282888.79251821234</v>
      </c>
      <c r="P66" s="238">
        <f>SUMIFS('Forecast opex'!$O$9:$O$232,'Forecast opex'!$D$9:$D$232,$B66,'Forecast opex'!$I$9:$I$232,P$11)</f>
        <v>299347.19838141138</v>
      </c>
      <c r="Q66" s="238">
        <f>SUMIFS('Forecast opex'!$O$9:$O$232,'Forecast opex'!$D$9:$D$232,$B66,'Forecast opex'!$I$9:$I$232,Q$11)</f>
        <v>300926.63820791198</v>
      </c>
      <c r="R66" s="238">
        <f>SUMIFS('Forecast opex'!$O$9:$O$232,'Forecast opex'!$D$9:$D$232,$B66,'Forecast opex'!$I$9:$I$232,R$11)</f>
        <v>507117.47283977823</v>
      </c>
      <c r="S66" s="238">
        <f>SUMIFS('Forecast opex'!$O$9:$O$232,'Forecast opex'!$D$9:$D$232,$B66,'Forecast opex'!$I$9:$I$232,S$11)</f>
        <v>524952.18469858076</v>
      </c>
    </row>
    <row r="67" spans="2:27" x14ac:dyDescent="0.2">
      <c r="B67" s="263" t="s">
        <v>421</v>
      </c>
      <c r="C67" s="263" t="s">
        <v>242</v>
      </c>
      <c r="M67" s="238">
        <f>SUMIFS('Forecast opex'!$O$9:$O$232,'Forecast opex'!$D$9:$D$232,$B67,'Forecast opex'!$I$9:$I$232,M$11)</f>
        <v>2836888.9357454856</v>
      </c>
      <c r="N67" s="238">
        <f>SUMIFS('Forecast opex'!$O$9:$O$232,'Forecast opex'!$D$9:$D$232,$B67,'Forecast opex'!$I$9:$I$232,N$11)</f>
        <v>2847867.9978730772</v>
      </c>
      <c r="O67" s="238">
        <f>SUMIFS('Forecast opex'!$O$9:$O$232,'Forecast opex'!$D$9:$D$232,$B67,'Forecast opex'!$I$9:$I$232,O$11)</f>
        <v>2824147.7979987813</v>
      </c>
      <c r="P67" s="238">
        <f>SUMIFS('Forecast opex'!$O$9:$O$232,'Forecast opex'!$D$9:$D$232,$B67,'Forecast opex'!$I$9:$I$232,P$11)</f>
        <v>2923231.5119063752</v>
      </c>
      <c r="Q67" s="238">
        <f>SUMIFS('Forecast opex'!$O$9:$O$232,'Forecast opex'!$D$9:$D$232,$B67,'Forecast opex'!$I$9:$I$232,Q$11)</f>
        <v>2928827.5974573088</v>
      </c>
      <c r="R67" s="238">
        <f>SUMIFS('Forecast opex'!$O$9:$O$232,'Forecast opex'!$D$9:$D$232,$B67,'Forecast opex'!$I$9:$I$232,R$11)</f>
        <v>2899615.3412175919</v>
      </c>
      <c r="S67" s="238">
        <f>SUMIFS('Forecast opex'!$O$9:$O$232,'Forecast opex'!$D$9:$D$232,$B67,'Forecast opex'!$I$9:$I$232,S$11)</f>
        <v>2923096.3336242321</v>
      </c>
    </row>
    <row r="68" spans="2:27" x14ac:dyDescent="0.2">
      <c r="B68" s="263"/>
      <c r="C68" s="263"/>
    </row>
    <row r="69" spans="2:27" x14ac:dyDescent="0.2">
      <c r="B69" s="291" t="s">
        <v>246</v>
      </c>
      <c r="C69" s="263"/>
    </row>
    <row r="70" spans="2:27" x14ac:dyDescent="0.2">
      <c r="B70" s="263" t="s">
        <v>422</v>
      </c>
      <c r="C70" s="263" t="s">
        <v>242</v>
      </c>
      <c r="M70" s="238">
        <f>SUMIFS('Forecast opex'!$O$9:$O$232,'Forecast opex'!$D$9:$D$232,$B70,'Forecast opex'!$I$9:$I$232,M$11)</f>
        <v>15037203.627220649</v>
      </c>
      <c r="N70" s="238">
        <f>SUMIFS('Forecast opex'!$O$9:$O$232,'Forecast opex'!$D$9:$D$232,$B70,'Forecast opex'!$I$9:$I$232,N$11)</f>
        <v>15742414.692267995</v>
      </c>
      <c r="O70" s="238">
        <f>SUMIFS('Forecast opex'!$O$9:$O$232,'Forecast opex'!$D$9:$D$232,$B70,'Forecast opex'!$I$9:$I$232,O$11)</f>
        <v>10837885.158531237</v>
      </c>
      <c r="P70" s="238">
        <f>SUMIFS('Forecast opex'!$O$9:$O$232,'Forecast opex'!$D$9:$D$232,$B70,'Forecast opex'!$I$9:$I$232,P$11)</f>
        <v>11951518.671515867</v>
      </c>
      <c r="Q70" s="238">
        <f>SUMIFS('Forecast opex'!$O$9:$O$232,'Forecast opex'!$D$9:$D$232,$B70,'Forecast opex'!$I$9:$I$232,Q$11)</f>
        <v>10651434.570748076</v>
      </c>
      <c r="R70" s="238">
        <f>SUMIFS('Forecast opex'!$O$9:$O$232,'Forecast opex'!$D$9:$D$232,$B70,'Forecast opex'!$I$9:$I$232,R$11)</f>
        <v>10169318.103257351</v>
      </c>
      <c r="S70" s="238">
        <f>SUMIFS('Forecast opex'!$O$9:$O$232,'Forecast opex'!$D$9:$D$232,$B70,'Forecast opex'!$I$9:$I$232,S$11)</f>
        <v>9622028.9805252943</v>
      </c>
    </row>
    <row r="71" spans="2:27" x14ac:dyDescent="0.2">
      <c r="B71" s="231" t="s">
        <v>423</v>
      </c>
      <c r="C71" s="263" t="s">
        <v>242</v>
      </c>
      <c r="M71" s="238">
        <f>SUMIFS('Forecast opex'!$O$9:$O$232,'Forecast opex'!$D$9:$D$232,$B71,'Forecast opex'!$I$9:$I$232,M$11)</f>
        <v>0</v>
      </c>
      <c r="N71" s="238">
        <f>SUMIFS('Forecast opex'!$O$9:$O$232,'Forecast opex'!$D$9:$D$232,$B71,'Forecast opex'!$I$9:$I$232,N$11)</f>
        <v>0</v>
      </c>
      <c r="O71" s="238">
        <f>SUMIFS('Forecast opex'!$O$9:$O$232,'Forecast opex'!$D$9:$D$232,$B71,'Forecast opex'!$I$9:$I$232,O$11)</f>
        <v>264776.70153846155</v>
      </c>
      <c r="P71" s="238">
        <f>SUMIFS('Forecast opex'!$O$9:$O$232,'Forecast opex'!$D$9:$D$232,$B71,'Forecast opex'!$I$9:$I$232,P$11)</f>
        <v>593591.82637393987</v>
      </c>
      <c r="Q71" s="238">
        <f>SUMIFS('Forecast opex'!$O$9:$O$232,'Forecast opex'!$D$9:$D$232,$B71,'Forecast opex'!$I$9:$I$232,Q$11)</f>
        <v>581521.989060972</v>
      </c>
      <c r="R71" s="238">
        <f>SUMIFS('Forecast opex'!$O$9:$O$232,'Forecast opex'!$D$9:$D$232,$B71,'Forecast opex'!$I$9:$I$232,R$11)</f>
        <v>698999.86102720094</v>
      </c>
      <c r="S71" s="238">
        <f>SUMIFS('Forecast opex'!$O$9:$O$232,'Forecast opex'!$D$9:$D$232,$B71,'Forecast opex'!$I$9:$I$232,S$11)</f>
        <v>862420.01050605648</v>
      </c>
    </row>
    <row r="73" spans="2:27" s="243" customFormat="1" x14ac:dyDescent="0.2">
      <c r="B73" s="243" t="s">
        <v>49</v>
      </c>
      <c r="C73" s="243" t="s">
        <v>242</v>
      </c>
      <c r="I73" s="335"/>
      <c r="M73" s="333">
        <f>SUM(M54,M57,M60:M61,M64:M67,M70:M71)</f>
        <v>47238671.101092651</v>
      </c>
      <c r="N73" s="333">
        <f t="shared" ref="N73:S73" si="7">SUM(N54,N57,N60:N61,N64:N67,N70:N71)</f>
        <v>47879193.540198907</v>
      </c>
      <c r="O73" s="235">
        <f t="shared" si="7"/>
        <v>41856128.034214973</v>
      </c>
      <c r="P73" s="235">
        <f t="shared" si="7"/>
        <v>43373280.532495044</v>
      </c>
      <c r="Q73" s="333">
        <f t="shared" si="7"/>
        <v>40384270.771652065</v>
      </c>
      <c r="R73" s="333">
        <f t="shared" si="7"/>
        <v>38627888.467342146</v>
      </c>
      <c r="S73" s="333">
        <f t="shared" si="7"/>
        <v>38051968.759355061</v>
      </c>
    </row>
    <row r="75" spans="2:27" x14ac:dyDescent="0.2">
      <c r="B75" s="242" t="s">
        <v>226</v>
      </c>
      <c r="C75" s="280" t="s">
        <v>58</v>
      </c>
      <c r="D75" s="297">
        <f>SUM(H75:S75)</f>
        <v>0</v>
      </c>
      <c r="E75" s="298"/>
      <c r="F75" s="229"/>
      <c r="G75" s="229"/>
      <c r="H75" s="229"/>
      <c r="I75" s="230"/>
      <c r="J75" s="229"/>
      <c r="K75" s="229"/>
      <c r="L75" s="229"/>
      <c r="M75" s="228">
        <f>IF(ABS(M29-M73)&lt;0.001,0,1)</f>
        <v>0</v>
      </c>
      <c r="N75" s="228">
        <f t="shared" ref="N75:S75" si="8">IF(ABS(N29-N73)&lt;0.001,0,1)</f>
        <v>0</v>
      </c>
      <c r="O75" s="228">
        <f t="shared" si="8"/>
        <v>0</v>
      </c>
      <c r="P75" s="228">
        <f t="shared" si="8"/>
        <v>0</v>
      </c>
      <c r="Q75" s="228">
        <f t="shared" si="8"/>
        <v>0</v>
      </c>
      <c r="R75" s="228">
        <f t="shared" si="8"/>
        <v>0</v>
      </c>
      <c r="S75" s="228">
        <f t="shared" si="8"/>
        <v>0</v>
      </c>
    </row>
    <row r="76" spans="2:27" x14ac:dyDescent="0.2">
      <c r="B76" s="229"/>
    </row>
    <row r="77" spans="2:27" s="331" customFormat="1" x14ac:dyDescent="0.2">
      <c r="B77" s="287" t="s">
        <v>249</v>
      </c>
      <c r="C77" s="329"/>
      <c r="D77" s="232"/>
      <c r="E77" s="232"/>
      <c r="F77" s="229"/>
      <c r="G77" s="229"/>
      <c r="H77" s="290"/>
      <c r="I77" s="229"/>
      <c r="J77" s="229"/>
      <c r="K77" s="229"/>
      <c r="L77" s="229"/>
      <c r="M77" s="229"/>
      <c r="N77" s="229"/>
      <c r="O77" s="229"/>
      <c r="P77" s="229"/>
      <c r="Q77" s="229"/>
      <c r="R77" s="229"/>
      <c r="S77" s="229"/>
      <c r="T77" s="229"/>
      <c r="U77" s="229"/>
      <c r="V77" s="229"/>
      <c r="W77" s="229"/>
      <c r="X77" s="229"/>
      <c r="Y77" s="330"/>
      <c r="Z77" s="330"/>
      <c r="AA77" s="330"/>
    </row>
    <row r="78" spans="2:27" s="331" customFormat="1" x14ac:dyDescent="0.2">
      <c r="B78" s="287"/>
      <c r="C78" s="329"/>
      <c r="D78" s="232"/>
      <c r="E78" s="232"/>
      <c r="F78" s="229"/>
      <c r="G78" s="229"/>
      <c r="H78" s="290"/>
      <c r="I78" s="229"/>
      <c r="J78" s="229"/>
      <c r="K78" s="229"/>
      <c r="L78" s="229"/>
      <c r="M78" s="229"/>
      <c r="N78" s="229"/>
      <c r="O78" s="229"/>
      <c r="P78" s="229"/>
      <c r="Q78" s="229"/>
      <c r="R78" s="229"/>
      <c r="S78" s="229"/>
      <c r="T78" s="229"/>
      <c r="U78" s="229"/>
      <c r="V78" s="229"/>
      <c r="W78" s="229"/>
      <c r="X78" s="229"/>
      <c r="Y78" s="330"/>
      <c r="Z78" s="330"/>
      <c r="AA78" s="330"/>
    </row>
    <row r="79" spans="2:27" s="331" customFormat="1" x14ac:dyDescent="0.2">
      <c r="B79" s="334" t="s">
        <v>241</v>
      </c>
      <c r="C79" s="329"/>
      <c r="D79" s="232"/>
      <c r="E79" s="232"/>
      <c r="F79" s="229"/>
      <c r="G79" s="229"/>
      <c r="H79" s="290"/>
      <c r="I79" s="229"/>
      <c r="J79" s="229"/>
      <c r="K79" s="229"/>
      <c r="L79" s="229"/>
      <c r="M79" s="229"/>
      <c r="N79" s="229"/>
      <c r="O79" s="229"/>
      <c r="P79" s="229"/>
      <c r="Q79" s="229"/>
      <c r="R79" s="229"/>
      <c r="S79" s="229"/>
      <c r="T79" s="229"/>
      <c r="U79" s="229"/>
      <c r="V79" s="229"/>
      <c r="W79" s="229"/>
      <c r="X79" s="229"/>
      <c r="Y79" s="330"/>
      <c r="Z79" s="330"/>
      <c r="AA79" s="330"/>
    </row>
    <row r="80" spans="2:27" s="331" customFormat="1" x14ac:dyDescent="0.2">
      <c r="B80" s="267" t="s">
        <v>414</v>
      </c>
      <c r="C80" s="263" t="s">
        <v>250</v>
      </c>
      <c r="D80" s="232"/>
      <c r="E80" s="232"/>
      <c r="F80" s="229"/>
      <c r="G80" s="229"/>
      <c r="H80" s="229"/>
      <c r="I80" s="229"/>
      <c r="J80" s="229"/>
      <c r="K80" s="229"/>
      <c r="L80" s="229"/>
      <c r="M80" s="238">
        <f>SUMIFS('Forecast opex'!$R$9:$R$232,'Forecast opex'!$D$9:$D$232,$B80,'Forecast opex'!$I$9:$I$232,M$11)</f>
        <v>3950943.5</v>
      </c>
      <c r="N80" s="238">
        <f>SUMIFS('Forecast opex'!$R$9:$R$232,'Forecast opex'!$D$9:$D$232,$B80,'Forecast opex'!$I$9:$I$232,N$11)</f>
        <v>4746544.415740639</v>
      </c>
      <c r="O80" s="238">
        <f>SUMIFS('Forecast opex'!$R$9:$R$232,'Forecast opex'!$D$9:$D$232,$B80,'Forecast opex'!$I$9:$I$232,O$11)</f>
        <v>4756573.9635536158</v>
      </c>
      <c r="P80" s="238">
        <f>SUMIFS('Forecast opex'!$R$9:$R$232,'Forecast opex'!$D$9:$D$232,$B80,'Forecast opex'!$I$9:$I$232,P$11)</f>
        <v>4784987.0139170717</v>
      </c>
      <c r="Q80" s="238">
        <f>SUMIFS('Forecast opex'!$R$9:$R$232,'Forecast opex'!$D$9:$D$232,$B80,'Forecast opex'!$I$9:$I$232,Q$11)</f>
        <v>4781591.7791276155</v>
      </c>
      <c r="R80" s="238">
        <f>SUMIFS('Forecast opex'!$R$9:$R$232,'Forecast opex'!$D$9:$D$232,$B80,'Forecast opex'!$I$9:$I$232,R$11)</f>
        <v>4801654.4301383216</v>
      </c>
      <c r="S80" s="238">
        <f>SUMIFS('Forecast opex'!$R$9:$R$232,'Forecast opex'!$D$9:$D$232,$B80,'Forecast opex'!$I$9:$I$232,S$11)</f>
        <v>4787062.3837759988</v>
      </c>
      <c r="T80" s="229"/>
      <c r="U80" s="229"/>
      <c r="V80" s="229"/>
      <c r="W80" s="229"/>
      <c r="X80" s="229"/>
      <c r="Y80" s="330"/>
      <c r="Z80" s="330"/>
      <c r="AA80" s="330"/>
    </row>
    <row r="82" spans="2:19" x14ac:dyDescent="0.2">
      <c r="B82" s="334" t="s">
        <v>243</v>
      </c>
    </row>
    <row r="83" spans="2:19" x14ac:dyDescent="0.2">
      <c r="B83" s="263" t="s">
        <v>415</v>
      </c>
      <c r="C83" s="263" t="s">
        <v>250</v>
      </c>
      <c r="M83" s="238">
        <f>SUMIFS('Forecast opex'!$R$9:$R$232,'Forecast opex'!$D$9:$D$232,$B83,'Forecast opex'!$I$9:$I$232,M$11)</f>
        <v>5579509.060934145</v>
      </c>
      <c r="N83" s="238">
        <f>SUMIFS('Forecast opex'!$R$9:$R$232,'Forecast opex'!$D$9:$D$232,$B83,'Forecast opex'!$I$9:$I$232,N$11)</f>
        <v>4074967.7328326218</v>
      </c>
      <c r="O83" s="238">
        <f>SUMIFS('Forecast opex'!$R$9:$R$232,'Forecast opex'!$D$9:$D$232,$B83,'Forecast opex'!$I$9:$I$232,O$11)</f>
        <v>4209890.2928499542</v>
      </c>
      <c r="P83" s="238">
        <f>SUMIFS('Forecast opex'!$R$9:$R$232,'Forecast opex'!$D$9:$D$232,$B83,'Forecast opex'!$I$9:$I$232,P$11)</f>
        <v>3962358.4991510026</v>
      </c>
      <c r="Q83" s="238">
        <f>SUMIFS('Forecast opex'!$R$9:$R$232,'Forecast opex'!$D$9:$D$232,$B83,'Forecast opex'!$I$9:$I$232,Q$11)</f>
        <v>2952901.0354271326</v>
      </c>
      <c r="R83" s="238">
        <f>SUMIFS('Forecast opex'!$R$9:$R$232,'Forecast opex'!$D$9:$D$232,$B83,'Forecast opex'!$I$9:$I$232,R$11)</f>
        <v>2951949.1581603275</v>
      </c>
      <c r="S83" s="238">
        <f>SUMIFS('Forecast opex'!$R$9:$R$232,'Forecast opex'!$D$9:$D$232,$B83,'Forecast opex'!$I$9:$I$232,S$11)</f>
        <v>2930863.1073921518</v>
      </c>
    </row>
    <row r="85" spans="2:19" x14ac:dyDescent="0.2">
      <c r="B85" s="291" t="s">
        <v>244</v>
      </c>
    </row>
    <row r="86" spans="2:19" x14ac:dyDescent="0.2">
      <c r="B86" s="263" t="s">
        <v>416</v>
      </c>
      <c r="C86" s="263" t="s">
        <v>250</v>
      </c>
      <c r="M86" s="238">
        <f>SUMIFS('Forecast opex'!$R$9:$R$232,'Forecast opex'!$D$9:$D$232,$B86,'Forecast opex'!$I$9:$I$232,M$11)</f>
        <v>4907013</v>
      </c>
      <c r="N86" s="238">
        <f>SUMIFS('Forecast opex'!$R$9:$R$232,'Forecast opex'!$D$9:$D$232,$B86,'Forecast opex'!$I$9:$I$232,N$11)</f>
        <v>5693209.9473375455</v>
      </c>
      <c r="O86" s="238">
        <f>SUMIFS('Forecast opex'!$R$9:$R$232,'Forecast opex'!$D$9:$D$232,$B86,'Forecast opex'!$I$9:$I$232,O$11)</f>
        <v>6676570.9755407656</v>
      </c>
      <c r="P86" s="238">
        <f>SUMIFS('Forecast opex'!$R$9:$R$232,'Forecast opex'!$D$9:$D$232,$B86,'Forecast opex'!$I$9:$I$232,P$11)</f>
        <v>6250440.8517965367</v>
      </c>
      <c r="Q86" s="238">
        <f>SUMIFS('Forecast opex'!$R$9:$R$232,'Forecast opex'!$D$9:$D$232,$B86,'Forecast opex'!$I$9:$I$232,Q$11)</f>
        <v>6844419.5993546508</v>
      </c>
      <c r="R86" s="238">
        <f>SUMIFS('Forecast opex'!$R$9:$R$232,'Forecast opex'!$D$9:$D$232,$B86,'Forecast opex'!$I$9:$I$232,R$11)</f>
        <v>6050262.9710993655</v>
      </c>
      <c r="S86" s="238">
        <f>SUMIFS('Forecast opex'!$R$9:$R$232,'Forecast opex'!$D$9:$D$232,$B86,'Forecast opex'!$I$9:$I$232,S$11)</f>
        <v>6566413.6859445227</v>
      </c>
    </row>
    <row r="87" spans="2:19" x14ac:dyDescent="0.2">
      <c r="B87" s="263" t="s">
        <v>417</v>
      </c>
      <c r="C87" s="263" t="s">
        <v>250</v>
      </c>
      <c r="M87" s="238">
        <f>SUMIFS('Forecast opex'!$R$9:$R$232,'Forecast opex'!$D$9:$D$232,$B87,'Forecast opex'!$I$9:$I$232,M$11)</f>
        <v>2668588</v>
      </c>
      <c r="N87" s="238">
        <f>SUMIFS('Forecast opex'!$R$9:$R$232,'Forecast opex'!$D$9:$D$232,$B87,'Forecast opex'!$I$9:$I$232,N$11)</f>
        <v>3259329.9721783362</v>
      </c>
      <c r="O87" s="238">
        <f>SUMIFS('Forecast opex'!$R$9:$R$232,'Forecast opex'!$D$9:$D$232,$B87,'Forecast opex'!$I$9:$I$232,O$11)</f>
        <v>3764740.7702565119</v>
      </c>
      <c r="P87" s="238">
        <f>SUMIFS('Forecast opex'!$R$9:$R$232,'Forecast opex'!$D$9:$D$232,$B87,'Forecast opex'!$I$9:$I$232,P$11)</f>
        <v>3764671.9534777496</v>
      </c>
      <c r="Q87" s="238">
        <f>SUMIFS('Forecast opex'!$R$9:$R$232,'Forecast opex'!$D$9:$D$232,$B87,'Forecast opex'!$I$9:$I$232,Q$11)</f>
        <v>3424426.6125816293</v>
      </c>
      <c r="R87" s="238">
        <f>SUMIFS('Forecast opex'!$R$9:$R$232,'Forecast opex'!$D$9:$D$232,$B87,'Forecast opex'!$I$9:$I$232,R$11)</f>
        <v>3374254.0574129503</v>
      </c>
      <c r="S87" s="238">
        <f>SUMIFS('Forecast opex'!$R$9:$R$232,'Forecast opex'!$D$9:$D$232,$B87,'Forecast opex'!$I$9:$I$232,S$11)</f>
        <v>3018489.786006331</v>
      </c>
    </row>
    <row r="89" spans="2:19" x14ac:dyDescent="0.2">
      <c r="B89" s="291" t="s">
        <v>68</v>
      </c>
    </row>
    <row r="90" spans="2:19" x14ac:dyDescent="0.2">
      <c r="B90" s="263" t="s">
        <v>418</v>
      </c>
      <c r="C90" s="263" t="s">
        <v>250</v>
      </c>
      <c r="M90" s="238">
        <f>SUMIFS('Forecast opex'!$R$9:$R$232,'Forecast opex'!$D$9:$D$232,$B90,'Forecast opex'!$I$9:$I$232,M$11)</f>
        <v>9761357.209558893</v>
      </c>
      <c r="N90" s="238">
        <f>SUMIFS('Forecast opex'!$R$9:$R$232,'Forecast opex'!$D$9:$D$232,$B90,'Forecast opex'!$I$9:$I$232,N$11)</f>
        <v>8567854.1059770305</v>
      </c>
      <c r="O90" s="238">
        <f>SUMIFS('Forecast opex'!$R$9:$R$232,'Forecast opex'!$D$9:$D$232,$B90,'Forecast opex'!$I$9:$I$232,O$11)</f>
        <v>5447452.6600130815</v>
      </c>
      <c r="P90" s="238">
        <f>SUMIFS('Forecast opex'!$R$9:$R$232,'Forecast opex'!$D$9:$D$232,$B90,'Forecast opex'!$I$9:$I$232,P$11)</f>
        <v>6598762.5680949502</v>
      </c>
      <c r="Q90" s="238">
        <f>SUMIFS('Forecast opex'!$R$9:$R$232,'Forecast opex'!$D$9:$D$232,$B90,'Forecast opex'!$I$9:$I$232,Q$11)</f>
        <v>5815197.6749371598</v>
      </c>
      <c r="R90" s="238">
        <f>SUMIFS('Forecast opex'!$R$9:$R$232,'Forecast opex'!$D$9:$D$232,$B90,'Forecast opex'!$I$9:$I$232,R$11)</f>
        <v>5463596.7352935402</v>
      </c>
      <c r="S90" s="238">
        <f>SUMIFS('Forecast opex'!$R$9:$R$232,'Forecast opex'!$D$9:$D$232,$B90,'Forecast opex'!$I$9:$I$232,S$11)</f>
        <v>5571411.4346058508</v>
      </c>
    </row>
    <row r="91" spans="2:19" x14ac:dyDescent="0.2">
      <c r="B91" s="263" t="s">
        <v>419</v>
      </c>
      <c r="C91" s="263" t="s">
        <v>250</v>
      </c>
      <c r="M91" s="238">
        <f>SUMIFS('Forecast opex'!$R$9:$R$232,'Forecast opex'!$D$9:$D$232,$B91,'Forecast opex'!$I$9:$I$232,M$11)</f>
        <v>2349158.7000000002</v>
      </c>
      <c r="N91" s="238">
        <f>SUMIFS('Forecast opex'!$R$9:$R$232,'Forecast opex'!$D$9:$D$232,$B91,'Forecast opex'!$I$9:$I$232,N$11)</f>
        <v>3108940.9227130548</v>
      </c>
      <c r="O91" s="238">
        <f>SUMIFS('Forecast opex'!$R$9:$R$232,'Forecast opex'!$D$9:$D$232,$B91,'Forecast opex'!$I$9:$I$232,O$11)</f>
        <v>3566493.0909339455</v>
      </c>
      <c r="P91" s="238">
        <f>SUMIFS('Forecast opex'!$R$9:$R$232,'Forecast opex'!$D$9:$D$232,$B91,'Forecast opex'!$I$9:$I$232,P$11)</f>
        <v>3457319.735844709</v>
      </c>
      <c r="Q91" s="238">
        <f>SUMIFS('Forecast opex'!$R$9:$R$232,'Forecast opex'!$D$9:$D$232,$B91,'Forecast opex'!$I$9:$I$232,Q$11)</f>
        <v>3700463.646797196</v>
      </c>
      <c r="R91" s="238">
        <f>SUMIFS('Forecast opex'!$R$9:$R$232,'Forecast opex'!$D$9:$D$232,$B91,'Forecast opex'!$I$9:$I$232,R$11)</f>
        <v>3709121.4098220719</v>
      </c>
      <c r="S91" s="238">
        <f>SUMIFS('Forecast opex'!$R$9:$R$232,'Forecast opex'!$D$9:$D$232,$B91,'Forecast opex'!$I$9:$I$232,S$11)</f>
        <v>3725328.3770125448</v>
      </c>
    </row>
    <row r="92" spans="2:19" x14ac:dyDescent="0.2">
      <c r="B92" s="263" t="s">
        <v>420</v>
      </c>
      <c r="C92" s="263" t="s">
        <v>250</v>
      </c>
      <c r="M92" s="238">
        <f>SUMIFS('Forecast opex'!$R$9:$R$232,'Forecast opex'!$D$9:$D$232,$B92,'Forecast opex'!$I$9:$I$232,M$11)</f>
        <v>148009.06763347588</v>
      </c>
      <c r="N92" s="238">
        <f>SUMIFS('Forecast opex'!$R$9:$R$232,'Forecast opex'!$D$9:$D$232,$B92,'Forecast opex'!$I$9:$I$232,N$11)</f>
        <v>243396.22326261297</v>
      </c>
      <c r="O92" s="238">
        <f>SUMIFS('Forecast opex'!$R$9:$R$232,'Forecast opex'!$D$9:$D$232,$B92,'Forecast opex'!$I$9:$I$232,O$11)</f>
        <v>289453.30393749423</v>
      </c>
      <c r="P92" s="238">
        <f>SUMIFS('Forecast opex'!$R$9:$R$232,'Forecast opex'!$D$9:$D$232,$B92,'Forecast opex'!$I$9:$I$232,P$11)</f>
        <v>309425.79548572068</v>
      </c>
      <c r="Q92" s="238">
        <f>SUMIFS('Forecast opex'!$R$9:$R$232,'Forecast opex'!$D$9:$D$232,$B92,'Forecast opex'!$I$9:$I$232,Q$11)</f>
        <v>316214.29423544876</v>
      </c>
      <c r="R92" s="238">
        <f>SUMIFS('Forecast opex'!$R$9:$R$232,'Forecast opex'!$D$9:$D$232,$B92,'Forecast opex'!$I$9:$I$232,R$11)</f>
        <v>541858.93046841025</v>
      </c>
      <c r="S92" s="238">
        <f>SUMIFS('Forecast opex'!$R$9:$R$232,'Forecast opex'!$D$9:$D$232,$B92,'Forecast opex'!$I$9:$I$232,S$11)</f>
        <v>570366.75623624353</v>
      </c>
    </row>
    <row r="93" spans="2:19" x14ac:dyDescent="0.2">
      <c r="B93" s="263" t="s">
        <v>421</v>
      </c>
      <c r="C93" s="263" t="s">
        <v>250</v>
      </c>
      <c r="M93" s="238">
        <f>SUMIFS('Forecast opex'!$R$9:$R$232,'Forecast opex'!$D$9:$D$232,$B93,'Forecast opex'!$I$9:$I$232,M$11)</f>
        <v>2836888.9357454856</v>
      </c>
      <c r="N93" s="238">
        <f>SUMIFS('Forecast opex'!$R$9:$R$232,'Forecast opex'!$D$9:$D$232,$B93,'Forecast opex'!$I$9:$I$232,N$11)</f>
        <v>2879076.1810172992</v>
      </c>
      <c r="O93" s="238">
        <f>SUMIFS('Forecast opex'!$R$9:$R$232,'Forecast opex'!$D$9:$D$232,$B93,'Forecast opex'!$I$9:$I$232,O$11)</f>
        <v>2889682.9162502731</v>
      </c>
      <c r="P93" s="238">
        <f>SUMIFS('Forecast opex'!$R$9:$R$232,'Forecast opex'!$D$9:$D$232,$B93,'Forecast opex'!$I$9:$I$232,P$11)</f>
        <v>3021652.5855306769</v>
      </c>
      <c r="Q93" s="238">
        <f>SUMIFS('Forecast opex'!$R$9:$R$232,'Forecast opex'!$D$9:$D$232,$B93,'Forecast opex'!$I$9:$I$232,Q$11)</f>
        <v>3077617.7116875718</v>
      </c>
      <c r="R93" s="238">
        <f>SUMIFS('Forecast opex'!$R$9:$R$232,'Forecast opex'!$D$9:$D$232,$B93,'Forecast opex'!$I$9:$I$232,R$11)</f>
        <v>3098261.3530620108</v>
      </c>
      <c r="S93" s="238">
        <f>SUMIFS('Forecast opex'!$R$9:$R$232,'Forecast opex'!$D$9:$D$232,$B93,'Forecast opex'!$I$9:$I$232,S$11)</f>
        <v>3175978.7321060696</v>
      </c>
    </row>
    <row r="94" spans="2:19" x14ac:dyDescent="0.2">
      <c r="B94" s="263"/>
      <c r="C94" s="263"/>
    </row>
    <row r="95" spans="2:19" x14ac:dyDescent="0.2">
      <c r="B95" s="291" t="s">
        <v>246</v>
      </c>
      <c r="C95" s="263"/>
    </row>
    <row r="96" spans="2:19" x14ac:dyDescent="0.2">
      <c r="B96" s="263" t="s">
        <v>422</v>
      </c>
      <c r="C96" s="263" t="s">
        <v>250</v>
      </c>
      <c r="M96" s="238">
        <f>SUMIFS('Forecast opex'!$R$9:$R$232,'Forecast opex'!$D$9:$D$232,$B96,'Forecast opex'!$I$9:$I$232,M$11)</f>
        <v>15037203.627220649</v>
      </c>
      <c r="N96" s="238">
        <f>SUMIFS('Forecast opex'!$R$9:$R$232,'Forecast opex'!$D$9:$D$232,$B96,'Forecast opex'!$I$9:$I$232,N$11)</f>
        <v>15972139.048512053</v>
      </c>
      <c r="O96" s="238">
        <f>SUMIFS('Forecast opex'!$R$9:$R$232,'Forecast opex'!$D$9:$D$232,$B96,'Forecast opex'!$I$9:$I$232,O$11)</f>
        <v>11158059.679531308</v>
      </c>
      <c r="P96" s="238">
        <f>SUMIFS('Forecast opex'!$R$9:$R$232,'Forecast opex'!$D$9:$D$232,$B96,'Forecast opex'!$I$9:$I$232,P$11)</f>
        <v>12511948.698873317</v>
      </c>
      <c r="Q96" s="238">
        <f>SUMIFS('Forecast opex'!$R$9:$R$232,'Forecast opex'!$D$9:$D$232,$B96,'Forecast opex'!$I$9:$I$232,Q$11)</f>
        <v>11339336.334491668</v>
      </c>
      <c r="R96" s="238">
        <f>SUMIFS('Forecast opex'!$R$9:$R$232,'Forecast opex'!$D$9:$D$232,$B96,'Forecast opex'!$I$9:$I$232,R$11)</f>
        <v>11039463.840871088</v>
      </c>
      <c r="S96" s="238">
        <f>SUMIFS('Forecast opex'!$R$9:$R$232,'Forecast opex'!$D$9:$D$232,$B96,'Forecast opex'!$I$9:$I$232,S$11)</f>
        <v>10652398.825849123</v>
      </c>
    </row>
    <row r="97" spans="2:20" x14ac:dyDescent="0.2">
      <c r="B97" s="263" t="s">
        <v>423</v>
      </c>
      <c r="C97" s="263" t="s">
        <v>250</v>
      </c>
      <c r="M97" s="238">
        <f>SUMIFS('Forecast opex'!$R$9:$R$232,'Forecast opex'!$D$9:$D$232,$B97,'Forecast opex'!$I$9:$I$232,M$11)</f>
        <v>0</v>
      </c>
      <c r="N97" s="238">
        <f>SUMIFS('Forecast opex'!$R$9:$R$232,'Forecast opex'!$D$9:$D$232,$B97,'Forecast opex'!$I$9:$I$232,N$11)</f>
        <v>0</v>
      </c>
      <c r="O97" s="238">
        <f>SUMIFS('Forecast opex'!$R$9:$R$232,'Forecast opex'!$D$9:$D$232,$B97,'Forecast opex'!$I$9:$I$232,O$11)</f>
        <v>272507.57816710591</v>
      </c>
      <c r="P97" s="238">
        <f>SUMIFS('Forecast opex'!$R$9:$R$232,'Forecast opex'!$D$9:$D$232,$B97,'Forecast opex'!$I$9:$I$232,P$11)</f>
        <v>621043.73860510241</v>
      </c>
      <c r="Q97" s="238">
        <f>SUMIFS('Forecast opex'!$R$9:$R$232,'Forecast opex'!$D$9:$D$232,$B97,'Forecast opex'!$I$9:$I$232,Q$11)</f>
        <v>618807.55425485945</v>
      </c>
      <c r="R97" s="238">
        <f>SUMIFS('Forecast opex'!$R$9:$R$232,'Forecast opex'!$D$9:$D$232,$B97,'Forecast opex'!$I$9:$I$232,R$11)</f>
        <v>758495.08159918734</v>
      </c>
      <c r="S97" s="238">
        <f>SUMIFS('Forecast opex'!$R$9:$R$232,'Forecast opex'!$D$9:$D$232,$B97,'Forecast opex'!$I$9:$I$232,S$11)</f>
        <v>954291.5948797731</v>
      </c>
    </row>
    <row r="99" spans="2:20" s="243" customFormat="1" x14ac:dyDescent="0.2">
      <c r="B99" s="243" t="s">
        <v>49</v>
      </c>
      <c r="C99" s="243" t="s">
        <v>250</v>
      </c>
      <c r="I99" s="335"/>
      <c r="M99" s="333">
        <f>SUM(M80,M83,M86:M87,M90:M93,M96:M97)</f>
        <v>47238671.101092651</v>
      </c>
      <c r="N99" s="333">
        <f t="shared" ref="N99:S99" si="9">SUM(N80,N83,N86:N87,N90:N93,N96:N97)</f>
        <v>48545458.549571186</v>
      </c>
      <c r="O99" s="333">
        <f t="shared" si="9"/>
        <v>43031425.231034055</v>
      </c>
      <c r="P99" s="333">
        <f t="shared" si="9"/>
        <v>45282611.440776832</v>
      </c>
      <c r="Q99" s="333">
        <f t="shared" si="9"/>
        <v>42870976.242894933</v>
      </c>
      <c r="R99" s="333">
        <f t="shared" si="9"/>
        <v>41788917.967927277</v>
      </c>
      <c r="S99" s="333">
        <f t="shared" si="9"/>
        <v>41952604.68380861</v>
      </c>
    </row>
    <row r="101" spans="2:20" x14ac:dyDescent="0.2">
      <c r="B101" s="242" t="s">
        <v>227</v>
      </c>
      <c r="C101" s="280" t="s">
        <v>58</v>
      </c>
      <c r="D101" s="297">
        <f>SUM(H101:S101)</f>
        <v>0</v>
      </c>
      <c r="E101" s="298"/>
      <c r="F101" s="229"/>
      <c r="G101" s="229"/>
      <c r="H101" s="229"/>
      <c r="I101" s="230"/>
      <c r="J101" s="229"/>
      <c r="K101" s="229"/>
      <c r="L101" s="229"/>
      <c r="M101" s="228">
        <f>IF(ABS(M45-M99)&lt;0.001,0,1)</f>
        <v>0</v>
      </c>
      <c r="N101" s="228">
        <f t="shared" ref="N101:S101" si="10">IF(ABS(N45-N99)&lt;0.001,0,1)</f>
        <v>0</v>
      </c>
      <c r="O101" s="228">
        <f t="shared" si="10"/>
        <v>0</v>
      </c>
      <c r="P101" s="228">
        <f t="shared" si="10"/>
        <v>0</v>
      </c>
      <c r="Q101" s="228">
        <f t="shared" si="10"/>
        <v>0</v>
      </c>
      <c r="R101" s="228">
        <f t="shared" si="10"/>
        <v>0</v>
      </c>
      <c r="S101" s="228">
        <f t="shared" si="10"/>
        <v>0</v>
      </c>
    </row>
    <row r="105" spans="2:20" x14ac:dyDescent="0.2">
      <c r="T105" s="229"/>
    </row>
  </sheetData>
  <sheetProtection algorithmName="SHA-512" hashValue="HjQB2kvZZdlK/nKumvAcd2QrW/LUrGAfyrQUJDVQrrwNVFmqLHiMrIZ8/3c+8mEowszcdEVHba5OtJL3zJ7B3g==" saltValue="HBk+8CkwkTLf4WJNv0yvzQ==" spinCount="100000" sheet="1" objects="1" scenarios="1"/>
  <conditionalFormatting sqref="D75:E75">
    <cfRule type="cellIs" dxfId="353" priority="25" stopIfTrue="1" operator="equal">
      <formula>0</formula>
    </cfRule>
    <cfRule type="cellIs" dxfId="352" priority="26" stopIfTrue="1" operator="notEqual">
      <formula>0</formula>
    </cfRule>
  </conditionalFormatting>
  <conditionalFormatting sqref="M75:S75">
    <cfRule type="cellIs" dxfId="351" priority="23" stopIfTrue="1" operator="equal">
      <formula>0</formula>
    </cfRule>
    <cfRule type="cellIs" dxfId="350" priority="24" stopIfTrue="1" operator="notEqual">
      <formula>0</formula>
    </cfRule>
  </conditionalFormatting>
  <conditionalFormatting sqref="D101:E101">
    <cfRule type="cellIs" dxfId="349" priority="21" stopIfTrue="1" operator="equal">
      <formula>0</formula>
    </cfRule>
    <cfRule type="cellIs" dxfId="348" priority="22" stopIfTrue="1" operator="notEqual">
      <formula>0</formula>
    </cfRule>
  </conditionalFormatting>
  <conditionalFormatting sqref="M101:S101">
    <cfRule type="cellIs" dxfId="347" priority="19" stopIfTrue="1" operator="equal">
      <formula>0</formula>
    </cfRule>
    <cfRule type="cellIs" dxfId="346" priority="20" stopIfTrue="1" operator="notEqual">
      <formula>0</formula>
    </cfRule>
  </conditionalFormatting>
  <conditionalFormatting sqref="C2">
    <cfRule type="expression" dxfId="345" priority="17">
      <formula>Model_check&lt;&gt;0</formula>
    </cfRule>
    <cfRule type="expression" dxfId="344" priority="18">
      <formula>Model_check=0</formula>
    </cfRule>
  </conditionalFormatting>
  <conditionalFormatting sqref="D31:E31">
    <cfRule type="cellIs" dxfId="343" priority="15" stopIfTrue="1" operator="equal">
      <formula>0</formula>
    </cfRule>
    <cfRule type="cellIs" dxfId="342" priority="16" stopIfTrue="1" operator="notEqual">
      <formula>0</formula>
    </cfRule>
  </conditionalFormatting>
  <conditionalFormatting sqref="M31:S31">
    <cfRule type="cellIs" dxfId="341" priority="13" stopIfTrue="1" operator="equal">
      <formula>0</formula>
    </cfRule>
    <cfRule type="cellIs" dxfId="340" priority="14" stopIfTrue="1" operator="notEqual">
      <formula>0</formula>
    </cfRule>
  </conditionalFormatting>
  <conditionalFormatting sqref="D47:E47">
    <cfRule type="cellIs" dxfId="339" priority="11" stopIfTrue="1" operator="equal">
      <formula>0</formula>
    </cfRule>
    <cfRule type="cellIs" dxfId="338" priority="12" stopIfTrue="1" operator="notEqual">
      <formula>0</formula>
    </cfRule>
  </conditionalFormatting>
  <conditionalFormatting sqref="M47:S47">
    <cfRule type="cellIs" dxfId="337" priority="9" stopIfTrue="1" operator="equal">
      <formula>0</formula>
    </cfRule>
    <cfRule type="cellIs" dxfId="336" priority="10"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1" manualBreakCount="1">
    <brk id="68" min="1" max="19" man="1"/>
  </rowBreaks>
  <extLst>
    <ext xmlns:x14="http://schemas.microsoft.com/office/spreadsheetml/2009/9/main" uri="{78C0D931-6437-407d-A8EE-F0AAD7539E65}">
      <x14:conditionalFormattings>
        <x14:conditionalFormatting xmlns:xm="http://schemas.microsoft.com/office/excel/2006/main">
          <x14:cfRule type="expression" priority="32" id="{D7E8BBF6-DF57-4C44-8D67-E58A9A199A8D}">
            <xm:f>'Global inputs'!$A1="MODEL ERROR"</xm:f>
            <x14:dxf>
              <fill>
                <patternFill>
                  <bgColor theme="1"/>
                </patternFill>
              </fill>
            </x14:dxf>
          </x14:cfRule>
          <xm:sqref>A1:XFD1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AA207"/>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outlineLevelCol="1" x14ac:dyDescent="0.2"/>
  <cols>
    <col min="1" max="1" width="2.75" style="232" customWidth="1"/>
    <col min="2" max="2" width="35.75" style="232" customWidth="1"/>
    <col min="3" max="3" width="15.75" style="329" customWidth="1"/>
    <col min="4" max="5" width="15.75" style="232" customWidth="1"/>
    <col min="6" max="7" width="2.75" style="232" customWidth="1"/>
    <col min="8" max="8" width="10.75" style="232" customWidth="1" outlineLevel="1"/>
    <col min="9" max="9" width="10.75" style="234" customWidth="1" outlineLevel="1"/>
    <col min="10" max="12" width="10.75" style="232" customWidth="1" outlineLevel="1"/>
    <col min="13" max="20" width="10.75" style="232" customWidth="1"/>
    <col min="21" max="21" width="2.75" style="232" customWidth="1"/>
    <col min="22" max="23" width="8.25" style="232" hidden="1" customWidth="1"/>
    <col min="24" max="25" width="8.75" style="232" hidden="1" customWidth="1"/>
    <col min="26" max="27" width="8.25" style="232" hidden="1" customWidth="1"/>
    <col min="28" max="16384" width="8.25" style="232" hidden="1"/>
  </cols>
  <sheetData>
    <row r="1" spans="1:27" ht="12" customHeight="1" x14ac:dyDescent="0.2">
      <c r="A1" s="229"/>
      <c r="B1" s="229"/>
      <c r="C1" s="303"/>
      <c r="D1" s="229"/>
      <c r="E1" s="229"/>
      <c r="F1" s="229"/>
      <c r="G1" s="229"/>
      <c r="H1" s="229"/>
      <c r="I1" s="229"/>
      <c r="J1" s="229"/>
      <c r="K1" s="229"/>
      <c r="L1" s="229"/>
      <c r="M1" s="229"/>
      <c r="N1" s="229"/>
      <c r="O1" s="229"/>
      <c r="P1" s="229"/>
      <c r="Q1" s="229"/>
      <c r="R1" s="229"/>
      <c r="S1" s="229"/>
      <c r="T1" s="229"/>
      <c r="U1" s="229"/>
      <c r="V1" s="229"/>
      <c r="W1" s="229"/>
      <c r="X1" s="229"/>
    </row>
    <row r="2" spans="1:27" s="229" customFormat="1" ht="15" customHeight="1" x14ac:dyDescent="0.25">
      <c r="B2" s="212" t="str">
        <f ca="1">MID(CELL("filename",B2),FIND("]",CELL("filename",B2))+1,255)</f>
        <v>Capex summary</v>
      </c>
      <c r="C2" s="336" t="str">
        <f>'Global inputs'!$C$2</f>
        <v>Model: Ok</v>
      </c>
      <c r="D2" s="277"/>
      <c r="E2" s="277"/>
      <c r="F2" s="242"/>
      <c r="G2" s="242"/>
      <c r="H2" s="242"/>
      <c r="I2" s="242"/>
      <c r="J2" s="242"/>
      <c r="K2" s="242"/>
      <c r="L2" s="242"/>
      <c r="M2" s="242"/>
      <c r="N2" s="242"/>
      <c r="O2" s="242"/>
      <c r="P2" s="242"/>
      <c r="Q2" s="242"/>
      <c r="R2" s="242"/>
      <c r="S2" s="242"/>
      <c r="T2" s="242"/>
    </row>
    <row r="3" spans="1:27" s="243" customFormat="1" ht="12" customHeight="1" x14ac:dyDescent="0.2">
      <c r="B3" s="300"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Escalators!T3</f>
        <v>45748</v>
      </c>
      <c r="T3" s="213"/>
    </row>
    <row r="4" spans="1:27" s="243" customFormat="1" ht="12" customHeight="1" x14ac:dyDescent="0.2">
      <c r="B4" s="300"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Escalators!T4</f>
        <v>46112</v>
      </c>
      <c r="T4" s="213"/>
    </row>
    <row r="5" spans="1:27" s="243" customFormat="1" ht="12" customHeight="1" x14ac:dyDescent="0.2">
      <c r="B5" s="300"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Escalators!T5</f>
        <v>RY26</v>
      </c>
      <c r="T5" s="214"/>
    </row>
    <row r="6" spans="1:27" s="243" customFormat="1" ht="12" customHeight="1" x14ac:dyDescent="0.2">
      <c r="B6" s="300" t="s">
        <v>45</v>
      </c>
      <c r="C6" s="278"/>
      <c r="D6" s="279"/>
      <c r="E6" s="279"/>
      <c r="F6" s="244"/>
      <c r="G6" s="247"/>
      <c r="H6" s="215" t="s">
        <v>46</v>
      </c>
      <c r="I6" s="216"/>
      <c r="J6" s="216"/>
      <c r="K6" s="216"/>
      <c r="L6" s="216"/>
      <c r="M6" s="215" t="s">
        <v>47</v>
      </c>
      <c r="N6" s="216"/>
      <c r="O6" s="215" t="s">
        <v>48</v>
      </c>
      <c r="P6" s="216"/>
      <c r="Q6" s="216"/>
      <c r="R6" s="216"/>
      <c r="S6" s="216"/>
      <c r="T6" s="215" t="s">
        <v>49</v>
      </c>
    </row>
    <row r="7" spans="1:27" ht="12" customHeight="1" x14ac:dyDescent="0.2">
      <c r="B7" s="242"/>
      <c r="C7" s="280"/>
      <c r="D7" s="248"/>
      <c r="E7" s="248"/>
      <c r="F7" s="242"/>
      <c r="G7" s="242"/>
      <c r="H7" s="242"/>
      <c r="I7" s="242"/>
      <c r="J7" s="242"/>
      <c r="K7" s="242"/>
      <c r="L7" s="242"/>
      <c r="M7" s="242"/>
      <c r="N7" s="242"/>
      <c r="O7" s="242"/>
      <c r="P7" s="242"/>
      <c r="Q7" s="242"/>
      <c r="R7" s="242"/>
      <c r="S7" s="242"/>
      <c r="T7" s="242"/>
    </row>
    <row r="8" spans="1:27" ht="12" customHeight="1" x14ac:dyDescent="0.2">
      <c r="B8" s="242"/>
      <c r="C8" s="280"/>
      <c r="D8" s="248"/>
      <c r="E8" s="248"/>
      <c r="F8" s="242"/>
      <c r="G8" s="242"/>
      <c r="H8" s="242"/>
      <c r="I8" s="242"/>
      <c r="J8" s="242"/>
      <c r="K8" s="242"/>
      <c r="L8" s="242"/>
      <c r="M8" s="242"/>
      <c r="N8" s="242"/>
      <c r="O8" s="242"/>
      <c r="P8" s="242"/>
      <c r="Q8" s="242"/>
      <c r="R8" s="242"/>
      <c r="S8" s="242"/>
      <c r="T8" s="242"/>
    </row>
    <row r="9" spans="1:27" s="229" customFormat="1" ht="12" customHeight="1" x14ac:dyDescent="0.2">
      <c r="A9" s="232"/>
      <c r="B9" s="283" t="s">
        <v>319</v>
      </c>
      <c r="C9" s="284" t="s">
        <v>51</v>
      </c>
      <c r="D9" s="285" t="s">
        <v>52</v>
      </c>
      <c r="E9" s="284" t="s">
        <v>53</v>
      </c>
      <c r="F9" s="242"/>
      <c r="G9" s="302"/>
      <c r="H9" s="302"/>
      <c r="I9" s="302"/>
      <c r="J9" s="302"/>
      <c r="K9" s="242"/>
      <c r="L9" s="242"/>
      <c r="M9" s="242"/>
      <c r="N9" s="242"/>
      <c r="O9" s="242"/>
      <c r="P9" s="242"/>
      <c r="Q9" s="242"/>
      <c r="R9" s="242"/>
      <c r="S9" s="242"/>
      <c r="T9" s="242"/>
    </row>
    <row r="10" spans="1:27" x14ac:dyDescent="0.2">
      <c r="K10" s="289"/>
      <c r="L10" s="289"/>
      <c r="M10" s="289"/>
      <c r="N10" s="289"/>
      <c r="O10" s="289"/>
      <c r="P10" s="289"/>
      <c r="Q10" s="289"/>
      <c r="R10" s="289"/>
      <c r="S10" s="289"/>
      <c r="T10" s="242"/>
    </row>
    <row r="11" spans="1:27" x14ac:dyDescent="0.2">
      <c r="B11" s="232" t="s">
        <v>67</v>
      </c>
      <c r="C11" s="329" t="s">
        <v>67</v>
      </c>
      <c r="I11" s="232"/>
      <c r="M11" s="328">
        <f t="shared" ref="M11:S11" si="0">YEAR(M$4)</f>
        <v>2020</v>
      </c>
      <c r="N11" s="328">
        <f t="shared" si="0"/>
        <v>2021</v>
      </c>
      <c r="O11" s="328">
        <f t="shared" si="0"/>
        <v>2022</v>
      </c>
      <c r="P11" s="328">
        <f t="shared" si="0"/>
        <v>2023</v>
      </c>
      <c r="Q11" s="328">
        <f t="shared" si="0"/>
        <v>2024</v>
      </c>
      <c r="R11" s="328">
        <f t="shared" si="0"/>
        <v>2025</v>
      </c>
      <c r="S11" s="328">
        <f t="shared" si="0"/>
        <v>2026</v>
      </c>
      <c r="T11" s="229"/>
      <c r="U11" s="229"/>
      <c r="V11" s="229"/>
      <c r="W11" s="229"/>
      <c r="X11" s="229"/>
    </row>
    <row r="12" spans="1:27" x14ac:dyDescent="0.2">
      <c r="K12" s="289"/>
      <c r="L12" s="289"/>
      <c r="M12" s="290"/>
      <c r="N12" s="290"/>
      <c r="O12" s="290"/>
      <c r="P12" s="290"/>
      <c r="Q12" s="290"/>
      <c r="R12" s="290"/>
      <c r="S12" s="290"/>
      <c r="T12" s="242"/>
      <c r="U12" s="229"/>
      <c r="V12" s="229"/>
      <c r="W12" s="229"/>
      <c r="X12" s="229"/>
    </row>
    <row r="13" spans="1:27" s="229" customFormat="1" ht="12" customHeight="1" x14ac:dyDescent="0.2">
      <c r="A13" s="232"/>
      <c r="B13" s="283" t="s">
        <v>300</v>
      </c>
      <c r="C13" s="284" t="s">
        <v>51</v>
      </c>
      <c r="D13" s="285" t="s">
        <v>52</v>
      </c>
      <c r="E13" s="284" t="s">
        <v>53</v>
      </c>
      <c r="F13" s="242"/>
      <c r="G13" s="302"/>
      <c r="H13" s="302"/>
      <c r="I13" s="302"/>
      <c r="J13" s="302"/>
      <c r="K13" s="242"/>
      <c r="L13" s="242"/>
      <c r="M13" s="242"/>
      <c r="N13" s="242"/>
      <c r="O13" s="242"/>
      <c r="P13" s="242"/>
      <c r="Q13" s="242"/>
      <c r="R13" s="242"/>
      <c r="S13" s="242"/>
      <c r="T13" s="242"/>
    </row>
    <row r="14" spans="1:27" x14ac:dyDescent="0.2">
      <c r="K14" s="289"/>
      <c r="L14" s="289"/>
      <c r="M14" s="290"/>
      <c r="N14" s="290"/>
      <c r="O14" s="290"/>
      <c r="P14" s="290"/>
      <c r="Q14" s="290"/>
      <c r="R14" s="290"/>
      <c r="S14" s="290"/>
      <c r="T14" s="242"/>
      <c r="U14" s="229"/>
      <c r="V14" s="229"/>
      <c r="W14" s="229"/>
      <c r="X14" s="229"/>
    </row>
    <row r="15" spans="1:27" s="331" customFormat="1" x14ac:dyDescent="0.2">
      <c r="B15" s="287" t="s">
        <v>240</v>
      </c>
      <c r="C15" s="329"/>
      <c r="D15" s="232"/>
      <c r="E15" s="232"/>
      <c r="F15" s="229"/>
      <c r="G15" s="229"/>
      <c r="H15" s="290"/>
      <c r="I15" s="229"/>
      <c r="J15" s="229"/>
      <c r="K15" s="229"/>
      <c r="L15" s="229"/>
      <c r="M15" s="229"/>
      <c r="N15" s="229"/>
      <c r="O15" s="229"/>
      <c r="P15" s="229"/>
      <c r="Q15" s="229"/>
      <c r="R15" s="229"/>
      <c r="S15" s="229"/>
      <c r="T15" s="229"/>
      <c r="U15" s="229"/>
      <c r="V15" s="229"/>
      <c r="W15" s="229"/>
      <c r="X15" s="229"/>
      <c r="Y15" s="330"/>
      <c r="Z15" s="330"/>
      <c r="AA15" s="330"/>
    </row>
    <row r="16" spans="1:27" s="331" customFormat="1" x14ac:dyDescent="0.2">
      <c r="B16" s="332"/>
      <c r="C16" s="329"/>
      <c r="D16" s="232"/>
      <c r="E16" s="232"/>
      <c r="F16" s="229"/>
      <c r="G16" s="229"/>
      <c r="H16" s="229"/>
      <c r="I16" s="229"/>
      <c r="J16" s="229"/>
      <c r="K16" s="229"/>
      <c r="L16" s="229"/>
      <c r="M16" s="229"/>
      <c r="N16" s="229"/>
      <c r="O16" s="229"/>
      <c r="P16" s="229"/>
      <c r="Q16" s="229"/>
      <c r="R16" s="229"/>
      <c r="S16" s="229"/>
      <c r="T16" s="229"/>
      <c r="U16" s="229"/>
      <c r="V16" s="229"/>
      <c r="W16" s="229"/>
      <c r="X16" s="229"/>
      <c r="Y16" s="330"/>
      <c r="Z16" s="330"/>
      <c r="AA16" s="330"/>
    </row>
    <row r="17" spans="2:24" x14ac:dyDescent="0.2">
      <c r="B17" s="229" t="s">
        <v>95</v>
      </c>
      <c r="C17" s="280" t="s">
        <v>242</v>
      </c>
      <c r="I17" s="232"/>
      <c r="L17" s="229"/>
      <c r="M17" s="238">
        <f>SUMIFS('Forecast capex'!$Q$9:$Q$1940,'Forecast capex'!$AD$9:$AD$1940,$B17,'Forecast capex'!$J$9:$J$1940,M$11)</f>
        <v>14351093.540791301</v>
      </c>
      <c r="N17" s="238">
        <f>SUMIFS('Forecast capex'!$Q$9:$Q$1940,'Forecast capex'!$AD$9:$AD$1940,$B17,'Forecast capex'!$J$9:$J$1940,N$11)</f>
        <v>9092374.7373202071</v>
      </c>
      <c r="O17" s="238">
        <f>SUMIFS('Forecast capex'!$Q$9:$Q$1940,'Forecast capex'!$AD$9:$AD$1940,$B17,'Forecast capex'!$J$9:$J$1940,O$11)</f>
        <v>7100396.2504258044</v>
      </c>
      <c r="P17" s="238">
        <f>SUMIFS('Forecast capex'!$Q$9:$Q$1940,'Forecast capex'!$AD$9:$AD$1940,$B17,'Forecast capex'!$J$9:$J$1940,P$11)</f>
        <v>7100396.2504258044</v>
      </c>
      <c r="Q17" s="238">
        <f>SUMIFS('Forecast capex'!$Q$9:$Q$1940,'Forecast capex'!$AD$9:$AD$1940,$B17,'Forecast capex'!$J$9:$J$1940,Q$11)</f>
        <v>9799695.0005677398</v>
      </c>
      <c r="R17" s="238">
        <f>SUMIFS('Forecast capex'!$Q$9:$Q$1940,'Forecast capex'!$AD$9:$AD$1940,$B17,'Forecast capex'!$J$9:$J$1940,R$11)</f>
        <v>11291035.875567744</v>
      </c>
      <c r="S17" s="238">
        <f>SUMIFS('Forecast capex'!$Q$9:$Q$1940,'Forecast capex'!$AD$9:$AD$1940,$B17,'Forecast capex'!$J$9:$J$1940,S$11)</f>
        <v>13279491.875</v>
      </c>
      <c r="T17" s="229"/>
      <c r="U17" s="229"/>
      <c r="V17" s="229"/>
      <c r="W17" s="229"/>
      <c r="X17" s="229"/>
    </row>
    <row r="18" spans="2:24" x14ac:dyDescent="0.2">
      <c r="B18" s="229" t="s">
        <v>77</v>
      </c>
      <c r="C18" s="280" t="s">
        <v>242</v>
      </c>
      <c r="I18" s="232"/>
      <c r="L18" s="229"/>
      <c r="M18" s="238">
        <f>SUMIFS('Forecast capex'!$Q$9:$Q$1940,'Forecast capex'!$AD$9:$AD$1940,$B18,'Forecast capex'!$J$9:$J$1940,M$11)</f>
        <v>7250323.9229699727</v>
      </c>
      <c r="N18" s="238">
        <f>SUMIFS('Forecast capex'!$Q$9:$Q$1940,'Forecast capex'!$AD$9:$AD$1940,$B18,'Forecast capex'!$J$9:$J$1940,N$11)</f>
        <v>5237770</v>
      </c>
      <c r="O18" s="238">
        <f>SUMIFS('Forecast capex'!$Q$9:$Q$1940,'Forecast capex'!$AD$9:$AD$1940,$B18,'Forecast capex'!$J$9:$J$1940,O$11)</f>
        <v>3685106.4166073739</v>
      </c>
      <c r="P18" s="238">
        <f>SUMIFS('Forecast capex'!$Q$9:$Q$1940,'Forecast capex'!$AD$9:$AD$1940,$B18,'Forecast capex'!$J$9:$J$1940,P$11)</f>
        <v>2237863.8466429492</v>
      </c>
      <c r="Q18" s="238">
        <f>SUMIFS('Forecast capex'!$Q$9:$Q$1940,'Forecast capex'!$AD$9:$AD$1940,$B18,'Forecast capex'!$J$9:$J$1940,Q$11)</f>
        <v>4295969.6428090231</v>
      </c>
      <c r="R18" s="238">
        <f>SUMIFS('Forecast capex'!$Q$9:$Q$1940,'Forecast capex'!$AD$9:$AD$1940,$B18,'Forecast capex'!$J$9:$J$1940,R$11)</f>
        <v>2937196.298718872</v>
      </c>
      <c r="S18" s="238">
        <f>SUMIFS('Forecast capex'!$Q$9:$Q$1940,'Forecast capex'!$AD$9:$AD$1940,$B18,'Forecast capex'!$J$9:$J$1940,S$11)</f>
        <v>3007130</v>
      </c>
      <c r="T18" s="229"/>
      <c r="U18" s="229"/>
      <c r="V18" s="229"/>
      <c r="W18" s="229"/>
      <c r="X18" s="229"/>
    </row>
    <row r="19" spans="2:24" x14ac:dyDescent="0.2">
      <c r="B19" s="232" t="s">
        <v>100</v>
      </c>
      <c r="C19" s="280" t="s">
        <v>242</v>
      </c>
      <c r="I19" s="232"/>
      <c r="L19" s="229"/>
      <c r="M19" s="238">
        <f>SUMIFS('Forecast capex'!$Q$9:$Q$1940,'Forecast capex'!$AD$9:$AD$1940,$B19,'Forecast capex'!$J$9:$J$1940,M$11)</f>
        <v>36713342.015259244</v>
      </c>
      <c r="N19" s="238">
        <f>SUMIFS('Forecast capex'!$Q$9:$Q$1940,'Forecast capex'!$AD$9:$AD$1940,$B19,'Forecast capex'!$J$9:$J$1940,N$11)</f>
        <v>49776078.48668091</v>
      </c>
      <c r="O19" s="238">
        <f>SUMIFS('Forecast capex'!$Q$9:$Q$1940,'Forecast capex'!$AD$9:$AD$1940,$B19,'Forecast capex'!$J$9:$J$1940,O$11)</f>
        <v>53375650.216000006</v>
      </c>
      <c r="P19" s="238">
        <f>SUMIFS('Forecast capex'!$Q$9:$Q$1940,'Forecast capex'!$AD$9:$AD$1940,$B19,'Forecast capex'!$J$9:$J$1940,P$11)</f>
        <v>55141657.475749999</v>
      </c>
      <c r="Q19" s="238">
        <f>SUMIFS('Forecast capex'!$Q$9:$Q$1940,'Forecast capex'!$AD$9:$AD$1940,$B19,'Forecast capex'!$J$9:$J$1940,Q$11)</f>
        <v>55346642.377500005</v>
      </c>
      <c r="R19" s="238">
        <f>SUMIFS('Forecast capex'!$Q$9:$Q$1940,'Forecast capex'!$AD$9:$AD$1940,$B19,'Forecast capex'!$J$9:$J$1940,R$11)</f>
        <v>51608843.826750003</v>
      </c>
      <c r="S19" s="238">
        <f>SUMIFS('Forecast capex'!$Q$9:$Q$1940,'Forecast capex'!$AD$9:$AD$1940,$B19,'Forecast capex'!$J$9:$J$1940,S$11)</f>
        <v>43142023.049999997</v>
      </c>
      <c r="T19" s="229"/>
      <c r="U19" s="229"/>
      <c r="V19" s="229"/>
      <c r="W19" s="229"/>
      <c r="X19" s="229"/>
    </row>
    <row r="20" spans="2:24" x14ac:dyDescent="0.2">
      <c r="B20" s="229" t="s">
        <v>93</v>
      </c>
      <c r="C20" s="280" t="s">
        <v>242</v>
      </c>
      <c r="I20" s="232"/>
      <c r="L20" s="229"/>
      <c r="M20" s="238">
        <f>SUMIFS('Forecast capex'!$Q$9:$Q$1940,'Forecast capex'!$AD$9:$AD$1940,$B20,'Forecast capex'!$J$9:$J$1940,M$11)</f>
        <v>1242230.0639474629</v>
      </c>
      <c r="N20" s="238">
        <f>SUMIFS('Forecast capex'!$Q$9:$Q$1940,'Forecast capex'!$AD$9:$AD$1940,$B20,'Forecast capex'!$J$9:$J$1940,N$11)</f>
        <v>1917143.9536491251</v>
      </c>
      <c r="O20" s="238">
        <f>SUMIFS('Forecast capex'!$Q$9:$Q$1940,'Forecast capex'!$AD$9:$AD$1940,$B20,'Forecast capex'!$J$9:$J$1940,O$11)</f>
        <v>1821286.7559666694</v>
      </c>
      <c r="P20" s="238">
        <f>SUMIFS('Forecast capex'!$Q$9:$Q$1940,'Forecast capex'!$AD$9:$AD$1940,$B20,'Forecast capex'!$J$9:$J$1940,P$11)</f>
        <v>1821286.7559666694</v>
      </c>
      <c r="Q20" s="238">
        <f>SUMIFS('Forecast capex'!$Q$9:$Q$1940,'Forecast capex'!$AD$9:$AD$1940,$B20,'Forecast capex'!$J$9:$J$1940,Q$11)</f>
        <v>1821286.7559666694</v>
      </c>
      <c r="R20" s="238">
        <f>SUMIFS('Forecast capex'!$Q$9:$Q$1940,'Forecast capex'!$AD$9:$AD$1940,$B20,'Forecast capex'!$J$9:$J$1940,R$11)</f>
        <v>1821286.7559666694</v>
      </c>
      <c r="S20" s="238">
        <f>SUMIFS('Forecast capex'!$Q$9:$Q$1940,'Forecast capex'!$AD$9:$AD$1940,$B20,'Forecast capex'!$J$9:$J$1940,S$11)</f>
        <v>1821290.1249999995</v>
      </c>
      <c r="T20" s="229"/>
      <c r="U20" s="229"/>
      <c r="V20" s="229"/>
      <c r="W20" s="229"/>
      <c r="X20" s="229"/>
    </row>
    <row r="21" spans="2:24" x14ac:dyDescent="0.2">
      <c r="C21" s="280"/>
      <c r="D21" s="243"/>
      <c r="E21" s="243"/>
      <c r="F21" s="243"/>
      <c r="G21" s="243"/>
      <c r="H21" s="243"/>
      <c r="I21" s="243"/>
      <c r="J21" s="243"/>
      <c r="K21" s="243"/>
      <c r="L21" s="288"/>
      <c r="M21" s="294"/>
      <c r="N21" s="294"/>
      <c r="O21" s="294"/>
      <c r="P21" s="294"/>
      <c r="Q21" s="294"/>
      <c r="R21" s="294"/>
      <c r="S21" s="294"/>
      <c r="T21" s="229"/>
      <c r="U21" s="229"/>
      <c r="V21" s="229"/>
      <c r="W21" s="229"/>
      <c r="X21" s="229"/>
    </row>
    <row r="22" spans="2:24" x14ac:dyDescent="0.2">
      <c r="B22" s="243" t="s">
        <v>270</v>
      </c>
      <c r="C22" s="280"/>
      <c r="I22" s="232"/>
      <c r="L22" s="229"/>
      <c r="M22" s="238"/>
      <c r="N22" s="238"/>
      <c r="O22" s="238"/>
      <c r="P22" s="238"/>
      <c r="Q22" s="238"/>
      <c r="R22" s="238"/>
      <c r="S22" s="238"/>
      <c r="T22" s="229"/>
      <c r="U22" s="229"/>
      <c r="V22" s="229"/>
      <c r="W22" s="229"/>
      <c r="X22" s="229"/>
    </row>
    <row r="23" spans="2:24" x14ac:dyDescent="0.2">
      <c r="B23" s="232" t="s">
        <v>97</v>
      </c>
      <c r="C23" s="280" t="s">
        <v>242</v>
      </c>
      <c r="I23" s="232"/>
      <c r="L23" s="229"/>
      <c r="M23" s="238">
        <f>SUMIFS('Forecast capex'!$Q$9:$Q$1940,'Forecast capex'!$AD$9:$AD$1940,$B23,'Forecast capex'!$J$9:$J$1940,M$11)</f>
        <v>1157459.3187561035</v>
      </c>
      <c r="N23" s="238">
        <f>SUMIFS('Forecast capex'!$Q$9:$Q$1940,'Forecast capex'!$AD$9:$AD$1940,$B23,'Forecast capex'!$J$9:$J$1940,N$11)</f>
        <v>236453.33333333331</v>
      </c>
      <c r="O23" s="238">
        <f>SUMIFS('Forecast capex'!$Q$9:$Q$1940,'Forecast capex'!$AD$9:$AD$1940,$B23,'Forecast capex'!$J$9:$J$1940,O$11)</f>
        <v>435174.41666666663</v>
      </c>
      <c r="P23" s="238">
        <f>SUMIFS('Forecast capex'!$Q$9:$Q$1940,'Forecast capex'!$AD$9:$AD$1940,$B23,'Forecast capex'!$J$9:$J$1940,P$11)</f>
        <v>435174.41666666663</v>
      </c>
      <c r="Q23" s="238">
        <f>SUMIFS('Forecast capex'!$Q$9:$Q$1940,'Forecast capex'!$AD$9:$AD$1940,$B23,'Forecast capex'!$J$9:$J$1940,Q$11)</f>
        <v>214320</v>
      </c>
      <c r="R23" s="238">
        <f>SUMIFS('Forecast capex'!$Q$9:$Q$1940,'Forecast capex'!$AD$9:$AD$1940,$B23,'Forecast capex'!$J$9:$J$1940,R$11)</f>
        <v>858705</v>
      </c>
      <c r="S23" s="238">
        <f>SUMIFS('Forecast capex'!$Q$9:$Q$1940,'Forecast capex'!$AD$9:$AD$1940,$B23,'Forecast capex'!$J$9:$J$1940,S$11)</f>
        <v>644385</v>
      </c>
      <c r="T23" s="229"/>
      <c r="U23" s="229"/>
      <c r="V23" s="229"/>
      <c r="W23" s="229"/>
      <c r="X23" s="229"/>
    </row>
    <row r="24" spans="2:24" x14ac:dyDescent="0.2">
      <c r="B24" s="232" t="s">
        <v>121</v>
      </c>
      <c r="C24" s="280" t="s">
        <v>242</v>
      </c>
      <c r="I24" s="232"/>
      <c r="L24" s="229"/>
      <c r="M24" s="238">
        <f>SUMIFS('Forecast capex'!$Q$9:$Q$1940,'Forecast capex'!$AD$9:$AD$1940,$B24,'Forecast capex'!$J$9:$J$1940,M$11)</f>
        <v>0</v>
      </c>
      <c r="N24" s="238">
        <f>SUMIFS('Forecast capex'!$Q$9:$Q$1940,'Forecast capex'!$AD$9:$AD$1940,$B24,'Forecast capex'!$J$9:$J$1940,N$11)</f>
        <v>0</v>
      </c>
      <c r="O24" s="238">
        <f>SUMIFS('Forecast capex'!$Q$9:$Q$1940,'Forecast capex'!$AD$9:$AD$1940,$B24,'Forecast capex'!$J$9:$J$1940,O$11)</f>
        <v>0</v>
      </c>
      <c r="P24" s="238">
        <f>SUMIFS('Forecast capex'!$Q$9:$Q$1940,'Forecast capex'!$AD$9:$AD$1940,$B24,'Forecast capex'!$J$9:$J$1940,P$11)</f>
        <v>0</v>
      </c>
      <c r="Q24" s="238">
        <f>SUMIFS('Forecast capex'!$Q$9:$Q$1940,'Forecast capex'!$AD$9:$AD$1940,$B24,'Forecast capex'!$J$9:$J$1940,Q$11)</f>
        <v>0</v>
      </c>
      <c r="R24" s="238">
        <f>SUMIFS('Forecast capex'!$Q$9:$Q$1940,'Forecast capex'!$AD$9:$AD$1940,$B24,'Forecast capex'!$J$9:$J$1940,R$11)</f>
        <v>0</v>
      </c>
      <c r="S24" s="238">
        <f>SUMIFS('Forecast capex'!$Q$9:$Q$1940,'Forecast capex'!$AD$9:$AD$1940,$B24,'Forecast capex'!$J$9:$J$1940,S$11)</f>
        <v>0</v>
      </c>
      <c r="T24" s="229"/>
      <c r="U24" s="229"/>
      <c r="V24" s="229"/>
      <c r="W24" s="229"/>
      <c r="X24" s="229"/>
    </row>
    <row r="25" spans="2:24" x14ac:dyDescent="0.2">
      <c r="B25" s="232" t="s">
        <v>122</v>
      </c>
      <c r="C25" s="280" t="s">
        <v>242</v>
      </c>
      <c r="D25" s="243"/>
      <c r="E25" s="243"/>
      <c r="F25" s="243"/>
      <c r="G25" s="243"/>
      <c r="H25" s="243"/>
      <c r="I25" s="243"/>
      <c r="J25" s="243"/>
      <c r="K25" s="243"/>
      <c r="L25" s="288"/>
      <c r="M25" s="238">
        <f>SUMIFS('Forecast capex'!$Q$9:$Q$1940,'Forecast capex'!$AD$9:$AD$1940,$B25,'Forecast capex'!$J$9:$J$1940,M$11)</f>
        <v>0</v>
      </c>
      <c r="N25" s="238">
        <f>SUMIFS('Forecast capex'!$Q$9:$Q$1940,'Forecast capex'!$AD$9:$AD$1940,$B25,'Forecast capex'!$J$9:$J$1940,N$11)</f>
        <v>0</v>
      </c>
      <c r="O25" s="238">
        <f>SUMIFS('Forecast capex'!$Q$9:$Q$1940,'Forecast capex'!$AD$9:$AD$1940,$B25,'Forecast capex'!$J$9:$J$1940,O$11)</f>
        <v>0</v>
      </c>
      <c r="P25" s="238">
        <f>SUMIFS('Forecast capex'!$Q$9:$Q$1940,'Forecast capex'!$AD$9:$AD$1940,$B25,'Forecast capex'!$J$9:$J$1940,P$11)</f>
        <v>0</v>
      </c>
      <c r="Q25" s="238">
        <f>SUMIFS('Forecast capex'!$Q$9:$Q$1940,'Forecast capex'!$AD$9:$AD$1940,$B25,'Forecast capex'!$J$9:$J$1940,Q$11)</f>
        <v>0</v>
      </c>
      <c r="R25" s="238">
        <f>SUMIFS('Forecast capex'!$Q$9:$Q$1940,'Forecast capex'!$AD$9:$AD$1940,$B25,'Forecast capex'!$J$9:$J$1940,R$11)</f>
        <v>0</v>
      </c>
      <c r="S25" s="238">
        <f>SUMIFS('Forecast capex'!$Q$9:$Q$1940,'Forecast capex'!$AD$9:$AD$1940,$B25,'Forecast capex'!$J$9:$J$1940,S$11)</f>
        <v>0</v>
      </c>
      <c r="T25" s="229"/>
      <c r="U25" s="229"/>
      <c r="V25" s="229"/>
      <c r="W25" s="229"/>
      <c r="X25" s="229"/>
    </row>
    <row r="26" spans="2:24" s="243" customFormat="1" x14ac:dyDescent="0.2">
      <c r="B26" s="243" t="s">
        <v>272</v>
      </c>
      <c r="C26" s="337" t="s">
        <v>242</v>
      </c>
      <c r="L26" s="288"/>
      <c r="M26" s="235">
        <f t="shared" ref="M26:S26" si="1">SUM(M22:M25)</f>
        <v>1157459.3187561035</v>
      </c>
      <c r="N26" s="235">
        <f t="shared" si="1"/>
        <v>236453.33333333331</v>
      </c>
      <c r="O26" s="235">
        <f t="shared" si="1"/>
        <v>435174.41666666663</v>
      </c>
      <c r="P26" s="235">
        <f t="shared" si="1"/>
        <v>435174.41666666663</v>
      </c>
      <c r="Q26" s="235">
        <f t="shared" si="1"/>
        <v>214320</v>
      </c>
      <c r="R26" s="235">
        <f t="shared" si="1"/>
        <v>858705</v>
      </c>
      <c r="S26" s="235">
        <f t="shared" si="1"/>
        <v>644385</v>
      </c>
      <c r="T26" s="288"/>
      <c r="U26" s="288"/>
      <c r="V26" s="288"/>
      <c r="W26" s="288"/>
      <c r="X26" s="288"/>
    </row>
    <row r="27" spans="2:24" x14ac:dyDescent="0.2">
      <c r="C27" s="337"/>
      <c r="D27" s="243"/>
      <c r="E27" s="243"/>
      <c r="F27" s="243"/>
      <c r="G27" s="243"/>
      <c r="H27" s="243"/>
      <c r="I27" s="243"/>
      <c r="J27" s="243"/>
      <c r="K27" s="243"/>
      <c r="L27" s="288"/>
      <c r="M27" s="294"/>
      <c r="N27" s="294"/>
      <c r="O27" s="294"/>
      <c r="P27" s="294"/>
      <c r="Q27" s="294"/>
      <c r="R27" s="294"/>
      <c r="S27" s="294"/>
      <c r="T27" s="229"/>
      <c r="U27" s="229"/>
      <c r="V27" s="229"/>
      <c r="W27" s="229"/>
      <c r="X27" s="229"/>
    </row>
    <row r="28" spans="2:24" s="243" customFormat="1" x14ac:dyDescent="0.2">
      <c r="B28" s="243" t="s">
        <v>424</v>
      </c>
      <c r="C28" s="337" t="s">
        <v>242</v>
      </c>
      <c r="I28" s="335"/>
      <c r="L28" s="288"/>
      <c r="M28" s="235">
        <f t="shared" ref="M28:S28" si="2">SUM(M17:M25)</f>
        <v>60714448.861724086</v>
      </c>
      <c r="N28" s="235">
        <f t="shared" si="2"/>
        <v>66259820.510983579</v>
      </c>
      <c r="O28" s="235">
        <f t="shared" si="2"/>
        <v>66417614.055666521</v>
      </c>
      <c r="P28" s="235">
        <f t="shared" si="2"/>
        <v>66736378.745452091</v>
      </c>
      <c r="Q28" s="235">
        <f t="shared" si="2"/>
        <v>71477913.776843429</v>
      </c>
      <c r="R28" s="235">
        <f t="shared" si="2"/>
        <v>68517067.757003278</v>
      </c>
      <c r="S28" s="235">
        <f t="shared" si="2"/>
        <v>61894320.049999997</v>
      </c>
      <c r="T28" s="288"/>
      <c r="U28" s="288"/>
      <c r="V28" s="288"/>
      <c r="W28" s="288"/>
      <c r="X28" s="288"/>
    </row>
    <row r="29" spans="2:24" x14ac:dyDescent="0.2">
      <c r="C29" s="280"/>
      <c r="L29" s="229"/>
      <c r="M29" s="238"/>
      <c r="N29" s="238"/>
      <c r="O29" s="238"/>
      <c r="P29" s="238"/>
      <c r="Q29" s="238"/>
      <c r="R29" s="238"/>
      <c r="S29" s="238"/>
      <c r="T29" s="229"/>
      <c r="U29" s="229"/>
      <c r="V29" s="229"/>
      <c r="W29" s="229"/>
      <c r="X29" s="229"/>
    </row>
    <row r="30" spans="2:24" x14ac:dyDescent="0.2">
      <c r="B30" s="232" t="s">
        <v>274</v>
      </c>
      <c r="C30" s="280" t="s">
        <v>242</v>
      </c>
      <c r="L30" s="229"/>
      <c r="M30" s="238">
        <f>SUMIFS('Forecast capex'!$Q$9:$Q$1940,'Forecast capex'!$AD$9:$AD$1940,$B30,'Forecast capex'!$J$9:$J$1940,M$11)</f>
        <v>8614629.043586975</v>
      </c>
      <c r="N30" s="238">
        <f>SUMIFS('Forecast capex'!$Q$9:$Q$1940,'Forecast capex'!$AD$9:$AD$1940,$B30,'Forecast capex'!$J$9:$J$1940,N$11)</f>
        <v>6236950.3846071791</v>
      </c>
      <c r="O30" s="238">
        <f>SUMIFS('Forecast capex'!$Q$9:$Q$1940,'Forecast capex'!$AD$9:$AD$1940,$B30,'Forecast capex'!$J$9:$J$1940,O$11)</f>
        <v>6378690.6181356031</v>
      </c>
      <c r="P30" s="238">
        <f>SUMIFS('Forecast capex'!$Q$9:$Q$1940,'Forecast capex'!$AD$9:$AD$1940,$B30,'Forecast capex'!$J$9:$J$1940,P$11)</f>
        <v>2902945.0603379277</v>
      </c>
      <c r="Q30" s="238">
        <f>SUMIFS('Forecast capex'!$Q$9:$Q$1940,'Forecast capex'!$AD$9:$AD$1940,$B30,'Forecast capex'!$J$9:$J$1940,Q$11)</f>
        <v>2741079.6606969554</v>
      </c>
      <c r="R30" s="238">
        <f>SUMIFS('Forecast capex'!$Q$9:$Q$1940,'Forecast capex'!$AD$9:$AD$1940,$B30,'Forecast capex'!$J$9:$J$1940,R$11)</f>
        <v>2234712.4351815931</v>
      </c>
      <c r="S30" s="238">
        <f>SUMIFS('Forecast capex'!$Q$9:$Q$1940,'Forecast capex'!$AD$9:$AD$1940,$B30,'Forecast capex'!$J$9:$J$1940,S$11)</f>
        <v>2059840.7</v>
      </c>
      <c r="T30" s="229"/>
      <c r="U30" s="229"/>
      <c r="V30" s="229"/>
      <c r="W30" s="229"/>
      <c r="X30" s="229"/>
    </row>
    <row r="31" spans="2:24" x14ac:dyDescent="0.2">
      <c r="B31" s="243" t="s">
        <v>296</v>
      </c>
      <c r="C31" s="337" t="s">
        <v>242</v>
      </c>
      <c r="L31" s="229"/>
      <c r="M31" s="235">
        <f t="shared" ref="M31:S31" si="3">M28+M30</f>
        <v>69329077.905311063</v>
      </c>
      <c r="N31" s="235">
        <f t="shared" si="3"/>
        <v>72496770.895590752</v>
      </c>
      <c r="O31" s="235">
        <f t="shared" si="3"/>
        <v>72796304.673802122</v>
      </c>
      <c r="P31" s="235">
        <f t="shared" si="3"/>
        <v>69639323.805790022</v>
      </c>
      <c r="Q31" s="235">
        <f t="shared" si="3"/>
        <v>74218993.437540382</v>
      </c>
      <c r="R31" s="235">
        <f t="shared" si="3"/>
        <v>70751780.192184865</v>
      </c>
      <c r="S31" s="235">
        <f t="shared" si="3"/>
        <v>63954160.75</v>
      </c>
      <c r="T31" s="229"/>
      <c r="U31" s="229"/>
      <c r="V31" s="229"/>
      <c r="W31" s="229"/>
      <c r="X31" s="229"/>
    </row>
    <row r="32" spans="2:24" x14ac:dyDescent="0.2">
      <c r="L32" s="229"/>
      <c r="M32" s="229"/>
      <c r="N32" s="229"/>
      <c r="O32" s="229"/>
      <c r="P32" s="229"/>
      <c r="Q32" s="229"/>
      <c r="R32" s="229"/>
      <c r="S32" s="229"/>
      <c r="T32" s="229"/>
      <c r="U32" s="229"/>
      <c r="V32" s="229"/>
      <c r="W32" s="229"/>
      <c r="X32" s="229"/>
    </row>
    <row r="33" spans="2:27" s="331" customFormat="1" x14ac:dyDescent="0.2">
      <c r="B33" s="242" t="s">
        <v>222</v>
      </c>
      <c r="C33" s="280" t="s">
        <v>58</v>
      </c>
      <c r="D33" s="297">
        <f>SUM(H33:S33)</f>
        <v>0</v>
      </c>
      <c r="E33" s="298"/>
      <c r="F33" s="229"/>
      <c r="G33" s="229"/>
      <c r="H33" s="229"/>
      <c r="I33" s="229"/>
      <c r="J33" s="229"/>
      <c r="K33" s="229"/>
      <c r="L33" s="229"/>
      <c r="M33" s="228">
        <f>IF(ABS(M31-SUMIFS('Forecast capex'!$Q$9:$Q$1940,'Forecast capex'!$J$9:$J$1940,M$11))&gt;0.001,1,0)</f>
        <v>0</v>
      </c>
      <c r="N33" s="228">
        <f>IF(ABS(N31-SUMIFS('Forecast capex'!$Q$9:$Q$1940,'Forecast capex'!$J$9:$J$1940,N$11))&gt;0.001,1,0)</f>
        <v>0</v>
      </c>
      <c r="O33" s="228">
        <f>IF(ABS(O31-SUMIFS('Forecast capex'!$Q$9:$Q$1940,'Forecast capex'!$J$9:$J$1940,O$11))&gt;0.001,1,0)</f>
        <v>0</v>
      </c>
      <c r="P33" s="228">
        <f>IF(ABS(P31-SUMIFS('Forecast capex'!$Q$9:$Q$1940,'Forecast capex'!$J$9:$J$1940,P$11))&gt;0.001,1,0)</f>
        <v>0</v>
      </c>
      <c r="Q33" s="228">
        <f>IF(ABS(Q31-SUMIFS('Forecast capex'!$Q$9:$Q$1940,'Forecast capex'!$J$9:$J$1940,Q$11))&gt;0.001,1,0)</f>
        <v>0</v>
      </c>
      <c r="R33" s="228">
        <f>IF(ABS(R31-SUMIFS('Forecast capex'!$Q$9:$Q$1940,'Forecast capex'!$J$9:$J$1940,R$11))&gt;0.001,1,0)</f>
        <v>0</v>
      </c>
      <c r="S33" s="228">
        <f>IF(ABS(S31-SUMIFS('Forecast capex'!$Q$9:$Q$1940,'Forecast capex'!$J$9:$J$1940,S$11))&gt;0.001,1,0)</f>
        <v>0</v>
      </c>
      <c r="T33" s="229"/>
      <c r="U33" s="229"/>
      <c r="V33" s="229"/>
      <c r="W33" s="229"/>
      <c r="X33" s="229"/>
      <c r="Y33" s="330"/>
      <c r="Z33" s="330"/>
      <c r="AA33" s="330"/>
    </row>
    <row r="34" spans="2:27" x14ac:dyDescent="0.2">
      <c r="B34" s="229"/>
      <c r="C34" s="338"/>
      <c r="D34" s="229"/>
      <c r="E34" s="229"/>
      <c r="F34" s="229"/>
      <c r="G34" s="229"/>
      <c r="H34" s="229"/>
      <c r="I34" s="230"/>
      <c r="J34" s="229"/>
      <c r="K34" s="229"/>
      <c r="L34" s="229"/>
      <c r="M34" s="229"/>
      <c r="N34" s="229"/>
      <c r="O34" s="229"/>
      <c r="P34" s="229"/>
      <c r="Q34" s="229"/>
      <c r="R34" s="229"/>
      <c r="S34" s="229"/>
      <c r="T34" s="229"/>
      <c r="U34" s="229"/>
      <c r="V34" s="229"/>
      <c r="W34" s="229"/>
      <c r="X34" s="229"/>
    </row>
    <row r="35" spans="2:27" s="331" customFormat="1" x14ac:dyDescent="0.2">
      <c r="B35" s="287" t="s">
        <v>249</v>
      </c>
      <c r="C35" s="329"/>
      <c r="D35" s="229"/>
      <c r="E35" s="229"/>
      <c r="F35" s="229"/>
      <c r="G35" s="229"/>
      <c r="H35" s="290"/>
      <c r="I35" s="229"/>
      <c r="J35" s="229"/>
      <c r="K35" s="229"/>
      <c r="L35" s="229"/>
      <c r="M35" s="229"/>
      <c r="N35" s="229"/>
      <c r="O35" s="229"/>
      <c r="P35" s="229"/>
      <c r="Q35" s="229"/>
      <c r="R35" s="229"/>
      <c r="S35" s="229"/>
      <c r="T35" s="229"/>
      <c r="U35" s="229"/>
      <c r="V35" s="229"/>
      <c r="W35" s="229"/>
      <c r="X35" s="229"/>
      <c r="Y35" s="330"/>
      <c r="Z35" s="330"/>
      <c r="AA35" s="330"/>
    </row>
    <row r="36" spans="2:27" s="331" customFormat="1" x14ac:dyDescent="0.2">
      <c r="B36" s="332"/>
      <c r="C36" s="329"/>
      <c r="D36" s="229"/>
      <c r="E36" s="229"/>
      <c r="F36" s="229"/>
      <c r="G36" s="229"/>
      <c r="H36" s="229"/>
      <c r="I36" s="229"/>
      <c r="J36" s="229"/>
      <c r="K36" s="229"/>
      <c r="L36" s="229"/>
      <c r="M36" s="229"/>
      <c r="N36" s="229"/>
      <c r="O36" s="229"/>
      <c r="P36" s="229"/>
      <c r="Q36" s="229"/>
      <c r="R36" s="229"/>
      <c r="S36" s="229"/>
      <c r="T36" s="229"/>
      <c r="U36" s="229"/>
      <c r="V36" s="229"/>
      <c r="W36" s="229"/>
      <c r="X36" s="229"/>
      <c r="Y36" s="330"/>
      <c r="Z36" s="330"/>
      <c r="AA36" s="330"/>
    </row>
    <row r="37" spans="2:27" x14ac:dyDescent="0.2">
      <c r="B37" s="229" t="s">
        <v>95</v>
      </c>
      <c r="C37" s="280" t="s">
        <v>250</v>
      </c>
      <c r="D37" s="229"/>
      <c r="E37" s="229"/>
      <c r="F37" s="229"/>
      <c r="G37" s="229"/>
      <c r="H37" s="229"/>
      <c r="I37" s="229"/>
      <c r="J37" s="229"/>
      <c r="K37" s="229"/>
      <c r="L37" s="229"/>
      <c r="M37" s="238">
        <f>SUMIFS('Forecast capex'!$X$9:$X$1940,'Forecast capex'!$AD$9:$AD$1940,$B37,'Forecast capex'!$J$9:$J$1940,M$11)</f>
        <v>14351093.540791301</v>
      </c>
      <c r="N37" s="238">
        <f>SUMIFS('Forecast capex'!$X$9:$X$1940,'Forecast capex'!$AD$9:$AD$1940,$B37,'Forecast capex'!$J$9:$J$1940,N$11)</f>
        <v>9210908.500373913</v>
      </c>
      <c r="O37" s="238">
        <f>SUMIFS('Forecast capex'!$X$9:$X$1940,'Forecast capex'!$AD$9:$AD$1940,$B37,'Forecast capex'!$J$9:$J$1940,O$11)</f>
        <v>7273227.2676787116</v>
      </c>
      <c r="P37" s="238">
        <f>SUMIFS('Forecast capex'!$X$9:$X$1940,'Forecast capex'!$AD$9:$AD$1940,$B37,'Forecast capex'!$J$9:$J$1940,P$11)</f>
        <v>7421414.797362389</v>
      </c>
      <c r="Q37" s="238">
        <f>SUMIFS('Forecast capex'!$X$9:$X$1940,'Forecast capex'!$AD$9:$AD$1940,$B37,'Forecast capex'!$J$9:$J$1940,Q$11)</f>
        <v>10417434.049181934</v>
      </c>
      <c r="R37" s="238">
        <f>SUMIFS('Forecast capex'!$X$9:$X$1940,'Forecast capex'!$AD$9:$AD$1940,$B37,'Forecast capex'!$J$9:$J$1940,R$11)</f>
        <v>12253669.618353385</v>
      </c>
      <c r="S37" s="238">
        <f>SUMIFS('Forecast capex'!$X$9:$X$1940,'Forecast capex'!$AD$9:$AD$1940,$B37,'Forecast capex'!$J$9:$J$1940,S$11)</f>
        <v>14713268.020488221</v>
      </c>
      <c r="T37" s="229"/>
      <c r="U37" s="229"/>
      <c r="V37" s="229"/>
      <c r="W37" s="229"/>
      <c r="X37" s="229"/>
    </row>
    <row r="38" spans="2:27" x14ac:dyDescent="0.2">
      <c r="B38" s="232" t="s">
        <v>77</v>
      </c>
      <c r="C38" s="280" t="s">
        <v>250</v>
      </c>
      <c r="D38" s="229"/>
      <c r="E38" s="229"/>
      <c r="F38" s="229"/>
      <c r="G38" s="229"/>
      <c r="H38" s="229"/>
      <c r="I38" s="229"/>
      <c r="J38" s="229"/>
      <c r="K38" s="229"/>
      <c r="L38" s="229"/>
      <c r="M38" s="238">
        <f>SUMIFS('Forecast capex'!$X$9:$X$1940,'Forecast capex'!$AD$9:$AD$1940,$B38,'Forecast capex'!$J$9:$J$1940,M$11)</f>
        <v>7250323.9229699727</v>
      </c>
      <c r="N38" s="238">
        <f>SUMIFS('Forecast capex'!$X$9:$X$1940,'Forecast capex'!$AD$9:$AD$1940,$B38,'Forecast capex'!$J$9:$J$1940,N$11)</f>
        <v>5315244.6173782824</v>
      </c>
      <c r="O38" s="238">
        <f>SUMIFS('Forecast capex'!$X$9:$X$1940,'Forecast capex'!$AD$9:$AD$1940,$B38,'Forecast capex'!$J$9:$J$1940,O$11)</f>
        <v>3792436.1692232853</v>
      </c>
      <c r="P38" s="238">
        <f>SUMIFS('Forecast capex'!$X$9:$X$1940,'Forecast capex'!$AD$9:$AD$1940,$B38,'Forecast capex'!$J$9:$J$1940,P$11)</f>
        <v>2350237.5269809379</v>
      </c>
      <c r="Q38" s="238">
        <f>SUMIFS('Forecast capex'!$X$9:$X$1940,'Forecast capex'!$AD$9:$AD$1940,$B38,'Forecast capex'!$J$9:$J$1940,Q$11)</f>
        <v>4587457.4280662937</v>
      </c>
      <c r="R38" s="238">
        <f>SUMIFS('Forecast capex'!$X$9:$X$1940,'Forecast capex'!$AD$9:$AD$1940,$B38,'Forecast capex'!$J$9:$J$1940,R$11)</f>
        <v>3203485.5710851466</v>
      </c>
      <c r="S38" s="238">
        <f>SUMIFS('Forecast capex'!$X$9:$X$1940,'Forecast capex'!$AD$9:$AD$1940,$B38,'Forecast capex'!$J$9:$J$1940,S$11)</f>
        <v>3348421.4823330184</v>
      </c>
      <c r="T38" s="229"/>
      <c r="U38" s="229"/>
      <c r="V38" s="229"/>
      <c r="W38" s="229"/>
      <c r="X38" s="229"/>
    </row>
    <row r="39" spans="2:27" x14ac:dyDescent="0.2">
      <c r="B39" s="232" t="s">
        <v>100</v>
      </c>
      <c r="C39" s="280" t="s">
        <v>250</v>
      </c>
      <c r="D39" s="229"/>
      <c r="E39" s="229"/>
      <c r="F39" s="229"/>
      <c r="G39" s="229"/>
      <c r="H39" s="229"/>
      <c r="I39" s="229"/>
      <c r="J39" s="229"/>
      <c r="K39" s="229"/>
      <c r="L39" s="229"/>
      <c r="M39" s="238">
        <f>SUMIFS('Forecast capex'!$X$9:$X$1940,'Forecast capex'!$AD$9:$AD$1940,$B39,'Forecast capex'!$J$9:$J$1940,M$11)</f>
        <v>36713342.015259244</v>
      </c>
      <c r="N39" s="238">
        <f>SUMIFS('Forecast capex'!$X$9:$X$1940,'Forecast capex'!$AD$9:$AD$1940,$B39,'Forecast capex'!$J$9:$J$1940,N$11)</f>
        <v>50520734.983864464</v>
      </c>
      <c r="O39" s="238">
        <f>SUMIFS('Forecast capex'!$X$9:$X$1940,'Forecast capex'!$AD$9:$AD$1940,$B39,'Forecast capex'!$J$9:$J$1940,O$11)</f>
        <v>54930750.117912382</v>
      </c>
      <c r="P39" s="238">
        <f>SUMIFS('Forecast capex'!$X$9:$X$1940,'Forecast capex'!$AD$9:$AD$1940,$B39,'Forecast capex'!$J$9:$J$1940,P$11)</f>
        <v>57889127.519570284</v>
      </c>
      <c r="Q39" s="238">
        <f>SUMIFS('Forecast capex'!$X$9:$X$1940,'Forecast capex'!$AD$9:$AD$1940,$B39,'Forecast capex'!$J$9:$J$1940,Q$11)</f>
        <v>58987884.291476376</v>
      </c>
      <c r="R39" s="238">
        <f>SUMIFS('Forecast capex'!$X$9:$X$1940,'Forecast capex'!$AD$9:$AD$1940,$B39,'Forecast capex'!$J$9:$J$1940,R$11)</f>
        <v>56095773.859877437</v>
      </c>
      <c r="S39" s="238">
        <f>SUMIFS('Forecast capex'!$X$9:$X$1940,'Forecast capex'!$AD$9:$AD$1940,$B39,'Forecast capex'!$J$9:$J$1940,S$11)</f>
        <v>47873287.188291594</v>
      </c>
      <c r="T39" s="229"/>
      <c r="U39" s="229"/>
      <c r="V39" s="229"/>
      <c r="W39" s="229"/>
      <c r="X39" s="229"/>
    </row>
    <row r="40" spans="2:27" x14ac:dyDescent="0.2">
      <c r="B40" s="232" t="s">
        <v>93</v>
      </c>
      <c r="C40" s="280" t="s">
        <v>250</v>
      </c>
      <c r="D40" s="229"/>
      <c r="E40" s="229"/>
      <c r="F40" s="229"/>
      <c r="G40" s="229"/>
      <c r="H40" s="229"/>
      <c r="I40" s="229"/>
      <c r="J40" s="229"/>
      <c r="K40" s="229"/>
      <c r="L40" s="229"/>
      <c r="M40" s="238">
        <f>SUMIFS('Forecast capex'!$X$9:$X$1940,'Forecast capex'!$AD$9:$AD$1940,$B40,'Forecast capex'!$J$9:$J$1940,M$11)</f>
        <v>1242230.0639474629</v>
      </c>
      <c r="N40" s="238">
        <f>SUMIFS('Forecast capex'!$X$9:$X$1940,'Forecast capex'!$AD$9:$AD$1940,$B40,'Forecast capex'!$J$9:$J$1940,N$11)</f>
        <v>1947271.3046038139</v>
      </c>
      <c r="O40" s="238">
        <f>SUMIFS('Forecast capex'!$X$9:$X$1940,'Forecast capex'!$AD$9:$AD$1940,$B40,'Forecast capex'!$J$9:$J$1940,O$11)</f>
        <v>1877374.7842002069</v>
      </c>
      <c r="P40" s="238">
        <f>SUMIFS('Forecast capex'!$X$9:$X$1940,'Forecast capex'!$AD$9:$AD$1940,$B40,'Forecast capex'!$J$9:$J$1940,P$11)</f>
        <v>1917294.4138093002</v>
      </c>
      <c r="Q40" s="238">
        <f>SUMIFS('Forecast capex'!$X$9:$X$1940,'Forecast capex'!$AD$9:$AD$1940,$B40,'Forecast capex'!$J$9:$J$1940,Q$11)</f>
        <v>1951486.6584020078</v>
      </c>
      <c r="R40" s="238">
        <f>SUMIFS('Forecast capex'!$X$9:$X$1940,'Forecast capex'!$AD$9:$AD$1940,$B40,'Forecast capex'!$J$9:$J$1940,R$11)</f>
        <v>1993380.39016361</v>
      </c>
      <c r="S40" s="238">
        <f>SUMIFS('Forecast capex'!$X$9:$X$1940,'Forecast capex'!$AD$9:$AD$1940,$B40,'Forecast capex'!$J$9:$J$1940,S$11)</f>
        <v>2036219.4845010054</v>
      </c>
      <c r="T40" s="229"/>
      <c r="U40" s="229"/>
      <c r="V40" s="229"/>
      <c r="W40" s="229"/>
      <c r="X40" s="229"/>
    </row>
    <row r="41" spans="2:27" x14ac:dyDescent="0.2">
      <c r="C41" s="280"/>
      <c r="D41" s="288"/>
      <c r="E41" s="288"/>
      <c r="F41" s="288"/>
      <c r="G41" s="288"/>
      <c r="H41" s="288"/>
      <c r="I41" s="288"/>
      <c r="J41" s="288"/>
      <c r="K41" s="288"/>
      <c r="L41" s="288"/>
      <c r="M41" s="294"/>
      <c r="N41" s="294"/>
      <c r="O41" s="294"/>
      <c r="P41" s="294"/>
      <c r="Q41" s="294"/>
      <c r="R41" s="294"/>
      <c r="S41" s="294"/>
      <c r="T41" s="229"/>
      <c r="U41" s="229"/>
      <c r="V41" s="229"/>
      <c r="W41" s="229"/>
      <c r="X41" s="229"/>
    </row>
    <row r="42" spans="2:27" x14ac:dyDescent="0.2">
      <c r="B42" s="243" t="s">
        <v>270</v>
      </c>
      <c r="C42" s="280"/>
      <c r="D42" s="229"/>
      <c r="E42" s="229"/>
      <c r="F42" s="229"/>
      <c r="G42" s="229"/>
      <c r="H42" s="229"/>
      <c r="I42" s="229"/>
      <c r="J42" s="229"/>
      <c r="K42" s="229"/>
      <c r="L42" s="229"/>
      <c r="M42" s="238"/>
      <c r="N42" s="238"/>
      <c r="O42" s="238"/>
      <c r="P42" s="238"/>
      <c r="Q42" s="238"/>
      <c r="R42" s="238"/>
      <c r="S42" s="238"/>
      <c r="T42" s="229"/>
      <c r="U42" s="229"/>
      <c r="V42" s="229"/>
      <c r="W42" s="229"/>
      <c r="X42" s="229"/>
    </row>
    <row r="43" spans="2:27" x14ac:dyDescent="0.2">
      <c r="B43" s="232" t="s">
        <v>97</v>
      </c>
      <c r="C43" s="280" t="s">
        <v>250</v>
      </c>
      <c r="D43" s="229"/>
      <c r="E43" s="229"/>
      <c r="F43" s="229"/>
      <c r="G43" s="229"/>
      <c r="H43" s="229"/>
      <c r="I43" s="229"/>
      <c r="J43" s="229"/>
      <c r="K43" s="229"/>
      <c r="L43" s="229"/>
      <c r="M43" s="238">
        <f>SUMIFS('Forecast capex'!$X$9:$X$1940,'Forecast capex'!$AD$9:$AD$1940,$B43,'Forecast capex'!$J$9:$J$1940,M$11)</f>
        <v>1157459.3187561035</v>
      </c>
      <c r="N43" s="238">
        <f>SUMIFS('Forecast capex'!$X$9:$X$1940,'Forecast capex'!$AD$9:$AD$1940,$B43,'Forecast capex'!$J$9:$J$1940,N$11)</f>
        <v>241327.9268997928</v>
      </c>
      <c r="O43" s="238">
        <f>SUMIFS('Forecast capex'!$X$9:$X$1940,'Forecast capex'!$AD$9:$AD$1940,$B43,'Forecast capex'!$J$9:$J$1940,O$11)</f>
        <v>451703.12868227664</v>
      </c>
      <c r="P43" s="238">
        <f>SUMIFS('Forecast capex'!$X$9:$X$1940,'Forecast capex'!$AD$9:$AD$1940,$B43,'Forecast capex'!$J$9:$J$1940,P$11)</f>
        <v>459264.26766978065</v>
      </c>
      <c r="Q43" s="238">
        <f>SUMIFS('Forecast capex'!$X$9:$X$1940,'Forecast capex'!$AD$9:$AD$1940,$B43,'Forecast capex'!$J$9:$J$1940,Q$11)</f>
        <v>230001.40349560752</v>
      </c>
      <c r="R43" s="238">
        <f>SUMIFS('Forecast capex'!$X$9:$X$1940,'Forecast capex'!$AD$9:$AD$1940,$B43,'Forecast capex'!$J$9:$J$1940,R$11)</f>
        <v>936328.39434401295</v>
      </c>
      <c r="S43" s="238">
        <f>SUMIFS('Forecast capex'!$X$9:$X$1940,'Forecast capex'!$AD$9:$AD$1940,$B43,'Forecast capex'!$J$9:$J$1940,S$11)</f>
        <v>715386.83735676634</v>
      </c>
      <c r="T43" s="229"/>
      <c r="U43" s="229"/>
      <c r="V43" s="229"/>
      <c r="W43" s="229"/>
      <c r="X43" s="229"/>
    </row>
    <row r="44" spans="2:27" x14ac:dyDescent="0.2">
      <c r="B44" s="232" t="s">
        <v>121</v>
      </c>
      <c r="C44" s="280" t="s">
        <v>250</v>
      </c>
      <c r="D44" s="229"/>
      <c r="E44" s="229"/>
      <c r="F44" s="229"/>
      <c r="G44" s="229"/>
      <c r="H44" s="229"/>
      <c r="I44" s="229"/>
      <c r="J44" s="229"/>
      <c r="K44" s="229"/>
      <c r="L44" s="229"/>
      <c r="M44" s="238">
        <f>SUMIFS('Forecast capex'!$X$9:$X$1940,'Forecast capex'!$AD$9:$AD$1940,$B44,'Forecast capex'!$J$9:$J$1940,M$11)</f>
        <v>0</v>
      </c>
      <c r="N44" s="238">
        <f>SUMIFS('Forecast capex'!$X$9:$X$1940,'Forecast capex'!$AD$9:$AD$1940,$B44,'Forecast capex'!$J$9:$J$1940,N$11)</f>
        <v>0</v>
      </c>
      <c r="O44" s="238">
        <f>SUMIFS('Forecast capex'!$X$9:$X$1940,'Forecast capex'!$AD$9:$AD$1940,$B44,'Forecast capex'!$J$9:$J$1940,O$11)</f>
        <v>0</v>
      </c>
      <c r="P44" s="238">
        <f>SUMIFS('Forecast capex'!$X$9:$X$1940,'Forecast capex'!$AD$9:$AD$1940,$B44,'Forecast capex'!$J$9:$J$1940,P$11)</f>
        <v>0</v>
      </c>
      <c r="Q44" s="238">
        <f>SUMIFS('Forecast capex'!$X$9:$X$1940,'Forecast capex'!$AD$9:$AD$1940,$B44,'Forecast capex'!$J$9:$J$1940,Q$11)</f>
        <v>0</v>
      </c>
      <c r="R44" s="238">
        <f>SUMIFS('Forecast capex'!$X$9:$X$1940,'Forecast capex'!$AD$9:$AD$1940,$B44,'Forecast capex'!$J$9:$J$1940,R$11)</f>
        <v>0</v>
      </c>
      <c r="S44" s="238">
        <f>SUMIFS('Forecast capex'!$X$9:$X$1940,'Forecast capex'!$AD$9:$AD$1940,$B44,'Forecast capex'!$J$9:$J$1940,S$11)</f>
        <v>0</v>
      </c>
      <c r="T44" s="229"/>
      <c r="U44" s="229"/>
      <c r="V44" s="229"/>
      <c r="W44" s="229"/>
      <c r="X44" s="229"/>
    </row>
    <row r="45" spans="2:27" x14ac:dyDescent="0.2">
      <c r="B45" s="232" t="s">
        <v>122</v>
      </c>
      <c r="C45" s="280" t="s">
        <v>250</v>
      </c>
      <c r="D45" s="288"/>
      <c r="E45" s="288"/>
      <c r="F45" s="288"/>
      <c r="G45" s="288"/>
      <c r="H45" s="288"/>
      <c r="I45" s="288"/>
      <c r="J45" s="288"/>
      <c r="K45" s="288"/>
      <c r="L45" s="288"/>
      <c r="M45" s="238">
        <f>SUMIFS('Forecast capex'!$X$9:$X$1940,'Forecast capex'!$AD$9:$AD$1940,$B45,'Forecast capex'!$J$9:$J$1940,M$11)</f>
        <v>0</v>
      </c>
      <c r="N45" s="238">
        <f>SUMIFS('Forecast capex'!$X$9:$X$1940,'Forecast capex'!$AD$9:$AD$1940,$B45,'Forecast capex'!$J$9:$J$1940,N$11)</f>
        <v>0</v>
      </c>
      <c r="O45" s="238">
        <f>SUMIFS('Forecast capex'!$X$9:$X$1940,'Forecast capex'!$AD$9:$AD$1940,$B45,'Forecast capex'!$J$9:$J$1940,O$11)</f>
        <v>0</v>
      </c>
      <c r="P45" s="238">
        <f>SUMIFS('Forecast capex'!$X$9:$X$1940,'Forecast capex'!$AD$9:$AD$1940,$B45,'Forecast capex'!$J$9:$J$1940,P$11)</f>
        <v>0</v>
      </c>
      <c r="Q45" s="238">
        <f>SUMIFS('Forecast capex'!$X$9:$X$1940,'Forecast capex'!$AD$9:$AD$1940,$B45,'Forecast capex'!$J$9:$J$1940,Q$11)</f>
        <v>0</v>
      </c>
      <c r="R45" s="238">
        <f>SUMIFS('Forecast capex'!$X$9:$X$1940,'Forecast capex'!$AD$9:$AD$1940,$B45,'Forecast capex'!$J$9:$J$1940,R$11)</f>
        <v>0</v>
      </c>
      <c r="S45" s="238">
        <f>SUMIFS('Forecast capex'!$X$9:$X$1940,'Forecast capex'!$AD$9:$AD$1940,$B45,'Forecast capex'!$J$9:$J$1940,S$11)</f>
        <v>0</v>
      </c>
      <c r="T45" s="229"/>
      <c r="U45" s="229"/>
      <c r="V45" s="229"/>
      <c r="W45" s="229"/>
      <c r="X45" s="229"/>
    </row>
    <row r="46" spans="2:27" s="243" customFormat="1" x14ac:dyDescent="0.2">
      <c r="B46" s="243" t="s">
        <v>272</v>
      </c>
      <c r="C46" s="337" t="s">
        <v>250</v>
      </c>
      <c r="D46" s="288"/>
      <c r="E46" s="288"/>
      <c r="F46" s="288"/>
      <c r="G46" s="288"/>
      <c r="H46" s="288"/>
      <c r="I46" s="288"/>
      <c r="J46" s="288"/>
      <c r="K46" s="288"/>
      <c r="L46" s="288"/>
      <c r="M46" s="235">
        <f t="shared" ref="M46:S46" si="4">SUM(M42:M45)</f>
        <v>1157459.3187561035</v>
      </c>
      <c r="N46" s="235">
        <f t="shared" si="4"/>
        <v>241327.9268997928</v>
      </c>
      <c r="O46" s="235">
        <f t="shared" si="4"/>
        <v>451703.12868227664</v>
      </c>
      <c r="P46" s="235">
        <f t="shared" si="4"/>
        <v>459264.26766978065</v>
      </c>
      <c r="Q46" s="235">
        <f t="shared" si="4"/>
        <v>230001.40349560752</v>
      </c>
      <c r="R46" s="235">
        <f t="shared" si="4"/>
        <v>936328.39434401295</v>
      </c>
      <c r="S46" s="235">
        <f t="shared" si="4"/>
        <v>715386.83735676634</v>
      </c>
      <c r="T46" s="288"/>
      <c r="U46" s="288"/>
      <c r="V46" s="288"/>
      <c r="W46" s="288"/>
      <c r="X46" s="288"/>
    </row>
    <row r="47" spans="2:27" x14ac:dyDescent="0.2">
      <c r="C47" s="337"/>
      <c r="D47" s="288"/>
      <c r="E47" s="288"/>
      <c r="F47" s="288"/>
      <c r="G47" s="288"/>
      <c r="H47" s="288"/>
      <c r="I47" s="288"/>
      <c r="J47" s="288"/>
      <c r="K47" s="288"/>
      <c r="L47" s="288"/>
      <c r="M47" s="294"/>
      <c r="N47" s="294"/>
      <c r="O47" s="294"/>
      <c r="P47" s="294"/>
      <c r="Q47" s="294"/>
      <c r="R47" s="294"/>
      <c r="S47" s="294"/>
      <c r="T47" s="229"/>
      <c r="U47" s="229"/>
      <c r="V47" s="229"/>
      <c r="W47" s="229"/>
      <c r="X47" s="229"/>
    </row>
    <row r="48" spans="2:27" x14ac:dyDescent="0.2">
      <c r="B48" s="243" t="s">
        <v>424</v>
      </c>
      <c r="C48" s="337" t="s">
        <v>250</v>
      </c>
      <c r="D48" s="229"/>
      <c r="E48" s="229"/>
      <c r="F48" s="229"/>
      <c r="G48" s="229"/>
      <c r="H48" s="229"/>
      <c r="I48" s="230"/>
      <c r="J48" s="229"/>
      <c r="K48" s="229"/>
      <c r="L48" s="229"/>
      <c r="M48" s="235">
        <f t="shared" ref="M48:S48" si="5">SUM(M37:M45)</f>
        <v>60714448.861724086</v>
      </c>
      <c r="N48" s="235">
        <f t="shared" si="5"/>
        <v>67235487.333120272</v>
      </c>
      <c r="O48" s="235">
        <f t="shared" si="5"/>
        <v>68325491.46769686</v>
      </c>
      <c r="P48" s="235">
        <f t="shared" si="5"/>
        <v>70037338.525392696</v>
      </c>
      <c r="Q48" s="235">
        <f t="shared" si="5"/>
        <v>76174263.830622226</v>
      </c>
      <c r="R48" s="235">
        <f t="shared" si="5"/>
        <v>74482637.833823606</v>
      </c>
      <c r="S48" s="235">
        <f t="shared" si="5"/>
        <v>68686583.012970597</v>
      </c>
      <c r="T48" s="229"/>
      <c r="U48" s="229"/>
      <c r="V48" s="229"/>
      <c r="W48" s="229"/>
      <c r="X48" s="229"/>
    </row>
    <row r="49" spans="1:27" x14ac:dyDescent="0.2">
      <c r="C49" s="280"/>
      <c r="D49" s="229"/>
      <c r="E49" s="229"/>
      <c r="F49" s="229"/>
      <c r="G49" s="229"/>
      <c r="H49" s="229"/>
      <c r="I49" s="230"/>
      <c r="J49" s="229"/>
      <c r="K49" s="229"/>
      <c r="L49" s="229"/>
      <c r="M49" s="238"/>
      <c r="N49" s="238"/>
      <c r="O49" s="238"/>
      <c r="P49" s="238"/>
      <c r="Q49" s="238"/>
      <c r="R49" s="238"/>
      <c r="S49" s="238"/>
      <c r="T49" s="229"/>
      <c r="U49" s="229"/>
      <c r="V49" s="229"/>
      <c r="W49" s="229"/>
      <c r="X49" s="229"/>
    </row>
    <row r="50" spans="1:27" x14ac:dyDescent="0.2">
      <c r="B50" s="232" t="s">
        <v>274</v>
      </c>
      <c r="C50" s="280" t="s">
        <v>250</v>
      </c>
      <c r="D50" s="229"/>
      <c r="E50" s="229"/>
      <c r="F50" s="229"/>
      <c r="G50" s="229"/>
      <c r="H50" s="229"/>
      <c r="I50" s="230"/>
      <c r="J50" s="229"/>
      <c r="K50" s="229"/>
      <c r="L50" s="229"/>
      <c r="M50" s="238">
        <f>SUMIFS('Forecast capex'!$X$9:$X$1940,'Forecast capex'!$AD$9:$AD$1940,$B50,'Forecast capex'!$J$9:$J$1940,M$11)</f>
        <v>8614629.043586975</v>
      </c>
      <c r="N50" s="238">
        <f>SUMIFS('Forecast capex'!$X$9:$X$1940,'Forecast capex'!$AD$9:$AD$1940,$B50,'Forecast capex'!$J$9:$J$1940,N$11)</f>
        <v>6365527.9681436066</v>
      </c>
      <c r="O50" s="238">
        <f>SUMIFS('Forecast capex'!$X$9:$X$1940,'Forecast capex'!$AD$9:$AD$1940,$B50,'Forecast capex'!$J$9:$J$1940,O$11)</f>
        <v>6620964.8333144682</v>
      </c>
      <c r="P50" s="238">
        <f>SUMIFS('Forecast capex'!$X$9:$X$1940,'Forecast capex'!$AD$9:$AD$1940,$B50,'Forecast capex'!$J$9:$J$1940,P$11)</f>
        <v>3063642.7284348374</v>
      </c>
      <c r="Q50" s="238">
        <f>SUMIFS('Forecast capex'!$X$9:$X$1940,'Forecast capex'!$AD$9:$AD$1940,$B50,'Forecast capex'!$J$9:$J$1940,Q$11)</f>
        <v>2941639.4599363725</v>
      </c>
      <c r="R50" s="238">
        <f>SUMIFS('Forecast capex'!$X$9:$X$1940,'Forecast capex'!$AD$9:$AD$1940,$B50,'Forecast capex'!$J$9:$J$1940,R$11)</f>
        <v>2440174.4112999351</v>
      </c>
      <c r="S50" s="238">
        <f>SUMIFS('Forecast capex'!$X$9:$X$1940,'Forecast capex'!$AD$9:$AD$1940,$B50,'Forecast capex'!$J$9:$J$1940,S$11)</f>
        <v>2288570.4994362211</v>
      </c>
      <c r="T50" s="229"/>
      <c r="U50" s="229"/>
      <c r="V50" s="229"/>
      <c r="W50" s="229"/>
      <c r="X50" s="229"/>
    </row>
    <row r="51" spans="1:27" x14ac:dyDescent="0.2">
      <c r="B51" s="243" t="s">
        <v>296</v>
      </c>
      <c r="C51" s="337" t="s">
        <v>250</v>
      </c>
      <c r="D51" s="229"/>
      <c r="E51" s="229"/>
      <c r="F51" s="229"/>
      <c r="G51" s="229"/>
      <c r="H51" s="229"/>
      <c r="I51" s="230"/>
      <c r="J51" s="229"/>
      <c r="K51" s="229"/>
      <c r="L51" s="229"/>
      <c r="M51" s="235">
        <f t="shared" ref="M51:S51" si="6">M48+M50</f>
        <v>69329077.905311063</v>
      </c>
      <c r="N51" s="235">
        <f t="shared" si="6"/>
        <v>73601015.301263884</v>
      </c>
      <c r="O51" s="235">
        <f t="shared" si="6"/>
        <v>74946456.301011324</v>
      </c>
      <c r="P51" s="235">
        <f t="shared" si="6"/>
        <v>73100981.253827527</v>
      </c>
      <c r="Q51" s="235">
        <f t="shared" si="6"/>
        <v>79115903.290558591</v>
      </c>
      <c r="R51" s="235">
        <f t="shared" si="6"/>
        <v>76922812.245123535</v>
      </c>
      <c r="S51" s="235">
        <f t="shared" si="6"/>
        <v>70975153.512406811</v>
      </c>
      <c r="T51" s="229"/>
      <c r="U51" s="229"/>
      <c r="V51" s="229"/>
      <c r="W51" s="229"/>
      <c r="X51" s="229"/>
    </row>
    <row r="52" spans="1:27" x14ac:dyDescent="0.2">
      <c r="D52" s="229"/>
      <c r="E52" s="229"/>
      <c r="F52" s="229"/>
      <c r="G52" s="229"/>
      <c r="H52" s="229"/>
      <c r="I52" s="230"/>
      <c r="J52" s="229"/>
      <c r="K52" s="229"/>
      <c r="L52" s="229"/>
      <c r="M52" s="229"/>
      <c r="N52" s="229"/>
      <c r="O52" s="229"/>
      <c r="P52" s="229"/>
      <c r="Q52" s="229"/>
      <c r="R52" s="229"/>
      <c r="S52" s="229"/>
      <c r="T52" s="229"/>
      <c r="U52" s="229"/>
      <c r="V52" s="229"/>
      <c r="W52" s="229"/>
      <c r="X52" s="229"/>
    </row>
    <row r="53" spans="1:27" x14ac:dyDescent="0.2">
      <c r="B53" s="229" t="s">
        <v>303</v>
      </c>
      <c r="C53" s="280" t="s">
        <v>250</v>
      </c>
      <c r="D53" s="229"/>
      <c r="E53" s="229"/>
      <c r="F53" s="229"/>
      <c r="G53" s="229"/>
      <c r="H53" s="229"/>
      <c r="I53" s="230"/>
      <c r="J53" s="229"/>
      <c r="K53" s="229"/>
      <c r="L53" s="229"/>
      <c r="M53" s="238">
        <f>'Works under construction'!M111</f>
        <v>775897.71094941068</v>
      </c>
      <c r="N53" s="238">
        <f>'Works under construction'!N111</f>
        <v>898258.97358337312</v>
      </c>
      <c r="O53" s="238">
        <f>'Works under construction'!O111</f>
        <v>580351.77789614152</v>
      </c>
      <c r="P53" s="238">
        <f>'Works under construction'!P111</f>
        <v>550373.24859083851</v>
      </c>
      <c r="Q53" s="238">
        <f>'Works under construction'!Q111</f>
        <v>615707.58188820048</v>
      </c>
      <c r="R53" s="238">
        <f>'Works under construction'!R111</f>
        <v>605405.11180931656</v>
      </c>
      <c r="S53" s="238">
        <f>'Works under construction'!S111</f>
        <v>495191.66193061078</v>
      </c>
      <c r="T53" s="229"/>
      <c r="U53" s="229"/>
      <c r="V53" s="229"/>
      <c r="W53" s="229"/>
      <c r="X53" s="229"/>
    </row>
    <row r="54" spans="1:27" x14ac:dyDescent="0.2">
      <c r="B54" s="229" t="s">
        <v>304</v>
      </c>
      <c r="C54" s="280" t="s">
        <v>250</v>
      </c>
      <c r="D54" s="229"/>
      <c r="E54" s="229"/>
      <c r="F54" s="229"/>
      <c r="G54" s="229"/>
      <c r="H54" s="229"/>
      <c r="I54" s="230"/>
      <c r="J54" s="229"/>
      <c r="K54" s="229"/>
      <c r="L54" s="229"/>
      <c r="M54" s="238">
        <f>SUMIFS('Forecast capex'!$T$9:$T$1940,'Forecast capex'!$J$9:$J$1940,M$11)</f>
        <v>9701991.155151736</v>
      </c>
      <c r="N54" s="238">
        <f>SUMIFS('Forecast capex'!$T$9:$T$1940,'Forecast capex'!$J$9:$J$1940,N$11)</f>
        <v>6694907.8829866378</v>
      </c>
      <c r="O54" s="238">
        <f>SUMIFS('Forecast capex'!$T$9:$T$1940,'Forecast capex'!$J$9:$J$1940,O$11)</f>
        <v>5490361.2311273497</v>
      </c>
      <c r="P54" s="238">
        <f>SUMIFS('Forecast capex'!$T$9:$T$1940,'Forecast capex'!$J$9:$J$1940,P$11)</f>
        <v>5603225.5267030094</v>
      </c>
      <c r="Q54" s="238">
        <f>SUMIFS('Forecast capex'!$T$9:$T$1940,'Forecast capex'!$J$9:$J$1940,Q$11)</f>
        <v>7421352.4245503666</v>
      </c>
      <c r="R54" s="238">
        <f>SUMIFS('Forecast capex'!$T$9:$T$1940,'Forecast capex'!$J$9:$J$1940,R$11)</f>
        <v>8548230.0051101986</v>
      </c>
      <c r="S54" s="238">
        <f>SUMIFS('Forecast capex'!$T$9:$T$1940,'Forecast capex'!$J$9:$J$1940,S$11)</f>
        <v>10049692.502993537</v>
      </c>
      <c r="T54" s="229"/>
      <c r="U54" s="229"/>
      <c r="V54" s="229"/>
      <c r="W54" s="229"/>
      <c r="X54" s="229"/>
    </row>
    <row r="55" spans="1:27" x14ac:dyDescent="0.2">
      <c r="B55" s="232" t="s">
        <v>305</v>
      </c>
      <c r="C55" s="280" t="s">
        <v>250</v>
      </c>
      <c r="D55" s="229"/>
      <c r="E55" s="229"/>
      <c r="F55" s="229"/>
      <c r="G55" s="229"/>
      <c r="H55" s="229"/>
      <c r="I55" s="230"/>
      <c r="J55" s="229"/>
      <c r="K55" s="229"/>
      <c r="L55" s="229"/>
      <c r="M55" s="238">
        <v>0</v>
      </c>
      <c r="N55" s="238">
        <v>0</v>
      </c>
      <c r="O55" s="238">
        <v>0</v>
      </c>
      <c r="P55" s="238">
        <v>0</v>
      </c>
      <c r="Q55" s="238">
        <v>0</v>
      </c>
      <c r="R55" s="238">
        <v>0</v>
      </c>
      <c r="S55" s="238">
        <v>0</v>
      </c>
      <c r="T55" s="229"/>
      <c r="U55" s="229"/>
      <c r="V55" s="229"/>
      <c r="W55" s="229"/>
      <c r="X55" s="229"/>
    </row>
    <row r="56" spans="1:27" x14ac:dyDescent="0.2">
      <c r="B56" s="243" t="s">
        <v>425</v>
      </c>
      <c r="C56" s="337" t="s">
        <v>250</v>
      </c>
      <c r="D56" s="229"/>
      <c r="E56" s="229"/>
      <c r="F56" s="229"/>
      <c r="G56" s="229"/>
      <c r="H56" s="229"/>
      <c r="I56" s="230"/>
      <c r="J56" s="229"/>
      <c r="K56" s="229"/>
      <c r="L56" s="229"/>
      <c r="M56" s="235">
        <f t="shared" ref="M56:S56" si="7">M51+M53-M54+M55</f>
        <v>60402984.461108729</v>
      </c>
      <c r="N56" s="235">
        <f t="shared" si="7"/>
        <v>67804366.391860619</v>
      </c>
      <c r="O56" s="235">
        <f t="shared" si="7"/>
        <v>70036446.847780108</v>
      </c>
      <c r="P56" s="235">
        <f t="shared" si="7"/>
        <v>68048128.975715354</v>
      </c>
      <c r="Q56" s="235">
        <f t="shared" si="7"/>
        <v>72310258.447896421</v>
      </c>
      <c r="R56" s="235">
        <f t="shared" si="7"/>
        <v>68979987.351822644</v>
      </c>
      <c r="S56" s="235">
        <f t="shared" si="7"/>
        <v>61420652.671343878</v>
      </c>
      <c r="T56" s="229"/>
      <c r="U56" s="229"/>
      <c r="V56" s="229"/>
      <c r="W56" s="229"/>
      <c r="X56" s="229"/>
    </row>
    <row r="57" spans="1:27" x14ac:dyDescent="0.2">
      <c r="D57" s="229"/>
      <c r="E57" s="229"/>
      <c r="F57" s="229"/>
      <c r="G57" s="229"/>
      <c r="H57" s="229"/>
      <c r="I57" s="230"/>
      <c r="J57" s="229"/>
      <c r="K57" s="229"/>
      <c r="L57" s="229"/>
      <c r="M57" s="229"/>
      <c r="N57" s="229"/>
      <c r="O57" s="229"/>
      <c r="P57" s="229"/>
      <c r="Q57" s="229"/>
      <c r="R57" s="229"/>
      <c r="S57" s="229"/>
      <c r="T57" s="229"/>
      <c r="U57" s="229"/>
      <c r="V57" s="229"/>
      <c r="W57" s="229"/>
      <c r="X57" s="229"/>
    </row>
    <row r="58" spans="1:27" s="331" customFormat="1" x14ac:dyDescent="0.2">
      <c r="B58" s="242" t="s">
        <v>224</v>
      </c>
      <c r="C58" s="280" t="s">
        <v>58</v>
      </c>
      <c r="D58" s="297">
        <f>SUM(H58:S58)</f>
        <v>0</v>
      </c>
      <c r="E58" s="298"/>
      <c r="F58" s="229"/>
      <c r="G58" s="229"/>
      <c r="H58" s="229"/>
      <c r="I58" s="229"/>
      <c r="J58" s="229"/>
      <c r="K58" s="229"/>
      <c r="L58" s="229"/>
      <c r="M58" s="228">
        <f>IF(ABS(M51-SUMIFS('Forecast capex'!$X$9:$X$1940,'Forecast capex'!$J$9:$J$1940,M$11))&gt;0.001,1,0)</f>
        <v>0</v>
      </c>
      <c r="N58" s="228">
        <f>IF(ABS(N51-SUMIFS('Forecast capex'!$X$9:$X$1940,'Forecast capex'!$J$9:$J$1940,N$11))&gt;0.001,1,0)</f>
        <v>0</v>
      </c>
      <c r="O58" s="228">
        <f>IF(ABS(O51-SUMIFS('Forecast capex'!$X$9:$X$1940,'Forecast capex'!$J$9:$J$1940,O$11))&gt;0.001,1,0)</f>
        <v>0</v>
      </c>
      <c r="P58" s="228">
        <f>IF(ABS(P51-SUMIFS('Forecast capex'!$X$9:$X$1940,'Forecast capex'!$J$9:$J$1940,P$11))&gt;0.001,1,0)</f>
        <v>0</v>
      </c>
      <c r="Q58" s="228">
        <f>IF(ABS(Q51-SUMIFS('Forecast capex'!$X$9:$X$1940,'Forecast capex'!$J$9:$J$1940,Q$11))&gt;0.001,1,0)</f>
        <v>0</v>
      </c>
      <c r="R58" s="228">
        <f>IF(ABS(R51-SUMIFS('Forecast capex'!$X$9:$X$1940,'Forecast capex'!$J$9:$J$1940,R$11))&gt;0.001,1,0)</f>
        <v>0</v>
      </c>
      <c r="S58" s="228">
        <f>IF(ABS(S51-SUMIFS('Forecast capex'!$X$9:$X$1940,'Forecast capex'!$J$9:$J$1940,S$11))&gt;0.001,1,0)</f>
        <v>0</v>
      </c>
      <c r="T58" s="229"/>
      <c r="U58" s="229"/>
      <c r="V58" s="229"/>
      <c r="W58" s="229"/>
      <c r="X58" s="229"/>
      <c r="Y58" s="330"/>
      <c r="Z58" s="330"/>
      <c r="AA58" s="330"/>
    </row>
    <row r="59" spans="1:27" x14ac:dyDescent="0.2">
      <c r="B59" s="229"/>
      <c r="C59" s="338"/>
      <c r="D59" s="229"/>
      <c r="E59" s="229"/>
      <c r="F59" s="229"/>
      <c r="G59" s="229"/>
      <c r="H59" s="229"/>
      <c r="I59" s="230"/>
      <c r="J59" s="229"/>
      <c r="K59" s="229"/>
      <c r="L59" s="229"/>
      <c r="M59" s="229"/>
      <c r="N59" s="229"/>
      <c r="O59" s="229"/>
      <c r="P59" s="229"/>
      <c r="Q59" s="229"/>
      <c r="R59" s="229"/>
      <c r="S59" s="229"/>
      <c r="T59" s="229"/>
      <c r="U59" s="229"/>
      <c r="V59" s="229"/>
      <c r="W59" s="229"/>
      <c r="X59" s="229"/>
    </row>
    <row r="60" spans="1:27" s="229" customFormat="1" ht="12" customHeight="1" x14ac:dyDescent="0.2">
      <c r="A60" s="232"/>
      <c r="B60" s="283" t="s">
        <v>297</v>
      </c>
      <c r="C60" s="284" t="s">
        <v>51</v>
      </c>
      <c r="D60" s="285" t="s">
        <v>52</v>
      </c>
      <c r="E60" s="284" t="s">
        <v>53</v>
      </c>
      <c r="F60" s="242"/>
      <c r="G60" s="302"/>
      <c r="H60" s="302"/>
      <c r="I60" s="302"/>
      <c r="J60" s="302"/>
      <c r="K60" s="242"/>
      <c r="L60" s="242"/>
      <c r="M60" s="242"/>
      <c r="N60" s="242"/>
      <c r="O60" s="242"/>
      <c r="P60" s="242"/>
      <c r="Q60" s="242"/>
      <c r="R60" s="242"/>
      <c r="S60" s="242"/>
      <c r="T60" s="242"/>
    </row>
    <row r="61" spans="1:27" x14ac:dyDescent="0.2">
      <c r="K61" s="289"/>
      <c r="L61" s="289"/>
      <c r="M61" s="290"/>
      <c r="N61" s="290"/>
      <c r="O61" s="290"/>
      <c r="P61" s="290"/>
      <c r="Q61" s="290"/>
      <c r="R61" s="290"/>
      <c r="S61" s="290"/>
      <c r="T61" s="242"/>
      <c r="U61" s="229"/>
      <c r="V61" s="229"/>
      <c r="W61" s="229"/>
      <c r="X61" s="229"/>
    </row>
    <row r="62" spans="1:27" s="331" customFormat="1" x14ac:dyDescent="0.2">
      <c r="B62" s="287" t="s">
        <v>240</v>
      </c>
      <c r="C62" s="329"/>
      <c r="D62" s="232"/>
      <c r="E62" s="232"/>
      <c r="F62" s="229"/>
      <c r="G62" s="229"/>
      <c r="H62" s="290"/>
      <c r="I62" s="229"/>
      <c r="J62" s="229"/>
      <c r="K62" s="229"/>
      <c r="L62" s="229"/>
      <c r="M62" s="229"/>
      <c r="N62" s="229"/>
      <c r="O62" s="229"/>
      <c r="P62" s="229"/>
      <c r="Q62" s="229"/>
      <c r="R62" s="229"/>
      <c r="S62" s="229"/>
      <c r="T62" s="229"/>
      <c r="U62" s="229"/>
      <c r="V62" s="229"/>
      <c r="W62" s="229"/>
      <c r="X62" s="229"/>
      <c r="Y62" s="330"/>
      <c r="Z62" s="330"/>
      <c r="AA62" s="330"/>
    </row>
    <row r="63" spans="1:27" s="331" customFormat="1" x14ac:dyDescent="0.2">
      <c r="B63" s="332"/>
      <c r="C63" s="329"/>
      <c r="D63" s="232"/>
      <c r="E63" s="232"/>
      <c r="F63" s="229"/>
      <c r="G63" s="229"/>
      <c r="H63" s="229"/>
      <c r="I63" s="229"/>
      <c r="J63" s="229"/>
      <c r="K63" s="229"/>
      <c r="L63" s="229"/>
      <c r="M63" s="229"/>
      <c r="N63" s="229"/>
      <c r="O63" s="229"/>
      <c r="P63" s="229"/>
      <c r="Q63" s="229"/>
      <c r="R63" s="229"/>
      <c r="S63" s="229"/>
      <c r="T63" s="229"/>
      <c r="U63" s="229"/>
      <c r="V63" s="229"/>
      <c r="W63" s="229"/>
      <c r="X63" s="229"/>
      <c r="Y63" s="330"/>
      <c r="Z63" s="330"/>
      <c r="AA63" s="330"/>
    </row>
    <row r="64" spans="1:27" x14ac:dyDescent="0.2">
      <c r="B64" s="229" t="s">
        <v>95</v>
      </c>
      <c r="C64" s="280" t="s">
        <v>242</v>
      </c>
      <c r="I64" s="232"/>
      <c r="L64" s="229"/>
      <c r="M64" s="238">
        <f>SUMIFS('Forecast capex'!$N$9:$N$1940,'Forecast capex'!$AD$9:$AD$1940,$B64,'Forecast capex'!$J$9:$J$1940,M$11)</f>
        <v>9299508.6144327596</v>
      </c>
      <c r="N64" s="238">
        <f>SUMIFS('Forecast capex'!$N$9:$N$1940,'Forecast capex'!$AD$9:$AD$1940,$B64,'Forecast capex'!$J$9:$J$1940,N$11)</f>
        <v>5455424.8423921224</v>
      </c>
      <c r="O64" s="238">
        <f>SUMIFS('Forecast capex'!$N$9:$N$1940,'Forecast capex'!$AD$9:$AD$1940,$B64,'Forecast capex'!$J$9:$J$1940,O$11)</f>
        <v>4260237.7502554832</v>
      </c>
      <c r="P64" s="238">
        <f>SUMIFS('Forecast capex'!$N$9:$N$1940,'Forecast capex'!$AD$9:$AD$1940,$B64,'Forecast capex'!$J$9:$J$1940,P$11)</f>
        <v>4260237.7502554832</v>
      </c>
      <c r="Q64" s="238">
        <f>SUMIFS('Forecast capex'!$N$9:$N$1940,'Forecast capex'!$AD$9:$AD$1940,$B64,'Forecast capex'!$J$9:$J$1940,Q$11)</f>
        <v>5879817.0003406461</v>
      </c>
      <c r="R64" s="238">
        <f>SUMIFS('Forecast capex'!$N$9:$N$1940,'Forecast capex'!$AD$9:$AD$1940,$B64,'Forecast capex'!$J$9:$J$1940,R$11)</f>
        <v>6774621.5253406465</v>
      </c>
      <c r="S64" s="238">
        <f>SUMIFS('Forecast capex'!$N$9:$N$1940,'Forecast capex'!$AD$9:$AD$1940,$B64,'Forecast capex'!$J$9:$J$1940,S$11)</f>
        <v>7967695.1250000009</v>
      </c>
      <c r="T64" s="229"/>
      <c r="U64" s="229"/>
      <c r="V64" s="229"/>
      <c r="W64" s="229"/>
      <c r="X64" s="229"/>
    </row>
    <row r="65" spans="2:24" x14ac:dyDescent="0.2">
      <c r="B65" s="229" t="s">
        <v>77</v>
      </c>
      <c r="C65" s="280" t="s">
        <v>242</v>
      </c>
      <c r="I65" s="232"/>
      <c r="L65" s="229"/>
      <c r="M65" s="238">
        <f>SUMIFS('Forecast capex'!$N$9:$N$1940,'Forecast capex'!$AD$9:$AD$1940,$B65,'Forecast capex'!$J$9:$J$1940,M$11)</f>
        <v>0</v>
      </c>
      <c r="N65" s="238">
        <f>SUMIFS('Forecast capex'!$N$9:$N$1940,'Forecast capex'!$AD$9:$AD$1940,$B65,'Forecast capex'!$J$9:$J$1940,N$11)</f>
        <v>0</v>
      </c>
      <c r="O65" s="238">
        <f>SUMIFS('Forecast capex'!$N$9:$N$1940,'Forecast capex'!$AD$9:$AD$1940,$B65,'Forecast capex'!$J$9:$J$1940,O$11)</f>
        <v>0</v>
      </c>
      <c r="P65" s="238">
        <f>SUMIFS('Forecast capex'!$N$9:$N$1940,'Forecast capex'!$AD$9:$AD$1940,$B65,'Forecast capex'!$J$9:$J$1940,P$11)</f>
        <v>0</v>
      </c>
      <c r="Q65" s="238">
        <f>SUMIFS('Forecast capex'!$N$9:$N$1940,'Forecast capex'!$AD$9:$AD$1940,$B65,'Forecast capex'!$J$9:$J$1940,Q$11)</f>
        <v>0</v>
      </c>
      <c r="R65" s="238">
        <f>SUMIFS('Forecast capex'!$N$9:$N$1940,'Forecast capex'!$AD$9:$AD$1940,$B65,'Forecast capex'!$J$9:$J$1940,R$11)</f>
        <v>0</v>
      </c>
      <c r="S65" s="238">
        <f>SUMIFS('Forecast capex'!$N$9:$N$1940,'Forecast capex'!$AD$9:$AD$1940,$B65,'Forecast capex'!$J$9:$J$1940,S$11)</f>
        <v>0</v>
      </c>
      <c r="T65" s="229"/>
      <c r="U65" s="229"/>
      <c r="V65" s="229"/>
      <c r="W65" s="229"/>
      <c r="X65" s="229"/>
    </row>
    <row r="66" spans="2:24" x14ac:dyDescent="0.2">
      <c r="B66" s="232" t="s">
        <v>100</v>
      </c>
      <c r="C66" s="280" t="s">
        <v>242</v>
      </c>
      <c r="I66" s="232"/>
      <c r="L66" s="229"/>
      <c r="M66" s="238">
        <f>SUMIFS('Forecast capex'!$N$9:$N$1940,'Forecast capex'!$AD$9:$AD$1940,$B66,'Forecast capex'!$J$9:$J$1940,M$11)</f>
        <v>0</v>
      </c>
      <c r="N66" s="238">
        <f>SUMIFS('Forecast capex'!$N$9:$N$1940,'Forecast capex'!$AD$9:$AD$1940,$B66,'Forecast capex'!$J$9:$J$1940,N$11)</f>
        <v>0</v>
      </c>
      <c r="O66" s="238">
        <f>SUMIFS('Forecast capex'!$N$9:$N$1940,'Forecast capex'!$AD$9:$AD$1940,$B66,'Forecast capex'!$J$9:$J$1940,O$11)</f>
        <v>0</v>
      </c>
      <c r="P66" s="238">
        <f>SUMIFS('Forecast capex'!$N$9:$N$1940,'Forecast capex'!$AD$9:$AD$1940,$B66,'Forecast capex'!$J$9:$J$1940,P$11)</f>
        <v>0</v>
      </c>
      <c r="Q66" s="238">
        <f>SUMIFS('Forecast capex'!$N$9:$N$1940,'Forecast capex'!$AD$9:$AD$1940,$B66,'Forecast capex'!$J$9:$J$1940,Q$11)</f>
        <v>0</v>
      </c>
      <c r="R66" s="238">
        <f>SUMIFS('Forecast capex'!$N$9:$N$1940,'Forecast capex'!$AD$9:$AD$1940,$B66,'Forecast capex'!$J$9:$J$1940,R$11)</f>
        <v>0</v>
      </c>
      <c r="S66" s="238">
        <f>SUMIFS('Forecast capex'!$N$9:$N$1940,'Forecast capex'!$AD$9:$AD$1940,$B66,'Forecast capex'!$J$9:$J$1940,S$11)</f>
        <v>0</v>
      </c>
      <c r="T66" s="229"/>
      <c r="U66" s="229"/>
      <c r="V66" s="229"/>
      <c r="W66" s="229"/>
      <c r="X66" s="229"/>
    </row>
    <row r="67" spans="2:24" x14ac:dyDescent="0.2">
      <c r="B67" s="229" t="s">
        <v>93</v>
      </c>
      <c r="C67" s="280" t="s">
        <v>242</v>
      </c>
      <c r="I67" s="232"/>
      <c r="L67" s="229"/>
      <c r="M67" s="238">
        <f>SUMIFS('Forecast capex'!$N$9:$N$1940,'Forecast capex'!$AD$9:$AD$1940,$B67,'Forecast capex'!$J$9:$J$1940,M$11)</f>
        <v>402482.54071897804</v>
      </c>
      <c r="N67" s="238">
        <f>SUMIFS('Forecast capex'!$N$9:$N$1940,'Forecast capex'!$AD$9:$AD$1940,$B67,'Forecast capex'!$J$9:$J$1940,N$11)</f>
        <v>1150286.3721894748</v>
      </c>
      <c r="O67" s="238">
        <f>SUMIFS('Forecast capex'!$N$9:$N$1940,'Forecast capex'!$AD$9:$AD$1940,$B67,'Forecast capex'!$J$9:$J$1940,O$11)</f>
        <v>1092772.0535800015</v>
      </c>
      <c r="P67" s="238">
        <f>SUMIFS('Forecast capex'!$N$9:$N$1940,'Forecast capex'!$AD$9:$AD$1940,$B67,'Forecast capex'!$J$9:$J$1940,P$11)</f>
        <v>1092772.0535800015</v>
      </c>
      <c r="Q67" s="238">
        <f>SUMIFS('Forecast capex'!$N$9:$N$1940,'Forecast capex'!$AD$9:$AD$1940,$B67,'Forecast capex'!$J$9:$J$1940,Q$11)</f>
        <v>1092772.0535800015</v>
      </c>
      <c r="R67" s="238">
        <f>SUMIFS('Forecast capex'!$N$9:$N$1940,'Forecast capex'!$AD$9:$AD$1940,$B67,'Forecast capex'!$J$9:$J$1940,R$11)</f>
        <v>1092772.0535800015</v>
      </c>
      <c r="S67" s="238">
        <f>SUMIFS('Forecast capex'!$N$9:$N$1940,'Forecast capex'!$AD$9:$AD$1940,$B67,'Forecast capex'!$J$9:$J$1940,S$11)</f>
        <v>1092774.0749999997</v>
      </c>
      <c r="T67" s="229"/>
      <c r="U67" s="229"/>
      <c r="V67" s="229"/>
      <c r="W67" s="229"/>
      <c r="X67" s="229"/>
    </row>
    <row r="68" spans="2:24" x14ac:dyDescent="0.2">
      <c r="C68" s="280"/>
      <c r="D68" s="243"/>
      <c r="E68" s="243"/>
      <c r="F68" s="243"/>
      <c r="G68" s="243"/>
      <c r="H68" s="243"/>
      <c r="I68" s="243"/>
      <c r="J68" s="243"/>
      <c r="K68" s="243"/>
      <c r="L68" s="288"/>
      <c r="M68" s="294"/>
      <c r="N68" s="294"/>
      <c r="O68" s="294"/>
      <c r="P68" s="294"/>
      <c r="Q68" s="294"/>
      <c r="R68" s="294"/>
      <c r="S68" s="294"/>
      <c r="T68" s="229"/>
      <c r="U68" s="229"/>
      <c r="V68" s="229"/>
      <c r="W68" s="229"/>
      <c r="X68" s="229"/>
    </row>
    <row r="69" spans="2:24" x14ac:dyDescent="0.2">
      <c r="B69" s="243" t="s">
        <v>270</v>
      </c>
      <c r="C69" s="280"/>
      <c r="I69" s="232"/>
      <c r="L69" s="229"/>
      <c r="M69" s="238"/>
      <c r="N69" s="238"/>
      <c r="O69" s="238"/>
      <c r="P69" s="238"/>
      <c r="Q69" s="238"/>
      <c r="R69" s="238"/>
      <c r="S69" s="238"/>
      <c r="T69" s="229"/>
      <c r="U69" s="229"/>
      <c r="V69" s="229"/>
      <c r="W69" s="229"/>
      <c r="X69" s="229"/>
    </row>
    <row r="70" spans="2:24" x14ac:dyDescent="0.2">
      <c r="B70" s="232" t="s">
        <v>97</v>
      </c>
      <c r="C70" s="280" t="s">
        <v>242</v>
      </c>
      <c r="I70" s="232"/>
      <c r="L70" s="229"/>
      <c r="M70" s="238">
        <f>SUMIFS('Forecast capex'!$N$9:$N$1940,'Forecast capex'!$AD$9:$AD$1940,$B70,'Forecast capex'!$J$9:$J$1940,M$11)</f>
        <v>0</v>
      </c>
      <c r="N70" s="238">
        <f>SUMIFS('Forecast capex'!$N$9:$N$1940,'Forecast capex'!$AD$9:$AD$1940,$B70,'Forecast capex'!$J$9:$J$1940,N$11)</f>
        <v>0</v>
      </c>
      <c r="O70" s="238">
        <f>SUMIFS('Forecast capex'!$N$9:$N$1940,'Forecast capex'!$AD$9:$AD$1940,$B70,'Forecast capex'!$J$9:$J$1940,O$11)</f>
        <v>0</v>
      </c>
      <c r="P70" s="238">
        <f>SUMIFS('Forecast capex'!$N$9:$N$1940,'Forecast capex'!$AD$9:$AD$1940,$B70,'Forecast capex'!$J$9:$J$1940,P$11)</f>
        <v>0</v>
      </c>
      <c r="Q70" s="238">
        <f>SUMIFS('Forecast capex'!$N$9:$N$1940,'Forecast capex'!$AD$9:$AD$1940,$B70,'Forecast capex'!$J$9:$J$1940,Q$11)</f>
        <v>0</v>
      </c>
      <c r="R70" s="238">
        <f>SUMIFS('Forecast capex'!$N$9:$N$1940,'Forecast capex'!$AD$9:$AD$1940,$B70,'Forecast capex'!$J$9:$J$1940,R$11)</f>
        <v>0</v>
      </c>
      <c r="S70" s="238">
        <f>SUMIFS('Forecast capex'!$N$9:$N$1940,'Forecast capex'!$AD$9:$AD$1940,$B70,'Forecast capex'!$J$9:$J$1940,S$11)</f>
        <v>0</v>
      </c>
      <c r="T70" s="229"/>
      <c r="U70" s="229"/>
      <c r="V70" s="229"/>
      <c r="W70" s="229"/>
      <c r="X70" s="229"/>
    </row>
    <row r="71" spans="2:24" x14ac:dyDescent="0.2">
      <c r="B71" s="232" t="s">
        <v>121</v>
      </c>
      <c r="C71" s="280" t="s">
        <v>242</v>
      </c>
      <c r="I71" s="232"/>
      <c r="L71" s="229"/>
      <c r="M71" s="238">
        <f>SUMIFS('Forecast capex'!$N$9:$N$1940,'Forecast capex'!$AD$9:$AD$1940,$B71,'Forecast capex'!$J$9:$J$1940,M$11)</f>
        <v>0</v>
      </c>
      <c r="N71" s="238">
        <f>SUMIFS('Forecast capex'!$N$9:$N$1940,'Forecast capex'!$AD$9:$AD$1940,$B71,'Forecast capex'!$J$9:$J$1940,N$11)</f>
        <v>0</v>
      </c>
      <c r="O71" s="238">
        <f>SUMIFS('Forecast capex'!$N$9:$N$1940,'Forecast capex'!$AD$9:$AD$1940,$B71,'Forecast capex'!$J$9:$J$1940,O$11)</f>
        <v>0</v>
      </c>
      <c r="P71" s="238">
        <f>SUMIFS('Forecast capex'!$N$9:$N$1940,'Forecast capex'!$AD$9:$AD$1940,$B71,'Forecast capex'!$J$9:$J$1940,P$11)</f>
        <v>0</v>
      </c>
      <c r="Q71" s="238">
        <f>SUMIFS('Forecast capex'!$N$9:$N$1940,'Forecast capex'!$AD$9:$AD$1940,$B71,'Forecast capex'!$J$9:$J$1940,Q$11)</f>
        <v>0</v>
      </c>
      <c r="R71" s="238">
        <f>SUMIFS('Forecast capex'!$N$9:$N$1940,'Forecast capex'!$AD$9:$AD$1940,$B71,'Forecast capex'!$J$9:$J$1940,R$11)</f>
        <v>0</v>
      </c>
      <c r="S71" s="238">
        <f>SUMIFS('Forecast capex'!$N$9:$N$1940,'Forecast capex'!$AD$9:$AD$1940,$B71,'Forecast capex'!$J$9:$J$1940,S$11)</f>
        <v>0</v>
      </c>
      <c r="T71" s="229"/>
      <c r="U71" s="229"/>
      <c r="V71" s="229"/>
      <c r="W71" s="229"/>
      <c r="X71" s="229"/>
    </row>
    <row r="72" spans="2:24" x14ac:dyDescent="0.2">
      <c r="B72" s="232" t="s">
        <v>122</v>
      </c>
      <c r="C72" s="280" t="s">
        <v>242</v>
      </c>
      <c r="D72" s="243"/>
      <c r="E72" s="243"/>
      <c r="F72" s="243"/>
      <c r="G72" s="243"/>
      <c r="H72" s="243"/>
      <c r="I72" s="243"/>
      <c r="J72" s="243"/>
      <c r="K72" s="243"/>
      <c r="L72" s="288"/>
      <c r="M72" s="238">
        <f>SUMIFS('Forecast capex'!$N$9:$N$1940,'Forecast capex'!$AD$9:$AD$1940,$B72,'Forecast capex'!$J$9:$J$1940,M$11)</f>
        <v>0</v>
      </c>
      <c r="N72" s="238">
        <f>SUMIFS('Forecast capex'!$N$9:$N$1940,'Forecast capex'!$AD$9:$AD$1940,$B72,'Forecast capex'!$J$9:$J$1940,N$11)</f>
        <v>0</v>
      </c>
      <c r="O72" s="238">
        <f>SUMIFS('Forecast capex'!$N$9:$N$1940,'Forecast capex'!$AD$9:$AD$1940,$B72,'Forecast capex'!$J$9:$J$1940,O$11)</f>
        <v>0</v>
      </c>
      <c r="P72" s="238">
        <f>SUMIFS('Forecast capex'!$N$9:$N$1940,'Forecast capex'!$AD$9:$AD$1940,$B72,'Forecast capex'!$J$9:$J$1940,P$11)</f>
        <v>0</v>
      </c>
      <c r="Q72" s="238">
        <f>SUMIFS('Forecast capex'!$N$9:$N$1940,'Forecast capex'!$AD$9:$AD$1940,$B72,'Forecast capex'!$J$9:$J$1940,Q$11)</f>
        <v>0</v>
      </c>
      <c r="R72" s="238">
        <f>SUMIFS('Forecast capex'!$N$9:$N$1940,'Forecast capex'!$AD$9:$AD$1940,$B72,'Forecast capex'!$J$9:$J$1940,R$11)</f>
        <v>0</v>
      </c>
      <c r="S72" s="238">
        <f>SUMIFS('Forecast capex'!$N$9:$N$1940,'Forecast capex'!$AD$9:$AD$1940,$B72,'Forecast capex'!$J$9:$J$1940,S$11)</f>
        <v>0</v>
      </c>
      <c r="T72" s="229"/>
      <c r="U72" s="229"/>
      <c r="V72" s="229"/>
      <c r="W72" s="229"/>
      <c r="X72" s="229"/>
    </row>
    <row r="73" spans="2:24" s="243" customFormat="1" x14ac:dyDescent="0.2">
      <c r="B73" s="243" t="s">
        <v>272</v>
      </c>
      <c r="C73" s="337" t="s">
        <v>242</v>
      </c>
      <c r="L73" s="288"/>
      <c r="M73" s="235">
        <f t="shared" ref="M73:S73" si="8">SUM(M69:M72)</f>
        <v>0</v>
      </c>
      <c r="N73" s="235">
        <f t="shared" si="8"/>
        <v>0</v>
      </c>
      <c r="O73" s="235">
        <f t="shared" si="8"/>
        <v>0</v>
      </c>
      <c r="P73" s="235">
        <f t="shared" si="8"/>
        <v>0</v>
      </c>
      <c r="Q73" s="235">
        <f t="shared" si="8"/>
        <v>0</v>
      </c>
      <c r="R73" s="235">
        <f t="shared" si="8"/>
        <v>0</v>
      </c>
      <c r="S73" s="235">
        <f t="shared" si="8"/>
        <v>0</v>
      </c>
      <c r="T73" s="288"/>
      <c r="U73" s="288"/>
      <c r="V73" s="288"/>
      <c r="W73" s="288"/>
      <c r="X73" s="288"/>
    </row>
    <row r="74" spans="2:24" x14ac:dyDescent="0.2">
      <c r="C74" s="337"/>
      <c r="D74" s="243"/>
      <c r="E74" s="243"/>
      <c r="F74" s="243"/>
      <c r="G74" s="243"/>
      <c r="H74" s="243"/>
      <c r="I74" s="243"/>
      <c r="J74" s="243"/>
      <c r="K74" s="243"/>
      <c r="L74" s="288"/>
      <c r="M74" s="294"/>
      <c r="N74" s="294"/>
      <c r="O74" s="294"/>
      <c r="P74" s="294"/>
      <c r="Q74" s="294"/>
      <c r="R74" s="294"/>
      <c r="S74" s="294"/>
      <c r="T74" s="229"/>
      <c r="U74" s="229"/>
      <c r="V74" s="229"/>
      <c r="W74" s="229"/>
      <c r="X74" s="229"/>
    </row>
    <row r="75" spans="2:24" s="243" customFormat="1" x14ac:dyDescent="0.2">
      <c r="B75" s="243" t="s">
        <v>424</v>
      </c>
      <c r="C75" s="337" t="s">
        <v>242</v>
      </c>
      <c r="I75" s="335"/>
      <c r="L75" s="288"/>
      <c r="M75" s="235">
        <f t="shared" ref="M75:S75" si="9">SUM(M64:M72)</f>
        <v>9701991.1551517379</v>
      </c>
      <c r="N75" s="235">
        <f t="shared" si="9"/>
        <v>6605711.2145815976</v>
      </c>
      <c r="O75" s="235">
        <f t="shared" si="9"/>
        <v>5353009.8038354851</v>
      </c>
      <c r="P75" s="235">
        <f t="shared" si="9"/>
        <v>5353009.8038354851</v>
      </c>
      <c r="Q75" s="235">
        <f t="shared" si="9"/>
        <v>6972589.0539206471</v>
      </c>
      <c r="R75" s="235">
        <f t="shared" si="9"/>
        <v>7867393.5789206475</v>
      </c>
      <c r="S75" s="235">
        <f t="shared" si="9"/>
        <v>9060469.2000000011</v>
      </c>
      <c r="T75" s="288"/>
      <c r="U75" s="288"/>
      <c r="V75" s="288"/>
      <c r="W75" s="288"/>
      <c r="X75" s="288"/>
    </row>
    <row r="76" spans="2:24" x14ac:dyDescent="0.2">
      <c r="C76" s="280"/>
      <c r="L76" s="229"/>
      <c r="M76" s="238"/>
      <c r="N76" s="238"/>
      <c r="O76" s="238"/>
      <c r="P76" s="238"/>
      <c r="Q76" s="238"/>
      <c r="R76" s="238"/>
      <c r="S76" s="238"/>
      <c r="T76" s="229"/>
      <c r="U76" s="229"/>
      <c r="V76" s="229"/>
      <c r="W76" s="229"/>
      <c r="X76" s="229"/>
    </row>
    <row r="77" spans="2:24" x14ac:dyDescent="0.2">
      <c r="B77" s="232" t="s">
        <v>274</v>
      </c>
      <c r="C77" s="280" t="s">
        <v>242</v>
      </c>
      <c r="L77" s="229"/>
      <c r="M77" s="238">
        <f>SUMIFS('Forecast capex'!$N$9:$N$1940,'Forecast capex'!$AD$9:$AD$1940,$B77,'Forecast capex'!$J$9:$J$1940,M$11)</f>
        <v>0</v>
      </c>
      <c r="N77" s="238">
        <f>SUMIFS('Forecast capex'!$N$9:$N$1940,'Forecast capex'!$AD$9:$AD$1940,$B77,'Forecast capex'!$J$9:$J$1940,N$11)</f>
        <v>0</v>
      </c>
      <c r="O77" s="238">
        <f>SUMIFS('Forecast capex'!$N$9:$N$1940,'Forecast capex'!$AD$9:$AD$1940,$B77,'Forecast capex'!$J$9:$J$1940,O$11)</f>
        <v>0</v>
      </c>
      <c r="P77" s="238">
        <f>SUMIFS('Forecast capex'!$N$9:$N$1940,'Forecast capex'!$AD$9:$AD$1940,$B77,'Forecast capex'!$J$9:$J$1940,P$11)</f>
        <v>0</v>
      </c>
      <c r="Q77" s="238">
        <f>SUMIFS('Forecast capex'!$N$9:$N$1940,'Forecast capex'!$AD$9:$AD$1940,$B77,'Forecast capex'!$J$9:$J$1940,Q$11)</f>
        <v>0</v>
      </c>
      <c r="R77" s="238">
        <f>SUMIFS('Forecast capex'!$N$9:$N$1940,'Forecast capex'!$AD$9:$AD$1940,$B77,'Forecast capex'!$J$9:$J$1940,R$11)</f>
        <v>0</v>
      </c>
      <c r="S77" s="238">
        <f>SUMIFS('Forecast capex'!$N$9:$N$1940,'Forecast capex'!$AD$9:$AD$1940,$B77,'Forecast capex'!$J$9:$J$1940,S$11)</f>
        <v>0</v>
      </c>
      <c r="T77" s="229"/>
      <c r="U77" s="229"/>
      <c r="V77" s="229"/>
      <c r="W77" s="229"/>
      <c r="X77" s="229"/>
    </row>
    <row r="78" spans="2:24" x14ac:dyDescent="0.2">
      <c r="B78" s="243" t="s">
        <v>296</v>
      </c>
      <c r="C78" s="337" t="s">
        <v>242</v>
      </c>
      <c r="L78" s="229"/>
      <c r="M78" s="235">
        <f t="shared" ref="M78:S78" si="10">M75+M77</f>
        <v>9701991.1551517379</v>
      </c>
      <c r="N78" s="235">
        <f t="shared" si="10"/>
        <v>6605711.2145815976</v>
      </c>
      <c r="O78" s="235">
        <f t="shared" si="10"/>
        <v>5353009.8038354851</v>
      </c>
      <c r="P78" s="235">
        <f t="shared" si="10"/>
        <v>5353009.8038354851</v>
      </c>
      <c r="Q78" s="235">
        <f t="shared" si="10"/>
        <v>6972589.0539206471</v>
      </c>
      <c r="R78" s="235">
        <f t="shared" si="10"/>
        <v>7867393.5789206475</v>
      </c>
      <c r="S78" s="235">
        <f t="shared" si="10"/>
        <v>9060469.2000000011</v>
      </c>
      <c r="T78" s="229"/>
      <c r="U78" s="229"/>
      <c r="V78" s="229"/>
      <c r="W78" s="229"/>
      <c r="X78" s="229"/>
    </row>
    <row r="79" spans="2:24" x14ac:dyDescent="0.2">
      <c r="L79" s="229"/>
      <c r="M79" s="229"/>
      <c r="N79" s="229"/>
      <c r="O79" s="229"/>
      <c r="P79" s="229"/>
      <c r="Q79" s="229"/>
      <c r="R79" s="229"/>
      <c r="S79" s="229"/>
      <c r="T79" s="229"/>
      <c r="U79" s="229"/>
      <c r="V79" s="229"/>
      <c r="W79" s="229"/>
      <c r="X79" s="229"/>
    </row>
    <row r="80" spans="2:24" s="330" customFormat="1" x14ac:dyDescent="0.2">
      <c r="B80" s="242" t="s">
        <v>226</v>
      </c>
      <c r="C80" s="280" t="s">
        <v>58</v>
      </c>
      <c r="D80" s="297">
        <f>SUM(H80:S80)</f>
        <v>0</v>
      </c>
      <c r="E80" s="298"/>
      <c r="F80" s="229"/>
      <c r="G80" s="229"/>
      <c r="H80" s="229"/>
      <c r="I80" s="229"/>
      <c r="J80" s="229"/>
      <c r="K80" s="229"/>
      <c r="L80" s="229"/>
      <c r="M80" s="228">
        <f>IF(ABS(M78-SUMIFS('Forecast capex'!$N$9:$N$1940,'Forecast capex'!$J$9:$J$1940,M$11))&gt;0.001,1,0)</f>
        <v>0</v>
      </c>
      <c r="N80" s="228">
        <f>IF(ABS(N78-SUMIFS('Forecast capex'!$N$9:$N$1940,'Forecast capex'!$J$9:$J$1940,N$11))&gt;0.001,1,0)</f>
        <v>0</v>
      </c>
      <c r="O80" s="228">
        <f>IF(ABS(O78-SUMIFS('Forecast capex'!$N$9:$N$1940,'Forecast capex'!$J$9:$J$1940,O$11))&gt;0.001,1,0)</f>
        <v>0</v>
      </c>
      <c r="P80" s="228">
        <f>IF(ABS(P78-SUMIFS('Forecast capex'!$N$9:$N$1940,'Forecast capex'!$J$9:$J$1940,P$11))&gt;0.001,1,0)</f>
        <v>0</v>
      </c>
      <c r="Q80" s="228">
        <f>IF(ABS(Q78-SUMIFS('Forecast capex'!$N$9:$N$1940,'Forecast capex'!$J$9:$J$1940,Q$11))&gt;0.001,1,0)</f>
        <v>0</v>
      </c>
      <c r="R80" s="228">
        <f>IF(ABS(R78-SUMIFS('Forecast capex'!$N$9:$N$1940,'Forecast capex'!$J$9:$J$1940,R$11))&gt;0.001,1,0)</f>
        <v>0</v>
      </c>
      <c r="S80" s="228">
        <f>IF(ABS(S78-SUMIFS('Forecast capex'!$N$9:$N$1940,'Forecast capex'!$J$9:$J$1940,S$11))&gt;0.001,1,0)</f>
        <v>0</v>
      </c>
      <c r="T80" s="229"/>
      <c r="U80" s="229"/>
      <c r="V80" s="229"/>
      <c r="W80" s="229"/>
      <c r="X80" s="229"/>
    </row>
    <row r="81" spans="2:27" x14ac:dyDescent="0.2">
      <c r="B81" s="229"/>
      <c r="C81" s="338"/>
      <c r="D81" s="229"/>
      <c r="E81" s="229"/>
      <c r="F81" s="229"/>
      <c r="G81" s="229"/>
      <c r="H81" s="229"/>
      <c r="I81" s="230"/>
      <c r="J81" s="229"/>
      <c r="K81" s="229"/>
      <c r="L81" s="229"/>
      <c r="M81" s="229"/>
      <c r="N81" s="229"/>
      <c r="O81" s="229"/>
      <c r="P81" s="229"/>
      <c r="Q81" s="229"/>
      <c r="R81" s="229"/>
      <c r="S81" s="229"/>
      <c r="T81" s="229"/>
      <c r="U81" s="229"/>
      <c r="V81" s="229"/>
      <c r="W81" s="229"/>
      <c r="X81" s="229"/>
    </row>
    <row r="82" spans="2:27" s="331" customFormat="1" x14ac:dyDescent="0.2">
      <c r="B82" s="287" t="s">
        <v>249</v>
      </c>
      <c r="C82" s="329"/>
      <c r="D82" s="229"/>
      <c r="E82" s="229"/>
      <c r="F82" s="229"/>
      <c r="G82" s="229"/>
      <c r="H82" s="290"/>
      <c r="I82" s="229"/>
      <c r="J82" s="229"/>
      <c r="K82" s="229"/>
      <c r="L82" s="229"/>
      <c r="M82" s="229"/>
      <c r="N82" s="229"/>
      <c r="O82" s="229"/>
      <c r="P82" s="229"/>
      <c r="Q82" s="229"/>
      <c r="R82" s="229"/>
      <c r="S82" s="229"/>
      <c r="T82" s="229"/>
      <c r="U82" s="229"/>
      <c r="V82" s="229"/>
      <c r="W82" s="229"/>
      <c r="X82" s="229"/>
      <c r="Y82" s="330"/>
      <c r="Z82" s="330"/>
      <c r="AA82" s="330"/>
    </row>
    <row r="83" spans="2:27" s="331" customFormat="1" x14ac:dyDescent="0.2">
      <c r="B83" s="332"/>
      <c r="C83" s="329"/>
      <c r="D83" s="229"/>
      <c r="E83" s="229"/>
      <c r="F83" s="229"/>
      <c r="G83" s="229"/>
      <c r="H83" s="229"/>
      <c r="I83" s="229"/>
      <c r="J83" s="229"/>
      <c r="K83" s="229"/>
      <c r="L83" s="229"/>
      <c r="M83" s="229"/>
      <c r="N83" s="229"/>
      <c r="O83" s="229"/>
      <c r="P83" s="229"/>
      <c r="Q83" s="229"/>
      <c r="R83" s="229"/>
      <c r="S83" s="229"/>
      <c r="T83" s="229"/>
      <c r="U83" s="229"/>
      <c r="V83" s="229"/>
      <c r="W83" s="229"/>
      <c r="X83" s="229"/>
      <c r="Y83" s="330"/>
      <c r="Z83" s="330"/>
      <c r="AA83" s="330"/>
    </row>
    <row r="84" spans="2:27" x14ac:dyDescent="0.2">
      <c r="B84" s="229" t="s">
        <v>95</v>
      </c>
      <c r="C84" s="280" t="s">
        <v>250</v>
      </c>
      <c r="D84" s="229"/>
      <c r="E84" s="229"/>
      <c r="F84" s="229"/>
      <c r="G84" s="229"/>
      <c r="H84" s="229"/>
      <c r="I84" s="229"/>
      <c r="J84" s="229"/>
      <c r="K84" s="229"/>
      <c r="L84" s="229"/>
      <c r="M84" s="238">
        <f>SUMIFS('Forecast capex'!$T$9:$T$1940,'Forecast capex'!$AD$9:$AD$1940,$B84,'Forecast capex'!$J$9:$J$1940,M$11)</f>
        <v>9299508.6144327596</v>
      </c>
      <c r="N84" s="238">
        <f>SUMIFS('Forecast capex'!$T$9:$T$1940,'Forecast capex'!$AD$9:$AD$1940,$B84,'Forecast capex'!$J$9:$J$1940,N$11)</f>
        <v>5526545.1002243478</v>
      </c>
      <c r="O84" s="238">
        <f>SUMIFS('Forecast capex'!$T$9:$T$1940,'Forecast capex'!$AD$9:$AD$1940,$B84,'Forecast capex'!$J$9:$J$1940,O$11)</f>
        <v>4363936.3606072264</v>
      </c>
      <c r="P84" s="238">
        <f>SUMIFS('Forecast capex'!$T$9:$T$1940,'Forecast capex'!$AD$9:$AD$1940,$B84,'Forecast capex'!$J$9:$J$1940,P$11)</f>
        <v>4452848.8784174304</v>
      </c>
      <c r="Q84" s="238">
        <f>SUMIFS('Forecast capex'!$T$9:$T$1940,'Forecast capex'!$AD$9:$AD$1940,$B84,'Forecast capex'!$J$9:$J$1940,Q$11)</f>
        <v>6250460.4295091592</v>
      </c>
      <c r="R84" s="238">
        <f>SUMIFS('Forecast capex'!$T$9:$T$1940,'Forecast capex'!$AD$9:$AD$1940,$B84,'Forecast capex'!$J$9:$J$1940,R$11)</f>
        <v>7352201.7710120324</v>
      </c>
      <c r="S84" s="238">
        <f>SUMIFS('Forecast capex'!$T$9:$T$1940,'Forecast capex'!$AD$9:$AD$1940,$B84,'Forecast capex'!$J$9:$J$1940,S$11)</f>
        <v>8827960.8122929335</v>
      </c>
      <c r="T84" s="229"/>
      <c r="U84" s="229"/>
      <c r="V84" s="229"/>
      <c r="W84" s="229"/>
      <c r="X84" s="229"/>
    </row>
    <row r="85" spans="2:27" x14ac:dyDescent="0.2">
      <c r="B85" s="232" t="s">
        <v>77</v>
      </c>
      <c r="C85" s="280" t="s">
        <v>250</v>
      </c>
      <c r="D85" s="229"/>
      <c r="E85" s="229"/>
      <c r="F85" s="229"/>
      <c r="G85" s="229"/>
      <c r="H85" s="229"/>
      <c r="I85" s="229"/>
      <c r="J85" s="229"/>
      <c r="K85" s="229"/>
      <c r="L85" s="229"/>
      <c r="M85" s="238">
        <f>SUMIFS('Forecast capex'!$T$9:$T$1940,'Forecast capex'!$AD$9:$AD$1940,$B85,'Forecast capex'!$J$9:$J$1940,M$11)</f>
        <v>0</v>
      </c>
      <c r="N85" s="238">
        <f>SUMIFS('Forecast capex'!$T$9:$T$1940,'Forecast capex'!$AD$9:$AD$1940,$B85,'Forecast capex'!$J$9:$J$1940,N$11)</f>
        <v>0</v>
      </c>
      <c r="O85" s="238">
        <f>SUMIFS('Forecast capex'!$T$9:$T$1940,'Forecast capex'!$AD$9:$AD$1940,$B85,'Forecast capex'!$J$9:$J$1940,O$11)</f>
        <v>0</v>
      </c>
      <c r="P85" s="238">
        <f>SUMIFS('Forecast capex'!$T$9:$T$1940,'Forecast capex'!$AD$9:$AD$1940,$B85,'Forecast capex'!$J$9:$J$1940,P$11)</f>
        <v>0</v>
      </c>
      <c r="Q85" s="238">
        <f>SUMIFS('Forecast capex'!$T$9:$T$1940,'Forecast capex'!$AD$9:$AD$1940,$B85,'Forecast capex'!$J$9:$J$1940,Q$11)</f>
        <v>0</v>
      </c>
      <c r="R85" s="238">
        <f>SUMIFS('Forecast capex'!$T$9:$T$1940,'Forecast capex'!$AD$9:$AD$1940,$B85,'Forecast capex'!$J$9:$J$1940,R$11)</f>
        <v>0</v>
      </c>
      <c r="S85" s="238">
        <f>SUMIFS('Forecast capex'!$T$9:$T$1940,'Forecast capex'!$AD$9:$AD$1940,$B85,'Forecast capex'!$J$9:$J$1940,S$11)</f>
        <v>0</v>
      </c>
      <c r="T85" s="229"/>
      <c r="U85" s="229"/>
      <c r="V85" s="229"/>
      <c r="W85" s="229"/>
      <c r="X85" s="229"/>
    </row>
    <row r="86" spans="2:27" x14ac:dyDescent="0.2">
      <c r="B86" s="232" t="s">
        <v>100</v>
      </c>
      <c r="C86" s="280" t="s">
        <v>250</v>
      </c>
      <c r="D86" s="229"/>
      <c r="E86" s="229"/>
      <c r="F86" s="229"/>
      <c r="G86" s="229"/>
      <c r="H86" s="229"/>
      <c r="I86" s="229"/>
      <c r="J86" s="229"/>
      <c r="K86" s="229"/>
      <c r="L86" s="229"/>
      <c r="M86" s="238">
        <f>SUMIFS('Forecast capex'!$T$9:$T$1940,'Forecast capex'!$AD$9:$AD$1940,$B86,'Forecast capex'!$J$9:$J$1940,M$11)</f>
        <v>0</v>
      </c>
      <c r="N86" s="238">
        <f>SUMIFS('Forecast capex'!$T$9:$T$1940,'Forecast capex'!$AD$9:$AD$1940,$B86,'Forecast capex'!$J$9:$J$1940,N$11)</f>
        <v>0</v>
      </c>
      <c r="O86" s="238">
        <f>SUMIFS('Forecast capex'!$T$9:$T$1940,'Forecast capex'!$AD$9:$AD$1940,$B86,'Forecast capex'!$J$9:$J$1940,O$11)</f>
        <v>0</v>
      </c>
      <c r="P86" s="238">
        <f>SUMIFS('Forecast capex'!$T$9:$T$1940,'Forecast capex'!$AD$9:$AD$1940,$B86,'Forecast capex'!$J$9:$J$1940,P$11)</f>
        <v>0</v>
      </c>
      <c r="Q86" s="238">
        <f>SUMIFS('Forecast capex'!$T$9:$T$1940,'Forecast capex'!$AD$9:$AD$1940,$B86,'Forecast capex'!$J$9:$J$1940,Q$11)</f>
        <v>0</v>
      </c>
      <c r="R86" s="238">
        <f>SUMIFS('Forecast capex'!$T$9:$T$1940,'Forecast capex'!$AD$9:$AD$1940,$B86,'Forecast capex'!$J$9:$J$1940,R$11)</f>
        <v>0</v>
      </c>
      <c r="S86" s="238">
        <f>SUMIFS('Forecast capex'!$T$9:$T$1940,'Forecast capex'!$AD$9:$AD$1940,$B86,'Forecast capex'!$J$9:$J$1940,S$11)</f>
        <v>0</v>
      </c>
      <c r="T86" s="229"/>
      <c r="U86" s="229"/>
      <c r="V86" s="229"/>
      <c r="W86" s="229"/>
      <c r="X86" s="229"/>
    </row>
    <row r="87" spans="2:27" x14ac:dyDescent="0.2">
      <c r="B87" s="232" t="s">
        <v>93</v>
      </c>
      <c r="C87" s="280" t="s">
        <v>250</v>
      </c>
      <c r="D87" s="229"/>
      <c r="E87" s="229"/>
      <c r="F87" s="229"/>
      <c r="G87" s="229"/>
      <c r="H87" s="229"/>
      <c r="I87" s="229"/>
      <c r="J87" s="229"/>
      <c r="K87" s="229"/>
      <c r="L87" s="229"/>
      <c r="M87" s="238">
        <f>SUMIFS('Forecast capex'!$T$9:$T$1940,'Forecast capex'!$AD$9:$AD$1940,$B87,'Forecast capex'!$J$9:$J$1940,M$11)</f>
        <v>402482.54071897804</v>
      </c>
      <c r="N87" s="238">
        <f>SUMIFS('Forecast capex'!$T$9:$T$1940,'Forecast capex'!$AD$9:$AD$1940,$B87,'Forecast capex'!$J$9:$J$1940,N$11)</f>
        <v>1168362.7827622886</v>
      </c>
      <c r="O87" s="238">
        <f>SUMIFS('Forecast capex'!$T$9:$T$1940,'Forecast capex'!$AD$9:$AD$1940,$B87,'Forecast capex'!$J$9:$J$1940,O$11)</f>
        <v>1126424.8705201237</v>
      </c>
      <c r="P87" s="238">
        <f>SUMIFS('Forecast capex'!$T$9:$T$1940,'Forecast capex'!$AD$9:$AD$1940,$B87,'Forecast capex'!$J$9:$J$1940,P$11)</f>
        <v>1150376.6482855799</v>
      </c>
      <c r="Q87" s="238">
        <f>SUMIFS('Forecast capex'!$T$9:$T$1940,'Forecast capex'!$AD$9:$AD$1940,$B87,'Forecast capex'!$J$9:$J$1940,Q$11)</f>
        <v>1170891.9950412046</v>
      </c>
      <c r="R87" s="238">
        <f>SUMIFS('Forecast capex'!$T$9:$T$1940,'Forecast capex'!$AD$9:$AD$1940,$B87,'Forecast capex'!$J$9:$J$1940,R$11)</f>
        <v>1196028.2340981658</v>
      </c>
      <c r="S87" s="238">
        <f>SUMIFS('Forecast capex'!$T$9:$T$1940,'Forecast capex'!$AD$9:$AD$1940,$B87,'Forecast capex'!$J$9:$J$1940,S$11)</f>
        <v>1221731.6907006032</v>
      </c>
      <c r="T87" s="229"/>
      <c r="U87" s="229"/>
      <c r="V87" s="229"/>
      <c r="W87" s="229"/>
      <c r="X87" s="229"/>
    </row>
    <row r="88" spans="2:27" x14ac:dyDescent="0.2">
      <c r="C88" s="280"/>
      <c r="D88" s="288"/>
      <c r="E88" s="288"/>
      <c r="F88" s="288"/>
      <c r="G88" s="288"/>
      <c r="H88" s="288"/>
      <c r="I88" s="288"/>
      <c r="J88" s="288"/>
      <c r="K88" s="288"/>
      <c r="L88" s="288"/>
      <c r="M88" s="294"/>
      <c r="N88" s="294"/>
      <c r="O88" s="294"/>
      <c r="P88" s="294"/>
      <c r="Q88" s="294"/>
      <c r="R88" s="294"/>
      <c r="S88" s="294"/>
      <c r="T88" s="229"/>
      <c r="U88" s="229"/>
      <c r="V88" s="229"/>
      <c r="W88" s="229"/>
      <c r="X88" s="229"/>
    </row>
    <row r="89" spans="2:27" x14ac:dyDescent="0.2">
      <c r="B89" s="243" t="s">
        <v>270</v>
      </c>
      <c r="C89" s="280"/>
      <c r="D89" s="229"/>
      <c r="E89" s="229"/>
      <c r="F89" s="229"/>
      <c r="G89" s="229"/>
      <c r="H89" s="229"/>
      <c r="I89" s="229"/>
      <c r="J89" s="229"/>
      <c r="K89" s="229"/>
      <c r="L89" s="229"/>
      <c r="M89" s="238"/>
      <c r="N89" s="238"/>
      <c r="O89" s="238"/>
      <c r="P89" s="238"/>
      <c r="Q89" s="238"/>
      <c r="R89" s="238"/>
      <c r="S89" s="238"/>
      <c r="T89" s="229"/>
      <c r="U89" s="229"/>
      <c r="V89" s="229"/>
      <c r="W89" s="229"/>
      <c r="X89" s="229"/>
    </row>
    <row r="90" spans="2:27" x14ac:dyDescent="0.2">
      <c r="B90" s="232" t="s">
        <v>97</v>
      </c>
      <c r="C90" s="280" t="s">
        <v>250</v>
      </c>
      <c r="D90" s="229"/>
      <c r="E90" s="229"/>
      <c r="F90" s="229"/>
      <c r="G90" s="229"/>
      <c r="H90" s="229"/>
      <c r="I90" s="229"/>
      <c r="J90" s="229"/>
      <c r="K90" s="229"/>
      <c r="L90" s="229"/>
      <c r="M90" s="238">
        <f>SUMIFS('Forecast capex'!$T$9:$T$1940,'Forecast capex'!$AD$9:$AD$1940,$B90,'Forecast capex'!$J$9:$J$1940,M$11)</f>
        <v>0</v>
      </c>
      <c r="N90" s="238">
        <f>SUMIFS('Forecast capex'!$T$9:$T$1940,'Forecast capex'!$AD$9:$AD$1940,$B90,'Forecast capex'!$J$9:$J$1940,N$11)</f>
        <v>0</v>
      </c>
      <c r="O90" s="238">
        <f>SUMIFS('Forecast capex'!$T$9:$T$1940,'Forecast capex'!$AD$9:$AD$1940,$B90,'Forecast capex'!$J$9:$J$1940,O$11)</f>
        <v>0</v>
      </c>
      <c r="P90" s="238">
        <f>SUMIFS('Forecast capex'!$T$9:$T$1940,'Forecast capex'!$AD$9:$AD$1940,$B90,'Forecast capex'!$J$9:$J$1940,P$11)</f>
        <v>0</v>
      </c>
      <c r="Q90" s="238">
        <f>SUMIFS('Forecast capex'!$T$9:$T$1940,'Forecast capex'!$AD$9:$AD$1940,$B90,'Forecast capex'!$J$9:$J$1940,Q$11)</f>
        <v>0</v>
      </c>
      <c r="R90" s="238">
        <f>SUMIFS('Forecast capex'!$T$9:$T$1940,'Forecast capex'!$AD$9:$AD$1940,$B90,'Forecast capex'!$J$9:$J$1940,R$11)</f>
        <v>0</v>
      </c>
      <c r="S90" s="238">
        <f>SUMIFS('Forecast capex'!$T$9:$T$1940,'Forecast capex'!$AD$9:$AD$1940,$B90,'Forecast capex'!$J$9:$J$1940,S$11)</f>
        <v>0</v>
      </c>
      <c r="T90" s="229"/>
      <c r="U90" s="229"/>
      <c r="V90" s="229"/>
      <c r="W90" s="229"/>
      <c r="X90" s="229"/>
    </row>
    <row r="91" spans="2:27" x14ac:dyDescent="0.2">
      <c r="B91" s="232" t="s">
        <v>121</v>
      </c>
      <c r="C91" s="280" t="s">
        <v>250</v>
      </c>
      <c r="D91" s="229"/>
      <c r="E91" s="229"/>
      <c r="F91" s="229"/>
      <c r="G91" s="229"/>
      <c r="H91" s="229"/>
      <c r="I91" s="229"/>
      <c r="J91" s="229"/>
      <c r="K91" s="229"/>
      <c r="L91" s="229"/>
      <c r="M91" s="238">
        <f>SUMIFS('Forecast capex'!$T$9:$T$1940,'Forecast capex'!$AD$9:$AD$1940,$B91,'Forecast capex'!$J$9:$J$1940,M$11)</f>
        <v>0</v>
      </c>
      <c r="N91" s="238">
        <f>SUMIFS('Forecast capex'!$T$9:$T$1940,'Forecast capex'!$AD$9:$AD$1940,$B91,'Forecast capex'!$J$9:$J$1940,N$11)</f>
        <v>0</v>
      </c>
      <c r="O91" s="238">
        <f>SUMIFS('Forecast capex'!$T$9:$T$1940,'Forecast capex'!$AD$9:$AD$1940,$B91,'Forecast capex'!$J$9:$J$1940,O$11)</f>
        <v>0</v>
      </c>
      <c r="P91" s="238">
        <f>SUMIFS('Forecast capex'!$T$9:$T$1940,'Forecast capex'!$AD$9:$AD$1940,$B91,'Forecast capex'!$J$9:$J$1940,P$11)</f>
        <v>0</v>
      </c>
      <c r="Q91" s="238">
        <f>SUMIFS('Forecast capex'!$T$9:$T$1940,'Forecast capex'!$AD$9:$AD$1940,$B91,'Forecast capex'!$J$9:$J$1940,Q$11)</f>
        <v>0</v>
      </c>
      <c r="R91" s="238">
        <f>SUMIFS('Forecast capex'!$T$9:$T$1940,'Forecast capex'!$AD$9:$AD$1940,$B91,'Forecast capex'!$J$9:$J$1940,R$11)</f>
        <v>0</v>
      </c>
      <c r="S91" s="238">
        <f>SUMIFS('Forecast capex'!$T$9:$T$1940,'Forecast capex'!$AD$9:$AD$1940,$B91,'Forecast capex'!$J$9:$J$1940,S$11)</f>
        <v>0</v>
      </c>
      <c r="T91" s="229"/>
      <c r="U91" s="229"/>
      <c r="V91" s="229"/>
      <c r="W91" s="229"/>
      <c r="X91" s="229"/>
    </row>
    <row r="92" spans="2:27" x14ac:dyDescent="0.2">
      <c r="B92" s="232" t="s">
        <v>122</v>
      </c>
      <c r="C92" s="280" t="s">
        <v>250</v>
      </c>
      <c r="D92" s="288"/>
      <c r="E92" s="288"/>
      <c r="F92" s="288"/>
      <c r="G92" s="288"/>
      <c r="H92" s="288"/>
      <c r="I92" s="288"/>
      <c r="J92" s="288"/>
      <c r="K92" s="288"/>
      <c r="L92" s="288"/>
      <c r="M92" s="238">
        <f>SUMIFS('Forecast capex'!$T$9:$T$1940,'Forecast capex'!$AD$9:$AD$1940,$B92,'Forecast capex'!$J$9:$J$1940,M$11)</f>
        <v>0</v>
      </c>
      <c r="N92" s="238">
        <f>SUMIFS('Forecast capex'!$T$9:$T$1940,'Forecast capex'!$AD$9:$AD$1940,$B92,'Forecast capex'!$J$9:$J$1940,N$11)</f>
        <v>0</v>
      </c>
      <c r="O92" s="238">
        <f>SUMIFS('Forecast capex'!$T$9:$T$1940,'Forecast capex'!$AD$9:$AD$1940,$B92,'Forecast capex'!$J$9:$J$1940,O$11)</f>
        <v>0</v>
      </c>
      <c r="P92" s="238">
        <f>SUMIFS('Forecast capex'!$T$9:$T$1940,'Forecast capex'!$AD$9:$AD$1940,$B92,'Forecast capex'!$J$9:$J$1940,P$11)</f>
        <v>0</v>
      </c>
      <c r="Q92" s="238">
        <f>SUMIFS('Forecast capex'!$T$9:$T$1940,'Forecast capex'!$AD$9:$AD$1940,$B92,'Forecast capex'!$J$9:$J$1940,Q$11)</f>
        <v>0</v>
      </c>
      <c r="R92" s="238">
        <f>SUMIFS('Forecast capex'!$T$9:$T$1940,'Forecast capex'!$AD$9:$AD$1940,$B92,'Forecast capex'!$J$9:$J$1940,R$11)</f>
        <v>0</v>
      </c>
      <c r="S92" s="238">
        <f>SUMIFS('Forecast capex'!$T$9:$T$1940,'Forecast capex'!$AD$9:$AD$1940,$B92,'Forecast capex'!$J$9:$J$1940,S$11)</f>
        <v>0</v>
      </c>
      <c r="T92" s="229"/>
      <c r="U92" s="229"/>
      <c r="V92" s="229"/>
      <c r="W92" s="229"/>
      <c r="X92" s="229"/>
    </row>
    <row r="93" spans="2:27" s="243" customFormat="1" x14ac:dyDescent="0.2">
      <c r="B93" s="243" t="s">
        <v>272</v>
      </c>
      <c r="C93" s="337" t="s">
        <v>250</v>
      </c>
      <c r="D93" s="288"/>
      <c r="E93" s="288"/>
      <c r="F93" s="288"/>
      <c r="G93" s="288"/>
      <c r="H93" s="288"/>
      <c r="I93" s="288"/>
      <c r="J93" s="288"/>
      <c r="K93" s="288"/>
      <c r="L93" s="288"/>
      <c r="M93" s="235">
        <f t="shared" ref="M93:S93" si="11">SUM(M89:M92)</f>
        <v>0</v>
      </c>
      <c r="N93" s="235">
        <f t="shared" si="11"/>
        <v>0</v>
      </c>
      <c r="O93" s="235">
        <f t="shared" si="11"/>
        <v>0</v>
      </c>
      <c r="P93" s="235">
        <f t="shared" si="11"/>
        <v>0</v>
      </c>
      <c r="Q93" s="235">
        <f t="shared" si="11"/>
        <v>0</v>
      </c>
      <c r="R93" s="235">
        <f t="shared" si="11"/>
        <v>0</v>
      </c>
      <c r="S93" s="235">
        <f t="shared" si="11"/>
        <v>0</v>
      </c>
      <c r="T93" s="288"/>
      <c r="U93" s="288"/>
      <c r="V93" s="288"/>
      <c r="W93" s="288"/>
      <c r="X93" s="288"/>
    </row>
    <row r="94" spans="2:27" x14ac:dyDescent="0.2">
      <c r="C94" s="337"/>
      <c r="D94" s="288"/>
      <c r="E94" s="288"/>
      <c r="F94" s="288"/>
      <c r="G94" s="288"/>
      <c r="H94" s="288"/>
      <c r="I94" s="288"/>
      <c r="J94" s="288"/>
      <c r="K94" s="288"/>
      <c r="L94" s="288"/>
      <c r="M94" s="294"/>
      <c r="N94" s="294"/>
      <c r="O94" s="294"/>
      <c r="P94" s="294"/>
      <c r="Q94" s="294"/>
      <c r="R94" s="294"/>
      <c r="S94" s="294"/>
      <c r="T94" s="229"/>
      <c r="U94" s="229"/>
      <c r="V94" s="229"/>
      <c r="W94" s="229"/>
      <c r="X94" s="229"/>
    </row>
    <row r="95" spans="2:27" x14ac:dyDescent="0.2">
      <c r="B95" s="243" t="s">
        <v>424</v>
      </c>
      <c r="C95" s="337" t="s">
        <v>250</v>
      </c>
      <c r="D95" s="229"/>
      <c r="E95" s="229"/>
      <c r="F95" s="229"/>
      <c r="G95" s="229"/>
      <c r="H95" s="229"/>
      <c r="I95" s="230"/>
      <c r="J95" s="229"/>
      <c r="K95" s="229"/>
      <c r="L95" s="229"/>
      <c r="M95" s="235">
        <f t="shared" ref="M95:S95" si="12">SUM(M84:M92)</f>
        <v>9701991.1551517379</v>
      </c>
      <c r="N95" s="235">
        <f t="shared" si="12"/>
        <v>6694907.8829866368</v>
      </c>
      <c r="O95" s="235">
        <f t="shared" si="12"/>
        <v>5490361.2311273497</v>
      </c>
      <c r="P95" s="235">
        <f t="shared" si="12"/>
        <v>5603225.5267030103</v>
      </c>
      <c r="Q95" s="235">
        <f t="shared" si="12"/>
        <v>7421352.4245503638</v>
      </c>
      <c r="R95" s="235">
        <f t="shared" si="12"/>
        <v>8548230.0051101986</v>
      </c>
      <c r="S95" s="235">
        <f t="shared" si="12"/>
        <v>10049692.502993537</v>
      </c>
      <c r="T95" s="229"/>
      <c r="U95" s="229"/>
      <c r="V95" s="229"/>
      <c r="W95" s="229"/>
      <c r="X95" s="229"/>
    </row>
    <row r="96" spans="2:27" x14ac:dyDescent="0.2">
      <c r="C96" s="280"/>
      <c r="D96" s="229"/>
      <c r="E96" s="229"/>
      <c r="F96" s="229"/>
      <c r="G96" s="229"/>
      <c r="H96" s="229"/>
      <c r="I96" s="230"/>
      <c r="J96" s="229"/>
      <c r="K96" s="229"/>
      <c r="L96" s="229"/>
      <c r="M96" s="238"/>
      <c r="N96" s="238"/>
      <c r="O96" s="238"/>
      <c r="P96" s="238"/>
      <c r="Q96" s="238"/>
      <c r="R96" s="238"/>
      <c r="S96" s="238"/>
      <c r="T96" s="229"/>
      <c r="U96" s="229"/>
      <c r="V96" s="229"/>
      <c r="W96" s="229"/>
      <c r="X96" s="229"/>
    </row>
    <row r="97" spans="1:24" x14ac:dyDescent="0.2">
      <c r="B97" s="232" t="s">
        <v>274</v>
      </c>
      <c r="C97" s="280" t="s">
        <v>250</v>
      </c>
      <c r="D97" s="229"/>
      <c r="E97" s="229"/>
      <c r="F97" s="229"/>
      <c r="G97" s="229"/>
      <c r="H97" s="229"/>
      <c r="I97" s="230"/>
      <c r="J97" s="229"/>
      <c r="K97" s="229"/>
      <c r="L97" s="229"/>
      <c r="M97" s="238">
        <f>SUMIFS('Forecast capex'!$T$9:$T$1940,'Forecast capex'!$AD$9:$AD$1940,$B97,'Forecast capex'!$J$9:$J$1940,M$11)</f>
        <v>0</v>
      </c>
      <c r="N97" s="238">
        <f>SUMIFS('Forecast capex'!$T$9:$T$1940,'Forecast capex'!$AD$9:$AD$1940,$B97,'Forecast capex'!$J$9:$J$1940,N$11)</f>
        <v>0</v>
      </c>
      <c r="O97" s="238">
        <f>SUMIFS('Forecast capex'!$T$9:$T$1940,'Forecast capex'!$AD$9:$AD$1940,$B97,'Forecast capex'!$J$9:$J$1940,O$11)</f>
        <v>0</v>
      </c>
      <c r="P97" s="238">
        <f>SUMIFS('Forecast capex'!$T$9:$T$1940,'Forecast capex'!$AD$9:$AD$1940,$B97,'Forecast capex'!$J$9:$J$1940,P$11)</f>
        <v>0</v>
      </c>
      <c r="Q97" s="238">
        <f>SUMIFS('Forecast capex'!$T$9:$T$1940,'Forecast capex'!$AD$9:$AD$1940,$B97,'Forecast capex'!$J$9:$J$1940,Q$11)</f>
        <v>0</v>
      </c>
      <c r="R97" s="238">
        <f>SUMIFS('Forecast capex'!$T$9:$T$1940,'Forecast capex'!$AD$9:$AD$1940,$B97,'Forecast capex'!$J$9:$J$1940,R$11)</f>
        <v>0</v>
      </c>
      <c r="S97" s="238">
        <f>SUMIFS('Forecast capex'!$T$9:$T$1940,'Forecast capex'!$AD$9:$AD$1940,$B97,'Forecast capex'!$J$9:$J$1940,S$11)</f>
        <v>0</v>
      </c>
      <c r="T97" s="229"/>
      <c r="U97" s="229"/>
      <c r="V97" s="229"/>
      <c r="W97" s="229"/>
      <c r="X97" s="229"/>
    </row>
    <row r="98" spans="1:24" x14ac:dyDescent="0.2">
      <c r="B98" s="243" t="s">
        <v>296</v>
      </c>
      <c r="C98" s="337" t="s">
        <v>250</v>
      </c>
      <c r="D98" s="229"/>
      <c r="E98" s="229"/>
      <c r="F98" s="229"/>
      <c r="G98" s="229"/>
      <c r="H98" s="229"/>
      <c r="I98" s="230"/>
      <c r="J98" s="229"/>
      <c r="K98" s="229"/>
      <c r="L98" s="229"/>
      <c r="M98" s="235">
        <f t="shared" ref="M98:S98" si="13">M95+M97</f>
        <v>9701991.1551517379</v>
      </c>
      <c r="N98" s="235">
        <f t="shared" si="13"/>
        <v>6694907.8829866368</v>
      </c>
      <c r="O98" s="235">
        <f t="shared" si="13"/>
        <v>5490361.2311273497</v>
      </c>
      <c r="P98" s="235">
        <f t="shared" si="13"/>
        <v>5603225.5267030103</v>
      </c>
      <c r="Q98" s="235">
        <f t="shared" si="13"/>
        <v>7421352.4245503638</v>
      </c>
      <c r="R98" s="235">
        <f t="shared" si="13"/>
        <v>8548230.0051101986</v>
      </c>
      <c r="S98" s="235">
        <f t="shared" si="13"/>
        <v>10049692.502993537</v>
      </c>
      <c r="T98" s="229"/>
      <c r="U98" s="229"/>
      <c r="V98" s="229"/>
      <c r="W98" s="229"/>
      <c r="X98" s="229"/>
    </row>
    <row r="99" spans="1:24" x14ac:dyDescent="0.2">
      <c r="D99" s="229"/>
      <c r="E99" s="229"/>
      <c r="F99" s="229"/>
      <c r="G99" s="229"/>
      <c r="H99" s="229"/>
      <c r="I99" s="230"/>
      <c r="J99" s="229"/>
      <c r="K99" s="229"/>
      <c r="L99" s="229"/>
      <c r="M99" s="229"/>
      <c r="N99" s="229"/>
      <c r="O99" s="229"/>
      <c r="P99" s="229"/>
      <c r="Q99" s="229"/>
      <c r="R99" s="229"/>
      <c r="S99" s="229"/>
      <c r="T99" s="229"/>
      <c r="U99" s="229"/>
      <c r="V99" s="229"/>
      <c r="W99" s="229"/>
      <c r="X99" s="229"/>
    </row>
    <row r="100" spans="1:24" s="330" customFormat="1" x14ac:dyDescent="0.2">
      <c r="B100" s="242" t="s">
        <v>227</v>
      </c>
      <c r="C100" s="280" t="s">
        <v>58</v>
      </c>
      <c r="D100" s="297">
        <f>SUM(H100:S100)</f>
        <v>0</v>
      </c>
      <c r="E100" s="298"/>
      <c r="F100" s="229"/>
      <c r="G100" s="229"/>
      <c r="H100" s="229"/>
      <c r="I100" s="229"/>
      <c r="J100" s="229"/>
      <c r="K100" s="229"/>
      <c r="L100" s="229"/>
      <c r="M100" s="228">
        <f>IF(ABS(M98-SUMIFS('Forecast capex'!$T$9:$T$1940,'Forecast capex'!$J$9:$J$1940,M$11))&gt;0.001,1,0)</f>
        <v>0</v>
      </c>
      <c r="N100" s="228">
        <f>IF(ABS(N98-SUMIFS('Forecast capex'!$T$9:$T$1940,'Forecast capex'!$J$9:$J$1940,N$11))&gt;0.001,1,0)</f>
        <v>0</v>
      </c>
      <c r="O100" s="228">
        <f>IF(ABS(O98-SUMIFS('Forecast capex'!$T$9:$T$1940,'Forecast capex'!$J$9:$J$1940,O$11))&gt;0.001,1,0)</f>
        <v>0</v>
      </c>
      <c r="P100" s="228">
        <f>IF(ABS(P98-SUMIFS('Forecast capex'!$T$9:$T$1940,'Forecast capex'!$J$9:$J$1940,P$11))&gt;0.001,1,0)</f>
        <v>0</v>
      </c>
      <c r="Q100" s="228">
        <f>IF(ABS(Q98-SUMIFS('Forecast capex'!$T$9:$T$1940,'Forecast capex'!$J$9:$J$1940,Q$11))&gt;0.001,1,0)</f>
        <v>0</v>
      </c>
      <c r="R100" s="228">
        <f>IF(ABS(R98-SUMIFS('Forecast capex'!$T$9:$T$1940,'Forecast capex'!$J$9:$J$1940,R$11))&gt;0.001,1,0)</f>
        <v>0</v>
      </c>
      <c r="S100" s="228">
        <f>IF(ABS(S98-SUMIFS('Forecast capex'!$T$9:$T$1940,'Forecast capex'!$J$9:$J$1940,S$11))&gt;0.001,1,0)</f>
        <v>0</v>
      </c>
      <c r="T100" s="229"/>
      <c r="U100" s="229"/>
      <c r="V100" s="229"/>
      <c r="W100" s="229"/>
      <c r="X100" s="229"/>
    </row>
    <row r="101" spans="1:24" x14ac:dyDescent="0.2">
      <c r="B101" s="229"/>
      <c r="C101" s="338"/>
      <c r="D101" s="229"/>
      <c r="E101" s="229"/>
      <c r="F101" s="229"/>
      <c r="G101" s="229"/>
      <c r="H101" s="229"/>
      <c r="I101" s="230"/>
      <c r="J101" s="229"/>
      <c r="K101" s="229"/>
      <c r="L101" s="229"/>
      <c r="M101" s="229"/>
      <c r="N101" s="229"/>
      <c r="O101" s="229"/>
      <c r="P101" s="229"/>
      <c r="Q101" s="229"/>
      <c r="R101" s="229"/>
      <c r="S101" s="229"/>
      <c r="T101" s="229"/>
      <c r="U101" s="229"/>
      <c r="V101" s="229"/>
      <c r="W101" s="229"/>
      <c r="X101" s="229"/>
    </row>
    <row r="102" spans="1:24" s="229" customFormat="1" ht="12" customHeight="1" x14ac:dyDescent="0.2">
      <c r="A102" s="232"/>
      <c r="B102" s="283" t="s">
        <v>77</v>
      </c>
      <c r="C102" s="284" t="s">
        <v>51</v>
      </c>
      <c r="D102" s="285" t="s">
        <v>52</v>
      </c>
      <c r="E102" s="284" t="s">
        <v>53</v>
      </c>
      <c r="F102" s="242"/>
      <c r="G102" s="302"/>
      <c r="H102" s="302"/>
      <c r="I102" s="302"/>
      <c r="J102" s="302"/>
      <c r="K102" s="242"/>
      <c r="M102" s="242"/>
      <c r="N102" s="242"/>
      <c r="O102" s="242"/>
      <c r="P102" s="242"/>
      <c r="Q102" s="242"/>
      <c r="R102" s="242"/>
      <c r="S102" s="242"/>
      <c r="T102" s="242"/>
    </row>
    <row r="103" spans="1:24" x14ac:dyDescent="0.2">
      <c r="K103" s="289"/>
      <c r="L103" s="289"/>
      <c r="M103" s="290"/>
      <c r="N103" s="290"/>
      <c r="O103" s="290"/>
      <c r="P103" s="290"/>
      <c r="Q103" s="290"/>
      <c r="R103" s="290"/>
      <c r="S103" s="290"/>
      <c r="T103" s="242"/>
      <c r="U103" s="229"/>
      <c r="V103" s="229"/>
      <c r="W103" s="229"/>
      <c r="X103" s="229"/>
    </row>
    <row r="104" spans="1:24" x14ac:dyDescent="0.2">
      <c r="B104" s="287" t="s">
        <v>240</v>
      </c>
      <c r="M104" s="229"/>
      <c r="N104" s="229"/>
      <c r="O104" s="229"/>
      <c r="P104" s="229"/>
      <c r="Q104" s="229"/>
      <c r="R104" s="229"/>
      <c r="S104" s="229"/>
      <c r="T104" s="229"/>
      <c r="U104" s="229"/>
      <c r="V104" s="229"/>
      <c r="W104" s="229"/>
      <c r="X104" s="229"/>
    </row>
    <row r="105" spans="1:24" x14ac:dyDescent="0.2">
      <c r="M105" s="229"/>
      <c r="N105" s="229"/>
      <c r="O105" s="229"/>
      <c r="P105" s="229"/>
      <c r="Q105" s="229"/>
      <c r="R105" s="229"/>
      <c r="S105" s="229"/>
      <c r="T105" s="229"/>
      <c r="U105" s="229"/>
      <c r="V105" s="229"/>
      <c r="W105" s="229"/>
      <c r="X105" s="229"/>
    </row>
    <row r="106" spans="1:24" x14ac:dyDescent="0.2">
      <c r="B106" s="250" t="s">
        <v>284</v>
      </c>
      <c r="C106" s="280" t="s">
        <v>242</v>
      </c>
      <c r="M106" s="238">
        <f>SUMIFS('Forecast capex'!$Q$9:$Q$1940,'Forecast capex'!$C$9:$C$1940,$B106,'Forecast capex'!$AD$9:$AD$1940,$B$102,'Forecast capex'!$J$9:$J$1940,M$11)</f>
        <v>0</v>
      </c>
      <c r="N106" s="238">
        <f>SUMIFS('Forecast capex'!$Q$9:$Q$1940,'Forecast capex'!$C$9:$C$1940,$B106,'Forecast capex'!$AD$9:$AD$1940,$B$102,'Forecast capex'!$J$9:$J$1940,N$11)</f>
        <v>531200</v>
      </c>
      <c r="O106" s="238">
        <f>SUMIFS('Forecast capex'!$Q$9:$Q$1940,'Forecast capex'!$C$9:$C$1940,$B106,'Forecast capex'!$AD$9:$AD$1940,$B$102,'Forecast capex'!$J$9:$J$1940,O$11)</f>
        <v>0</v>
      </c>
      <c r="P106" s="238">
        <f>SUMIFS('Forecast capex'!$Q$9:$Q$1940,'Forecast capex'!$C$9:$C$1940,$B106,'Forecast capex'!$AD$9:$AD$1940,$B$102,'Forecast capex'!$J$9:$J$1940,P$11)</f>
        <v>0</v>
      </c>
      <c r="Q106" s="238">
        <f>SUMIFS('Forecast capex'!$Q$9:$Q$1940,'Forecast capex'!$C$9:$C$1940,$B106,'Forecast capex'!$AD$9:$AD$1940,$B$102,'Forecast capex'!$J$9:$J$1940,Q$11)</f>
        <v>0</v>
      </c>
      <c r="R106" s="238">
        <f>SUMIFS('Forecast capex'!$Q$9:$Q$1940,'Forecast capex'!$C$9:$C$1940,$B106,'Forecast capex'!$AD$9:$AD$1940,$B$102,'Forecast capex'!$J$9:$J$1940,R$11)</f>
        <v>0</v>
      </c>
      <c r="S106" s="238">
        <f>SUMIFS('Forecast capex'!$Q$9:$Q$1940,'Forecast capex'!$C$9:$C$1940,$B106,'Forecast capex'!$AD$9:$AD$1940,$B$102,'Forecast capex'!$J$9:$J$1940,S$11)</f>
        <v>0</v>
      </c>
      <c r="T106" s="229"/>
      <c r="U106" s="229"/>
      <c r="V106" s="229"/>
      <c r="W106" s="229"/>
      <c r="X106" s="229"/>
    </row>
    <row r="107" spans="1:24" x14ac:dyDescent="0.2">
      <c r="B107" s="250" t="s">
        <v>285</v>
      </c>
      <c r="C107" s="280" t="s">
        <v>242</v>
      </c>
      <c r="M107" s="238">
        <f>SUMIFS('Forecast capex'!$Q$9:$Q$1940,'Forecast capex'!$C$9:$C$1940,$B107,'Forecast capex'!$AD$9:$AD$1940,$B$102,'Forecast capex'!$J$9:$J$1940,M$11)</f>
        <v>0</v>
      </c>
      <c r="N107" s="238">
        <f>SUMIFS('Forecast capex'!$Q$9:$Q$1940,'Forecast capex'!$C$9:$C$1940,$B107,'Forecast capex'!$AD$9:$AD$1940,$B$102,'Forecast capex'!$J$9:$J$1940,N$11)</f>
        <v>431400</v>
      </c>
      <c r="O107" s="238">
        <f>SUMIFS('Forecast capex'!$Q$9:$Q$1940,'Forecast capex'!$C$9:$C$1940,$B107,'Forecast capex'!$AD$9:$AD$1940,$B$102,'Forecast capex'!$J$9:$J$1940,O$11)</f>
        <v>0</v>
      </c>
      <c r="P107" s="238">
        <f>SUMIFS('Forecast capex'!$Q$9:$Q$1940,'Forecast capex'!$C$9:$C$1940,$B107,'Forecast capex'!$AD$9:$AD$1940,$B$102,'Forecast capex'!$J$9:$J$1940,P$11)</f>
        <v>0</v>
      </c>
      <c r="Q107" s="238">
        <f>SUMIFS('Forecast capex'!$Q$9:$Q$1940,'Forecast capex'!$C$9:$C$1940,$B107,'Forecast capex'!$AD$9:$AD$1940,$B$102,'Forecast capex'!$J$9:$J$1940,Q$11)</f>
        <v>0</v>
      </c>
      <c r="R107" s="238">
        <f>SUMIFS('Forecast capex'!$Q$9:$Q$1940,'Forecast capex'!$C$9:$C$1940,$B107,'Forecast capex'!$AD$9:$AD$1940,$B$102,'Forecast capex'!$J$9:$J$1940,R$11)</f>
        <v>0</v>
      </c>
      <c r="S107" s="238">
        <f>SUMIFS('Forecast capex'!$Q$9:$Q$1940,'Forecast capex'!$C$9:$C$1940,$B107,'Forecast capex'!$AD$9:$AD$1940,$B$102,'Forecast capex'!$J$9:$J$1940,S$11)</f>
        <v>0</v>
      </c>
      <c r="T107" s="229"/>
      <c r="U107" s="229"/>
      <c r="V107" s="229"/>
      <c r="W107" s="229"/>
      <c r="X107" s="229"/>
    </row>
    <row r="108" spans="1:24" x14ac:dyDescent="0.2">
      <c r="B108" s="250" t="s">
        <v>286</v>
      </c>
      <c r="C108" s="280" t="s">
        <v>242</v>
      </c>
      <c r="M108" s="238">
        <f>SUMIFS('Forecast capex'!$Q$9:$Q$1940,'Forecast capex'!$C$9:$C$1940,$B108,'Forecast capex'!$AD$9:$AD$1940,$B$102,'Forecast capex'!$J$9:$J$1940,M$11)</f>
        <v>3366928.3939164178</v>
      </c>
      <c r="N108" s="238">
        <f>SUMIFS('Forecast capex'!$Q$9:$Q$1940,'Forecast capex'!$C$9:$C$1940,$B108,'Forecast capex'!$AD$9:$AD$1940,$B$102,'Forecast capex'!$J$9:$J$1940,N$11)</f>
        <v>1394559.0645224173</v>
      </c>
      <c r="O108" s="238">
        <f>SUMIFS('Forecast capex'!$Q$9:$Q$1940,'Forecast capex'!$C$9:$C$1940,$B108,'Forecast capex'!$AD$9:$AD$1940,$B$102,'Forecast capex'!$J$9:$J$1940,O$11)</f>
        <v>846095.48857348098</v>
      </c>
      <c r="P108" s="238">
        <f>SUMIFS('Forecast capex'!$Q$9:$Q$1940,'Forecast capex'!$C$9:$C$1940,$B108,'Forecast capex'!$AD$9:$AD$1940,$B$102,'Forecast capex'!$J$9:$J$1940,P$11)</f>
        <v>22378.638466429496</v>
      </c>
      <c r="Q108" s="238">
        <f>SUMIFS('Forecast capex'!$Q$9:$Q$1940,'Forecast capex'!$C$9:$C$1940,$B108,'Forecast capex'!$AD$9:$AD$1940,$B$102,'Forecast capex'!$J$9:$J$1940,Q$11)</f>
        <v>1947040.4155392011</v>
      </c>
      <c r="R108" s="238">
        <f>SUMIFS('Forecast capex'!$Q$9:$Q$1940,'Forecast capex'!$C$9:$C$1940,$B108,'Forecast capex'!$AD$9:$AD$1940,$B$102,'Forecast capex'!$J$9:$J$1940,R$11)</f>
        <v>29371.962987188715</v>
      </c>
      <c r="S108" s="238">
        <f>SUMIFS('Forecast capex'!$Q$9:$Q$1940,'Forecast capex'!$C$9:$C$1940,$B108,'Forecast capex'!$AD$9:$AD$1940,$B$102,'Forecast capex'!$J$9:$J$1940,S$11)</f>
        <v>30071.300000000003</v>
      </c>
      <c r="T108" s="229"/>
      <c r="U108" s="229"/>
      <c r="V108" s="229"/>
      <c r="W108" s="229"/>
      <c r="X108" s="229"/>
    </row>
    <row r="109" spans="1:24" x14ac:dyDescent="0.2">
      <c r="B109" s="250" t="s">
        <v>287</v>
      </c>
      <c r="C109" s="280" t="s">
        <v>242</v>
      </c>
      <c r="M109" s="238">
        <f>SUMIFS('Forecast capex'!$Q$9:$Q$1940,'Forecast capex'!$C$9:$C$1940,$B109,'Forecast capex'!$AD$9:$AD$1940,$B$102,'Forecast capex'!$J$9:$J$1940,M$11)</f>
        <v>1607603.6814520631</v>
      </c>
      <c r="N109" s="238">
        <f>SUMIFS('Forecast capex'!$Q$9:$Q$1940,'Forecast capex'!$C$9:$C$1940,$B109,'Forecast capex'!$AD$9:$AD$1940,$B$102,'Forecast capex'!$J$9:$J$1940,N$11)</f>
        <v>1191365.7000000004</v>
      </c>
      <c r="O109" s="238">
        <f>SUMIFS('Forecast capex'!$Q$9:$Q$1940,'Forecast capex'!$C$9:$C$1940,$B109,'Forecast capex'!$AD$9:$AD$1940,$B$102,'Forecast capex'!$J$9:$J$1940,O$11)</f>
        <v>1162013.0278090239</v>
      </c>
      <c r="P109" s="238">
        <f>SUMIFS('Forecast capex'!$Q$9:$Q$1940,'Forecast capex'!$C$9:$C$1940,$B109,'Forecast capex'!$AD$9:$AD$1940,$B$102,'Forecast capex'!$J$9:$J$1940,P$11)</f>
        <v>917524.17712360923</v>
      </c>
      <c r="Q109" s="238">
        <f>SUMIFS('Forecast capex'!$Q$9:$Q$1940,'Forecast capex'!$C$9:$C$1940,$B109,'Forecast capex'!$AD$9:$AD$1940,$B$102,'Forecast capex'!$J$9:$J$1940,Q$11)</f>
        <v>940462.28155169974</v>
      </c>
      <c r="R109" s="238">
        <f>SUMIFS('Forecast capex'!$Q$9:$Q$1940,'Forecast capex'!$C$9:$C$1940,$B109,'Forecast capex'!$AD$9:$AD$1940,$B$102,'Forecast capex'!$J$9:$J$1940,R$11)</f>
        <v>1204250.4824747373</v>
      </c>
      <c r="S109" s="238">
        <f>SUMIFS('Forecast capex'!$Q$9:$Q$1940,'Forecast capex'!$C$9:$C$1940,$B109,'Forecast capex'!$AD$9:$AD$1940,$B$102,'Forecast capex'!$J$9:$J$1940,S$11)</f>
        <v>1232923.2999999996</v>
      </c>
      <c r="T109" s="229"/>
      <c r="U109" s="229"/>
      <c r="V109" s="229"/>
      <c r="W109" s="229"/>
      <c r="X109" s="229"/>
    </row>
    <row r="110" spans="1:24" x14ac:dyDescent="0.2">
      <c r="B110" s="250" t="s">
        <v>288</v>
      </c>
      <c r="C110" s="280" t="s">
        <v>242</v>
      </c>
      <c r="M110" s="238">
        <f>SUMIFS('Forecast capex'!$Q$9:$Q$1940,'Forecast capex'!$C$9:$C$1940,$B110,'Forecast capex'!$AD$9:$AD$1940,$B$102,'Forecast capex'!$J$9:$J$1940,M$11)</f>
        <v>1176295.3766722414</v>
      </c>
      <c r="N110" s="238">
        <f>SUMIFS('Forecast capex'!$Q$9:$Q$1940,'Forecast capex'!$C$9:$C$1940,$B110,'Forecast capex'!$AD$9:$AD$1940,$B$102,'Forecast capex'!$J$9:$J$1940,N$11)</f>
        <v>871731.00000000012</v>
      </c>
      <c r="O110" s="238">
        <f>SUMIFS('Forecast capex'!$Q$9:$Q$1940,'Forecast capex'!$C$9:$C$1940,$B110,'Forecast capex'!$AD$9:$AD$1940,$B$102,'Forecast capex'!$J$9:$J$1940,O$11)</f>
        <v>850253.43498221238</v>
      </c>
      <c r="P110" s="238">
        <f>SUMIFS('Forecast capex'!$Q$9:$Q$1940,'Forecast capex'!$C$9:$C$1940,$B110,'Forecast capex'!$AD$9:$AD$1940,$B$102,'Forecast capex'!$J$9:$J$1940,P$11)</f>
        <v>671359.15399288503</v>
      </c>
      <c r="Q110" s="238">
        <f>SUMIFS('Forecast capex'!$Q$9:$Q$1940,'Forecast capex'!$C$9:$C$1940,$B110,'Forecast capex'!$AD$9:$AD$1940,$B$102,'Forecast capex'!$J$9:$J$1940,Q$11)</f>
        <v>688143.13284270733</v>
      </c>
      <c r="R110" s="238">
        <f>SUMIFS('Forecast capex'!$Q$9:$Q$1940,'Forecast capex'!$C$9:$C$1940,$B110,'Forecast capex'!$AD$9:$AD$1940,$B$102,'Forecast capex'!$J$9:$J$1940,R$11)</f>
        <v>881158.88961566135</v>
      </c>
      <c r="S110" s="238">
        <f>SUMIFS('Forecast capex'!$Q$9:$Q$1940,'Forecast capex'!$C$9:$C$1940,$B110,'Forecast capex'!$AD$9:$AD$1940,$B$102,'Forecast capex'!$J$9:$J$1940,S$11)</f>
        <v>902139</v>
      </c>
      <c r="T110" s="229"/>
      <c r="U110" s="229"/>
      <c r="V110" s="229"/>
      <c r="W110" s="229"/>
      <c r="X110" s="229"/>
    </row>
    <row r="111" spans="1:24" x14ac:dyDescent="0.2">
      <c r="B111" s="250" t="s">
        <v>289</v>
      </c>
      <c r="C111" s="280" t="s">
        <v>242</v>
      </c>
      <c r="M111" s="238">
        <f>SUMIFS('Forecast capex'!$Q$9:$Q$1940,'Forecast capex'!$C$9:$C$1940,$B111,'Forecast capex'!$AD$9:$AD$1940,$B$102,'Forecast capex'!$J$9:$J$1940,M$11)</f>
        <v>509727.99655797117</v>
      </c>
      <c r="N111" s="238">
        <f>SUMIFS('Forecast capex'!$Q$9:$Q$1940,'Forecast capex'!$C$9:$C$1940,$B111,'Forecast capex'!$AD$9:$AD$1940,$B$102,'Forecast capex'!$J$9:$J$1940,N$11)</f>
        <v>377750.1</v>
      </c>
      <c r="O111" s="238">
        <f>SUMIFS('Forecast capex'!$Q$9:$Q$1940,'Forecast capex'!$C$9:$C$1940,$B111,'Forecast capex'!$AD$9:$AD$1940,$B$102,'Forecast capex'!$J$9:$J$1940,O$11)</f>
        <v>368443.15515895875</v>
      </c>
      <c r="P111" s="238">
        <f>SUMIFS('Forecast capex'!$Q$9:$Q$1940,'Forecast capex'!$C$9:$C$1940,$B111,'Forecast capex'!$AD$9:$AD$1940,$B$102,'Forecast capex'!$J$9:$J$1940,P$11)</f>
        <v>290922.30006358353</v>
      </c>
      <c r="Q111" s="238">
        <f>SUMIFS('Forecast capex'!$Q$9:$Q$1940,'Forecast capex'!$C$9:$C$1940,$B111,'Forecast capex'!$AD$9:$AD$1940,$B$102,'Forecast capex'!$J$9:$J$1940,Q$11)</f>
        <v>298195.35756517312</v>
      </c>
      <c r="R111" s="238">
        <f>SUMIFS('Forecast capex'!$Q$9:$Q$1940,'Forecast capex'!$C$9:$C$1940,$B111,'Forecast capex'!$AD$9:$AD$1940,$B$102,'Forecast capex'!$J$9:$J$1940,R$11)</f>
        <v>381835.5188334533</v>
      </c>
      <c r="S111" s="238">
        <f>SUMIFS('Forecast capex'!$Q$9:$Q$1940,'Forecast capex'!$C$9:$C$1940,$B111,'Forecast capex'!$AD$9:$AD$1940,$B$102,'Forecast capex'!$J$9:$J$1940,S$11)</f>
        <v>390926.9</v>
      </c>
      <c r="T111" s="229"/>
      <c r="U111" s="229"/>
      <c r="V111" s="229"/>
      <c r="W111" s="229"/>
      <c r="X111" s="229"/>
    </row>
    <row r="112" spans="1:24" x14ac:dyDescent="0.2">
      <c r="B112" s="250" t="s">
        <v>290</v>
      </c>
      <c r="C112" s="280" t="s">
        <v>242</v>
      </c>
      <c r="M112" s="238">
        <f>SUMIFS('Forecast capex'!$Q$9:$Q$1940,'Forecast capex'!$C$9:$C$1940,$B112,'Forecast capex'!$AD$9:$AD$1940,$B$102,'Forecast capex'!$J$9:$J$1940,M$11)</f>
        <v>568542.76539158332</v>
      </c>
      <c r="N112" s="238">
        <f>SUMIFS('Forecast capex'!$Q$9:$Q$1940,'Forecast capex'!$C$9:$C$1940,$B112,'Forecast capex'!$AD$9:$AD$1940,$B$102,'Forecast capex'!$J$9:$J$1940,N$11)</f>
        <v>421336.65</v>
      </c>
      <c r="O112" s="238">
        <f>SUMIFS('Forecast capex'!$Q$9:$Q$1940,'Forecast capex'!$C$9:$C$1940,$B112,'Forecast capex'!$AD$9:$AD$1940,$B$102,'Forecast capex'!$J$9:$J$1940,O$11)</f>
        <v>410955.82690806931</v>
      </c>
      <c r="P112" s="238">
        <f>SUMIFS('Forecast capex'!$Q$9:$Q$1940,'Forecast capex'!$C$9:$C$1940,$B112,'Forecast capex'!$AD$9:$AD$1940,$B$102,'Forecast capex'!$J$9:$J$1940,P$11)</f>
        <v>324490.25776322774</v>
      </c>
      <c r="Q112" s="238">
        <f>SUMIFS('Forecast capex'!$Q$9:$Q$1940,'Forecast capex'!$C$9:$C$1940,$B112,'Forecast capex'!$AD$9:$AD$1940,$B$102,'Forecast capex'!$J$9:$J$1940,Q$11)</f>
        <v>332602.51420730847</v>
      </c>
      <c r="R112" s="238">
        <f>SUMIFS('Forecast capex'!$Q$9:$Q$1940,'Forecast capex'!$C$9:$C$1940,$B112,'Forecast capex'!$AD$9:$AD$1940,$B$102,'Forecast capex'!$J$9:$J$1940,R$11)</f>
        <v>425893.46331423637</v>
      </c>
      <c r="S112" s="238">
        <f>SUMIFS('Forecast capex'!$Q$9:$Q$1940,'Forecast capex'!$C$9:$C$1940,$B112,'Forecast capex'!$AD$9:$AD$1940,$B$102,'Forecast capex'!$J$9:$J$1940,S$11)</f>
        <v>436033.85</v>
      </c>
      <c r="T112" s="229"/>
      <c r="U112" s="229"/>
      <c r="V112" s="229"/>
      <c r="W112" s="229"/>
      <c r="X112" s="229"/>
    </row>
    <row r="113" spans="2:24" x14ac:dyDescent="0.2">
      <c r="B113" s="250" t="s">
        <v>291</v>
      </c>
      <c r="C113" s="280" t="s">
        <v>242</v>
      </c>
      <c r="M113" s="238">
        <f>SUMIFS('Forecast capex'!$Q$9:$Q$1940,'Forecast capex'!$C$9:$C$1940,$B113,'Forecast capex'!$AD$9:$AD$1940,$B$102,'Forecast capex'!$J$9:$J$1940,M$11)</f>
        <v>21225.708979693605</v>
      </c>
      <c r="N113" s="238">
        <f>SUMIFS('Forecast capex'!$Q$9:$Q$1940,'Forecast capex'!$C$9:$C$1940,$B113,'Forecast capex'!$AD$9:$AD$1940,$B$102,'Forecast capex'!$J$9:$J$1940,N$11)</f>
        <v>18427.48547758285</v>
      </c>
      <c r="O113" s="238">
        <f>SUMIFS('Forecast capex'!$Q$9:$Q$1940,'Forecast capex'!$C$9:$C$1940,$B113,'Forecast capex'!$AD$9:$AD$1940,$B$102,'Forecast capex'!$J$9:$J$1940,O$11)</f>
        <v>47345.483175629459</v>
      </c>
      <c r="P113" s="238">
        <f>SUMIFS('Forecast capex'!$Q$9:$Q$1940,'Forecast capex'!$C$9:$C$1940,$B113,'Forecast capex'!$AD$9:$AD$1940,$B$102,'Forecast capex'!$J$9:$J$1940,P$11)</f>
        <v>11189.319233214748</v>
      </c>
      <c r="Q113" s="238">
        <f>SUMIFS('Forecast capex'!$Q$9:$Q$1940,'Forecast capex'!$C$9:$C$1940,$B113,'Forecast capex'!$AD$9:$AD$1940,$B$102,'Forecast capex'!$J$9:$J$1940,Q$11)</f>
        <v>89525.941102933997</v>
      </c>
      <c r="R113" s="238">
        <f>SUMIFS('Forecast capex'!$Q$9:$Q$1940,'Forecast capex'!$C$9:$C$1940,$B113,'Forecast capex'!$AD$9:$AD$1940,$B$102,'Forecast capex'!$J$9:$J$1940,R$11)</f>
        <v>14685.981493594358</v>
      </c>
      <c r="S113" s="238">
        <f>SUMIFS('Forecast capex'!$Q$9:$Q$1940,'Forecast capex'!$C$9:$C$1940,$B113,'Forecast capex'!$AD$9:$AD$1940,$B$102,'Forecast capex'!$J$9:$J$1940,S$11)</f>
        <v>15035.650000000001</v>
      </c>
      <c r="T113" s="229"/>
      <c r="U113" s="229"/>
      <c r="V113" s="229"/>
      <c r="W113" s="229"/>
      <c r="X113" s="229"/>
    </row>
    <row r="114" spans="2:24" x14ac:dyDescent="0.2">
      <c r="B114" s="250" t="s">
        <v>292</v>
      </c>
      <c r="C114" s="280" t="s">
        <v>242</v>
      </c>
      <c r="M114" s="238">
        <f>SUMIFS('Forecast capex'!$Q$9:$Q$1940,'Forecast capex'!$C$9:$C$1940,$B114,'Forecast capex'!$AD$9:$AD$1940,$B$102,'Forecast capex'!$J$9:$J$1940,M$11)</f>
        <v>0</v>
      </c>
      <c r="N114" s="238">
        <f>SUMIFS('Forecast capex'!$Q$9:$Q$1940,'Forecast capex'!$C$9:$C$1940,$B114,'Forecast capex'!$AD$9:$AD$1940,$B$102,'Forecast capex'!$J$9:$J$1940,N$11)</f>
        <v>0</v>
      </c>
      <c r="O114" s="238">
        <f>SUMIFS('Forecast capex'!$Q$9:$Q$1940,'Forecast capex'!$C$9:$C$1940,$B114,'Forecast capex'!$AD$9:$AD$1940,$B$102,'Forecast capex'!$J$9:$J$1940,O$11)</f>
        <v>0</v>
      </c>
      <c r="P114" s="238">
        <f>SUMIFS('Forecast capex'!$Q$9:$Q$1940,'Forecast capex'!$C$9:$C$1940,$B114,'Forecast capex'!$AD$9:$AD$1940,$B$102,'Forecast capex'!$J$9:$J$1940,P$11)</f>
        <v>0</v>
      </c>
      <c r="Q114" s="238">
        <f>SUMIFS('Forecast capex'!$Q$9:$Q$1940,'Forecast capex'!$C$9:$C$1940,$B114,'Forecast capex'!$AD$9:$AD$1940,$B$102,'Forecast capex'!$J$9:$J$1940,Q$11)</f>
        <v>0</v>
      </c>
      <c r="R114" s="238">
        <f>SUMIFS('Forecast capex'!$Q$9:$Q$1940,'Forecast capex'!$C$9:$C$1940,$B114,'Forecast capex'!$AD$9:$AD$1940,$B$102,'Forecast capex'!$J$9:$J$1940,R$11)</f>
        <v>0</v>
      </c>
      <c r="S114" s="238">
        <f>SUMIFS('Forecast capex'!$Q$9:$Q$1940,'Forecast capex'!$C$9:$C$1940,$B114,'Forecast capex'!$AD$9:$AD$1940,$B$102,'Forecast capex'!$J$9:$J$1940,S$11)</f>
        <v>0</v>
      </c>
      <c r="T114" s="229"/>
      <c r="U114" s="229"/>
      <c r="V114" s="229"/>
      <c r="W114" s="229"/>
      <c r="X114" s="229"/>
    </row>
    <row r="115" spans="2:24" s="243" customFormat="1" x14ac:dyDescent="0.2">
      <c r="B115" s="243" t="s">
        <v>49</v>
      </c>
      <c r="C115" s="337" t="s">
        <v>242</v>
      </c>
      <c r="I115" s="335"/>
      <c r="L115" s="232"/>
      <c r="M115" s="235">
        <f t="shared" ref="M115:S115" si="14">SUM(M106:M114)</f>
        <v>7250323.9229699709</v>
      </c>
      <c r="N115" s="235">
        <f t="shared" si="14"/>
        <v>5237770</v>
      </c>
      <c r="O115" s="235">
        <f t="shared" si="14"/>
        <v>3685106.4166073743</v>
      </c>
      <c r="P115" s="235">
        <f t="shared" si="14"/>
        <v>2237863.8466429501</v>
      </c>
      <c r="Q115" s="235">
        <f t="shared" si="14"/>
        <v>4295969.6428090241</v>
      </c>
      <c r="R115" s="235">
        <f t="shared" si="14"/>
        <v>2937196.2987188715</v>
      </c>
      <c r="S115" s="235">
        <f t="shared" si="14"/>
        <v>3007129.9999999995</v>
      </c>
      <c r="T115" s="288"/>
      <c r="U115" s="288"/>
      <c r="V115" s="288"/>
      <c r="W115" s="288"/>
      <c r="X115" s="288"/>
    </row>
    <row r="116" spans="2:24" x14ac:dyDescent="0.2">
      <c r="B116" s="229" t="s">
        <v>297</v>
      </c>
      <c r="C116" s="280" t="s">
        <v>242</v>
      </c>
      <c r="M116" s="238">
        <f>SUMIFS('Forecast capex'!$N$9:$N$1940,'Forecast capex'!$AD$9:$AD$1940,$B$102,'Forecast capex'!$J$9:$J$1940,M$11)</f>
        <v>0</v>
      </c>
      <c r="N116" s="238">
        <f>SUMIFS('Forecast capex'!$N$9:$N$1940,'Forecast capex'!$AD$9:$AD$1940,$B$102,'Forecast capex'!$J$9:$J$1940,N$11)</f>
        <v>0</v>
      </c>
      <c r="O116" s="238">
        <f>SUMIFS('Forecast capex'!$N$9:$N$1940,'Forecast capex'!$AD$9:$AD$1940,$B$102,'Forecast capex'!$J$9:$J$1940,O$11)</f>
        <v>0</v>
      </c>
      <c r="P116" s="238">
        <f>SUMIFS('Forecast capex'!$N$9:$N$1940,'Forecast capex'!$AD$9:$AD$1940,$B$102,'Forecast capex'!$J$9:$J$1940,P$11)</f>
        <v>0</v>
      </c>
      <c r="Q116" s="238">
        <f>SUMIFS('Forecast capex'!$N$9:$N$1940,'Forecast capex'!$AD$9:$AD$1940,$B$102,'Forecast capex'!$J$9:$J$1940,Q$11)</f>
        <v>0</v>
      </c>
      <c r="R116" s="238">
        <f>SUMIFS('Forecast capex'!$N$9:$N$1940,'Forecast capex'!$AD$9:$AD$1940,$B$102,'Forecast capex'!$J$9:$J$1940,R$11)</f>
        <v>0</v>
      </c>
      <c r="S116" s="238">
        <f>SUMIFS('Forecast capex'!$N$9:$N$1940,'Forecast capex'!$AD$9:$AD$1940,$B$102,'Forecast capex'!$J$9:$J$1940,S$11)</f>
        <v>0</v>
      </c>
      <c r="T116" s="229"/>
      <c r="U116" s="229"/>
      <c r="V116" s="229"/>
      <c r="W116" s="229"/>
      <c r="X116" s="229"/>
    </row>
    <row r="117" spans="2:24" x14ac:dyDescent="0.2">
      <c r="B117" s="243" t="s">
        <v>426</v>
      </c>
      <c r="C117" s="337" t="s">
        <v>242</v>
      </c>
      <c r="M117" s="235">
        <f t="shared" ref="M117:S117" si="15">M115-M116</f>
        <v>7250323.9229699709</v>
      </c>
      <c r="N117" s="235">
        <f t="shared" si="15"/>
        <v>5237770</v>
      </c>
      <c r="O117" s="235">
        <f t="shared" si="15"/>
        <v>3685106.4166073743</v>
      </c>
      <c r="P117" s="235">
        <f t="shared" si="15"/>
        <v>2237863.8466429501</v>
      </c>
      <c r="Q117" s="235">
        <f t="shared" si="15"/>
        <v>4295969.6428090241</v>
      </c>
      <c r="R117" s="235">
        <f t="shared" si="15"/>
        <v>2937196.2987188715</v>
      </c>
      <c r="S117" s="235">
        <f t="shared" si="15"/>
        <v>3007129.9999999995</v>
      </c>
      <c r="T117" s="229"/>
      <c r="U117" s="229"/>
      <c r="V117" s="229"/>
      <c r="W117" s="229"/>
      <c r="X117" s="229"/>
    </row>
    <row r="118" spans="2:24" x14ac:dyDescent="0.2">
      <c r="B118" s="243"/>
      <c r="C118" s="337"/>
      <c r="M118" s="229"/>
      <c r="N118" s="229"/>
      <c r="O118" s="229"/>
      <c r="P118" s="229"/>
      <c r="Q118" s="229"/>
      <c r="R118" s="229"/>
      <c r="S118" s="229"/>
      <c r="T118" s="229"/>
      <c r="U118" s="229"/>
      <c r="V118" s="229"/>
      <c r="W118" s="229"/>
      <c r="X118" s="229"/>
    </row>
    <row r="119" spans="2:24" x14ac:dyDescent="0.2">
      <c r="B119" s="242" t="s">
        <v>228</v>
      </c>
      <c r="C119" s="280" t="s">
        <v>58</v>
      </c>
      <c r="D119" s="297">
        <f>SUM(H119:S119)</f>
        <v>0</v>
      </c>
      <c r="E119" s="298"/>
      <c r="F119" s="229"/>
      <c r="G119" s="229"/>
      <c r="H119" s="229"/>
      <c r="I119" s="230"/>
      <c r="J119" s="229"/>
      <c r="K119" s="229"/>
      <c r="L119" s="229"/>
      <c r="M119" s="228">
        <f t="shared" ref="M119:S119" si="16">IF(ABS(M115-M18)&lt;0.001,0,1)</f>
        <v>0</v>
      </c>
      <c r="N119" s="228">
        <f t="shared" si="16"/>
        <v>0</v>
      </c>
      <c r="O119" s="228">
        <f t="shared" si="16"/>
        <v>0</v>
      </c>
      <c r="P119" s="228">
        <f t="shared" si="16"/>
        <v>0</v>
      </c>
      <c r="Q119" s="228">
        <f t="shared" si="16"/>
        <v>0</v>
      </c>
      <c r="R119" s="228">
        <f t="shared" si="16"/>
        <v>0</v>
      </c>
      <c r="S119" s="228">
        <f t="shared" si="16"/>
        <v>0</v>
      </c>
      <c r="T119" s="229"/>
      <c r="U119" s="229"/>
      <c r="V119" s="229"/>
      <c r="W119" s="229"/>
      <c r="X119" s="229"/>
    </row>
    <row r="120" spans="2:24" x14ac:dyDescent="0.2">
      <c r="B120" s="243"/>
      <c r="C120" s="337"/>
      <c r="D120" s="229"/>
      <c r="E120" s="229"/>
      <c r="F120" s="229"/>
      <c r="G120" s="229"/>
      <c r="H120" s="229"/>
      <c r="I120" s="230"/>
      <c r="J120" s="229"/>
      <c r="K120" s="229"/>
      <c r="L120" s="229"/>
      <c r="M120" s="229"/>
      <c r="N120" s="229"/>
      <c r="O120" s="229"/>
      <c r="P120" s="229"/>
      <c r="Q120" s="229"/>
      <c r="R120" s="229"/>
      <c r="S120" s="229"/>
      <c r="T120" s="229"/>
      <c r="U120" s="229"/>
      <c r="V120" s="229"/>
      <c r="W120" s="229"/>
      <c r="X120" s="229"/>
    </row>
    <row r="121" spans="2:24" x14ac:dyDescent="0.2">
      <c r="B121" s="304" t="s">
        <v>249</v>
      </c>
      <c r="D121" s="229"/>
      <c r="E121" s="229"/>
      <c r="F121" s="229"/>
      <c r="G121" s="229"/>
      <c r="H121" s="229"/>
      <c r="I121" s="230"/>
      <c r="J121" s="229"/>
      <c r="K121" s="229"/>
      <c r="L121" s="229"/>
      <c r="M121" s="229"/>
      <c r="N121" s="229"/>
      <c r="O121" s="229"/>
      <c r="P121" s="229"/>
      <c r="Q121" s="229"/>
      <c r="R121" s="229"/>
      <c r="S121" s="229"/>
      <c r="T121" s="229"/>
      <c r="U121" s="229"/>
      <c r="V121" s="229"/>
      <c r="W121" s="229"/>
      <c r="X121" s="229"/>
    </row>
    <row r="122" spans="2:24" x14ac:dyDescent="0.2">
      <c r="D122" s="229"/>
      <c r="E122" s="229"/>
      <c r="F122" s="229"/>
      <c r="G122" s="229"/>
      <c r="H122" s="229"/>
      <c r="I122" s="230"/>
      <c r="J122" s="229"/>
      <c r="K122" s="229"/>
      <c r="L122" s="229"/>
      <c r="M122" s="229"/>
      <c r="N122" s="229"/>
      <c r="O122" s="229"/>
      <c r="P122" s="229"/>
      <c r="Q122" s="229"/>
      <c r="R122" s="229"/>
      <c r="S122" s="229"/>
      <c r="T122" s="229"/>
      <c r="U122" s="229"/>
      <c r="V122" s="229"/>
      <c r="W122" s="229"/>
      <c r="X122" s="229"/>
    </row>
    <row r="123" spans="2:24" x14ac:dyDescent="0.2">
      <c r="B123" s="250" t="s">
        <v>284</v>
      </c>
      <c r="C123" s="280" t="s">
        <v>250</v>
      </c>
      <c r="D123" s="229"/>
      <c r="E123" s="229"/>
      <c r="F123" s="229"/>
      <c r="G123" s="229"/>
      <c r="H123" s="229"/>
      <c r="I123" s="230"/>
      <c r="J123" s="229"/>
      <c r="K123" s="229"/>
      <c r="L123" s="229"/>
      <c r="M123" s="238">
        <f>SUMIFS('Forecast capex'!$X$9:$X$1940,'Forecast capex'!$C$9:$C$1940,$B123,'Forecast capex'!$AD$9:$AD$1940,$B$102,'Forecast capex'!$J$9:$J$1940,M$11)</f>
        <v>0</v>
      </c>
      <c r="N123" s="238">
        <f>SUMIFS('Forecast capex'!$X$9:$X$1940,'Forecast capex'!$C$9:$C$1940,$B123,'Forecast capex'!$AD$9:$AD$1940,$B$102,'Forecast capex'!$J$9:$J$1940,N$11)</f>
        <v>538813.76126040041</v>
      </c>
      <c r="O123" s="238">
        <f>SUMIFS('Forecast capex'!$X$9:$X$1940,'Forecast capex'!$C$9:$C$1940,$B123,'Forecast capex'!$AD$9:$AD$1940,$B$102,'Forecast capex'!$J$9:$J$1940,O$11)</f>
        <v>0</v>
      </c>
      <c r="P123" s="238">
        <f>SUMIFS('Forecast capex'!$X$9:$X$1940,'Forecast capex'!$C$9:$C$1940,$B123,'Forecast capex'!$AD$9:$AD$1940,$B$102,'Forecast capex'!$J$9:$J$1940,P$11)</f>
        <v>0</v>
      </c>
      <c r="Q123" s="238">
        <f>SUMIFS('Forecast capex'!$X$9:$X$1940,'Forecast capex'!$C$9:$C$1940,$B123,'Forecast capex'!$AD$9:$AD$1940,$B$102,'Forecast capex'!$J$9:$J$1940,Q$11)</f>
        <v>0</v>
      </c>
      <c r="R123" s="238">
        <f>SUMIFS('Forecast capex'!$X$9:$X$1940,'Forecast capex'!$C$9:$C$1940,$B123,'Forecast capex'!$AD$9:$AD$1940,$B$102,'Forecast capex'!$J$9:$J$1940,R$11)</f>
        <v>0</v>
      </c>
      <c r="S123" s="238">
        <f>SUMIFS('Forecast capex'!$X$9:$X$1940,'Forecast capex'!$C$9:$C$1940,$B123,'Forecast capex'!$AD$9:$AD$1940,$B$102,'Forecast capex'!$J$9:$J$1940,S$11)</f>
        <v>0</v>
      </c>
      <c r="T123" s="229"/>
      <c r="U123" s="229"/>
      <c r="V123" s="229"/>
      <c r="W123" s="229"/>
      <c r="X123" s="229"/>
    </row>
    <row r="124" spans="2:24" x14ac:dyDescent="0.2">
      <c r="B124" s="250" t="s">
        <v>285</v>
      </c>
      <c r="C124" s="280" t="s">
        <v>250</v>
      </c>
      <c r="D124" s="229"/>
      <c r="E124" s="229"/>
      <c r="F124" s="229"/>
      <c r="G124" s="229"/>
      <c r="H124" s="229"/>
      <c r="I124" s="230"/>
      <c r="J124" s="229"/>
      <c r="K124" s="229"/>
      <c r="L124" s="229"/>
      <c r="M124" s="238">
        <f>SUMIFS('Forecast capex'!$X$9:$X$1940,'Forecast capex'!$C$9:$C$1940,$B124,'Forecast capex'!$AD$9:$AD$1940,$B$102,'Forecast capex'!$J$9:$J$1940,M$11)</f>
        <v>0</v>
      </c>
      <c r="N124" s="238">
        <f>SUMIFS('Forecast capex'!$X$9:$X$1940,'Forecast capex'!$C$9:$C$1940,$B124,'Forecast capex'!$AD$9:$AD$1940,$B$102,'Forecast capex'!$J$9:$J$1940,N$11)</f>
        <v>438155.59792358801</v>
      </c>
      <c r="O124" s="238">
        <f>SUMIFS('Forecast capex'!$X$9:$X$1940,'Forecast capex'!$C$9:$C$1940,$B124,'Forecast capex'!$AD$9:$AD$1940,$B$102,'Forecast capex'!$J$9:$J$1940,O$11)</f>
        <v>0</v>
      </c>
      <c r="P124" s="238">
        <f>SUMIFS('Forecast capex'!$X$9:$X$1940,'Forecast capex'!$C$9:$C$1940,$B124,'Forecast capex'!$AD$9:$AD$1940,$B$102,'Forecast capex'!$J$9:$J$1940,P$11)</f>
        <v>0</v>
      </c>
      <c r="Q124" s="238">
        <f>SUMIFS('Forecast capex'!$X$9:$X$1940,'Forecast capex'!$C$9:$C$1940,$B124,'Forecast capex'!$AD$9:$AD$1940,$B$102,'Forecast capex'!$J$9:$J$1940,Q$11)</f>
        <v>0</v>
      </c>
      <c r="R124" s="238">
        <f>SUMIFS('Forecast capex'!$X$9:$X$1940,'Forecast capex'!$C$9:$C$1940,$B124,'Forecast capex'!$AD$9:$AD$1940,$B$102,'Forecast capex'!$J$9:$J$1940,R$11)</f>
        <v>0</v>
      </c>
      <c r="S124" s="238">
        <f>SUMIFS('Forecast capex'!$X$9:$X$1940,'Forecast capex'!$C$9:$C$1940,$B124,'Forecast capex'!$AD$9:$AD$1940,$B$102,'Forecast capex'!$J$9:$J$1940,S$11)</f>
        <v>0</v>
      </c>
      <c r="T124" s="229"/>
      <c r="U124" s="229"/>
      <c r="V124" s="229"/>
      <c r="W124" s="229"/>
      <c r="X124" s="229"/>
    </row>
    <row r="125" spans="2:24" x14ac:dyDescent="0.2">
      <c r="B125" s="250" t="s">
        <v>286</v>
      </c>
      <c r="C125" s="280" t="s">
        <v>250</v>
      </c>
      <c r="D125" s="229"/>
      <c r="E125" s="229"/>
      <c r="F125" s="229"/>
      <c r="G125" s="229"/>
      <c r="H125" s="229"/>
      <c r="I125" s="230"/>
      <c r="J125" s="229"/>
      <c r="K125" s="229"/>
      <c r="L125" s="229"/>
      <c r="M125" s="238">
        <f>SUMIFS('Forecast capex'!$X$9:$X$1940,'Forecast capex'!$C$9:$C$1940,$B125,'Forecast capex'!$AD$9:$AD$1940,$B$102,'Forecast capex'!$J$9:$J$1940,M$11)</f>
        <v>3366928.3939164178</v>
      </c>
      <c r="N125" s="238">
        <f>SUMIFS('Forecast capex'!$X$9:$X$1940,'Forecast capex'!$C$9:$C$1940,$B125,'Forecast capex'!$AD$9:$AD$1940,$B$102,'Forecast capex'!$J$9:$J$1940,N$11)</f>
        <v>1415798.1240472214</v>
      </c>
      <c r="O125" s="238">
        <f>SUMIFS('Forecast capex'!$X$9:$X$1940,'Forecast capex'!$C$9:$C$1940,$B125,'Forecast capex'!$AD$9:$AD$1940,$B$102,'Forecast capex'!$J$9:$J$1940,O$11)</f>
        <v>871395.13845848001</v>
      </c>
      <c r="P125" s="238">
        <f>SUMIFS('Forecast capex'!$X$9:$X$1940,'Forecast capex'!$C$9:$C$1940,$B125,'Forecast capex'!$AD$9:$AD$1940,$B$102,'Forecast capex'!$J$9:$J$1940,P$11)</f>
        <v>23497.899417426888</v>
      </c>
      <c r="Q125" s="238">
        <f>SUMIFS('Forecast capex'!$X$9:$X$1940,'Forecast capex'!$C$9:$C$1940,$B125,'Forecast capex'!$AD$9:$AD$1940,$B$102,'Forecast capex'!$J$9:$J$1940,Q$11)</f>
        <v>2078145.8780178807</v>
      </c>
      <c r="R125" s="238">
        <f>SUMIFS('Forecast capex'!$X$9:$X$1940,'Forecast capex'!$C$9:$C$1940,$B125,'Forecast capex'!$AD$9:$AD$1940,$B$102,'Forecast capex'!$J$9:$J$1940,R$11)</f>
        <v>31951.489545219665</v>
      </c>
      <c r="S125" s="238">
        <f>SUMIFS('Forecast capex'!$X$9:$X$1940,'Forecast capex'!$C$9:$C$1940,$B125,'Forecast capex'!$AD$9:$AD$1940,$B$102,'Forecast capex'!$J$9:$J$1940,S$11)</f>
        <v>33358.946720782842</v>
      </c>
      <c r="T125" s="229"/>
      <c r="U125" s="229"/>
      <c r="V125" s="229"/>
      <c r="W125" s="229"/>
      <c r="X125" s="229"/>
    </row>
    <row r="126" spans="2:24" x14ac:dyDescent="0.2">
      <c r="B126" s="250" t="s">
        <v>287</v>
      </c>
      <c r="C126" s="280" t="s">
        <v>250</v>
      </c>
      <c r="D126" s="229"/>
      <c r="E126" s="229"/>
      <c r="F126" s="229"/>
      <c r="G126" s="229"/>
      <c r="H126" s="229"/>
      <c r="I126" s="230"/>
      <c r="J126" s="229"/>
      <c r="K126" s="229"/>
      <c r="L126" s="229"/>
      <c r="M126" s="238">
        <f>SUMIFS('Forecast capex'!$X$9:$X$1940,'Forecast capex'!$C$9:$C$1940,$B126,'Forecast capex'!$AD$9:$AD$1940,$B$102,'Forecast capex'!$J$9:$J$1940,M$11)</f>
        <v>1607603.6814520631</v>
      </c>
      <c r="N126" s="238">
        <f>SUMIFS('Forecast capex'!$X$9:$X$1940,'Forecast capex'!$C$9:$C$1940,$B126,'Forecast capex'!$AD$9:$AD$1940,$B$102,'Forecast capex'!$J$9:$J$1940,N$11)</f>
        <v>1209732.7906862516</v>
      </c>
      <c r="O126" s="238">
        <f>SUMIFS('Forecast capex'!$X$9:$X$1940,'Forecast capex'!$C$9:$C$1940,$B126,'Forecast capex'!$AD$9:$AD$1940,$B$102,'Forecast capex'!$J$9:$J$1940,O$11)</f>
        <v>1198308.607340228</v>
      </c>
      <c r="P126" s="238">
        <f>SUMIFS('Forecast capex'!$X$9:$X$1940,'Forecast capex'!$C$9:$C$1940,$B126,'Forecast capex'!$AD$9:$AD$1940,$B$102,'Forecast capex'!$J$9:$J$1940,P$11)</f>
        <v>965646.98253643664</v>
      </c>
      <c r="Q126" s="238">
        <f>SUMIFS('Forecast capex'!$X$9:$X$1940,'Forecast capex'!$C$9:$C$1940,$B126,'Forecast capex'!$AD$9:$AD$1940,$B$102,'Forecast capex'!$J$9:$J$1940,Q$11)</f>
        <v>1006703.5284130587</v>
      </c>
      <c r="R126" s="238">
        <f>SUMIFS('Forecast capex'!$X$9:$X$1940,'Forecast capex'!$C$9:$C$1940,$B126,'Forecast capex'!$AD$9:$AD$1940,$B$102,'Forecast capex'!$J$9:$J$1940,R$11)</f>
        <v>1315625.1451600431</v>
      </c>
      <c r="S126" s="238">
        <f>SUMIFS('Forecast capex'!$X$9:$X$1940,'Forecast capex'!$C$9:$C$1940,$B126,'Forecast capex'!$AD$9:$AD$1940,$B$102,'Forecast capex'!$J$9:$J$1940,S$11)</f>
        <v>1374712.9017543374</v>
      </c>
      <c r="T126" s="229"/>
      <c r="U126" s="229"/>
      <c r="V126" s="229"/>
      <c r="W126" s="229"/>
      <c r="X126" s="229"/>
    </row>
    <row r="127" spans="2:24" x14ac:dyDescent="0.2">
      <c r="B127" s="250" t="s">
        <v>288</v>
      </c>
      <c r="C127" s="280" t="s">
        <v>250</v>
      </c>
      <c r="D127" s="229"/>
      <c r="E127" s="229"/>
      <c r="F127" s="229"/>
      <c r="G127" s="229"/>
      <c r="H127" s="229"/>
      <c r="I127" s="230"/>
      <c r="J127" s="229"/>
      <c r="K127" s="229"/>
      <c r="L127" s="229"/>
      <c r="M127" s="238">
        <f>SUMIFS('Forecast capex'!$X$9:$X$1940,'Forecast capex'!$C$9:$C$1940,$B127,'Forecast capex'!$AD$9:$AD$1940,$B$102,'Forecast capex'!$J$9:$J$1940,M$11)</f>
        <v>1176295.3766722414</v>
      </c>
      <c r="N127" s="238">
        <f>SUMIFS('Forecast capex'!$X$9:$X$1940,'Forecast capex'!$C$9:$C$1940,$B127,'Forecast capex'!$AD$9:$AD$1940,$B$102,'Forecast capex'!$J$9:$J$1940,N$11)</f>
        <v>885471.34163583885</v>
      </c>
      <c r="O127" s="238">
        <f>SUMIFS('Forecast capex'!$X$9:$X$1940,'Forecast capex'!$C$9:$C$1940,$B127,'Forecast capex'!$AD$9:$AD$1940,$B$102,'Forecast capex'!$J$9:$J$1940,O$11)</f>
        <v>876689.42009152949</v>
      </c>
      <c r="P127" s="238">
        <f>SUMIFS('Forecast capex'!$X$9:$X$1940,'Forecast capex'!$C$9:$C$1940,$B127,'Forecast capex'!$AD$9:$AD$1940,$B$102,'Forecast capex'!$J$9:$J$1940,P$11)</f>
        <v>708426.09880137269</v>
      </c>
      <c r="Q127" s="238">
        <f>SUMIFS('Forecast capex'!$X$9:$X$1940,'Forecast capex'!$C$9:$C$1940,$B127,'Forecast capex'!$AD$9:$AD$1940,$B$102,'Forecast capex'!$J$9:$J$1940,Q$11)</f>
        <v>740012.2716614214</v>
      </c>
      <c r="R127" s="238">
        <f>SUMIFS('Forecast capex'!$X$9:$X$1940,'Forecast capex'!$C$9:$C$1940,$B127,'Forecast capex'!$AD$9:$AD$1940,$B$102,'Forecast capex'!$J$9:$J$1940,R$11)</f>
        <v>969841.48503454961</v>
      </c>
      <c r="S127" s="238">
        <f>SUMIFS('Forecast capex'!$X$9:$X$1940,'Forecast capex'!$C$9:$C$1940,$B127,'Forecast capex'!$AD$9:$AD$1940,$B$102,'Forecast capex'!$J$9:$J$1940,S$11)</f>
        <v>1016287.6051302574</v>
      </c>
      <c r="T127" s="229"/>
      <c r="U127" s="229"/>
      <c r="V127" s="229"/>
      <c r="W127" s="229"/>
      <c r="X127" s="229"/>
    </row>
    <row r="128" spans="2:24" x14ac:dyDescent="0.2">
      <c r="B128" s="250" t="s">
        <v>289</v>
      </c>
      <c r="C128" s="280" t="s">
        <v>250</v>
      </c>
      <c r="D128" s="229"/>
      <c r="E128" s="229"/>
      <c r="F128" s="229"/>
      <c r="G128" s="229"/>
      <c r="H128" s="229"/>
      <c r="I128" s="230"/>
      <c r="J128" s="229"/>
      <c r="K128" s="229"/>
      <c r="L128" s="229"/>
      <c r="M128" s="238">
        <f>SUMIFS('Forecast capex'!$X$9:$X$1940,'Forecast capex'!$C$9:$C$1940,$B128,'Forecast capex'!$AD$9:$AD$1940,$B$102,'Forecast capex'!$J$9:$J$1940,M$11)</f>
        <v>509727.99655797117</v>
      </c>
      <c r="N128" s="238">
        <f>SUMIFS('Forecast capex'!$X$9:$X$1940,'Forecast capex'!$C$9:$C$1940,$B128,'Forecast capex'!$AD$9:$AD$1940,$B$102,'Forecast capex'!$J$9:$J$1940,N$11)</f>
        <v>380329.60417415859</v>
      </c>
      <c r="O128" s="238">
        <f>SUMIFS('Forecast capex'!$X$9:$X$1940,'Forecast capex'!$C$9:$C$1940,$B128,'Forecast capex'!$AD$9:$AD$1940,$B$102,'Forecast capex'!$J$9:$J$1940,O$11)</f>
        <v>373015.88060965855</v>
      </c>
      <c r="P128" s="238">
        <f>SUMIFS('Forecast capex'!$X$9:$X$1940,'Forecast capex'!$C$9:$C$1940,$B128,'Forecast capex'!$AD$9:$AD$1940,$B$102,'Forecast capex'!$J$9:$J$1940,P$11)</f>
        <v>299688.29868706793</v>
      </c>
      <c r="Q128" s="238">
        <f>SUMIFS('Forecast capex'!$X$9:$X$1940,'Forecast capex'!$C$9:$C$1940,$B128,'Forecast capex'!$AD$9:$AD$1940,$B$102,'Forecast capex'!$J$9:$J$1940,Q$11)</f>
        <v>311640.87155715103</v>
      </c>
      <c r="R128" s="238">
        <f>SUMIFS('Forecast capex'!$X$9:$X$1940,'Forecast capex'!$C$9:$C$1940,$B128,'Forecast capex'!$AD$9:$AD$1940,$B$102,'Forecast capex'!$J$9:$J$1940,R$11)</f>
        <v>406399.20505121589</v>
      </c>
      <c r="S128" s="238">
        <f>SUMIFS('Forecast capex'!$X$9:$X$1940,'Forecast capex'!$C$9:$C$1940,$B128,'Forecast capex'!$AD$9:$AD$1940,$B$102,'Forecast capex'!$J$9:$J$1940,S$11)</f>
        <v>423743.75325333723</v>
      </c>
      <c r="T128" s="229"/>
      <c r="U128" s="229"/>
      <c r="V128" s="229"/>
      <c r="W128" s="229"/>
      <c r="X128" s="229"/>
    </row>
    <row r="129" spans="1:24" x14ac:dyDescent="0.2">
      <c r="B129" s="250" t="s">
        <v>290</v>
      </c>
      <c r="C129" s="280" t="s">
        <v>250</v>
      </c>
      <c r="D129" s="229"/>
      <c r="E129" s="229"/>
      <c r="F129" s="229"/>
      <c r="G129" s="229"/>
      <c r="H129" s="229"/>
      <c r="I129" s="230"/>
      <c r="J129" s="229"/>
      <c r="K129" s="229"/>
      <c r="L129" s="229"/>
      <c r="M129" s="238">
        <f>SUMIFS('Forecast capex'!$X$9:$X$1940,'Forecast capex'!$C$9:$C$1940,$B129,'Forecast capex'!$AD$9:$AD$1940,$B$102,'Forecast capex'!$J$9:$J$1940,M$11)</f>
        <v>568542.76539158332</v>
      </c>
      <c r="N129" s="238">
        <f>SUMIFS('Forecast capex'!$X$9:$X$1940,'Forecast capex'!$C$9:$C$1940,$B129,'Forecast capex'!$AD$9:$AD$1940,$B$102,'Forecast capex'!$J$9:$J$1940,N$11)</f>
        <v>428261.70236004534</v>
      </c>
      <c r="O129" s="238">
        <f>SUMIFS('Forecast capex'!$X$9:$X$1940,'Forecast capex'!$C$9:$C$1940,$B129,'Forecast capex'!$AD$9:$AD$1940,$B$102,'Forecast capex'!$J$9:$J$1940,O$11)</f>
        <v>424289.199573819</v>
      </c>
      <c r="P129" s="238">
        <f>SUMIFS('Forecast capex'!$X$9:$X$1940,'Forecast capex'!$C$9:$C$1940,$B129,'Forecast capex'!$AD$9:$AD$1940,$B$102,'Forecast capex'!$J$9:$J$1940,P$11)</f>
        <v>341229.29782991984</v>
      </c>
      <c r="Q129" s="238">
        <f>SUMIFS('Forecast capex'!$X$9:$X$1940,'Forecast capex'!$C$9:$C$1940,$B129,'Forecast capex'!$AD$9:$AD$1940,$B$102,'Forecast capex'!$J$9:$J$1940,Q$11)</f>
        <v>355454.39119515149</v>
      </c>
      <c r="R129" s="238">
        <f>SUMIFS('Forecast capex'!$X$9:$X$1940,'Forecast capex'!$C$9:$C$1940,$B129,'Forecast capex'!$AD$9:$AD$1940,$B$102,'Forecast capex'!$J$9:$J$1940,R$11)</f>
        <v>463692.50152150902</v>
      </c>
      <c r="S129" s="238">
        <f>SUMIFS('Forecast capex'!$X$9:$X$1940,'Forecast capex'!$C$9:$C$1940,$B129,'Forecast capex'!$AD$9:$AD$1940,$B$102,'Forecast capex'!$J$9:$J$1940,S$11)</f>
        <v>483638.80211391125</v>
      </c>
      <c r="T129" s="229"/>
      <c r="U129" s="229"/>
      <c r="V129" s="229"/>
      <c r="W129" s="229"/>
      <c r="X129" s="229"/>
    </row>
    <row r="130" spans="1:24" x14ac:dyDescent="0.2">
      <c r="B130" s="250" t="s">
        <v>291</v>
      </c>
      <c r="C130" s="280" t="s">
        <v>250</v>
      </c>
      <c r="D130" s="229"/>
      <c r="E130" s="229"/>
      <c r="F130" s="229"/>
      <c r="G130" s="229"/>
      <c r="H130" s="229"/>
      <c r="I130" s="230"/>
      <c r="J130" s="229"/>
      <c r="K130" s="229"/>
      <c r="L130" s="229"/>
      <c r="M130" s="238">
        <f>SUMIFS('Forecast capex'!$X$9:$X$1940,'Forecast capex'!$C$9:$C$1940,$B130,'Forecast capex'!$AD$9:$AD$1940,$B$102,'Forecast capex'!$J$9:$J$1940,M$11)</f>
        <v>21225.708979693605</v>
      </c>
      <c r="N130" s="238">
        <f>SUMIFS('Forecast capex'!$X$9:$X$1940,'Forecast capex'!$C$9:$C$1940,$B130,'Forecast capex'!$AD$9:$AD$1940,$B$102,'Forecast capex'!$J$9:$J$1940,N$11)</f>
        <v>18681.695290779313</v>
      </c>
      <c r="O130" s="238">
        <f>SUMIFS('Forecast capex'!$X$9:$X$1940,'Forecast capex'!$C$9:$C$1940,$B130,'Forecast capex'!$AD$9:$AD$1940,$B$102,'Forecast capex'!$J$9:$J$1940,O$11)</f>
        <v>48737.923149571128</v>
      </c>
      <c r="P130" s="238">
        <f>SUMIFS('Forecast capex'!$X$9:$X$1940,'Forecast capex'!$C$9:$C$1940,$B130,'Forecast capex'!$AD$9:$AD$1940,$B$102,'Forecast capex'!$J$9:$J$1940,P$11)</f>
        <v>11748.949708713444</v>
      </c>
      <c r="Q130" s="238">
        <f>SUMIFS('Forecast capex'!$X$9:$X$1940,'Forecast capex'!$C$9:$C$1940,$B130,'Forecast capex'!$AD$9:$AD$1940,$B$102,'Forecast capex'!$J$9:$J$1940,Q$11)</f>
        <v>95500.487221629679</v>
      </c>
      <c r="R130" s="238">
        <f>SUMIFS('Forecast capex'!$X$9:$X$1940,'Forecast capex'!$C$9:$C$1940,$B130,'Forecast capex'!$AD$9:$AD$1940,$B$102,'Forecast capex'!$J$9:$J$1940,R$11)</f>
        <v>15975.744772609833</v>
      </c>
      <c r="S130" s="238">
        <f>SUMIFS('Forecast capex'!$X$9:$X$1940,'Forecast capex'!$C$9:$C$1940,$B130,'Forecast capex'!$AD$9:$AD$1940,$B$102,'Forecast capex'!$J$9:$J$1940,S$11)</f>
        <v>16679.473360391421</v>
      </c>
      <c r="T130" s="229"/>
      <c r="U130" s="229"/>
      <c r="V130" s="229"/>
      <c r="W130" s="229"/>
      <c r="X130" s="229"/>
    </row>
    <row r="131" spans="1:24" x14ac:dyDescent="0.2">
      <c r="B131" s="250" t="s">
        <v>292</v>
      </c>
      <c r="C131" s="280" t="s">
        <v>250</v>
      </c>
      <c r="D131" s="229"/>
      <c r="E131" s="229"/>
      <c r="F131" s="229"/>
      <c r="G131" s="229"/>
      <c r="H131" s="229"/>
      <c r="I131" s="230"/>
      <c r="J131" s="229"/>
      <c r="K131" s="229"/>
      <c r="L131" s="229"/>
      <c r="M131" s="238">
        <f>SUMIFS('Forecast capex'!$X$9:$X$1940,'Forecast capex'!$C$9:$C$1940,$B131,'Forecast capex'!$AD$9:$AD$1940,$B$102,'Forecast capex'!$J$9:$J$1940,M$11)</f>
        <v>0</v>
      </c>
      <c r="N131" s="238">
        <f>SUMIFS('Forecast capex'!$X$9:$X$1940,'Forecast capex'!$C$9:$C$1940,$B131,'Forecast capex'!$AD$9:$AD$1940,$B$102,'Forecast capex'!$J$9:$J$1940,N$11)</f>
        <v>0</v>
      </c>
      <c r="O131" s="238">
        <f>SUMIFS('Forecast capex'!$X$9:$X$1940,'Forecast capex'!$C$9:$C$1940,$B131,'Forecast capex'!$AD$9:$AD$1940,$B$102,'Forecast capex'!$J$9:$J$1940,O$11)</f>
        <v>0</v>
      </c>
      <c r="P131" s="238">
        <f>SUMIFS('Forecast capex'!$X$9:$X$1940,'Forecast capex'!$C$9:$C$1940,$B131,'Forecast capex'!$AD$9:$AD$1940,$B$102,'Forecast capex'!$J$9:$J$1940,P$11)</f>
        <v>0</v>
      </c>
      <c r="Q131" s="238">
        <f>SUMIFS('Forecast capex'!$X$9:$X$1940,'Forecast capex'!$C$9:$C$1940,$B131,'Forecast capex'!$AD$9:$AD$1940,$B$102,'Forecast capex'!$J$9:$J$1940,Q$11)</f>
        <v>0</v>
      </c>
      <c r="R131" s="238">
        <f>SUMIFS('Forecast capex'!$X$9:$X$1940,'Forecast capex'!$C$9:$C$1940,$B131,'Forecast capex'!$AD$9:$AD$1940,$B$102,'Forecast capex'!$J$9:$J$1940,R$11)</f>
        <v>0</v>
      </c>
      <c r="S131" s="238">
        <f>SUMIFS('Forecast capex'!$X$9:$X$1940,'Forecast capex'!$C$9:$C$1940,$B131,'Forecast capex'!$AD$9:$AD$1940,$B$102,'Forecast capex'!$J$9:$J$1940,S$11)</f>
        <v>0</v>
      </c>
      <c r="T131" s="229"/>
      <c r="U131" s="229"/>
      <c r="V131" s="229"/>
      <c r="W131" s="229"/>
      <c r="X131" s="229"/>
    </row>
    <row r="132" spans="1:24" s="243" customFormat="1" x14ac:dyDescent="0.2">
      <c r="B132" s="243" t="s">
        <v>49</v>
      </c>
      <c r="C132" s="337" t="s">
        <v>250</v>
      </c>
      <c r="D132" s="288"/>
      <c r="E132" s="288"/>
      <c r="F132" s="288"/>
      <c r="G132" s="288"/>
      <c r="H132" s="288"/>
      <c r="I132" s="339"/>
      <c r="J132" s="288"/>
      <c r="K132" s="288"/>
      <c r="L132" s="229"/>
      <c r="M132" s="235">
        <f t="shared" ref="M132:S132" si="17">SUM(M123:M131)</f>
        <v>7250323.9229699709</v>
      </c>
      <c r="N132" s="235">
        <f t="shared" si="17"/>
        <v>5315244.6173782833</v>
      </c>
      <c r="O132" s="235">
        <f t="shared" si="17"/>
        <v>3792436.1692232862</v>
      </c>
      <c r="P132" s="235">
        <f t="shared" si="17"/>
        <v>2350237.5269809375</v>
      </c>
      <c r="Q132" s="235">
        <f t="shared" si="17"/>
        <v>4587457.4280662918</v>
      </c>
      <c r="R132" s="235">
        <f t="shared" si="17"/>
        <v>3203485.5710851471</v>
      </c>
      <c r="S132" s="235">
        <f t="shared" si="17"/>
        <v>3348421.4823330175</v>
      </c>
      <c r="T132" s="288"/>
      <c r="U132" s="288"/>
      <c r="V132" s="288"/>
      <c r="W132" s="288"/>
      <c r="X132" s="288"/>
    </row>
    <row r="133" spans="1:24" x14ac:dyDescent="0.2">
      <c r="B133" s="232" t="s">
        <v>297</v>
      </c>
      <c r="C133" s="280" t="s">
        <v>250</v>
      </c>
      <c r="D133" s="229"/>
      <c r="E133" s="229"/>
      <c r="F133" s="229"/>
      <c r="G133" s="229"/>
      <c r="H133" s="229"/>
      <c r="I133" s="230"/>
      <c r="J133" s="229"/>
      <c r="K133" s="229"/>
      <c r="L133" s="229"/>
      <c r="M133" s="238">
        <f>SUMIFS('Forecast capex'!$T$9:$T$1940,'Forecast capex'!$AD$9:$AD$1940,$B$102,'Forecast capex'!$J$9:$J$1940,M$11)</f>
        <v>0</v>
      </c>
      <c r="N133" s="238">
        <f>SUMIFS('Forecast capex'!$T$9:$T$1940,'Forecast capex'!$AD$9:$AD$1940,$B$102,'Forecast capex'!$J$9:$J$1940,N$11)</f>
        <v>0</v>
      </c>
      <c r="O133" s="238">
        <f>SUMIFS('Forecast capex'!$T$9:$T$1940,'Forecast capex'!$AD$9:$AD$1940,$B$102,'Forecast capex'!$J$9:$J$1940,O$11)</f>
        <v>0</v>
      </c>
      <c r="P133" s="238">
        <f>SUMIFS('Forecast capex'!$T$9:$T$1940,'Forecast capex'!$AD$9:$AD$1940,$B$102,'Forecast capex'!$J$9:$J$1940,P$11)</f>
        <v>0</v>
      </c>
      <c r="Q133" s="238">
        <f>SUMIFS('Forecast capex'!$T$9:$T$1940,'Forecast capex'!$AD$9:$AD$1940,$B$102,'Forecast capex'!$J$9:$J$1940,Q$11)</f>
        <v>0</v>
      </c>
      <c r="R133" s="238">
        <f>SUMIFS('Forecast capex'!$T$9:$T$1940,'Forecast capex'!$AD$9:$AD$1940,$B$102,'Forecast capex'!$J$9:$J$1940,R$11)</f>
        <v>0</v>
      </c>
      <c r="S133" s="238">
        <f>SUMIFS('Forecast capex'!$T$9:$T$1940,'Forecast capex'!$AD$9:$AD$1940,$B$102,'Forecast capex'!$J$9:$J$1940,S$11)</f>
        <v>0</v>
      </c>
      <c r="T133" s="229"/>
      <c r="U133" s="229"/>
      <c r="V133" s="229"/>
      <c r="W133" s="229"/>
      <c r="X133" s="229"/>
    </row>
    <row r="134" spans="1:24" x14ac:dyDescent="0.2">
      <c r="B134" s="243" t="s">
        <v>426</v>
      </c>
      <c r="C134" s="337" t="s">
        <v>250</v>
      </c>
      <c r="D134" s="229"/>
      <c r="E134" s="229"/>
      <c r="F134" s="229"/>
      <c r="G134" s="229"/>
      <c r="H134" s="229"/>
      <c r="I134" s="230"/>
      <c r="J134" s="229"/>
      <c r="K134" s="229"/>
      <c r="L134" s="229"/>
      <c r="M134" s="235">
        <f t="shared" ref="M134:S134" si="18">M132-M133</f>
        <v>7250323.9229699709</v>
      </c>
      <c r="N134" s="235">
        <f t="shared" si="18"/>
        <v>5315244.6173782833</v>
      </c>
      <c r="O134" s="235">
        <f t="shared" si="18"/>
        <v>3792436.1692232862</v>
      </c>
      <c r="P134" s="235">
        <f t="shared" si="18"/>
        <v>2350237.5269809375</v>
      </c>
      <c r="Q134" s="235">
        <f t="shared" si="18"/>
        <v>4587457.4280662918</v>
      </c>
      <c r="R134" s="235">
        <f t="shared" si="18"/>
        <v>3203485.5710851471</v>
      </c>
      <c r="S134" s="235">
        <f t="shared" si="18"/>
        <v>3348421.4823330175</v>
      </c>
      <c r="T134" s="229"/>
      <c r="U134" s="229"/>
      <c r="V134" s="229"/>
      <c r="W134" s="229"/>
      <c r="X134" s="229"/>
    </row>
    <row r="135" spans="1:24" x14ac:dyDescent="0.2">
      <c r="D135" s="229"/>
      <c r="E135" s="229"/>
      <c r="F135" s="229"/>
      <c r="G135" s="229"/>
      <c r="H135" s="229"/>
      <c r="I135" s="230"/>
      <c r="J135" s="229"/>
      <c r="K135" s="229"/>
      <c r="L135" s="229"/>
      <c r="M135" s="229"/>
      <c r="N135" s="229"/>
      <c r="O135" s="229"/>
      <c r="P135" s="229"/>
      <c r="Q135" s="229"/>
      <c r="R135" s="229"/>
      <c r="S135" s="229"/>
      <c r="T135" s="229"/>
      <c r="U135" s="229"/>
      <c r="V135" s="229"/>
      <c r="W135" s="229"/>
      <c r="X135" s="229"/>
    </row>
    <row r="136" spans="1:24" x14ac:dyDescent="0.2">
      <c r="B136" s="242" t="s">
        <v>230</v>
      </c>
      <c r="C136" s="280" t="s">
        <v>58</v>
      </c>
      <c r="D136" s="297">
        <f>SUM(H136:S136)</f>
        <v>0</v>
      </c>
      <c r="E136" s="298"/>
      <c r="F136" s="229"/>
      <c r="G136" s="229"/>
      <c r="H136" s="229"/>
      <c r="I136" s="230"/>
      <c r="J136" s="229"/>
      <c r="K136" s="229"/>
      <c r="L136" s="229"/>
      <c r="M136" s="228">
        <f t="shared" ref="M136:S136" si="19">IF(ABS(M132-M38)&lt;0.001,0,1)</f>
        <v>0</v>
      </c>
      <c r="N136" s="228">
        <f t="shared" si="19"/>
        <v>0</v>
      </c>
      <c r="O136" s="228">
        <f t="shared" si="19"/>
        <v>0</v>
      </c>
      <c r="P136" s="228">
        <f t="shared" si="19"/>
        <v>0</v>
      </c>
      <c r="Q136" s="228">
        <f t="shared" si="19"/>
        <v>0</v>
      </c>
      <c r="R136" s="228">
        <f t="shared" si="19"/>
        <v>0</v>
      </c>
      <c r="S136" s="228">
        <f t="shared" si="19"/>
        <v>0</v>
      </c>
      <c r="T136" s="229"/>
      <c r="U136" s="229"/>
      <c r="V136" s="229"/>
      <c r="W136" s="229"/>
      <c r="X136" s="229"/>
    </row>
    <row r="137" spans="1:24" x14ac:dyDescent="0.2">
      <c r="B137" s="229"/>
      <c r="D137" s="229"/>
      <c r="E137" s="229"/>
      <c r="F137" s="229"/>
      <c r="G137" s="229"/>
      <c r="H137" s="229"/>
      <c r="I137" s="230"/>
      <c r="J137" s="229"/>
      <c r="K137" s="229"/>
      <c r="L137" s="229"/>
      <c r="M137" s="229"/>
      <c r="N137" s="229"/>
      <c r="O137" s="229"/>
      <c r="P137" s="229"/>
      <c r="Q137" s="229"/>
      <c r="R137" s="229"/>
      <c r="S137" s="229"/>
      <c r="T137" s="229"/>
      <c r="U137" s="229"/>
      <c r="V137" s="229"/>
      <c r="W137" s="229"/>
      <c r="X137" s="229"/>
    </row>
    <row r="138" spans="1:24" s="229" customFormat="1" ht="12" customHeight="1" x14ac:dyDescent="0.2">
      <c r="A138" s="232"/>
      <c r="B138" s="283" t="s">
        <v>100</v>
      </c>
      <c r="C138" s="284" t="s">
        <v>51</v>
      </c>
      <c r="D138" s="285" t="s">
        <v>52</v>
      </c>
      <c r="E138" s="284" t="s">
        <v>53</v>
      </c>
      <c r="F138" s="242"/>
      <c r="G138" s="302"/>
      <c r="H138" s="302"/>
      <c r="I138" s="302"/>
      <c r="J138" s="302"/>
      <c r="K138" s="242"/>
      <c r="L138" s="242"/>
      <c r="M138" s="242"/>
      <c r="N138" s="242"/>
      <c r="O138" s="242"/>
      <c r="P138" s="242"/>
      <c r="Q138" s="242"/>
      <c r="R138" s="242"/>
      <c r="S138" s="242"/>
      <c r="T138" s="242"/>
    </row>
    <row r="139" spans="1:24" x14ac:dyDescent="0.2">
      <c r="K139" s="289"/>
      <c r="L139" s="289"/>
      <c r="M139" s="290"/>
      <c r="N139" s="290"/>
      <c r="O139" s="290"/>
      <c r="P139" s="290"/>
      <c r="Q139" s="290"/>
      <c r="R139" s="290"/>
      <c r="S139" s="290"/>
      <c r="T139" s="242"/>
      <c r="U139" s="229"/>
      <c r="V139" s="229"/>
      <c r="W139" s="229"/>
      <c r="X139" s="229"/>
    </row>
    <row r="140" spans="1:24" x14ac:dyDescent="0.2">
      <c r="B140" s="287" t="s">
        <v>240</v>
      </c>
      <c r="M140" s="229"/>
      <c r="N140" s="229"/>
      <c r="O140" s="229"/>
      <c r="P140" s="229"/>
      <c r="Q140" s="229"/>
      <c r="R140" s="229"/>
      <c r="S140" s="229"/>
      <c r="T140" s="229"/>
      <c r="U140" s="229"/>
      <c r="V140" s="229"/>
      <c r="W140" s="229"/>
      <c r="X140" s="229"/>
    </row>
    <row r="141" spans="1:24" x14ac:dyDescent="0.2">
      <c r="M141" s="229"/>
      <c r="N141" s="229"/>
      <c r="O141" s="229"/>
      <c r="P141" s="229"/>
      <c r="Q141" s="229"/>
      <c r="R141" s="229"/>
      <c r="S141" s="229"/>
      <c r="T141" s="229"/>
      <c r="U141" s="229"/>
      <c r="V141" s="229"/>
      <c r="W141" s="229"/>
      <c r="X141" s="229"/>
    </row>
    <row r="142" spans="1:24" x14ac:dyDescent="0.2">
      <c r="B142" s="250" t="s">
        <v>284</v>
      </c>
      <c r="C142" s="280" t="s">
        <v>242</v>
      </c>
      <c r="M142" s="238">
        <f>SUMIFS('Forecast capex'!$Q$9:$Q$1940,'Forecast capex'!$C$9:$C$1940,$B142,'Forecast capex'!$AD$9:$AD$1940,$B$138,'Forecast capex'!$J$9:$J$1940,M$11)</f>
        <v>939322.22207031259</v>
      </c>
      <c r="N142" s="238">
        <f>SUMIFS('Forecast capex'!$Q$9:$Q$1940,'Forecast capex'!$C$9:$C$1940,$B142,'Forecast capex'!$AD$9:$AD$1940,$B$138,'Forecast capex'!$J$9:$J$1940,N$11)</f>
        <v>6770048</v>
      </c>
      <c r="O142" s="238">
        <f>SUMIFS('Forecast capex'!$Q$9:$Q$1940,'Forecast capex'!$C$9:$C$1940,$B142,'Forecast capex'!$AD$9:$AD$1940,$B$138,'Forecast capex'!$J$9:$J$1940,O$11)</f>
        <v>6291139.4000000004</v>
      </c>
      <c r="P142" s="238">
        <f>SUMIFS('Forecast capex'!$Q$9:$Q$1940,'Forecast capex'!$C$9:$C$1940,$B142,'Forecast capex'!$AD$9:$AD$1940,$B$138,'Forecast capex'!$J$9:$J$1940,P$11)</f>
        <v>7481253.7999999998</v>
      </c>
      <c r="Q142" s="238">
        <f>SUMIFS('Forecast capex'!$Q$9:$Q$1940,'Forecast capex'!$C$9:$C$1940,$B142,'Forecast capex'!$AD$9:$AD$1940,$B$138,'Forecast capex'!$J$9:$J$1940,Q$11)</f>
        <v>910495.20000000007</v>
      </c>
      <c r="R142" s="238">
        <f>SUMIFS('Forecast capex'!$Q$9:$Q$1940,'Forecast capex'!$C$9:$C$1940,$B142,'Forecast capex'!$AD$9:$AD$1940,$B$138,'Forecast capex'!$J$9:$J$1940,R$11)</f>
        <v>378225.4</v>
      </c>
      <c r="S142" s="238">
        <f>SUMIFS('Forecast capex'!$Q$9:$Q$1940,'Forecast capex'!$C$9:$C$1940,$B142,'Forecast capex'!$AD$9:$AD$1940,$B$138,'Forecast capex'!$J$9:$J$1940,S$11)</f>
        <v>387641.8</v>
      </c>
      <c r="T142" s="229"/>
      <c r="U142" s="229"/>
      <c r="V142" s="229"/>
      <c r="W142" s="229"/>
      <c r="X142" s="229"/>
    </row>
    <row r="143" spans="1:24" x14ac:dyDescent="0.2">
      <c r="B143" s="250" t="s">
        <v>285</v>
      </c>
      <c r="C143" s="280" t="s">
        <v>242</v>
      </c>
      <c r="M143" s="238">
        <f>SUMIFS('Forecast capex'!$Q$9:$Q$1940,'Forecast capex'!$C$9:$C$1940,$B143,'Forecast capex'!$AD$9:$AD$1940,$B$138,'Forecast capex'!$J$9:$J$1940,M$11)</f>
        <v>2702645.2646484375</v>
      </c>
      <c r="N143" s="238">
        <f>SUMIFS('Forecast capex'!$Q$9:$Q$1940,'Forecast capex'!$C$9:$C$1940,$B143,'Forecast capex'!$AD$9:$AD$1940,$B$138,'Forecast capex'!$J$9:$J$1940,N$11)</f>
        <v>552758</v>
      </c>
      <c r="O143" s="238">
        <f>SUMIFS('Forecast capex'!$Q$9:$Q$1940,'Forecast capex'!$C$9:$C$1940,$B143,'Forecast capex'!$AD$9:$AD$1940,$B$138,'Forecast capex'!$J$9:$J$1940,O$11)</f>
        <v>401946.9</v>
      </c>
      <c r="P143" s="238">
        <f>SUMIFS('Forecast capex'!$Q$9:$Q$1940,'Forecast capex'!$C$9:$C$1940,$B143,'Forecast capex'!$AD$9:$AD$1940,$B$138,'Forecast capex'!$J$9:$J$1940,P$11)</f>
        <v>285000</v>
      </c>
      <c r="Q143" s="238">
        <f>SUMIFS('Forecast capex'!$Q$9:$Q$1940,'Forecast capex'!$C$9:$C$1940,$B143,'Forecast capex'!$AD$9:$AD$1940,$B$138,'Forecast capex'!$J$9:$J$1940,Q$11)</f>
        <v>2050099.9999999995</v>
      </c>
      <c r="R143" s="238">
        <f>SUMIFS('Forecast capex'!$Q$9:$Q$1940,'Forecast capex'!$C$9:$C$1940,$B143,'Forecast capex'!$AD$9:$AD$1940,$B$138,'Forecast capex'!$J$9:$J$1940,R$11)</f>
        <v>3076859.9999999995</v>
      </c>
      <c r="S143" s="238">
        <f>SUMIFS('Forecast capex'!$Q$9:$Q$1940,'Forecast capex'!$C$9:$C$1940,$B143,'Forecast capex'!$AD$9:$AD$1940,$B$138,'Forecast capex'!$J$9:$J$1940,S$11)</f>
        <v>2890741.6999999997</v>
      </c>
      <c r="T143" s="229"/>
      <c r="U143" s="229"/>
      <c r="V143" s="229"/>
      <c r="W143" s="229"/>
      <c r="X143" s="229"/>
    </row>
    <row r="144" spans="1:24" x14ac:dyDescent="0.2">
      <c r="B144" s="250" t="s">
        <v>286</v>
      </c>
      <c r="C144" s="280" t="s">
        <v>242</v>
      </c>
      <c r="M144" s="238">
        <f>SUMIFS('Forecast capex'!$Q$9:$Q$1940,'Forecast capex'!$C$9:$C$1940,$B144,'Forecast capex'!$AD$9:$AD$1940,$B$138,'Forecast capex'!$J$9:$J$1940,M$11)</f>
        <v>7726664.3885406507</v>
      </c>
      <c r="N144" s="238">
        <f>SUMIFS('Forecast capex'!$Q$9:$Q$1940,'Forecast capex'!$C$9:$C$1940,$B144,'Forecast capex'!$AD$9:$AD$1940,$B$138,'Forecast capex'!$J$9:$J$1940,N$11)</f>
        <v>11172096.635000002</v>
      </c>
      <c r="O144" s="238">
        <f>SUMIFS('Forecast capex'!$Q$9:$Q$1940,'Forecast capex'!$C$9:$C$1940,$B144,'Forecast capex'!$AD$9:$AD$1940,$B$138,'Forecast capex'!$J$9:$J$1940,O$11)</f>
        <v>12168983.703500001</v>
      </c>
      <c r="P144" s="238">
        <f>SUMIFS('Forecast capex'!$Q$9:$Q$1940,'Forecast capex'!$C$9:$C$1940,$B144,'Forecast capex'!$AD$9:$AD$1940,$B$138,'Forecast capex'!$J$9:$J$1940,P$11)</f>
        <v>8241768.8757500006</v>
      </c>
      <c r="Q144" s="238">
        <f>SUMIFS('Forecast capex'!$Q$9:$Q$1940,'Forecast capex'!$C$9:$C$1940,$B144,'Forecast capex'!$AD$9:$AD$1940,$B$138,'Forecast capex'!$J$9:$J$1940,Q$11)</f>
        <v>11457993.1775</v>
      </c>
      <c r="R144" s="238">
        <f>SUMIFS('Forecast capex'!$Q$9:$Q$1940,'Forecast capex'!$C$9:$C$1940,$B144,'Forecast capex'!$AD$9:$AD$1940,$B$138,'Forecast capex'!$J$9:$J$1940,R$11)</f>
        <v>11054072.476749999</v>
      </c>
      <c r="S144" s="238">
        <f>SUMIFS('Forecast capex'!$Q$9:$Q$1940,'Forecast capex'!$C$9:$C$1940,$B144,'Forecast capex'!$AD$9:$AD$1940,$B$138,'Forecast capex'!$J$9:$J$1940,S$11)</f>
        <v>6478891.7000000002</v>
      </c>
      <c r="T144" s="229"/>
      <c r="U144" s="229"/>
      <c r="V144" s="229"/>
      <c r="W144" s="229"/>
      <c r="X144" s="229"/>
    </row>
    <row r="145" spans="2:24" x14ac:dyDescent="0.2">
      <c r="B145" s="250" t="s">
        <v>287</v>
      </c>
      <c r="C145" s="280" t="s">
        <v>242</v>
      </c>
      <c r="M145" s="238">
        <f>SUMIFS('Forecast capex'!$Q$9:$Q$1940,'Forecast capex'!$C$9:$C$1940,$B145,'Forecast capex'!$AD$9:$AD$1940,$B$138,'Forecast capex'!$J$9:$J$1940,M$11)</f>
        <v>19510250</v>
      </c>
      <c r="N145" s="238">
        <f>SUMIFS('Forecast capex'!$Q$9:$Q$1940,'Forecast capex'!$C$9:$C$1940,$B145,'Forecast capex'!$AD$9:$AD$1940,$B$138,'Forecast capex'!$J$9:$J$1940,N$11)</f>
        <v>22196300</v>
      </c>
      <c r="O145" s="238">
        <f>SUMIFS('Forecast capex'!$Q$9:$Q$1940,'Forecast capex'!$C$9:$C$1940,$B145,'Forecast capex'!$AD$9:$AD$1940,$B$138,'Forecast capex'!$J$9:$J$1940,O$11)</f>
        <v>24688858.5</v>
      </c>
      <c r="P145" s="238">
        <f>SUMIFS('Forecast capex'!$Q$9:$Q$1940,'Forecast capex'!$C$9:$C$1940,$B145,'Forecast capex'!$AD$9:$AD$1940,$B$138,'Forecast capex'!$J$9:$J$1940,P$11)</f>
        <v>27683845.5</v>
      </c>
      <c r="Q145" s="238">
        <f>SUMIFS('Forecast capex'!$Q$9:$Q$1940,'Forecast capex'!$C$9:$C$1940,$B145,'Forecast capex'!$AD$9:$AD$1940,$B$138,'Forecast capex'!$J$9:$J$1940,Q$11)</f>
        <v>27546657</v>
      </c>
      <c r="R145" s="238">
        <f>SUMIFS('Forecast capex'!$Q$9:$Q$1940,'Forecast capex'!$C$9:$C$1940,$B145,'Forecast capex'!$AD$9:$AD$1940,$B$138,'Forecast capex'!$J$9:$J$1940,R$11)</f>
        <v>23652562.5</v>
      </c>
      <c r="S145" s="238">
        <f>SUMIFS('Forecast capex'!$Q$9:$Q$1940,'Forecast capex'!$C$9:$C$1940,$B145,'Forecast capex'!$AD$9:$AD$1940,$B$138,'Forecast capex'!$J$9:$J$1940,S$11)</f>
        <v>22378792</v>
      </c>
      <c r="T145" s="229"/>
      <c r="U145" s="229"/>
      <c r="V145" s="229"/>
      <c r="W145" s="229"/>
      <c r="X145" s="229"/>
    </row>
    <row r="146" spans="2:24" x14ac:dyDescent="0.2">
      <c r="B146" s="250" t="s">
        <v>288</v>
      </c>
      <c r="C146" s="280" t="s">
        <v>242</v>
      </c>
      <c r="M146" s="238">
        <f>SUMIFS('Forecast capex'!$Q$9:$Q$1940,'Forecast capex'!$C$9:$C$1940,$B146,'Forecast capex'!$AD$9:$AD$1940,$B$138,'Forecast capex'!$J$9:$J$1940,M$11)</f>
        <v>827000</v>
      </c>
      <c r="N146" s="238">
        <f>SUMIFS('Forecast capex'!$Q$9:$Q$1940,'Forecast capex'!$C$9:$C$1940,$B146,'Forecast capex'!$AD$9:$AD$1940,$B$138,'Forecast capex'!$J$9:$J$1940,N$11)</f>
        <v>1907203.8516809023</v>
      </c>
      <c r="O146" s="238">
        <f>SUMIFS('Forecast capex'!$Q$9:$Q$1940,'Forecast capex'!$C$9:$C$1940,$B146,'Forecast capex'!$AD$9:$AD$1940,$B$138,'Forecast capex'!$J$9:$J$1940,O$11)</f>
        <v>2310019.3625000003</v>
      </c>
      <c r="P146" s="238">
        <f>SUMIFS('Forecast capex'!$Q$9:$Q$1940,'Forecast capex'!$C$9:$C$1940,$B146,'Forecast capex'!$AD$9:$AD$1940,$B$138,'Forecast capex'!$J$9:$J$1940,P$11)</f>
        <v>2302445.4499999997</v>
      </c>
      <c r="Q146" s="238">
        <f>SUMIFS('Forecast capex'!$Q$9:$Q$1940,'Forecast capex'!$C$9:$C$1940,$B146,'Forecast capex'!$AD$9:$AD$1940,$B$138,'Forecast capex'!$J$9:$J$1940,Q$11)</f>
        <v>2466654.1499999994</v>
      </c>
      <c r="R146" s="238">
        <f>SUMIFS('Forecast capex'!$Q$9:$Q$1940,'Forecast capex'!$C$9:$C$1940,$B146,'Forecast capex'!$AD$9:$AD$1940,$B$138,'Forecast capex'!$J$9:$J$1940,R$11)</f>
        <v>2303631.0499999998</v>
      </c>
      <c r="S146" s="238">
        <f>SUMIFS('Forecast capex'!$Q$9:$Q$1940,'Forecast capex'!$C$9:$C$1940,$B146,'Forecast capex'!$AD$9:$AD$1940,$B$138,'Forecast capex'!$J$9:$J$1940,S$11)</f>
        <v>1826852.55</v>
      </c>
      <c r="T146" s="229"/>
      <c r="U146" s="229"/>
      <c r="V146" s="229"/>
      <c r="W146" s="229"/>
      <c r="X146" s="229"/>
    </row>
    <row r="147" spans="2:24" x14ac:dyDescent="0.2">
      <c r="B147" s="250" t="s">
        <v>289</v>
      </c>
      <c r="C147" s="280" t="s">
        <v>242</v>
      </c>
      <c r="M147" s="238">
        <f>SUMIFS('Forecast capex'!$Q$9:$Q$1940,'Forecast capex'!$C$9:$C$1940,$B147,'Forecast capex'!$AD$9:$AD$1940,$B$138,'Forecast capex'!$J$9:$J$1940,M$11)</f>
        <v>3408895.6599891665</v>
      </c>
      <c r="N147" s="238">
        <f>SUMIFS('Forecast capex'!$Q$9:$Q$1940,'Forecast capex'!$C$9:$C$1940,$B147,'Forecast capex'!$AD$9:$AD$1940,$B$138,'Forecast capex'!$J$9:$J$1940,N$11)</f>
        <v>3119297</v>
      </c>
      <c r="O147" s="238">
        <f>SUMIFS('Forecast capex'!$Q$9:$Q$1940,'Forecast capex'!$C$9:$C$1940,$B147,'Forecast capex'!$AD$9:$AD$1940,$B$138,'Forecast capex'!$J$9:$J$1940,O$11)</f>
        <v>3462121.1</v>
      </c>
      <c r="P147" s="238">
        <f>SUMIFS('Forecast capex'!$Q$9:$Q$1940,'Forecast capex'!$C$9:$C$1940,$B147,'Forecast capex'!$AD$9:$AD$1940,$B$138,'Forecast capex'!$J$9:$J$1940,P$11)</f>
        <v>5168553.8500000006</v>
      </c>
      <c r="Q147" s="238">
        <f>SUMIFS('Forecast capex'!$Q$9:$Q$1940,'Forecast capex'!$C$9:$C$1940,$B147,'Forecast capex'!$AD$9:$AD$1940,$B$138,'Forecast capex'!$J$9:$J$1940,Q$11)</f>
        <v>6582980.3500000006</v>
      </c>
      <c r="R147" s="238">
        <f>SUMIFS('Forecast capex'!$Q$9:$Q$1940,'Forecast capex'!$C$9:$C$1940,$B147,'Forecast capex'!$AD$9:$AD$1940,$B$138,'Forecast capex'!$J$9:$J$1940,R$11)</f>
        <v>6946962.4000000004</v>
      </c>
      <c r="S147" s="238">
        <f>SUMIFS('Forecast capex'!$Q$9:$Q$1940,'Forecast capex'!$C$9:$C$1940,$B147,'Forecast capex'!$AD$9:$AD$1940,$B$138,'Forecast capex'!$J$9:$J$1940,S$11)</f>
        <v>6333948.3000000007</v>
      </c>
      <c r="T147" s="229"/>
      <c r="U147" s="229"/>
      <c r="V147" s="229"/>
      <c r="W147" s="229"/>
      <c r="X147" s="229"/>
    </row>
    <row r="148" spans="2:24" x14ac:dyDescent="0.2">
      <c r="B148" s="250" t="s">
        <v>290</v>
      </c>
      <c r="C148" s="280" t="s">
        <v>242</v>
      </c>
      <c r="M148" s="238">
        <f>SUMIFS('Forecast capex'!$Q$9:$Q$1940,'Forecast capex'!$C$9:$C$1940,$B148,'Forecast capex'!$AD$9:$AD$1940,$B$138,'Forecast capex'!$J$9:$J$1940,M$11)</f>
        <v>1598564.4800106813</v>
      </c>
      <c r="N148" s="238">
        <f>SUMIFS('Forecast capex'!$Q$9:$Q$1940,'Forecast capex'!$C$9:$C$1940,$B148,'Forecast capex'!$AD$9:$AD$1940,$B$138,'Forecast capex'!$J$9:$J$1940,N$11)</f>
        <v>3867275</v>
      </c>
      <c r="O148" s="238">
        <f>SUMIFS('Forecast capex'!$Q$9:$Q$1940,'Forecast capex'!$C$9:$C$1940,$B148,'Forecast capex'!$AD$9:$AD$1940,$B$138,'Forecast capex'!$J$9:$J$1940,O$11)</f>
        <v>3777271.25</v>
      </c>
      <c r="P148" s="238">
        <f>SUMIFS('Forecast capex'!$Q$9:$Q$1940,'Forecast capex'!$C$9:$C$1940,$B148,'Forecast capex'!$AD$9:$AD$1940,$B$138,'Forecast capex'!$J$9:$J$1940,P$11)</f>
        <v>3815200</v>
      </c>
      <c r="Q148" s="238">
        <f>SUMIFS('Forecast capex'!$Q$9:$Q$1940,'Forecast capex'!$C$9:$C$1940,$B148,'Forecast capex'!$AD$9:$AD$1940,$B$138,'Forecast capex'!$J$9:$J$1940,Q$11)</f>
        <v>3850967.5</v>
      </c>
      <c r="R148" s="238">
        <f>SUMIFS('Forecast capex'!$Q$9:$Q$1940,'Forecast capex'!$C$9:$C$1940,$B148,'Forecast capex'!$AD$9:$AD$1940,$B$138,'Forecast capex'!$J$9:$J$1940,R$11)</f>
        <v>3879325</v>
      </c>
      <c r="S148" s="238">
        <f>SUMIFS('Forecast capex'!$Q$9:$Q$1940,'Forecast capex'!$C$9:$C$1940,$B148,'Forecast capex'!$AD$9:$AD$1940,$B$138,'Forecast capex'!$J$9:$J$1940,S$11)</f>
        <v>2527950</v>
      </c>
      <c r="T148" s="229"/>
      <c r="U148" s="229"/>
      <c r="V148" s="229"/>
      <c r="W148" s="229"/>
      <c r="X148" s="229"/>
    </row>
    <row r="149" spans="2:24" x14ac:dyDescent="0.2">
      <c r="B149" s="250" t="s">
        <v>291</v>
      </c>
      <c r="C149" s="280" t="s">
        <v>242</v>
      </c>
      <c r="M149" s="238">
        <f>SUMIFS('Forecast capex'!$Q$9:$Q$1940,'Forecast capex'!$C$9:$C$1940,$B149,'Forecast capex'!$AD$9:$AD$1940,$B$138,'Forecast capex'!$J$9:$J$1940,M$11)</f>
        <v>0</v>
      </c>
      <c r="N149" s="238">
        <f>SUMIFS('Forecast capex'!$Q$9:$Q$1940,'Forecast capex'!$C$9:$C$1940,$B149,'Forecast capex'!$AD$9:$AD$1940,$B$138,'Forecast capex'!$J$9:$J$1940,N$11)</f>
        <v>191100</v>
      </c>
      <c r="O149" s="238">
        <f>SUMIFS('Forecast capex'!$Q$9:$Q$1940,'Forecast capex'!$C$9:$C$1940,$B149,'Forecast capex'!$AD$9:$AD$1940,$B$138,'Forecast capex'!$J$9:$J$1940,O$11)</f>
        <v>275310</v>
      </c>
      <c r="P149" s="238">
        <f>SUMIFS('Forecast capex'!$Q$9:$Q$1940,'Forecast capex'!$C$9:$C$1940,$B149,'Forecast capex'!$AD$9:$AD$1940,$B$138,'Forecast capex'!$J$9:$J$1940,P$11)</f>
        <v>163590</v>
      </c>
      <c r="Q149" s="238">
        <f>SUMIFS('Forecast capex'!$Q$9:$Q$1940,'Forecast capex'!$C$9:$C$1940,$B149,'Forecast capex'!$AD$9:$AD$1940,$B$138,'Forecast capex'!$J$9:$J$1940,Q$11)</f>
        <v>480795</v>
      </c>
      <c r="R149" s="238">
        <f>SUMIFS('Forecast capex'!$Q$9:$Q$1940,'Forecast capex'!$C$9:$C$1940,$B149,'Forecast capex'!$AD$9:$AD$1940,$B$138,'Forecast capex'!$J$9:$J$1940,R$11)</f>
        <v>317205</v>
      </c>
      <c r="S149" s="238">
        <f>SUMIFS('Forecast capex'!$Q$9:$Q$1940,'Forecast capex'!$C$9:$C$1940,$B149,'Forecast capex'!$AD$9:$AD$1940,$B$138,'Forecast capex'!$J$9:$J$1940,S$11)</f>
        <v>317205</v>
      </c>
      <c r="T149" s="229"/>
      <c r="U149" s="229"/>
      <c r="V149" s="229"/>
      <c r="W149" s="229"/>
      <c r="X149" s="229"/>
    </row>
    <row r="150" spans="2:24" x14ac:dyDescent="0.2">
      <c r="B150" s="250" t="s">
        <v>292</v>
      </c>
      <c r="C150" s="280" t="s">
        <v>242</v>
      </c>
      <c r="M150" s="238">
        <f>SUMIFS('Forecast capex'!$Q$9:$Q$1940,'Forecast capex'!$C$9:$C$1940,$B150,'Forecast capex'!$AD$9:$AD$1940,$B$138,'Forecast capex'!$J$9:$J$1940,M$11)</f>
        <v>0</v>
      </c>
      <c r="N150" s="238">
        <f>SUMIFS('Forecast capex'!$Q$9:$Q$1940,'Forecast capex'!$C$9:$C$1940,$B150,'Forecast capex'!$AD$9:$AD$1940,$B$138,'Forecast capex'!$J$9:$J$1940,N$11)</f>
        <v>0</v>
      </c>
      <c r="O150" s="238">
        <f>SUMIFS('Forecast capex'!$Q$9:$Q$1940,'Forecast capex'!$C$9:$C$1940,$B150,'Forecast capex'!$AD$9:$AD$1940,$B$138,'Forecast capex'!$J$9:$J$1940,O$11)</f>
        <v>0</v>
      </c>
      <c r="P150" s="238">
        <f>SUMIFS('Forecast capex'!$Q$9:$Q$1940,'Forecast capex'!$C$9:$C$1940,$B150,'Forecast capex'!$AD$9:$AD$1940,$B$138,'Forecast capex'!$J$9:$J$1940,P$11)</f>
        <v>0</v>
      </c>
      <c r="Q150" s="238">
        <f>SUMIFS('Forecast capex'!$Q$9:$Q$1940,'Forecast capex'!$C$9:$C$1940,$B150,'Forecast capex'!$AD$9:$AD$1940,$B$138,'Forecast capex'!$J$9:$J$1940,Q$11)</f>
        <v>0</v>
      </c>
      <c r="R150" s="238">
        <f>SUMIFS('Forecast capex'!$Q$9:$Q$1940,'Forecast capex'!$C$9:$C$1940,$B150,'Forecast capex'!$AD$9:$AD$1940,$B$138,'Forecast capex'!$J$9:$J$1940,R$11)</f>
        <v>0</v>
      </c>
      <c r="S150" s="238">
        <f>SUMIFS('Forecast capex'!$Q$9:$Q$1940,'Forecast capex'!$C$9:$C$1940,$B150,'Forecast capex'!$AD$9:$AD$1940,$B$138,'Forecast capex'!$J$9:$J$1940,S$11)</f>
        <v>0</v>
      </c>
      <c r="T150" s="229"/>
      <c r="U150" s="229"/>
      <c r="V150" s="229"/>
      <c r="W150" s="229"/>
      <c r="X150" s="229"/>
    </row>
    <row r="151" spans="2:24" x14ac:dyDescent="0.2">
      <c r="B151" s="243" t="s">
        <v>49</v>
      </c>
      <c r="C151" s="337" t="s">
        <v>242</v>
      </c>
      <c r="M151" s="235">
        <f t="shared" ref="M151:S151" si="20">SUM(M142:M150)</f>
        <v>36713342.015259244</v>
      </c>
      <c r="N151" s="235">
        <f t="shared" si="20"/>
        <v>49776078.48668091</v>
      </c>
      <c r="O151" s="235">
        <f t="shared" si="20"/>
        <v>53375650.215999998</v>
      </c>
      <c r="P151" s="235">
        <f t="shared" si="20"/>
        <v>55141657.475750007</v>
      </c>
      <c r="Q151" s="235">
        <f t="shared" si="20"/>
        <v>55346642.377499998</v>
      </c>
      <c r="R151" s="235">
        <f t="shared" si="20"/>
        <v>51608843.826749995</v>
      </c>
      <c r="S151" s="235">
        <f t="shared" si="20"/>
        <v>43142023.049999997</v>
      </c>
      <c r="T151" s="229"/>
      <c r="U151" s="229"/>
      <c r="V151" s="229"/>
      <c r="W151" s="229"/>
      <c r="X151" s="229"/>
    </row>
    <row r="152" spans="2:24" x14ac:dyDescent="0.2">
      <c r="B152" s="232" t="s">
        <v>297</v>
      </c>
      <c r="C152" s="280" t="s">
        <v>242</v>
      </c>
      <c r="M152" s="238">
        <f>SUMIFS('Forecast capex'!$N$9:$N$1940,'Forecast capex'!$AD$9:$AD$1940,$B$138,'Forecast capex'!$J$9:$J$1940,M$11)</f>
        <v>0</v>
      </c>
      <c r="N152" s="238">
        <f>SUMIFS('Forecast capex'!$N$9:$N$1940,'Forecast capex'!$AD$9:$AD$1940,$B$138,'Forecast capex'!$J$9:$J$1940,N$11)</f>
        <v>0</v>
      </c>
      <c r="O152" s="238">
        <f>SUMIFS('Forecast capex'!$N$9:$N$1940,'Forecast capex'!$AD$9:$AD$1940,$B$138,'Forecast capex'!$J$9:$J$1940,O$11)</f>
        <v>0</v>
      </c>
      <c r="P152" s="238">
        <f>SUMIFS('Forecast capex'!$N$9:$N$1940,'Forecast capex'!$AD$9:$AD$1940,$B$138,'Forecast capex'!$J$9:$J$1940,P$11)</f>
        <v>0</v>
      </c>
      <c r="Q152" s="238">
        <f>SUMIFS('Forecast capex'!$N$9:$N$1940,'Forecast capex'!$AD$9:$AD$1940,$B$138,'Forecast capex'!$J$9:$J$1940,Q$11)</f>
        <v>0</v>
      </c>
      <c r="R152" s="238">
        <f>SUMIFS('Forecast capex'!$N$9:$N$1940,'Forecast capex'!$AD$9:$AD$1940,$B$138,'Forecast capex'!$J$9:$J$1940,R$11)</f>
        <v>0</v>
      </c>
      <c r="S152" s="238">
        <f>SUMIFS('Forecast capex'!$N$9:$N$1940,'Forecast capex'!$AD$9:$AD$1940,$B$138,'Forecast capex'!$J$9:$J$1940,S$11)</f>
        <v>0</v>
      </c>
      <c r="T152" s="229"/>
      <c r="U152" s="229"/>
      <c r="V152" s="229"/>
      <c r="W152" s="229"/>
      <c r="X152" s="229"/>
    </row>
    <row r="153" spans="2:24" x14ac:dyDescent="0.2">
      <c r="B153" s="243" t="s">
        <v>426</v>
      </c>
      <c r="C153" s="337" t="s">
        <v>242</v>
      </c>
      <c r="M153" s="235">
        <f t="shared" ref="M153:S153" si="21">M151-M152</f>
        <v>36713342.015259244</v>
      </c>
      <c r="N153" s="235">
        <f t="shared" si="21"/>
        <v>49776078.48668091</v>
      </c>
      <c r="O153" s="235">
        <f t="shared" si="21"/>
        <v>53375650.215999998</v>
      </c>
      <c r="P153" s="235">
        <f t="shared" si="21"/>
        <v>55141657.475750007</v>
      </c>
      <c r="Q153" s="235">
        <f t="shared" si="21"/>
        <v>55346642.377499998</v>
      </c>
      <c r="R153" s="235">
        <f t="shared" si="21"/>
        <v>51608843.826749995</v>
      </c>
      <c r="S153" s="235">
        <f t="shared" si="21"/>
        <v>43142023.049999997</v>
      </c>
      <c r="T153" s="229"/>
      <c r="U153" s="229"/>
      <c r="V153" s="229"/>
      <c r="W153" s="229"/>
      <c r="X153" s="229"/>
    </row>
    <row r="154" spans="2:24" x14ac:dyDescent="0.2">
      <c r="B154" s="243"/>
      <c r="C154" s="337"/>
      <c r="M154" s="229"/>
      <c r="N154" s="229"/>
      <c r="O154" s="229"/>
      <c r="P154" s="229"/>
      <c r="Q154" s="229"/>
      <c r="R154" s="229"/>
      <c r="S154" s="229"/>
      <c r="T154" s="229"/>
      <c r="U154" s="229"/>
      <c r="V154" s="229"/>
      <c r="W154" s="229"/>
      <c r="X154" s="229"/>
    </row>
    <row r="155" spans="2:24" x14ac:dyDescent="0.2">
      <c r="B155" s="242" t="s">
        <v>427</v>
      </c>
      <c r="C155" s="280" t="s">
        <v>58</v>
      </c>
      <c r="D155" s="297">
        <f>SUM(H155:S155)</f>
        <v>0</v>
      </c>
      <c r="E155" s="298"/>
      <c r="F155" s="229"/>
      <c r="G155" s="229"/>
      <c r="H155" s="229"/>
      <c r="I155" s="230"/>
      <c r="J155" s="229"/>
      <c r="K155" s="229"/>
      <c r="L155" s="229"/>
      <c r="M155" s="228">
        <f t="shared" ref="M155:S155" si="22">IF(ABS(M151-M19)&lt;0.001,0,1)</f>
        <v>0</v>
      </c>
      <c r="N155" s="228">
        <f t="shared" si="22"/>
        <v>0</v>
      </c>
      <c r="O155" s="228">
        <f t="shared" si="22"/>
        <v>0</v>
      </c>
      <c r="P155" s="228">
        <f t="shared" si="22"/>
        <v>0</v>
      </c>
      <c r="Q155" s="228">
        <f t="shared" si="22"/>
        <v>0</v>
      </c>
      <c r="R155" s="228">
        <f t="shared" si="22"/>
        <v>0</v>
      </c>
      <c r="S155" s="228">
        <f t="shared" si="22"/>
        <v>0</v>
      </c>
      <c r="T155" s="229"/>
      <c r="U155" s="229"/>
      <c r="V155" s="229"/>
      <c r="W155" s="229"/>
      <c r="X155" s="229"/>
    </row>
    <row r="156" spans="2:24" x14ac:dyDescent="0.2">
      <c r="B156" s="243"/>
      <c r="C156" s="337"/>
      <c r="D156" s="229"/>
      <c r="E156" s="229"/>
      <c r="F156" s="229"/>
      <c r="G156" s="229"/>
      <c r="H156" s="229"/>
      <c r="I156" s="230"/>
      <c r="J156" s="229"/>
      <c r="K156" s="229"/>
      <c r="L156" s="229"/>
      <c r="M156" s="229"/>
      <c r="N156" s="229"/>
      <c r="O156" s="229"/>
      <c r="P156" s="229"/>
      <c r="Q156" s="229"/>
      <c r="R156" s="229"/>
      <c r="S156" s="229"/>
      <c r="T156" s="229"/>
      <c r="U156" s="229"/>
      <c r="V156" s="229"/>
      <c r="W156" s="229"/>
      <c r="X156" s="229"/>
    </row>
    <row r="157" spans="2:24" x14ac:dyDescent="0.2">
      <c r="B157" s="304" t="s">
        <v>249</v>
      </c>
      <c r="D157" s="229"/>
      <c r="E157" s="229"/>
      <c r="F157" s="229"/>
      <c r="G157" s="229"/>
      <c r="H157" s="229"/>
      <c r="I157" s="230"/>
      <c r="J157" s="229"/>
      <c r="K157" s="229"/>
      <c r="L157" s="229"/>
      <c r="M157" s="229"/>
      <c r="N157" s="229"/>
      <c r="O157" s="229"/>
      <c r="P157" s="229"/>
      <c r="Q157" s="229"/>
      <c r="R157" s="229"/>
      <c r="S157" s="229"/>
      <c r="T157" s="229"/>
      <c r="U157" s="229"/>
      <c r="V157" s="229"/>
      <c r="W157" s="229"/>
      <c r="X157" s="229"/>
    </row>
    <row r="158" spans="2:24" x14ac:dyDescent="0.2">
      <c r="D158" s="229"/>
      <c r="E158" s="229"/>
      <c r="F158" s="229"/>
      <c r="G158" s="229"/>
      <c r="H158" s="229"/>
      <c r="I158" s="230"/>
      <c r="J158" s="229"/>
      <c r="K158" s="229"/>
      <c r="L158" s="229"/>
      <c r="M158" s="229"/>
      <c r="N158" s="229"/>
      <c r="O158" s="229"/>
      <c r="P158" s="229"/>
      <c r="Q158" s="229"/>
      <c r="R158" s="229"/>
      <c r="S158" s="229"/>
      <c r="T158" s="229"/>
      <c r="U158" s="229"/>
      <c r="V158" s="229"/>
      <c r="W158" s="229"/>
      <c r="X158" s="229"/>
    </row>
    <row r="159" spans="2:24" x14ac:dyDescent="0.2">
      <c r="B159" s="250" t="s">
        <v>284</v>
      </c>
      <c r="C159" s="280" t="s">
        <v>250</v>
      </c>
      <c r="D159" s="229"/>
      <c r="E159" s="229"/>
      <c r="F159" s="229"/>
      <c r="G159" s="229"/>
      <c r="H159" s="229"/>
      <c r="I159" s="230"/>
      <c r="J159" s="229"/>
      <c r="K159" s="229"/>
      <c r="L159" s="229"/>
      <c r="M159" s="238">
        <f>SUMIFS('Forecast capex'!$X$9:$X$1940,'Forecast capex'!$C$9:$C$1940,$B159,'Forecast capex'!$AD$9:$AD$1940,$B$138,'Forecast capex'!$J$9:$J$1940,M$11)</f>
        <v>939322.22207031259</v>
      </c>
      <c r="N159" s="238">
        <f>SUMIFS('Forecast capex'!$X$9:$X$1940,'Forecast capex'!$C$9:$C$1940,$B159,'Forecast capex'!$AD$9:$AD$1940,$B$138,'Forecast capex'!$J$9:$J$1940,N$11)</f>
        <v>6867084.0112828529</v>
      </c>
      <c r="O159" s="238">
        <f>SUMIFS('Forecast capex'!$X$9:$X$1940,'Forecast capex'!$C$9:$C$1940,$B159,'Forecast capex'!$AD$9:$AD$1940,$B$138,'Forecast capex'!$J$9:$J$1940,O$11)</f>
        <v>6477522.1802051868</v>
      </c>
      <c r="P159" s="238">
        <f>SUMIFS('Forecast capex'!$X$9:$X$1940,'Forecast capex'!$C$9:$C$1940,$B159,'Forecast capex'!$AD$9:$AD$1940,$B$138,'Forecast capex'!$J$9:$J$1940,P$11)</f>
        <v>7877364.4114130251</v>
      </c>
      <c r="Q159" s="238">
        <f>SUMIFS('Forecast capex'!$X$9:$X$1940,'Forecast capex'!$C$9:$C$1940,$B159,'Forecast capex'!$AD$9:$AD$1940,$B$138,'Forecast capex'!$J$9:$J$1940,Q$11)</f>
        <v>975982.66254350462</v>
      </c>
      <c r="R159" s="238">
        <f>SUMIFS('Forecast capex'!$X$9:$X$1940,'Forecast capex'!$C$9:$C$1940,$B159,'Forecast capex'!$AD$9:$AD$1940,$B$138,'Forecast capex'!$J$9:$J$1940,R$11)</f>
        <v>414570.72728471109</v>
      </c>
      <c r="S159" s="238">
        <f>SUMIFS('Forecast capex'!$X$9:$X$1940,'Forecast capex'!$C$9:$C$1940,$B159,'Forecast capex'!$AD$9:$AD$1940,$B$138,'Forecast capex'!$J$9:$J$1940,S$11)</f>
        <v>434480.11201187264</v>
      </c>
      <c r="T159" s="229"/>
      <c r="U159" s="229"/>
      <c r="V159" s="229"/>
      <c r="W159" s="229"/>
      <c r="X159" s="229"/>
    </row>
    <row r="160" spans="2:24" x14ac:dyDescent="0.2">
      <c r="B160" s="250" t="s">
        <v>285</v>
      </c>
      <c r="C160" s="280" t="s">
        <v>250</v>
      </c>
      <c r="D160" s="229"/>
      <c r="E160" s="229"/>
      <c r="F160" s="229"/>
      <c r="G160" s="229"/>
      <c r="H160" s="229"/>
      <c r="I160" s="230"/>
      <c r="J160" s="229"/>
      <c r="K160" s="229"/>
      <c r="L160" s="229"/>
      <c r="M160" s="238">
        <f>SUMIFS('Forecast capex'!$X$9:$X$1940,'Forecast capex'!$C$9:$C$1940,$B160,'Forecast capex'!$AD$9:$AD$1940,$B$138,'Forecast capex'!$J$9:$J$1940,M$11)</f>
        <v>2702645.2646484375</v>
      </c>
      <c r="N160" s="238">
        <f>SUMIFS('Forecast capex'!$X$9:$X$1940,'Forecast capex'!$C$9:$C$1940,$B160,'Forecast capex'!$AD$9:$AD$1940,$B$138,'Forecast capex'!$J$9:$J$1940,N$11)</f>
        <v>561621.94481775095</v>
      </c>
      <c r="O160" s="238">
        <f>SUMIFS('Forecast capex'!$X$9:$X$1940,'Forecast capex'!$C$9:$C$1940,$B160,'Forecast capex'!$AD$9:$AD$1940,$B$138,'Forecast capex'!$J$9:$J$1940,O$11)</f>
        <v>414864.90430817613</v>
      </c>
      <c r="P160" s="238">
        <f>SUMIFS('Forecast capex'!$X$9:$X$1940,'Forecast capex'!$C$9:$C$1940,$B160,'Forecast capex'!$AD$9:$AD$1940,$B$138,'Forecast capex'!$J$9:$J$1940,P$11)</f>
        <v>299825.1239457234</v>
      </c>
      <c r="Q160" s="238">
        <f>SUMIFS('Forecast capex'!$X$9:$X$1940,'Forecast capex'!$C$9:$C$1940,$B160,'Forecast capex'!$AD$9:$AD$1940,$B$138,'Forecast capex'!$J$9:$J$1940,Q$11)</f>
        <v>2203995.8550325083</v>
      </c>
      <c r="R160" s="238">
        <f>SUMIFS('Forecast capex'!$X$9:$X$1940,'Forecast capex'!$C$9:$C$1940,$B160,'Forecast capex'!$AD$9:$AD$1940,$B$138,'Forecast capex'!$J$9:$J$1940,R$11)</f>
        <v>3385658.9385078121</v>
      </c>
      <c r="S160" s="238">
        <f>SUMIFS('Forecast capex'!$X$9:$X$1940,'Forecast capex'!$C$9:$C$1940,$B160,'Forecast capex'!$AD$9:$AD$1940,$B$138,'Forecast capex'!$J$9:$J$1940,S$11)</f>
        <v>3255390.0132801835</v>
      </c>
      <c r="T160" s="229"/>
      <c r="U160" s="229"/>
      <c r="V160" s="229"/>
      <c r="W160" s="229"/>
      <c r="X160" s="229"/>
    </row>
    <row r="161" spans="2:24" x14ac:dyDescent="0.2">
      <c r="B161" s="250" t="s">
        <v>286</v>
      </c>
      <c r="C161" s="280" t="s">
        <v>250</v>
      </c>
      <c r="D161" s="229"/>
      <c r="E161" s="229"/>
      <c r="F161" s="229"/>
      <c r="G161" s="229"/>
      <c r="H161" s="229"/>
      <c r="I161" s="230"/>
      <c r="J161" s="229"/>
      <c r="K161" s="229"/>
      <c r="L161" s="229"/>
      <c r="M161" s="238">
        <f>SUMIFS('Forecast capex'!$X$9:$X$1940,'Forecast capex'!$C$9:$C$1940,$B161,'Forecast capex'!$AD$9:$AD$1940,$B$138,'Forecast capex'!$J$9:$J$1940,M$11)</f>
        <v>7726664.3885406507</v>
      </c>
      <c r="N161" s="238">
        <f>SUMIFS('Forecast capex'!$X$9:$X$1940,'Forecast capex'!$C$9:$C$1940,$B161,'Forecast capex'!$AD$9:$AD$1940,$B$138,'Forecast capex'!$J$9:$J$1940,N$11)</f>
        <v>11325735.787956512</v>
      </c>
      <c r="O161" s="238">
        <f>SUMIFS('Forecast capex'!$X$9:$X$1940,'Forecast capex'!$C$9:$C$1940,$B161,'Forecast capex'!$AD$9:$AD$1940,$B$138,'Forecast capex'!$J$9:$J$1940,O$11)</f>
        <v>12496806.305824935</v>
      </c>
      <c r="P161" s="238">
        <f>SUMIFS('Forecast capex'!$X$9:$X$1940,'Forecast capex'!$C$9:$C$1940,$B161,'Forecast capex'!$AD$9:$AD$1940,$B$138,'Forecast capex'!$J$9:$J$1940,P$11)</f>
        <v>8635480.2789357267</v>
      </c>
      <c r="Q161" s="238">
        <f>SUMIFS('Forecast capex'!$X$9:$X$1940,'Forecast capex'!$C$9:$C$1940,$B161,'Forecast capex'!$AD$9:$AD$1940,$B$138,'Forecast capex'!$J$9:$J$1940,Q$11)</f>
        <v>12160505.522845669</v>
      </c>
      <c r="R161" s="238">
        <f>SUMIFS('Forecast capex'!$X$9:$X$1940,'Forecast capex'!$C$9:$C$1940,$B161,'Forecast capex'!$AD$9:$AD$1940,$B$138,'Forecast capex'!$J$9:$J$1940,R$11)</f>
        <v>11951127.227343457</v>
      </c>
      <c r="S161" s="238">
        <f>SUMIFS('Forecast capex'!$X$9:$X$1940,'Forecast capex'!$C$9:$C$1940,$B161,'Forecast capex'!$AD$9:$AD$1940,$B$138,'Forecast capex'!$J$9:$J$1940,S$11)</f>
        <v>7146747.7649468128</v>
      </c>
      <c r="T161" s="229"/>
      <c r="U161" s="229"/>
      <c r="V161" s="229"/>
      <c r="W161" s="229"/>
      <c r="X161" s="229"/>
    </row>
    <row r="162" spans="2:24" x14ac:dyDescent="0.2">
      <c r="B162" s="250" t="s">
        <v>287</v>
      </c>
      <c r="C162" s="280" t="s">
        <v>250</v>
      </c>
      <c r="D162" s="229"/>
      <c r="E162" s="229"/>
      <c r="F162" s="229"/>
      <c r="G162" s="229"/>
      <c r="H162" s="229"/>
      <c r="I162" s="230"/>
      <c r="J162" s="229"/>
      <c r="K162" s="229"/>
      <c r="L162" s="229"/>
      <c r="M162" s="238">
        <f>SUMIFS('Forecast capex'!$X$9:$X$1940,'Forecast capex'!$C$9:$C$1940,$B162,'Forecast capex'!$AD$9:$AD$1940,$B$138,'Forecast capex'!$J$9:$J$1940,M$11)</f>
        <v>19510250</v>
      </c>
      <c r="N162" s="238">
        <f>SUMIFS('Forecast capex'!$X$9:$X$1940,'Forecast capex'!$C$9:$C$1940,$B162,'Forecast capex'!$AD$9:$AD$1940,$B$138,'Forecast capex'!$J$9:$J$1940,N$11)</f>
        <v>22550821.689579681</v>
      </c>
      <c r="O162" s="238">
        <f>SUMIFS('Forecast capex'!$X$9:$X$1940,'Forecast capex'!$C$9:$C$1940,$B162,'Forecast capex'!$AD$9:$AD$1940,$B$138,'Forecast capex'!$J$9:$J$1940,O$11)</f>
        <v>25474496.576814912</v>
      </c>
      <c r="P162" s="238">
        <f>SUMIFS('Forecast capex'!$X$9:$X$1940,'Forecast capex'!$C$9:$C$1940,$B162,'Forecast capex'!$AD$9:$AD$1940,$B$138,'Forecast capex'!$J$9:$J$1940,P$11)</f>
        <v>29132416.922376681</v>
      </c>
      <c r="Q162" s="238">
        <f>SUMIFS('Forecast capex'!$X$9:$X$1940,'Forecast capex'!$C$9:$C$1940,$B162,'Forecast capex'!$AD$9:$AD$1940,$B$138,'Forecast capex'!$J$9:$J$1940,Q$11)</f>
        <v>29478462.723566607</v>
      </c>
      <c r="R162" s="238">
        <f>SUMIFS('Forecast capex'!$X$9:$X$1940,'Forecast capex'!$C$9:$C$1940,$B162,'Forecast capex'!$AD$9:$AD$1940,$B$138,'Forecast capex'!$J$9:$J$1940,R$11)</f>
        <v>25834431.106102761</v>
      </c>
      <c r="S162" s="238">
        <f>SUMIFS('Forecast capex'!$X$9:$X$1940,'Forecast capex'!$C$9:$C$1940,$B162,'Forecast capex'!$AD$9:$AD$1940,$B$138,'Forecast capex'!$J$9:$J$1940,S$11)</f>
        <v>24944894.845911849</v>
      </c>
      <c r="T162" s="229"/>
      <c r="U162" s="229"/>
      <c r="V162" s="229"/>
      <c r="W162" s="229"/>
      <c r="X162" s="229"/>
    </row>
    <row r="163" spans="2:24" x14ac:dyDescent="0.2">
      <c r="B163" s="250" t="s">
        <v>288</v>
      </c>
      <c r="C163" s="280" t="s">
        <v>250</v>
      </c>
      <c r="D163" s="229"/>
      <c r="E163" s="229"/>
      <c r="F163" s="229"/>
      <c r="G163" s="229"/>
      <c r="H163" s="229"/>
      <c r="I163" s="230"/>
      <c r="J163" s="229"/>
      <c r="K163" s="229"/>
      <c r="L163" s="229"/>
      <c r="M163" s="238">
        <f>SUMIFS('Forecast capex'!$X$9:$X$1940,'Forecast capex'!$C$9:$C$1940,$B163,'Forecast capex'!$AD$9:$AD$1940,$B$138,'Forecast capex'!$J$9:$J$1940,M$11)</f>
        <v>827000</v>
      </c>
      <c r="N163" s="238">
        <f>SUMIFS('Forecast capex'!$X$9:$X$1940,'Forecast capex'!$C$9:$C$1940,$B163,'Forecast capex'!$AD$9:$AD$1940,$B$138,'Forecast capex'!$J$9:$J$1940,N$11)</f>
        <v>1938523.136443994</v>
      </c>
      <c r="O163" s="238">
        <f>SUMIFS('Forecast capex'!$X$9:$X$1940,'Forecast capex'!$C$9:$C$1940,$B163,'Forecast capex'!$AD$9:$AD$1940,$B$138,'Forecast capex'!$J$9:$J$1940,O$11)</f>
        <v>2385040.6470091543</v>
      </c>
      <c r="P163" s="238">
        <f>SUMIFS('Forecast capex'!$X$9:$X$1940,'Forecast capex'!$C$9:$C$1940,$B163,'Forecast capex'!$AD$9:$AD$1940,$B$138,'Forecast capex'!$J$9:$J$1940,P$11)</f>
        <v>2423894.7652583327</v>
      </c>
      <c r="Q163" s="238">
        <f>SUMIFS('Forecast capex'!$X$9:$X$1940,'Forecast capex'!$C$9:$C$1940,$B163,'Forecast capex'!$AD$9:$AD$1940,$B$138,'Forecast capex'!$J$9:$J$1940,Q$11)</f>
        <v>2641372.430851744</v>
      </c>
      <c r="R163" s="238">
        <f>SUMIFS('Forecast capex'!$X$9:$X$1940,'Forecast capex'!$C$9:$C$1940,$B163,'Forecast capex'!$AD$9:$AD$1940,$B$138,'Forecast capex'!$J$9:$J$1940,R$11)</f>
        <v>2517066.4435983542</v>
      </c>
      <c r="S163" s="238">
        <f>SUMIFS('Forecast capex'!$X$9:$X$1940,'Forecast capex'!$C$9:$C$1940,$B163,'Forecast capex'!$AD$9:$AD$1940,$B$138,'Forecast capex'!$J$9:$J$1940,S$11)</f>
        <v>2035534.0193508761</v>
      </c>
      <c r="T163" s="229"/>
      <c r="U163" s="229"/>
      <c r="V163" s="229"/>
      <c r="W163" s="229"/>
      <c r="X163" s="229"/>
    </row>
    <row r="164" spans="2:24" x14ac:dyDescent="0.2">
      <c r="B164" s="250" t="s">
        <v>289</v>
      </c>
      <c r="C164" s="280" t="s">
        <v>250</v>
      </c>
      <c r="D164" s="229"/>
      <c r="E164" s="229"/>
      <c r="F164" s="229"/>
      <c r="G164" s="229"/>
      <c r="H164" s="229"/>
      <c r="I164" s="230"/>
      <c r="J164" s="229"/>
      <c r="K164" s="229"/>
      <c r="L164" s="229"/>
      <c r="M164" s="238">
        <f>SUMIFS('Forecast capex'!$X$9:$X$1940,'Forecast capex'!$C$9:$C$1940,$B164,'Forecast capex'!$AD$9:$AD$1940,$B$138,'Forecast capex'!$J$9:$J$1940,M$11)</f>
        <v>3408895.6599891665</v>
      </c>
      <c r="N164" s="238">
        <f>SUMIFS('Forecast capex'!$X$9:$X$1940,'Forecast capex'!$C$9:$C$1940,$B164,'Forecast capex'!$AD$9:$AD$1940,$B$138,'Forecast capex'!$J$9:$J$1940,N$11)</f>
        <v>3145094.9965257216</v>
      </c>
      <c r="O164" s="238">
        <f>SUMIFS('Forecast capex'!$X$9:$X$1940,'Forecast capex'!$C$9:$C$1940,$B164,'Forecast capex'!$AD$9:$AD$1940,$B$138,'Forecast capex'!$J$9:$J$1940,O$11)</f>
        <v>3514157.4161879099</v>
      </c>
      <c r="P164" s="238">
        <f>SUMIFS('Forecast capex'!$X$9:$X$1940,'Forecast capex'!$C$9:$C$1940,$B164,'Forecast capex'!$AD$9:$AD$1940,$B$138,'Forecast capex'!$J$9:$J$1940,P$11)</f>
        <v>5344829.209031974</v>
      </c>
      <c r="Q164" s="238">
        <f>SUMIFS('Forecast capex'!$X$9:$X$1940,'Forecast capex'!$C$9:$C$1940,$B164,'Forecast capex'!$AD$9:$AD$1940,$B$138,'Forecast capex'!$J$9:$J$1940,Q$11)</f>
        <v>6902380.1932625649</v>
      </c>
      <c r="R164" s="238">
        <f>SUMIFS('Forecast capex'!$X$9:$X$1940,'Forecast capex'!$C$9:$C$1940,$B164,'Forecast capex'!$AD$9:$AD$1940,$B$138,'Forecast capex'!$J$9:$J$1940,R$11)</f>
        <v>7417358.3092388585</v>
      </c>
      <c r="S164" s="238">
        <f>SUMIFS('Forecast capex'!$X$9:$X$1940,'Forecast capex'!$C$9:$C$1940,$B164,'Forecast capex'!$AD$9:$AD$1940,$B$138,'Forecast capex'!$J$9:$J$1940,S$11)</f>
        <v>6890081.0646969052</v>
      </c>
      <c r="T164" s="229"/>
      <c r="U164" s="229"/>
      <c r="V164" s="229"/>
      <c r="W164" s="229"/>
      <c r="X164" s="229"/>
    </row>
    <row r="165" spans="2:24" x14ac:dyDescent="0.2">
      <c r="B165" s="250" t="s">
        <v>290</v>
      </c>
      <c r="C165" s="280" t="s">
        <v>250</v>
      </c>
      <c r="D165" s="229"/>
      <c r="E165" s="229"/>
      <c r="F165" s="229"/>
      <c r="G165" s="229"/>
      <c r="H165" s="229"/>
      <c r="I165" s="230"/>
      <c r="J165" s="229"/>
      <c r="K165" s="229"/>
      <c r="L165" s="229"/>
      <c r="M165" s="238">
        <f>SUMIFS('Forecast capex'!$X$9:$X$1940,'Forecast capex'!$C$9:$C$1940,$B165,'Forecast capex'!$AD$9:$AD$1940,$B$138,'Forecast capex'!$J$9:$J$1940,M$11)</f>
        <v>1598564.4800106813</v>
      </c>
      <c r="N165" s="238">
        <f>SUMIFS('Forecast capex'!$X$9:$X$1940,'Forecast capex'!$C$9:$C$1940,$B165,'Forecast capex'!$AD$9:$AD$1940,$B$138,'Forecast capex'!$J$9:$J$1940,N$11)</f>
        <v>3938117.1652657352</v>
      </c>
      <c r="O165" s="238">
        <f>SUMIFS('Forecast capex'!$X$9:$X$1940,'Forecast capex'!$C$9:$C$1940,$B165,'Forecast capex'!$AD$9:$AD$1940,$B$138,'Forecast capex'!$J$9:$J$1940,O$11)</f>
        <v>3884455.1663034637</v>
      </c>
      <c r="P165" s="238">
        <f>SUMIFS('Forecast capex'!$X$9:$X$1940,'Forecast capex'!$C$9:$C$1940,$B165,'Forecast capex'!$AD$9:$AD$1940,$B$138,'Forecast capex'!$J$9:$J$1940,P$11)</f>
        <v>4003544.9033848741</v>
      </c>
      <c r="Q165" s="238">
        <f>SUMIFS('Forecast capex'!$X$9:$X$1940,'Forecast capex'!$C$9:$C$1940,$B165,'Forecast capex'!$AD$9:$AD$1940,$B$138,'Forecast capex'!$J$9:$J$1940,Q$11)</f>
        <v>4112303.8748355838</v>
      </c>
      <c r="R165" s="238">
        <f>SUMIFS('Forecast capex'!$X$9:$X$1940,'Forecast capex'!$C$9:$C$1940,$B165,'Forecast capex'!$AD$9:$AD$1940,$B$138,'Forecast capex'!$J$9:$J$1940,R$11)</f>
        <v>4230498.2924353238</v>
      </c>
      <c r="S165" s="238">
        <f>SUMIFS('Forecast capex'!$X$9:$X$1940,'Forecast capex'!$C$9:$C$1940,$B165,'Forecast capex'!$AD$9:$AD$1940,$B$138,'Forecast capex'!$J$9:$J$1940,S$11)</f>
        <v>2814274.8571286299</v>
      </c>
      <c r="T165" s="229"/>
      <c r="U165" s="229"/>
      <c r="V165" s="229"/>
      <c r="W165" s="229"/>
      <c r="X165" s="229"/>
    </row>
    <row r="166" spans="2:24" x14ac:dyDescent="0.2">
      <c r="B166" s="250" t="s">
        <v>291</v>
      </c>
      <c r="C166" s="280" t="s">
        <v>250</v>
      </c>
      <c r="D166" s="229"/>
      <c r="E166" s="229"/>
      <c r="F166" s="229"/>
      <c r="G166" s="229"/>
      <c r="H166" s="229"/>
      <c r="I166" s="230"/>
      <c r="J166" s="229"/>
      <c r="K166" s="229"/>
      <c r="L166" s="229"/>
      <c r="M166" s="238">
        <f>SUMIFS('Forecast capex'!$X$9:$X$1940,'Forecast capex'!$C$9:$C$1940,$B166,'Forecast capex'!$AD$9:$AD$1940,$B$138,'Forecast capex'!$J$9:$J$1940,M$11)</f>
        <v>0</v>
      </c>
      <c r="N166" s="238">
        <f>SUMIFS('Forecast capex'!$X$9:$X$1940,'Forecast capex'!$C$9:$C$1940,$B166,'Forecast capex'!$AD$9:$AD$1940,$B$138,'Forecast capex'!$J$9:$J$1940,N$11)</f>
        <v>193736.25199221793</v>
      </c>
      <c r="O166" s="238">
        <f>SUMIFS('Forecast capex'!$X$9:$X$1940,'Forecast capex'!$C$9:$C$1940,$B166,'Forecast capex'!$AD$9:$AD$1940,$B$138,'Forecast capex'!$J$9:$J$1940,O$11)</f>
        <v>283406.92125865148</v>
      </c>
      <c r="P166" s="238">
        <f>SUMIFS('Forecast capex'!$X$9:$X$1940,'Forecast capex'!$C$9:$C$1940,$B166,'Forecast capex'!$AD$9:$AD$1940,$B$138,'Forecast capex'!$J$9:$J$1940,P$11)</f>
        <v>171771.90522396317</v>
      </c>
      <c r="Q166" s="238">
        <f>SUMIFS('Forecast capex'!$X$9:$X$1940,'Forecast capex'!$C$9:$C$1940,$B166,'Forecast capex'!$AD$9:$AD$1940,$B$138,'Forecast capex'!$J$9:$J$1940,Q$11)</f>
        <v>512881.02853820368</v>
      </c>
      <c r="R166" s="238">
        <f>SUMIFS('Forecast capex'!$X$9:$X$1940,'Forecast capex'!$C$9:$C$1940,$B166,'Forecast capex'!$AD$9:$AD$1940,$B$138,'Forecast capex'!$J$9:$J$1940,R$11)</f>
        <v>345062.81536620838</v>
      </c>
      <c r="S166" s="238">
        <f>SUMIFS('Forecast capex'!$X$9:$X$1940,'Forecast capex'!$C$9:$C$1940,$B166,'Forecast capex'!$AD$9:$AD$1940,$B$138,'Forecast capex'!$J$9:$J$1940,S$11)</f>
        <v>351884.51096447173</v>
      </c>
      <c r="T166" s="229"/>
      <c r="U166" s="229"/>
      <c r="V166" s="229"/>
      <c r="W166" s="229"/>
      <c r="X166" s="229"/>
    </row>
    <row r="167" spans="2:24" x14ac:dyDescent="0.2">
      <c r="B167" s="250" t="s">
        <v>292</v>
      </c>
      <c r="C167" s="280" t="s">
        <v>250</v>
      </c>
      <c r="D167" s="229"/>
      <c r="E167" s="229"/>
      <c r="F167" s="229"/>
      <c r="G167" s="229"/>
      <c r="H167" s="229"/>
      <c r="I167" s="230"/>
      <c r="J167" s="229"/>
      <c r="K167" s="229"/>
      <c r="L167" s="229"/>
      <c r="M167" s="238">
        <f>SUMIFS('Forecast capex'!$X$9:$X$1940,'Forecast capex'!$C$9:$C$1940,$B167,'Forecast capex'!$AD$9:$AD$1940,$B$138,'Forecast capex'!$J$9:$J$1940,M$11)</f>
        <v>0</v>
      </c>
      <c r="N167" s="238">
        <f>SUMIFS('Forecast capex'!$X$9:$X$1940,'Forecast capex'!$C$9:$C$1940,$B167,'Forecast capex'!$AD$9:$AD$1940,$B$138,'Forecast capex'!$J$9:$J$1940,N$11)</f>
        <v>0</v>
      </c>
      <c r="O167" s="238">
        <f>SUMIFS('Forecast capex'!$X$9:$X$1940,'Forecast capex'!$C$9:$C$1940,$B167,'Forecast capex'!$AD$9:$AD$1940,$B$138,'Forecast capex'!$J$9:$J$1940,O$11)</f>
        <v>0</v>
      </c>
      <c r="P167" s="238">
        <f>SUMIFS('Forecast capex'!$X$9:$X$1940,'Forecast capex'!$C$9:$C$1940,$B167,'Forecast capex'!$AD$9:$AD$1940,$B$138,'Forecast capex'!$J$9:$J$1940,P$11)</f>
        <v>0</v>
      </c>
      <c r="Q167" s="238">
        <f>SUMIFS('Forecast capex'!$X$9:$X$1940,'Forecast capex'!$C$9:$C$1940,$B167,'Forecast capex'!$AD$9:$AD$1940,$B$138,'Forecast capex'!$J$9:$J$1940,Q$11)</f>
        <v>0</v>
      </c>
      <c r="R167" s="238">
        <f>SUMIFS('Forecast capex'!$X$9:$X$1940,'Forecast capex'!$C$9:$C$1940,$B167,'Forecast capex'!$AD$9:$AD$1940,$B$138,'Forecast capex'!$J$9:$J$1940,R$11)</f>
        <v>0</v>
      </c>
      <c r="S167" s="238">
        <f>SUMIFS('Forecast capex'!$X$9:$X$1940,'Forecast capex'!$C$9:$C$1940,$B167,'Forecast capex'!$AD$9:$AD$1940,$B$138,'Forecast capex'!$J$9:$J$1940,S$11)</f>
        <v>0</v>
      </c>
      <c r="T167" s="229"/>
      <c r="U167" s="229"/>
      <c r="V167" s="229"/>
      <c r="W167" s="229"/>
      <c r="X167" s="229"/>
    </row>
    <row r="168" spans="2:24" x14ac:dyDescent="0.2">
      <c r="B168" s="243" t="s">
        <v>49</v>
      </c>
      <c r="C168" s="337" t="s">
        <v>250</v>
      </c>
      <c r="D168" s="229"/>
      <c r="E168" s="229"/>
      <c r="F168" s="229"/>
      <c r="G168" s="229"/>
      <c r="H168" s="229"/>
      <c r="I168" s="230"/>
      <c r="J168" s="229"/>
      <c r="K168" s="229"/>
      <c r="L168" s="229"/>
      <c r="M168" s="235">
        <f t="shared" ref="M168:S168" si="23">SUM(M159:M167)</f>
        <v>36713342.015259244</v>
      </c>
      <c r="N168" s="235">
        <f t="shared" si="23"/>
        <v>50520734.983864464</v>
      </c>
      <c r="O168" s="235">
        <f t="shared" si="23"/>
        <v>54930750.117912389</v>
      </c>
      <c r="P168" s="235">
        <f t="shared" si="23"/>
        <v>57889127.519570306</v>
      </c>
      <c r="Q168" s="235">
        <f t="shared" si="23"/>
        <v>58987884.291476376</v>
      </c>
      <c r="R168" s="235">
        <f t="shared" si="23"/>
        <v>56095773.85987749</v>
      </c>
      <c r="S168" s="235">
        <f t="shared" si="23"/>
        <v>47873287.188291602</v>
      </c>
      <c r="T168" s="229"/>
      <c r="U168" s="229"/>
      <c r="V168" s="229"/>
      <c r="W168" s="229"/>
      <c r="X168" s="229"/>
    </row>
    <row r="169" spans="2:24" x14ac:dyDescent="0.2">
      <c r="B169" s="232" t="s">
        <v>297</v>
      </c>
      <c r="C169" s="280" t="s">
        <v>250</v>
      </c>
      <c r="D169" s="229"/>
      <c r="E169" s="229"/>
      <c r="F169" s="229"/>
      <c r="G169" s="229"/>
      <c r="H169" s="229"/>
      <c r="I169" s="230"/>
      <c r="J169" s="229"/>
      <c r="K169" s="229"/>
      <c r="L169" s="229"/>
      <c r="M169" s="238">
        <f>SUMIFS('Forecast capex'!$T$9:$T$1940,'Forecast capex'!$AD$9:$AD$1940,$B$138,'Forecast capex'!$J$9:$J$1940,M$11)</f>
        <v>0</v>
      </c>
      <c r="N169" s="238">
        <f>SUMIFS('Forecast capex'!$T$9:$T$1940,'Forecast capex'!$AD$9:$AD$1940,$B$138,'Forecast capex'!$J$9:$J$1940,N$11)</f>
        <v>0</v>
      </c>
      <c r="O169" s="238">
        <f>SUMIFS('Forecast capex'!$T$9:$T$1940,'Forecast capex'!$AD$9:$AD$1940,$B$138,'Forecast capex'!$J$9:$J$1940,O$11)</f>
        <v>0</v>
      </c>
      <c r="P169" s="238">
        <f>SUMIFS('Forecast capex'!$T$9:$T$1940,'Forecast capex'!$AD$9:$AD$1940,$B$138,'Forecast capex'!$J$9:$J$1940,P$11)</f>
        <v>0</v>
      </c>
      <c r="Q169" s="238">
        <f>SUMIFS('Forecast capex'!$T$9:$T$1940,'Forecast capex'!$AD$9:$AD$1940,$B$138,'Forecast capex'!$J$9:$J$1940,Q$11)</f>
        <v>0</v>
      </c>
      <c r="R169" s="238">
        <f>SUMIFS('Forecast capex'!$T$9:$T$1940,'Forecast capex'!$AD$9:$AD$1940,$B$138,'Forecast capex'!$J$9:$J$1940,R$11)</f>
        <v>0</v>
      </c>
      <c r="S169" s="238">
        <f>SUMIFS('Forecast capex'!$T$9:$T$1940,'Forecast capex'!$AD$9:$AD$1940,$B$138,'Forecast capex'!$J$9:$J$1940,S$11)</f>
        <v>0</v>
      </c>
      <c r="T169" s="229"/>
      <c r="U169" s="229"/>
      <c r="V169" s="229"/>
      <c r="W169" s="229"/>
      <c r="X169" s="229"/>
    </row>
    <row r="170" spans="2:24" x14ac:dyDescent="0.2">
      <c r="B170" s="243" t="s">
        <v>426</v>
      </c>
      <c r="C170" s="337" t="s">
        <v>250</v>
      </c>
      <c r="D170" s="229"/>
      <c r="E170" s="229"/>
      <c r="F170" s="229"/>
      <c r="G170" s="229"/>
      <c r="H170" s="229"/>
      <c r="I170" s="230"/>
      <c r="J170" s="229"/>
      <c r="K170" s="229"/>
      <c r="L170" s="229"/>
      <c r="M170" s="235">
        <f t="shared" ref="M170:S170" si="24">M168-M169</f>
        <v>36713342.015259244</v>
      </c>
      <c r="N170" s="235">
        <f t="shared" si="24"/>
        <v>50520734.983864464</v>
      </c>
      <c r="O170" s="235">
        <f t="shared" si="24"/>
        <v>54930750.117912389</v>
      </c>
      <c r="P170" s="235">
        <f t="shared" si="24"/>
        <v>57889127.519570306</v>
      </c>
      <c r="Q170" s="235">
        <f t="shared" si="24"/>
        <v>58987884.291476376</v>
      </c>
      <c r="R170" s="235">
        <f t="shared" si="24"/>
        <v>56095773.85987749</v>
      </c>
      <c r="S170" s="235">
        <f t="shared" si="24"/>
        <v>47873287.188291602</v>
      </c>
      <c r="T170" s="229"/>
      <c r="U170" s="229"/>
      <c r="V170" s="229"/>
      <c r="W170" s="229"/>
      <c r="X170" s="229"/>
    </row>
    <row r="171" spans="2:24" x14ac:dyDescent="0.2">
      <c r="B171" s="243"/>
      <c r="C171" s="337"/>
      <c r="D171" s="229"/>
      <c r="E171" s="229"/>
      <c r="F171" s="229"/>
      <c r="G171" s="229"/>
      <c r="H171" s="229"/>
      <c r="I171" s="230"/>
      <c r="J171" s="229"/>
      <c r="K171" s="229"/>
      <c r="L171" s="229"/>
      <c r="M171" s="229"/>
      <c r="N171" s="229"/>
      <c r="O171" s="229"/>
      <c r="P171" s="229"/>
      <c r="Q171" s="229"/>
      <c r="R171" s="229"/>
      <c r="S171" s="229"/>
      <c r="T171" s="229"/>
      <c r="U171" s="229"/>
      <c r="V171" s="229"/>
      <c r="W171" s="229"/>
      <c r="X171" s="229"/>
    </row>
    <row r="172" spans="2:24" x14ac:dyDescent="0.2">
      <c r="B172" s="242" t="s">
        <v>428</v>
      </c>
      <c r="C172" s="280" t="s">
        <v>58</v>
      </c>
      <c r="D172" s="297">
        <f>SUM(H172:S172)</f>
        <v>0</v>
      </c>
      <c r="E172" s="298"/>
      <c r="F172" s="229"/>
      <c r="G172" s="229"/>
      <c r="H172" s="229"/>
      <c r="I172" s="230"/>
      <c r="J172" s="229"/>
      <c r="K172" s="229"/>
      <c r="L172" s="229"/>
      <c r="M172" s="228">
        <f t="shared" ref="M172:S172" si="25">IF(ABS(M168-M39)&lt;0.001,0,1)</f>
        <v>0</v>
      </c>
      <c r="N172" s="228">
        <f t="shared" si="25"/>
        <v>0</v>
      </c>
      <c r="O172" s="228">
        <f t="shared" si="25"/>
        <v>0</v>
      </c>
      <c r="P172" s="228">
        <f t="shared" si="25"/>
        <v>0</v>
      </c>
      <c r="Q172" s="228">
        <f t="shared" si="25"/>
        <v>0</v>
      </c>
      <c r="R172" s="228">
        <f t="shared" si="25"/>
        <v>0</v>
      </c>
      <c r="S172" s="228">
        <f t="shared" si="25"/>
        <v>0</v>
      </c>
      <c r="T172" s="229"/>
      <c r="U172" s="229"/>
      <c r="V172" s="229"/>
      <c r="W172" s="229"/>
      <c r="X172" s="229"/>
    </row>
    <row r="185" spans="2:19" x14ac:dyDescent="0.2">
      <c r="B185" s="232" t="s">
        <v>67</v>
      </c>
      <c r="C185" s="329" t="s">
        <v>67</v>
      </c>
      <c r="I185" s="232"/>
      <c r="M185" s="328">
        <f t="shared" ref="M185:S185" si="26">YEAR(M$4)</f>
        <v>2020</v>
      </c>
      <c r="N185" s="328">
        <f t="shared" si="26"/>
        <v>2021</v>
      </c>
      <c r="O185" s="328">
        <f t="shared" si="26"/>
        <v>2022</v>
      </c>
      <c r="P185" s="328">
        <f t="shared" si="26"/>
        <v>2023</v>
      </c>
      <c r="Q185" s="328">
        <f t="shared" si="26"/>
        <v>2024</v>
      </c>
      <c r="R185" s="328">
        <f t="shared" si="26"/>
        <v>2025</v>
      </c>
      <c r="S185" s="328">
        <f t="shared" si="26"/>
        <v>2026</v>
      </c>
    </row>
    <row r="186" spans="2:19" x14ac:dyDescent="0.2">
      <c r="K186" s="289"/>
      <c r="L186" s="289"/>
      <c r="M186" s="290"/>
      <c r="N186" s="290"/>
      <c r="O186" s="290"/>
      <c r="P186" s="290"/>
      <c r="Q186" s="290"/>
      <c r="R186" s="290"/>
      <c r="S186" s="290"/>
    </row>
    <row r="187" spans="2:19" x14ac:dyDescent="0.2">
      <c r="B187" s="283" t="s">
        <v>300</v>
      </c>
      <c r="C187" s="284" t="s">
        <v>51</v>
      </c>
      <c r="D187" s="285" t="s">
        <v>52</v>
      </c>
      <c r="E187" s="284" t="s">
        <v>53</v>
      </c>
      <c r="F187" s="242"/>
      <c r="G187" s="302"/>
      <c r="H187" s="302"/>
      <c r="I187" s="302"/>
      <c r="J187" s="302"/>
      <c r="K187" s="242"/>
      <c r="L187" s="242"/>
      <c r="M187" s="242"/>
      <c r="N187" s="242"/>
      <c r="O187" s="242"/>
      <c r="P187" s="242"/>
      <c r="Q187" s="242"/>
      <c r="R187" s="242"/>
      <c r="S187" s="242"/>
    </row>
    <row r="188" spans="2:19" x14ac:dyDescent="0.2">
      <c r="K188" s="289"/>
      <c r="L188" s="289"/>
      <c r="M188" s="290"/>
      <c r="N188" s="290"/>
      <c r="O188" s="290"/>
      <c r="P188" s="290"/>
      <c r="Q188" s="290"/>
      <c r="R188" s="290"/>
      <c r="S188" s="290"/>
    </row>
    <row r="189" spans="2:19" x14ac:dyDescent="0.2">
      <c r="B189" s="287" t="s">
        <v>713</v>
      </c>
      <c r="F189" s="229"/>
      <c r="G189" s="229"/>
      <c r="H189" s="290"/>
      <c r="I189" s="229"/>
      <c r="J189" s="229"/>
      <c r="K189" s="229"/>
      <c r="L189" s="229"/>
      <c r="M189" s="229"/>
      <c r="N189" s="229"/>
      <c r="O189" s="229"/>
      <c r="P189" s="229"/>
      <c r="Q189" s="229"/>
      <c r="R189" s="229"/>
      <c r="S189" s="229"/>
    </row>
    <row r="190" spans="2:19" x14ac:dyDescent="0.2">
      <c r="B190" s="332"/>
      <c r="F190" s="229"/>
      <c r="G190" s="229"/>
      <c r="H190" s="229"/>
      <c r="I190" s="229"/>
      <c r="J190" s="229"/>
      <c r="K190" s="229"/>
      <c r="L190" s="229"/>
      <c r="M190" s="229"/>
      <c r="N190" s="229"/>
      <c r="O190" s="229"/>
      <c r="P190" s="229"/>
      <c r="Q190" s="229"/>
      <c r="R190" s="229"/>
      <c r="S190" s="229"/>
    </row>
    <row r="191" spans="2:19" x14ac:dyDescent="0.2">
      <c r="B191" s="229" t="s">
        <v>95</v>
      </c>
      <c r="C191" s="280" t="s">
        <v>242</v>
      </c>
      <c r="I191" s="232"/>
      <c r="L191" s="229"/>
      <c r="M191" s="238">
        <f>SUMIFS('Forecast capex'!$M$9:$M$1940,'Forecast capex'!$AD$9:$AD$1940,$B191,'Forecast capex'!$J$9:$J$1940,M$11)</f>
        <v>5051584.9263585405</v>
      </c>
      <c r="N191" s="238">
        <f>SUMIFS('Forecast capex'!$M$9:$M$1940,'Forecast capex'!$AD$9:$AD$1940,$B191,'Forecast capex'!$J$9:$J$1940,N$11)</f>
        <v>3636949.8949280814</v>
      </c>
      <c r="O191" s="238">
        <f>SUMIFS('Forecast capex'!$M$9:$M$1940,'Forecast capex'!$AD$9:$AD$1940,$B191,'Forecast capex'!$J$9:$J$1940,O$11)</f>
        <v>2840158.5001703231</v>
      </c>
      <c r="P191" s="238">
        <f>SUMIFS('Forecast capex'!$M$9:$M$1940,'Forecast capex'!$AD$9:$AD$1940,$B191,'Forecast capex'!$J$9:$J$1940,P$11)</f>
        <v>2840158.5001703231</v>
      </c>
      <c r="Q191" s="238">
        <f>SUMIFS('Forecast capex'!$M$9:$M$1940,'Forecast capex'!$AD$9:$AD$1940,$B191,'Forecast capex'!$J$9:$J$1940,Q$11)</f>
        <v>3919878.0002270965</v>
      </c>
      <c r="R191" s="238">
        <f>SUMIFS('Forecast capex'!$M$9:$M$1940,'Forecast capex'!$AD$9:$AD$1940,$B191,'Forecast capex'!$J$9:$J$1940,R$11)</f>
        <v>4516414.350227097</v>
      </c>
      <c r="S191" s="238">
        <f>SUMIFS('Forecast capex'!$M$9:$M$1940,'Forecast capex'!$AD$9:$AD$1940,$B191,'Forecast capex'!$J$9:$J$1940,S$11)</f>
        <v>5311796.7499999991</v>
      </c>
    </row>
    <row r="192" spans="2:19" x14ac:dyDescent="0.2">
      <c r="B192" s="229" t="s">
        <v>77</v>
      </c>
      <c r="C192" s="280" t="s">
        <v>242</v>
      </c>
      <c r="I192" s="232"/>
      <c r="L192" s="229"/>
      <c r="M192" s="238">
        <f>SUMIFS('Forecast capex'!$M$9:$M$1940,'Forecast capex'!$AD$9:$AD$1940,$B192,'Forecast capex'!$J$9:$J$1940,M$11)</f>
        <v>7250323.9229699727</v>
      </c>
      <c r="N192" s="238">
        <f>SUMIFS('Forecast capex'!$M$9:$M$1940,'Forecast capex'!$AD$9:$AD$1940,$B192,'Forecast capex'!$J$9:$J$1940,N$11)</f>
        <v>5237770</v>
      </c>
      <c r="O192" s="238">
        <f>SUMIFS('Forecast capex'!$M$9:$M$1940,'Forecast capex'!$AD$9:$AD$1940,$B192,'Forecast capex'!$J$9:$J$1940,O$11)</f>
        <v>3685106.4166073739</v>
      </c>
      <c r="P192" s="238">
        <f>SUMIFS('Forecast capex'!$M$9:$M$1940,'Forecast capex'!$AD$9:$AD$1940,$B192,'Forecast capex'!$J$9:$J$1940,P$11)</f>
        <v>2237863.8466429492</v>
      </c>
      <c r="Q192" s="238">
        <f>SUMIFS('Forecast capex'!$M$9:$M$1940,'Forecast capex'!$AD$9:$AD$1940,$B192,'Forecast capex'!$J$9:$J$1940,Q$11)</f>
        <v>4295969.6428090231</v>
      </c>
      <c r="R192" s="238">
        <f>SUMIFS('Forecast capex'!$M$9:$M$1940,'Forecast capex'!$AD$9:$AD$1940,$B192,'Forecast capex'!$J$9:$J$1940,R$11)</f>
        <v>2937196.298718872</v>
      </c>
      <c r="S192" s="238">
        <f>SUMIFS('Forecast capex'!$M$9:$M$1940,'Forecast capex'!$AD$9:$AD$1940,$B192,'Forecast capex'!$J$9:$J$1940,S$11)</f>
        <v>3007130</v>
      </c>
    </row>
    <row r="193" spans="2:19" x14ac:dyDescent="0.2">
      <c r="B193" s="232" t="s">
        <v>100</v>
      </c>
      <c r="C193" s="280" t="s">
        <v>242</v>
      </c>
      <c r="I193" s="232"/>
      <c r="L193" s="229"/>
      <c r="M193" s="238">
        <f>SUMIFS('Forecast capex'!$M$9:$M$1940,'Forecast capex'!$AD$9:$AD$1940,$B193,'Forecast capex'!$J$9:$J$1940,M$11)</f>
        <v>36713342.015259244</v>
      </c>
      <c r="N193" s="238">
        <f>SUMIFS('Forecast capex'!$M$9:$M$1940,'Forecast capex'!$AD$9:$AD$1940,$B193,'Forecast capex'!$J$9:$J$1940,N$11)</f>
        <v>49776078.48668091</v>
      </c>
      <c r="O193" s="238">
        <f>SUMIFS('Forecast capex'!$M$9:$M$1940,'Forecast capex'!$AD$9:$AD$1940,$B193,'Forecast capex'!$J$9:$J$1940,O$11)</f>
        <v>53375650.216000006</v>
      </c>
      <c r="P193" s="238">
        <f>SUMIFS('Forecast capex'!$M$9:$M$1940,'Forecast capex'!$AD$9:$AD$1940,$B193,'Forecast capex'!$J$9:$J$1940,P$11)</f>
        <v>55141657.475749999</v>
      </c>
      <c r="Q193" s="238">
        <f>SUMIFS('Forecast capex'!$M$9:$M$1940,'Forecast capex'!$AD$9:$AD$1940,$B193,'Forecast capex'!$J$9:$J$1940,Q$11)</f>
        <v>55346642.377500005</v>
      </c>
      <c r="R193" s="238">
        <f>SUMIFS('Forecast capex'!$M$9:$M$1940,'Forecast capex'!$AD$9:$AD$1940,$B193,'Forecast capex'!$J$9:$J$1940,R$11)</f>
        <v>51608843.826750003</v>
      </c>
      <c r="S193" s="238">
        <f>SUMIFS('Forecast capex'!$M$9:$M$1940,'Forecast capex'!$AD$9:$AD$1940,$B193,'Forecast capex'!$J$9:$J$1940,S$11)</f>
        <v>43142023.049999997</v>
      </c>
    </row>
    <row r="194" spans="2:19" x14ac:dyDescent="0.2">
      <c r="B194" s="229" t="s">
        <v>93</v>
      </c>
      <c r="C194" s="280" t="s">
        <v>242</v>
      </c>
      <c r="I194" s="232"/>
      <c r="L194" s="229"/>
      <c r="M194" s="238">
        <f>SUMIFS('Forecast capex'!$M$9:$M$1940,'Forecast capex'!$AD$9:$AD$1940,$B194,'Forecast capex'!$J$9:$J$1940,M$11)</f>
        <v>839747.52322848514</v>
      </c>
      <c r="N194" s="238">
        <f>SUMIFS('Forecast capex'!$M$9:$M$1940,'Forecast capex'!$AD$9:$AD$1940,$B194,'Forecast capex'!$J$9:$J$1940,N$11)</f>
        <v>766857.58145965007</v>
      </c>
      <c r="O194" s="238">
        <f>SUMIFS('Forecast capex'!$M$9:$M$1940,'Forecast capex'!$AD$9:$AD$1940,$B194,'Forecast capex'!$J$9:$J$1940,O$11)</f>
        <v>728514.70238666737</v>
      </c>
      <c r="P194" s="238">
        <f>SUMIFS('Forecast capex'!$M$9:$M$1940,'Forecast capex'!$AD$9:$AD$1940,$B194,'Forecast capex'!$J$9:$J$1940,P$11)</f>
        <v>728514.70238666737</v>
      </c>
      <c r="Q194" s="238">
        <f>SUMIFS('Forecast capex'!$M$9:$M$1940,'Forecast capex'!$AD$9:$AD$1940,$B194,'Forecast capex'!$J$9:$J$1940,Q$11)</f>
        <v>728514.70238666737</v>
      </c>
      <c r="R194" s="238">
        <f>SUMIFS('Forecast capex'!$M$9:$M$1940,'Forecast capex'!$AD$9:$AD$1940,$B194,'Forecast capex'!$J$9:$J$1940,R$11)</f>
        <v>728514.70238666737</v>
      </c>
      <c r="S194" s="238">
        <f>SUMIFS('Forecast capex'!$M$9:$M$1940,'Forecast capex'!$AD$9:$AD$1940,$B194,'Forecast capex'!$J$9:$J$1940,S$11)</f>
        <v>728516.04999999981</v>
      </c>
    </row>
    <row r="195" spans="2:19" x14ac:dyDescent="0.2">
      <c r="C195" s="280"/>
      <c r="D195" s="243"/>
      <c r="E195" s="243"/>
      <c r="F195" s="243"/>
      <c r="G195" s="243"/>
      <c r="H195" s="243"/>
      <c r="I195" s="243"/>
      <c r="J195" s="243"/>
      <c r="K195" s="243"/>
      <c r="L195" s="288"/>
      <c r="M195" s="294"/>
      <c r="N195" s="294"/>
      <c r="O195" s="294"/>
      <c r="P195" s="294"/>
      <c r="Q195" s="294"/>
      <c r="R195" s="294"/>
      <c r="S195" s="294"/>
    </row>
    <row r="196" spans="2:19" x14ac:dyDescent="0.2">
      <c r="B196" s="243" t="s">
        <v>270</v>
      </c>
      <c r="C196" s="280"/>
      <c r="I196" s="232"/>
      <c r="L196" s="229"/>
      <c r="M196" s="238"/>
      <c r="N196" s="238"/>
      <c r="O196" s="238"/>
      <c r="P196" s="238"/>
      <c r="Q196" s="238"/>
      <c r="R196" s="238"/>
      <c r="S196" s="238"/>
    </row>
    <row r="197" spans="2:19" x14ac:dyDescent="0.2">
      <c r="B197" s="232" t="s">
        <v>97</v>
      </c>
      <c r="C197" s="280" t="s">
        <v>242</v>
      </c>
      <c r="I197" s="232"/>
      <c r="L197" s="229"/>
      <c r="M197" s="238">
        <f>SUMIFS('Forecast capex'!$M$9:$M$1940,'Forecast capex'!$AD$9:$AD$1940,$B197,'Forecast capex'!$J$9:$J$1940,M$11)</f>
        <v>1157459.3187561035</v>
      </c>
      <c r="N197" s="238">
        <f>SUMIFS('Forecast capex'!$M$9:$M$1940,'Forecast capex'!$AD$9:$AD$1940,$B197,'Forecast capex'!$J$9:$J$1940,N$11)</f>
        <v>236453.33333333331</v>
      </c>
      <c r="O197" s="238">
        <f>SUMIFS('Forecast capex'!$M$9:$M$1940,'Forecast capex'!$AD$9:$AD$1940,$B197,'Forecast capex'!$J$9:$J$1940,O$11)</f>
        <v>435174.41666666663</v>
      </c>
      <c r="P197" s="238">
        <f>SUMIFS('Forecast capex'!$M$9:$M$1940,'Forecast capex'!$AD$9:$AD$1940,$B197,'Forecast capex'!$J$9:$J$1940,P$11)</f>
        <v>435174.41666666663</v>
      </c>
      <c r="Q197" s="238">
        <f>SUMIFS('Forecast capex'!$M$9:$M$1940,'Forecast capex'!$AD$9:$AD$1940,$B197,'Forecast capex'!$J$9:$J$1940,Q$11)</f>
        <v>214320</v>
      </c>
      <c r="R197" s="238">
        <f>SUMIFS('Forecast capex'!$M$9:$M$1940,'Forecast capex'!$AD$9:$AD$1940,$B197,'Forecast capex'!$J$9:$J$1940,R$11)</f>
        <v>858705</v>
      </c>
      <c r="S197" s="238">
        <f>SUMIFS('Forecast capex'!$M$9:$M$1940,'Forecast capex'!$AD$9:$AD$1940,$B197,'Forecast capex'!$J$9:$J$1940,S$11)</f>
        <v>644385</v>
      </c>
    </row>
    <row r="198" spans="2:19" x14ac:dyDescent="0.2">
      <c r="B198" s="232" t="s">
        <v>121</v>
      </c>
      <c r="C198" s="280" t="s">
        <v>242</v>
      </c>
      <c r="I198" s="232"/>
      <c r="L198" s="229"/>
      <c r="M198" s="238">
        <f>SUMIFS('Forecast capex'!$M$9:$M$1940,'Forecast capex'!$AD$9:$AD$1940,$B198,'Forecast capex'!$J$9:$J$1940,M$11)</f>
        <v>0</v>
      </c>
      <c r="N198" s="238">
        <f>SUMIFS('Forecast capex'!$M$9:$M$1940,'Forecast capex'!$AD$9:$AD$1940,$B198,'Forecast capex'!$J$9:$J$1940,N$11)</f>
        <v>0</v>
      </c>
      <c r="O198" s="238">
        <f>SUMIFS('Forecast capex'!$M$9:$M$1940,'Forecast capex'!$AD$9:$AD$1940,$B198,'Forecast capex'!$J$9:$J$1940,O$11)</f>
        <v>0</v>
      </c>
      <c r="P198" s="238">
        <f>SUMIFS('Forecast capex'!$M$9:$M$1940,'Forecast capex'!$AD$9:$AD$1940,$B198,'Forecast capex'!$J$9:$J$1940,P$11)</f>
        <v>0</v>
      </c>
      <c r="Q198" s="238">
        <f>SUMIFS('Forecast capex'!$M$9:$M$1940,'Forecast capex'!$AD$9:$AD$1940,$B198,'Forecast capex'!$J$9:$J$1940,Q$11)</f>
        <v>0</v>
      </c>
      <c r="R198" s="238">
        <f>SUMIFS('Forecast capex'!$M$9:$M$1940,'Forecast capex'!$AD$9:$AD$1940,$B198,'Forecast capex'!$J$9:$J$1940,R$11)</f>
        <v>0</v>
      </c>
      <c r="S198" s="238">
        <f>SUMIFS('Forecast capex'!$M$9:$M$1940,'Forecast capex'!$AD$9:$AD$1940,$B198,'Forecast capex'!$J$9:$J$1940,S$11)</f>
        <v>0</v>
      </c>
    </row>
    <row r="199" spans="2:19" x14ac:dyDescent="0.2">
      <c r="B199" s="232" t="s">
        <v>122</v>
      </c>
      <c r="C199" s="280" t="s">
        <v>242</v>
      </c>
      <c r="D199" s="243"/>
      <c r="E199" s="243"/>
      <c r="F199" s="243"/>
      <c r="G199" s="243"/>
      <c r="H199" s="243"/>
      <c r="I199" s="243"/>
      <c r="J199" s="243"/>
      <c r="K199" s="243"/>
      <c r="L199" s="288"/>
      <c r="M199" s="238">
        <f>SUMIFS('Forecast capex'!$M$9:$M$1940,'Forecast capex'!$AD$9:$AD$1940,$B199,'Forecast capex'!$J$9:$J$1940,M$11)</f>
        <v>0</v>
      </c>
      <c r="N199" s="238">
        <f>SUMIFS('Forecast capex'!$M$9:$M$1940,'Forecast capex'!$AD$9:$AD$1940,$B199,'Forecast capex'!$J$9:$J$1940,N$11)</f>
        <v>0</v>
      </c>
      <c r="O199" s="238">
        <f>SUMIFS('Forecast capex'!$M$9:$M$1940,'Forecast capex'!$AD$9:$AD$1940,$B199,'Forecast capex'!$J$9:$J$1940,O$11)</f>
        <v>0</v>
      </c>
      <c r="P199" s="238">
        <f>SUMIFS('Forecast capex'!$M$9:$M$1940,'Forecast capex'!$AD$9:$AD$1940,$B199,'Forecast capex'!$J$9:$J$1940,P$11)</f>
        <v>0</v>
      </c>
      <c r="Q199" s="238">
        <f>SUMIFS('Forecast capex'!$M$9:$M$1940,'Forecast capex'!$AD$9:$AD$1940,$B199,'Forecast capex'!$J$9:$J$1940,Q$11)</f>
        <v>0</v>
      </c>
      <c r="R199" s="238">
        <f>SUMIFS('Forecast capex'!$M$9:$M$1940,'Forecast capex'!$AD$9:$AD$1940,$B199,'Forecast capex'!$J$9:$J$1940,R$11)</f>
        <v>0</v>
      </c>
      <c r="S199" s="238">
        <f>SUMIFS('Forecast capex'!$M$9:$M$1940,'Forecast capex'!$AD$9:$AD$1940,$B199,'Forecast capex'!$J$9:$J$1940,S$11)</f>
        <v>0</v>
      </c>
    </row>
    <row r="200" spans="2:19" x14ac:dyDescent="0.2">
      <c r="B200" s="243" t="s">
        <v>272</v>
      </c>
      <c r="C200" s="337" t="s">
        <v>242</v>
      </c>
      <c r="D200" s="243"/>
      <c r="E200" s="243"/>
      <c r="F200" s="243"/>
      <c r="G200" s="243"/>
      <c r="H200" s="243"/>
      <c r="I200" s="243"/>
      <c r="J200" s="243"/>
      <c r="K200" s="243"/>
      <c r="L200" s="288"/>
      <c r="M200" s="235">
        <f t="shared" ref="M200:S200" si="27">SUM(M196:M199)</f>
        <v>1157459.3187561035</v>
      </c>
      <c r="N200" s="235">
        <f t="shared" si="27"/>
        <v>236453.33333333331</v>
      </c>
      <c r="O200" s="235">
        <f t="shared" si="27"/>
        <v>435174.41666666663</v>
      </c>
      <c r="P200" s="235">
        <f t="shared" si="27"/>
        <v>435174.41666666663</v>
      </c>
      <c r="Q200" s="235">
        <f t="shared" si="27"/>
        <v>214320</v>
      </c>
      <c r="R200" s="235">
        <f t="shared" si="27"/>
        <v>858705</v>
      </c>
      <c r="S200" s="235">
        <f t="shared" si="27"/>
        <v>644385</v>
      </c>
    </row>
    <row r="201" spans="2:19" x14ac:dyDescent="0.2">
      <c r="C201" s="337"/>
      <c r="D201" s="243"/>
      <c r="E201" s="243"/>
      <c r="F201" s="243"/>
      <c r="G201" s="243"/>
      <c r="H201" s="243"/>
      <c r="I201" s="243"/>
      <c r="J201" s="243"/>
      <c r="K201" s="243"/>
      <c r="L201" s="288"/>
      <c r="M201" s="294"/>
      <c r="N201" s="294"/>
      <c r="O201" s="294"/>
      <c r="P201" s="294"/>
      <c r="Q201" s="294"/>
      <c r="R201" s="294"/>
      <c r="S201" s="294"/>
    </row>
    <row r="202" spans="2:19" x14ac:dyDescent="0.2">
      <c r="B202" s="243" t="s">
        <v>424</v>
      </c>
      <c r="C202" s="337" t="s">
        <v>242</v>
      </c>
      <c r="D202" s="243"/>
      <c r="E202" s="243"/>
      <c r="F202" s="243"/>
      <c r="G202" s="243"/>
      <c r="H202" s="243"/>
      <c r="I202" s="335"/>
      <c r="J202" s="243"/>
      <c r="K202" s="243"/>
      <c r="L202" s="288"/>
      <c r="M202" s="235">
        <f t="shared" ref="M202:S202" si="28">SUM(M191:M199)</f>
        <v>51012457.706572339</v>
      </c>
      <c r="N202" s="235">
        <f t="shared" si="28"/>
        <v>59654109.296401978</v>
      </c>
      <c r="O202" s="235">
        <f t="shared" si="28"/>
        <v>61064604.25183104</v>
      </c>
      <c r="P202" s="235">
        <f t="shared" si="28"/>
        <v>61383368.94161661</v>
      </c>
      <c r="Q202" s="235">
        <f t="shared" si="28"/>
        <v>64505324.722922795</v>
      </c>
      <c r="R202" s="235">
        <f t="shared" si="28"/>
        <v>60649674.178082637</v>
      </c>
      <c r="S202" s="235">
        <f t="shared" si="28"/>
        <v>52833850.849999994</v>
      </c>
    </row>
    <row r="203" spans="2:19" x14ac:dyDescent="0.2">
      <c r="C203" s="280"/>
      <c r="L203" s="229"/>
      <c r="M203" s="238"/>
      <c r="N203" s="238"/>
      <c r="O203" s="238"/>
      <c r="P203" s="238"/>
      <c r="Q203" s="238"/>
      <c r="R203" s="238"/>
      <c r="S203" s="238"/>
    </row>
    <row r="204" spans="2:19" x14ac:dyDescent="0.2">
      <c r="B204" s="232" t="s">
        <v>274</v>
      </c>
      <c r="C204" s="280" t="s">
        <v>242</v>
      </c>
      <c r="L204" s="229"/>
      <c r="M204" s="238">
        <f>SUMIFS('Forecast capex'!$M$9:$M$1940,'Forecast capex'!$AD$9:$AD$1940,$B204,'Forecast capex'!$J$9:$J$1940,M$11)</f>
        <v>3693302</v>
      </c>
      <c r="N204" s="238">
        <f>SUMIFS('Forecast capex'!$M$9:$M$1940,'Forecast capex'!$AD$9:$AD$1940,$B204,'Forecast capex'!$J$9:$J$1940,N$11)</f>
        <v>6094305.6036997354</v>
      </c>
      <c r="O204" s="238">
        <f>SUMIFS('Forecast capex'!$M$9:$M$1940,'Forecast capex'!$AD$9:$AD$1940,$B204,'Forecast capex'!$J$9:$J$1940,O$11)</f>
        <v>5919340.3235147484</v>
      </c>
      <c r="P204" s="238">
        <f>SUMIFS('Forecast capex'!$M$9:$M$1940,'Forecast capex'!$AD$9:$AD$1940,$B204,'Forecast capex'!$J$9:$J$1940,P$11)</f>
        <v>2649840.3235147488</v>
      </c>
      <c r="Q204" s="238">
        <f>SUMIFS('Forecast capex'!$M$9:$M$1940,'Forecast capex'!$AD$9:$AD$1940,$B204,'Forecast capex'!$J$9:$J$1940,Q$11)</f>
        <v>2279840.3235147488</v>
      </c>
      <c r="R204" s="238">
        <f>SUMIFS('Forecast capex'!$M$9:$M$1940,'Forecast capex'!$AD$9:$AD$1940,$B204,'Forecast capex'!$J$9:$J$1940,R$11)</f>
        <v>2109840.3235147488</v>
      </c>
      <c r="S204" s="238">
        <f>SUMIFS('Forecast capex'!$M$9:$M$1940,'Forecast capex'!$AD$9:$AD$1940,$B204,'Forecast capex'!$J$9:$J$1940,S$11)</f>
        <v>2059840.7</v>
      </c>
    </row>
    <row r="205" spans="2:19" x14ac:dyDescent="0.2">
      <c r="B205" s="243" t="s">
        <v>296</v>
      </c>
      <c r="C205" s="337" t="s">
        <v>242</v>
      </c>
      <c r="L205" s="229"/>
      <c r="M205" s="235">
        <f t="shared" ref="M205:S205" si="29">M202+M204</f>
        <v>54705759.706572339</v>
      </c>
      <c r="N205" s="235">
        <f t="shared" si="29"/>
        <v>65748414.900101714</v>
      </c>
      <c r="O205" s="235">
        <f t="shared" si="29"/>
        <v>66983944.575345784</v>
      </c>
      <c r="P205" s="235">
        <f t="shared" si="29"/>
        <v>64033209.265131362</v>
      </c>
      <c r="Q205" s="235">
        <f t="shared" si="29"/>
        <v>66785165.046437547</v>
      </c>
      <c r="R205" s="235">
        <f t="shared" si="29"/>
        <v>62759514.50159739</v>
      </c>
      <c r="S205" s="235">
        <f t="shared" si="29"/>
        <v>54893691.549999997</v>
      </c>
    </row>
    <row r="206" spans="2:19" x14ac:dyDescent="0.2">
      <c r="L206" s="229"/>
      <c r="M206" s="229"/>
      <c r="N206" s="229"/>
      <c r="O206" s="229"/>
      <c r="P206" s="229"/>
      <c r="Q206" s="229"/>
      <c r="R206" s="229"/>
      <c r="S206" s="229"/>
    </row>
    <row r="207" spans="2:19" x14ac:dyDescent="0.2">
      <c r="B207" s="242"/>
      <c r="C207" s="280"/>
      <c r="D207" s="280"/>
      <c r="E207" s="298"/>
      <c r="F207" s="229"/>
      <c r="G207" s="229"/>
      <c r="H207" s="229"/>
      <c r="I207" s="229"/>
      <c r="J207" s="229"/>
      <c r="K207" s="229"/>
      <c r="L207" s="229"/>
      <c r="M207" s="228"/>
      <c r="N207" s="228"/>
      <c r="O207" s="228"/>
      <c r="P207" s="228"/>
      <c r="Q207" s="228"/>
      <c r="R207" s="228"/>
      <c r="S207" s="228"/>
    </row>
  </sheetData>
  <sheetProtection algorithmName="SHA-512" hashValue="HKPXotoqNYkLaIIfKhSMXQShkEOyrSGLlNvp083jofbBeydSsQ6jSSmust/FMlLn7q+VB9DRKZ/kgBql7wMkVQ==" saltValue="I7fayLcpz/4UxhTLEl7Q/A==" spinCount="100000" sheet="1" objects="1" scenarios="1"/>
  <conditionalFormatting sqref="C2">
    <cfRule type="expression" dxfId="334" priority="249">
      <formula>Model_check&lt;&gt;0</formula>
    </cfRule>
    <cfRule type="expression" dxfId="333" priority="250">
      <formula>Model_check=0</formula>
    </cfRule>
  </conditionalFormatting>
  <conditionalFormatting sqref="D136:E136">
    <cfRule type="cellIs" dxfId="332" priority="247" stopIfTrue="1" operator="equal">
      <formula>0</formula>
    </cfRule>
    <cfRule type="cellIs" dxfId="331" priority="248" stopIfTrue="1" operator="notEqual">
      <formula>0</formula>
    </cfRule>
  </conditionalFormatting>
  <conditionalFormatting sqref="M119:S119">
    <cfRule type="cellIs" dxfId="330" priority="241" stopIfTrue="1" operator="equal">
      <formula>0</formula>
    </cfRule>
    <cfRule type="cellIs" dxfId="329" priority="242" stopIfTrue="1" operator="notEqual">
      <formula>0</formula>
    </cfRule>
  </conditionalFormatting>
  <conditionalFormatting sqref="D119:E119">
    <cfRule type="cellIs" dxfId="328" priority="243" stopIfTrue="1" operator="equal">
      <formula>0</formula>
    </cfRule>
    <cfRule type="cellIs" dxfId="327" priority="244" stopIfTrue="1" operator="notEqual">
      <formula>0</formula>
    </cfRule>
  </conditionalFormatting>
  <conditionalFormatting sqref="M136:S136">
    <cfRule type="cellIs" dxfId="326" priority="239" stopIfTrue="1" operator="equal">
      <formula>0</formula>
    </cfRule>
    <cfRule type="cellIs" dxfId="325" priority="240" stopIfTrue="1" operator="notEqual">
      <formula>0</formula>
    </cfRule>
  </conditionalFormatting>
  <conditionalFormatting sqref="D155:E155">
    <cfRule type="cellIs" dxfId="324" priority="237" stopIfTrue="1" operator="equal">
      <formula>0</formula>
    </cfRule>
    <cfRule type="cellIs" dxfId="323" priority="238" stopIfTrue="1" operator="notEqual">
      <formula>0</formula>
    </cfRule>
  </conditionalFormatting>
  <conditionalFormatting sqref="M155:S155">
    <cfRule type="cellIs" dxfId="322" priority="235" stopIfTrue="1" operator="equal">
      <formula>0</formula>
    </cfRule>
    <cfRule type="cellIs" dxfId="321" priority="236" stopIfTrue="1" operator="notEqual">
      <formula>0</formula>
    </cfRule>
  </conditionalFormatting>
  <conditionalFormatting sqref="D172:E172">
    <cfRule type="cellIs" dxfId="320" priority="233" stopIfTrue="1" operator="equal">
      <formula>0</formula>
    </cfRule>
    <cfRule type="cellIs" dxfId="319" priority="234" stopIfTrue="1" operator="notEqual">
      <formula>0</formula>
    </cfRule>
  </conditionalFormatting>
  <conditionalFormatting sqref="M172:S172">
    <cfRule type="cellIs" dxfId="318" priority="231" stopIfTrue="1" operator="equal">
      <formula>0</formula>
    </cfRule>
    <cfRule type="cellIs" dxfId="317" priority="232" stopIfTrue="1" operator="notEqual">
      <formula>0</formula>
    </cfRule>
  </conditionalFormatting>
  <conditionalFormatting sqref="D33:E33">
    <cfRule type="cellIs" dxfId="316" priority="163" stopIfTrue="1" operator="equal">
      <formula>0</formula>
    </cfRule>
    <cfRule type="cellIs" dxfId="315" priority="164" stopIfTrue="1" operator="notEqual">
      <formula>0</formula>
    </cfRule>
  </conditionalFormatting>
  <conditionalFormatting sqref="M33:S33">
    <cfRule type="cellIs" dxfId="314" priority="161" stopIfTrue="1" operator="equal">
      <formula>0</formula>
    </cfRule>
    <cfRule type="cellIs" dxfId="313" priority="162" stopIfTrue="1" operator="notEqual">
      <formula>0</formula>
    </cfRule>
  </conditionalFormatting>
  <conditionalFormatting sqref="D58:E58">
    <cfRule type="cellIs" dxfId="312" priority="159" stopIfTrue="1" operator="equal">
      <formula>0</formula>
    </cfRule>
    <cfRule type="cellIs" dxfId="311" priority="160" stopIfTrue="1" operator="notEqual">
      <formula>0</formula>
    </cfRule>
  </conditionalFormatting>
  <conditionalFormatting sqref="M58:S58">
    <cfRule type="cellIs" dxfId="310" priority="157" stopIfTrue="1" operator="equal">
      <formula>0</formula>
    </cfRule>
    <cfRule type="cellIs" dxfId="309" priority="158" stopIfTrue="1" operator="notEqual">
      <formula>0</formula>
    </cfRule>
  </conditionalFormatting>
  <conditionalFormatting sqref="D80:E80">
    <cfRule type="cellIs" dxfId="308" priority="155" stopIfTrue="1" operator="equal">
      <formula>0</formula>
    </cfRule>
    <cfRule type="cellIs" dxfId="307" priority="156" stopIfTrue="1" operator="notEqual">
      <formula>0</formula>
    </cfRule>
  </conditionalFormatting>
  <conditionalFormatting sqref="M80:S80">
    <cfRule type="cellIs" dxfId="306" priority="153" stopIfTrue="1" operator="equal">
      <formula>0</formula>
    </cfRule>
    <cfRule type="cellIs" dxfId="305" priority="154" stopIfTrue="1" operator="notEqual">
      <formula>0</formula>
    </cfRule>
  </conditionalFormatting>
  <conditionalFormatting sqref="D100:E100">
    <cfRule type="cellIs" dxfId="304" priority="151" stopIfTrue="1" operator="equal">
      <formula>0</formula>
    </cfRule>
    <cfRule type="cellIs" dxfId="303" priority="152" stopIfTrue="1" operator="notEqual">
      <formula>0</formula>
    </cfRule>
  </conditionalFormatting>
  <conditionalFormatting sqref="M100:S100">
    <cfRule type="cellIs" dxfId="302" priority="149" stopIfTrue="1" operator="equal">
      <formula>0</formula>
    </cfRule>
    <cfRule type="cellIs" dxfId="301" priority="150" stopIfTrue="1" operator="notEqual">
      <formula>0</formula>
    </cfRule>
  </conditionalFormatting>
  <conditionalFormatting sqref="E207">
    <cfRule type="cellIs" dxfId="300" priority="3" stopIfTrue="1" operator="equal">
      <formula>0</formula>
    </cfRule>
    <cfRule type="cellIs" dxfId="299" priority="4" stopIfTrue="1" operator="notEqual">
      <formula>0</formula>
    </cfRule>
  </conditionalFormatting>
  <conditionalFormatting sqref="M207:S207">
    <cfRule type="cellIs" dxfId="298" priority="1" stopIfTrue="1" operator="equal">
      <formula>0</formula>
    </cfRule>
    <cfRule type="cellIs" dxfId="297"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2" manualBreakCount="2">
    <brk id="68" min="1" max="19" man="1"/>
    <brk id="120" min="1" max="19" man="1"/>
  </rowBreaks>
  <extLst>
    <ext xmlns:x14="http://schemas.microsoft.com/office/spreadsheetml/2009/9/main" uri="{78C0D931-6437-407d-A8EE-F0AAD7539E65}">
      <x14:conditionalFormattings>
        <x14:conditionalFormatting xmlns:xm="http://schemas.microsoft.com/office/excel/2006/main">
          <x14:cfRule type="expression" priority="264" id="{D8772EFA-C43D-4465-87FE-FF5A1808B2E2}">
            <xm:f>'Global inputs'!$A1="MODEL ERROR"</xm:f>
            <x14:dxf>
              <fill>
                <patternFill>
                  <bgColor theme="1"/>
                </patternFill>
              </fill>
            </x14:dxf>
          </x14:cfRule>
          <xm:sqref>A1:XFD1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70B3-3F10-4339-B6D4-5E26D8A028C5}">
  <dimension ref="A1:Y272"/>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232" customWidth="1"/>
    <col min="2" max="2" width="35.75" style="232" customWidth="1"/>
    <col min="3" max="5" width="15.75" style="232" customWidth="1"/>
    <col min="6" max="7" width="2.75" style="232" customWidth="1"/>
    <col min="8" max="8" width="10.75" style="232" customWidth="1"/>
    <col min="9" max="9" width="10.75" style="234" customWidth="1"/>
    <col min="10" max="20" width="10.75" style="232" customWidth="1"/>
    <col min="21" max="21" width="2.75" style="232" customWidth="1"/>
    <col min="22" max="23" width="8.25" style="232" hidden="1" customWidth="1"/>
    <col min="24" max="25" width="9" style="232" hidden="1" customWidth="1"/>
    <col min="26" max="27" width="8.25" style="232" hidden="1" customWidth="1"/>
    <col min="28" max="16384" width="8.25" style="232" hidden="1"/>
  </cols>
  <sheetData>
    <row r="1" spans="1:24" ht="12" customHeight="1" x14ac:dyDescent="0.2">
      <c r="A1" s="229"/>
      <c r="B1" s="229"/>
      <c r="C1" s="276"/>
      <c r="D1" s="229"/>
      <c r="E1" s="229"/>
      <c r="F1" s="229"/>
      <c r="G1" s="229"/>
      <c r="H1" s="229"/>
      <c r="I1" s="229"/>
      <c r="J1" s="229"/>
      <c r="K1" s="229"/>
      <c r="L1" s="229"/>
      <c r="M1" s="229"/>
      <c r="N1" s="229"/>
      <c r="O1" s="229"/>
      <c r="P1" s="229"/>
      <c r="Q1" s="229"/>
      <c r="R1" s="229"/>
      <c r="S1" s="229"/>
      <c r="T1" s="229"/>
      <c r="U1" s="229"/>
      <c r="V1" s="229"/>
      <c r="W1" s="229"/>
      <c r="X1" s="229"/>
    </row>
    <row r="2" spans="1:24" s="229" customFormat="1" ht="15" customHeight="1" x14ac:dyDescent="0.25">
      <c r="B2" s="212" t="str">
        <f ca="1">MID(CELL("filename",B2),FIND("]",CELL("filename",B2))+1,255)</f>
        <v>Commissioned assets allocation</v>
      </c>
      <c r="C2" s="241" t="str">
        <f>'Global inputs'!$C$2</f>
        <v>Model: Ok</v>
      </c>
      <c r="D2" s="277"/>
      <c r="E2" s="277"/>
      <c r="F2" s="242"/>
      <c r="G2" s="242"/>
      <c r="H2" s="242"/>
      <c r="I2" s="242"/>
      <c r="J2" s="242"/>
      <c r="K2" s="242"/>
      <c r="L2" s="242"/>
      <c r="M2" s="242"/>
      <c r="N2" s="242"/>
      <c r="O2" s="242"/>
      <c r="P2" s="242"/>
      <c r="Q2" s="242"/>
      <c r="R2" s="242"/>
      <c r="S2" s="242"/>
      <c r="T2" s="242"/>
    </row>
    <row r="3" spans="1:24" s="243" customFormat="1" ht="12" customHeight="1" x14ac:dyDescent="0.2">
      <c r="B3" s="300"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Escalators!T3</f>
        <v>45748</v>
      </c>
      <c r="T3" s="213"/>
    </row>
    <row r="4" spans="1:24" s="243" customFormat="1" ht="12" customHeight="1" x14ac:dyDescent="0.2">
      <c r="B4" s="300"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Escalators!T4</f>
        <v>46112</v>
      </c>
      <c r="T4" s="213"/>
    </row>
    <row r="5" spans="1:24" s="243" customFormat="1" ht="12" customHeight="1" x14ac:dyDescent="0.2">
      <c r="B5" s="300"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Escalators!T5</f>
        <v>RY26</v>
      </c>
      <c r="T5" s="214"/>
    </row>
    <row r="6" spans="1:24" s="243" customFormat="1" ht="12" customHeight="1" x14ac:dyDescent="0.2">
      <c r="B6" s="300" t="s">
        <v>45</v>
      </c>
      <c r="C6" s="278"/>
      <c r="D6" s="279"/>
      <c r="E6" s="279"/>
      <c r="F6" s="244"/>
      <c r="G6" s="247"/>
      <c r="H6" s="215" t="s">
        <v>46</v>
      </c>
      <c r="I6" s="216"/>
      <c r="J6" s="216"/>
      <c r="K6" s="216"/>
      <c r="L6" s="216"/>
      <c r="M6" s="215" t="s">
        <v>47</v>
      </c>
      <c r="N6" s="216"/>
      <c r="O6" s="215" t="s">
        <v>48</v>
      </c>
      <c r="P6" s="216"/>
      <c r="Q6" s="216"/>
      <c r="R6" s="216"/>
      <c r="S6" s="216"/>
      <c r="T6" s="215" t="s">
        <v>49</v>
      </c>
    </row>
    <row r="7" spans="1:24" ht="12" customHeight="1" x14ac:dyDescent="0.2">
      <c r="B7" s="242"/>
      <c r="C7" s="280"/>
      <c r="D7" s="248"/>
      <c r="E7" s="248"/>
      <c r="F7" s="242"/>
      <c r="G7" s="242"/>
      <c r="H7" s="242"/>
      <c r="I7" s="242"/>
      <c r="J7" s="242"/>
      <c r="K7" s="242"/>
      <c r="L7" s="242"/>
      <c r="M7" s="242"/>
      <c r="N7" s="242"/>
      <c r="O7" s="242"/>
      <c r="P7" s="242"/>
      <c r="Q7" s="242"/>
      <c r="R7" s="242"/>
      <c r="S7" s="242"/>
      <c r="T7" s="242"/>
    </row>
    <row r="8" spans="1:24" ht="12" customHeight="1" x14ac:dyDescent="0.2">
      <c r="B8" s="242"/>
      <c r="C8" s="280"/>
      <c r="D8" s="248"/>
      <c r="E8" s="248"/>
      <c r="F8" s="242"/>
      <c r="G8" s="242"/>
      <c r="H8" s="242"/>
      <c r="I8" s="242"/>
      <c r="J8" s="242"/>
      <c r="K8" s="242"/>
      <c r="L8" s="242"/>
      <c r="M8" s="242"/>
      <c r="N8" s="242"/>
      <c r="O8" s="242"/>
      <c r="P8" s="242"/>
      <c r="Q8" s="242"/>
      <c r="R8" s="242"/>
      <c r="S8" s="242"/>
      <c r="T8" s="242"/>
    </row>
    <row r="9" spans="1:24" s="229" customFormat="1" ht="12" customHeight="1" x14ac:dyDescent="0.2">
      <c r="A9" s="232"/>
      <c r="B9" s="283" t="s">
        <v>319</v>
      </c>
      <c r="C9" s="284" t="s">
        <v>51</v>
      </c>
      <c r="D9" s="285" t="s">
        <v>52</v>
      </c>
      <c r="E9" s="284" t="s">
        <v>53</v>
      </c>
      <c r="F9" s="242"/>
      <c r="G9" s="302"/>
      <c r="H9" s="302"/>
      <c r="I9" s="302"/>
      <c r="J9" s="302"/>
      <c r="K9" s="242"/>
      <c r="L9" s="242"/>
      <c r="M9" s="242"/>
      <c r="N9" s="242"/>
      <c r="O9" s="242"/>
      <c r="P9" s="242"/>
      <c r="Q9" s="242"/>
      <c r="R9" s="242"/>
      <c r="S9" s="242"/>
      <c r="T9" s="242"/>
    </row>
    <row r="10" spans="1:24" x14ac:dyDescent="0.2">
      <c r="K10" s="289"/>
      <c r="L10" s="289"/>
      <c r="M10" s="289"/>
      <c r="N10" s="289"/>
      <c r="O10" s="289"/>
      <c r="P10" s="289"/>
      <c r="Q10" s="289"/>
      <c r="R10" s="289"/>
      <c r="S10" s="289"/>
      <c r="T10" s="242"/>
    </row>
    <row r="11" spans="1:24" x14ac:dyDescent="0.2">
      <c r="B11" s="232" t="s">
        <v>67</v>
      </c>
      <c r="C11" s="329" t="s">
        <v>67</v>
      </c>
      <c r="H11" s="232">
        <v>2015</v>
      </c>
      <c r="I11" s="340">
        <f t="shared" ref="I11:S11" si="0">H11+1</f>
        <v>2016</v>
      </c>
      <c r="J11" s="340">
        <f t="shared" si="0"/>
        <v>2017</v>
      </c>
      <c r="K11" s="340">
        <f t="shared" si="0"/>
        <v>2018</v>
      </c>
      <c r="L11" s="341">
        <f t="shared" si="0"/>
        <v>2019</v>
      </c>
      <c r="M11" s="341">
        <f t="shared" si="0"/>
        <v>2020</v>
      </c>
      <c r="N11" s="340">
        <f t="shared" si="0"/>
        <v>2021</v>
      </c>
      <c r="O11" s="340">
        <f t="shared" si="0"/>
        <v>2022</v>
      </c>
      <c r="P11" s="340">
        <f t="shared" si="0"/>
        <v>2023</v>
      </c>
      <c r="Q11" s="340">
        <f t="shared" si="0"/>
        <v>2024</v>
      </c>
      <c r="R11" s="340">
        <f t="shared" si="0"/>
        <v>2025</v>
      </c>
      <c r="S11" s="340">
        <f t="shared" si="0"/>
        <v>2026</v>
      </c>
      <c r="T11" s="242"/>
    </row>
    <row r="12" spans="1:24" x14ac:dyDescent="0.2">
      <c r="B12" s="232" t="s">
        <v>429</v>
      </c>
      <c r="C12" s="329" t="s">
        <v>430</v>
      </c>
      <c r="D12" s="342" t="s">
        <v>384</v>
      </c>
      <c r="K12" s="289"/>
      <c r="L12" s="340"/>
      <c r="M12" s="340"/>
      <c r="N12" s="340"/>
      <c r="O12" s="340"/>
      <c r="P12" s="340"/>
      <c r="Q12" s="340"/>
      <c r="R12" s="340"/>
      <c r="S12" s="340"/>
      <c r="T12" s="242"/>
    </row>
    <row r="13" spans="1:24" x14ac:dyDescent="0.2">
      <c r="K13" s="289"/>
      <c r="L13" s="289"/>
      <c r="M13" s="289"/>
      <c r="N13" s="289"/>
      <c r="O13" s="289"/>
      <c r="P13" s="289"/>
      <c r="Q13" s="289"/>
      <c r="R13" s="289"/>
      <c r="S13" s="289"/>
      <c r="T13" s="242"/>
    </row>
    <row r="14" spans="1:24" x14ac:dyDescent="0.2">
      <c r="B14" s="283" t="s">
        <v>431</v>
      </c>
      <c r="C14" s="284" t="s">
        <v>51</v>
      </c>
      <c r="D14" s="285" t="s">
        <v>52</v>
      </c>
      <c r="E14" s="284" t="s">
        <v>53</v>
      </c>
      <c r="F14" s="242"/>
      <c r="G14" s="302"/>
      <c r="H14" s="302"/>
      <c r="I14" s="302"/>
      <c r="J14" s="302"/>
      <c r="K14" s="242"/>
      <c r="L14" s="242"/>
      <c r="M14" s="242"/>
      <c r="N14" s="242"/>
      <c r="O14" s="242"/>
      <c r="P14" s="242"/>
      <c r="Q14" s="242"/>
      <c r="R14" s="242"/>
      <c r="S14" s="242"/>
      <c r="T14" s="242"/>
      <c r="U14" s="229"/>
    </row>
    <row r="15" spans="1:24" outlineLevel="1" x14ac:dyDescent="0.2">
      <c r="K15" s="289"/>
      <c r="L15" s="289"/>
      <c r="M15" s="289"/>
      <c r="N15" s="289"/>
      <c r="O15" s="289"/>
      <c r="P15" s="289"/>
      <c r="Q15" s="289"/>
      <c r="R15" s="289"/>
      <c r="S15" s="289"/>
      <c r="T15" s="242"/>
    </row>
    <row r="16" spans="1:24" outlineLevel="1" x14ac:dyDescent="0.2">
      <c r="B16" s="287" t="s">
        <v>123</v>
      </c>
      <c r="K16" s="289"/>
      <c r="L16" s="289"/>
      <c r="M16" s="289"/>
      <c r="N16" s="289"/>
      <c r="O16" s="289"/>
      <c r="P16" s="289"/>
      <c r="Q16" s="289"/>
      <c r="R16" s="289"/>
      <c r="S16" s="289"/>
      <c r="T16" s="242"/>
    </row>
    <row r="17" spans="2:20" outlineLevel="1" x14ac:dyDescent="0.2">
      <c r="K17" s="289"/>
      <c r="L17" s="289"/>
      <c r="M17" s="289"/>
      <c r="N17" s="289"/>
      <c r="O17" s="289"/>
      <c r="P17" s="289"/>
      <c r="Q17" s="289"/>
      <c r="R17" s="289"/>
      <c r="S17" s="289"/>
      <c r="T17" s="242"/>
    </row>
    <row r="18" spans="2:20" outlineLevel="1" x14ac:dyDescent="0.2">
      <c r="B18" s="250" t="s">
        <v>284</v>
      </c>
      <c r="C18" s="280" t="s">
        <v>250</v>
      </c>
      <c r="D18" s="250"/>
      <c r="E18" s="250"/>
      <c r="I18" s="232"/>
      <c r="L18" s="290"/>
      <c r="M18" s="290">
        <f>SUMIFS('Forecast capex'!$U$9:$U$1940,'Forecast capex'!$C$9:$C$1940,'Commissioned assets allocation'!$B18,'Forecast capex'!$J$9:$J$1940,'Commissioned assets allocation'!M$11,'Forecast capex'!$L$9:$L$1940,$D$12)</f>
        <v>994364.54242494376</v>
      </c>
      <c r="N18" s="290">
        <f>SUMIFS('Forecast capex'!$U$9:$U$1940,'Forecast capex'!$C$9:$C$1940,'Commissioned assets allocation'!$B18,'Forecast capex'!$J$9:$J$1940,'Commissioned assets allocation'!N$11,'Forecast capex'!$L$9:$L$1940,$D$12)</f>
        <v>6917543.7200915944</v>
      </c>
      <c r="O18" s="290">
        <f>SUMIFS('Forecast capex'!$U$9:$U$1940,'Forecast capex'!$C$9:$C$1940,'Commissioned assets allocation'!$B18,'Forecast capex'!$J$9:$J$1940,'Commissioned assets allocation'!O$11,'Forecast capex'!$L$9:$L$1940,$D$12)</f>
        <v>6525830.7215394443</v>
      </c>
      <c r="P18" s="290">
        <f>SUMIFS('Forecast capex'!$U$9:$U$1940,'Forecast capex'!$C$9:$C$1940,'Commissioned assets allocation'!$B18,'Forecast capex'!$J$9:$J$1940,'Commissioned assets allocation'!P$11,'Forecast capex'!$L$9:$L$1940,$D$12)</f>
        <v>7926634.1327119833</v>
      </c>
      <c r="Q18" s="290">
        <f>SUMIFS('Forecast capex'!$U$9:$U$1940,'Forecast capex'!$C$9:$C$1940,'Commissioned assets allocation'!$B18,'Forecast capex'!$J$9:$J$1940,'Commissioned assets allocation'!Q$11,'Forecast capex'!$L$9:$L$1940,$D$12)</f>
        <v>1026775.4043986921</v>
      </c>
      <c r="R18" s="290">
        <f>SUMIFS('Forecast capex'!$U$9:$U$1940,'Forecast capex'!$C$9:$C$1940,'Commissioned assets allocation'!$B18,'Forecast capex'!$J$9:$J$1940,'Commissioned assets allocation'!R$11,'Forecast capex'!$L$9:$L$1940,$D$12)</f>
        <v>466768.57925389201</v>
      </c>
      <c r="S18" s="290">
        <f>SUMIFS('Forecast capex'!$U$9:$U$1940,'Forecast capex'!$C$9:$C$1940,'Commissioned assets allocation'!$B18,'Forecast capex'!$J$9:$J$1940,'Commissioned assets allocation'!S$11,'Forecast capex'!$L$9:$L$1940,$D$12)</f>
        <v>488252.04984433076</v>
      </c>
      <c r="T18" s="229"/>
    </row>
    <row r="19" spans="2:20" outlineLevel="1" x14ac:dyDescent="0.2">
      <c r="B19" s="250" t="s">
        <v>285</v>
      </c>
      <c r="C19" s="280" t="s">
        <v>250</v>
      </c>
      <c r="D19" s="250"/>
      <c r="E19" s="250"/>
      <c r="I19" s="232"/>
      <c r="L19" s="289"/>
      <c r="M19" s="290">
        <f>SUMIFS('Forecast capex'!$U$9:$U$1940,'Forecast capex'!$C$9:$C$1940,'Commissioned assets allocation'!$B19,'Forecast capex'!$J$9:$J$1940,'Commissioned assets allocation'!M$11,'Forecast capex'!$L$9:$L$1940,$D$12)</f>
        <v>50239.207272231768</v>
      </c>
      <c r="N19" s="290">
        <f>SUMIFS('Forecast capex'!$U$9:$U$1940,'Forecast capex'!$C$9:$C$1940,'Commissioned assets allocation'!$B19,'Forecast capex'!$J$9:$J$1940,'Commissioned assets allocation'!N$11,'Forecast capex'!$L$9:$L$1940,$D$12)</f>
        <v>548856.55170195911</v>
      </c>
      <c r="O19" s="290">
        <f>SUMIFS('Forecast capex'!$U$9:$U$1940,'Forecast capex'!$C$9:$C$1940,'Commissioned assets allocation'!$B19,'Forecast capex'!$J$9:$J$1940,'Commissioned assets allocation'!O$11,'Forecast capex'!$L$9:$L$1940,$D$12)</f>
        <v>450531.87948317837</v>
      </c>
      <c r="P19" s="290">
        <f>SUMIFS('Forecast capex'!$U$9:$U$1940,'Forecast capex'!$C$9:$C$1940,'Commissioned assets allocation'!$B19,'Forecast capex'!$J$9:$J$1940,'Commissioned assets allocation'!P$11,'Forecast capex'!$L$9:$L$1940,$D$12)</f>
        <v>336329.9598497384</v>
      </c>
      <c r="Q19" s="290">
        <f>SUMIFS('Forecast capex'!$U$9:$U$1940,'Forecast capex'!$C$9:$C$1940,'Commissioned assets allocation'!$B19,'Forecast capex'!$J$9:$J$1940,'Commissioned assets allocation'!Q$11,'Forecast capex'!$L$9:$L$1940,$D$12)</f>
        <v>2184463.8097209083</v>
      </c>
      <c r="R19" s="290">
        <f>SUMIFS('Forecast capex'!$U$9:$U$1940,'Forecast capex'!$C$9:$C$1940,'Commissioned assets allocation'!$B19,'Forecast capex'!$J$9:$J$1940,'Commissioned assets allocation'!R$11,'Forecast capex'!$L$9:$L$1940,$D$12)</f>
        <v>303988.14990298304</v>
      </c>
      <c r="S19" s="290">
        <f>SUMIFS('Forecast capex'!$U$9:$U$1940,'Forecast capex'!$C$9:$C$1940,'Commissioned assets allocation'!$B19,'Forecast capex'!$J$9:$J$1940,'Commissioned assets allocation'!S$11,'Forecast capex'!$L$9:$L$1940,$D$12)</f>
        <v>3212461.4233811516</v>
      </c>
      <c r="T19" s="229"/>
    </row>
    <row r="20" spans="2:20" outlineLevel="1" x14ac:dyDescent="0.2">
      <c r="B20" s="250" t="s">
        <v>286</v>
      </c>
      <c r="C20" s="280" t="s">
        <v>250</v>
      </c>
      <c r="D20" s="250"/>
      <c r="E20" s="250"/>
      <c r="I20" s="232"/>
      <c r="L20" s="289"/>
      <c r="M20" s="290">
        <f>SUMIFS('Forecast capex'!$U$9:$U$1940,'Forecast capex'!$C$9:$C$1940,'Commissioned assets allocation'!$B20,'Forecast capex'!$J$9:$J$1940,'Commissioned assets allocation'!M$11,'Forecast capex'!$L$9:$L$1940,$D$12)</f>
        <v>7924583.0960914996</v>
      </c>
      <c r="N20" s="290">
        <f>SUMIFS('Forecast capex'!$U$9:$U$1940,'Forecast capex'!$C$9:$C$1940,'Commissioned assets allocation'!$B20,'Forecast capex'!$J$9:$J$1940,'Commissioned assets allocation'!N$11,'Forecast capex'!$L$9:$L$1940,$D$12)</f>
        <v>8914781.7281788122</v>
      </c>
      <c r="O20" s="290">
        <f>SUMIFS('Forecast capex'!$U$9:$U$1940,'Forecast capex'!$C$9:$C$1940,'Commissioned assets allocation'!$B20,'Forecast capex'!$J$9:$J$1940,'Commissioned assets allocation'!O$11,'Forecast capex'!$L$9:$L$1940,$D$12)</f>
        <v>11313099.810847457</v>
      </c>
      <c r="P20" s="290">
        <f>SUMIFS('Forecast capex'!$U$9:$U$1940,'Forecast capex'!$C$9:$C$1940,'Commissioned assets allocation'!$B20,'Forecast capex'!$J$9:$J$1940,'Commissioned assets allocation'!P$11,'Forecast capex'!$L$9:$L$1940,$D$12)</f>
        <v>6273696.9430620065</v>
      </c>
      <c r="Q20" s="290">
        <f>SUMIFS('Forecast capex'!$U$9:$U$1940,'Forecast capex'!$C$9:$C$1940,'Commissioned assets allocation'!$B20,'Forecast capex'!$J$9:$J$1940,'Commissioned assets allocation'!Q$11,'Forecast capex'!$L$9:$L$1940,$D$12)</f>
        <v>10741421.392302742</v>
      </c>
      <c r="R20" s="290">
        <f>SUMIFS('Forecast capex'!$U$9:$U$1940,'Forecast capex'!$C$9:$C$1940,'Commissioned assets allocation'!$B20,'Forecast capex'!$J$9:$J$1940,'Commissioned assets allocation'!R$11,'Forecast capex'!$L$9:$L$1940,$D$12)</f>
        <v>10944667.696064508</v>
      </c>
      <c r="S20" s="290">
        <f>SUMIFS('Forecast capex'!$U$9:$U$1940,'Forecast capex'!$C$9:$C$1940,'Commissioned assets allocation'!$B20,'Forecast capex'!$J$9:$J$1940,'Commissioned assets allocation'!S$11,'Forecast capex'!$L$9:$L$1940,$D$12)</f>
        <v>5207923.1073021451</v>
      </c>
    </row>
    <row r="21" spans="2:20" outlineLevel="1" x14ac:dyDescent="0.2">
      <c r="B21" s="250" t="s">
        <v>287</v>
      </c>
      <c r="C21" s="280" t="s">
        <v>250</v>
      </c>
      <c r="D21" s="250"/>
      <c r="E21" s="250"/>
      <c r="I21" s="232"/>
      <c r="L21" s="289"/>
      <c r="M21" s="290">
        <f>SUMIFS('Forecast capex'!$U$9:$U$1940,'Forecast capex'!$C$9:$C$1940,'Commissioned assets allocation'!$B21,'Forecast capex'!$J$9:$J$1940,'Commissioned assets allocation'!M$11,'Forecast capex'!$L$9:$L$1940,$D$12)</f>
        <v>21691556.498113815</v>
      </c>
      <c r="N21" s="290">
        <f>SUMIFS('Forecast capex'!$U$9:$U$1940,'Forecast capex'!$C$9:$C$1940,'Commissioned assets allocation'!$B21,'Forecast capex'!$J$9:$J$1940,'Commissioned assets allocation'!N$11,'Forecast capex'!$L$9:$L$1940,$D$12)</f>
        <v>24223049.759736784</v>
      </c>
      <c r="O21" s="290">
        <f>SUMIFS('Forecast capex'!$U$9:$U$1940,'Forecast capex'!$C$9:$C$1940,'Commissioned assets allocation'!$B21,'Forecast capex'!$J$9:$J$1940,'Commissioned assets allocation'!O$11,'Forecast capex'!$L$9:$L$1940,$D$12)</f>
        <v>27074495.476278715</v>
      </c>
      <c r="P21" s="290">
        <f>SUMIFS('Forecast capex'!$U$9:$U$1940,'Forecast capex'!$C$9:$C$1940,'Commissioned assets allocation'!$B21,'Forecast capex'!$J$9:$J$1940,'Commissioned assets allocation'!P$11,'Forecast capex'!$L$9:$L$1940,$D$12)</f>
        <v>30507613.186007541</v>
      </c>
      <c r="Q21" s="290">
        <f>SUMIFS('Forecast capex'!$U$9:$U$1940,'Forecast capex'!$C$9:$C$1940,'Commissioned assets allocation'!$B21,'Forecast capex'!$J$9:$J$1940,'Commissioned assets allocation'!Q$11,'Forecast capex'!$L$9:$L$1940,$D$12)</f>
        <v>30982785.01087556</v>
      </c>
      <c r="R21" s="290">
        <f>SUMIFS('Forecast capex'!$U$9:$U$1940,'Forecast capex'!$C$9:$C$1940,'Commissioned assets allocation'!$B21,'Forecast capex'!$J$9:$J$1940,'Commissioned assets allocation'!R$11,'Forecast capex'!$L$9:$L$1940,$D$12)</f>
        <v>27703266.240734126</v>
      </c>
      <c r="S21" s="290">
        <f>SUMIFS('Forecast capex'!$U$9:$U$1940,'Forecast capex'!$C$9:$C$1940,'Commissioned assets allocation'!$B21,'Forecast capex'!$J$9:$J$1940,'Commissioned assets allocation'!S$11,'Forecast capex'!$L$9:$L$1940,$D$12)</f>
        <v>26946003.030912373</v>
      </c>
    </row>
    <row r="22" spans="2:20" outlineLevel="1" x14ac:dyDescent="0.2">
      <c r="B22" s="250" t="s">
        <v>288</v>
      </c>
      <c r="C22" s="280" t="s">
        <v>250</v>
      </c>
      <c r="D22" s="250"/>
      <c r="E22" s="250"/>
      <c r="I22" s="232"/>
      <c r="L22" s="289"/>
      <c r="M22" s="290">
        <f>SUMIFS('Forecast capex'!$U$9:$U$1940,'Forecast capex'!$C$9:$C$1940,'Commissioned assets allocation'!$B22,'Forecast capex'!$J$9:$J$1940,'Commissioned assets allocation'!M$11,'Forecast capex'!$L$9:$L$1940,$D$12)</f>
        <v>4322824.9938515658</v>
      </c>
      <c r="N22" s="290">
        <f>SUMIFS('Forecast capex'!$U$9:$U$1940,'Forecast capex'!$C$9:$C$1940,'Commissioned assets allocation'!$B22,'Forecast capex'!$J$9:$J$1940,'Commissioned assets allocation'!N$11,'Forecast capex'!$L$9:$L$1940,$D$12)</f>
        <v>4540072.9881231328</v>
      </c>
      <c r="O22" s="290">
        <f>SUMIFS('Forecast capex'!$U$9:$U$1940,'Forecast capex'!$C$9:$C$1940,'Commissioned assets allocation'!$B22,'Forecast capex'!$J$9:$J$1940,'Commissioned assets allocation'!O$11,'Forecast capex'!$L$9:$L$1940,$D$12)</f>
        <v>4732624.6647721585</v>
      </c>
      <c r="P22" s="290">
        <f>SUMIFS('Forecast capex'!$U$9:$U$1940,'Forecast capex'!$C$9:$C$1940,'Commissioned assets allocation'!$B22,'Forecast capex'!$J$9:$J$1940,'Commissioned assets allocation'!P$11,'Forecast capex'!$L$9:$L$1940,$D$12)</f>
        <v>4581766.122046059</v>
      </c>
      <c r="Q22" s="290">
        <f>SUMIFS('Forecast capex'!$U$9:$U$1940,'Forecast capex'!$C$9:$C$1940,'Commissioned assets allocation'!$B22,'Forecast capex'!$J$9:$J$1940,'Commissioned assets allocation'!Q$11,'Forecast capex'!$L$9:$L$1940,$D$12)</f>
        <v>5245448.971679735</v>
      </c>
      <c r="R22" s="290">
        <f>SUMIFS('Forecast capex'!$U$9:$U$1940,'Forecast capex'!$C$9:$C$1940,'Commissioned assets allocation'!$B22,'Forecast capex'!$J$9:$J$1940,'Commissioned assets allocation'!R$11,'Forecast capex'!$L$9:$L$1940,$D$12)</f>
        <v>5737010.8311509741</v>
      </c>
      <c r="S22" s="290">
        <f>SUMIFS('Forecast capex'!$U$9:$U$1940,'Forecast capex'!$C$9:$C$1940,'Commissioned assets allocation'!$B22,'Forecast capex'!$J$9:$J$1940,'Commissioned assets allocation'!S$11,'Forecast capex'!$L$9:$L$1940,$D$12)</f>
        <v>5686879.2431598632</v>
      </c>
    </row>
    <row r="23" spans="2:20" outlineLevel="1" x14ac:dyDescent="0.2">
      <c r="B23" s="250" t="s">
        <v>289</v>
      </c>
      <c r="C23" s="280" t="s">
        <v>250</v>
      </c>
      <c r="D23" s="250"/>
      <c r="E23" s="250"/>
      <c r="I23" s="232"/>
      <c r="L23" s="289"/>
      <c r="M23" s="290">
        <f>SUMIFS('Forecast capex'!$U$9:$U$1940,'Forecast capex'!$C$9:$C$1940,'Commissioned assets allocation'!$B23,'Forecast capex'!$J$9:$J$1940,'Commissioned assets allocation'!M$11,'Forecast capex'!$L$9:$L$1940,$D$12)</f>
        <v>5830770.3046800653</v>
      </c>
      <c r="N23" s="290">
        <f>SUMIFS('Forecast capex'!$U$9:$U$1940,'Forecast capex'!$C$9:$C$1940,'Commissioned assets allocation'!$B23,'Forecast capex'!$J$9:$J$1940,'Commissioned assets allocation'!N$11,'Forecast capex'!$L$9:$L$1940,$D$12)</f>
        <v>4876119.1780866561</v>
      </c>
      <c r="O23" s="290">
        <f>SUMIFS('Forecast capex'!$U$9:$U$1940,'Forecast capex'!$C$9:$C$1940,'Commissioned assets allocation'!$B23,'Forecast capex'!$J$9:$J$1940,'Commissioned assets allocation'!O$11,'Forecast capex'!$L$9:$L$1940,$D$12)</f>
        <v>4989245.6365555599</v>
      </c>
      <c r="P23" s="290">
        <f>SUMIFS('Forecast capex'!$U$9:$U$1940,'Forecast capex'!$C$9:$C$1940,'Commissioned assets allocation'!$B23,'Forecast capex'!$J$9:$J$1940,'Commissioned assets allocation'!P$11,'Forecast capex'!$L$9:$L$1940,$D$12)</f>
        <v>6739104.8715433236</v>
      </c>
      <c r="Q23" s="290">
        <f>SUMIFS('Forecast capex'!$U$9:$U$1940,'Forecast capex'!$C$9:$C$1940,'Commissioned assets allocation'!$B23,'Forecast capex'!$J$9:$J$1940,'Commissioned assets allocation'!Q$11,'Forecast capex'!$L$9:$L$1940,$D$12)</f>
        <v>8701011.6196350362</v>
      </c>
      <c r="R23" s="290">
        <f>SUMIFS('Forecast capex'!$U$9:$U$1940,'Forecast capex'!$C$9:$C$1940,'Commissioned assets allocation'!$B23,'Forecast capex'!$J$9:$J$1940,'Commissioned assets allocation'!R$11,'Forecast capex'!$L$9:$L$1940,$D$12)</f>
        <v>9628227.3827352189</v>
      </c>
      <c r="S23" s="290">
        <f>SUMIFS('Forecast capex'!$U$9:$U$1940,'Forecast capex'!$C$9:$C$1940,'Commissioned assets allocation'!$B23,'Forecast capex'!$J$9:$J$1940,'Commissioned assets allocation'!S$11,'Forecast capex'!$L$9:$L$1940,$D$12)</f>
        <v>9484440.3924867176</v>
      </c>
    </row>
    <row r="24" spans="2:20" outlineLevel="1" x14ac:dyDescent="0.2">
      <c r="B24" s="250" t="s">
        <v>290</v>
      </c>
      <c r="C24" s="280" t="s">
        <v>250</v>
      </c>
      <c r="D24" s="250"/>
      <c r="E24" s="250"/>
      <c r="I24" s="232"/>
      <c r="L24" s="289"/>
      <c r="M24" s="290">
        <f>SUMIFS('Forecast capex'!$U$9:$U$1940,'Forecast capex'!$C$9:$C$1940,'Commissioned assets allocation'!$B24,'Forecast capex'!$J$9:$J$1940,'Commissioned assets allocation'!M$11,'Forecast capex'!$L$9:$L$1940,$D$12)</f>
        <v>4174278.9074603911</v>
      </c>
      <c r="N24" s="290">
        <f>SUMIFS('Forecast capex'!$U$9:$U$1940,'Forecast capex'!$C$9:$C$1940,'Commissioned assets allocation'!$B24,'Forecast capex'!$J$9:$J$1940,'Commissioned assets allocation'!N$11,'Forecast capex'!$L$9:$L$1940,$D$12)</f>
        <v>4941115.086708012</v>
      </c>
      <c r="O24" s="290">
        <f>SUMIFS('Forecast capex'!$U$9:$U$1940,'Forecast capex'!$C$9:$C$1940,'Commissioned assets allocation'!$B24,'Forecast capex'!$J$9:$J$1940,'Commissioned assets allocation'!O$11,'Forecast capex'!$L$9:$L$1940,$D$12)</f>
        <v>4834678.3622424817</v>
      </c>
      <c r="P24" s="290">
        <f>SUMIFS('Forecast capex'!$U$9:$U$1940,'Forecast capex'!$C$9:$C$1940,'Commissioned assets allocation'!$B24,'Forecast capex'!$J$9:$J$1940,'Commissioned assets allocation'!P$11,'Forecast capex'!$L$9:$L$1940,$D$12)</f>
        <v>4836153.4292428931</v>
      </c>
      <c r="Q24" s="290">
        <f>SUMIFS('Forecast capex'!$U$9:$U$1940,'Forecast capex'!$C$9:$C$1940,'Commissioned assets allocation'!$B24,'Forecast capex'!$J$9:$J$1940,'Commissioned assets allocation'!Q$11,'Forecast capex'!$L$9:$L$1940,$D$12)</f>
        <v>5114360.2055179905</v>
      </c>
      <c r="R24" s="290">
        <f>SUMIFS('Forecast capex'!$U$9:$U$1940,'Forecast capex'!$C$9:$C$1940,'Commissioned assets allocation'!$B24,'Forecast capex'!$J$9:$J$1940,'Commissioned assets allocation'!R$11,'Forecast capex'!$L$9:$L$1940,$D$12)</f>
        <v>6221555.5868265964</v>
      </c>
      <c r="S24" s="290">
        <f>SUMIFS('Forecast capex'!$U$9:$U$1940,'Forecast capex'!$C$9:$C$1940,'Commissioned assets allocation'!$B24,'Forecast capex'!$J$9:$J$1940,'Commissioned assets allocation'!S$11,'Forecast capex'!$L$9:$L$1940,$D$12)</f>
        <v>4985093.9910402037</v>
      </c>
    </row>
    <row r="25" spans="2:20" outlineLevel="1" x14ac:dyDescent="0.2">
      <c r="B25" s="267" t="s">
        <v>291</v>
      </c>
      <c r="C25" s="280" t="s">
        <v>250</v>
      </c>
      <c r="D25" s="250"/>
      <c r="E25" s="250"/>
      <c r="I25" s="232"/>
      <c r="L25" s="289"/>
      <c r="M25" s="290">
        <f>SUMIFS('Forecast capex'!$U$9:$U$1940,'Forecast capex'!$C$9:$C$1940,'Commissioned assets allocation'!$B25,'Forecast capex'!$J$9:$J$1940,'Commissioned assets allocation'!M$11,'Forecast capex'!$L$9:$L$1940,$D$12)</f>
        <v>24271.278670022311</v>
      </c>
      <c r="N25" s="290">
        <f>SUMIFS('Forecast capex'!$U$9:$U$1940,'Forecast capex'!$C$9:$C$1940,'Commissioned assets allocation'!$B25,'Forecast capex'!$J$9:$J$1940,'Commissioned assets allocation'!N$11,'Forecast capex'!$L$9:$L$1940,$D$12)</f>
        <v>362614.62305878429</v>
      </c>
      <c r="O25" s="290">
        <f>SUMIFS('Forecast capex'!$U$9:$U$1940,'Forecast capex'!$C$9:$C$1940,'Commissioned assets allocation'!$B25,'Forecast capex'!$J$9:$J$1940,'Commissioned assets allocation'!O$11,'Forecast capex'!$L$9:$L$1940,$D$12)</f>
        <v>751475.06020493421</v>
      </c>
      <c r="P25" s="290">
        <f>SUMIFS('Forecast capex'!$U$9:$U$1940,'Forecast capex'!$C$9:$C$1940,'Commissioned assets allocation'!$B25,'Forecast capex'!$J$9:$J$1940,'Commissioned assets allocation'!P$11,'Forecast capex'!$L$9:$L$1940,$D$12)</f>
        <v>556611.49305415479</v>
      </c>
      <c r="Q25" s="290">
        <f>SUMIFS('Forecast capex'!$U$9:$U$1940,'Forecast capex'!$C$9:$C$1940,'Commissioned assets allocation'!$B25,'Forecast capex'!$J$9:$J$1940,'Commissioned assets allocation'!Q$11,'Forecast capex'!$L$9:$L$1940,$D$12)</f>
        <v>770690.58336599066</v>
      </c>
      <c r="R25" s="290">
        <f>SUMIFS('Forecast capex'!$U$9:$U$1940,'Forecast capex'!$C$9:$C$1940,'Commissioned assets allocation'!$B25,'Forecast capex'!$J$9:$J$1940,'Commissioned assets allocation'!R$11,'Forecast capex'!$L$9:$L$1940,$D$12)</f>
        <v>571994.17231346993</v>
      </c>
      <c r="S25" s="290">
        <f>SUMIFS('Forecast capex'!$U$9:$U$1940,'Forecast capex'!$C$9:$C$1940,'Commissioned assets allocation'!$B25,'Forecast capex'!$J$9:$J$1940,'Commissioned assets allocation'!S$11,'Forecast capex'!$L$9:$L$1940,$D$12)</f>
        <v>325646.51799818443</v>
      </c>
    </row>
    <row r="26" spans="2:20" outlineLevel="1" x14ac:dyDescent="0.2">
      <c r="B26" s="250" t="s">
        <v>292</v>
      </c>
      <c r="C26" s="280" t="s">
        <v>250</v>
      </c>
      <c r="D26" s="250"/>
      <c r="E26" s="250"/>
      <c r="I26" s="232"/>
      <c r="L26" s="290"/>
      <c r="M26" s="290">
        <f>SUMIFS('Forecast capex'!$U$9:$U$1940,'Forecast capex'!$C$9:$C$1940,'Commissioned assets allocation'!$B26,'Forecast capex'!$J$9:$J$1940,'Commissioned assets allocation'!M$11,'Forecast capex'!$L$9:$L$1940,$D$12)</f>
        <v>3693302</v>
      </c>
      <c r="N26" s="290">
        <f>SUMIFS('Forecast capex'!$U$9:$U$1940,'Forecast capex'!$C$9:$C$1940,'Commissioned assets allocation'!$B26,'Forecast capex'!$J$9:$J$1940,'Commissioned assets allocation'!N$11,'Forecast capex'!$L$9:$L$1940,$D$12)</f>
        <v>4382834.6769553702</v>
      </c>
      <c r="O26" s="290">
        <f>SUMIFS('Forecast capex'!$U$9:$U$1940,'Forecast capex'!$C$9:$C$1940,'Commissioned assets allocation'!$B26,'Forecast capex'!$J$9:$J$1940,'Commissioned assets allocation'!O$11,'Forecast capex'!$L$9:$L$1940,$D$12)</f>
        <v>6144167.5830746908</v>
      </c>
      <c r="P26" s="290">
        <f>SUMIFS('Forecast capex'!$U$9:$U$1940,'Forecast capex'!$C$9:$C$1940,'Commissioned assets allocation'!$B26,'Forecast capex'!$J$9:$J$1940,'Commissioned assets allocation'!P$11,'Forecast capex'!$L$9:$L$1940,$D$12)</f>
        <v>2796526.9303802648</v>
      </c>
      <c r="Q26" s="290">
        <f>SUMIFS('Forecast capex'!$U$9:$U$1940,'Forecast capex'!$C$9:$C$1940,'Commissioned assets allocation'!$B26,'Forecast capex'!$J$9:$J$1940,'Commissioned assets allocation'!Q$11,'Forecast capex'!$L$9:$L$1940,$D$12)</f>
        <v>2446652.0817201948</v>
      </c>
      <c r="R26" s="290">
        <f>SUMIFS('Forecast capex'!$U$9:$U$1940,'Forecast capex'!$C$9:$C$1940,'Commissioned assets allocation'!$B26,'Forecast capex'!$J$9:$J$1940,'Commissioned assets allocation'!R$11,'Forecast capex'!$L$9:$L$1940,$D$12)</f>
        <v>2303821.4171619397</v>
      </c>
      <c r="S26" s="290">
        <f>SUMIFS('Forecast capex'!$U$9:$U$1940,'Forecast capex'!$C$9:$C$1940,'Commissioned assets allocation'!$B26,'Forecast capex'!$J$9:$J$1940,'Commissioned assets allocation'!S$11,'Forecast capex'!$L$9:$L$1940,$D$12)</f>
        <v>2288570.4994362211</v>
      </c>
    </row>
    <row r="27" spans="2:20" outlineLevel="1" x14ac:dyDescent="0.2">
      <c r="B27" s="243" t="s">
        <v>49</v>
      </c>
      <c r="C27" s="337" t="s">
        <v>250</v>
      </c>
      <c r="D27" s="243"/>
      <c r="E27" s="243"/>
      <c r="F27" s="243"/>
      <c r="G27" s="243"/>
      <c r="H27" s="243"/>
      <c r="I27" s="243"/>
      <c r="J27" s="243"/>
      <c r="K27" s="243"/>
      <c r="L27" s="235"/>
      <c r="M27" s="235">
        <f t="shared" ref="M27:S27" si="1">SUM(M18:M26)</f>
        <v>48706190.828564532</v>
      </c>
      <c r="N27" s="235">
        <f t="shared" si="1"/>
        <v>59706988.312641099</v>
      </c>
      <c r="O27" s="235">
        <f t="shared" si="1"/>
        <v>66816149.194998622</v>
      </c>
      <c r="P27" s="235">
        <f t="shared" si="1"/>
        <v>64554437.067897968</v>
      </c>
      <c r="Q27" s="235">
        <f t="shared" si="1"/>
        <v>67213609.079216853</v>
      </c>
      <c r="R27" s="235">
        <f t="shared" si="1"/>
        <v>63881300.056143701</v>
      </c>
      <c r="S27" s="235">
        <f t="shared" si="1"/>
        <v>58625270.255561188</v>
      </c>
    </row>
    <row r="28" spans="2:20" outlineLevel="1" x14ac:dyDescent="0.2">
      <c r="B28" s="329"/>
      <c r="C28" s="337"/>
      <c r="D28" s="243"/>
      <c r="E28" s="243"/>
      <c r="F28" s="243"/>
      <c r="G28" s="243"/>
      <c r="H28" s="243"/>
      <c r="I28" s="243"/>
      <c r="J28" s="243"/>
      <c r="K28" s="243"/>
      <c r="L28" s="243"/>
      <c r="M28" s="294"/>
      <c r="N28" s="294"/>
      <c r="O28" s="294"/>
      <c r="P28" s="294"/>
      <c r="Q28" s="294"/>
      <c r="R28" s="294"/>
      <c r="S28" s="294"/>
    </row>
    <row r="29" spans="2:20" outlineLevel="1" x14ac:dyDescent="0.2">
      <c r="B29" s="242" t="s">
        <v>222</v>
      </c>
      <c r="C29" s="280" t="s">
        <v>58</v>
      </c>
      <c r="D29" s="297">
        <f>SUM(H29:S29)</f>
        <v>0</v>
      </c>
      <c r="E29" s="298"/>
      <c r="M29" s="228">
        <f>M27-SUMIFS('Forecast capex'!$U$9:$U$1940,'Forecast capex'!$J$9:$J$1940,'Commissioned assets allocation'!M$11,'Forecast capex'!$L$9:$L$1940,$D$12)</f>
        <v>0</v>
      </c>
      <c r="N29" s="228">
        <f>N27-SUMIFS('Forecast capex'!$U$9:$U$1940,'Forecast capex'!$J$9:$J$1940,'Commissioned assets allocation'!N$11,'Forecast capex'!$L$9:$L$1940,$D$12)</f>
        <v>0</v>
      </c>
      <c r="O29" s="228">
        <f>O27-SUMIFS('Forecast capex'!$U$9:$U$1940,'Forecast capex'!$J$9:$J$1940,'Commissioned assets allocation'!O$11,'Forecast capex'!$L$9:$L$1940,$D$12)</f>
        <v>0</v>
      </c>
      <c r="P29" s="228">
        <f>P27-SUMIFS('Forecast capex'!$U$9:$U$1940,'Forecast capex'!$J$9:$J$1940,'Commissioned assets allocation'!P$11,'Forecast capex'!$L$9:$L$1940,$D$12)</f>
        <v>0</v>
      </c>
      <c r="Q29" s="228">
        <f>Q27-SUMIFS('Forecast capex'!$U$9:$U$1940,'Forecast capex'!$J$9:$J$1940,'Commissioned assets allocation'!Q$11,'Forecast capex'!$L$9:$L$1940,$D$12)</f>
        <v>0</v>
      </c>
      <c r="R29" s="228">
        <f>R27-SUMIFS('Forecast capex'!$U$9:$U$1940,'Forecast capex'!$J$9:$J$1940,'Commissioned assets allocation'!R$11,'Forecast capex'!$L$9:$L$1940,$D$12)</f>
        <v>0</v>
      </c>
      <c r="S29" s="228">
        <f>S27-SUMIFS('Forecast capex'!$U$9:$U$1940,'Forecast capex'!$J$9:$J$1940,'Commissioned assets allocation'!S$11,'Forecast capex'!$L$9:$L$1940,$D$12)</f>
        <v>0</v>
      </c>
    </row>
    <row r="30" spans="2:20" outlineLevel="1" x14ac:dyDescent="0.2">
      <c r="B30" s="338"/>
      <c r="C30" s="337"/>
      <c r="D30" s="243"/>
      <c r="E30" s="243"/>
      <c r="F30" s="243"/>
      <c r="G30" s="243"/>
      <c r="H30" s="243"/>
      <c r="I30" s="243"/>
      <c r="J30" s="243"/>
      <c r="K30" s="243"/>
      <c r="L30" s="243"/>
      <c r="M30" s="294"/>
      <c r="N30" s="294"/>
      <c r="O30" s="294"/>
      <c r="P30" s="294"/>
      <c r="Q30" s="294"/>
      <c r="R30" s="294"/>
      <c r="S30" s="294"/>
    </row>
    <row r="31" spans="2:20" outlineLevel="1" x14ac:dyDescent="0.2">
      <c r="B31" s="304" t="s">
        <v>432</v>
      </c>
      <c r="K31" s="289"/>
      <c r="L31" s="289"/>
      <c r="M31" s="289"/>
      <c r="N31" s="289"/>
      <c r="O31" s="289"/>
      <c r="P31" s="289"/>
      <c r="Q31" s="289"/>
      <c r="R31" s="289"/>
      <c r="S31" s="289"/>
      <c r="T31" s="242"/>
    </row>
    <row r="32" spans="2:20" outlineLevel="1" x14ac:dyDescent="0.2">
      <c r="K32" s="289"/>
      <c r="L32" s="289"/>
      <c r="M32" s="290"/>
      <c r="N32" s="289"/>
      <c r="O32" s="289"/>
      <c r="P32" s="289"/>
      <c r="Q32" s="289"/>
      <c r="R32" s="289"/>
      <c r="S32" s="289"/>
      <c r="T32" s="242"/>
    </row>
    <row r="33" spans="1:21" outlineLevel="1" x14ac:dyDescent="0.2">
      <c r="B33" s="343">
        <v>0</v>
      </c>
      <c r="C33" s="280" t="s">
        <v>250</v>
      </c>
      <c r="H33" s="344"/>
      <c r="I33" s="232"/>
      <c r="M33" s="345">
        <f>SUMIFS('Forecast capex'!$U$9:$U$1940,'Forecast capex'!$J$9:$J$1940,'Commissioned assets allocation'!M$11,'Forecast capex'!$AE$9:$AE$1940,'Commissioned assets allocation'!$B33,'Forecast capex'!$L$9:$L$1940,$D$12)</f>
        <v>2364857.3487548828</v>
      </c>
      <c r="N33" s="345">
        <f>SUMIFS('Forecast capex'!$U$9:$U$1940,'Forecast capex'!$J$9:$J$1940,'Commissioned assets allocation'!N$11,'Forecast capex'!$AE$9:$AE$1940,'Commissioned assets allocation'!$B33,'Forecast capex'!$L$9:$L$1940,$D$12)</f>
        <v>2042754.636624858</v>
      </c>
      <c r="O33" s="345">
        <f>SUMIFS('Forecast capex'!$U$9:$U$1940,'Forecast capex'!$J$9:$J$1940,'Commissioned assets allocation'!O$11,'Forecast capex'!$AE$9:$AE$1940,'Commissioned assets allocation'!$B33,'Forecast capex'!$L$9:$L$1940,$D$12)</f>
        <v>2916823.0530450782</v>
      </c>
      <c r="P33" s="345">
        <f>SUMIFS('Forecast capex'!$U$9:$U$1940,'Forecast capex'!$J$9:$J$1940,'Commissioned assets allocation'!P$11,'Forecast capex'!$AE$9:$AE$1940,'Commissioned assets allocation'!$B33,'Forecast capex'!$L$9:$L$1940,$D$12)</f>
        <v>59083.127671073074</v>
      </c>
      <c r="Q33" s="345">
        <f>SUMIFS('Forecast capex'!$U$9:$U$1940,'Forecast capex'!$J$9:$J$1940,'Commissioned assets allocation'!Q$11,'Forecast capex'!$AE$9:$AE$1940,'Commissioned assets allocation'!$B33,'Forecast capex'!$L$9:$L$1940,$D$12)</f>
        <v>2426913.652419711</v>
      </c>
      <c r="R33" s="345">
        <f>SUMIFS('Forecast capex'!$U$9:$U$1940,'Forecast capex'!$J$9:$J$1940,'Commissioned assets allocation'!R$11,'Forecast capex'!$AE$9:$AE$1940,'Commissioned assets allocation'!$B33,'Forecast capex'!$L$9:$L$1940,$D$12)</f>
        <v>1299180.6821421375</v>
      </c>
      <c r="S33" s="345">
        <f>SUMIFS('Forecast capex'!$U$9:$U$1940,'Forecast capex'!$J$9:$J$1940,'Commissioned assets allocation'!S$11,'Forecast capex'!$AE$9:$AE$1940,'Commissioned assets allocation'!$B33,'Forecast capex'!$L$9:$L$1940,$D$12)</f>
        <v>908099.02912518126</v>
      </c>
    </row>
    <row r="34" spans="1:21" outlineLevel="1" x14ac:dyDescent="0.2">
      <c r="B34" s="343">
        <v>0.08</v>
      </c>
      <c r="C34" s="280" t="s">
        <v>250</v>
      </c>
      <c r="H34" s="344"/>
      <c r="I34" s="232"/>
      <c r="M34" s="345">
        <f>SUMIFS('Forecast capex'!$U$9:$U$1940,'Forecast capex'!$J$9:$J$1940,'Commissioned assets allocation'!M$11,'Forecast capex'!$AE$9:$AE$1940,'Commissioned assets allocation'!$B34,'Forecast capex'!$L$9:$L$1940,$D$12)</f>
        <v>40669046.991905399</v>
      </c>
      <c r="N34" s="345">
        <f>SUMIFS('Forecast capex'!$U$9:$U$1940,'Forecast capex'!$J$9:$J$1940,'Commissioned assets allocation'!N$11,'Forecast capex'!$AE$9:$AE$1940,'Commissioned assets allocation'!$B34,'Forecast capex'!$L$9:$L$1940,$D$12)</f>
        <v>51688667.484755322</v>
      </c>
      <c r="O34" s="345">
        <f>SUMIFS('Forecast capex'!$U$9:$U$1940,'Forecast capex'!$J$9:$J$1940,'Commissioned assets allocation'!O$11,'Forecast capex'!$AE$9:$AE$1940,'Commissioned assets allocation'!$B34,'Forecast capex'!$L$9:$L$1940,$D$12)</f>
        <v>55774388.651038378</v>
      </c>
      <c r="P34" s="345">
        <f>SUMIFS('Forecast capex'!$U$9:$U$1940,'Forecast capex'!$J$9:$J$1940,'Commissioned assets allocation'!P$11,'Forecast capex'!$AE$9:$AE$1940,'Commissioned assets allocation'!$B34,'Forecast capex'!$L$9:$L$1940,$D$12)</f>
        <v>59501864.447146155</v>
      </c>
      <c r="Q34" s="345">
        <f>SUMIFS('Forecast capex'!$U$9:$U$1940,'Forecast capex'!$J$9:$J$1940,'Commissioned assets allocation'!Q$11,'Forecast capex'!$AE$9:$AE$1940,'Commissioned assets allocation'!$B34,'Forecast capex'!$L$9:$L$1940,$D$12)</f>
        <v>59848600.027242206</v>
      </c>
      <c r="R34" s="345">
        <f>SUMIFS('Forecast capex'!$U$9:$U$1940,'Forecast capex'!$J$9:$J$1940,'Commissioned assets allocation'!R$11,'Forecast capex'!$AE$9:$AE$1940,'Commissioned assets allocation'!$B34,'Forecast capex'!$L$9:$L$1940,$D$12)</f>
        <v>57784669.342716992</v>
      </c>
      <c r="S34" s="345">
        <f>SUMIFS('Forecast capex'!$U$9:$U$1940,'Forecast capex'!$J$9:$J$1940,'Commissioned assets allocation'!S$11,'Forecast capex'!$AE$9:$AE$1940,'Commissioned assets allocation'!$B34,'Forecast capex'!$L$9:$L$1940,$D$12)</f>
        <v>53096131.458203807</v>
      </c>
    </row>
    <row r="35" spans="1:21" s="243" customFormat="1" outlineLevel="1" x14ac:dyDescent="0.2">
      <c r="A35" s="232"/>
      <c r="B35" s="346">
        <v>0.1</v>
      </c>
      <c r="C35" s="280" t="s">
        <v>250</v>
      </c>
      <c r="D35" s="232"/>
      <c r="E35" s="232"/>
      <c r="F35" s="232"/>
      <c r="G35" s="232"/>
      <c r="H35" s="344"/>
      <c r="I35" s="232"/>
      <c r="J35" s="232"/>
      <c r="K35" s="232"/>
      <c r="L35" s="232"/>
      <c r="M35" s="345">
        <f>SUMIFS('Forecast capex'!$U$9:$U$1940,'Forecast capex'!$J$9:$J$1940,'Commissioned assets allocation'!M$11,'Forecast capex'!$AE$9:$AE$1940,'Commissioned assets allocation'!$B35,'Forecast capex'!$L$9:$L$1940,$D$12)</f>
        <v>2056704.6879042459</v>
      </c>
      <c r="N35" s="345">
        <f>SUMIFS('Forecast capex'!$U$9:$U$1940,'Forecast capex'!$J$9:$J$1940,'Commissioned assets allocation'!N$11,'Forecast capex'!$AE$9:$AE$1940,'Commissioned assets allocation'!$B35,'Forecast capex'!$L$9:$L$1940,$D$12)</f>
        <v>1703907.7279775229</v>
      </c>
      <c r="O35" s="345">
        <f>SUMIFS('Forecast capex'!$U$9:$U$1940,'Forecast capex'!$J$9:$J$1940,'Commissioned assets allocation'!O$11,'Forecast capex'!$AE$9:$AE$1940,'Commissioned assets allocation'!$B35,'Forecast capex'!$L$9:$L$1940,$D$12)</f>
        <v>2038880.31507238</v>
      </c>
      <c r="P35" s="345">
        <f>SUMIFS('Forecast capex'!$U$9:$U$1940,'Forecast capex'!$J$9:$J$1940,'Commissioned assets allocation'!P$11,'Forecast capex'!$AE$9:$AE$1940,'Commissioned assets allocation'!$B35,'Forecast capex'!$L$9:$L$1940,$D$12)</f>
        <v>2256045.6903715129</v>
      </c>
      <c r="Q35" s="345">
        <f>SUMIFS('Forecast capex'!$U$9:$U$1940,'Forecast capex'!$J$9:$J$1940,'Commissioned assets allocation'!Q$11,'Forecast capex'!$AE$9:$AE$1940,'Commissioned assets allocation'!$B35,'Forecast capex'!$L$9:$L$1940,$D$12)</f>
        <v>2551523.5997224837</v>
      </c>
      <c r="R35" s="345">
        <f>SUMIFS('Forecast capex'!$U$9:$U$1940,'Forecast capex'!$J$9:$J$1940,'Commissioned assets allocation'!R$11,'Forecast capex'!$AE$9:$AE$1940,'Commissioned assets allocation'!$B35,'Forecast capex'!$L$9:$L$1940,$D$12)</f>
        <v>2554759.8814099585</v>
      </c>
      <c r="S35" s="345">
        <f>SUMIFS('Forecast capex'!$U$9:$U$1940,'Forecast capex'!$J$9:$J$1940,'Commissioned assets allocation'!S$11,'Forecast capex'!$AE$9:$AE$1940,'Commissioned assets allocation'!$B35,'Forecast capex'!$L$9:$L$1940,$D$12)</f>
        <v>2394670.3704137616</v>
      </c>
      <c r="T35" s="232"/>
      <c r="U35" s="232"/>
    </row>
    <row r="36" spans="1:21" outlineLevel="1" x14ac:dyDescent="0.2">
      <c r="B36" s="346">
        <v>0.13</v>
      </c>
      <c r="C36" s="280" t="s">
        <v>250</v>
      </c>
      <c r="H36" s="344"/>
      <c r="I36" s="232"/>
      <c r="M36" s="345">
        <f>SUMIFS('Forecast capex'!$U$9:$U$1940,'Forecast capex'!$J$9:$J$1940,'Commissioned assets allocation'!M$11,'Forecast capex'!$AE$9:$AE$1940,'Commissioned assets allocation'!$B36,'Forecast capex'!$L$9:$L$1940,$D$12)</f>
        <v>388601</v>
      </c>
      <c r="N36" s="345">
        <f>SUMIFS('Forecast capex'!$U$9:$U$1940,'Forecast capex'!$J$9:$J$1940,'Commissioned assets allocation'!N$11,'Forecast capex'!$AE$9:$AE$1940,'Commissioned assets allocation'!$B36,'Forecast capex'!$L$9:$L$1940,$D$12)</f>
        <v>555881.06835989712</v>
      </c>
      <c r="O36" s="345">
        <f>SUMIFS('Forecast capex'!$U$9:$U$1940,'Forecast capex'!$J$9:$J$1940,'Commissioned assets allocation'!O$11,'Forecast capex'!$AE$9:$AE$1940,'Commissioned assets allocation'!$B36,'Forecast capex'!$L$9:$L$1940,$D$12)</f>
        <v>290552.03615957429</v>
      </c>
      <c r="P36" s="345">
        <f>SUMIFS('Forecast capex'!$U$9:$U$1940,'Forecast capex'!$J$9:$J$1940,'Commissioned assets allocation'!P$11,'Forecast capex'!$AE$9:$AE$1940,'Commissioned assets allocation'!$B36,'Forecast capex'!$L$9:$L$1940,$D$12)</f>
        <v>295415.63835536537</v>
      </c>
      <c r="Q36" s="345">
        <f>SUMIFS('Forecast capex'!$U$9:$U$1940,'Forecast capex'!$J$9:$J$1940,'Commissioned assets allocation'!Q$11,'Forecast capex'!$AE$9:$AE$1940,'Commissioned assets allocation'!$B36,'Forecast capex'!$L$9:$L$1940,$D$12)</f>
        <v>300401.40943875321</v>
      </c>
      <c r="R36" s="345">
        <f>SUMIFS('Forecast capex'!$U$9:$U$1940,'Forecast capex'!$J$9:$J$1940,'Commissioned assets allocation'!R$11,'Forecast capex'!$AE$9:$AE$1940,'Commissioned assets allocation'!$B36,'Forecast capex'!$L$9:$L$1940,$D$12)</f>
        <v>305656.33643676329</v>
      </c>
      <c r="S36" s="345">
        <f>SUMIFS('Forecast capex'!$U$9:$U$1940,'Forecast capex'!$J$9:$J$1940,'Commissioned assets allocation'!S$11,'Forecast capex'!$AE$9:$AE$1940,'Commissioned assets allocation'!$B36,'Forecast capex'!$L$9:$L$1940,$D$12)</f>
        <v>311003.39710826264</v>
      </c>
    </row>
    <row r="37" spans="1:21" s="243" customFormat="1" outlineLevel="1" x14ac:dyDescent="0.2">
      <c r="A37" s="232"/>
      <c r="B37" s="346">
        <v>0.2</v>
      </c>
      <c r="C37" s="280" t="s">
        <v>250</v>
      </c>
      <c r="D37" s="232"/>
      <c r="E37" s="232"/>
      <c r="F37" s="232"/>
      <c r="G37" s="232"/>
      <c r="H37" s="344"/>
      <c r="I37" s="232"/>
      <c r="J37" s="232"/>
      <c r="K37" s="232"/>
      <c r="L37" s="232"/>
      <c r="M37" s="345">
        <f>SUMIFS('Forecast capex'!$U$9:$U$1940,'Forecast capex'!$J$9:$J$1940,'Commissioned assets allocation'!M$11,'Forecast capex'!$AE$9:$AE$1940,'Commissioned assets allocation'!$B37,'Forecast capex'!$L$9:$L$1940,$D$12)</f>
        <v>310880.8</v>
      </c>
      <c r="N37" s="345">
        <f>SUMIFS('Forecast capex'!$U$9:$U$1940,'Forecast capex'!$J$9:$J$1940,'Commissioned assets allocation'!N$11,'Forecast capex'!$AE$9:$AE$1940,'Commissioned assets allocation'!$B37,'Forecast capex'!$L$9:$L$1940,$D$12)</f>
        <v>444704.85468791769</v>
      </c>
      <c r="O37" s="345">
        <f>SUMIFS('Forecast capex'!$U$9:$U$1940,'Forecast capex'!$J$9:$J$1940,'Commissioned assets allocation'!O$11,'Forecast capex'!$AE$9:$AE$1940,'Commissioned assets allocation'!$B37,'Forecast capex'!$L$9:$L$1940,$D$12)</f>
        <v>232441.62892765945</v>
      </c>
      <c r="P37" s="345">
        <f>SUMIFS('Forecast capex'!$U$9:$U$1940,'Forecast capex'!$J$9:$J$1940,'Commissioned assets allocation'!P$11,'Forecast capex'!$AE$9:$AE$1940,'Commissioned assets allocation'!$B37,'Forecast capex'!$L$9:$L$1940,$D$12)</f>
        <v>236332.5106842923</v>
      </c>
      <c r="Q37" s="345">
        <f>SUMIFS('Forecast capex'!$U$9:$U$1940,'Forecast capex'!$J$9:$J$1940,'Commissioned assets allocation'!Q$11,'Forecast capex'!$AE$9:$AE$1940,'Commissioned assets allocation'!$B37,'Forecast capex'!$L$9:$L$1940,$D$12)</f>
        <v>240321.12755100257</v>
      </c>
      <c r="R37" s="345">
        <f>SUMIFS('Forecast capex'!$U$9:$U$1940,'Forecast capex'!$J$9:$J$1940,'Commissioned assets allocation'!R$11,'Forecast capex'!$AE$9:$AE$1940,'Commissioned assets allocation'!$B37,'Forecast capex'!$L$9:$L$1940,$D$12)</f>
        <v>244525.06914941064</v>
      </c>
      <c r="S37" s="345">
        <f>SUMIFS('Forecast capex'!$U$9:$U$1940,'Forecast capex'!$J$9:$J$1940,'Commissioned assets allocation'!S$11,'Forecast capex'!$AE$9:$AE$1940,'Commissioned assets allocation'!$B37,'Forecast capex'!$L$9:$L$1940,$D$12)</f>
        <v>248802.29549047144</v>
      </c>
      <c r="T37" s="232"/>
      <c r="U37" s="232"/>
    </row>
    <row r="38" spans="1:21" outlineLevel="1" x14ac:dyDescent="0.2">
      <c r="B38" s="346">
        <v>0.5</v>
      </c>
      <c r="C38" s="280" t="s">
        <v>250</v>
      </c>
      <c r="H38" s="344"/>
      <c r="I38" s="232"/>
      <c r="M38" s="345">
        <f>SUMIFS('Forecast capex'!$U$9:$U$1940,'Forecast capex'!$J$9:$J$1940,'Commissioned assets allocation'!M$11,'Forecast capex'!$AE$9:$AE$1940,'Commissioned assets allocation'!$B38,'Forecast capex'!$L$9:$L$1940,$D$12)</f>
        <v>2916100</v>
      </c>
      <c r="N38" s="345">
        <f>SUMIFS('Forecast capex'!$U$9:$U$1940,'Forecast capex'!$J$9:$J$1940,'Commissioned assets allocation'!N$11,'Forecast capex'!$AE$9:$AE$1940,'Commissioned assets allocation'!$B38,'Forecast capex'!$L$9:$L$1940,$D$12)</f>
        <v>3271072.5402355758</v>
      </c>
      <c r="O38" s="345">
        <f>SUMIFS('Forecast capex'!$U$9:$U$1940,'Forecast capex'!$J$9:$J$1940,'Commissioned assets allocation'!O$11,'Forecast capex'!$AE$9:$AE$1940,'Commissioned assets allocation'!$B38,'Forecast capex'!$L$9:$L$1940,$D$12)</f>
        <v>5563063.5107555427</v>
      </c>
      <c r="P38" s="345">
        <f>SUMIFS('Forecast capex'!$U$9:$U$1940,'Forecast capex'!$J$9:$J$1940,'Commissioned assets allocation'!P$11,'Forecast capex'!$AE$9:$AE$1940,'Commissioned assets allocation'!$B38,'Forecast capex'!$L$9:$L$1940,$D$12)</f>
        <v>2205695.6536695343</v>
      </c>
      <c r="Q38" s="345">
        <f>SUMIFS('Forecast capex'!$U$9:$U$1940,'Forecast capex'!$J$9:$J$1940,'Commissioned assets allocation'!Q$11,'Forecast capex'!$AE$9:$AE$1940,'Commissioned assets allocation'!$B38,'Forecast capex'!$L$9:$L$1940,$D$12)</f>
        <v>1845849.2628426882</v>
      </c>
      <c r="R38" s="345">
        <f>SUMIFS('Forecast capex'!$U$9:$U$1940,'Forecast capex'!$J$9:$J$1940,'Commissioned assets allocation'!R$11,'Forecast capex'!$AE$9:$AE$1940,'Commissioned assets allocation'!$B38,'Forecast capex'!$L$9:$L$1940,$D$12)</f>
        <v>1692508.7442884129</v>
      </c>
      <c r="S38" s="345">
        <f>SUMIFS('Forecast capex'!$U$9:$U$1940,'Forecast capex'!$J$9:$J$1940,'Commissioned assets allocation'!S$11,'Forecast capex'!$AE$9:$AE$1940,'Commissioned assets allocation'!$B38,'Forecast capex'!$L$9:$L$1940,$D$12)</f>
        <v>1666563.7052196956</v>
      </c>
    </row>
    <row r="39" spans="1:21" outlineLevel="1" x14ac:dyDescent="0.2">
      <c r="B39" s="343">
        <v>1</v>
      </c>
      <c r="C39" s="280" t="s">
        <v>250</v>
      </c>
      <c r="H39" s="344"/>
      <c r="I39" s="232"/>
      <c r="M39" s="345">
        <f>SUMIFS('Forecast capex'!$U$9:$U$1940,'Forecast capex'!$J$9:$J$1940,'Commissioned assets allocation'!M$11,'Forecast capex'!$AE$9:$AE$1940,'Commissioned assets allocation'!$B39,'Forecast capex'!$L$9:$L$1940,$D$12)</f>
        <v>0</v>
      </c>
      <c r="N39" s="345">
        <f>SUMIFS('Forecast capex'!$U$9:$U$1940,'Forecast capex'!$J$9:$J$1940,'Commissioned assets allocation'!N$11,'Forecast capex'!$AE$9:$AE$1940,'Commissioned assets allocation'!$B39,'Forecast capex'!$L$9:$L$1940,$D$12)</f>
        <v>0</v>
      </c>
      <c r="O39" s="345">
        <f>SUMIFS('Forecast capex'!$U$9:$U$1940,'Forecast capex'!$J$9:$J$1940,'Commissioned assets allocation'!O$11,'Forecast capex'!$AE$9:$AE$1940,'Commissioned assets allocation'!$B39,'Forecast capex'!$L$9:$L$1940,$D$12)</f>
        <v>0</v>
      </c>
      <c r="P39" s="345">
        <f>SUMIFS('Forecast capex'!$U$9:$U$1940,'Forecast capex'!$J$9:$J$1940,'Commissioned assets allocation'!P$11,'Forecast capex'!$AE$9:$AE$1940,'Commissioned assets allocation'!$B39,'Forecast capex'!$L$9:$L$1940,$D$12)</f>
        <v>0</v>
      </c>
      <c r="Q39" s="345">
        <f>SUMIFS('Forecast capex'!$U$9:$U$1940,'Forecast capex'!$J$9:$J$1940,'Commissioned assets allocation'!Q$11,'Forecast capex'!$AE$9:$AE$1940,'Commissioned assets allocation'!$B39,'Forecast capex'!$L$9:$L$1940,$D$12)</f>
        <v>0</v>
      </c>
      <c r="R39" s="345">
        <f>SUMIFS('Forecast capex'!$U$9:$U$1940,'Forecast capex'!$J$9:$J$1940,'Commissioned assets allocation'!R$11,'Forecast capex'!$AE$9:$AE$1940,'Commissioned assets allocation'!$B39,'Forecast capex'!$L$9:$L$1940,$D$12)</f>
        <v>0</v>
      </c>
      <c r="S39" s="345">
        <f>SUMIFS('Forecast capex'!$U$9:$U$1940,'Forecast capex'!$J$9:$J$1940,'Commissioned assets allocation'!S$11,'Forecast capex'!$AE$9:$AE$1940,'Commissioned assets allocation'!$B39,'Forecast capex'!$L$9:$L$1940,$D$12)</f>
        <v>0</v>
      </c>
    </row>
    <row r="40" spans="1:21" outlineLevel="1" x14ac:dyDescent="0.2">
      <c r="B40" s="243" t="s">
        <v>49</v>
      </c>
      <c r="C40" s="337" t="s">
        <v>250</v>
      </c>
      <c r="D40" s="243"/>
      <c r="E40" s="243"/>
      <c r="F40" s="243"/>
      <c r="G40" s="243"/>
      <c r="I40" s="243"/>
      <c r="J40" s="243"/>
      <c r="K40" s="243"/>
      <c r="L40" s="243"/>
      <c r="M40" s="235">
        <f t="shared" ref="M40:S40" si="2">SUM(M33:M39)</f>
        <v>48706190.828564525</v>
      </c>
      <c r="N40" s="235">
        <f t="shared" si="2"/>
        <v>59706988.312641092</v>
      </c>
      <c r="O40" s="235">
        <f t="shared" si="2"/>
        <v>66816149.194998622</v>
      </c>
      <c r="P40" s="235">
        <f t="shared" si="2"/>
        <v>64554437.067897931</v>
      </c>
      <c r="Q40" s="235">
        <f t="shared" si="2"/>
        <v>67213609.079216838</v>
      </c>
      <c r="R40" s="235">
        <f t="shared" si="2"/>
        <v>63881300.056143679</v>
      </c>
      <c r="S40" s="235">
        <f t="shared" si="2"/>
        <v>58625270.255561188</v>
      </c>
    </row>
    <row r="41" spans="1:21" outlineLevel="1" x14ac:dyDescent="0.2">
      <c r="M41" s="229"/>
      <c r="N41" s="229"/>
      <c r="O41" s="229"/>
      <c r="P41" s="229"/>
      <c r="Q41" s="229"/>
      <c r="R41" s="229"/>
      <c r="S41" s="229"/>
    </row>
    <row r="42" spans="1:21" outlineLevel="1" x14ac:dyDescent="0.2">
      <c r="B42" s="242" t="s">
        <v>224</v>
      </c>
      <c r="C42" s="280" t="s">
        <v>58</v>
      </c>
      <c r="D42" s="297">
        <f>SUM(H42:S42)</f>
        <v>0</v>
      </c>
      <c r="E42" s="298"/>
      <c r="H42" s="229"/>
      <c r="I42" s="230"/>
      <c r="J42" s="229"/>
      <c r="K42" s="229"/>
      <c r="L42" s="229"/>
      <c r="M42" s="228">
        <f>M40-SUMIFS('Forecast capex'!$U$9:$U$1940,'Forecast capex'!$J$9:$J$1940,'Commissioned assets allocation'!M$11,'Forecast capex'!$L$9:$L$1940,$D$12)</f>
        <v>0</v>
      </c>
      <c r="N42" s="228">
        <f>N40-SUMIFS('Forecast capex'!$U$9:$U$1940,'Forecast capex'!$J$9:$J$1940,'Commissioned assets allocation'!N$11,'Forecast capex'!$L$9:$L$1940,$D$12)</f>
        <v>0</v>
      </c>
      <c r="O42" s="228">
        <f>O40-SUMIFS('Forecast capex'!$U$9:$U$1940,'Forecast capex'!$J$9:$J$1940,'Commissioned assets allocation'!O$11,'Forecast capex'!$L$9:$L$1940,$D$12)</f>
        <v>0</v>
      </c>
      <c r="P42" s="228">
        <f>P40-SUMIFS('Forecast capex'!$U$9:$U$1940,'Forecast capex'!$J$9:$J$1940,'Commissioned assets allocation'!P$11,'Forecast capex'!$L$9:$L$1940,$D$12)</f>
        <v>0</v>
      </c>
      <c r="Q42" s="228">
        <f>Q40-SUMIFS('Forecast capex'!$U$9:$U$1940,'Forecast capex'!$J$9:$J$1940,'Commissioned assets allocation'!Q$11,'Forecast capex'!$L$9:$L$1940,$D$12)</f>
        <v>0</v>
      </c>
      <c r="R42" s="228">
        <f>R40-SUMIFS('Forecast capex'!$U$9:$U$1940,'Forecast capex'!$J$9:$J$1940,'Commissioned assets allocation'!R$11,'Forecast capex'!$L$9:$L$1940,$D$12)</f>
        <v>0</v>
      </c>
      <c r="S42" s="228">
        <f>S40-SUMIFS('Forecast capex'!$U$9:$U$1940,'Forecast capex'!$J$9:$J$1940,'Commissioned assets allocation'!S$11,'Forecast capex'!$L$9:$L$1940,$D$12)</f>
        <v>0</v>
      </c>
    </row>
    <row r="43" spans="1:21" outlineLevel="1" x14ac:dyDescent="0.2">
      <c r="B43" s="338"/>
      <c r="C43" s="337"/>
      <c r="D43" s="243"/>
      <c r="E43" s="243"/>
      <c r="F43" s="243"/>
      <c r="G43" s="243"/>
      <c r="I43" s="243"/>
      <c r="J43" s="243"/>
      <c r="K43" s="243"/>
      <c r="L43" s="243"/>
      <c r="M43" s="294"/>
      <c r="N43" s="294"/>
      <c r="O43" s="294"/>
      <c r="P43" s="294"/>
      <c r="Q43" s="294"/>
      <c r="R43" s="294"/>
      <c r="S43" s="294"/>
    </row>
    <row r="44" spans="1:21" outlineLevel="1" x14ac:dyDescent="0.2">
      <c r="B44" s="287" t="s">
        <v>75</v>
      </c>
    </row>
    <row r="45" spans="1:21" outlineLevel="1" x14ac:dyDescent="0.2">
      <c r="B45" s="287"/>
    </row>
    <row r="46" spans="1:21" outlineLevel="1" x14ac:dyDescent="0.2">
      <c r="B46" s="229" t="s">
        <v>95</v>
      </c>
      <c r="C46" s="280" t="s">
        <v>250</v>
      </c>
      <c r="M46" s="290">
        <f>SUMIFS('Forecast capex'!$U$9:$U$1940,'Forecast capex'!$AD$9:$AD$1940,'Commissioned assets allocation'!$B46,'Forecast capex'!$J$9:$J$1940,'Commissioned assets allocation'!M$11,'Forecast capex'!$L$9:$L$1940,$D$12)</f>
        <v>5051584.9263585405</v>
      </c>
      <c r="N46" s="290">
        <f>SUMIFS('Forecast capex'!$U$9:$U$1940,'Forecast capex'!$AD$9:$AD$1940,'Commissioned assets allocation'!$B46,'Forecast capex'!$J$9:$J$1940,'Commissioned assets allocation'!N$11,'Forecast capex'!$L$9:$L$1940,$D$12)</f>
        <v>3684363.4001495657</v>
      </c>
      <c r="O46" s="290">
        <f>SUMIFS('Forecast capex'!$U$9:$U$1940,'Forecast capex'!$AD$9:$AD$1940,'Commissioned assets allocation'!$B46,'Forecast capex'!$J$9:$J$1940,'Commissioned assets allocation'!O$11,'Forecast capex'!$L$9:$L$1940,$D$12)</f>
        <v>2909290.9070714847</v>
      </c>
      <c r="P46" s="290">
        <f>SUMIFS('Forecast capex'!$U$9:$U$1940,'Forecast capex'!$AD$9:$AD$1940,'Commissioned assets allocation'!$B46,'Forecast capex'!$J$9:$J$1940,'Commissioned assets allocation'!P$11,'Forecast capex'!$L$9:$L$1940,$D$12)</f>
        <v>2968565.9189449549</v>
      </c>
      <c r="Q46" s="290">
        <f>SUMIFS('Forecast capex'!$U$9:$U$1940,'Forecast capex'!$AD$9:$AD$1940,'Commissioned assets allocation'!$B46,'Forecast capex'!$J$9:$J$1940,'Commissioned assets allocation'!Q$11,'Forecast capex'!$L$9:$L$1940,$D$12)</f>
        <v>4166973.6196727734</v>
      </c>
      <c r="R46" s="290">
        <f>SUMIFS('Forecast capex'!$U$9:$U$1940,'Forecast capex'!$AD$9:$AD$1940,'Commissioned assets allocation'!$B46,'Forecast capex'!$J$9:$J$1940,'Commissioned assets allocation'!R$11,'Forecast capex'!$L$9:$L$1940,$D$12)</f>
        <v>4901467.8473413559</v>
      </c>
      <c r="S46" s="290">
        <f>SUMIFS('Forecast capex'!$U$9:$U$1940,'Forecast capex'!$AD$9:$AD$1940,'Commissioned assets allocation'!$B46,'Forecast capex'!$J$9:$J$1940,'Commissioned assets allocation'!S$11,'Forecast capex'!$L$9:$L$1940,$D$12)</f>
        <v>5885307.2081952905</v>
      </c>
    </row>
    <row r="47" spans="1:21" outlineLevel="1" x14ac:dyDescent="0.2">
      <c r="B47" s="232" t="s">
        <v>77</v>
      </c>
      <c r="C47" s="280" t="s">
        <v>250</v>
      </c>
      <c r="M47" s="290">
        <f>SUMIFS('Forecast capex'!$U$9:$U$1940,'Forecast capex'!$AD$9:$AD$1940,'Commissioned assets allocation'!$B47,'Forecast capex'!$J$9:$J$1940,'Commissioned assets allocation'!M$11,'Forecast capex'!$L$9:$L$1940,$D$12)</f>
        <v>3953400.3096105973</v>
      </c>
      <c r="N47" s="290">
        <f>SUMIFS('Forecast capex'!$U$9:$U$1940,'Forecast capex'!$AD$9:$AD$1940,'Commissioned assets allocation'!$B47,'Forecast capex'!$J$9:$J$1940,'Commissioned assets allocation'!N$11,'Forecast capex'!$L$9:$L$1940,$D$12)</f>
        <v>4086791.6551921619</v>
      </c>
      <c r="O47" s="290">
        <f>SUMIFS('Forecast capex'!$U$9:$U$1940,'Forecast capex'!$AD$9:$AD$1940,'Commissioned assets allocation'!$B47,'Forecast capex'!$J$9:$J$1940,'Commissioned assets allocation'!O$11,'Forecast capex'!$L$9:$L$1940,$D$12)</f>
        <v>2916066.0854035281</v>
      </c>
      <c r="P47" s="290">
        <f>SUMIFS('Forecast capex'!$U$9:$U$1940,'Forecast capex'!$AD$9:$AD$1940,'Commissioned assets allocation'!$B47,'Forecast capex'!$J$9:$J$1940,'Commissioned assets allocation'!P$11,'Forecast capex'!$L$9:$L$1940,$D$12)</f>
        <v>2350237.5269809379</v>
      </c>
      <c r="Q47" s="290">
        <f>SUMIFS('Forecast capex'!$U$9:$U$1940,'Forecast capex'!$AD$9:$AD$1940,'Commissioned assets allocation'!$B47,'Forecast capex'!$J$9:$J$1940,'Commissioned assets allocation'!Q$11,'Forecast capex'!$L$9:$L$1940,$D$12)</f>
        <v>4587457.4280662937</v>
      </c>
      <c r="R47" s="290">
        <f>SUMIFS('Forecast capex'!$U$9:$U$1940,'Forecast capex'!$AD$9:$AD$1940,'Commissioned assets allocation'!$B47,'Forecast capex'!$J$9:$J$1940,'Commissioned assets allocation'!R$11,'Forecast capex'!$L$9:$L$1940,$D$12)</f>
        <v>3203485.5710851466</v>
      </c>
      <c r="S47" s="290">
        <f>SUMIFS('Forecast capex'!$U$9:$U$1940,'Forecast capex'!$AD$9:$AD$1940,'Commissioned assets allocation'!$B47,'Forecast capex'!$J$9:$J$1940,'Commissioned assets allocation'!S$11,'Forecast capex'!$L$9:$L$1940,$D$12)</f>
        <v>3348421.4823330184</v>
      </c>
    </row>
    <row r="48" spans="1:21" outlineLevel="1" x14ac:dyDescent="0.2">
      <c r="B48" s="232" t="s">
        <v>100</v>
      </c>
      <c r="C48" s="280" t="s">
        <v>250</v>
      </c>
      <c r="M48" s="290">
        <f>SUMIFS('Forecast capex'!$U$9:$U$1940,'Forecast capex'!$AD$9:$AD$1940,'Commissioned assets allocation'!$B48,'Forecast capex'!$J$9:$J$1940,'Commissioned assets allocation'!M$11,'Forecast capex'!$L$9:$L$1940,$D$12)</f>
        <v>34010696.750610806</v>
      </c>
      <c r="N48" s="290">
        <f>SUMIFS('Forecast capex'!$U$9:$U$1940,'Forecast capex'!$AD$9:$AD$1940,'Commissioned assets allocation'!$B48,'Forecast capex'!$J$9:$J$1940,'Commissioned assets allocation'!N$11,'Forecast capex'!$L$9:$L$1940,$D$12)</f>
        <v>46532762.131602682</v>
      </c>
      <c r="O48" s="290">
        <f>SUMIFS('Forecast capex'!$U$9:$U$1940,'Forecast capex'!$AD$9:$AD$1940,'Commissioned assets allocation'!$B48,'Forecast capex'!$J$9:$J$1940,'Commissioned assets allocation'!O$11,'Forecast capex'!$L$9:$L$1940,$D$12)</f>
        <v>53643971.577086553</v>
      </c>
      <c r="P48" s="290">
        <f>SUMIFS('Forecast capex'!$U$9:$U$1940,'Forecast capex'!$AD$9:$AD$1940,'Commissioned assets allocation'!$B48,'Forecast capex'!$J$9:$J$1940,'Commissioned assets allocation'!P$11,'Forecast capex'!$L$9:$L$1940,$D$12)</f>
        <v>55212924.658398293</v>
      </c>
      <c r="Q48" s="290">
        <f>SUMIFS('Forecast capex'!$U$9:$U$1940,'Forecast capex'!$AD$9:$AD$1940,'Commissioned assets allocation'!$B48,'Forecast capex'!$J$9:$J$1940,'Commissioned assets allocation'!Q$11,'Forecast capex'!$L$9:$L$1940,$D$12)</f>
        <v>55001929.882901154</v>
      </c>
      <c r="R48" s="290">
        <f>SUMIFS('Forecast capex'!$U$9:$U$1940,'Forecast capex'!$AD$9:$AD$1940,'Commissioned assets allocation'!$B48,'Forecast capex'!$J$9:$J$1940,'Commissioned assets allocation'!R$11,'Forecast capex'!$L$9:$L$1940,$D$12)</f>
        <v>51738844.670145772</v>
      </c>
      <c r="S48" s="290">
        <f>SUMIFS('Forecast capex'!$U$9:$U$1940,'Forecast capex'!$AD$9:$AD$1940,'Commissioned assets allocation'!$B48,'Forecast capex'!$J$9:$J$1940,'Commissioned assets allocation'!S$11,'Forecast capex'!$L$9:$L$1940,$D$12)</f>
        <v>45573096.434439488</v>
      </c>
    </row>
    <row r="49" spans="1:21" outlineLevel="1" x14ac:dyDescent="0.2">
      <c r="B49" s="232" t="s">
        <v>93</v>
      </c>
      <c r="C49" s="280" t="s">
        <v>250</v>
      </c>
      <c r="M49" s="290">
        <f>SUMIFS('Forecast capex'!$U$9:$U$1940,'Forecast capex'!$AD$9:$AD$1940,'Commissioned assets allocation'!$B49,'Forecast capex'!$J$9:$J$1940,'Commissioned assets allocation'!M$11,'Forecast capex'!$L$9:$L$1940,$D$12)</f>
        <v>839747.52322848514</v>
      </c>
      <c r="N49" s="290">
        <f>SUMIFS('Forecast capex'!$U$9:$U$1940,'Forecast capex'!$AD$9:$AD$1940,'Commissioned assets allocation'!$B49,'Forecast capex'!$J$9:$J$1940,'Commissioned assets allocation'!N$11,'Forecast capex'!$L$9:$L$1940,$D$12)</f>
        <v>778908.52184152557</v>
      </c>
      <c r="O49" s="290">
        <f>SUMIFS('Forecast capex'!$U$9:$U$1940,'Forecast capex'!$AD$9:$AD$1940,'Commissioned assets allocation'!$B49,'Forecast capex'!$J$9:$J$1940,'Commissioned assets allocation'!O$11,'Forecast capex'!$L$9:$L$1940,$D$12)</f>
        <v>750949.91368008265</v>
      </c>
      <c r="P49" s="290">
        <f>SUMIFS('Forecast capex'!$U$9:$U$1940,'Forecast capex'!$AD$9:$AD$1940,'Commissioned assets allocation'!$B49,'Forecast capex'!$J$9:$J$1940,'Commissioned assets allocation'!P$11,'Forecast capex'!$L$9:$L$1940,$D$12)</f>
        <v>766917.76552372007</v>
      </c>
      <c r="Q49" s="290">
        <f>SUMIFS('Forecast capex'!$U$9:$U$1940,'Forecast capex'!$AD$9:$AD$1940,'Commissioned assets allocation'!$B49,'Forecast capex'!$J$9:$J$1940,'Commissioned assets allocation'!Q$11,'Forecast capex'!$L$9:$L$1940,$D$12)</f>
        <v>780594.66336080327</v>
      </c>
      <c r="R49" s="290">
        <f>SUMIFS('Forecast capex'!$U$9:$U$1940,'Forecast capex'!$AD$9:$AD$1940,'Commissioned assets allocation'!$B49,'Forecast capex'!$J$9:$J$1940,'Commissioned assets allocation'!R$11,'Forecast capex'!$L$9:$L$1940,$D$12)</f>
        <v>797352.15606544423</v>
      </c>
      <c r="S49" s="290">
        <f>SUMIFS('Forecast capex'!$U$9:$U$1940,'Forecast capex'!$AD$9:$AD$1940,'Commissioned assets allocation'!$B49,'Forecast capex'!$J$9:$J$1940,'Commissioned assets allocation'!S$11,'Forecast capex'!$L$9:$L$1940,$D$12)</f>
        <v>814487.79380040255</v>
      </c>
    </row>
    <row r="50" spans="1:21" outlineLevel="1" x14ac:dyDescent="0.2">
      <c r="C50" s="280"/>
      <c r="M50" s="229"/>
      <c r="N50" s="229"/>
      <c r="O50" s="229"/>
      <c r="P50" s="229"/>
      <c r="Q50" s="229"/>
      <c r="R50" s="229"/>
      <c r="S50" s="229"/>
    </row>
    <row r="51" spans="1:21" outlineLevel="1" x14ac:dyDescent="0.2">
      <c r="B51" s="243" t="s">
        <v>270</v>
      </c>
      <c r="C51" s="280"/>
      <c r="M51" s="229"/>
      <c r="N51" s="229"/>
      <c r="O51" s="229"/>
      <c r="P51" s="229"/>
      <c r="Q51" s="229"/>
      <c r="R51" s="229"/>
      <c r="S51" s="229"/>
    </row>
    <row r="52" spans="1:21" outlineLevel="1" x14ac:dyDescent="0.2">
      <c r="B52" s="229" t="s">
        <v>97</v>
      </c>
      <c r="C52" s="280" t="s">
        <v>250</v>
      </c>
      <c r="M52" s="290">
        <f>SUMIFS('Forecast capex'!$U$9:$U$1940,'Forecast capex'!$AD$9:$AD$1940,'Commissioned assets allocation'!$B52,'Forecast capex'!$J$9:$J$1940,'Commissioned assets allocation'!M$11,'Forecast capex'!$L$9:$L$1940,$D$12)</f>
        <v>1157459.3187561035</v>
      </c>
      <c r="N52" s="290">
        <f>SUMIFS('Forecast capex'!$U$9:$U$1940,'Forecast capex'!$AD$9:$AD$1940,'Commissioned assets allocation'!$B52,'Forecast capex'!$J$9:$J$1940,'Commissioned assets allocation'!N$11,'Forecast capex'!$L$9:$L$1940,$D$12)</f>
        <v>241327.9268997928</v>
      </c>
      <c r="O52" s="290">
        <f>SUMIFS('Forecast capex'!$U$9:$U$1940,'Forecast capex'!$AD$9:$AD$1940,'Commissioned assets allocation'!$B52,'Forecast capex'!$J$9:$J$1940,'Commissioned assets allocation'!O$11,'Forecast capex'!$L$9:$L$1940,$D$12)</f>
        <v>451703.12868227664</v>
      </c>
      <c r="P52" s="290">
        <f>SUMIFS('Forecast capex'!$U$9:$U$1940,'Forecast capex'!$AD$9:$AD$1940,'Commissioned assets allocation'!$B52,'Forecast capex'!$J$9:$J$1940,'Commissioned assets allocation'!P$11,'Forecast capex'!$L$9:$L$1940,$D$12)</f>
        <v>459264.26766978065</v>
      </c>
      <c r="Q52" s="290">
        <f>SUMIFS('Forecast capex'!$U$9:$U$1940,'Forecast capex'!$AD$9:$AD$1940,'Commissioned assets allocation'!$B52,'Forecast capex'!$J$9:$J$1940,'Commissioned assets allocation'!Q$11,'Forecast capex'!$L$9:$L$1940,$D$12)</f>
        <v>230001.40349560752</v>
      </c>
      <c r="R52" s="290">
        <f>SUMIFS('Forecast capex'!$U$9:$U$1940,'Forecast capex'!$AD$9:$AD$1940,'Commissioned assets allocation'!$B52,'Forecast capex'!$J$9:$J$1940,'Commissioned assets allocation'!R$11,'Forecast capex'!$L$9:$L$1940,$D$12)</f>
        <v>936328.39434401295</v>
      </c>
      <c r="S52" s="290">
        <f>SUMIFS('Forecast capex'!$U$9:$U$1940,'Forecast capex'!$AD$9:$AD$1940,'Commissioned assets allocation'!$B52,'Forecast capex'!$J$9:$J$1940,'Commissioned assets allocation'!S$11,'Forecast capex'!$L$9:$L$1940,$D$12)</f>
        <v>715386.83735676634</v>
      </c>
    </row>
    <row r="53" spans="1:21" outlineLevel="1" x14ac:dyDescent="0.2">
      <c r="B53" s="229" t="s">
        <v>121</v>
      </c>
      <c r="C53" s="280" t="s">
        <v>250</v>
      </c>
      <c r="M53" s="290">
        <f>SUMIFS('Forecast capex'!$U$9:$U$1940,'Forecast capex'!$AD$9:$AD$1940,'Commissioned assets allocation'!$B53,'Forecast capex'!$J$9:$J$1940,'Commissioned assets allocation'!M$11,'Forecast capex'!$L$9:$L$1940,$D$12)</f>
        <v>0</v>
      </c>
      <c r="N53" s="290">
        <f>SUMIFS('Forecast capex'!$U$9:$U$1940,'Forecast capex'!$AD$9:$AD$1940,'Commissioned assets allocation'!$B53,'Forecast capex'!$J$9:$J$1940,'Commissioned assets allocation'!N$11,'Forecast capex'!$L$9:$L$1940,$D$12)</f>
        <v>0</v>
      </c>
      <c r="O53" s="290">
        <f>SUMIFS('Forecast capex'!$U$9:$U$1940,'Forecast capex'!$AD$9:$AD$1940,'Commissioned assets allocation'!$B53,'Forecast capex'!$J$9:$J$1940,'Commissioned assets allocation'!O$11,'Forecast capex'!$L$9:$L$1940,$D$12)</f>
        <v>0</v>
      </c>
      <c r="P53" s="290">
        <f>SUMIFS('Forecast capex'!$U$9:$U$1940,'Forecast capex'!$AD$9:$AD$1940,'Commissioned assets allocation'!$B53,'Forecast capex'!$J$9:$J$1940,'Commissioned assets allocation'!P$11,'Forecast capex'!$L$9:$L$1940,$D$12)</f>
        <v>0</v>
      </c>
      <c r="Q53" s="290">
        <f>SUMIFS('Forecast capex'!$U$9:$U$1940,'Forecast capex'!$AD$9:$AD$1940,'Commissioned assets allocation'!$B53,'Forecast capex'!$J$9:$J$1940,'Commissioned assets allocation'!Q$11,'Forecast capex'!$L$9:$L$1940,$D$12)</f>
        <v>0</v>
      </c>
      <c r="R53" s="290">
        <f>SUMIFS('Forecast capex'!$U$9:$U$1940,'Forecast capex'!$AD$9:$AD$1940,'Commissioned assets allocation'!$B53,'Forecast capex'!$J$9:$J$1940,'Commissioned assets allocation'!R$11,'Forecast capex'!$L$9:$L$1940,$D$12)</f>
        <v>0</v>
      </c>
      <c r="S53" s="290">
        <f>SUMIFS('Forecast capex'!$U$9:$U$1940,'Forecast capex'!$AD$9:$AD$1940,'Commissioned assets allocation'!$B53,'Forecast capex'!$J$9:$J$1940,'Commissioned assets allocation'!S$11,'Forecast capex'!$L$9:$L$1940,$D$12)</f>
        <v>0</v>
      </c>
      <c r="T53" s="229"/>
    </row>
    <row r="54" spans="1:21" outlineLevel="1" x14ac:dyDescent="0.2">
      <c r="B54" s="232" t="s">
        <v>122</v>
      </c>
      <c r="C54" s="280" t="s">
        <v>250</v>
      </c>
      <c r="M54" s="290">
        <f>SUMIFS('Forecast capex'!$U$9:$U$1940,'Forecast capex'!$AD$9:$AD$1940,'Commissioned assets allocation'!$B54,'Forecast capex'!$J$9:$J$1940,'Commissioned assets allocation'!M$11,'Forecast capex'!$L$9:$L$1940,$D$12)</f>
        <v>0</v>
      </c>
      <c r="N54" s="290">
        <f>SUMIFS('Forecast capex'!$U$9:$U$1940,'Forecast capex'!$AD$9:$AD$1940,'Commissioned assets allocation'!$B54,'Forecast capex'!$J$9:$J$1940,'Commissioned assets allocation'!N$11,'Forecast capex'!$L$9:$L$1940,$D$12)</f>
        <v>0</v>
      </c>
      <c r="O54" s="290">
        <f>SUMIFS('Forecast capex'!$U$9:$U$1940,'Forecast capex'!$AD$9:$AD$1940,'Commissioned assets allocation'!$B54,'Forecast capex'!$J$9:$J$1940,'Commissioned assets allocation'!O$11,'Forecast capex'!$L$9:$L$1940,$D$12)</f>
        <v>0</v>
      </c>
      <c r="P54" s="290">
        <f>SUMIFS('Forecast capex'!$U$9:$U$1940,'Forecast capex'!$AD$9:$AD$1940,'Commissioned assets allocation'!$B54,'Forecast capex'!$J$9:$J$1940,'Commissioned assets allocation'!P$11,'Forecast capex'!$L$9:$L$1940,$D$12)</f>
        <v>0</v>
      </c>
      <c r="Q54" s="290">
        <f>SUMIFS('Forecast capex'!$U$9:$U$1940,'Forecast capex'!$AD$9:$AD$1940,'Commissioned assets allocation'!$B54,'Forecast capex'!$J$9:$J$1940,'Commissioned assets allocation'!Q$11,'Forecast capex'!$L$9:$L$1940,$D$12)</f>
        <v>0</v>
      </c>
      <c r="R54" s="290">
        <f>SUMIFS('Forecast capex'!$U$9:$U$1940,'Forecast capex'!$AD$9:$AD$1940,'Commissioned assets allocation'!$B54,'Forecast capex'!$J$9:$J$1940,'Commissioned assets allocation'!R$11,'Forecast capex'!$L$9:$L$1940,$D$12)</f>
        <v>0</v>
      </c>
      <c r="S54" s="290">
        <f>SUMIFS('Forecast capex'!$U$9:$U$1940,'Forecast capex'!$AD$9:$AD$1940,'Commissioned assets allocation'!$B54,'Forecast capex'!$J$9:$J$1940,'Commissioned assets allocation'!S$11,'Forecast capex'!$L$9:$L$1940,$D$12)</f>
        <v>0</v>
      </c>
    </row>
    <row r="55" spans="1:21" outlineLevel="1" x14ac:dyDescent="0.2">
      <c r="A55" s="243"/>
      <c r="B55" s="243" t="s">
        <v>272</v>
      </c>
      <c r="C55" s="337" t="s">
        <v>250</v>
      </c>
      <c r="D55" s="243"/>
      <c r="E55" s="243"/>
      <c r="F55" s="243"/>
      <c r="G55" s="243"/>
      <c r="H55" s="243"/>
      <c r="I55" s="335"/>
      <c r="J55" s="243"/>
      <c r="K55" s="243"/>
      <c r="M55" s="233">
        <f>SUM(M52:M54)</f>
        <v>1157459.3187561035</v>
      </c>
      <c r="N55" s="233">
        <f t="shared" ref="N55:S55" si="3">SUM(N52:N54)</f>
        <v>241327.9268997928</v>
      </c>
      <c r="O55" s="233">
        <f t="shared" si="3"/>
        <v>451703.12868227664</v>
      </c>
      <c r="P55" s="233">
        <f t="shared" si="3"/>
        <v>459264.26766978065</v>
      </c>
      <c r="Q55" s="233">
        <f t="shared" si="3"/>
        <v>230001.40349560752</v>
      </c>
      <c r="R55" s="233">
        <f t="shared" si="3"/>
        <v>936328.39434401295</v>
      </c>
      <c r="S55" s="233">
        <f t="shared" si="3"/>
        <v>715386.83735676634</v>
      </c>
      <c r="T55" s="243"/>
      <c r="U55" s="243"/>
    </row>
    <row r="56" spans="1:21" outlineLevel="1" x14ac:dyDescent="0.2">
      <c r="C56" s="337"/>
      <c r="M56" s="229"/>
      <c r="N56" s="229"/>
      <c r="O56" s="229"/>
      <c r="P56" s="229"/>
      <c r="Q56" s="229"/>
      <c r="R56" s="229"/>
      <c r="S56" s="229"/>
    </row>
    <row r="57" spans="1:21" outlineLevel="1" x14ac:dyDescent="0.2">
      <c r="A57" s="243"/>
      <c r="B57" s="243" t="s">
        <v>295</v>
      </c>
      <c r="C57" s="337" t="s">
        <v>250</v>
      </c>
      <c r="D57" s="243"/>
      <c r="E57" s="243"/>
      <c r="F57" s="243"/>
      <c r="G57" s="243"/>
      <c r="H57" s="243"/>
      <c r="I57" s="335"/>
      <c r="J57" s="243"/>
      <c r="K57" s="243"/>
      <c r="M57" s="235">
        <f>SUM(M46:M49,M55)</f>
        <v>45012888.828564525</v>
      </c>
      <c r="N57" s="235">
        <f t="shared" ref="N57:S57" si="4">SUM(N46:N49,N55)</f>
        <v>55324153.635685727</v>
      </c>
      <c r="O57" s="235">
        <f t="shared" si="4"/>
        <v>60671981.611923926</v>
      </c>
      <c r="P57" s="235">
        <f t="shared" si="4"/>
        <v>61757910.137517683</v>
      </c>
      <c r="Q57" s="235">
        <f t="shared" si="4"/>
        <v>64766956.997496635</v>
      </c>
      <c r="R57" s="235">
        <f t="shared" si="4"/>
        <v>61577478.63898173</v>
      </c>
      <c r="S57" s="235">
        <f t="shared" si="4"/>
        <v>56336699.756124973</v>
      </c>
      <c r="T57" s="243"/>
      <c r="U57" s="243"/>
    </row>
    <row r="58" spans="1:21" outlineLevel="1" x14ac:dyDescent="0.2">
      <c r="C58" s="280"/>
      <c r="M58" s="229"/>
      <c r="N58" s="229"/>
      <c r="O58" s="229"/>
      <c r="P58" s="229"/>
      <c r="Q58" s="229"/>
      <c r="R58" s="229"/>
      <c r="S58" s="229"/>
    </row>
    <row r="59" spans="1:21" outlineLevel="1" x14ac:dyDescent="0.2">
      <c r="B59" s="232" t="s">
        <v>274</v>
      </c>
      <c r="C59" s="280" t="s">
        <v>250</v>
      </c>
      <c r="M59" s="290">
        <f>SUMIFS('Forecast capex'!$U$9:$U$1940,'Forecast capex'!$AD$9:$AD$1940,'Commissioned assets allocation'!$B59,'Forecast capex'!$J$9:$J$1940,'Commissioned assets allocation'!M$11,'Forecast capex'!$L$9:$L$1940,$D$12)</f>
        <v>3693302</v>
      </c>
      <c r="N59" s="290">
        <f>SUMIFS('Forecast capex'!$U$9:$U$1940,'Forecast capex'!$AD$9:$AD$1940,'Commissioned assets allocation'!$B59,'Forecast capex'!$J$9:$J$1940,'Commissioned assets allocation'!N$11,'Forecast capex'!$L$9:$L$1940,$D$12)</f>
        <v>4382834.6769553702</v>
      </c>
      <c r="O59" s="290">
        <f>SUMIFS('Forecast capex'!$U$9:$U$1940,'Forecast capex'!$AD$9:$AD$1940,'Commissioned assets allocation'!$B59,'Forecast capex'!$J$9:$J$1940,'Commissioned assets allocation'!O$11,'Forecast capex'!$L$9:$L$1940,$D$12)</f>
        <v>6144167.5830746908</v>
      </c>
      <c r="P59" s="290">
        <f>SUMIFS('Forecast capex'!$U$9:$U$1940,'Forecast capex'!$AD$9:$AD$1940,'Commissioned assets allocation'!$B59,'Forecast capex'!$J$9:$J$1940,'Commissioned assets allocation'!P$11,'Forecast capex'!$L$9:$L$1940,$D$12)</f>
        <v>2796526.9303802648</v>
      </c>
      <c r="Q59" s="290">
        <f>SUMIFS('Forecast capex'!$U$9:$U$1940,'Forecast capex'!$AD$9:$AD$1940,'Commissioned assets allocation'!$B59,'Forecast capex'!$J$9:$J$1940,'Commissioned assets allocation'!Q$11,'Forecast capex'!$L$9:$L$1940,$D$12)</f>
        <v>2446652.0817201948</v>
      </c>
      <c r="R59" s="290">
        <f>SUMIFS('Forecast capex'!$U$9:$U$1940,'Forecast capex'!$AD$9:$AD$1940,'Commissioned assets allocation'!$B59,'Forecast capex'!$J$9:$J$1940,'Commissioned assets allocation'!R$11,'Forecast capex'!$L$9:$L$1940,$D$12)</f>
        <v>2303821.4171619397</v>
      </c>
      <c r="S59" s="290">
        <f>SUMIFS('Forecast capex'!$U$9:$U$1940,'Forecast capex'!$AD$9:$AD$1940,'Commissioned assets allocation'!$B59,'Forecast capex'!$J$9:$J$1940,'Commissioned assets allocation'!S$11,'Forecast capex'!$L$9:$L$1940,$D$12)</f>
        <v>2288570.4994362211</v>
      </c>
    </row>
    <row r="60" spans="1:21" outlineLevel="1" x14ac:dyDescent="0.2">
      <c r="A60" s="243"/>
      <c r="B60" s="243" t="s">
        <v>296</v>
      </c>
      <c r="C60" s="337" t="s">
        <v>250</v>
      </c>
      <c r="D60" s="243"/>
      <c r="E60" s="243"/>
      <c r="F60" s="243"/>
      <c r="G60" s="243"/>
      <c r="H60" s="243"/>
      <c r="I60" s="335"/>
      <c r="J60" s="243"/>
      <c r="K60" s="243"/>
      <c r="M60" s="235">
        <f>M57+M59</f>
        <v>48706190.828564525</v>
      </c>
      <c r="N60" s="235">
        <f t="shared" ref="N60:S60" si="5">N57+N59</f>
        <v>59706988.312641099</v>
      </c>
      <c r="O60" s="235">
        <f t="shared" si="5"/>
        <v>66816149.194998614</v>
      </c>
      <c r="P60" s="235">
        <f t="shared" si="5"/>
        <v>64554437.067897946</v>
      </c>
      <c r="Q60" s="235">
        <f t="shared" si="5"/>
        <v>67213609.079216823</v>
      </c>
      <c r="R60" s="235">
        <f t="shared" si="5"/>
        <v>63881300.056143671</v>
      </c>
      <c r="S60" s="235">
        <f t="shared" si="5"/>
        <v>58625270.255561195</v>
      </c>
      <c r="T60" s="243"/>
      <c r="U60" s="243"/>
    </row>
    <row r="61" spans="1:21" outlineLevel="1" x14ac:dyDescent="0.2">
      <c r="A61" s="243"/>
      <c r="B61" s="243"/>
      <c r="C61" s="337"/>
      <c r="D61" s="243"/>
      <c r="E61" s="243"/>
      <c r="F61" s="243"/>
      <c r="G61" s="243"/>
      <c r="H61" s="243"/>
      <c r="I61" s="335"/>
      <c r="J61" s="243"/>
      <c r="K61" s="243"/>
      <c r="M61" s="294"/>
      <c r="N61" s="294"/>
      <c r="O61" s="294"/>
      <c r="P61" s="294"/>
      <c r="Q61" s="294"/>
      <c r="R61" s="294"/>
      <c r="S61" s="294"/>
      <c r="T61" s="243"/>
      <c r="U61" s="243"/>
    </row>
    <row r="62" spans="1:21" outlineLevel="1" x14ac:dyDescent="0.2">
      <c r="B62" s="242" t="s">
        <v>226</v>
      </c>
      <c r="C62" s="280" t="s">
        <v>58</v>
      </c>
      <c r="D62" s="297">
        <f>SUM(H62:S62)</f>
        <v>0</v>
      </c>
      <c r="E62" s="298"/>
      <c r="M62" s="228">
        <f>IF(ABS(M60-SUMIFS('Forecast capex'!$U$9:$U$1940,'Forecast capex'!$K$9:$K$1940,M$11,'Forecast capex'!$L$9:$L$1940,$D$12))&lt;0.001,0,1)</f>
        <v>0</v>
      </c>
      <c r="N62" s="228">
        <f>IF(ABS(N60-SUMIFS('Forecast capex'!$U$9:$U$1940,'Forecast capex'!$K$9:$K$1940,N$11,'Forecast capex'!$L$9:$L$1940,$D$12))&lt;0.001,0,1)</f>
        <v>0</v>
      </c>
      <c r="O62" s="228">
        <f>IF(ABS(O60-SUMIFS('Forecast capex'!$U$9:$U$1940,'Forecast capex'!$K$9:$K$1940,O$11,'Forecast capex'!$L$9:$L$1940,$D$12))&lt;0.001,0,1)</f>
        <v>0</v>
      </c>
      <c r="P62" s="228">
        <f>IF(ABS(P60-SUMIFS('Forecast capex'!$U$9:$U$1940,'Forecast capex'!$K$9:$K$1940,P$11,'Forecast capex'!$L$9:$L$1940,$D$12))&lt;0.001,0,1)</f>
        <v>0</v>
      </c>
      <c r="Q62" s="228">
        <f>IF(ABS(Q60-SUMIFS('Forecast capex'!$U$9:$U$1940,'Forecast capex'!$K$9:$K$1940,Q$11,'Forecast capex'!$L$9:$L$1940,$D$12))&lt;0.001,0,1)</f>
        <v>0</v>
      </c>
      <c r="R62" s="228">
        <f>IF(ABS(R60-SUMIFS('Forecast capex'!$U$9:$U$1940,'Forecast capex'!$K$9:$K$1940,R$11,'Forecast capex'!$L$9:$L$1940,$D$12))&lt;0.001,0,1)</f>
        <v>0</v>
      </c>
      <c r="S62" s="228">
        <f>IF(ABS(S60-SUMIFS('Forecast capex'!$U$9:$U$1940,'Forecast capex'!$K$9:$K$1940,S$11,'Forecast capex'!$L$9:$L$1940,$D$12))&lt;0.001,0,1)</f>
        <v>0</v>
      </c>
    </row>
    <row r="63" spans="1:21" outlineLevel="1" collapsed="1" x14ac:dyDescent="0.2">
      <c r="B63" s="229"/>
    </row>
    <row r="64" spans="1:21" s="229" customFormat="1" outlineLevel="1" x14ac:dyDescent="0.2">
      <c r="B64" s="304" t="s">
        <v>297</v>
      </c>
      <c r="I64" s="230"/>
    </row>
    <row r="65" spans="1:21" s="229" customFormat="1" outlineLevel="1" x14ac:dyDescent="0.2">
      <c r="B65" s="304"/>
      <c r="I65" s="230"/>
    </row>
    <row r="66" spans="1:21" s="229" customFormat="1" outlineLevel="1" x14ac:dyDescent="0.2">
      <c r="B66" s="229" t="s">
        <v>95</v>
      </c>
      <c r="C66" s="280" t="s">
        <v>250</v>
      </c>
      <c r="I66" s="230"/>
      <c r="M66" s="290">
        <f>SUMIFS('Forecast capex'!$T$9:$T$1940,'Forecast capex'!$AD$9:$AD$1940,'Commissioned assets allocation'!$B66,'Forecast capex'!$J$9:$J$1940,'Commissioned assets allocation'!M$11,'Forecast capex'!$L$9:$L$1940,$D$12)</f>
        <v>9299508.6144327596</v>
      </c>
      <c r="N66" s="290">
        <f>SUMIFS('Forecast capex'!$T$9:$T$1940,'Forecast capex'!$AD$9:$AD$1940,'Commissioned assets allocation'!$B66,'Forecast capex'!$J$9:$J$1940,'Commissioned assets allocation'!N$11,'Forecast capex'!$L$9:$L$1940,$D$12)</f>
        <v>5526545.1002243478</v>
      </c>
      <c r="O66" s="290">
        <f>SUMIFS('Forecast capex'!$T$9:$T$1940,'Forecast capex'!$AD$9:$AD$1940,'Commissioned assets allocation'!$B66,'Forecast capex'!$J$9:$J$1940,'Commissioned assets allocation'!O$11,'Forecast capex'!$L$9:$L$1940,$D$12)</f>
        <v>4363936.3606072264</v>
      </c>
      <c r="P66" s="290">
        <f>SUMIFS('Forecast capex'!$T$9:$T$1940,'Forecast capex'!$AD$9:$AD$1940,'Commissioned assets allocation'!$B66,'Forecast capex'!$J$9:$J$1940,'Commissioned assets allocation'!P$11,'Forecast capex'!$L$9:$L$1940,$D$12)</f>
        <v>4452848.8784174304</v>
      </c>
      <c r="Q66" s="290">
        <f>SUMIFS('Forecast capex'!$T$9:$T$1940,'Forecast capex'!$AD$9:$AD$1940,'Commissioned assets allocation'!$B66,'Forecast capex'!$J$9:$J$1940,'Commissioned assets allocation'!Q$11,'Forecast capex'!$L$9:$L$1940,$D$12)</f>
        <v>6250460.4295091592</v>
      </c>
      <c r="R66" s="290">
        <f>SUMIFS('Forecast capex'!$T$9:$T$1940,'Forecast capex'!$AD$9:$AD$1940,'Commissioned assets allocation'!$B66,'Forecast capex'!$J$9:$J$1940,'Commissioned assets allocation'!R$11,'Forecast capex'!$L$9:$L$1940,$D$12)</f>
        <v>7352201.7710120324</v>
      </c>
      <c r="S66" s="290">
        <f>SUMIFS('Forecast capex'!$T$9:$T$1940,'Forecast capex'!$AD$9:$AD$1940,'Commissioned assets allocation'!$B66,'Forecast capex'!$J$9:$J$1940,'Commissioned assets allocation'!S$11,'Forecast capex'!$L$9:$L$1940,$D$12)</f>
        <v>8827960.8122929335</v>
      </c>
    </row>
    <row r="67" spans="1:21" s="229" customFormat="1" outlineLevel="1" x14ac:dyDescent="0.2">
      <c r="B67" s="229" t="s">
        <v>77</v>
      </c>
      <c r="C67" s="280" t="s">
        <v>250</v>
      </c>
      <c r="I67" s="230"/>
      <c r="M67" s="290">
        <f>SUMIFS('Forecast capex'!$T$9:$T$1940,'Forecast capex'!$AD$9:$AD$1940,'Commissioned assets allocation'!$B67,'Forecast capex'!$J$9:$J$1940,'Commissioned assets allocation'!M$11,'Forecast capex'!$L$9:$L$1940,$D$12)</f>
        <v>0</v>
      </c>
      <c r="N67" s="290">
        <f>SUMIFS('Forecast capex'!$T$9:$T$1940,'Forecast capex'!$AD$9:$AD$1940,'Commissioned assets allocation'!$B67,'Forecast capex'!$J$9:$J$1940,'Commissioned assets allocation'!N$11,'Forecast capex'!$L$9:$L$1940,$D$12)</f>
        <v>0</v>
      </c>
      <c r="O67" s="290">
        <f>SUMIFS('Forecast capex'!$T$9:$T$1940,'Forecast capex'!$AD$9:$AD$1940,'Commissioned assets allocation'!$B67,'Forecast capex'!$J$9:$J$1940,'Commissioned assets allocation'!O$11,'Forecast capex'!$L$9:$L$1940,$D$12)</f>
        <v>0</v>
      </c>
      <c r="P67" s="290">
        <f>SUMIFS('Forecast capex'!$T$9:$T$1940,'Forecast capex'!$AD$9:$AD$1940,'Commissioned assets allocation'!$B67,'Forecast capex'!$J$9:$J$1940,'Commissioned assets allocation'!P$11,'Forecast capex'!$L$9:$L$1940,$D$12)</f>
        <v>0</v>
      </c>
      <c r="Q67" s="290">
        <f>SUMIFS('Forecast capex'!$T$9:$T$1940,'Forecast capex'!$AD$9:$AD$1940,'Commissioned assets allocation'!$B67,'Forecast capex'!$J$9:$J$1940,'Commissioned assets allocation'!Q$11,'Forecast capex'!$L$9:$L$1940,$D$12)</f>
        <v>0</v>
      </c>
      <c r="R67" s="290">
        <f>SUMIFS('Forecast capex'!$T$9:$T$1940,'Forecast capex'!$AD$9:$AD$1940,'Commissioned assets allocation'!$B67,'Forecast capex'!$J$9:$J$1940,'Commissioned assets allocation'!R$11,'Forecast capex'!$L$9:$L$1940,$D$12)</f>
        <v>0</v>
      </c>
      <c r="S67" s="290">
        <f>SUMIFS('Forecast capex'!$T$9:$T$1940,'Forecast capex'!$AD$9:$AD$1940,'Commissioned assets allocation'!$B67,'Forecast capex'!$J$9:$J$1940,'Commissioned assets allocation'!S$11,'Forecast capex'!$L$9:$L$1940,$D$12)</f>
        <v>0</v>
      </c>
    </row>
    <row r="68" spans="1:21" s="229" customFormat="1" outlineLevel="1" x14ac:dyDescent="0.2">
      <c r="B68" s="229" t="s">
        <v>100</v>
      </c>
      <c r="C68" s="280" t="s">
        <v>250</v>
      </c>
      <c r="I68" s="230"/>
      <c r="M68" s="290">
        <f>SUMIFS('Forecast capex'!$T$9:$T$1940,'Forecast capex'!$AD$9:$AD$1940,'Commissioned assets allocation'!$B68,'Forecast capex'!$J$9:$J$1940,'Commissioned assets allocation'!M$11,'Forecast capex'!$L$9:$L$1940,$D$12)</f>
        <v>0</v>
      </c>
      <c r="N68" s="290">
        <f>SUMIFS('Forecast capex'!$T$9:$T$1940,'Forecast capex'!$AD$9:$AD$1940,'Commissioned assets allocation'!$B68,'Forecast capex'!$J$9:$J$1940,'Commissioned assets allocation'!N$11,'Forecast capex'!$L$9:$L$1940,$D$12)</f>
        <v>0</v>
      </c>
      <c r="O68" s="290">
        <f>SUMIFS('Forecast capex'!$T$9:$T$1940,'Forecast capex'!$AD$9:$AD$1940,'Commissioned assets allocation'!$B68,'Forecast capex'!$J$9:$J$1940,'Commissioned assets allocation'!O$11,'Forecast capex'!$L$9:$L$1940,$D$12)</f>
        <v>0</v>
      </c>
      <c r="P68" s="290">
        <f>SUMIFS('Forecast capex'!$T$9:$T$1940,'Forecast capex'!$AD$9:$AD$1940,'Commissioned assets allocation'!$B68,'Forecast capex'!$J$9:$J$1940,'Commissioned assets allocation'!P$11,'Forecast capex'!$L$9:$L$1940,$D$12)</f>
        <v>0</v>
      </c>
      <c r="Q68" s="290">
        <f>SUMIFS('Forecast capex'!$T$9:$T$1940,'Forecast capex'!$AD$9:$AD$1940,'Commissioned assets allocation'!$B68,'Forecast capex'!$J$9:$J$1940,'Commissioned assets allocation'!Q$11,'Forecast capex'!$L$9:$L$1940,$D$12)</f>
        <v>0</v>
      </c>
      <c r="R68" s="290">
        <f>SUMIFS('Forecast capex'!$T$9:$T$1940,'Forecast capex'!$AD$9:$AD$1940,'Commissioned assets allocation'!$B68,'Forecast capex'!$J$9:$J$1940,'Commissioned assets allocation'!R$11,'Forecast capex'!$L$9:$L$1940,$D$12)</f>
        <v>0</v>
      </c>
      <c r="S68" s="290">
        <f>SUMIFS('Forecast capex'!$T$9:$T$1940,'Forecast capex'!$AD$9:$AD$1940,'Commissioned assets allocation'!$B68,'Forecast capex'!$J$9:$J$1940,'Commissioned assets allocation'!S$11,'Forecast capex'!$L$9:$L$1940,$D$12)</f>
        <v>0</v>
      </c>
    </row>
    <row r="69" spans="1:21" s="229" customFormat="1" outlineLevel="1" x14ac:dyDescent="0.2">
      <c r="B69" s="229" t="s">
        <v>93</v>
      </c>
      <c r="C69" s="280" t="s">
        <v>250</v>
      </c>
      <c r="I69" s="230"/>
      <c r="M69" s="290">
        <f>SUMIFS('Forecast capex'!$T$9:$T$1940,'Forecast capex'!$AD$9:$AD$1940,'Commissioned assets allocation'!$B69,'Forecast capex'!$J$9:$J$1940,'Commissioned assets allocation'!M$11,'Forecast capex'!$L$9:$L$1940,$D$12)</f>
        <v>402482.54071897804</v>
      </c>
      <c r="N69" s="290">
        <f>SUMIFS('Forecast capex'!$T$9:$T$1940,'Forecast capex'!$AD$9:$AD$1940,'Commissioned assets allocation'!$B69,'Forecast capex'!$J$9:$J$1940,'Commissioned assets allocation'!N$11,'Forecast capex'!$L$9:$L$1940,$D$12)</f>
        <v>1168362.7827622886</v>
      </c>
      <c r="O69" s="290">
        <f>SUMIFS('Forecast capex'!$T$9:$T$1940,'Forecast capex'!$AD$9:$AD$1940,'Commissioned assets allocation'!$B69,'Forecast capex'!$J$9:$J$1940,'Commissioned assets allocation'!O$11,'Forecast capex'!$L$9:$L$1940,$D$12)</f>
        <v>1126424.8705201237</v>
      </c>
      <c r="P69" s="290">
        <f>SUMIFS('Forecast capex'!$T$9:$T$1940,'Forecast capex'!$AD$9:$AD$1940,'Commissioned assets allocation'!$B69,'Forecast capex'!$J$9:$J$1940,'Commissioned assets allocation'!P$11,'Forecast capex'!$L$9:$L$1940,$D$12)</f>
        <v>1150376.6482855799</v>
      </c>
      <c r="Q69" s="290">
        <f>SUMIFS('Forecast capex'!$T$9:$T$1940,'Forecast capex'!$AD$9:$AD$1940,'Commissioned assets allocation'!$B69,'Forecast capex'!$J$9:$J$1940,'Commissioned assets allocation'!Q$11,'Forecast capex'!$L$9:$L$1940,$D$12)</f>
        <v>1170891.9950412046</v>
      </c>
      <c r="R69" s="290">
        <f>SUMIFS('Forecast capex'!$T$9:$T$1940,'Forecast capex'!$AD$9:$AD$1940,'Commissioned assets allocation'!$B69,'Forecast capex'!$J$9:$J$1940,'Commissioned assets allocation'!R$11,'Forecast capex'!$L$9:$L$1940,$D$12)</f>
        <v>1196028.2340981658</v>
      </c>
      <c r="S69" s="290">
        <f>SUMIFS('Forecast capex'!$T$9:$T$1940,'Forecast capex'!$AD$9:$AD$1940,'Commissioned assets allocation'!$B69,'Forecast capex'!$J$9:$J$1940,'Commissioned assets allocation'!S$11,'Forecast capex'!$L$9:$L$1940,$D$12)</f>
        <v>1221731.6907006032</v>
      </c>
    </row>
    <row r="70" spans="1:21" s="229" customFormat="1" outlineLevel="1" x14ac:dyDescent="0.2">
      <c r="C70" s="280"/>
      <c r="I70" s="230"/>
    </row>
    <row r="71" spans="1:21" s="229" customFormat="1" outlineLevel="1" x14ac:dyDescent="0.2">
      <c r="B71" s="288" t="s">
        <v>270</v>
      </c>
      <c r="C71" s="280"/>
      <c r="I71" s="230"/>
    </row>
    <row r="72" spans="1:21" s="229" customFormat="1" outlineLevel="1" x14ac:dyDescent="0.2">
      <c r="B72" s="229" t="s">
        <v>97</v>
      </c>
      <c r="C72" s="280" t="s">
        <v>250</v>
      </c>
      <c r="I72" s="230"/>
      <c r="M72" s="290">
        <f>SUMIFS('Forecast capex'!$T$9:$T$1940,'Forecast capex'!$AD$9:$AD$1940,'Commissioned assets allocation'!$B72,'Forecast capex'!$J$9:$J$1940,'Commissioned assets allocation'!M$11,'Forecast capex'!$L$9:$L$1940,$D$12)</f>
        <v>0</v>
      </c>
      <c r="N72" s="290">
        <f>SUMIFS('Forecast capex'!$T$9:$T$1940,'Forecast capex'!$AD$9:$AD$1940,'Commissioned assets allocation'!$B72,'Forecast capex'!$J$9:$J$1940,'Commissioned assets allocation'!N$11,'Forecast capex'!$L$9:$L$1940,$D$12)</f>
        <v>0</v>
      </c>
      <c r="O72" s="290">
        <f>SUMIFS('Forecast capex'!$T$9:$T$1940,'Forecast capex'!$AD$9:$AD$1940,'Commissioned assets allocation'!$B72,'Forecast capex'!$J$9:$J$1940,'Commissioned assets allocation'!O$11,'Forecast capex'!$L$9:$L$1940,$D$12)</f>
        <v>0</v>
      </c>
      <c r="P72" s="290">
        <f>SUMIFS('Forecast capex'!$T$9:$T$1940,'Forecast capex'!$AD$9:$AD$1940,'Commissioned assets allocation'!$B72,'Forecast capex'!$J$9:$J$1940,'Commissioned assets allocation'!P$11,'Forecast capex'!$L$9:$L$1940,$D$12)</f>
        <v>0</v>
      </c>
      <c r="Q72" s="290">
        <f>SUMIFS('Forecast capex'!$T$9:$T$1940,'Forecast capex'!$AD$9:$AD$1940,'Commissioned assets allocation'!$B72,'Forecast capex'!$J$9:$J$1940,'Commissioned assets allocation'!Q$11,'Forecast capex'!$L$9:$L$1940,$D$12)</f>
        <v>0</v>
      </c>
      <c r="R72" s="290">
        <f>SUMIFS('Forecast capex'!$T$9:$T$1940,'Forecast capex'!$AD$9:$AD$1940,'Commissioned assets allocation'!$B72,'Forecast capex'!$J$9:$J$1940,'Commissioned assets allocation'!R$11,'Forecast capex'!$L$9:$L$1940,$D$12)</f>
        <v>0</v>
      </c>
      <c r="S72" s="290">
        <f>SUMIFS('Forecast capex'!$T$9:$T$1940,'Forecast capex'!$AD$9:$AD$1940,'Commissioned assets allocation'!$B72,'Forecast capex'!$J$9:$J$1940,'Commissioned assets allocation'!S$11,'Forecast capex'!$L$9:$L$1940,$D$12)</f>
        <v>0</v>
      </c>
    </row>
    <row r="73" spans="1:21" s="229" customFormat="1" outlineLevel="1" x14ac:dyDescent="0.2">
      <c r="B73" s="229" t="s">
        <v>121</v>
      </c>
      <c r="C73" s="280" t="s">
        <v>250</v>
      </c>
      <c r="I73" s="230"/>
      <c r="M73" s="290">
        <f>SUMIFS('Forecast capex'!$T$9:$T$1940,'Forecast capex'!$AD$9:$AD$1940,'Commissioned assets allocation'!$B73,'Forecast capex'!$J$9:$J$1940,'Commissioned assets allocation'!M$11,'Forecast capex'!$L$9:$L$1940,$D$12)</f>
        <v>0</v>
      </c>
      <c r="N73" s="290">
        <f>SUMIFS('Forecast capex'!$T$9:$T$1940,'Forecast capex'!$AD$9:$AD$1940,'Commissioned assets allocation'!$B73,'Forecast capex'!$J$9:$J$1940,'Commissioned assets allocation'!N$11,'Forecast capex'!$L$9:$L$1940,$D$12)</f>
        <v>0</v>
      </c>
      <c r="O73" s="290">
        <f>SUMIFS('Forecast capex'!$T$9:$T$1940,'Forecast capex'!$AD$9:$AD$1940,'Commissioned assets allocation'!$B73,'Forecast capex'!$J$9:$J$1940,'Commissioned assets allocation'!O$11,'Forecast capex'!$L$9:$L$1940,$D$12)</f>
        <v>0</v>
      </c>
      <c r="P73" s="290">
        <f>SUMIFS('Forecast capex'!$T$9:$T$1940,'Forecast capex'!$AD$9:$AD$1940,'Commissioned assets allocation'!$B73,'Forecast capex'!$J$9:$J$1940,'Commissioned assets allocation'!P$11,'Forecast capex'!$L$9:$L$1940,$D$12)</f>
        <v>0</v>
      </c>
      <c r="Q73" s="290">
        <f>SUMIFS('Forecast capex'!$T$9:$T$1940,'Forecast capex'!$AD$9:$AD$1940,'Commissioned assets allocation'!$B73,'Forecast capex'!$J$9:$J$1940,'Commissioned assets allocation'!Q$11,'Forecast capex'!$L$9:$L$1940,$D$12)</f>
        <v>0</v>
      </c>
      <c r="R73" s="290">
        <f>SUMIFS('Forecast capex'!$T$9:$T$1940,'Forecast capex'!$AD$9:$AD$1940,'Commissioned assets allocation'!$B73,'Forecast capex'!$J$9:$J$1940,'Commissioned assets allocation'!R$11,'Forecast capex'!$L$9:$L$1940,$D$12)</f>
        <v>0</v>
      </c>
      <c r="S73" s="290">
        <f>SUMIFS('Forecast capex'!$T$9:$T$1940,'Forecast capex'!$AD$9:$AD$1940,'Commissioned assets allocation'!$B73,'Forecast capex'!$J$9:$J$1940,'Commissioned assets allocation'!S$11,'Forecast capex'!$L$9:$L$1940,$D$12)</f>
        <v>0</v>
      </c>
    </row>
    <row r="74" spans="1:21" s="229" customFormat="1" outlineLevel="1" x14ac:dyDescent="0.2">
      <c r="B74" s="229" t="s">
        <v>122</v>
      </c>
      <c r="C74" s="280" t="s">
        <v>250</v>
      </c>
      <c r="I74" s="230"/>
      <c r="M74" s="290">
        <f>SUMIFS('Forecast capex'!$T$9:$T$1940,'Forecast capex'!$AD$9:$AD$1940,'Commissioned assets allocation'!$B74,'Forecast capex'!$J$9:$J$1940,'Commissioned assets allocation'!M$11,'Forecast capex'!$L$9:$L$1940,$D$12)</f>
        <v>0</v>
      </c>
      <c r="N74" s="290">
        <f>SUMIFS('Forecast capex'!$T$9:$T$1940,'Forecast capex'!$AD$9:$AD$1940,'Commissioned assets allocation'!$B74,'Forecast capex'!$J$9:$J$1940,'Commissioned assets allocation'!N$11,'Forecast capex'!$L$9:$L$1940,$D$12)</f>
        <v>0</v>
      </c>
      <c r="O74" s="290">
        <f>SUMIFS('Forecast capex'!$T$9:$T$1940,'Forecast capex'!$AD$9:$AD$1940,'Commissioned assets allocation'!$B74,'Forecast capex'!$J$9:$J$1940,'Commissioned assets allocation'!O$11,'Forecast capex'!$L$9:$L$1940,$D$12)</f>
        <v>0</v>
      </c>
      <c r="P74" s="290">
        <f>SUMIFS('Forecast capex'!$T$9:$T$1940,'Forecast capex'!$AD$9:$AD$1940,'Commissioned assets allocation'!$B74,'Forecast capex'!$J$9:$J$1940,'Commissioned assets allocation'!P$11,'Forecast capex'!$L$9:$L$1940,$D$12)</f>
        <v>0</v>
      </c>
      <c r="Q74" s="290">
        <f>SUMIFS('Forecast capex'!$T$9:$T$1940,'Forecast capex'!$AD$9:$AD$1940,'Commissioned assets allocation'!$B74,'Forecast capex'!$J$9:$J$1940,'Commissioned assets allocation'!Q$11,'Forecast capex'!$L$9:$L$1940,$D$12)</f>
        <v>0</v>
      </c>
      <c r="R74" s="290">
        <f>SUMIFS('Forecast capex'!$T$9:$T$1940,'Forecast capex'!$AD$9:$AD$1940,'Commissioned assets allocation'!$B74,'Forecast capex'!$J$9:$J$1940,'Commissioned assets allocation'!R$11,'Forecast capex'!$L$9:$L$1940,$D$12)</f>
        <v>0</v>
      </c>
      <c r="S74" s="290">
        <f>SUMIFS('Forecast capex'!$T$9:$T$1940,'Forecast capex'!$AD$9:$AD$1940,'Commissioned assets allocation'!$B74,'Forecast capex'!$J$9:$J$1940,'Commissioned assets allocation'!S$11,'Forecast capex'!$L$9:$L$1940,$D$12)</f>
        <v>0</v>
      </c>
    </row>
    <row r="75" spans="1:21" s="229" customFormat="1" outlineLevel="1" x14ac:dyDescent="0.2">
      <c r="A75" s="288"/>
      <c r="B75" s="288" t="s">
        <v>272</v>
      </c>
      <c r="C75" s="337" t="s">
        <v>250</v>
      </c>
      <c r="D75" s="288"/>
      <c r="E75" s="288"/>
      <c r="F75" s="288"/>
      <c r="G75" s="288"/>
      <c r="H75" s="288"/>
      <c r="I75" s="339"/>
      <c r="J75" s="288"/>
      <c r="K75" s="288"/>
      <c r="M75" s="233">
        <f>SUM(M72:M74)</f>
        <v>0</v>
      </c>
      <c r="N75" s="233">
        <f t="shared" ref="N75:S75" si="6">SUM(N72:N74)</f>
        <v>0</v>
      </c>
      <c r="O75" s="233">
        <f t="shared" si="6"/>
        <v>0</v>
      </c>
      <c r="P75" s="233">
        <f t="shared" si="6"/>
        <v>0</v>
      </c>
      <c r="Q75" s="233">
        <f t="shared" si="6"/>
        <v>0</v>
      </c>
      <c r="R75" s="233">
        <f t="shared" si="6"/>
        <v>0</v>
      </c>
      <c r="S75" s="233">
        <f t="shared" si="6"/>
        <v>0</v>
      </c>
      <c r="T75" s="288"/>
      <c r="U75" s="288"/>
    </row>
    <row r="76" spans="1:21" s="229" customFormat="1" outlineLevel="1" x14ac:dyDescent="0.2">
      <c r="C76" s="337"/>
      <c r="I76" s="230"/>
    </row>
    <row r="77" spans="1:21" s="229" customFormat="1" outlineLevel="1" x14ac:dyDescent="0.2">
      <c r="A77" s="288"/>
      <c r="B77" s="288" t="s">
        <v>295</v>
      </c>
      <c r="C77" s="337" t="s">
        <v>250</v>
      </c>
      <c r="D77" s="288"/>
      <c r="E77" s="288"/>
      <c r="F77" s="288"/>
      <c r="G77" s="288"/>
      <c r="H77" s="288"/>
      <c r="I77" s="339"/>
      <c r="J77" s="288"/>
      <c r="K77" s="288"/>
      <c r="M77" s="235">
        <f>SUM(M66:M69,M75)</f>
        <v>9701991.1551517379</v>
      </c>
      <c r="N77" s="235">
        <f t="shared" ref="N77:S77" si="7">SUM(N66:N69,N75)</f>
        <v>6694907.8829866368</v>
      </c>
      <c r="O77" s="235">
        <f t="shared" si="7"/>
        <v>5490361.2311273497</v>
      </c>
      <c r="P77" s="235">
        <f t="shared" si="7"/>
        <v>5603225.5267030103</v>
      </c>
      <c r="Q77" s="235">
        <f t="shared" si="7"/>
        <v>7421352.4245503638</v>
      </c>
      <c r="R77" s="235">
        <f t="shared" si="7"/>
        <v>8548230.0051101986</v>
      </c>
      <c r="S77" s="235">
        <f t="shared" si="7"/>
        <v>10049692.502993537</v>
      </c>
      <c r="T77" s="288"/>
      <c r="U77" s="288"/>
    </row>
    <row r="78" spans="1:21" s="229" customFormat="1" outlineLevel="1" x14ac:dyDescent="0.2">
      <c r="C78" s="280"/>
      <c r="I78" s="230"/>
    </row>
    <row r="79" spans="1:21" s="229" customFormat="1" outlineLevel="1" x14ac:dyDescent="0.2">
      <c r="B79" s="229" t="s">
        <v>274</v>
      </c>
      <c r="C79" s="280" t="s">
        <v>250</v>
      </c>
      <c r="I79" s="230"/>
      <c r="M79" s="290">
        <f>SUMIFS('Forecast capex'!$T$9:$T$1940,'Forecast capex'!$AD$9:$AD$1940,'Commissioned assets allocation'!$B79,'Forecast capex'!$J$9:$J$1940,'Commissioned assets allocation'!M$11,'Forecast capex'!$L$9:$L$1940,$D$12)</f>
        <v>0</v>
      </c>
      <c r="N79" s="290">
        <f>SUMIFS('Forecast capex'!$T$9:$T$1940,'Forecast capex'!$AD$9:$AD$1940,'Commissioned assets allocation'!$B79,'Forecast capex'!$J$9:$J$1940,'Commissioned assets allocation'!N$11,'Forecast capex'!$L$9:$L$1940,$D$12)</f>
        <v>0</v>
      </c>
      <c r="O79" s="290">
        <f>SUMIFS('Forecast capex'!$T$9:$T$1940,'Forecast capex'!$AD$9:$AD$1940,'Commissioned assets allocation'!$B79,'Forecast capex'!$J$9:$J$1940,'Commissioned assets allocation'!O$11,'Forecast capex'!$L$9:$L$1940,$D$12)</f>
        <v>0</v>
      </c>
      <c r="P79" s="290">
        <f>SUMIFS('Forecast capex'!$T$9:$T$1940,'Forecast capex'!$AD$9:$AD$1940,'Commissioned assets allocation'!$B79,'Forecast capex'!$J$9:$J$1940,'Commissioned assets allocation'!P$11,'Forecast capex'!$L$9:$L$1940,$D$12)</f>
        <v>0</v>
      </c>
      <c r="Q79" s="290">
        <f>SUMIFS('Forecast capex'!$T$9:$T$1940,'Forecast capex'!$AD$9:$AD$1940,'Commissioned assets allocation'!$B79,'Forecast capex'!$J$9:$J$1940,'Commissioned assets allocation'!Q$11,'Forecast capex'!$L$9:$L$1940,$D$12)</f>
        <v>0</v>
      </c>
      <c r="R79" s="290">
        <f>SUMIFS('Forecast capex'!$T$9:$T$1940,'Forecast capex'!$AD$9:$AD$1940,'Commissioned assets allocation'!$B79,'Forecast capex'!$J$9:$J$1940,'Commissioned assets allocation'!R$11,'Forecast capex'!$L$9:$L$1940,$D$12)</f>
        <v>0</v>
      </c>
      <c r="S79" s="290">
        <f>SUMIFS('Forecast capex'!$T$9:$T$1940,'Forecast capex'!$AD$9:$AD$1940,'Commissioned assets allocation'!$B79,'Forecast capex'!$J$9:$J$1940,'Commissioned assets allocation'!S$11,'Forecast capex'!$L$9:$L$1940,$D$12)</f>
        <v>0</v>
      </c>
    </row>
    <row r="80" spans="1:21" s="229" customFormat="1" outlineLevel="1" x14ac:dyDescent="0.2">
      <c r="A80" s="288"/>
      <c r="B80" s="288" t="s">
        <v>296</v>
      </c>
      <c r="C80" s="337" t="s">
        <v>250</v>
      </c>
      <c r="D80" s="288"/>
      <c r="E80" s="288"/>
      <c r="F80" s="288"/>
      <c r="G80" s="288"/>
      <c r="H80" s="288"/>
      <c r="I80" s="339"/>
      <c r="J80" s="288"/>
      <c r="K80" s="288"/>
      <c r="M80" s="235">
        <f>M77+M79</f>
        <v>9701991.1551517379</v>
      </c>
      <c r="N80" s="235">
        <f t="shared" ref="N80:S80" si="8">N77+N79</f>
        <v>6694907.8829866368</v>
      </c>
      <c r="O80" s="235">
        <f t="shared" si="8"/>
        <v>5490361.2311273497</v>
      </c>
      <c r="P80" s="235">
        <f t="shared" si="8"/>
        <v>5603225.5267030103</v>
      </c>
      <c r="Q80" s="235">
        <f t="shared" si="8"/>
        <v>7421352.4245503638</v>
      </c>
      <c r="R80" s="235">
        <f t="shared" si="8"/>
        <v>8548230.0051101986</v>
      </c>
      <c r="S80" s="235">
        <f t="shared" si="8"/>
        <v>10049692.502993537</v>
      </c>
      <c r="T80" s="288"/>
      <c r="U80" s="288"/>
    </row>
    <row r="81" spans="1:21" s="229" customFormat="1" outlineLevel="1" x14ac:dyDescent="0.2">
      <c r="A81" s="288"/>
      <c r="B81" s="288"/>
      <c r="C81" s="337"/>
      <c r="D81" s="288"/>
      <c r="E81" s="288"/>
      <c r="F81" s="288"/>
      <c r="G81" s="288"/>
      <c r="H81" s="288"/>
      <c r="I81" s="339"/>
      <c r="J81" s="288"/>
      <c r="K81" s="288"/>
      <c r="M81" s="294"/>
      <c r="N81" s="294"/>
      <c r="O81" s="294"/>
      <c r="P81" s="294"/>
      <c r="Q81" s="294"/>
      <c r="R81" s="294"/>
      <c r="S81" s="294"/>
      <c r="T81" s="288"/>
      <c r="U81" s="288"/>
    </row>
    <row r="82" spans="1:21" s="229" customFormat="1" outlineLevel="1" x14ac:dyDescent="0.2">
      <c r="B82" s="242" t="s">
        <v>227</v>
      </c>
      <c r="C82" s="280" t="s">
        <v>58</v>
      </c>
      <c r="D82" s="297">
        <f>SUM(H82:S82)</f>
        <v>0</v>
      </c>
      <c r="E82" s="298"/>
      <c r="I82" s="230"/>
      <c r="M82" s="228">
        <f>IF(ABS(M80-SUMIFS('Forecast capex'!$T$9:$T$1940,'Forecast capex'!$K$9:$K$1940,M$11,'Forecast capex'!$L$9:$L$1940,$D$12))&lt;0.001,0,1)</f>
        <v>0</v>
      </c>
      <c r="N82" s="228">
        <f>IF(ABS(N80-SUMIFS('Forecast capex'!$T$9:$T$1940,'Forecast capex'!$K$9:$K$1940,N$11,'Forecast capex'!$L$9:$L$1940,$D$12))&lt;0.001,0,1)</f>
        <v>0</v>
      </c>
      <c r="O82" s="228">
        <f>IF(ABS(O80-SUMIFS('Forecast capex'!$T$9:$T$1940,'Forecast capex'!$K$9:$K$1940,O$11,'Forecast capex'!$L$9:$L$1940,$D$12))&lt;0.001,0,1)</f>
        <v>0</v>
      </c>
      <c r="P82" s="228">
        <f>IF(ABS(P80-SUMIFS('Forecast capex'!$T$9:$T$1940,'Forecast capex'!$K$9:$K$1940,P$11,'Forecast capex'!$L$9:$L$1940,$D$12))&lt;0.001,0,1)</f>
        <v>0</v>
      </c>
      <c r="Q82" s="228">
        <f>IF(ABS(Q80-SUMIFS('Forecast capex'!$T$9:$T$1940,'Forecast capex'!$K$9:$K$1940,Q$11,'Forecast capex'!$L$9:$L$1940,$D$12))&lt;0.001,0,1)</f>
        <v>0</v>
      </c>
      <c r="R82" s="228">
        <f>IF(ABS(R80-SUMIFS('Forecast capex'!$T$9:$T$1940,'Forecast capex'!$K$9:$K$1940,R$11,'Forecast capex'!$L$9:$L$1940,$D$12))&lt;0.001,0,1)</f>
        <v>0</v>
      </c>
      <c r="S82" s="228">
        <f>IF(ABS(S80-SUMIFS('Forecast capex'!$T$9:$T$1940,'Forecast capex'!$K$9:$K$1940,S$11,'Forecast capex'!$L$9:$L$1940,$D$12))&lt;0.001,0,1)</f>
        <v>0</v>
      </c>
    </row>
    <row r="83" spans="1:21" s="229" customFormat="1" outlineLevel="1" x14ac:dyDescent="0.2">
      <c r="I83" s="230"/>
    </row>
    <row r="84" spans="1:21" outlineLevel="1" collapsed="1" x14ac:dyDescent="0.2">
      <c r="B84" s="304" t="s">
        <v>77</v>
      </c>
      <c r="C84" s="329"/>
      <c r="M84" s="229"/>
      <c r="N84" s="229"/>
      <c r="O84" s="229"/>
      <c r="P84" s="229"/>
      <c r="Q84" s="229"/>
      <c r="R84" s="229"/>
      <c r="S84" s="229"/>
    </row>
    <row r="85" spans="1:21" outlineLevel="1" x14ac:dyDescent="0.2">
      <c r="C85" s="329"/>
      <c r="M85" s="229"/>
      <c r="N85" s="229"/>
      <c r="O85" s="229"/>
      <c r="P85" s="229"/>
      <c r="Q85" s="229"/>
      <c r="R85" s="229"/>
      <c r="S85" s="229"/>
    </row>
    <row r="86" spans="1:21" outlineLevel="1" x14ac:dyDescent="0.2">
      <c r="B86" s="288" t="s">
        <v>433</v>
      </c>
      <c r="C86" s="329"/>
      <c r="M86" s="229"/>
      <c r="N86" s="229"/>
      <c r="O86" s="229"/>
      <c r="P86" s="229"/>
      <c r="Q86" s="229"/>
      <c r="R86" s="229"/>
      <c r="S86" s="229"/>
    </row>
    <row r="87" spans="1:21" outlineLevel="1" x14ac:dyDescent="0.2">
      <c r="B87" s="267" t="s">
        <v>284</v>
      </c>
      <c r="C87" s="280" t="s">
        <v>250</v>
      </c>
      <c r="M87" s="290">
        <f>SUMIFS('Forecast capex'!$U$9:$U$1940,'Forecast capex'!$AD$9:$AD$1940,'Commissioned assets allocation'!$B$84,'Forecast capex'!$J$9:$J$1940,'Commissioned assets allocation'!M$11,'Forecast capex'!$L$9:$L$1940,$D$12,'Forecast capex'!$C$9:$C$1940,'Commissioned assets allocation'!$B87)</f>
        <v>0</v>
      </c>
      <c r="N87" s="290">
        <f>SUMIFS('Forecast capex'!$U$9:$U$1940,'Forecast capex'!$AD$9:$AD$1940,'Commissioned assets allocation'!$B$84,'Forecast capex'!$J$9:$J$1940,'Commissioned assets allocation'!N$11,'Forecast capex'!$L$9:$L$1940,$D$12,'Forecast capex'!$C$9:$C$1940,'Commissioned assets allocation'!$B87)</f>
        <v>0</v>
      </c>
      <c r="O87" s="290">
        <f>SUMIFS('Forecast capex'!$U$9:$U$1940,'Forecast capex'!$AD$9:$AD$1940,'Commissioned assets allocation'!$B$84,'Forecast capex'!$J$9:$J$1940,'Commissioned assets allocation'!O$11,'Forecast capex'!$L$9:$L$1940,$D$12,'Forecast capex'!$C$9:$C$1940,'Commissioned assets allocation'!$B87)</f>
        <v>0</v>
      </c>
      <c r="P87" s="290">
        <f>SUMIFS('Forecast capex'!$U$9:$U$1940,'Forecast capex'!$AD$9:$AD$1940,'Commissioned assets allocation'!$B$84,'Forecast capex'!$J$9:$J$1940,'Commissioned assets allocation'!P$11,'Forecast capex'!$L$9:$L$1940,$D$12,'Forecast capex'!$C$9:$C$1940,'Commissioned assets allocation'!$B87)</f>
        <v>0</v>
      </c>
      <c r="Q87" s="290">
        <f>SUMIFS('Forecast capex'!$U$9:$U$1940,'Forecast capex'!$AD$9:$AD$1940,'Commissioned assets allocation'!$B$84,'Forecast capex'!$J$9:$J$1940,'Commissioned assets allocation'!Q$11,'Forecast capex'!$L$9:$L$1940,$D$12,'Forecast capex'!$C$9:$C$1940,'Commissioned assets allocation'!$B87)</f>
        <v>0</v>
      </c>
      <c r="R87" s="290">
        <f>SUMIFS('Forecast capex'!$U$9:$U$1940,'Forecast capex'!$AD$9:$AD$1940,'Commissioned assets allocation'!$B$84,'Forecast capex'!$J$9:$J$1940,'Commissioned assets allocation'!R$11,'Forecast capex'!$L$9:$L$1940,$D$12,'Forecast capex'!$C$9:$C$1940,'Commissioned assets allocation'!$B87)</f>
        <v>0</v>
      </c>
      <c r="S87" s="290">
        <f>SUMIFS('Forecast capex'!$U$9:$U$1940,'Forecast capex'!$AD$9:$AD$1940,'Commissioned assets allocation'!$B$84,'Forecast capex'!$J$9:$J$1940,'Commissioned assets allocation'!S$11,'Forecast capex'!$L$9:$L$1940,$D$12,'Forecast capex'!$C$9:$C$1940,'Commissioned assets allocation'!$B87)</f>
        <v>0</v>
      </c>
    </row>
    <row r="88" spans="1:21" outlineLevel="1" x14ac:dyDescent="0.2">
      <c r="B88" s="250" t="s">
        <v>285</v>
      </c>
      <c r="C88" s="280" t="s">
        <v>250</v>
      </c>
      <c r="M88" s="290">
        <f>SUMIFS('Forecast capex'!$U$9:$U$1940,'Forecast capex'!$AD$9:$AD$1940,'Commissioned assets allocation'!$B$84,'Forecast capex'!$J$9:$J$1940,'Commissioned assets allocation'!M$11,'Forecast capex'!$L$9:$L$1940,$D$12,'Forecast capex'!$C$9:$C$1940,'Commissioned assets allocation'!$B88)</f>
        <v>0</v>
      </c>
      <c r="N88" s="290">
        <f>SUMIFS('Forecast capex'!$U$9:$U$1940,'Forecast capex'!$AD$9:$AD$1940,'Commissioned assets allocation'!$B$84,'Forecast capex'!$J$9:$J$1940,'Commissioned assets allocation'!N$11,'Forecast capex'!$L$9:$L$1940,$D$12,'Forecast capex'!$C$9:$C$1940,'Commissioned assets allocation'!$B88)</f>
        <v>0</v>
      </c>
      <c r="O88" s="290">
        <f>SUMIFS('Forecast capex'!$U$9:$U$1940,'Forecast capex'!$AD$9:$AD$1940,'Commissioned assets allocation'!$B$84,'Forecast capex'!$J$9:$J$1940,'Commissioned assets allocation'!O$11,'Forecast capex'!$L$9:$L$1940,$D$12,'Forecast capex'!$C$9:$C$1940,'Commissioned assets allocation'!$B88)</f>
        <v>0</v>
      </c>
      <c r="P88" s="290">
        <f>SUMIFS('Forecast capex'!$U$9:$U$1940,'Forecast capex'!$AD$9:$AD$1940,'Commissioned assets allocation'!$B$84,'Forecast capex'!$J$9:$J$1940,'Commissioned assets allocation'!P$11,'Forecast capex'!$L$9:$L$1940,$D$12,'Forecast capex'!$C$9:$C$1940,'Commissioned assets allocation'!$B88)</f>
        <v>0</v>
      </c>
      <c r="Q88" s="290">
        <f>SUMIFS('Forecast capex'!$U$9:$U$1940,'Forecast capex'!$AD$9:$AD$1940,'Commissioned assets allocation'!$B$84,'Forecast capex'!$J$9:$J$1940,'Commissioned assets allocation'!Q$11,'Forecast capex'!$L$9:$L$1940,$D$12,'Forecast capex'!$C$9:$C$1940,'Commissioned assets allocation'!$B88)</f>
        <v>0</v>
      </c>
      <c r="R88" s="290">
        <f>SUMIFS('Forecast capex'!$U$9:$U$1940,'Forecast capex'!$AD$9:$AD$1940,'Commissioned assets allocation'!$B$84,'Forecast capex'!$J$9:$J$1940,'Commissioned assets allocation'!R$11,'Forecast capex'!$L$9:$L$1940,$D$12,'Forecast capex'!$C$9:$C$1940,'Commissioned assets allocation'!$B88)</f>
        <v>0</v>
      </c>
      <c r="S88" s="290">
        <f>SUMIFS('Forecast capex'!$U$9:$U$1940,'Forecast capex'!$AD$9:$AD$1940,'Commissioned assets allocation'!$B$84,'Forecast capex'!$J$9:$J$1940,'Commissioned assets allocation'!S$11,'Forecast capex'!$L$9:$L$1940,$D$12,'Forecast capex'!$C$9:$C$1940,'Commissioned assets allocation'!$B88)</f>
        <v>0</v>
      </c>
    </row>
    <row r="89" spans="1:21" outlineLevel="1" x14ac:dyDescent="0.2">
      <c r="B89" s="250" t="s">
        <v>286</v>
      </c>
      <c r="C89" s="280" t="s">
        <v>250</v>
      </c>
      <c r="M89" s="290">
        <f>SUMIFS('Forecast capex'!$U$9:$U$1940,'Forecast capex'!$AD$9:$AD$1940,'Commissioned assets allocation'!$B$84,'Forecast capex'!$J$9:$J$1940,'Commissioned assets allocation'!M$11,'Forecast capex'!$L$9:$L$1940,$D$12,'Forecast capex'!$C$9:$C$1940,'Commissioned assets allocation'!$B89)</f>
        <v>70004.780557043472</v>
      </c>
      <c r="N89" s="290">
        <f>SUMIFS('Forecast capex'!$U$9:$U$1940,'Forecast capex'!$AD$9:$AD$1940,'Commissioned assets allocation'!$B$84,'Forecast capex'!$J$9:$J$1940,'Commissioned assets allocation'!N$11,'Forecast capex'!$L$9:$L$1940,$D$12,'Forecast capex'!$C$9:$C$1940,'Commissioned assets allocation'!$B89)</f>
        <v>1168266.9387599542</v>
      </c>
      <c r="O89" s="290">
        <f>SUMIFS('Forecast capex'!$U$9:$U$1940,'Forecast capex'!$AD$9:$AD$1940,'Commissioned assets allocation'!$B$84,'Forecast capex'!$J$9:$J$1940,'Commissioned assets allocation'!O$11,'Forecast capex'!$L$9:$L$1940,$D$12,'Forecast capex'!$C$9:$C$1940,'Commissioned assets allocation'!$B89)</f>
        <v>29175.318525529015</v>
      </c>
      <c r="P89" s="290">
        <f>SUMIFS('Forecast capex'!$U$9:$U$1940,'Forecast capex'!$AD$9:$AD$1940,'Commissioned assets allocation'!$B$84,'Forecast capex'!$J$9:$J$1940,'Commissioned assets allocation'!P$11,'Forecast capex'!$L$9:$L$1940,$D$12,'Forecast capex'!$C$9:$C$1940,'Commissioned assets allocation'!$B89)</f>
        <v>23497.899417426888</v>
      </c>
      <c r="Q89" s="290">
        <f>SUMIFS('Forecast capex'!$U$9:$U$1940,'Forecast capex'!$AD$9:$AD$1940,'Commissioned assets allocation'!$B$84,'Forecast capex'!$J$9:$J$1940,'Commissioned assets allocation'!Q$11,'Forecast capex'!$L$9:$L$1940,$D$12,'Forecast capex'!$C$9:$C$1940,'Commissioned assets allocation'!$B89)</f>
        <v>2078145.8780178807</v>
      </c>
      <c r="R89" s="290">
        <f>SUMIFS('Forecast capex'!$U$9:$U$1940,'Forecast capex'!$AD$9:$AD$1940,'Commissioned assets allocation'!$B$84,'Forecast capex'!$J$9:$J$1940,'Commissioned assets allocation'!R$11,'Forecast capex'!$L$9:$L$1940,$D$12,'Forecast capex'!$C$9:$C$1940,'Commissioned assets allocation'!$B89)</f>
        <v>31951.489545219665</v>
      </c>
      <c r="S89" s="290">
        <f>SUMIFS('Forecast capex'!$U$9:$U$1940,'Forecast capex'!$AD$9:$AD$1940,'Commissioned assets allocation'!$B$84,'Forecast capex'!$J$9:$J$1940,'Commissioned assets allocation'!S$11,'Forecast capex'!$L$9:$L$1940,$D$12,'Forecast capex'!$C$9:$C$1940,'Commissioned assets allocation'!$B89)</f>
        <v>33358.946720782842</v>
      </c>
    </row>
    <row r="90" spans="1:21" outlineLevel="1" x14ac:dyDescent="0.2">
      <c r="B90" s="250" t="s">
        <v>287</v>
      </c>
      <c r="C90" s="280" t="s">
        <v>250</v>
      </c>
      <c r="M90" s="290">
        <f>SUMIFS('Forecast capex'!$U$9:$U$1940,'Forecast capex'!$AD$9:$AD$1940,'Commissioned assets allocation'!$B$84,'Forecast capex'!$J$9:$J$1940,'Commissioned assets allocation'!M$11,'Forecast capex'!$L$9:$L$1940,$D$12,'Forecast capex'!$C$9:$C$1940,'Commissioned assets allocation'!$B90)</f>
        <v>1607603.6814520631</v>
      </c>
      <c r="N90" s="290">
        <f>SUMIFS('Forecast capex'!$U$9:$U$1940,'Forecast capex'!$AD$9:$AD$1940,'Commissioned assets allocation'!$B$84,'Forecast capex'!$J$9:$J$1940,'Commissioned assets allocation'!N$11,'Forecast capex'!$L$9:$L$1940,$D$12,'Forecast capex'!$C$9:$C$1940,'Commissioned assets allocation'!$B90)</f>
        <v>1209732.7906862516</v>
      </c>
      <c r="O90" s="290">
        <f>SUMIFS('Forecast capex'!$U$9:$U$1940,'Forecast capex'!$AD$9:$AD$1940,'Commissioned assets allocation'!$B$84,'Forecast capex'!$J$9:$J$1940,'Commissioned assets allocation'!O$11,'Forecast capex'!$L$9:$L$1940,$D$12,'Forecast capex'!$C$9:$C$1940,'Commissioned assets allocation'!$B90)</f>
        <v>1198308.607340228</v>
      </c>
      <c r="P90" s="290">
        <f>SUMIFS('Forecast capex'!$U$9:$U$1940,'Forecast capex'!$AD$9:$AD$1940,'Commissioned assets allocation'!$B$84,'Forecast capex'!$J$9:$J$1940,'Commissioned assets allocation'!P$11,'Forecast capex'!$L$9:$L$1940,$D$12,'Forecast capex'!$C$9:$C$1940,'Commissioned assets allocation'!$B90)</f>
        <v>965646.98253643664</v>
      </c>
      <c r="Q90" s="290">
        <f>SUMIFS('Forecast capex'!$U$9:$U$1940,'Forecast capex'!$AD$9:$AD$1940,'Commissioned assets allocation'!$B$84,'Forecast capex'!$J$9:$J$1940,'Commissioned assets allocation'!Q$11,'Forecast capex'!$L$9:$L$1940,$D$12,'Forecast capex'!$C$9:$C$1940,'Commissioned assets allocation'!$B90)</f>
        <v>1006703.5284130587</v>
      </c>
      <c r="R90" s="290">
        <f>SUMIFS('Forecast capex'!$U$9:$U$1940,'Forecast capex'!$AD$9:$AD$1940,'Commissioned assets allocation'!$B$84,'Forecast capex'!$J$9:$J$1940,'Commissioned assets allocation'!R$11,'Forecast capex'!$L$9:$L$1940,$D$12,'Forecast capex'!$C$9:$C$1940,'Commissioned assets allocation'!$B90)</f>
        <v>1315625.1451600431</v>
      </c>
      <c r="S90" s="290">
        <f>SUMIFS('Forecast capex'!$U$9:$U$1940,'Forecast capex'!$AD$9:$AD$1940,'Commissioned assets allocation'!$B$84,'Forecast capex'!$J$9:$J$1940,'Commissioned assets allocation'!S$11,'Forecast capex'!$L$9:$L$1940,$D$12,'Forecast capex'!$C$9:$C$1940,'Commissioned assets allocation'!$B90)</f>
        <v>1374712.9017543374</v>
      </c>
    </row>
    <row r="91" spans="1:21" outlineLevel="1" x14ac:dyDescent="0.2">
      <c r="B91" s="250" t="s">
        <v>288</v>
      </c>
      <c r="C91" s="280" t="s">
        <v>250</v>
      </c>
      <c r="M91" s="290">
        <f>SUMIFS('Forecast capex'!$U$9:$U$1940,'Forecast capex'!$AD$9:$AD$1940,'Commissioned assets allocation'!$B$84,'Forecast capex'!$J$9:$J$1940,'Commissioned assets allocation'!M$11,'Forecast capex'!$L$9:$L$1940,$D$12,'Forecast capex'!$C$9:$C$1940,'Commissioned assets allocation'!$B91)</f>
        <v>1176295.3766722414</v>
      </c>
      <c r="N91" s="290">
        <f>SUMIFS('Forecast capex'!$U$9:$U$1940,'Forecast capex'!$AD$9:$AD$1940,'Commissioned assets allocation'!$B$84,'Forecast capex'!$J$9:$J$1940,'Commissioned assets allocation'!N$11,'Forecast capex'!$L$9:$L$1940,$D$12,'Forecast capex'!$C$9:$C$1940,'Commissioned assets allocation'!$B91)</f>
        <v>885471.34163583885</v>
      </c>
      <c r="O91" s="290">
        <f>SUMIFS('Forecast capex'!$U$9:$U$1940,'Forecast capex'!$AD$9:$AD$1940,'Commissioned assets allocation'!$B$84,'Forecast capex'!$J$9:$J$1940,'Commissioned assets allocation'!O$11,'Forecast capex'!$L$9:$L$1940,$D$12,'Forecast capex'!$C$9:$C$1940,'Commissioned assets allocation'!$B91)</f>
        <v>876689.42009152949</v>
      </c>
      <c r="P91" s="290">
        <f>SUMIFS('Forecast capex'!$U$9:$U$1940,'Forecast capex'!$AD$9:$AD$1940,'Commissioned assets allocation'!$B$84,'Forecast capex'!$J$9:$J$1940,'Commissioned assets allocation'!P$11,'Forecast capex'!$L$9:$L$1940,$D$12,'Forecast capex'!$C$9:$C$1940,'Commissioned assets allocation'!$B91)</f>
        <v>708426.09880137269</v>
      </c>
      <c r="Q91" s="290">
        <f>SUMIFS('Forecast capex'!$U$9:$U$1940,'Forecast capex'!$AD$9:$AD$1940,'Commissioned assets allocation'!$B$84,'Forecast capex'!$J$9:$J$1940,'Commissioned assets allocation'!Q$11,'Forecast capex'!$L$9:$L$1940,$D$12,'Forecast capex'!$C$9:$C$1940,'Commissioned assets allocation'!$B91)</f>
        <v>740012.2716614214</v>
      </c>
      <c r="R91" s="290">
        <f>SUMIFS('Forecast capex'!$U$9:$U$1940,'Forecast capex'!$AD$9:$AD$1940,'Commissioned assets allocation'!$B$84,'Forecast capex'!$J$9:$J$1940,'Commissioned assets allocation'!R$11,'Forecast capex'!$L$9:$L$1940,$D$12,'Forecast capex'!$C$9:$C$1940,'Commissioned assets allocation'!$B91)</f>
        <v>969841.48503454961</v>
      </c>
      <c r="S91" s="290">
        <f>SUMIFS('Forecast capex'!$U$9:$U$1940,'Forecast capex'!$AD$9:$AD$1940,'Commissioned assets allocation'!$B$84,'Forecast capex'!$J$9:$J$1940,'Commissioned assets allocation'!S$11,'Forecast capex'!$L$9:$L$1940,$D$12,'Forecast capex'!$C$9:$C$1940,'Commissioned assets allocation'!$B91)</f>
        <v>1016287.6051302574</v>
      </c>
    </row>
    <row r="92" spans="1:21" outlineLevel="1" x14ac:dyDescent="0.2">
      <c r="B92" s="250" t="s">
        <v>289</v>
      </c>
      <c r="C92" s="280" t="s">
        <v>250</v>
      </c>
      <c r="M92" s="290">
        <f>SUMIFS('Forecast capex'!$U$9:$U$1940,'Forecast capex'!$AD$9:$AD$1940,'Commissioned assets allocation'!$B$84,'Forecast capex'!$J$9:$J$1940,'Commissioned assets allocation'!M$11,'Forecast capex'!$L$9:$L$1940,$D$12,'Forecast capex'!$C$9:$C$1940,'Commissioned assets allocation'!$B92)</f>
        <v>509727.99655797117</v>
      </c>
      <c r="N92" s="290">
        <f>SUMIFS('Forecast capex'!$U$9:$U$1940,'Forecast capex'!$AD$9:$AD$1940,'Commissioned assets allocation'!$B$84,'Forecast capex'!$J$9:$J$1940,'Commissioned assets allocation'!N$11,'Forecast capex'!$L$9:$L$1940,$D$12,'Forecast capex'!$C$9:$C$1940,'Commissioned assets allocation'!$B92)</f>
        <v>380329.60417415859</v>
      </c>
      <c r="O92" s="290">
        <f>SUMIFS('Forecast capex'!$U$9:$U$1940,'Forecast capex'!$AD$9:$AD$1940,'Commissioned assets allocation'!$B$84,'Forecast capex'!$J$9:$J$1940,'Commissioned assets allocation'!O$11,'Forecast capex'!$L$9:$L$1940,$D$12,'Forecast capex'!$C$9:$C$1940,'Commissioned assets allocation'!$B92)</f>
        <v>373015.88060965855</v>
      </c>
      <c r="P92" s="290">
        <f>SUMIFS('Forecast capex'!$U$9:$U$1940,'Forecast capex'!$AD$9:$AD$1940,'Commissioned assets allocation'!$B$84,'Forecast capex'!$J$9:$J$1940,'Commissioned assets allocation'!P$11,'Forecast capex'!$L$9:$L$1940,$D$12,'Forecast capex'!$C$9:$C$1940,'Commissioned assets allocation'!$B92)</f>
        <v>299688.29868706793</v>
      </c>
      <c r="Q92" s="290">
        <f>SUMIFS('Forecast capex'!$U$9:$U$1940,'Forecast capex'!$AD$9:$AD$1940,'Commissioned assets allocation'!$B$84,'Forecast capex'!$J$9:$J$1940,'Commissioned assets allocation'!Q$11,'Forecast capex'!$L$9:$L$1940,$D$12,'Forecast capex'!$C$9:$C$1940,'Commissioned assets allocation'!$B92)</f>
        <v>311640.87155715103</v>
      </c>
      <c r="R92" s="290">
        <f>SUMIFS('Forecast capex'!$U$9:$U$1940,'Forecast capex'!$AD$9:$AD$1940,'Commissioned assets allocation'!$B$84,'Forecast capex'!$J$9:$J$1940,'Commissioned assets allocation'!R$11,'Forecast capex'!$L$9:$L$1940,$D$12,'Forecast capex'!$C$9:$C$1940,'Commissioned assets allocation'!$B92)</f>
        <v>406399.20505121589</v>
      </c>
      <c r="S92" s="290">
        <f>SUMIFS('Forecast capex'!$U$9:$U$1940,'Forecast capex'!$AD$9:$AD$1940,'Commissioned assets allocation'!$B$84,'Forecast capex'!$J$9:$J$1940,'Commissioned assets allocation'!S$11,'Forecast capex'!$L$9:$L$1940,$D$12,'Forecast capex'!$C$9:$C$1940,'Commissioned assets allocation'!$B92)</f>
        <v>423743.75325333723</v>
      </c>
    </row>
    <row r="93" spans="1:21" outlineLevel="1" x14ac:dyDescent="0.2">
      <c r="B93" s="250" t="s">
        <v>290</v>
      </c>
      <c r="C93" s="280" t="s">
        <v>250</v>
      </c>
      <c r="M93" s="290">
        <f>SUMIFS('Forecast capex'!$U$9:$U$1940,'Forecast capex'!$AD$9:$AD$1940,'Commissioned assets allocation'!$B$84,'Forecast capex'!$J$9:$J$1940,'Commissioned assets allocation'!M$11,'Forecast capex'!$L$9:$L$1940,$D$12,'Forecast capex'!$C$9:$C$1940,'Commissioned assets allocation'!$B93)</f>
        <v>568542.76539158332</v>
      </c>
      <c r="N93" s="290">
        <f>SUMIFS('Forecast capex'!$U$9:$U$1940,'Forecast capex'!$AD$9:$AD$1940,'Commissioned assets allocation'!$B$84,'Forecast capex'!$J$9:$J$1940,'Commissioned assets allocation'!N$11,'Forecast capex'!$L$9:$L$1940,$D$12,'Forecast capex'!$C$9:$C$1940,'Commissioned assets allocation'!$B93)</f>
        <v>428261.70236004534</v>
      </c>
      <c r="O93" s="290">
        <f>SUMIFS('Forecast capex'!$U$9:$U$1940,'Forecast capex'!$AD$9:$AD$1940,'Commissioned assets allocation'!$B$84,'Forecast capex'!$J$9:$J$1940,'Commissioned assets allocation'!O$11,'Forecast capex'!$L$9:$L$1940,$D$12,'Forecast capex'!$C$9:$C$1940,'Commissioned assets allocation'!$B93)</f>
        <v>424289.199573819</v>
      </c>
      <c r="P93" s="290">
        <f>SUMIFS('Forecast capex'!$U$9:$U$1940,'Forecast capex'!$AD$9:$AD$1940,'Commissioned assets allocation'!$B$84,'Forecast capex'!$J$9:$J$1940,'Commissioned assets allocation'!P$11,'Forecast capex'!$L$9:$L$1940,$D$12,'Forecast capex'!$C$9:$C$1940,'Commissioned assets allocation'!$B93)</f>
        <v>341229.29782991984</v>
      </c>
      <c r="Q93" s="290">
        <f>SUMIFS('Forecast capex'!$U$9:$U$1940,'Forecast capex'!$AD$9:$AD$1940,'Commissioned assets allocation'!$B$84,'Forecast capex'!$J$9:$J$1940,'Commissioned assets allocation'!Q$11,'Forecast capex'!$L$9:$L$1940,$D$12,'Forecast capex'!$C$9:$C$1940,'Commissioned assets allocation'!$B93)</f>
        <v>355454.39119515149</v>
      </c>
      <c r="R93" s="290">
        <f>SUMIFS('Forecast capex'!$U$9:$U$1940,'Forecast capex'!$AD$9:$AD$1940,'Commissioned assets allocation'!$B$84,'Forecast capex'!$J$9:$J$1940,'Commissioned assets allocation'!R$11,'Forecast capex'!$L$9:$L$1940,$D$12,'Forecast capex'!$C$9:$C$1940,'Commissioned assets allocation'!$B93)</f>
        <v>463692.50152150902</v>
      </c>
      <c r="S93" s="290">
        <f>SUMIFS('Forecast capex'!$U$9:$U$1940,'Forecast capex'!$AD$9:$AD$1940,'Commissioned assets allocation'!$B$84,'Forecast capex'!$J$9:$J$1940,'Commissioned assets allocation'!S$11,'Forecast capex'!$L$9:$L$1940,$D$12,'Forecast capex'!$C$9:$C$1940,'Commissioned assets allocation'!$B93)</f>
        <v>483638.80211391125</v>
      </c>
    </row>
    <row r="94" spans="1:21" outlineLevel="1" x14ac:dyDescent="0.2">
      <c r="B94" s="250" t="s">
        <v>291</v>
      </c>
      <c r="C94" s="280" t="s">
        <v>250</v>
      </c>
      <c r="M94" s="290">
        <f>SUMIFS('Forecast capex'!$U$9:$U$1940,'Forecast capex'!$AD$9:$AD$1940,'Commissioned assets allocation'!$B$84,'Forecast capex'!$J$9:$J$1940,'Commissioned assets allocation'!M$11,'Forecast capex'!$L$9:$L$1940,$D$12,'Forecast capex'!$C$9:$C$1940,'Commissioned assets allocation'!$B94)</f>
        <v>21225.708979693605</v>
      </c>
      <c r="N94" s="290">
        <f>SUMIFS('Forecast capex'!$U$9:$U$1940,'Forecast capex'!$AD$9:$AD$1940,'Commissioned assets allocation'!$B$84,'Forecast capex'!$J$9:$J$1940,'Commissioned assets allocation'!N$11,'Forecast capex'!$L$9:$L$1940,$D$12,'Forecast capex'!$C$9:$C$1940,'Commissioned assets allocation'!$B94)</f>
        <v>14729.277575913844</v>
      </c>
      <c r="O94" s="290">
        <f>SUMIFS('Forecast capex'!$U$9:$U$1940,'Forecast capex'!$AD$9:$AD$1940,'Commissioned assets allocation'!$B$84,'Forecast capex'!$J$9:$J$1940,'Commissioned assets allocation'!O$11,'Forecast capex'!$L$9:$L$1940,$D$12,'Forecast capex'!$C$9:$C$1940,'Commissioned assets allocation'!$B94)</f>
        <v>14587.659262764508</v>
      </c>
      <c r="P94" s="290">
        <f>SUMIFS('Forecast capex'!$U$9:$U$1940,'Forecast capex'!$AD$9:$AD$1940,'Commissioned assets allocation'!$B$84,'Forecast capex'!$J$9:$J$1940,'Commissioned assets allocation'!P$11,'Forecast capex'!$L$9:$L$1940,$D$12,'Forecast capex'!$C$9:$C$1940,'Commissioned assets allocation'!$B94)</f>
        <v>11748.949708713444</v>
      </c>
      <c r="Q94" s="290">
        <f>SUMIFS('Forecast capex'!$U$9:$U$1940,'Forecast capex'!$AD$9:$AD$1940,'Commissioned assets allocation'!$B$84,'Forecast capex'!$J$9:$J$1940,'Commissioned assets allocation'!Q$11,'Forecast capex'!$L$9:$L$1940,$D$12,'Forecast capex'!$C$9:$C$1940,'Commissioned assets allocation'!$B94)</f>
        <v>95500.487221629679</v>
      </c>
      <c r="R94" s="290">
        <f>SUMIFS('Forecast capex'!$U$9:$U$1940,'Forecast capex'!$AD$9:$AD$1940,'Commissioned assets allocation'!$B$84,'Forecast capex'!$J$9:$J$1940,'Commissioned assets allocation'!R$11,'Forecast capex'!$L$9:$L$1940,$D$12,'Forecast capex'!$C$9:$C$1940,'Commissioned assets allocation'!$B94)</f>
        <v>15975.744772609833</v>
      </c>
      <c r="S94" s="290">
        <f>SUMIFS('Forecast capex'!$U$9:$U$1940,'Forecast capex'!$AD$9:$AD$1940,'Commissioned assets allocation'!$B$84,'Forecast capex'!$J$9:$J$1940,'Commissioned assets allocation'!S$11,'Forecast capex'!$L$9:$L$1940,$D$12,'Forecast capex'!$C$9:$C$1940,'Commissioned assets allocation'!$B94)</f>
        <v>16679.473360391421</v>
      </c>
    </row>
    <row r="95" spans="1:21" outlineLevel="1" x14ac:dyDescent="0.2">
      <c r="B95" s="267" t="s">
        <v>292</v>
      </c>
      <c r="C95" s="280" t="s">
        <v>250</v>
      </c>
      <c r="M95" s="290">
        <f>SUMIFS('Forecast capex'!$U$9:$U$1940,'Forecast capex'!$AD$9:$AD$1940,'Commissioned assets allocation'!$B$84,'Forecast capex'!$J$9:$J$1940,'Commissioned assets allocation'!M$11,'Forecast capex'!$L$9:$L$1940,$D$12,'Forecast capex'!$C$9:$C$1940,'Commissioned assets allocation'!$B95)</f>
        <v>0</v>
      </c>
      <c r="N95" s="290">
        <f>SUMIFS('Forecast capex'!$U$9:$U$1940,'Forecast capex'!$AD$9:$AD$1940,'Commissioned assets allocation'!$B$84,'Forecast capex'!$J$9:$J$1940,'Commissioned assets allocation'!N$11,'Forecast capex'!$L$9:$L$1940,$D$12,'Forecast capex'!$C$9:$C$1940,'Commissioned assets allocation'!$B95)</f>
        <v>0</v>
      </c>
      <c r="O95" s="290">
        <f>SUMIFS('Forecast capex'!$U$9:$U$1940,'Forecast capex'!$AD$9:$AD$1940,'Commissioned assets allocation'!$B$84,'Forecast capex'!$J$9:$J$1940,'Commissioned assets allocation'!O$11,'Forecast capex'!$L$9:$L$1940,$D$12,'Forecast capex'!$C$9:$C$1940,'Commissioned assets allocation'!$B95)</f>
        <v>0</v>
      </c>
      <c r="P95" s="290">
        <f>SUMIFS('Forecast capex'!$U$9:$U$1940,'Forecast capex'!$AD$9:$AD$1940,'Commissioned assets allocation'!$B$84,'Forecast capex'!$J$9:$J$1940,'Commissioned assets allocation'!P$11,'Forecast capex'!$L$9:$L$1940,$D$12,'Forecast capex'!$C$9:$C$1940,'Commissioned assets allocation'!$B95)</f>
        <v>0</v>
      </c>
      <c r="Q95" s="290">
        <f>SUMIFS('Forecast capex'!$U$9:$U$1940,'Forecast capex'!$AD$9:$AD$1940,'Commissioned assets allocation'!$B$84,'Forecast capex'!$J$9:$J$1940,'Commissioned assets allocation'!Q$11,'Forecast capex'!$L$9:$L$1940,$D$12,'Forecast capex'!$C$9:$C$1940,'Commissioned assets allocation'!$B95)</f>
        <v>0</v>
      </c>
      <c r="R95" s="290">
        <f>SUMIFS('Forecast capex'!$U$9:$U$1940,'Forecast capex'!$AD$9:$AD$1940,'Commissioned assets allocation'!$B$84,'Forecast capex'!$J$9:$J$1940,'Commissioned assets allocation'!R$11,'Forecast capex'!$L$9:$L$1940,$D$12,'Forecast capex'!$C$9:$C$1940,'Commissioned assets allocation'!$B95)</f>
        <v>0</v>
      </c>
      <c r="S95" s="290">
        <f>SUMIFS('Forecast capex'!$U$9:$U$1940,'Forecast capex'!$AD$9:$AD$1940,'Commissioned assets allocation'!$B$84,'Forecast capex'!$J$9:$J$1940,'Commissioned assets allocation'!S$11,'Forecast capex'!$L$9:$L$1940,$D$12,'Forecast capex'!$C$9:$C$1940,'Commissioned assets allocation'!$B95)</f>
        <v>0</v>
      </c>
    </row>
    <row r="96" spans="1:21" outlineLevel="1" x14ac:dyDescent="0.2">
      <c r="B96" s="243" t="s">
        <v>49</v>
      </c>
      <c r="C96" s="337" t="s">
        <v>250</v>
      </c>
      <c r="D96" s="243"/>
      <c r="E96" s="243"/>
      <c r="F96" s="243"/>
      <c r="G96" s="243"/>
      <c r="H96" s="243"/>
      <c r="I96" s="335"/>
      <c r="J96" s="243"/>
      <c r="K96" s="243"/>
      <c r="M96" s="235">
        <f t="shared" ref="M96:S96" si="9">SUM(M87:M95)</f>
        <v>3953400.3096105955</v>
      </c>
      <c r="N96" s="235">
        <f t="shared" si="9"/>
        <v>4086791.6551921619</v>
      </c>
      <c r="O96" s="235">
        <f t="shared" si="9"/>
        <v>2916066.085403529</v>
      </c>
      <c r="P96" s="235">
        <f t="shared" si="9"/>
        <v>2350237.5269809375</v>
      </c>
      <c r="Q96" s="235">
        <f t="shared" si="9"/>
        <v>4587457.4280662918</v>
      </c>
      <c r="R96" s="235">
        <f t="shared" si="9"/>
        <v>3203485.5710851471</v>
      </c>
      <c r="S96" s="235">
        <f t="shared" si="9"/>
        <v>3348421.4823330175</v>
      </c>
    </row>
    <row r="97" spans="2:19" outlineLevel="1" x14ac:dyDescent="0.2">
      <c r="C97" s="329"/>
    </row>
    <row r="98" spans="2:19" outlineLevel="1" x14ac:dyDescent="0.2">
      <c r="B98" s="242" t="s">
        <v>228</v>
      </c>
      <c r="C98" s="280" t="s">
        <v>58</v>
      </c>
      <c r="D98" s="297">
        <f>SUM(H98:S98)</f>
        <v>0</v>
      </c>
      <c r="E98" s="298"/>
      <c r="M98" s="228">
        <f>IF(ABS(M96-SUMIFS('Forecast capex'!$U$9:$U$1940,'Forecast capex'!$AD$9:$AD$1940,'Commissioned assets allocation'!$B84,'Forecast capex'!$J$9:$J$1940,'Commissioned assets allocation'!M$11,'Forecast capex'!$L$9:$L$1940,$D$12))&lt;0.001,0,1)</f>
        <v>0</v>
      </c>
      <c r="N98" s="228">
        <f>IF(ABS(N96-SUMIFS('Forecast capex'!$U$9:$U$1940,'Forecast capex'!$AD$9:$AD$1940,'Commissioned assets allocation'!$B84,'Forecast capex'!$J$9:$J$1940,'Commissioned assets allocation'!N$11,'Forecast capex'!$L$9:$L$1940,$D$12))&lt;0.001,0,1)</f>
        <v>0</v>
      </c>
      <c r="O98" s="228">
        <f>IF(ABS(O96-SUMIFS('Forecast capex'!$U$9:$U$1940,'Forecast capex'!$AD$9:$AD$1940,'Commissioned assets allocation'!$B84,'Forecast capex'!$J$9:$J$1940,'Commissioned assets allocation'!O$11,'Forecast capex'!$L$9:$L$1940,$D$12))&lt;0.001,0,1)</f>
        <v>0</v>
      </c>
      <c r="P98" s="228">
        <f>IF(ABS(P96-SUMIFS('Forecast capex'!$U$9:$U$1940,'Forecast capex'!$AD$9:$AD$1940,'Commissioned assets allocation'!$B84,'Forecast capex'!$J$9:$J$1940,'Commissioned assets allocation'!P$11,'Forecast capex'!$L$9:$L$1940,$D$12))&lt;0.001,0,1)</f>
        <v>0</v>
      </c>
      <c r="Q98" s="228">
        <f>IF(ABS(Q96-SUMIFS('Forecast capex'!$U$9:$U$1940,'Forecast capex'!$AD$9:$AD$1940,'Commissioned assets allocation'!$B84,'Forecast capex'!$J$9:$J$1940,'Commissioned assets allocation'!Q$11,'Forecast capex'!$L$9:$L$1940,$D$12))&lt;0.001,0,1)</f>
        <v>0</v>
      </c>
      <c r="R98" s="228">
        <f>IF(ABS(R96-SUMIFS('Forecast capex'!$U$9:$U$1940,'Forecast capex'!$AD$9:$AD$1940,'Commissioned assets allocation'!$B84,'Forecast capex'!$J$9:$J$1940,'Commissioned assets allocation'!R$11,'Forecast capex'!$L$9:$L$1940,$D$12))&lt;0.001,0,1)</f>
        <v>0</v>
      </c>
      <c r="S98" s="228">
        <f>IF(ABS(S96-SUMIFS('Forecast capex'!$U$9:$U$1940,'Forecast capex'!$AD$9:$AD$1940,'Commissioned assets allocation'!$B84,'Forecast capex'!$J$9:$J$1940,'Commissioned assets allocation'!S$11,'Forecast capex'!$L$9:$L$1940,$D$12))&lt;0.001,0,1)</f>
        <v>0</v>
      </c>
    </row>
    <row r="99" spans="2:19" outlineLevel="1" x14ac:dyDescent="0.2">
      <c r="B99" s="229"/>
      <c r="C99" s="329"/>
    </row>
    <row r="100" spans="2:19" outlineLevel="1" x14ac:dyDescent="0.2">
      <c r="B100" s="287" t="s">
        <v>100</v>
      </c>
      <c r="C100" s="314"/>
      <c r="D100" s="347"/>
      <c r="E100" s="314"/>
      <c r="F100" s="242"/>
      <c r="G100" s="302"/>
      <c r="H100" s="302"/>
      <c r="I100" s="302"/>
      <c r="J100" s="302"/>
      <c r="K100" s="242"/>
      <c r="M100" s="242"/>
      <c r="N100" s="242"/>
      <c r="O100" s="242"/>
      <c r="P100" s="242"/>
      <c r="Q100" s="242"/>
      <c r="R100" s="242"/>
      <c r="S100" s="242"/>
    </row>
    <row r="101" spans="2:19" outlineLevel="1" x14ac:dyDescent="0.2">
      <c r="C101" s="329"/>
      <c r="K101" s="289"/>
      <c r="M101" s="289"/>
      <c r="N101" s="289"/>
      <c r="O101" s="289"/>
      <c r="P101" s="289"/>
      <c r="Q101" s="289"/>
      <c r="R101" s="289"/>
      <c r="S101" s="289"/>
    </row>
    <row r="102" spans="2:19" outlineLevel="1" x14ac:dyDescent="0.2">
      <c r="B102" s="243" t="s">
        <v>433</v>
      </c>
      <c r="C102" s="329"/>
      <c r="M102" s="229"/>
      <c r="N102" s="229"/>
      <c r="O102" s="229"/>
      <c r="P102" s="229"/>
      <c r="Q102" s="229"/>
      <c r="R102" s="229"/>
      <c r="S102" s="229"/>
    </row>
    <row r="103" spans="2:19" outlineLevel="1" x14ac:dyDescent="0.2">
      <c r="B103" s="267" t="s">
        <v>284</v>
      </c>
      <c r="C103" s="280" t="s">
        <v>250</v>
      </c>
      <c r="M103" s="290">
        <f>SUMIFS('Forecast capex'!$U$9:$U$1940,'Forecast capex'!$AD$9:$AD$1940,'Commissioned assets allocation'!$B$100,'Forecast capex'!$J$9:$J$1940,'Commissioned assets allocation'!M$11,'Forecast capex'!$L$9:$L$1940,$D$12,'Forecast capex'!$C$9:$C$1940,'Commissioned assets allocation'!$B103)</f>
        <v>939322.22207031259</v>
      </c>
      <c r="N103" s="290">
        <f>SUMIFS('Forecast capex'!$U$9:$U$1940,'Forecast capex'!$AD$9:$AD$1940,'Commissioned assets allocation'!$B$100,'Forecast capex'!$J$9:$J$1940,'Commissioned assets allocation'!N$11,'Forecast capex'!$L$9:$L$1940,$D$12,'Forecast capex'!$C$9:$C$1940,'Commissioned assets allocation'!$B103)</f>
        <v>6867084.0112828529</v>
      </c>
      <c r="O103" s="290">
        <f>SUMIFS('Forecast capex'!$U$9:$U$1940,'Forecast capex'!$AD$9:$AD$1940,'Commissioned assets allocation'!$B$100,'Forecast capex'!$J$9:$J$1940,'Commissioned assets allocation'!O$11,'Forecast capex'!$L$9:$L$1940,$D$12,'Forecast capex'!$C$9:$C$1940,'Commissioned assets allocation'!$B103)</f>
        <v>6477522.1802051868</v>
      </c>
      <c r="P103" s="290">
        <f>SUMIFS('Forecast capex'!$U$9:$U$1940,'Forecast capex'!$AD$9:$AD$1940,'Commissioned assets allocation'!$B$100,'Forecast capex'!$J$9:$J$1940,'Commissioned assets allocation'!P$11,'Forecast capex'!$L$9:$L$1940,$D$12,'Forecast capex'!$C$9:$C$1940,'Commissioned assets allocation'!$B103)</f>
        <v>7877364.4114130251</v>
      </c>
      <c r="Q103" s="290">
        <f>SUMIFS('Forecast capex'!$U$9:$U$1940,'Forecast capex'!$AD$9:$AD$1940,'Commissioned assets allocation'!$B$100,'Forecast capex'!$J$9:$J$1940,'Commissioned assets allocation'!Q$11,'Forecast capex'!$L$9:$L$1940,$D$12,'Forecast capex'!$C$9:$C$1940,'Commissioned assets allocation'!$B103)</f>
        <v>975982.66254350462</v>
      </c>
      <c r="R103" s="290">
        <f>SUMIFS('Forecast capex'!$U$9:$U$1940,'Forecast capex'!$AD$9:$AD$1940,'Commissioned assets allocation'!$B$100,'Forecast capex'!$J$9:$J$1940,'Commissioned assets allocation'!R$11,'Forecast capex'!$L$9:$L$1940,$D$12,'Forecast capex'!$C$9:$C$1940,'Commissioned assets allocation'!$B103)</f>
        <v>414570.72728471109</v>
      </c>
      <c r="S103" s="290">
        <f>SUMIFS('Forecast capex'!$U$9:$U$1940,'Forecast capex'!$AD$9:$AD$1940,'Commissioned assets allocation'!$B$100,'Forecast capex'!$J$9:$J$1940,'Commissioned assets allocation'!S$11,'Forecast capex'!$L$9:$L$1940,$D$12,'Forecast capex'!$C$9:$C$1940,'Commissioned assets allocation'!$B103)</f>
        <v>434480.11201187264</v>
      </c>
    </row>
    <row r="104" spans="2:19" outlineLevel="1" x14ac:dyDescent="0.2">
      <c r="B104" s="250" t="s">
        <v>285</v>
      </c>
      <c r="C104" s="280" t="s">
        <v>250</v>
      </c>
      <c r="M104" s="290">
        <f>SUMIFS('Forecast capex'!$U$9:$U$1940,'Forecast capex'!$AD$9:$AD$1940,'Commissioned assets allocation'!$B$100,'Forecast capex'!$J$9:$J$1940,'Commissioned assets allocation'!M$11,'Forecast capex'!$L$9:$L$1940,$D$12,'Forecast capex'!$C$9:$C$1940,'Commissioned assets allocation'!$B104)</f>
        <v>0</v>
      </c>
      <c r="N104" s="290">
        <f>SUMIFS('Forecast capex'!$U$9:$U$1940,'Forecast capex'!$AD$9:$AD$1940,'Commissioned assets allocation'!$B$100,'Forecast capex'!$J$9:$J$1940,'Commissioned assets allocation'!N$11,'Forecast capex'!$L$9:$L$1940,$D$12,'Forecast capex'!$C$9:$C$1940,'Commissioned assets allocation'!$B104)</f>
        <v>508037.76995624742</v>
      </c>
      <c r="O104" s="290">
        <f>SUMIFS('Forecast capex'!$U$9:$U$1940,'Forecast capex'!$AD$9:$AD$1940,'Commissioned assets allocation'!$B$100,'Forecast capex'!$J$9:$J$1940,'Commissioned assets allocation'!O$11,'Forecast capex'!$L$9:$L$1940,$D$12,'Forecast capex'!$C$9:$C$1940,'Commissioned assets allocation'!$B104)</f>
        <v>414864.90430817613</v>
      </c>
      <c r="P104" s="290">
        <f>SUMIFS('Forecast capex'!$U$9:$U$1940,'Forecast capex'!$AD$9:$AD$1940,'Commissioned assets allocation'!$B$100,'Forecast capex'!$J$9:$J$1940,'Commissioned assets allocation'!P$11,'Forecast capex'!$L$9:$L$1940,$D$12,'Forecast capex'!$C$9:$C$1940,'Commissioned assets allocation'!$B104)</f>
        <v>299825.1239457234</v>
      </c>
      <c r="Q104" s="290">
        <f>SUMIFS('Forecast capex'!$U$9:$U$1940,'Forecast capex'!$AD$9:$AD$1940,'Commissioned assets allocation'!$B$100,'Forecast capex'!$J$9:$J$1940,'Commissioned assets allocation'!Q$11,'Forecast capex'!$L$9:$L$1940,$D$12,'Forecast capex'!$C$9:$C$1940,'Commissioned assets allocation'!$B104)</f>
        <v>2140493.9835345745</v>
      </c>
      <c r="R104" s="290">
        <f>SUMIFS('Forecast capex'!$U$9:$U$1940,'Forecast capex'!$AD$9:$AD$1940,'Commissioned assets allocation'!$B$100,'Forecast capex'!$J$9:$J$1940,'Commissioned assets allocation'!R$11,'Forecast capex'!$L$9:$L$1940,$D$12,'Forecast capex'!$C$9:$C$1940,'Commissioned assets allocation'!$B104)</f>
        <v>255154.78230175274</v>
      </c>
      <c r="S104" s="290">
        <f>SUMIFS('Forecast capex'!$U$9:$U$1940,'Forecast capex'!$AD$9:$AD$1940,'Commissioned assets allocation'!$B$100,'Forecast capex'!$J$9:$J$1940,'Commissioned assets allocation'!S$11,'Forecast capex'!$L$9:$L$1940,$D$12,'Forecast capex'!$C$9:$C$1940,'Commissioned assets allocation'!$B104)</f>
        <v>3157253.1329565002</v>
      </c>
    </row>
    <row r="105" spans="2:19" outlineLevel="1" x14ac:dyDescent="0.2">
      <c r="B105" s="250" t="s">
        <v>286</v>
      </c>
      <c r="C105" s="280" t="s">
        <v>250</v>
      </c>
      <c r="M105" s="290">
        <f>SUMIFS('Forecast capex'!$U$9:$U$1940,'Forecast capex'!$AD$9:$AD$1940,'Commissioned assets allocation'!$B$100,'Forecast capex'!$J$9:$J$1940,'Commissioned assets allocation'!M$11,'Forecast capex'!$L$9:$L$1940,$D$12,'Forecast capex'!$C$9:$C$1940,'Commissioned assets allocation'!$B105)</f>
        <v>7726664.3885406507</v>
      </c>
      <c r="N105" s="290">
        <f>SUMIFS('Forecast capex'!$U$9:$U$1940,'Forecast capex'!$AD$9:$AD$1940,'Commissioned assets allocation'!$B$100,'Forecast capex'!$J$9:$J$1940,'Commissioned assets allocation'!N$11,'Forecast capex'!$L$9:$L$1940,$D$12,'Forecast capex'!$C$9:$C$1940,'Commissioned assets allocation'!$B105)</f>
        <v>7652872.0898969136</v>
      </c>
      <c r="O105" s="290">
        <f>SUMIFS('Forecast capex'!$U$9:$U$1940,'Forecast capex'!$AD$9:$AD$1940,'Commissioned assets allocation'!$B$100,'Forecast capex'!$J$9:$J$1940,'Commissioned assets allocation'!O$11,'Forecast capex'!$L$9:$L$1940,$D$12,'Forecast capex'!$C$9:$C$1940,'Commissioned assets allocation'!$B105)</f>
        <v>11210027.764999105</v>
      </c>
      <c r="P105" s="290">
        <f>SUMIFS('Forecast capex'!$U$9:$U$1940,'Forecast capex'!$AD$9:$AD$1940,'Commissioned assets allocation'!$B$100,'Forecast capex'!$J$9:$J$1940,'Commissioned assets allocation'!P$11,'Forecast capex'!$L$9:$L$1940,$D$12,'Forecast capex'!$C$9:$C$1940,'Commissioned assets allocation'!$B105)</f>
        <v>6174770.408373897</v>
      </c>
      <c r="Q105" s="290">
        <f>SUMIFS('Forecast capex'!$U$9:$U$1940,'Forecast capex'!$AD$9:$AD$1940,'Commissioned assets allocation'!$B$100,'Forecast capex'!$J$9:$J$1940,'Commissioned assets allocation'!Q$11,'Forecast capex'!$L$9:$L$1940,$D$12,'Forecast capex'!$C$9:$C$1940,'Commissioned assets allocation'!$B105)</f>
        <v>8557376.2521048915</v>
      </c>
      <c r="R105" s="290">
        <f>SUMIFS('Forecast capex'!$U$9:$U$1940,'Forecast capex'!$AD$9:$AD$1940,'Commissioned assets allocation'!$B$100,'Forecast capex'!$J$9:$J$1940,'Commissioned assets allocation'!R$11,'Forecast capex'!$L$9:$L$1940,$D$12,'Forecast capex'!$C$9:$C$1940,'Commissioned assets allocation'!$B105)</f>
        <v>10788104.429011231</v>
      </c>
      <c r="S105" s="290">
        <f>SUMIFS('Forecast capex'!$U$9:$U$1940,'Forecast capex'!$AD$9:$AD$1940,'Commissioned assets allocation'!$B$100,'Forecast capex'!$J$9:$J$1940,'Commissioned assets allocation'!S$11,'Forecast capex'!$L$9:$L$1940,$D$12,'Forecast capex'!$C$9:$C$1940,'Commissioned assets allocation'!$B105)</f>
        <v>5024885.4938083366</v>
      </c>
    </row>
    <row r="106" spans="2:19" outlineLevel="1" x14ac:dyDescent="0.2">
      <c r="B106" s="250" t="s">
        <v>287</v>
      </c>
      <c r="C106" s="280" t="s">
        <v>250</v>
      </c>
      <c r="M106" s="290">
        <f>SUMIFS('Forecast capex'!$U$9:$U$1940,'Forecast capex'!$AD$9:$AD$1940,'Commissioned assets allocation'!$B$100,'Forecast capex'!$J$9:$J$1940,'Commissioned assets allocation'!M$11,'Forecast capex'!$L$9:$L$1940,$D$12,'Forecast capex'!$C$9:$C$1940,'Commissioned assets allocation'!$B106)</f>
        <v>19510250</v>
      </c>
      <c r="N106" s="290">
        <f>SUMIFS('Forecast capex'!$U$9:$U$1940,'Forecast capex'!$AD$9:$AD$1940,'Commissioned assets allocation'!$B$100,'Forecast capex'!$J$9:$J$1940,'Commissioned assets allocation'!N$11,'Forecast capex'!$L$9:$L$1940,$D$12,'Forecast capex'!$C$9:$C$1940,'Commissioned assets allocation'!$B106)</f>
        <v>22550821.689579681</v>
      </c>
      <c r="O106" s="290">
        <f>SUMIFS('Forecast capex'!$U$9:$U$1940,'Forecast capex'!$AD$9:$AD$1940,'Commissioned assets allocation'!$B$100,'Forecast capex'!$J$9:$J$1940,'Commissioned assets allocation'!O$11,'Forecast capex'!$L$9:$L$1940,$D$12,'Forecast capex'!$C$9:$C$1940,'Commissioned assets allocation'!$B106)</f>
        <v>25474496.576814912</v>
      </c>
      <c r="P106" s="290">
        <f>SUMIFS('Forecast capex'!$U$9:$U$1940,'Forecast capex'!$AD$9:$AD$1940,'Commissioned assets allocation'!$B$100,'Forecast capex'!$J$9:$J$1940,'Commissioned assets allocation'!P$11,'Forecast capex'!$L$9:$L$1940,$D$12,'Forecast capex'!$C$9:$C$1940,'Commissioned assets allocation'!$B106)</f>
        <v>29132416.922376681</v>
      </c>
      <c r="Q106" s="290">
        <f>SUMIFS('Forecast capex'!$U$9:$U$1940,'Forecast capex'!$AD$9:$AD$1940,'Commissioned assets allocation'!$B$100,'Forecast capex'!$J$9:$J$1940,'Commissioned assets allocation'!Q$11,'Forecast capex'!$L$9:$L$1940,$D$12,'Forecast capex'!$C$9:$C$1940,'Commissioned assets allocation'!$B106)</f>
        <v>29478462.723566607</v>
      </c>
      <c r="R106" s="290">
        <f>SUMIFS('Forecast capex'!$U$9:$U$1940,'Forecast capex'!$AD$9:$AD$1940,'Commissioned assets allocation'!$B$100,'Forecast capex'!$J$9:$J$1940,'Commissioned assets allocation'!R$11,'Forecast capex'!$L$9:$L$1940,$D$12,'Forecast capex'!$C$9:$C$1940,'Commissioned assets allocation'!$B106)</f>
        <v>25834431.106102761</v>
      </c>
      <c r="S106" s="290">
        <f>SUMIFS('Forecast capex'!$U$9:$U$1940,'Forecast capex'!$AD$9:$AD$1940,'Commissioned assets allocation'!$B$100,'Forecast capex'!$J$9:$J$1940,'Commissioned assets allocation'!S$11,'Forecast capex'!$L$9:$L$1940,$D$12,'Forecast capex'!$C$9:$C$1940,'Commissioned assets allocation'!$B106)</f>
        <v>24944894.845911849</v>
      </c>
    </row>
    <row r="107" spans="2:19" outlineLevel="1" x14ac:dyDescent="0.2">
      <c r="B107" s="250" t="s">
        <v>288</v>
      </c>
      <c r="C107" s="280" t="s">
        <v>250</v>
      </c>
      <c r="M107" s="290">
        <f>SUMIFS('Forecast capex'!$U$9:$U$1940,'Forecast capex'!$AD$9:$AD$1940,'Commissioned assets allocation'!$B$100,'Forecast capex'!$J$9:$J$1940,'Commissioned assets allocation'!M$11,'Forecast capex'!$L$9:$L$1940,$D$12,'Forecast capex'!$C$9:$C$1940,'Commissioned assets allocation'!$B107)</f>
        <v>827000</v>
      </c>
      <c r="N107" s="290">
        <f>SUMIFS('Forecast capex'!$U$9:$U$1940,'Forecast capex'!$AD$9:$AD$1940,'Commissioned assets allocation'!$B$100,'Forecast capex'!$J$9:$J$1940,'Commissioned assets allocation'!N$11,'Forecast capex'!$L$9:$L$1940,$D$12,'Forecast capex'!$C$9:$C$1940,'Commissioned assets allocation'!$B107)</f>
        <v>1879133.7046079151</v>
      </c>
      <c r="O107" s="290">
        <f>SUMIFS('Forecast capex'!$U$9:$U$1940,'Forecast capex'!$AD$9:$AD$1940,'Commissioned assets allocation'!$B$100,'Forecast capex'!$J$9:$J$1940,'Commissioned assets allocation'!O$11,'Forecast capex'!$L$9:$L$1940,$D$12,'Forecast capex'!$C$9:$C$1940,'Commissioned assets allocation'!$B107)</f>
        <v>2385040.6470091543</v>
      </c>
      <c r="P107" s="290">
        <f>SUMIFS('Forecast capex'!$U$9:$U$1940,'Forecast capex'!$AD$9:$AD$1940,'Commissioned assets allocation'!$B$100,'Forecast capex'!$J$9:$J$1940,'Commissioned assets allocation'!P$11,'Forecast capex'!$L$9:$L$1940,$D$12,'Forecast capex'!$C$9:$C$1940,'Commissioned assets allocation'!$B107)</f>
        <v>2367978.1063880175</v>
      </c>
      <c r="Q107" s="290">
        <f>SUMIFS('Forecast capex'!$U$9:$U$1940,'Forecast capex'!$AD$9:$AD$1940,'Commissioned assets allocation'!$B$100,'Forecast capex'!$J$9:$J$1940,'Commissioned assets allocation'!Q$11,'Forecast capex'!$L$9:$L$1940,$D$12,'Forecast capex'!$C$9:$C$1940,'Commissioned assets allocation'!$B107)</f>
        <v>2528619.8317972557</v>
      </c>
      <c r="R107" s="290">
        <f>SUMIFS('Forecast capex'!$U$9:$U$1940,'Forecast capex'!$AD$9:$AD$1940,'Commissioned assets allocation'!$B$100,'Forecast capex'!$J$9:$J$1940,'Commissioned assets allocation'!R$11,'Forecast capex'!$L$9:$L$1940,$D$12,'Forecast capex'!$C$9:$C$1940,'Commissioned assets allocation'!$B107)</f>
        <v>2493538.7247716491</v>
      </c>
      <c r="S107" s="290">
        <f>SUMIFS('Forecast capex'!$U$9:$U$1940,'Forecast capex'!$AD$9:$AD$1940,'Commissioned assets allocation'!$B$100,'Forecast capex'!$J$9:$J$1940,'Commissioned assets allocation'!S$11,'Forecast capex'!$L$9:$L$1940,$D$12,'Forecast capex'!$C$9:$C$1940,'Commissioned assets allocation'!$B107)</f>
        <v>2001817.7297298214</v>
      </c>
    </row>
    <row r="108" spans="2:19" outlineLevel="1" x14ac:dyDescent="0.2">
      <c r="B108" s="250" t="s">
        <v>289</v>
      </c>
      <c r="C108" s="280" t="s">
        <v>250</v>
      </c>
      <c r="M108" s="290">
        <f>SUMIFS('Forecast capex'!$U$9:$U$1940,'Forecast capex'!$AD$9:$AD$1940,'Commissioned assets allocation'!$B$100,'Forecast capex'!$J$9:$J$1940,'Commissioned assets allocation'!M$11,'Forecast capex'!$L$9:$L$1940,$D$12,'Forecast capex'!$C$9:$C$1940,'Commissioned assets allocation'!$B108)</f>
        <v>3408895.6599891665</v>
      </c>
      <c r="N108" s="290">
        <f>SUMIFS('Forecast capex'!$U$9:$U$1940,'Forecast capex'!$AD$9:$AD$1940,'Commissioned assets allocation'!$B$100,'Forecast capex'!$J$9:$J$1940,'Commissioned assets allocation'!N$11,'Forecast capex'!$L$9:$L$1940,$D$12,'Forecast capex'!$C$9:$C$1940,'Commissioned assets allocation'!$B108)</f>
        <v>3101116.7232960728</v>
      </c>
      <c r="O108" s="290">
        <f>SUMIFS('Forecast capex'!$U$9:$U$1940,'Forecast capex'!$AD$9:$AD$1940,'Commissioned assets allocation'!$B$100,'Forecast capex'!$J$9:$J$1940,'Commissioned assets allocation'!O$11,'Forecast capex'!$L$9:$L$1940,$D$12,'Forecast capex'!$C$9:$C$1940,'Commissioned assets allocation'!$B108)</f>
        <v>3514157.4161879099</v>
      </c>
      <c r="P108" s="290">
        <f>SUMIFS('Forecast capex'!$U$9:$U$1940,'Forecast capex'!$AD$9:$AD$1940,'Commissioned assets allocation'!$B$100,'Forecast capex'!$J$9:$J$1940,'Commissioned assets allocation'!P$11,'Forecast capex'!$L$9:$L$1940,$D$12,'Forecast capex'!$C$9:$C$1940,'Commissioned assets allocation'!$B108)</f>
        <v>5318054.0245316047</v>
      </c>
      <c r="Q108" s="290">
        <f>SUMIFS('Forecast capex'!$U$9:$U$1940,'Forecast capex'!$AD$9:$AD$1940,'Commissioned assets allocation'!$B$100,'Forecast capex'!$J$9:$J$1940,'Commissioned assets allocation'!Q$11,'Forecast capex'!$L$9:$L$1940,$D$12,'Forecast capex'!$C$9:$C$1940,'Commissioned assets allocation'!$B108)</f>
        <v>6834470.2700527171</v>
      </c>
      <c r="R108" s="290">
        <f>SUMIFS('Forecast capex'!$U$9:$U$1940,'Forecast capex'!$AD$9:$AD$1940,'Commissioned assets allocation'!$B$100,'Forecast capex'!$J$9:$J$1940,'Commissioned assets allocation'!R$11,'Forecast capex'!$L$9:$L$1940,$D$12,'Forecast capex'!$C$9:$C$1940,'Commissioned assets allocation'!$B108)</f>
        <v>7403526.2695035785</v>
      </c>
      <c r="S108" s="290">
        <f>SUMIFS('Forecast capex'!$U$9:$U$1940,'Forecast capex'!$AD$9:$AD$1940,'Commissioned assets allocation'!$B$100,'Forecast capex'!$J$9:$J$1940,'Commissioned assets allocation'!S$11,'Forecast capex'!$L$9:$L$1940,$D$12,'Forecast capex'!$C$9:$C$1940,'Commissioned assets allocation'!$B108)</f>
        <v>6890081.0646969052</v>
      </c>
    </row>
    <row r="109" spans="2:19" outlineLevel="1" x14ac:dyDescent="0.2">
      <c r="B109" s="250" t="s">
        <v>290</v>
      </c>
      <c r="C109" s="280" t="s">
        <v>250</v>
      </c>
      <c r="M109" s="290">
        <f>SUMIFS('Forecast capex'!$U$9:$U$1940,'Forecast capex'!$AD$9:$AD$1940,'Commissioned assets allocation'!$B$100,'Forecast capex'!$J$9:$J$1940,'Commissioned assets allocation'!M$11,'Forecast capex'!$L$9:$L$1940,$D$12,'Forecast capex'!$C$9:$C$1940,'Commissioned assets allocation'!$B109)</f>
        <v>1598564.4800106813</v>
      </c>
      <c r="N109" s="290">
        <f>SUMIFS('Forecast capex'!$U$9:$U$1940,'Forecast capex'!$AD$9:$AD$1940,'Commissioned assets allocation'!$B$100,'Forecast capex'!$J$9:$J$1940,'Commissioned assets allocation'!N$11,'Forecast capex'!$L$9:$L$1940,$D$12,'Forecast capex'!$C$9:$C$1940,'Commissioned assets allocation'!$B109)</f>
        <v>3869376.622679505</v>
      </c>
      <c r="O109" s="290">
        <f>SUMIFS('Forecast capex'!$U$9:$U$1940,'Forecast capex'!$AD$9:$AD$1940,'Commissioned assets allocation'!$B$100,'Forecast capex'!$J$9:$J$1940,'Commissioned assets allocation'!O$11,'Forecast capex'!$L$9:$L$1940,$D$12,'Forecast capex'!$C$9:$C$1940,'Commissioned assets allocation'!$B109)</f>
        <v>3884455.1663034637</v>
      </c>
      <c r="P109" s="290">
        <f>SUMIFS('Forecast capex'!$U$9:$U$1940,'Forecast capex'!$AD$9:$AD$1940,'Commissioned assets allocation'!$B$100,'Forecast capex'!$J$9:$J$1940,'Commissioned assets allocation'!P$11,'Forecast capex'!$L$9:$L$1940,$D$12,'Forecast capex'!$C$9:$C$1940,'Commissioned assets allocation'!$B109)</f>
        <v>3958724.4880893766</v>
      </c>
      <c r="Q109" s="290">
        <f>SUMIFS('Forecast capex'!$U$9:$U$1940,'Forecast capex'!$AD$9:$AD$1940,'Commissioned assets allocation'!$B$100,'Forecast capex'!$J$9:$J$1940,'Commissioned assets allocation'!Q$11,'Forecast capex'!$L$9:$L$1940,$D$12,'Forecast capex'!$C$9:$C$1940,'Commissioned assets allocation'!$B109)</f>
        <v>4043871.6533433385</v>
      </c>
      <c r="R109" s="290">
        <f>SUMIFS('Forecast capex'!$U$9:$U$1940,'Forecast capex'!$AD$9:$AD$1940,'Commissioned assets allocation'!$B$100,'Forecast capex'!$J$9:$J$1940,'Commissioned assets allocation'!R$11,'Forecast capex'!$L$9:$L$1940,$D$12,'Forecast capex'!$C$9:$C$1940,'Commissioned assets allocation'!$B109)</f>
        <v>4230498.2924353238</v>
      </c>
      <c r="S109" s="290">
        <f>SUMIFS('Forecast capex'!$U$9:$U$1940,'Forecast capex'!$AD$9:$AD$1940,'Commissioned assets allocation'!$B$100,'Forecast capex'!$J$9:$J$1940,'Commissioned assets allocation'!S$11,'Forecast capex'!$L$9:$L$1940,$D$12,'Forecast capex'!$C$9:$C$1940,'Commissioned assets allocation'!$B109)</f>
        <v>2814274.8571286299</v>
      </c>
    </row>
    <row r="110" spans="2:19" outlineLevel="1" x14ac:dyDescent="0.2">
      <c r="B110" s="250" t="s">
        <v>291</v>
      </c>
      <c r="C110" s="280" t="s">
        <v>250</v>
      </c>
      <c r="M110" s="290">
        <f>SUMIFS('Forecast capex'!$U$9:$U$1940,'Forecast capex'!$AD$9:$AD$1940,'Commissioned assets allocation'!$B$100,'Forecast capex'!$J$9:$J$1940,'Commissioned assets allocation'!M$11,'Forecast capex'!$L$9:$L$1940,$D$12,'Forecast capex'!$C$9:$C$1940,'Commissioned assets allocation'!$B110)</f>
        <v>0</v>
      </c>
      <c r="N110" s="290">
        <f>SUMIFS('Forecast capex'!$U$9:$U$1940,'Forecast capex'!$AD$9:$AD$1940,'Commissioned assets allocation'!$B$100,'Forecast capex'!$J$9:$J$1940,'Commissioned assets allocation'!N$11,'Forecast capex'!$L$9:$L$1940,$D$12,'Forecast capex'!$C$9:$C$1940,'Commissioned assets allocation'!$B110)</f>
        <v>104319.52030350195</v>
      </c>
      <c r="O110" s="290">
        <f>SUMIFS('Forecast capex'!$U$9:$U$1940,'Forecast capex'!$AD$9:$AD$1940,'Commissioned assets allocation'!$B$100,'Forecast capex'!$J$9:$J$1940,'Commissioned assets allocation'!O$11,'Forecast capex'!$L$9:$L$1940,$D$12,'Forecast capex'!$C$9:$C$1940,'Commissioned assets allocation'!$B110)</f>
        <v>283406.92125865148</v>
      </c>
      <c r="P110" s="290">
        <f>SUMIFS('Forecast capex'!$U$9:$U$1940,'Forecast capex'!$AD$9:$AD$1940,'Commissioned assets allocation'!$B$100,'Forecast capex'!$J$9:$J$1940,'Commissioned assets allocation'!P$11,'Forecast capex'!$L$9:$L$1940,$D$12,'Forecast capex'!$C$9:$C$1940,'Commissioned assets allocation'!$B110)</f>
        <v>83791.173279982046</v>
      </c>
      <c r="Q110" s="290">
        <f>SUMIFS('Forecast capex'!$U$9:$U$1940,'Forecast capex'!$AD$9:$AD$1940,'Commissioned assets allocation'!$B$100,'Forecast capex'!$J$9:$J$1940,'Commissioned assets allocation'!Q$11,'Forecast capex'!$L$9:$L$1940,$D$12,'Forecast capex'!$C$9:$C$1940,'Commissioned assets allocation'!$B110)</f>
        <v>442652.50595828367</v>
      </c>
      <c r="R110" s="290">
        <f>SUMIFS('Forecast capex'!$U$9:$U$1940,'Forecast capex'!$AD$9:$AD$1940,'Commissioned assets allocation'!$B$100,'Forecast capex'!$J$9:$J$1940,'Commissioned assets allocation'!R$11,'Forecast capex'!$L$9:$L$1940,$D$12,'Forecast capex'!$C$9:$C$1940,'Commissioned assets allocation'!$B110)</f>
        <v>319020.33873479639</v>
      </c>
      <c r="S110" s="290">
        <f>SUMIFS('Forecast capex'!$U$9:$U$1940,'Forecast capex'!$AD$9:$AD$1940,'Commissioned assets allocation'!$B$100,'Forecast capex'!$J$9:$J$1940,'Commissioned assets allocation'!S$11,'Forecast capex'!$L$9:$L$1940,$D$12,'Forecast capex'!$C$9:$C$1940,'Commissioned assets allocation'!$B110)</f>
        <v>305409.19819557923</v>
      </c>
    </row>
    <row r="111" spans="2:19" outlineLevel="1" x14ac:dyDescent="0.2">
      <c r="B111" s="250" t="s">
        <v>292</v>
      </c>
      <c r="C111" s="280" t="s">
        <v>250</v>
      </c>
      <c r="M111" s="290">
        <f>SUMIFS('Forecast capex'!$U$9:$U$1940,'Forecast capex'!$AD$9:$AD$1940,'Commissioned assets allocation'!$B$100,'Forecast capex'!$J$9:$J$1940,'Commissioned assets allocation'!M$11,'Forecast capex'!$L$9:$L$1940,$D$12,'Forecast capex'!$C$9:$C$1940,'Commissioned assets allocation'!$B111)</f>
        <v>0</v>
      </c>
      <c r="N111" s="290">
        <f>SUMIFS('Forecast capex'!$U$9:$U$1940,'Forecast capex'!$AD$9:$AD$1940,'Commissioned assets allocation'!$B$100,'Forecast capex'!$J$9:$J$1940,'Commissioned assets allocation'!N$11,'Forecast capex'!$L$9:$L$1940,$D$12,'Forecast capex'!$C$9:$C$1940,'Commissioned assets allocation'!$B111)</f>
        <v>0</v>
      </c>
      <c r="O111" s="290">
        <f>SUMIFS('Forecast capex'!$U$9:$U$1940,'Forecast capex'!$AD$9:$AD$1940,'Commissioned assets allocation'!$B$100,'Forecast capex'!$J$9:$J$1940,'Commissioned assets allocation'!O$11,'Forecast capex'!$L$9:$L$1940,$D$12,'Forecast capex'!$C$9:$C$1940,'Commissioned assets allocation'!$B111)</f>
        <v>0</v>
      </c>
      <c r="P111" s="290">
        <f>SUMIFS('Forecast capex'!$U$9:$U$1940,'Forecast capex'!$AD$9:$AD$1940,'Commissioned assets allocation'!$B$100,'Forecast capex'!$J$9:$J$1940,'Commissioned assets allocation'!P$11,'Forecast capex'!$L$9:$L$1940,$D$12,'Forecast capex'!$C$9:$C$1940,'Commissioned assets allocation'!$B111)</f>
        <v>0</v>
      </c>
      <c r="Q111" s="290">
        <f>SUMIFS('Forecast capex'!$U$9:$U$1940,'Forecast capex'!$AD$9:$AD$1940,'Commissioned assets allocation'!$B$100,'Forecast capex'!$J$9:$J$1940,'Commissioned assets allocation'!Q$11,'Forecast capex'!$L$9:$L$1940,$D$12,'Forecast capex'!$C$9:$C$1940,'Commissioned assets allocation'!$B111)</f>
        <v>0</v>
      </c>
      <c r="R111" s="290">
        <f>SUMIFS('Forecast capex'!$U$9:$U$1940,'Forecast capex'!$AD$9:$AD$1940,'Commissioned assets allocation'!$B$100,'Forecast capex'!$J$9:$J$1940,'Commissioned assets allocation'!R$11,'Forecast capex'!$L$9:$L$1940,$D$12,'Forecast capex'!$C$9:$C$1940,'Commissioned assets allocation'!$B111)</f>
        <v>0</v>
      </c>
      <c r="S111" s="290">
        <f>SUMIFS('Forecast capex'!$U$9:$U$1940,'Forecast capex'!$AD$9:$AD$1940,'Commissioned assets allocation'!$B$100,'Forecast capex'!$J$9:$J$1940,'Commissioned assets allocation'!S$11,'Forecast capex'!$L$9:$L$1940,$D$12,'Forecast capex'!$C$9:$C$1940,'Commissioned assets allocation'!$B111)</f>
        <v>0</v>
      </c>
    </row>
    <row r="112" spans="2:19" outlineLevel="1" x14ac:dyDescent="0.2">
      <c r="B112" s="243" t="s">
        <v>49</v>
      </c>
      <c r="C112" s="337" t="s">
        <v>250</v>
      </c>
      <c r="M112" s="235">
        <f t="shared" ref="M112:S112" si="10">SUM(M103:M111)</f>
        <v>34010696.750610813</v>
      </c>
      <c r="N112" s="235">
        <f t="shared" si="10"/>
        <v>46532762.13160269</v>
      </c>
      <c r="O112" s="235">
        <f t="shared" si="10"/>
        <v>53643971.57708656</v>
      </c>
      <c r="P112" s="235">
        <f t="shared" si="10"/>
        <v>55212924.6583983</v>
      </c>
      <c r="Q112" s="235">
        <f t="shared" si="10"/>
        <v>55001929.882901169</v>
      </c>
      <c r="R112" s="235">
        <f t="shared" si="10"/>
        <v>51738844.67014581</v>
      </c>
      <c r="S112" s="235">
        <f t="shared" si="10"/>
        <v>45573096.434439495</v>
      </c>
    </row>
    <row r="113" spans="2:21" outlineLevel="1" x14ac:dyDescent="0.2">
      <c r="C113" s="329"/>
    </row>
    <row r="114" spans="2:21" outlineLevel="1" x14ac:dyDescent="0.2">
      <c r="B114" s="242" t="s">
        <v>230</v>
      </c>
      <c r="C114" s="280" t="s">
        <v>58</v>
      </c>
      <c r="D114" s="297">
        <f>SUM(H114:S114)</f>
        <v>0</v>
      </c>
      <c r="E114" s="298"/>
      <c r="M114" s="228">
        <f>IF(ABS(M112-SUMIFS('Forecast capex'!$U$9:$U$1940,'Forecast capex'!$AD$9:$AD$1940,'Commissioned assets allocation'!$B100,'Forecast capex'!$J$9:$J$1940,'Commissioned assets allocation'!M$11,'Forecast capex'!$L$9:$L$1940,$D$12))&lt;0.001,0,1)</f>
        <v>0</v>
      </c>
      <c r="N114" s="228">
        <f>IF(ABS(N112-SUMIFS('Forecast capex'!$U$9:$U$1940,'Forecast capex'!$AD$9:$AD$1940,'Commissioned assets allocation'!$B100,'Forecast capex'!$J$9:$J$1940,'Commissioned assets allocation'!N$11,'Forecast capex'!$L$9:$L$1940,$D$12))&lt;0.001,0,1)</f>
        <v>0</v>
      </c>
      <c r="O114" s="228">
        <f>IF(ABS(O112-SUMIFS('Forecast capex'!$U$9:$U$1940,'Forecast capex'!$AD$9:$AD$1940,'Commissioned assets allocation'!$B100,'Forecast capex'!$J$9:$J$1940,'Commissioned assets allocation'!O$11,'Forecast capex'!$L$9:$L$1940,$D$12))&lt;0.001,0,1)</f>
        <v>0</v>
      </c>
      <c r="P114" s="228">
        <f>IF(ABS(P112-SUMIFS('Forecast capex'!$U$9:$U$1940,'Forecast capex'!$AD$9:$AD$1940,'Commissioned assets allocation'!$B100,'Forecast capex'!$J$9:$J$1940,'Commissioned assets allocation'!P$11,'Forecast capex'!$L$9:$L$1940,$D$12))&lt;0.001,0,1)</f>
        <v>0</v>
      </c>
      <c r="Q114" s="228">
        <f>IF(ABS(Q112-SUMIFS('Forecast capex'!$U$9:$U$1940,'Forecast capex'!$AD$9:$AD$1940,'Commissioned assets allocation'!$B100,'Forecast capex'!$J$9:$J$1940,'Commissioned assets allocation'!Q$11,'Forecast capex'!$L$9:$L$1940,$D$12))&lt;0.001,0,1)</f>
        <v>0</v>
      </c>
      <c r="R114" s="228">
        <f>IF(ABS(R112-SUMIFS('Forecast capex'!$U$9:$U$1940,'Forecast capex'!$AD$9:$AD$1940,'Commissioned assets allocation'!$B100,'Forecast capex'!$J$9:$J$1940,'Commissioned assets allocation'!R$11,'Forecast capex'!$L$9:$L$1940,$D$12))&lt;0.001,0,1)</f>
        <v>0</v>
      </c>
      <c r="S114" s="228">
        <f>IF(ABS(S112-SUMIFS('Forecast capex'!$U$9:$U$1940,'Forecast capex'!$AD$9:$AD$1940,'Commissioned assets allocation'!$B100,'Forecast capex'!$J$9:$J$1940,'Commissioned assets allocation'!S$11,'Forecast capex'!$L$9:$L$1940,$D$12))&lt;0.001,0,1)</f>
        <v>0</v>
      </c>
    </row>
    <row r="115" spans="2:21" x14ac:dyDescent="0.2">
      <c r="B115" s="229"/>
    </row>
    <row r="116" spans="2:21" x14ac:dyDescent="0.2">
      <c r="B116" s="283" t="s">
        <v>434</v>
      </c>
      <c r="C116" s="284" t="s">
        <v>51</v>
      </c>
      <c r="D116" s="285" t="s">
        <v>52</v>
      </c>
      <c r="E116" s="284" t="s">
        <v>53</v>
      </c>
      <c r="F116" s="242"/>
      <c r="G116" s="302"/>
      <c r="H116" s="302"/>
      <c r="I116" s="302"/>
      <c r="J116" s="302"/>
      <c r="K116" s="242"/>
      <c r="L116" s="242"/>
      <c r="M116" s="242"/>
      <c r="N116" s="242"/>
      <c r="O116" s="242"/>
      <c r="P116" s="242"/>
      <c r="Q116" s="242"/>
      <c r="R116" s="242"/>
      <c r="S116" s="242"/>
      <c r="T116" s="242"/>
      <c r="U116" s="229"/>
    </row>
    <row r="117" spans="2:21" x14ac:dyDescent="0.2">
      <c r="K117" s="289"/>
      <c r="L117" s="289"/>
      <c r="M117" s="289"/>
      <c r="N117" s="289"/>
      <c r="O117" s="289"/>
      <c r="P117" s="289"/>
      <c r="Q117" s="289"/>
      <c r="R117" s="289"/>
      <c r="S117" s="289"/>
      <c r="T117" s="242"/>
    </row>
    <row r="118" spans="2:21" x14ac:dyDescent="0.2">
      <c r="B118" s="287" t="s">
        <v>123</v>
      </c>
      <c r="K118" s="289"/>
      <c r="L118" s="289"/>
      <c r="M118" s="289"/>
      <c r="N118" s="289"/>
      <c r="O118" s="289"/>
      <c r="P118" s="289"/>
      <c r="Q118" s="289"/>
      <c r="R118" s="289"/>
      <c r="S118" s="289"/>
      <c r="T118" s="242"/>
    </row>
    <row r="119" spans="2:21" x14ac:dyDescent="0.2">
      <c r="K119" s="289"/>
      <c r="L119" s="289"/>
      <c r="M119" s="289"/>
      <c r="N119" s="289"/>
      <c r="O119" s="289"/>
      <c r="P119" s="289"/>
      <c r="Q119" s="289"/>
      <c r="R119" s="289"/>
      <c r="S119" s="289"/>
      <c r="T119" s="242"/>
    </row>
    <row r="120" spans="2:21" x14ac:dyDescent="0.2">
      <c r="B120" s="250" t="s">
        <v>284</v>
      </c>
      <c r="C120" s="280" t="s">
        <v>69</v>
      </c>
      <c r="D120" s="250"/>
      <c r="E120" s="250"/>
      <c r="I120" s="232"/>
      <c r="L120" s="290"/>
      <c r="M120" s="348">
        <f t="shared" ref="M120:S128" si="11">M18/M$27</f>
        <v>2.0415567826375422E-2</v>
      </c>
      <c r="N120" s="348">
        <f t="shared" si="11"/>
        <v>0.11585819207409294</v>
      </c>
      <c r="O120" s="348">
        <f t="shared" si="11"/>
        <v>9.7668464887047418E-2</v>
      </c>
      <c r="P120" s="348">
        <f t="shared" si="11"/>
        <v>0.12278991952752678</v>
      </c>
      <c r="Q120" s="348">
        <f t="shared" si="11"/>
        <v>1.5276302202260133E-2</v>
      </c>
      <c r="R120" s="348">
        <f t="shared" si="11"/>
        <v>7.3068108952645079E-3</v>
      </c>
      <c r="S120" s="348">
        <f t="shared" si="11"/>
        <v>8.3283547814095617E-3</v>
      </c>
      <c r="T120" s="229"/>
    </row>
    <row r="121" spans="2:21" x14ac:dyDescent="0.2">
      <c r="B121" s="250" t="s">
        <v>285</v>
      </c>
      <c r="C121" s="280" t="s">
        <v>69</v>
      </c>
      <c r="D121" s="250"/>
      <c r="E121" s="250"/>
      <c r="I121" s="232"/>
      <c r="L121" s="289"/>
      <c r="M121" s="348">
        <f t="shared" si="11"/>
        <v>1.0314747759491833E-3</v>
      </c>
      <c r="N121" s="348">
        <f t="shared" si="11"/>
        <v>9.1925010323415657E-3</v>
      </c>
      <c r="O121" s="348">
        <f t="shared" si="11"/>
        <v>6.7428590978556718E-3</v>
      </c>
      <c r="P121" s="348">
        <f t="shared" si="11"/>
        <v>5.2100207999023918E-3</v>
      </c>
      <c r="Q121" s="348">
        <f t="shared" si="11"/>
        <v>3.2500320093603888E-2</v>
      </c>
      <c r="R121" s="348">
        <f t="shared" si="11"/>
        <v>4.7586406293518655E-3</v>
      </c>
      <c r="S121" s="348">
        <f t="shared" si="11"/>
        <v>5.4796530734566938E-2</v>
      </c>
      <c r="T121" s="229"/>
    </row>
    <row r="122" spans="2:21" x14ac:dyDescent="0.2">
      <c r="B122" s="250" t="s">
        <v>286</v>
      </c>
      <c r="C122" s="280" t="s">
        <v>69</v>
      </c>
      <c r="D122" s="250"/>
      <c r="E122" s="250"/>
      <c r="I122" s="232"/>
      <c r="L122" s="289"/>
      <c r="M122" s="348">
        <f t="shared" si="11"/>
        <v>0.16270176257437893</v>
      </c>
      <c r="N122" s="348">
        <f t="shared" si="11"/>
        <v>0.14930884943482209</v>
      </c>
      <c r="O122" s="348">
        <f t="shared" si="11"/>
        <v>0.16931684850365897</v>
      </c>
      <c r="P122" s="348">
        <f t="shared" si="11"/>
        <v>9.7184596876948512E-2</v>
      </c>
      <c r="Q122" s="348">
        <f t="shared" si="11"/>
        <v>0.15981021610732254</v>
      </c>
      <c r="R122" s="348">
        <f t="shared" si="11"/>
        <v>0.17132819285840314</v>
      </c>
      <c r="S122" s="348">
        <f t="shared" si="11"/>
        <v>8.8834099776420594E-2</v>
      </c>
    </row>
    <row r="123" spans="2:21" x14ac:dyDescent="0.2">
      <c r="B123" s="250" t="s">
        <v>287</v>
      </c>
      <c r="C123" s="280" t="s">
        <v>69</v>
      </c>
      <c r="D123" s="250"/>
      <c r="E123" s="250"/>
      <c r="I123" s="232"/>
      <c r="L123" s="289"/>
      <c r="M123" s="348">
        <f t="shared" si="11"/>
        <v>0.44535522341427797</v>
      </c>
      <c r="N123" s="348">
        <f t="shared" si="11"/>
        <v>0.40569873718799354</v>
      </c>
      <c r="O123" s="348">
        <f t="shared" si="11"/>
        <v>0.40520885747640956</v>
      </c>
      <c r="P123" s="348">
        <f t="shared" si="11"/>
        <v>0.47258739401475713</v>
      </c>
      <c r="Q123" s="348">
        <f t="shared" si="11"/>
        <v>0.46095999657390457</v>
      </c>
      <c r="R123" s="348">
        <f t="shared" si="11"/>
        <v>0.43366785297710608</v>
      </c>
      <c r="S123" s="348">
        <f t="shared" si="11"/>
        <v>0.45963119510491773</v>
      </c>
    </row>
    <row r="124" spans="2:21" x14ac:dyDescent="0.2">
      <c r="B124" s="250" t="s">
        <v>288</v>
      </c>
      <c r="C124" s="280" t="s">
        <v>69</v>
      </c>
      <c r="D124" s="250"/>
      <c r="E124" s="250"/>
      <c r="I124" s="232"/>
      <c r="L124" s="289"/>
      <c r="M124" s="348">
        <f t="shared" si="11"/>
        <v>8.8753091143320847E-2</v>
      </c>
      <c r="N124" s="348">
        <f t="shared" si="11"/>
        <v>7.6039222818443747E-2</v>
      </c>
      <c r="O124" s="348">
        <f t="shared" si="11"/>
        <v>7.0830551023829569E-2</v>
      </c>
      <c r="P124" s="348">
        <f t="shared" si="11"/>
        <v>7.0975231605334657E-2</v>
      </c>
      <c r="Q124" s="348">
        <f t="shared" si="11"/>
        <v>7.8041471712931451E-2</v>
      </c>
      <c r="R124" s="348">
        <f t="shared" si="11"/>
        <v>8.9807358743620697E-2</v>
      </c>
      <c r="S124" s="348">
        <f t="shared" si="11"/>
        <v>9.700388959179948E-2</v>
      </c>
    </row>
    <row r="125" spans="2:21" x14ac:dyDescent="0.2">
      <c r="B125" s="250" t="s">
        <v>289</v>
      </c>
      <c r="C125" s="280" t="s">
        <v>69</v>
      </c>
      <c r="D125" s="250"/>
      <c r="E125" s="250"/>
      <c r="I125" s="232"/>
      <c r="L125" s="289"/>
      <c r="M125" s="348">
        <f t="shared" si="11"/>
        <v>0.11971312487160289</v>
      </c>
      <c r="N125" s="348">
        <f t="shared" si="11"/>
        <v>8.1667478395561433E-2</v>
      </c>
      <c r="O125" s="348">
        <f t="shared" si="11"/>
        <v>7.4671253831087581E-2</v>
      </c>
      <c r="P125" s="348">
        <f t="shared" si="11"/>
        <v>0.10439413892580574</v>
      </c>
      <c r="Q125" s="348">
        <f t="shared" si="11"/>
        <v>0.12945312324145794</v>
      </c>
      <c r="R125" s="348">
        <f t="shared" si="11"/>
        <v>0.1507205923215903</v>
      </c>
      <c r="S125" s="348">
        <f t="shared" si="11"/>
        <v>0.16178075343860823</v>
      </c>
    </row>
    <row r="126" spans="2:21" x14ac:dyDescent="0.2">
      <c r="B126" s="250" t="s">
        <v>290</v>
      </c>
      <c r="C126" s="280" t="s">
        <v>69</v>
      </c>
      <c r="D126" s="250"/>
      <c r="E126" s="250"/>
      <c r="I126" s="232"/>
      <c r="L126" s="289"/>
      <c r="M126" s="348">
        <f t="shared" si="11"/>
        <v>8.570325119763457E-2</v>
      </c>
      <c r="N126" s="348">
        <f t="shared" si="11"/>
        <v>8.2756059656452052E-2</v>
      </c>
      <c r="O126" s="348">
        <f t="shared" si="11"/>
        <v>7.2357931734928105E-2</v>
      </c>
      <c r="P126" s="348">
        <f t="shared" si="11"/>
        <v>7.4915895001241448E-2</v>
      </c>
      <c r="Q126" s="348">
        <f t="shared" si="11"/>
        <v>7.6091140999292123E-2</v>
      </c>
      <c r="R126" s="348">
        <f t="shared" si="11"/>
        <v>9.7392438497003422E-2</v>
      </c>
      <c r="S126" s="348">
        <f t="shared" si="11"/>
        <v>8.5033194206338314E-2</v>
      </c>
    </row>
    <row r="127" spans="2:21" x14ac:dyDescent="0.2">
      <c r="B127" s="267" t="s">
        <v>291</v>
      </c>
      <c r="C127" s="280" t="s">
        <v>69</v>
      </c>
      <c r="D127" s="250"/>
      <c r="E127" s="250"/>
      <c r="I127" s="232"/>
      <c r="L127" s="289"/>
      <c r="M127" s="348">
        <f t="shared" si="11"/>
        <v>4.983201982567692E-4</v>
      </c>
      <c r="N127" s="348">
        <f t="shared" si="11"/>
        <v>6.0732358691421703E-3</v>
      </c>
      <c r="O127" s="348">
        <f t="shared" si="11"/>
        <v>1.1246907660179618E-2</v>
      </c>
      <c r="P127" s="348">
        <f t="shared" si="11"/>
        <v>8.622358405336478E-3</v>
      </c>
      <c r="Q127" s="348">
        <f t="shared" si="11"/>
        <v>1.1466287764099491E-2</v>
      </c>
      <c r="R127" s="348">
        <f t="shared" si="11"/>
        <v>8.9540158357885383E-3</v>
      </c>
      <c r="S127" s="348">
        <f t="shared" si="11"/>
        <v>5.5547124401920112E-3</v>
      </c>
    </row>
    <row r="128" spans="2:21" x14ac:dyDescent="0.2">
      <c r="B128" s="250" t="s">
        <v>292</v>
      </c>
      <c r="C128" s="280" t="s">
        <v>69</v>
      </c>
      <c r="D128" s="250"/>
      <c r="E128" s="250"/>
      <c r="I128" s="232"/>
      <c r="L128" s="290"/>
      <c r="M128" s="348">
        <f t="shared" si="11"/>
        <v>7.582818399820343E-2</v>
      </c>
      <c r="N128" s="348">
        <f t="shared" si="11"/>
        <v>7.340572353115056E-2</v>
      </c>
      <c r="O128" s="348">
        <f t="shared" si="11"/>
        <v>9.195632578500347E-2</v>
      </c>
      <c r="P128" s="348">
        <f t="shared" si="11"/>
        <v>4.3320444843146795E-2</v>
      </c>
      <c r="Q128" s="348">
        <f t="shared" si="11"/>
        <v>3.6401141305127817E-2</v>
      </c>
      <c r="R128" s="348">
        <f t="shared" si="11"/>
        <v>3.6064097241871533E-2</v>
      </c>
      <c r="S128" s="348">
        <f t="shared" si="11"/>
        <v>3.9037269925747207E-2</v>
      </c>
    </row>
    <row r="129" spans="1:21" x14ac:dyDescent="0.2">
      <c r="B129" s="250"/>
      <c r="C129" s="280"/>
      <c r="D129" s="250"/>
      <c r="E129" s="250"/>
      <c r="I129" s="232"/>
      <c r="L129" s="290"/>
      <c r="M129" s="348"/>
      <c r="N129" s="348"/>
      <c r="O129" s="348"/>
      <c r="P129" s="348"/>
      <c r="Q129" s="348"/>
      <c r="R129" s="348"/>
      <c r="S129" s="348"/>
    </row>
    <row r="130" spans="1:21" x14ac:dyDescent="0.2">
      <c r="B130" s="242" t="s">
        <v>427</v>
      </c>
      <c r="C130" s="280" t="s">
        <v>58</v>
      </c>
      <c r="D130" s="297">
        <f>SUM(M130:S130)</f>
        <v>0</v>
      </c>
      <c r="E130" s="243"/>
      <c r="F130" s="243"/>
      <c r="G130" s="243"/>
      <c r="H130" s="243"/>
      <c r="I130" s="243"/>
      <c r="J130" s="243"/>
      <c r="K130" s="243"/>
      <c r="L130" s="236"/>
      <c r="M130" s="228">
        <f>1-SUM(M120:M128)</f>
        <v>0</v>
      </c>
      <c r="N130" s="228">
        <f t="shared" ref="N130:S130" si="12">1-SUM(N120:N128)</f>
        <v>0</v>
      </c>
      <c r="O130" s="228">
        <f t="shared" si="12"/>
        <v>0</v>
      </c>
      <c r="P130" s="228">
        <f t="shared" si="12"/>
        <v>0</v>
      </c>
      <c r="Q130" s="228">
        <f t="shared" si="12"/>
        <v>0</v>
      </c>
      <c r="R130" s="228">
        <f t="shared" si="12"/>
        <v>0</v>
      </c>
      <c r="S130" s="228">
        <f t="shared" si="12"/>
        <v>0</v>
      </c>
    </row>
    <row r="131" spans="1:21" x14ac:dyDescent="0.2">
      <c r="B131" s="242"/>
      <c r="C131" s="280"/>
      <c r="D131" s="298"/>
      <c r="E131" s="243"/>
      <c r="F131" s="243"/>
      <c r="G131" s="243"/>
      <c r="H131" s="243"/>
      <c r="I131" s="243"/>
      <c r="J131" s="243"/>
      <c r="K131" s="243"/>
      <c r="L131" s="236"/>
      <c r="M131" s="349"/>
      <c r="N131" s="349"/>
      <c r="O131" s="349"/>
      <c r="P131" s="349"/>
      <c r="Q131" s="349"/>
      <c r="R131" s="349"/>
      <c r="S131" s="349"/>
    </row>
    <row r="132" spans="1:21" x14ac:dyDescent="0.2">
      <c r="B132" s="304" t="s">
        <v>435</v>
      </c>
      <c r="K132" s="289"/>
      <c r="L132" s="289"/>
      <c r="M132" s="289"/>
      <c r="N132" s="289"/>
      <c r="O132" s="289"/>
      <c r="P132" s="289"/>
      <c r="Q132" s="289"/>
      <c r="R132" s="289"/>
      <c r="S132" s="289"/>
      <c r="T132" s="242"/>
    </row>
    <row r="133" spans="1:21" x14ac:dyDescent="0.2">
      <c r="K133" s="289"/>
      <c r="L133" s="289"/>
      <c r="M133" s="289"/>
      <c r="N133" s="289"/>
      <c r="O133" s="289"/>
      <c r="P133" s="289"/>
      <c r="Q133" s="289"/>
      <c r="R133" s="289"/>
      <c r="S133" s="289"/>
      <c r="T133" s="242"/>
    </row>
    <row r="134" spans="1:21" x14ac:dyDescent="0.2">
      <c r="B134" s="343">
        <v>0</v>
      </c>
      <c r="C134" s="280" t="s">
        <v>69</v>
      </c>
      <c r="H134" s="344"/>
      <c r="I134" s="232"/>
      <c r="M134" s="348">
        <f>M33/M$40</f>
        <v>4.8553526944422318E-2</v>
      </c>
      <c r="N134" s="348">
        <f t="shared" ref="N134:S134" si="13">N33/N$40</f>
        <v>3.4212990712719778E-2</v>
      </c>
      <c r="O134" s="348">
        <f t="shared" si="13"/>
        <v>4.3654462105149436E-2</v>
      </c>
      <c r="P134" s="348">
        <f t="shared" si="13"/>
        <v>9.1524502969377345E-4</v>
      </c>
      <c r="Q134" s="348">
        <f t="shared" si="13"/>
        <v>3.6107474150947484E-2</v>
      </c>
      <c r="R134" s="348">
        <f t="shared" si="13"/>
        <v>2.0337417695011219E-2</v>
      </c>
      <c r="S134" s="348">
        <f t="shared" si="13"/>
        <v>1.5489890710380804E-2</v>
      </c>
    </row>
    <row r="135" spans="1:21" x14ac:dyDescent="0.2">
      <c r="B135" s="343">
        <v>0.08</v>
      </c>
      <c r="C135" s="280" t="s">
        <v>69</v>
      </c>
      <c r="H135" s="344"/>
      <c r="I135" s="232"/>
      <c r="M135" s="348">
        <f t="shared" ref="M135:S135" si="14">M34/M$40</f>
        <v>0.83498722236464418</v>
      </c>
      <c r="N135" s="348">
        <f t="shared" si="14"/>
        <v>0.86570548851166651</v>
      </c>
      <c r="O135" s="348">
        <f t="shared" si="14"/>
        <v>0.83474413480885323</v>
      </c>
      <c r="P135" s="348">
        <f t="shared" si="14"/>
        <v>0.92173159816361638</v>
      </c>
      <c r="Q135" s="348">
        <f t="shared" si="14"/>
        <v>0.89042384194405699</v>
      </c>
      <c r="R135" s="348">
        <f t="shared" si="14"/>
        <v>0.90456313963447033</v>
      </c>
      <c r="S135" s="348">
        <f t="shared" si="14"/>
        <v>0.90568676658965364</v>
      </c>
    </row>
    <row r="136" spans="1:21" s="243" customFormat="1" x14ac:dyDescent="0.2">
      <c r="A136" s="232"/>
      <c r="B136" s="346">
        <v>0.1</v>
      </c>
      <c r="C136" s="280" t="s">
        <v>69</v>
      </c>
      <c r="D136" s="232"/>
      <c r="E136" s="232"/>
      <c r="F136" s="232"/>
      <c r="G136" s="232"/>
      <c r="H136" s="344"/>
      <c r="I136" s="232"/>
      <c r="J136" s="232"/>
      <c r="K136" s="232"/>
      <c r="L136" s="232"/>
      <c r="M136" s="348">
        <f t="shared" ref="M136:S136" si="15">M35/M$40</f>
        <v>4.2226761175872096E-2</v>
      </c>
      <c r="N136" s="348">
        <f t="shared" si="15"/>
        <v>2.8537827415702585E-2</v>
      </c>
      <c r="O136" s="348">
        <f t="shared" si="15"/>
        <v>3.0514783321649371E-2</v>
      </c>
      <c r="P136" s="348">
        <f t="shared" si="15"/>
        <v>3.494795699323687E-2</v>
      </c>
      <c r="Q136" s="348">
        <f t="shared" si="15"/>
        <v>3.7961413390483173E-2</v>
      </c>
      <c r="R136" s="348">
        <f t="shared" si="15"/>
        <v>3.9992296324036045E-2</v>
      </c>
      <c r="S136" s="348">
        <f t="shared" si="15"/>
        <v>4.0847067484291955E-2</v>
      </c>
      <c r="T136" s="232"/>
      <c r="U136" s="232"/>
    </row>
    <row r="137" spans="1:21" x14ac:dyDescent="0.2">
      <c r="B137" s="346">
        <v>0.13</v>
      </c>
      <c r="C137" s="280" t="s">
        <v>69</v>
      </c>
      <c r="H137" s="344"/>
      <c r="I137" s="232"/>
      <c r="M137" s="348">
        <f t="shared" ref="M137:S137" si="16">M36/M$40</f>
        <v>7.9784724157098055E-3</v>
      </c>
      <c r="N137" s="348">
        <f t="shared" si="16"/>
        <v>9.3101508561972916E-3</v>
      </c>
      <c r="O137" s="348">
        <f t="shared" si="16"/>
        <v>4.3485301032781297E-3</v>
      </c>
      <c r="P137" s="348">
        <f t="shared" si="16"/>
        <v>4.5762251484688671E-3</v>
      </c>
      <c r="Q137" s="348">
        <f t="shared" si="16"/>
        <v>4.4693539530767518E-3</v>
      </c>
      <c r="R137" s="348">
        <f t="shared" si="16"/>
        <v>4.7847544769459849E-3</v>
      </c>
      <c r="S137" s="348">
        <f t="shared" si="16"/>
        <v>5.304937542335012E-3</v>
      </c>
    </row>
    <row r="138" spans="1:21" s="243" customFormat="1" x14ac:dyDescent="0.2">
      <c r="A138" s="232"/>
      <c r="B138" s="346">
        <v>0.2</v>
      </c>
      <c r="C138" s="280" t="s">
        <v>69</v>
      </c>
      <c r="D138" s="232"/>
      <c r="E138" s="232"/>
      <c r="F138" s="232"/>
      <c r="G138" s="232"/>
      <c r="H138" s="344"/>
      <c r="I138" s="232"/>
      <c r="J138" s="232"/>
      <c r="K138" s="232"/>
      <c r="L138" s="232"/>
      <c r="M138" s="348">
        <f t="shared" ref="M138:S138" si="17">M37/M$40</f>
        <v>6.3827779325678442E-3</v>
      </c>
      <c r="N138" s="348">
        <f t="shared" si="17"/>
        <v>7.4481206849578326E-3</v>
      </c>
      <c r="O138" s="348">
        <f t="shared" si="17"/>
        <v>3.478824082622504E-3</v>
      </c>
      <c r="P138" s="348">
        <f t="shared" si="17"/>
        <v>3.6609801187750938E-3</v>
      </c>
      <c r="Q138" s="348">
        <f t="shared" si="17"/>
        <v>3.5754831624614015E-3</v>
      </c>
      <c r="R138" s="348">
        <f t="shared" si="17"/>
        <v>3.8278035815567883E-3</v>
      </c>
      <c r="S138" s="348">
        <f t="shared" si="17"/>
        <v>4.243942832261316E-3</v>
      </c>
      <c r="T138" s="232"/>
      <c r="U138" s="232"/>
    </row>
    <row r="139" spans="1:21" x14ac:dyDescent="0.2">
      <c r="B139" s="346">
        <v>0.5</v>
      </c>
      <c r="C139" s="280" t="s">
        <v>69</v>
      </c>
      <c r="H139" s="344"/>
      <c r="I139" s="232"/>
      <c r="M139" s="348">
        <f t="shared" ref="M139:S139" si="18">M38/M$40</f>
        <v>5.9871239166783836E-2</v>
      </c>
      <c r="N139" s="348">
        <f t="shared" si="18"/>
        <v>5.478542181875598E-2</v>
      </c>
      <c r="O139" s="348">
        <f t="shared" si="18"/>
        <v>8.325926557844722E-2</v>
      </c>
      <c r="P139" s="348">
        <f t="shared" si="18"/>
        <v>3.4167994546209085E-2</v>
      </c>
      <c r="Q139" s="348">
        <f t="shared" si="18"/>
        <v>2.7462433398974324E-2</v>
      </c>
      <c r="R139" s="348">
        <f t="shared" si="18"/>
        <v>2.6494588287979567E-2</v>
      </c>
      <c r="S139" s="348">
        <f t="shared" si="18"/>
        <v>2.8427394841077182E-2</v>
      </c>
    </row>
    <row r="140" spans="1:21" x14ac:dyDescent="0.2">
      <c r="B140" s="343">
        <v>1</v>
      </c>
      <c r="C140" s="280" t="s">
        <v>69</v>
      </c>
      <c r="H140" s="344"/>
      <c r="I140" s="232"/>
      <c r="M140" s="348">
        <f t="shared" ref="M140:S140" si="19">M39/M$40</f>
        <v>0</v>
      </c>
      <c r="N140" s="348">
        <f t="shared" si="19"/>
        <v>0</v>
      </c>
      <c r="O140" s="348">
        <f t="shared" si="19"/>
        <v>0</v>
      </c>
      <c r="P140" s="348">
        <f t="shared" si="19"/>
        <v>0</v>
      </c>
      <c r="Q140" s="348">
        <f t="shared" si="19"/>
        <v>0</v>
      </c>
      <c r="R140" s="348">
        <f t="shared" si="19"/>
        <v>0</v>
      </c>
      <c r="S140" s="348">
        <f t="shared" si="19"/>
        <v>0</v>
      </c>
    </row>
    <row r="141" spans="1:21" x14ac:dyDescent="0.2">
      <c r="M141" s="229"/>
      <c r="N141" s="229"/>
      <c r="O141" s="229"/>
      <c r="P141" s="229"/>
      <c r="Q141" s="229"/>
      <c r="R141" s="229"/>
      <c r="S141" s="229"/>
    </row>
    <row r="142" spans="1:21" x14ac:dyDescent="0.2">
      <c r="B142" s="242" t="s">
        <v>428</v>
      </c>
      <c r="C142" s="280" t="s">
        <v>58</v>
      </c>
      <c r="D142" s="297">
        <f>SUM(H142:S142)</f>
        <v>0</v>
      </c>
      <c r="E142" s="298"/>
      <c r="H142" s="229"/>
      <c r="I142" s="230"/>
      <c r="J142" s="229"/>
      <c r="K142" s="229"/>
      <c r="L142" s="229"/>
      <c r="M142" s="228">
        <f>1-SUM(M134:M140)</f>
        <v>0</v>
      </c>
      <c r="N142" s="228">
        <f t="shared" ref="N142:S142" si="20">1-SUM(N134:N140)</f>
        <v>0</v>
      </c>
      <c r="O142" s="228">
        <f t="shared" si="20"/>
        <v>0</v>
      </c>
      <c r="P142" s="228">
        <f t="shared" si="20"/>
        <v>0</v>
      </c>
      <c r="Q142" s="228">
        <f t="shared" si="20"/>
        <v>0</v>
      </c>
      <c r="R142" s="228">
        <f t="shared" si="20"/>
        <v>0</v>
      </c>
      <c r="S142" s="228">
        <f t="shared" si="20"/>
        <v>0</v>
      </c>
      <c r="T142" s="228"/>
      <c r="U142" s="228"/>
    </row>
    <row r="143" spans="1:21" x14ac:dyDescent="0.2">
      <c r="B143" s="338"/>
      <c r="C143" s="337"/>
      <c r="D143" s="243"/>
      <c r="E143" s="243"/>
      <c r="F143" s="243"/>
      <c r="G143" s="243"/>
      <c r="I143" s="243"/>
      <c r="J143" s="243"/>
      <c r="K143" s="243"/>
      <c r="L143" s="243"/>
      <c r="M143" s="294"/>
      <c r="N143" s="294"/>
      <c r="O143" s="294"/>
      <c r="P143" s="294"/>
      <c r="Q143" s="294"/>
      <c r="R143" s="294"/>
      <c r="S143" s="294"/>
    </row>
    <row r="144" spans="1:21" x14ac:dyDescent="0.2">
      <c r="B144" s="287" t="s">
        <v>436</v>
      </c>
    </row>
    <row r="145" spans="1:21" x14ac:dyDescent="0.2">
      <c r="B145" s="287"/>
    </row>
    <row r="146" spans="1:21" x14ac:dyDescent="0.2">
      <c r="B146" s="229" t="s">
        <v>95</v>
      </c>
      <c r="C146" s="280" t="s">
        <v>69</v>
      </c>
      <c r="M146" s="348">
        <f t="shared" ref="M146:S149" si="21">M46/M$60</f>
        <v>0.10371545876250207</v>
      </c>
      <c r="N146" s="348">
        <f t="shared" si="21"/>
        <v>6.1707406524296522E-2</v>
      </c>
      <c r="O146" s="348">
        <f t="shared" si="21"/>
        <v>4.3541732681733981E-2</v>
      </c>
      <c r="P146" s="348">
        <f t="shared" si="21"/>
        <v>4.5985466743713309E-2</v>
      </c>
      <c r="Q146" s="348">
        <f t="shared" si="21"/>
        <v>6.1995980825276749E-2</v>
      </c>
      <c r="R146" s="348">
        <f t="shared" si="21"/>
        <v>7.6727741029590485E-2</v>
      </c>
      <c r="S146" s="348">
        <f t="shared" si="21"/>
        <v>0.10038857275266906</v>
      </c>
    </row>
    <row r="147" spans="1:21" x14ac:dyDescent="0.2">
      <c r="B147" s="232" t="s">
        <v>77</v>
      </c>
      <c r="C147" s="280" t="s">
        <v>69</v>
      </c>
      <c r="M147" s="348">
        <f t="shared" si="21"/>
        <v>8.1168332861950326E-2</v>
      </c>
      <c r="N147" s="348">
        <f t="shared" si="21"/>
        <v>6.8447459345841941E-2</v>
      </c>
      <c r="O147" s="348">
        <f t="shared" si="21"/>
        <v>4.3643132993090902E-2</v>
      </c>
      <c r="P147" s="348">
        <f t="shared" si="21"/>
        <v>3.6407064080025558E-2</v>
      </c>
      <c r="Q147" s="348">
        <f t="shared" si="21"/>
        <v>6.8251913428121286E-2</v>
      </c>
      <c r="R147" s="348">
        <f t="shared" si="21"/>
        <v>5.0147469889774997E-2</v>
      </c>
      <c r="S147" s="348">
        <f t="shared" si="21"/>
        <v>5.7115668170679132E-2</v>
      </c>
    </row>
    <row r="148" spans="1:21" x14ac:dyDescent="0.2">
      <c r="B148" s="232" t="s">
        <v>100</v>
      </c>
      <c r="C148" s="280" t="s">
        <v>69</v>
      </c>
      <c r="M148" s="348">
        <f t="shared" si="21"/>
        <v>0.69828282959595944</v>
      </c>
      <c r="N148" s="348">
        <f t="shared" si="21"/>
        <v>0.77935202304871265</v>
      </c>
      <c r="O148" s="348">
        <f t="shared" si="21"/>
        <v>0.80285937192414503</v>
      </c>
      <c r="P148" s="348">
        <f t="shared" si="21"/>
        <v>0.85529248129490609</v>
      </c>
      <c r="Q148" s="348">
        <f t="shared" si="21"/>
        <v>0.81831537744204164</v>
      </c>
      <c r="R148" s="348">
        <f t="shared" si="21"/>
        <v>0.8099215987256646</v>
      </c>
      <c r="S148" s="348">
        <f t="shared" si="21"/>
        <v>0.77736266691438272</v>
      </c>
    </row>
    <row r="149" spans="1:21" x14ac:dyDescent="0.2">
      <c r="B149" s="232" t="s">
        <v>93</v>
      </c>
      <c r="C149" s="280" t="s">
        <v>69</v>
      </c>
      <c r="L149" s="229"/>
      <c r="M149" s="348">
        <f t="shared" si="21"/>
        <v>1.7241083914449777E-2</v>
      </c>
      <c r="N149" s="348">
        <f t="shared" si="21"/>
        <v>1.304551684574946E-2</v>
      </c>
      <c r="O149" s="348">
        <f t="shared" si="21"/>
        <v>1.1239048085343617E-2</v>
      </c>
      <c r="P149" s="348">
        <f t="shared" si="21"/>
        <v>1.1880171222267508E-2</v>
      </c>
      <c r="Q149" s="348">
        <f t="shared" si="21"/>
        <v>1.1613640065671933E-2</v>
      </c>
      <c r="R149" s="348">
        <f t="shared" si="21"/>
        <v>1.2481777223767698E-2</v>
      </c>
      <c r="S149" s="348">
        <f t="shared" si="21"/>
        <v>1.389311793787663E-2</v>
      </c>
    </row>
    <row r="150" spans="1:21" x14ac:dyDescent="0.2">
      <c r="C150" s="280"/>
      <c r="M150" s="229"/>
      <c r="N150" s="229"/>
      <c r="O150" s="229"/>
      <c r="P150" s="229"/>
      <c r="Q150" s="229"/>
      <c r="R150" s="229"/>
      <c r="S150" s="229"/>
    </row>
    <row r="151" spans="1:21" x14ac:dyDescent="0.2">
      <c r="B151" s="243" t="s">
        <v>270</v>
      </c>
      <c r="C151" s="280"/>
      <c r="M151" s="229"/>
      <c r="N151" s="229"/>
      <c r="O151" s="229"/>
      <c r="P151" s="229"/>
      <c r="Q151" s="229"/>
      <c r="R151" s="229"/>
      <c r="S151" s="229"/>
    </row>
    <row r="152" spans="1:21" x14ac:dyDescent="0.2">
      <c r="B152" s="229" t="s">
        <v>97</v>
      </c>
      <c r="C152" s="280" t="s">
        <v>69</v>
      </c>
      <c r="L152" s="229"/>
      <c r="M152" s="348">
        <f t="shared" ref="M152:S154" si="22">M52/M$60</f>
        <v>2.376411086693507E-2</v>
      </c>
      <c r="N152" s="348">
        <f t="shared" si="22"/>
        <v>4.041870704248854E-3</v>
      </c>
      <c r="O152" s="348">
        <f t="shared" si="22"/>
        <v>6.7603885306830574E-3</v>
      </c>
      <c r="P152" s="348">
        <f t="shared" si="22"/>
        <v>7.1143718159408535E-3</v>
      </c>
      <c r="Q152" s="348">
        <f t="shared" si="22"/>
        <v>3.4219469337605684E-3</v>
      </c>
      <c r="R152" s="348">
        <f t="shared" si="22"/>
        <v>1.4657315889330641E-2</v>
      </c>
      <c r="S152" s="348">
        <f t="shared" si="22"/>
        <v>1.2202704298645083E-2</v>
      </c>
    </row>
    <row r="153" spans="1:21" x14ac:dyDescent="0.2">
      <c r="B153" s="229" t="s">
        <v>121</v>
      </c>
      <c r="C153" s="280" t="s">
        <v>69</v>
      </c>
      <c r="M153" s="348">
        <f t="shared" si="22"/>
        <v>0</v>
      </c>
      <c r="N153" s="348">
        <f t="shared" si="22"/>
        <v>0</v>
      </c>
      <c r="O153" s="348">
        <f t="shared" si="22"/>
        <v>0</v>
      </c>
      <c r="P153" s="348">
        <f t="shared" si="22"/>
        <v>0</v>
      </c>
      <c r="Q153" s="348">
        <f t="shared" si="22"/>
        <v>0</v>
      </c>
      <c r="R153" s="348">
        <f t="shared" si="22"/>
        <v>0</v>
      </c>
      <c r="S153" s="348">
        <f t="shared" si="22"/>
        <v>0</v>
      </c>
      <c r="T153" s="229"/>
    </row>
    <row r="154" spans="1:21" x14ac:dyDescent="0.2">
      <c r="B154" s="232" t="s">
        <v>122</v>
      </c>
      <c r="C154" s="280" t="s">
        <v>69</v>
      </c>
      <c r="M154" s="348">
        <f t="shared" si="22"/>
        <v>0</v>
      </c>
      <c r="N154" s="348">
        <f t="shared" si="22"/>
        <v>0</v>
      </c>
      <c r="O154" s="348">
        <f t="shared" si="22"/>
        <v>0</v>
      </c>
      <c r="P154" s="348">
        <f t="shared" si="22"/>
        <v>0</v>
      </c>
      <c r="Q154" s="348">
        <f t="shared" si="22"/>
        <v>0</v>
      </c>
      <c r="R154" s="348">
        <f t="shared" si="22"/>
        <v>0</v>
      </c>
      <c r="S154" s="348">
        <f t="shared" si="22"/>
        <v>0</v>
      </c>
    </row>
    <row r="155" spans="1:21" x14ac:dyDescent="0.2">
      <c r="C155" s="280"/>
      <c r="M155" s="229"/>
      <c r="N155" s="229"/>
      <c r="O155" s="229"/>
      <c r="P155" s="229"/>
      <c r="Q155" s="229"/>
      <c r="R155" s="229"/>
      <c r="S155" s="229"/>
    </row>
    <row r="156" spans="1:21" x14ac:dyDescent="0.2">
      <c r="B156" s="232" t="s">
        <v>274</v>
      </c>
      <c r="C156" s="280" t="s">
        <v>69</v>
      </c>
      <c r="M156" s="348">
        <f t="shared" ref="M156:S156" si="23">M59/M$60</f>
        <v>7.5828183998203444E-2</v>
      </c>
      <c r="N156" s="348">
        <f t="shared" si="23"/>
        <v>7.340572353115056E-2</v>
      </c>
      <c r="O156" s="348">
        <f t="shared" si="23"/>
        <v>9.1956325785003484E-2</v>
      </c>
      <c r="P156" s="348">
        <f t="shared" si="23"/>
        <v>4.3320444843146809E-2</v>
      </c>
      <c r="Q156" s="348">
        <f t="shared" si="23"/>
        <v>3.6401141305127838E-2</v>
      </c>
      <c r="R156" s="348">
        <f t="shared" si="23"/>
        <v>3.6064097241871547E-2</v>
      </c>
      <c r="S156" s="348">
        <f t="shared" si="23"/>
        <v>3.9037269925747201E-2</v>
      </c>
    </row>
    <row r="157" spans="1:21" x14ac:dyDescent="0.2">
      <c r="A157" s="243"/>
      <c r="B157" s="243"/>
      <c r="C157" s="337"/>
      <c r="D157" s="243"/>
      <c r="E157" s="243"/>
      <c r="F157" s="243"/>
      <c r="G157" s="243"/>
      <c r="H157" s="243"/>
      <c r="I157" s="335"/>
      <c r="J157" s="243"/>
      <c r="K157" s="243"/>
      <c r="M157" s="294"/>
      <c r="N157" s="294"/>
      <c r="O157" s="294"/>
      <c r="P157" s="294"/>
      <c r="Q157" s="294"/>
      <c r="R157" s="294"/>
      <c r="S157" s="294"/>
      <c r="T157" s="243"/>
      <c r="U157" s="243"/>
    </row>
    <row r="158" spans="1:21" x14ac:dyDescent="0.2">
      <c r="B158" s="242" t="s">
        <v>437</v>
      </c>
      <c r="C158" s="280" t="s">
        <v>58</v>
      </c>
      <c r="D158" s="297">
        <f>SUM(H158:S158)</f>
        <v>0</v>
      </c>
      <c r="E158" s="298"/>
      <c r="M158" s="228">
        <f>SUM(M146:M156)-1</f>
        <v>0</v>
      </c>
      <c r="N158" s="228">
        <f t="shared" ref="N158:S158" si="24">SUM(N146:N156)-1</f>
        <v>0</v>
      </c>
      <c r="O158" s="228">
        <f t="shared" si="24"/>
        <v>0</v>
      </c>
      <c r="P158" s="228">
        <f t="shared" si="24"/>
        <v>0</v>
      </c>
      <c r="Q158" s="228">
        <f t="shared" si="24"/>
        <v>0</v>
      </c>
      <c r="R158" s="228">
        <f t="shared" si="24"/>
        <v>0</v>
      </c>
      <c r="S158" s="228">
        <f t="shared" si="24"/>
        <v>0</v>
      </c>
    </row>
    <row r="159" spans="1:21" x14ac:dyDescent="0.2">
      <c r="B159" s="229"/>
      <c r="L159" s="229"/>
      <c r="M159" s="229"/>
    </row>
    <row r="160" spans="1:21" x14ac:dyDescent="0.2">
      <c r="B160" s="304" t="s">
        <v>438</v>
      </c>
      <c r="C160" s="229"/>
    </row>
    <row r="161" spans="1:21" x14ac:dyDescent="0.2">
      <c r="B161" s="304"/>
      <c r="C161" s="229"/>
    </row>
    <row r="162" spans="1:21" x14ac:dyDescent="0.2">
      <c r="B162" s="229" t="s">
        <v>95</v>
      </c>
      <c r="C162" s="280" t="s">
        <v>69</v>
      </c>
      <c r="M162" s="348">
        <f t="shared" ref="M162:S165" si="25">M66/M$80</f>
        <v>0.9585154702490879</v>
      </c>
      <c r="N162" s="348">
        <f t="shared" si="25"/>
        <v>0.82548486055627768</v>
      </c>
      <c r="O162" s="348">
        <f t="shared" si="25"/>
        <v>0.7948359273459259</v>
      </c>
      <c r="P162" s="348">
        <f t="shared" si="25"/>
        <v>0.79469385217437927</v>
      </c>
      <c r="Q162" s="348">
        <f t="shared" si="25"/>
        <v>0.84222660129064753</v>
      </c>
      <c r="R162" s="348">
        <f t="shared" si="25"/>
        <v>0.86008469199083659</v>
      </c>
      <c r="S162" s="348">
        <f t="shared" si="25"/>
        <v>0.87843093802753847</v>
      </c>
    </row>
    <row r="163" spans="1:21" x14ac:dyDescent="0.2">
      <c r="B163" s="229" t="s">
        <v>77</v>
      </c>
      <c r="C163" s="280" t="s">
        <v>69</v>
      </c>
      <c r="M163" s="348">
        <f t="shared" si="25"/>
        <v>0</v>
      </c>
      <c r="N163" s="348">
        <f t="shared" si="25"/>
        <v>0</v>
      </c>
      <c r="O163" s="348">
        <f t="shared" si="25"/>
        <v>0</v>
      </c>
      <c r="P163" s="348">
        <f t="shared" si="25"/>
        <v>0</v>
      </c>
      <c r="Q163" s="348">
        <f t="shared" si="25"/>
        <v>0</v>
      </c>
      <c r="R163" s="348">
        <f t="shared" si="25"/>
        <v>0</v>
      </c>
      <c r="S163" s="348">
        <f t="shared" si="25"/>
        <v>0</v>
      </c>
    </row>
    <row r="164" spans="1:21" x14ac:dyDescent="0.2">
      <c r="B164" s="229" t="s">
        <v>100</v>
      </c>
      <c r="C164" s="280" t="s">
        <v>69</v>
      </c>
      <c r="M164" s="348">
        <f t="shared" si="25"/>
        <v>0</v>
      </c>
      <c r="N164" s="348">
        <f t="shared" si="25"/>
        <v>0</v>
      </c>
      <c r="O164" s="348">
        <f t="shared" si="25"/>
        <v>0</v>
      </c>
      <c r="P164" s="348">
        <f t="shared" si="25"/>
        <v>0</v>
      </c>
      <c r="Q164" s="348">
        <f t="shared" si="25"/>
        <v>0</v>
      </c>
      <c r="R164" s="348">
        <f t="shared" si="25"/>
        <v>0</v>
      </c>
      <c r="S164" s="348">
        <f t="shared" si="25"/>
        <v>0</v>
      </c>
    </row>
    <row r="165" spans="1:21" x14ac:dyDescent="0.2">
      <c r="B165" s="229" t="s">
        <v>93</v>
      </c>
      <c r="C165" s="280" t="s">
        <v>69</v>
      </c>
      <c r="M165" s="348">
        <f t="shared" si="25"/>
        <v>4.1484529750912068E-2</v>
      </c>
      <c r="N165" s="348">
        <f t="shared" si="25"/>
        <v>0.17451513944372229</v>
      </c>
      <c r="O165" s="348">
        <f t="shared" si="25"/>
        <v>0.20516407265407419</v>
      </c>
      <c r="P165" s="348">
        <f t="shared" si="25"/>
        <v>0.20530614782562073</v>
      </c>
      <c r="Q165" s="348">
        <f t="shared" si="25"/>
        <v>0.15777339870935253</v>
      </c>
      <c r="R165" s="348">
        <f t="shared" si="25"/>
        <v>0.13991530800916338</v>
      </c>
      <c r="S165" s="348">
        <f t="shared" si="25"/>
        <v>0.12156906197246152</v>
      </c>
    </row>
    <row r="166" spans="1:21" x14ac:dyDescent="0.2">
      <c r="B166" s="229"/>
      <c r="C166" s="280"/>
      <c r="M166" s="229"/>
      <c r="N166" s="229"/>
      <c r="O166" s="229"/>
      <c r="P166" s="229"/>
      <c r="Q166" s="229"/>
      <c r="R166" s="229"/>
      <c r="S166" s="229"/>
    </row>
    <row r="167" spans="1:21" x14ac:dyDescent="0.2">
      <c r="B167" s="288" t="s">
        <v>270</v>
      </c>
      <c r="C167" s="280"/>
      <c r="M167" s="229"/>
      <c r="N167" s="229"/>
      <c r="O167" s="229"/>
      <c r="P167" s="229"/>
      <c r="Q167" s="229"/>
      <c r="R167" s="229"/>
      <c r="S167" s="229"/>
    </row>
    <row r="168" spans="1:21" x14ac:dyDescent="0.2">
      <c r="B168" s="229" t="s">
        <v>97</v>
      </c>
      <c r="C168" s="280" t="s">
        <v>69</v>
      </c>
      <c r="M168" s="348">
        <f t="shared" ref="M168:S170" si="26">M72/M$80</f>
        <v>0</v>
      </c>
      <c r="N168" s="348">
        <f t="shared" si="26"/>
        <v>0</v>
      </c>
      <c r="O168" s="348">
        <f t="shared" si="26"/>
        <v>0</v>
      </c>
      <c r="P168" s="348">
        <f t="shared" si="26"/>
        <v>0</v>
      </c>
      <c r="Q168" s="348">
        <f t="shared" si="26"/>
        <v>0</v>
      </c>
      <c r="R168" s="348">
        <f t="shared" si="26"/>
        <v>0</v>
      </c>
      <c r="S168" s="348">
        <f t="shared" si="26"/>
        <v>0</v>
      </c>
    </row>
    <row r="169" spans="1:21" x14ac:dyDescent="0.2">
      <c r="B169" s="229" t="s">
        <v>121</v>
      </c>
      <c r="C169" s="280" t="s">
        <v>69</v>
      </c>
      <c r="M169" s="348">
        <f t="shared" si="26"/>
        <v>0</v>
      </c>
      <c r="N169" s="348">
        <f t="shared" si="26"/>
        <v>0</v>
      </c>
      <c r="O169" s="348">
        <f t="shared" si="26"/>
        <v>0</v>
      </c>
      <c r="P169" s="348">
        <f t="shared" si="26"/>
        <v>0</v>
      </c>
      <c r="Q169" s="348">
        <f t="shared" si="26"/>
        <v>0</v>
      </c>
      <c r="R169" s="348">
        <f t="shared" si="26"/>
        <v>0</v>
      </c>
      <c r="S169" s="348">
        <f t="shared" si="26"/>
        <v>0</v>
      </c>
      <c r="T169" s="229"/>
    </row>
    <row r="170" spans="1:21" x14ac:dyDescent="0.2">
      <c r="B170" s="229" t="s">
        <v>122</v>
      </c>
      <c r="C170" s="280" t="s">
        <v>69</v>
      </c>
      <c r="M170" s="348">
        <f t="shared" si="26"/>
        <v>0</v>
      </c>
      <c r="N170" s="348">
        <f t="shared" si="26"/>
        <v>0</v>
      </c>
      <c r="O170" s="348">
        <f t="shared" si="26"/>
        <v>0</v>
      </c>
      <c r="P170" s="348">
        <f t="shared" si="26"/>
        <v>0</v>
      </c>
      <c r="Q170" s="348">
        <f t="shared" si="26"/>
        <v>0</v>
      </c>
      <c r="R170" s="348">
        <f t="shared" si="26"/>
        <v>0</v>
      </c>
      <c r="S170" s="348">
        <f t="shared" si="26"/>
        <v>0</v>
      </c>
    </row>
    <row r="171" spans="1:21" x14ac:dyDescent="0.2">
      <c r="B171" s="229"/>
      <c r="C171" s="280"/>
      <c r="M171" s="229"/>
      <c r="N171" s="229"/>
      <c r="O171" s="229"/>
      <c r="P171" s="229"/>
      <c r="Q171" s="229"/>
      <c r="R171" s="229"/>
      <c r="S171" s="229"/>
    </row>
    <row r="172" spans="1:21" x14ac:dyDescent="0.2">
      <c r="B172" s="229" t="s">
        <v>274</v>
      </c>
      <c r="C172" s="280" t="s">
        <v>69</v>
      </c>
      <c r="M172" s="348">
        <f t="shared" ref="M172:S172" si="27">M79/M$80</f>
        <v>0</v>
      </c>
      <c r="N172" s="348">
        <f t="shared" si="27"/>
        <v>0</v>
      </c>
      <c r="O172" s="348">
        <f t="shared" si="27"/>
        <v>0</v>
      </c>
      <c r="P172" s="348">
        <f t="shared" si="27"/>
        <v>0</v>
      </c>
      <c r="Q172" s="348">
        <f t="shared" si="27"/>
        <v>0</v>
      </c>
      <c r="R172" s="348">
        <f t="shared" si="27"/>
        <v>0</v>
      </c>
      <c r="S172" s="348">
        <f t="shared" si="27"/>
        <v>0</v>
      </c>
    </row>
    <row r="173" spans="1:21" x14ac:dyDescent="0.2">
      <c r="A173" s="243"/>
      <c r="B173" s="288"/>
      <c r="C173" s="337"/>
      <c r="D173" s="243"/>
      <c r="E173" s="243"/>
      <c r="F173" s="243"/>
      <c r="G173" s="243"/>
      <c r="H173" s="243"/>
      <c r="I173" s="335"/>
      <c r="J173" s="243"/>
      <c r="K173" s="243"/>
      <c r="M173" s="294"/>
      <c r="N173" s="294"/>
      <c r="O173" s="294"/>
      <c r="P173" s="294"/>
      <c r="Q173" s="294"/>
      <c r="R173" s="294"/>
      <c r="S173" s="294"/>
      <c r="T173" s="243"/>
      <c r="U173" s="243"/>
    </row>
    <row r="174" spans="1:21" x14ac:dyDescent="0.2">
      <c r="B174" s="242" t="s">
        <v>439</v>
      </c>
      <c r="C174" s="280" t="s">
        <v>58</v>
      </c>
      <c r="D174" s="297">
        <f>SUM(H174:S174)</f>
        <v>0</v>
      </c>
      <c r="E174" s="298"/>
      <c r="M174" s="228">
        <f>SUM(M162:M172)-1</f>
        <v>0</v>
      </c>
      <c r="N174" s="228">
        <f t="shared" ref="N174:S174" si="28">SUM(N162:N172)-1</f>
        <v>0</v>
      </c>
      <c r="O174" s="228">
        <f t="shared" si="28"/>
        <v>0</v>
      </c>
      <c r="P174" s="228">
        <f t="shared" si="28"/>
        <v>0</v>
      </c>
      <c r="Q174" s="228">
        <f t="shared" si="28"/>
        <v>0</v>
      </c>
      <c r="R174" s="228">
        <f t="shared" si="28"/>
        <v>0</v>
      </c>
      <c r="S174" s="228">
        <f t="shared" si="28"/>
        <v>0</v>
      </c>
    </row>
    <row r="175" spans="1:21" x14ac:dyDescent="0.2">
      <c r="B175" s="229"/>
      <c r="C175" s="229"/>
      <c r="M175" s="229"/>
    </row>
    <row r="176" spans="1:21" x14ac:dyDescent="0.2">
      <c r="B176" s="287" t="s">
        <v>268</v>
      </c>
      <c r="C176" s="329"/>
      <c r="M176" s="229"/>
      <c r="N176" s="229"/>
      <c r="O176" s="229"/>
      <c r="P176" s="229"/>
      <c r="Q176" s="229"/>
      <c r="R176" s="229"/>
      <c r="S176" s="229"/>
    </row>
    <row r="177" spans="2:19" x14ac:dyDescent="0.2">
      <c r="C177" s="329"/>
      <c r="M177" s="229"/>
      <c r="N177" s="229"/>
      <c r="O177" s="229"/>
      <c r="P177" s="229"/>
      <c r="Q177" s="229"/>
      <c r="R177" s="229"/>
      <c r="S177" s="229"/>
    </row>
    <row r="178" spans="2:19" x14ac:dyDescent="0.2">
      <c r="B178" s="243" t="s">
        <v>433</v>
      </c>
      <c r="C178" s="329"/>
      <c r="M178" s="229"/>
      <c r="N178" s="229"/>
      <c r="O178" s="229"/>
      <c r="P178" s="229"/>
      <c r="Q178" s="229"/>
      <c r="R178" s="229"/>
      <c r="S178" s="229"/>
    </row>
    <row r="179" spans="2:19" x14ac:dyDescent="0.2">
      <c r="B179" s="267" t="s">
        <v>284</v>
      </c>
      <c r="C179" s="280" t="s">
        <v>69</v>
      </c>
      <c r="M179" s="348">
        <f t="shared" ref="M179:S187" si="29">M87/M$96</f>
        <v>0</v>
      </c>
      <c r="N179" s="348">
        <f t="shared" si="29"/>
        <v>0</v>
      </c>
      <c r="O179" s="348">
        <f t="shared" si="29"/>
        <v>0</v>
      </c>
      <c r="P179" s="348">
        <f t="shared" si="29"/>
        <v>0</v>
      </c>
      <c r="Q179" s="348">
        <f t="shared" si="29"/>
        <v>0</v>
      </c>
      <c r="R179" s="348">
        <f t="shared" si="29"/>
        <v>0</v>
      </c>
      <c r="S179" s="348">
        <f t="shared" si="29"/>
        <v>0</v>
      </c>
    </row>
    <row r="180" spans="2:19" x14ac:dyDescent="0.2">
      <c r="B180" s="250" t="s">
        <v>285</v>
      </c>
      <c r="C180" s="280" t="s">
        <v>69</v>
      </c>
      <c r="M180" s="348">
        <f t="shared" si="29"/>
        <v>0</v>
      </c>
      <c r="N180" s="348">
        <f t="shared" si="29"/>
        <v>0</v>
      </c>
      <c r="O180" s="348">
        <f t="shared" si="29"/>
        <v>0</v>
      </c>
      <c r="P180" s="348">
        <f t="shared" si="29"/>
        <v>0</v>
      </c>
      <c r="Q180" s="348">
        <f t="shared" si="29"/>
        <v>0</v>
      </c>
      <c r="R180" s="348">
        <f t="shared" si="29"/>
        <v>0</v>
      </c>
      <c r="S180" s="348">
        <f t="shared" si="29"/>
        <v>0</v>
      </c>
    </row>
    <row r="181" spans="2:19" x14ac:dyDescent="0.2">
      <c r="B181" s="250" t="s">
        <v>286</v>
      </c>
      <c r="C181" s="280" t="s">
        <v>69</v>
      </c>
      <c r="M181" s="348">
        <f t="shared" si="29"/>
        <v>1.770748598032534E-2</v>
      </c>
      <c r="N181" s="348">
        <f t="shared" si="29"/>
        <v>0.28586408051306006</v>
      </c>
      <c r="O181" s="348">
        <f t="shared" si="29"/>
        <v>1.0005026522398479E-2</v>
      </c>
      <c r="P181" s="348">
        <f t="shared" si="29"/>
        <v>9.998095574455303E-3</v>
      </c>
      <c r="Q181" s="348">
        <f t="shared" si="29"/>
        <v>0.45300603016034141</v>
      </c>
      <c r="R181" s="348">
        <f t="shared" si="29"/>
        <v>9.9739764191903117E-3</v>
      </c>
      <c r="S181" s="348">
        <f t="shared" si="29"/>
        <v>9.9625889084727619E-3</v>
      </c>
    </row>
    <row r="182" spans="2:19" x14ac:dyDescent="0.2">
      <c r="B182" s="250" t="s">
        <v>287</v>
      </c>
      <c r="C182" s="280" t="s">
        <v>69</v>
      </c>
      <c r="M182" s="348">
        <f t="shared" si="29"/>
        <v>0.40663822420007095</v>
      </c>
      <c r="N182" s="348">
        <f t="shared" si="29"/>
        <v>0.29601038975141236</v>
      </c>
      <c r="O182" s="348">
        <f t="shared" si="29"/>
        <v>0.41093328211538271</v>
      </c>
      <c r="P182" s="348">
        <f t="shared" si="29"/>
        <v>0.41087208056663327</v>
      </c>
      <c r="Q182" s="348">
        <f t="shared" si="29"/>
        <v>0.21944694729023459</v>
      </c>
      <c r="R182" s="348">
        <f t="shared" si="29"/>
        <v>0.41068552236818379</v>
      </c>
      <c r="S182" s="348">
        <f t="shared" si="29"/>
        <v>0.41055551369730914</v>
      </c>
    </row>
    <row r="183" spans="2:19" x14ac:dyDescent="0.2">
      <c r="B183" s="250" t="s">
        <v>288</v>
      </c>
      <c r="C183" s="280" t="s">
        <v>69</v>
      </c>
      <c r="M183" s="348">
        <f t="shared" si="29"/>
        <v>0.29754016404883238</v>
      </c>
      <c r="N183" s="348">
        <f t="shared" si="29"/>
        <v>0.21666662172779733</v>
      </c>
      <c r="O183" s="348">
        <f t="shared" si="29"/>
        <v>0.30064113583702001</v>
      </c>
      <c r="P183" s="348">
        <f t="shared" si="29"/>
        <v>0.30142744751055056</v>
      </c>
      <c r="Q183" s="348">
        <f t="shared" si="29"/>
        <v>0.16131207390263497</v>
      </c>
      <c r="R183" s="348">
        <f t="shared" si="29"/>
        <v>0.302745701054001</v>
      </c>
      <c r="S183" s="348">
        <f t="shared" si="29"/>
        <v>0.30351244922194132</v>
      </c>
    </row>
    <row r="184" spans="2:19" x14ac:dyDescent="0.2">
      <c r="B184" s="250" t="s">
        <v>289</v>
      </c>
      <c r="C184" s="280" t="s">
        <v>69</v>
      </c>
      <c r="M184" s="348">
        <f t="shared" si="29"/>
        <v>0.12893407108782734</v>
      </c>
      <c r="N184" s="348">
        <f t="shared" si="29"/>
        <v>9.3063125371453614E-2</v>
      </c>
      <c r="O184" s="348">
        <f t="shared" si="29"/>
        <v>0.12791749901581539</v>
      </c>
      <c r="P184" s="348">
        <f t="shared" si="29"/>
        <v>0.12751404708954708</v>
      </c>
      <c r="Q184" s="348">
        <f t="shared" si="29"/>
        <v>6.7933245472866235E-2</v>
      </c>
      <c r="R184" s="348">
        <f t="shared" si="29"/>
        <v>0.12686156876103938</v>
      </c>
      <c r="S184" s="348">
        <f t="shared" si="29"/>
        <v>0.12655030302759052</v>
      </c>
    </row>
    <row r="185" spans="2:19" x14ac:dyDescent="0.2">
      <c r="B185" s="250" t="s">
        <v>290</v>
      </c>
      <c r="C185" s="280" t="s">
        <v>69</v>
      </c>
      <c r="M185" s="348">
        <f t="shared" si="29"/>
        <v>0.14381107929026898</v>
      </c>
      <c r="N185" s="348">
        <f t="shared" si="29"/>
        <v>0.10479166507447231</v>
      </c>
      <c r="O185" s="348">
        <f t="shared" si="29"/>
        <v>0.14550054324818407</v>
      </c>
      <c r="P185" s="348">
        <f t="shared" si="29"/>
        <v>0.14518928147158613</v>
      </c>
      <c r="Q185" s="348">
        <f t="shared" si="29"/>
        <v>7.7483965087166567E-2</v>
      </c>
      <c r="R185" s="348">
        <f t="shared" si="29"/>
        <v>0.1447462431879904</v>
      </c>
      <c r="S185" s="348">
        <f t="shared" si="29"/>
        <v>0.14443785069044987</v>
      </c>
    </row>
    <row r="186" spans="2:19" x14ac:dyDescent="0.2">
      <c r="B186" s="250" t="s">
        <v>291</v>
      </c>
      <c r="C186" s="280" t="s">
        <v>69</v>
      </c>
      <c r="M186" s="348">
        <f t="shared" si="29"/>
        <v>5.36897539267515E-3</v>
      </c>
      <c r="N186" s="348">
        <f t="shared" si="29"/>
        <v>3.6041175618044246E-3</v>
      </c>
      <c r="O186" s="348">
        <f t="shared" si="29"/>
        <v>5.0025132611992394E-3</v>
      </c>
      <c r="P186" s="348">
        <f t="shared" si="29"/>
        <v>4.9990477872276515E-3</v>
      </c>
      <c r="Q186" s="348">
        <f t="shared" si="29"/>
        <v>2.0817738086756504E-2</v>
      </c>
      <c r="R186" s="348">
        <f t="shared" si="29"/>
        <v>4.9869882095951558E-3</v>
      </c>
      <c r="S186" s="348">
        <f t="shared" si="29"/>
        <v>4.981294454236381E-3</v>
      </c>
    </row>
    <row r="187" spans="2:19" x14ac:dyDescent="0.2">
      <c r="B187" s="267" t="s">
        <v>292</v>
      </c>
      <c r="C187" s="280" t="s">
        <v>69</v>
      </c>
      <c r="M187" s="348">
        <f t="shared" si="29"/>
        <v>0</v>
      </c>
      <c r="N187" s="348">
        <f t="shared" si="29"/>
        <v>0</v>
      </c>
      <c r="O187" s="348">
        <f t="shared" si="29"/>
        <v>0</v>
      </c>
      <c r="P187" s="348">
        <f t="shared" si="29"/>
        <v>0</v>
      </c>
      <c r="Q187" s="348">
        <f t="shared" si="29"/>
        <v>0</v>
      </c>
      <c r="R187" s="348">
        <f t="shared" si="29"/>
        <v>0</v>
      </c>
      <c r="S187" s="348">
        <f t="shared" si="29"/>
        <v>0</v>
      </c>
    </row>
    <row r="188" spans="2:19" x14ac:dyDescent="0.2">
      <c r="C188" s="329"/>
    </row>
    <row r="189" spans="2:19" x14ac:dyDescent="0.2">
      <c r="B189" s="242" t="s">
        <v>440</v>
      </c>
      <c r="C189" s="280" t="s">
        <v>58</v>
      </c>
      <c r="D189" s="297">
        <f>SUM(H189:S189)</f>
        <v>0</v>
      </c>
      <c r="E189" s="298"/>
      <c r="M189" s="228">
        <f>SUM(M179:M187)-1</f>
        <v>0</v>
      </c>
      <c r="N189" s="228">
        <f t="shared" ref="N189:S189" si="30">SUM(N179:N187)-1</f>
        <v>0</v>
      </c>
      <c r="O189" s="228">
        <f t="shared" si="30"/>
        <v>0</v>
      </c>
      <c r="P189" s="228">
        <f t="shared" si="30"/>
        <v>0</v>
      </c>
      <c r="Q189" s="228">
        <f t="shared" si="30"/>
        <v>0</v>
      </c>
      <c r="R189" s="228">
        <f t="shared" si="30"/>
        <v>0</v>
      </c>
      <c r="S189" s="228">
        <f t="shared" si="30"/>
        <v>0</v>
      </c>
    </row>
    <row r="190" spans="2:19" x14ac:dyDescent="0.2">
      <c r="C190" s="329"/>
    </row>
    <row r="191" spans="2:19" x14ac:dyDescent="0.2">
      <c r="B191" s="287" t="s">
        <v>100</v>
      </c>
      <c r="C191" s="329"/>
      <c r="M191" s="229"/>
      <c r="N191" s="229"/>
      <c r="O191" s="229"/>
      <c r="P191" s="229"/>
      <c r="Q191" s="229"/>
      <c r="R191" s="229"/>
      <c r="S191" s="229"/>
    </row>
    <row r="192" spans="2:19" x14ac:dyDescent="0.2">
      <c r="C192" s="329"/>
      <c r="M192" s="229"/>
      <c r="N192" s="229"/>
      <c r="O192" s="229"/>
      <c r="P192" s="229"/>
      <c r="Q192" s="229"/>
      <c r="R192" s="229"/>
      <c r="S192" s="229"/>
    </row>
    <row r="193" spans="2:19" x14ac:dyDescent="0.2">
      <c r="B193" s="243" t="s">
        <v>433</v>
      </c>
      <c r="C193" s="329"/>
      <c r="M193" s="229"/>
      <c r="N193" s="229"/>
      <c r="O193" s="229"/>
      <c r="P193" s="229"/>
      <c r="Q193" s="229"/>
      <c r="R193" s="229"/>
      <c r="S193" s="229"/>
    </row>
    <row r="194" spans="2:19" x14ac:dyDescent="0.2">
      <c r="B194" s="267" t="s">
        <v>284</v>
      </c>
      <c r="C194" s="280" t="s">
        <v>69</v>
      </c>
      <c r="M194" s="348">
        <f t="shared" ref="M194:S202" si="31">M103/M$112</f>
        <v>2.7618435134041847E-2</v>
      </c>
      <c r="N194" s="348">
        <f t="shared" si="31"/>
        <v>0.14757525014013897</v>
      </c>
      <c r="O194" s="348">
        <f t="shared" si="31"/>
        <v>0.12075023511070515</v>
      </c>
      <c r="P194" s="348">
        <f t="shared" si="31"/>
        <v>0.14267247134887681</v>
      </c>
      <c r="Q194" s="348">
        <f t="shared" si="31"/>
        <v>1.7744516685530249E-2</v>
      </c>
      <c r="R194" s="348">
        <f t="shared" si="31"/>
        <v>8.0127557916639253E-3</v>
      </c>
      <c r="S194" s="348">
        <f t="shared" si="31"/>
        <v>9.5336974224893116E-3</v>
      </c>
    </row>
    <row r="195" spans="2:19" x14ac:dyDescent="0.2">
      <c r="B195" s="250" t="s">
        <v>285</v>
      </c>
      <c r="C195" s="280" t="s">
        <v>69</v>
      </c>
      <c r="M195" s="348">
        <f t="shared" si="31"/>
        <v>0</v>
      </c>
      <c r="N195" s="348">
        <f t="shared" si="31"/>
        <v>1.0917851137214439E-2</v>
      </c>
      <c r="O195" s="348">
        <f t="shared" si="31"/>
        <v>7.7336724353455804E-3</v>
      </c>
      <c r="P195" s="348">
        <f t="shared" si="31"/>
        <v>5.4303430908747875E-3</v>
      </c>
      <c r="Q195" s="348">
        <f t="shared" si="31"/>
        <v>3.8916706888134207E-2</v>
      </c>
      <c r="R195" s="348">
        <f t="shared" si="31"/>
        <v>4.9315902573483896E-3</v>
      </c>
      <c r="S195" s="348">
        <f t="shared" si="31"/>
        <v>6.927888118154224E-2</v>
      </c>
    </row>
    <row r="196" spans="2:19" x14ac:dyDescent="0.2">
      <c r="B196" s="250" t="s">
        <v>286</v>
      </c>
      <c r="C196" s="280" t="s">
        <v>69</v>
      </c>
      <c r="M196" s="348">
        <f t="shared" si="31"/>
        <v>0.22718336072905898</v>
      </c>
      <c r="N196" s="348">
        <f t="shared" si="31"/>
        <v>0.16446202072108398</v>
      </c>
      <c r="O196" s="348">
        <f t="shared" si="31"/>
        <v>0.20897087660428457</v>
      </c>
      <c r="P196" s="348">
        <f t="shared" si="31"/>
        <v>0.11183559730945475</v>
      </c>
      <c r="Q196" s="348">
        <f t="shared" si="31"/>
        <v>0.15558319990450339</v>
      </c>
      <c r="R196" s="348">
        <f t="shared" si="31"/>
        <v>0.20851073304379661</v>
      </c>
      <c r="S196" s="348">
        <f t="shared" si="31"/>
        <v>0.11025990961656582</v>
      </c>
    </row>
    <row r="197" spans="2:19" x14ac:dyDescent="0.2">
      <c r="B197" s="250" t="s">
        <v>287</v>
      </c>
      <c r="C197" s="280" t="s">
        <v>69</v>
      </c>
      <c r="M197" s="348">
        <f t="shared" si="31"/>
        <v>0.57365040601967698</v>
      </c>
      <c r="N197" s="348">
        <f t="shared" si="31"/>
        <v>0.48462246074716264</v>
      </c>
      <c r="O197" s="348">
        <f t="shared" si="31"/>
        <v>0.47488088275134471</v>
      </c>
      <c r="P197" s="348">
        <f t="shared" si="31"/>
        <v>0.52763763380800044</v>
      </c>
      <c r="Q197" s="348">
        <f t="shared" si="31"/>
        <v>0.53595324357392737</v>
      </c>
      <c r="R197" s="348">
        <f t="shared" si="31"/>
        <v>0.49932369520051662</v>
      </c>
      <c r="S197" s="348">
        <f t="shared" si="31"/>
        <v>0.54736010492060938</v>
      </c>
    </row>
    <row r="198" spans="2:19" x14ac:dyDescent="0.2">
      <c r="B198" s="250" t="s">
        <v>288</v>
      </c>
      <c r="C198" s="280" t="s">
        <v>69</v>
      </c>
      <c r="M198" s="348">
        <f t="shared" si="31"/>
        <v>2.4315879385362709E-2</v>
      </c>
      <c r="N198" s="348">
        <f t="shared" si="31"/>
        <v>4.0383025174680162E-2</v>
      </c>
      <c r="O198" s="348">
        <f t="shared" si="31"/>
        <v>4.4460553103937192E-2</v>
      </c>
      <c r="P198" s="348">
        <f t="shared" si="31"/>
        <v>4.2888112177332925E-2</v>
      </c>
      <c r="Q198" s="348">
        <f t="shared" si="31"/>
        <v>4.597329288591645E-2</v>
      </c>
      <c r="R198" s="348">
        <f t="shared" si="31"/>
        <v>4.8194712129133864E-2</v>
      </c>
      <c r="S198" s="348">
        <f t="shared" si="31"/>
        <v>4.3925427200444775E-2</v>
      </c>
    </row>
    <row r="199" spans="2:19" x14ac:dyDescent="0.2">
      <c r="B199" s="267" t="s">
        <v>289</v>
      </c>
      <c r="C199" s="280" t="s">
        <v>69</v>
      </c>
      <c r="M199" s="348">
        <f t="shared" si="31"/>
        <v>0.10023010363432042</v>
      </c>
      <c r="N199" s="348">
        <f t="shared" si="31"/>
        <v>6.6643727585428497E-2</v>
      </c>
      <c r="O199" s="348">
        <f t="shared" si="31"/>
        <v>6.55088971393189E-2</v>
      </c>
      <c r="P199" s="348">
        <f t="shared" si="31"/>
        <v>9.6319006055816475E-2</v>
      </c>
      <c r="Q199" s="348">
        <f t="shared" si="31"/>
        <v>0.1242587357316965</v>
      </c>
      <c r="R199" s="348">
        <f t="shared" si="31"/>
        <v>0.14309415520782856</v>
      </c>
      <c r="S199" s="348">
        <f t="shared" si="31"/>
        <v>0.15118746812845671</v>
      </c>
    </row>
    <row r="200" spans="2:19" x14ac:dyDescent="0.2">
      <c r="B200" s="250" t="s">
        <v>290</v>
      </c>
      <c r="C200" s="280" t="s">
        <v>69</v>
      </c>
      <c r="M200" s="348">
        <f t="shared" si="31"/>
        <v>4.7001815097539042E-2</v>
      </c>
      <c r="N200" s="348">
        <f t="shared" si="31"/>
        <v>8.3153813473101801E-2</v>
      </c>
      <c r="O200" s="348">
        <f t="shared" si="31"/>
        <v>7.2411774372848015E-2</v>
      </c>
      <c r="P200" s="348">
        <f t="shared" si="31"/>
        <v>7.1699235506576711E-2</v>
      </c>
      <c r="Q200" s="348">
        <f t="shared" si="31"/>
        <v>7.352235934180347E-2</v>
      </c>
      <c r="R200" s="348">
        <f t="shared" si="31"/>
        <v>8.1766384993834096E-2</v>
      </c>
      <c r="S200" s="348">
        <f t="shared" si="31"/>
        <v>6.1752987558727483E-2</v>
      </c>
    </row>
    <row r="201" spans="2:19" x14ac:dyDescent="0.2">
      <c r="B201" s="250" t="s">
        <v>291</v>
      </c>
      <c r="C201" s="280" t="s">
        <v>69</v>
      </c>
      <c r="M201" s="348">
        <f t="shared" si="31"/>
        <v>0</v>
      </c>
      <c r="N201" s="348">
        <f t="shared" si="31"/>
        <v>2.241851021189508E-3</v>
      </c>
      <c r="O201" s="348">
        <f t="shared" si="31"/>
        <v>5.2831084822158409E-3</v>
      </c>
      <c r="P201" s="348">
        <f t="shared" si="31"/>
        <v>1.517600703067208E-3</v>
      </c>
      <c r="Q201" s="348">
        <f t="shared" si="31"/>
        <v>8.0479449884883793E-3</v>
      </c>
      <c r="R201" s="348">
        <f t="shared" si="31"/>
        <v>6.1659733758778063E-3</v>
      </c>
      <c r="S201" s="348">
        <f t="shared" si="31"/>
        <v>6.7015239711643148E-3</v>
      </c>
    </row>
    <row r="202" spans="2:19" x14ac:dyDescent="0.2">
      <c r="B202" s="250" t="s">
        <v>292</v>
      </c>
      <c r="C202" s="280" t="s">
        <v>69</v>
      </c>
      <c r="M202" s="348">
        <f t="shared" si="31"/>
        <v>0</v>
      </c>
      <c r="N202" s="348">
        <f t="shared" si="31"/>
        <v>0</v>
      </c>
      <c r="O202" s="348">
        <f t="shared" si="31"/>
        <v>0</v>
      </c>
      <c r="P202" s="348">
        <f t="shared" si="31"/>
        <v>0</v>
      </c>
      <c r="Q202" s="348">
        <f t="shared" si="31"/>
        <v>0</v>
      </c>
      <c r="R202" s="348">
        <f t="shared" si="31"/>
        <v>0</v>
      </c>
      <c r="S202" s="348">
        <f t="shared" si="31"/>
        <v>0</v>
      </c>
    </row>
    <row r="203" spans="2:19" x14ac:dyDescent="0.2">
      <c r="C203" s="329"/>
    </row>
    <row r="204" spans="2:19" x14ac:dyDescent="0.2">
      <c r="B204" s="242" t="s">
        <v>441</v>
      </c>
      <c r="C204" s="280" t="s">
        <v>58</v>
      </c>
      <c r="D204" s="297">
        <f>SUM(H204:S204)</f>
        <v>0</v>
      </c>
      <c r="E204" s="298"/>
      <c r="M204" s="228">
        <f>SUM(M194:M202)-1</f>
        <v>0</v>
      </c>
      <c r="N204" s="228">
        <f t="shared" ref="N204:S204" si="32">SUM(N194:N202)-1</f>
        <v>0</v>
      </c>
      <c r="O204" s="228">
        <f t="shared" si="32"/>
        <v>0</v>
      </c>
      <c r="P204" s="228">
        <f t="shared" si="32"/>
        <v>0</v>
      </c>
      <c r="Q204" s="228">
        <f t="shared" si="32"/>
        <v>0</v>
      </c>
      <c r="R204" s="228">
        <f t="shared" si="32"/>
        <v>0</v>
      </c>
      <c r="S204" s="228">
        <f t="shared" si="32"/>
        <v>0</v>
      </c>
    </row>
    <row r="272" spans="2:2" x14ac:dyDescent="0.2">
      <c r="B272" s="229"/>
    </row>
  </sheetData>
  <sheetProtection algorithmName="SHA-512" hashValue="CR1YzARGw/DFq/qsmuwjhENsPKSt44iXrxnFnpQKksCbIkwhKavqk0KV44ReDCL+LlI3u8ZLBCXcj4QQ8bVB0A==" saltValue="OLbbUIYUDI2cSDHMcYjTtA==" spinCount="100000" sheet="1" objects="1" scenarios="1"/>
  <conditionalFormatting sqref="C2">
    <cfRule type="expression" dxfId="295" priority="73">
      <formula>Model_check&lt;&gt;0</formula>
    </cfRule>
    <cfRule type="expression" dxfId="294" priority="74">
      <formula>Model_check=0</formula>
    </cfRule>
  </conditionalFormatting>
  <conditionalFormatting sqref="D98:E98 D130:D131">
    <cfRule type="cellIs" dxfId="293" priority="71" stopIfTrue="1" operator="equal">
      <formula>0</formula>
    </cfRule>
    <cfRule type="cellIs" dxfId="292" priority="72" stopIfTrue="1" operator="notEqual">
      <formula>0</formula>
    </cfRule>
  </conditionalFormatting>
  <conditionalFormatting sqref="M98:S98">
    <cfRule type="cellIs" dxfId="291" priority="69" stopIfTrue="1" operator="equal">
      <formula>0</formula>
    </cfRule>
    <cfRule type="cellIs" dxfId="290" priority="70" stopIfTrue="1" operator="notEqual">
      <formula>0</formula>
    </cfRule>
  </conditionalFormatting>
  <conditionalFormatting sqref="D114:E114">
    <cfRule type="cellIs" dxfId="289" priority="67" stopIfTrue="1" operator="equal">
      <formula>0</formula>
    </cfRule>
    <cfRule type="cellIs" dxfId="288" priority="68" stopIfTrue="1" operator="notEqual">
      <formula>0</formula>
    </cfRule>
  </conditionalFormatting>
  <conditionalFormatting sqref="D62:E62">
    <cfRule type="cellIs" dxfId="287" priority="63" stopIfTrue="1" operator="equal">
      <formula>0</formula>
    </cfRule>
    <cfRule type="cellIs" dxfId="286" priority="64" stopIfTrue="1" operator="notEqual">
      <formula>0</formula>
    </cfRule>
  </conditionalFormatting>
  <conditionalFormatting sqref="M62:S62">
    <cfRule type="cellIs" dxfId="285" priority="61" stopIfTrue="1" operator="equal">
      <formula>0</formula>
    </cfRule>
    <cfRule type="cellIs" dxfId="284" priority="62" stopIfTrue="1" operator="notEqual">
      <formula>0</formula>
    </cfRule>
  </conditionalFormatting>
  <conditionalFormatting sqref="D29:E29">
    <cfRule type="cellIs" dxfId="283" priority="59" stopIfTrue="1" operator="equal">
      <formula>0</formula>
    </cfRule>
    <cfRule type="cellIs" dxfId="282" priority="60" stopIfTrue="1" operator="notEqual">
      <formula>0</formula>
    </cfRule>
  </conditionalFormatting>
  <conditionalFormatting sqref="M29:S29">
    <cfRule type="cellIs" dxfId="281" priority="57" stopIfTrue="1" operator="equal">
      <formula>0</formula>
    </cfRule>
    <cfRule type="cellIs" dxfId="280" priority="58" stopIfTrue="1" operator="notEqual">
      <formula>0</formula>
    </cfRule>
  </conditionalFormatting>
  <conditionalFormatting sqref="D42:E42">
    <cfRule type="cellIs" dxfId="279" priority="55" stopIfTrue="1" operator="equal">
      <formula>0</formula>
    </cfRule>
    <cfRule type="cellIs" dxfId="278" priority="56" stopIfTrue="1" operator="notEqual">
      <formula>0</formula>
    </cfRule>
  </conditionalFormatting>
  <conditionalFormatting sqref="N42:S42">
    <cfRule type="cellIs" dxfId="277" priority="53" stopIfTrue="1" operator="equal">
      <formula>0</formula>
    </cfRule>
    <cfRule type="cellIs" dxfId="276" priority="54" stopIfTrue="1" operator="notEqual">
      <formula>0</formula>
    </cfRule>
  </conditionalFormatting>
  <conditionalFormatting sqref="D82:E82">
    <cfRule type="cellIs" dxfId="275" priority="51" stopIfTrue="1" operator="equal">
      <formula>0</formula>
    </cfRule>
    <cfRule type="cellIs" dxfId="274" priority="52" stopIfTrue="1" operator="notEqual">
      <formula>0</formula>
    </cfRule>
  </conditionalFormatting>
  <conditionalFormatting sqref="N82:S82">
    <cfRule type="cellIs" dxfId="273" priority="49" stopIfTrue="1" operator="equal">
      <formula>0</formula>
    </cfRule>
    <cfRule type="cellIs" dxfId="272" priority="50" stopIfTrue="1" operator="notEqual">
      <formula>0</formula>
    </cfRule>
  </conditionalFormatting>
  <conditionalFormatting sqref="M82:S82">
    <cfRule type="cellIs" dxfId="271" priority="43" stopIfTrue="1" operator="equal">
      <formula>0</formula>
    </cfRule>
    <cfRule type="cellIs" dxfId="270" priority="44" stopIfTrue="1" operator="notEqual">
      <formula>0</formula>
    </cfRule>
  </conditionalFormatting>
  <conditionalFormatting sqref="M114:S114">
    <cfRule type="cellIs" dxfId="269" priority="39" stopIfTrue="1" operator="equal">
      <formula>0</formula>
    </cfRule>
    <cfRule type="cellIs" dxfId="268" priority="40" stopIfTrue="1" operator="notEqual">
      <formula>0</formula>
    </cfRule>
  </conditionalFormatting>
  <conditionalFormatting sqref="D189:E189">
    <cfRule type="cellIs" dxfId="267" priority="37" stopIfTrue="1" operator="equal">
      <formula>0</formula>
    </cfRule>
    <cfRule type="cellIs" dxfId="266" priority="38" stopIfTrue="1" operator="notEqual">
      <formula>0</formula>
    </cfRule>
  </conditionalFormatting>
  <conditionalFormatting sqref="M189:S189">
    <cfRule type="cellIs" dxfId="265" priority="35" stopIfTrue="1" operator="equal">
      <formula>0</formula>
    </cfRule>
    <cfRule type="cellIs" dxfId="264" priority="36" stopIfTrue="1" operator="notEqual">
      <formula>0</formula>
    </cfRule>
  </conditionalFormatting>
  <conditionalFormatting sqref="D204:E204">
    <cfRule type="cellIs" dxfId="263" priority="33" stopIfTrue="1" operator="equal">
      <formula>0</formula>
    </cfRule>
    <cfRule type="cellIs" dxfId="262" priority="34" stopIfTrue="1" operator="notEqual">
      <formula>0</formula>
    </cfRule>
  </conditionalFormatting>
  <conditionalFormatting sqref="D158:E158">
    <cfRule type="cellIs" dxfId="261" priority="31" stopIfTrue="1" operator="equal">
      <formula>0</formula>
    </cfRule>
    <cfRule type="cellIs" dxfId="260" priority="32" stopIfTrue="1" operator="notEqual">
      <formula>0</formula>
    </cfRule>
  </conditionalFormatting>
  <conditionalFormatting sqref="M158:S158">
    <cfRule type="cellIs" dxfId="259" priority="29" stopIfTrue="1" operator="equal">
      <formula>0</formula>
    </cfRule>
    <cfRule type="cellIs" dxfId="258" priority="30" stopIfTrue="1" operator="notEqual">
      <formula>0</formula>
    </cfRule>
  </conditionalFormatting>
  <conditionalFormatting sqref="D142:E142">
    <cfRule type="cellIs" dxfId="257" priority="23" stopIfTrue="1" operator="equal">
      <formula>0</formula>
    </cfRule>
    <cfRule type="cellIs" dxfId="256" priority="24" stopIfTrue="1" operator="notEqual">
      <formula>0</formula>
    </cfRule>
  </conditionalFormatting>
  <conditionalFormatting sqref="N142:S142">
    <cfRule type="cellIs" dxfId="255" priority="21" stopIfTrue="1" operator="equal">
      <formula>0</formula>
    </cfRule>
    <cfRule type="cellIs" dxfId="254" priority="22" stopIfTrue="1" operator="notEqual">
      <formula>0</formula>
    </cfRule>
  </conditionalFormatting>
  <conditionalFormatting sqref="D174:E174">
    <cfRule type="cellIs" dxfId="253" priority="19" stopIfTrue="1" operator="equal">
      <formula>0</formula>
    </cfRule>
    <cfRule type="cellIs" dxfId="252" priority="20" stopIfTrue="1" operator="notEqual">
      <formula>0</formula>
    </cfRule>
  </conditionalFormatting>
  <conditionalFormatting sqref="N174:S174">
    <cfRule type="cellIs" dxfId="251" priority="17" stopIfTrue="1" operator="equal">
      <formula>0</formula>
    </cfRule>
    <cfRule type="cellIs" dxfId="250" priority="18" stopIfTrue="1" operator="notEqual">
      <formula>0</formula>
    </cfRule>
  </conditionalFormatting>
  <conditionalFormatting sqref="M174:S174">
    <cfRule type="cellIs" dxfId="249" priority="11" stopIfTrue="1" operator="equal">
      <formula>0</formula>
    </cfRule>
    <cfRule type="cellIs" dxfId="248" priority="12" stopIfTrue="1" operator="notEqual">
      <formula>0</formula>
    </cfRule>
  </conditionalFormatting>
  <conditionalFormatting sqref="M204:S204">
    <cfRule type="cellIs" dxfId="247" priority="7" stopIfTrue="1" operator="equal">
      <formula>0</formula>
    </cfRule>
    <cfRule type="cellIs" dxfId="246" priority="8" stopIfTrue="1" operator="notEqual">
      <formula>0</formula>
    </cfRule>
  </conditionalFormatting>
  <conditionalFormatting sqref="M130:S130">
    <cfRule type="cellIs" dxfId="245" priority="5" stopIfTrue="1" operator="equal">
      <formula>0</formula>
    </cfRule>
    <cfRule type="cellIs" dxfId="244" priority="6" stopIfTrue="1" operator="notEqual">
      <formula>0</formula>
    </cfRule>
  </conditionalFormatting>
  <conditionalFormatting sqref="M142:U142">
    <cfRule type="cellIs" dxfId="243" priority="3" stopIfTrue="1" operator="equal">
      <formula>0</formula>
    </cfRule>
    <cfRule type="cellIs" dxfId="242" priority="4" stopIfTrue="1" operator="notEqual">
      <formula>0</formula>
    </cfRule>
  </conditionalFormatting>
  <conditionalFormatting sqref="M42:S42">
    <cfRule type="cellIs" dxfId="241" priority="1" stopIfTrue="1" operator="equal">
      <formula>0</formula>
    </cfRule>
    <cfRule type="cellIs" dxfId="240"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3" manualBreakCount="3">
    <brk id="70" min="1" max="19" man="1"/>
    <brk id="131" min="1" max="19" man="1"/>
    <brk id="190" min="1" max="19" man="1"/>
  </rowBreaks>
  <extLst>
    <ext xmlns:x14="http://schemas.microsoft.com/office/spreadsheetml/2009/9/main" uri="{78C0D931-6437-407d-A8EE-F0AAD7539E65}">
      <x14:conditionalFormattings>
        <x14:conditionalFormatting xmlns:xm="http://schemas.microsoft.com/office/excel/2006/main">
          <x14:cfRule type="expression" priority="75" id="{606B46FF-A792-4781-AC7F-90E5DF4B7CB2}">
            <xm:f>'Global inputs'!$A1="MODEL ERROR"</xm:f>
            <x14:dxf>
              <fill>
                <patternFill>
                  <bgColor theme="1"/>
                </patternFill>
              </fill>
            </x14:dxf>
          </x14:cfRule>
          <xm:sqref>A1:XFD1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688B-2751-4C41-B7D1-788F490E2A8C}">
  <sheetPr codeName="Sheet14"/>
  <dimension ref="A1:Y505"/>
  <sheetViews>
    <sheetView showGridLines="0" zoomScale="80" zoomScaleNormal="80"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232" customWidth="1"/>
    <col min="2" max="2" width="35.75" style="232" customWidth="1"/>
    <col min="3" max="5" width="15.75" style="232" customWidth="1"/>
    <col min="6" max="7" width="2.75" style="232" customWidth="1"/>
    <col min="8" max="8" width="10.75" style="232" customWidth="1"/>
    <col min="9" max="9" width="10.75" style="234" customWidth="1"/>
    <col min="10" max="20" width="10.75" style="232" customWidth="1"/>
    <col min="21" max="21" width="2.75" style="232" customWidth="1"/>
    <col min="22" max="23" width="8.25" style="232" customWidth="1"/>
    <col min="24" max="25" width="8.75" style="232" customWidth="1"/>
    <col min="26" max="27" width="8.25" style="15" hidden="1" customWidth="1"/>
    <col min="28" max="16384" width="8.25" style="15" hidden="1"/>
  </cols>
  <sheetData>
    <row r="1" spans="1:25" ht="12" customHeight="1" x14ac:dyDescent="0.2">
      <c r="A1" s="229"/>
      <c r="B1" s="229"/>
      <c r="C1" s="276"/>
      <c r="D1" s="229"/>
      <c r="E1" s="229"/>
      <c r="F1" s="229"/>
      <c r="G1" s="229"/>
      <c r="H1" s="229"/>
      <c r="I1" s="229"/>
      <c r="J1" s="229"/>
      <c r="K1" s="229"/>
      <c r="L1" s="229"/>
      <c r="M1" s="229"/>
      <c r="N1" s="229"/>
      <c r="O1" s="229"/>
      <c r="P1" s="229"/>
      <c r="Q1" s="229"/>
      <c r="R1" s="229"/>
      <c r="S1" s="229"/>
      <c r="T1" s="229"/>
      <c r="U1" s="229"/>
      <c r="V1" s="229"/>
      <c r="W1" s="229"/>
      <c r="X1" s="229"/>
    </row>
    <row r="2" spans="1:25" s="13" customFormat="1" ht="15" customHeight="1" x14ac:dyDescent="0.25">
      <c r="A2" s="229"/>
      <c r="B2" s="212" t="str">
        <f ca="1">MID(CELL("filename",B2),FIND("]",CELL("filename",B2))+1,255)</f>
        <v>Commissioned assets summary</v>
      </c>
      <c r="C2" s="241" t="str">
        <f>'Global inputs'!$C$2</f>
        <v>Model: Ok</v>
      </c>
      <c r="D2" s="277"/>
      <c r="E2" s="277"/>
      <c r="F2" s="242"/>
      <c r="G2" s="242"/>
      <c r="H2" s="242"/>
      <c r="I2" s="242"/>
      <c r="J2" s="242"/>
      <c r="K2" s="242"/>
      <c r="L2" s="242"/>
      <c r="M2" s="242"/>
      <c r="N2" s="242"/>
      <c r="O2" s="242"/>
      <c r="P2" s="242"/>
      <c r="Q2" s="242"/>
      <c r="R2" s="242"/>
      <c r="S2" s="242"/>
      <c r="T2" s="242"/>
      <c r="U2" s="229"/>
      <c r="V2" s="229"/>
      <c r="W2" s="229"/>
      <c r="X2" s="229"/>
      <c r="Y2" s="229"/>
    </row>
    <row r="3" spans="1:25" s="12" customFormat="1" ht="12" customHeight="1" x14ac:dyDescent="0.2">
      <c r="A3" s="243"/>
      <c r="B3" s="300"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Escalators!T3</f>
        <v>45748</v>
      </c>
      <c r="T3" s="213"/>
      <c r="U3" s="243"/>
      <c r="V3" s="243"/>
      <c r="W3" s="243"/>
      <c r="X3" s="243"/>
      <c r="Y3" s="243"/>
    </row>
    <row r="4" spans="1:25" s="12" customFormat="1" ht="12" customHeight="1" x14ac:dyDescent="0.2">
      <c r="A4" s="243"/>
      <c r="B4" s="300"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Escalators!T4</f>
        <v>46112</v>
      </c>
      <c r="T4" s="213"/>
      <c r="U4" s="243"/>
      <c r="V4" s="243"/>
      <c r="W4" s="243"/>
      <c r="X4" s="243"/>
      <c r="Y4" s="243"/>
    </row>
    <row r="5" spans="1:25" s="12" customFormat="1" ht="12" customHeight="1" x14ac:dyDescent="0.2">
      <c r="A5" s="243"/>
      <c r="B5" s="300"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Escalators!T5</f>
        <v>RY26</v>
      </c>
      <c r="T5" s="214"/>
      <c r="U5" s="243"/>
      <c r="V5" s="243"/>
      <c r="W5" s="243"/>
      <c r="X5" s="243"/>
      <c r="Y5" s="243"/>
    </row>
    <row r="6" spans="1:25" s="12" customFormat="1" ht="12" customHeight="1" x14ac:dyDescent="0.2">
      <c r="A6" s="243"/>
      <c r="B6" s="300" t="s">
        <v>45</v>
      </c>
      <c r="C6" s="278"/>
      <c r="D6" s="279"/>
      <c r="E6" s="279"/>
      <c r="F6" s="244"/>
      <c r="G6" s="247"/>
      <c r="H6" s="215" t="s">
        <v>46</v>
      </c>
      <c r="I6" s="216"/>
      <c r="J6" s="216"/>
      <c r="K6" s="216"/>
      <c r="L6" s="216"/>
      <c r="M6" s="215" t="s">
        <v>47</v>
      </c>
      <c r="N6" s="216"/>
      <c r="O6" s="215" t="s">
        <v>48</v>
      </c>
      <c r="P6" s="216"/>
      <c r="Q6" s="216"/>
      <c r="R6" s="216"/>
      <c r="S6" s="216"/>
      <c r="T6" s="215" t="s">
        <v>49</v>
      </c>
      <c r="U6" s="243"/>
      <c r="V6" s="243"/>
      <c r="W6" s="243"/>
      <c r="X6" s="243"/>
      <c r="Y6" s="243"/>
    </row>
    <row r="7" spans="1:25" ht="12" customHeight="1" x14ac:dyDescent="0.2">
      <c r="B7" s="242"/>
      <c r="C7" s="280"/>
      <c r="D7" s="248"/>
      <c r="E7" s="248"/>
      <c r="F7" s="242"/>
      <c r="G7" s="242"/>
      <c r="H7" s="242"/>
      <c r="I7" s="242"/>
      <c r="J7" s="242"/>
      <c r="K7" s="242"/>
      <c r="L7" s="242"/>
      <c r="M7" s="242"/>
      <c r="N7" s="242"/>
      <c r="O7" s="242"/>
      <c r="P7" s="242"/>
      <c r="Q7" s="242"/>
      <c r="R7" s="242"/>
      <c r="S7" s="242"/>
      <c r="T7" s="242"/>
    </row>
    <row r="8" spans="1:25" ht="12" customHeight="1" x14ac:dyDescent="0.2">
      <c r="B8" s="242"/>
      <c r="C8" s="280"/>
      <c r="D8" s="248"/>
      <c r="E8" s="248"/>
      <c r="F8" s="242"/>
      <c r="G8" s="242"/>
      <c r="H8" s="242"/>
      <c r="I8" s="242"/>
      <c r="J8" s="242"/>
      <c r="K8" s="242"/>
      <c r="L8" s="242"/>
      <c r="M8" s="242"/>
      <c r="N8" s="242"/>
      <c r="O8" s="242"/>
      <c r="P8" s="242"/>
      <c r="Q8" s="242"/>
      <c r="R8" s="242"/>
      <c r="S8" s="242"/>
      <c r="T8" s="242"/>
    </row>
    <row r="9" spans="1:25" s="13" customFormat="1" ht="12" customHeight="1" x14ac:dyDescent="0.2">
      <c r="A9" s="232"/>
      <c r="B9" s="283" t="s">
        <v>319</v>
      </c>
      <c r="C9" s="284" t="s">
        <v>51</v>
      </c>
      <c r="D9" s="285" t="s">
        <v>52</v>
      </c>
      <c r="E9" s="284" t="s">
        <v>53</v>
      </c>
      <c r="F9" s="242"/>
      <c r="G9" s="302"/>
      <c r="H9" s="302"/>
      <c r="I9" s="302"/>
      <c r="J9" s="302"/>
      <c r="K9" s="242"/>
      <c r="L9" s="242"/>
      <c r="M9" s="242"/>
      <c r="N9" s="242"/>
      <c r="O9" s="242"/>
      <c r="P9" s="242"/>
      <c r="Q9" s="242"/>
      <c r="R9" s="242"/>
      <c r="S9" s="242"/>
      <c r="T9" s="242"/>
      <c r="U9" s="229"/>
      <c r="V9" s="229"/>
      <c r="W9" s="229"/>
      <c r="X9" s="229"/>
      <c r="Y9" s="229"/>
    </row>
    <row r="10" spans="1:25" x14ac:dyDescent="0.2">
      <c r="K10" s="289"/>
      <c r="L10" s="289"/>
      <c r="M10" s="289"/>
      <c r="N10" s="289"/>
      <c r="O10" s="289"/>
      <c r="P10" s="289"/>
      <c r="Q10" s="289"/>
      <c r="R10" s="289"/>
      <c r="S10" s="289"/>
      <c r="T10" s="242"/>
    </row>
    <row r="11" spans="1:25" x14ac:dyDescent="0.2">
      <c r="B11" s="232" t="s">
        <v>67</v>
      </c>
      <c r="C11" s="232" t="s">
        <v>67</v>
      </c>
      <c r="H11" s="328">
        <f t="shared" ref="H11:M11" si="0">YEAR(H$4)</f>
        <v>2015</v>
      </c>
      <c r="I11" s="328">
        <f t="shared" si="0"/>
        <v>2016</v>
      </c>
      <c r="J11" s="328">
        <f t="shared" si="0"/>
        <v>2017</v>
      </c>
      <c r="K11" s="328">
        <f t="shared" si="0"/>
        <v>2018</v>
      </c>
      <c r="L11" s="328">
        <f t="shared" si="0"/>
        <v>2019</v>
      </c>
      <c r="M11" s="328">
        <f t="shared" si="0"/>
        <v>2020</v>
      </c>
      <c r="N11" s="328">
        <f t="shared" ref="N11:S11" si="1">YEAR(N$4)</f>
        <v>2021</v>
      </c>
      <c r="O11" s="328">
        <f t="shared" si="1"/>
        <v>2022</v>
      </c>
      <c r="P11" s="328">
        <f t="shared" si="1"/>
        <v>2023</v>
      </c>
      <c r="Q11" s="328">
        <f t="shared" si="1"/>
        <v>2024</v>
      </c>
      <c r="R11" s="328">
        <f t="shared" si="1"/>
        <v>2025</v>
      </c>
      <c r="S11" s="328">
        <f t="shared" si="1"/>
        <v>2026</v>
      </c>
      <c r="T11" s="229"/>
    </row>
    <row r="12" spans="1:25" x14ac:dyDescent="0.2">
      <c r="B12" s="232" t="s">
        <v>442</v>
      </c>
      <c r="C12" s="329" t="s">
        <v>430</v>
      </c>
      <c r="D12" s="342" t="s">
        <v>385</v>
      </c>
      <c r="K12" s="289"/>
      <c r="L12" s="341"/>
      <c r="M12" s="341"/>
      <c r="N12" s="340"/>
      <c r="O12" s="340"/>
      <c r="P12" s="340"/>
      <c r="Q12" s="340"/>
      <c r="R12" s="340"/>
      <c r="S12" s="340"/>
      <c r="T12" s="242"/>
    </row>
    <row r="13" spans="1:25" x14ac:dyDescent="0.2">
      <c r="K13" s="289"/>
      <c r="L13" s="289"/>
      <c r="M13" s="289"/>
      <c r="N13" s="289"/>
      <c r="O13" s="289"/>
      <c r="P13" s="289"/>
      <c r="Q13" s="289"/>
      <c r="R13" s="289"/>
      <c r="S13" s="289"/>
      <c r="T13" s="242"/>
    </row>
    <row r="14" spans="1:25" x14ac:dyDescent="0.2">
      <c r="B14" s="283" t="s">
        <v>266</v>
      </c>
      <c r="C14" s="284" t="s">
        <v>51</v>
      </c>
      <c r="D14" s="285" t="s">
        <v>52</v>
      </c>
      <c r="E14" s="284" t="s">
        <v>53</v>
      </c>
      <c r="F14" s="242"/>
      <c r="G14" s="302"/>
      <c r="H14" s="302"/>
      <c r="I14" s="302"/>
      <c r="J14" s="302"/>
      <c r="K14" s="242"/>
      <c r="L14" s="242"/>
      <c r="M14" s="242"/>
      <c r="N14" s="242"/>
      <c r="O14" s="242"/>
      <c r="P14" s="242"/>
      <c r="Q14" s="242"/>
      <c r="R14" s="242"/>
      <c r="S14" s="242"/>
      <c r="T14" s="242"/>
      <c r="U14" s="229"/>
    </row>
    <row r="15" spans="1:25" x14ac:dyDescent="0.2">
      <c r="B15" s="313"/>
      <c r="C15" s="314"/>
      <c r="D15" s="347"/>
      <c r="E15" s="314"/>
      <c r="F15" s="242"/>
      <c r="G15" s="302"/>
      <c r="H15" s="302"/>
      <c r="I15" s="302"/>
      <c r="J15" s="302"/>
      <c r="K15" s="242"/>
      <c r="L15" s="242"/>
      <c r="M15" s="242"/>
      <c r="N15" s="242"/>
      <c r="O15" s="242"/>
      <c r="P15" s="242"/>
      <c r="Q15" s="242"/>
      <c r="R15" s="242"/>
      <c r="S15" s="242"/>
      <c r="T15" s="242"/>
      <c r="U15" s="229"/>
    </row>
    <row r="16" spans="1:25" x14ac:dyDescent="0.2">
      <c r="B16" s="232" t="s">
        <v>443</v>
      </c>
      <c r="C16" s="280" t="s">
        <v>250</v>
      </c>
      <c r="D16" s="347"/>
      <c r="E16" s="314"/>
      <c r="F16" s="242"/>
      <c r="G16" s="302"/>
      <c r="H16" s="302"/>
      <c r="I16" s="302"/>
      <c r="J16" s="302"/>
      <c r="K16" s="242"/>
      <c r="L16" s="345"/>
      <c r="M16" s="71">
        <f>'Works under construction'!M24</f>
        <v>44678704.269393146</v>
      </c>
      <c r="N16" s="71">
        <f>'Works under construction'!N24</f>
        <v>60747818.001665995</v>
      </c>
      <c r="O16" s="71">
        <f>'Works under construction'!O24</f>
        <v>72165277.257395446</v>
      </c>
      <c r="P16" s="71">
        <f>'Works under construction'!P24</f>
        <v>65920689.936639383</v>
      </c>
      <c r="Q16" s="71">
        <f>'Works under construction'!Q24</f>
        <v>66616379.419026896</v>
      </c>
      <c r="R16" s="71">
        <f>'Works under construction'!R24</f>
        <v>65674064.846767902</v>
      </c>
      <c r="S16" s="71">
        <f>'Works under construction'!S24</f>
        <v>61155887.673698828</v>
      </c>
      <c r="T16" s="242"/>
      <c r="U16" s="229"/>
    </row>
    <row r="17" spans="2:21" x14ac:dyDescent="0.2">
      <c r="B17" s="232" t="s">
        <v>444</v>
      </c>
      <c r="C17" s="280" t="s">
        <v>250</v>
      </c>
      <c r="K17" s="289"/>
      <c r="L17" s="345"/>
      <c r="M17" s="71">
        <f>'Works under construction'!M25</f>
        <v>11092936.890000001</v>
      </c>
      <c r="N17" s="71">
        <f>'Works under construction'!N25</f>
        <v>10702581.651988026</v>
      </c>
      <c r="O17" s="71">
        <f>'Works under construction'!O25</f>
        <v>6032261.0454512825</v>
      </c>
      <c r="P17" s="71">
        <f>'Works under construction'!P25</f>
        <v>1332545.3326392709</v>
      </c>
      <c r="Q17" s="71">
        <f>'Works under construction'!Q25</f>
        <v>5075452.7970312648</v>
      </c>
      <c r="R17" s="71">
        <f>'Works under construction'!R25</f>
        <v>4127722.6614697934</v>
      </c>
      <c r="S17" s="71">
        <f>'Works under construction'!S25</f>
        <v>4511891.8852117918</v>
      </c>
      <c r="T17" s="242"/>
    </row>
    <row r="18" spans="2:21" x14ac:dyDescent="0.2">
      <c r="B18" s="232" t="s">
        <v>445</v>
      </c>
      <c r="C18" s="280" t="s">
        <v>250</v>
      </c>
      <c r="K18" s="289"/>
      <c r="L18" s="345"/>
      <c r="M18" s="345">
        <f>SUMIFS('Forecast capex'!$S$9:$S$1940,'Forecast capex'!$K$9:$K$1940,'Commissioned assets summary'!M11)</f>
        <v>4921327.0435869759</v>
      </c>
      <c r="N18" s="345">
        <f>SUMIFS('Forecast capex'!$S$9:$S$1940,'Forecast capex'!$K$9:$K$1940,'Commissioned assets summary'!N11)</f>
        <v>145585.46827902034</v>
      </c>
      <c r="O18" s="345">
        <f>SUMIFS('Forecast capex'!$S$9:$S$1940,'Forecast capex'!$K$9:$K$1940,'Commissioned assets summary'!O11)</f>
        <v>476797.25023977744</v>
      </c>
      <c r="P18" s="345">
        <f>SUMIFS('Forecast capex'!$S$9:$S$1940,'Forecast capex'!$K$9:$K$1940,'Commissioned assets summary'!P11)</f>
        <v>267115.7980545726</v>
      </c>
      <c r="Q18" s="345">
        <f>SUMIFS('Forecast capex'!$S$9:$S$1940,'Forecast capex'!$K$9:$K$1940,'Commissioned assets summary'!Q11)</f>
        <v>494987.37821617769</v>
      </c>
      <c r="R18" s="345">
        <f>SUMIFS('Forecast capex'!$S$9:$S$1940,'Forecast capex'!$K$9:$K$1940,'Commissioned assets summary'!R11)</f>
        <v>136352.99413799553</v>
      </c>
      <c r="S18" s="345">
        <f>SUMIFS('Forecast capex'!$S$9:$S$1940,'Forecast capex'!$K$9:$K$1940,'Commissioned assets summary'!S11)</f>
        <v>0</v>
      </c>
      <c r="T18" s="242"/>
    </row>
    <row r="19" spans="2:21" x14ac:dyDescent="0.2">
      <c r="B19" s="232" t="s">
        <v>446</v>
      </c>
      <c r="C19" s="280" t="s">
        <v>250</v>
      </c>
      <c r="K19" s="289"/>
      <c r="L19" s="345"/>
      <c r="M19" s="71">
        <f>'Works under construction'!M26</f>
        <v>5884618.541485928</v>
      </c>
      <c r="N19" s="71">
        <f>'Works under construction'!N26</f>
        <v>9519109.2074618042</v>
      </c>
      <c r="O19" s="71">
        <f>'Works under construction'!O26</f>
        <v>6826286.8979321867</v>
      </c>
      <c r="P19" s="71">
        <f>'Works under construction'!P26</f>
        <v>5558079.8084727377</v>
      </c>
      <c r="Q19" s="71">
        <f>'Works under construction'!Q26</f>
        <v>6694101.6654114425</v>
      </c>
      <c r="R19" s="71">
        <f>'Works under construction'!R26</f>
        <v>8097478.9728862941</v>
      </c>
      <c r="S19" s="71">
        <f>'Works under construction'!S26</f>
        <v>9449107.503840223</v>
      </c>
      <c r="T19" s="242"/>
    </row>
    <row r="20" spans="2:21" x14ac:dyDescent="0.2">
      <c r="B20" s="232" t="s">
        <v>447</v>
      </c>
      <c r="C20" s="280" t="s">
        <v>250</v>
      </c>
      <c r="K20" s="289"/>
      <c r="L20" s="345"/>
      <c r="M20" s="71">
        <f>'Works under construction'!M27</f>
        <v>0</v>
      </c>
      <c r="N20" s="71">
        <f>'Works under construction'!N27</f>
        <v>0</v>
      </c>
      <c r="O20" s="71">
        <f>'Works under construction'!O27</f>
        <v>0</v>
      </c>
      <c r="P20" s="71">
        <f>'Works under construction'!P27</f>
        <v>0</v>
      </c>
      <c r="Q20" s="71">
        <f>'Works under construction'!Q27</f>
        <v>0</v>
      </c>
      <c r="R20" s="71">
        <f>'Works under construction'!R27</f>
        <v>0</v>
      </c>
      <c r="S20" s="71">
        <f>'Works under construction'!S27</f>
        <v>0</v>
      </c>
      <c r="T20" s="242"/>
    </row>
    <row r="21" spans="2:21" x14ac:dyDescent="0.2">
      <c r="K21" s="289"/>
      <c r="L21" s="289"/>
      <c r="M21" s="289"/>
      <c r="N21" s="289"/>
      <c r="O21" s="289"/>
      <c r="P21" s="289"/>
      <c r="Q21" s="289"/>
      <c r="R21" s="289"/>
      <c r="S21" s="289"/>
      <c r="T21" s="242"/>
    </row>
    <row r="22" spans="2:21" x14ac:dyDescent="0.2">
      <c r="B22" s="283" t="s">
        <v>283</v>
      </c>
      <c r="C22" s="284" t="s">
        <v>51</v>
      </c>
      <c r="D22" s="285" t="s">
        <v>52</v>
      </c>
      <c r="E22" s="284" t="s">
        <v>53</v>
      </c>
      <c r="F22" s="242"/>
      <c r="G22" s="302"/>
      <c r="H22" s="302"/>
      <c r="I22" s="302"/>
      <c r="J22" s="302"/>
      <c r="K22" s="242"/>
      <c r="L22" s="242"/>
      <c r="M22" s="242"/>
      <c r="N22" s="242"/>
      <c r="O22" s="242"/>
      <c r="P22" s="242"/>
      <c r="Q22" s="242"/>
      <c r="R22" s="242"/>
      <c r="S22" s="242"/>
      <c r="T22" s="242"/>
      <c r="U22" s="229"/>
    </row>
    <row r="23" spans="2:21" x14ac:dyDescent="0.2">
      <c r="K23" s="289"/>
      <c r="L23" s="289"/>
      <c r="M23" s="289"/>
      <c r="N23" s="289"/>
      <c r="O23" s="289"/>
      <c r="P23" s="289"/>
      <c r="Q23" s="289"/>
      <c r="R23" s="289"/>
      <c r="S23" s="289"/>
      <c r="T23" s="242"/>
    </row>
    <row r="24" spans="2:21" x14ac:dyDescent="0.2">
      <c r="B24" s="250" t="s">
        <v>284</v>
      </c>
      <c r="C24" s="280" t="s">
        <v>250</v>
      </c>
      <c r="D24" s="250"/>
      <c r="E24" s="250"/>
      <c r="I24" s="232"/>
      <c r="M24" s="345">
        <f>M134+M236+M340</f>
        <v>1042399.4894063649</v>
      </c>
      <c r="N24" s="345">
        <f t="shared" ref="N24:S24" si="2">N134+N236+N340</f>
        <v>7038132.3661190597</v>
      </c>
      <c r="O24" s="345">
        <f t="shared" si="2"/>
        <v>7048271.847877969</v>
      </c>
      <c r="P24" s="345">
        <f t="shared" si="2"/>
        <v>8094396.2125189947</v>
      </c>
      <c r="Q24" s="345">
        <f t="shared" si="2"/>
        <v>1616026.6499209735</v>
      </c>
      <c r="R24" s="345">
        <f t="shared" si="2"/>
        <v>479867.97255867155</v>
      </c>
      <c r="S24" s="345">
        <f t="shared" si="2"/>
        <v>509327.92951859569</v>
      </c>
      <c r="T24" s="229"/>
    </row>
    <row r="25" spans="2:21" x14ac:dyDescent="0.2">
      <c r="B25" s="250" t="s">
        <v>285</v>
      </c>
      <c r="C25" s="280" t="s">
        <v>250</v>
      </c>
      <c r="D25" s="250"/>
      <c r="E25" s="250"/>
      <c r="I25" s="232"/>
      <c r="M25" s="345">
        <f t="shared" ref="M25:S25" si="3">M135+M237+M341</f>
        <v>46084.956475972111</v>
      </c>
      <c r="N25" s="345">
        <f t="shared" si="3"/>
        <v>6827326.9512986513</v>
      </c>
      <c r="O25" s="345">
        <f t="shared" si="3"/>
        <v>542090.29699175723</v>
      </c>
      <c r="P25" s="345">
        <f t="shared" si="3"/>
        <v>343448.16571380745</v>
      </c>
      <c r="Q25" s="345">
        <f t="shared" si="3"/>
        <v>2651643.3560275319</v>
      </c>
      <c r="R25" s="345">
        <f t="shared" si="3"/>
        <v>378279.71284800104</v>
      </c>
      <c r="S25" s="345">
        <f t="shared" si="3"/>
        <v>6592977.1287385672</v>
      </c>
      <c r="T25" s="229"/>
    </row>
    <row r="26" spans="2:21" x14ac:dyDescent="0.2">
      <c r="B26" s="250" t="s">
        <v>286</v>
      </c>
      <c r="C26" s="280" t="s">
        <v>250</v>
      </c>
      <c r="D26" s="250"/>
      <c r="E26" s="250"/>
      <c r="I26" s="232"/>
      <c r="M26" s="345">
        <f t="shared" ref="M26:S26" si="4">M136+M238+M342</f>
        <v>7269303.9341696938</v>
      </c>
      <c r="N26" s="345">
        <f t="shared" si="4"/>
        <v>12484371.951886911</v>
      </c>
      <c r="O26" s="345">
        <f t="shared" si="4"/>
        <v>16022293.585000418</v>
      </c>
      <c r="P26" s="345">
        <f t="shared" si="4"/>
        <v>7739021.0099818856</v>
      </c>
      <c r="Q26" s="345">
        <f t="shared" si="4"/>
        <v>14372296.933541708</v>
      </c>
      <c r="R26" s="345">
        <f t="shared" si="4"/>
        <v>14983100.447833791</v>
      </c>
      <c r="S26" s="345">
        <f t="shared" si="4"/>
        <v>6637116.2029965306</v>
      </c>
    </row>
    <row r="27" spans="2:21" x14ac:dyDescent="0.2">
      <c r="B27" s="250" t="s">
        <v>287</v>
      </c>
      <c r="C27" s="280" t="s">
        <v>250</v>
      </c>
      <c r="D27" s="250"/>
      <c r="E27" s="250"/>
      <c r="I27" s="232"/>
      <c r="M27" s="345">
        <f t="shared" ref="M27:S27" si="5">M137+M239+M343</f>
        <v>23024095.249756038</v>
      </c>
      <c r="N27" s="345">
        <f t="shared" si="5"/>
        <v>25664806.990201958</v>
      </c>
      <c r="O27" s="345">
        <f t="shared" si="5"/>
        <v>29242009.546937533</v>
      </c>
      <c r="P27" s="345">
        <f t="shared" si="5"/>
        <v>31153287.06881123</v>
      </c>
      <c r="Q27" s="345">
        <f t="shared" si="5"/>
        <v>30707486.028760564</v>
      </c>
      <c r="R27" s="345">
        <f t="shared" si="5"/>
        <v>28480730.698377073</v>
      </c>
      <c r="S27" s="345">
        <f t="shared" si="5"/>
        <v>28109153.7391643</v>
      </c>
    </row>
    <row r="28" spans="2:21" x14ac:dyDescent="0.2">
      <c r="B28" s="250" t="s">
        <v>288</v>
      </c>
      <c r="C28" s="280" t="s">
        <v>250</v>
      </c>
      <c r="D28" s="250"/>
      <c r="E28" s="250"/>
      <c r="I28" s="232"/>
      <c r="M28" s="345">
        <f t="shared" ref="M28:S28" si="6">M138+M240+M344</f>
        <v>3965373.1121869283</v>
      </c>
      <c r="N28" s="345">
        <f t="shared" si="6"/>
        <v>4619216.8687629486</v>
      </c>
      <c r="O28" s="345">
        <f t="shared" si="6"/>
        <v>5173008.0858924361</v>
      </c>
      <c r="P28" s="345">
        <f t="shared" si="6"/>
        <v>4678736.2358364342</v>
      </c>
      <c r="Q28" s="345">
        <f t="shared" si="6"/>
        <v>5256745.7340931473</v>
      </c>
      <c r="R28" s="345">
        <f t="shared" si="6"/>
        <v>6014777.1672850884</v>
      </c>
      <c r="S28" s="345">
        <f t="shared" si="6"/>
        <v>5956723.5038831122</v>
      </c>
    </row>
    <row r="29" spans="2:21" x14ac:dyDescent="0.2">
      <c r="B29" s="250" t="s">
        <v>289</v>
      </c>
      <c r="C29" s="280" t="s">
        <v>250</v>
      </c>
      <c r="D29" s="250"/>
      <c r="E29" s="250"/>
      <c r="I29" s="232"/>
      <c r="M29" s="345">
        <f t="shared" ref="M29:S29" si="7">M139+M241+M345</f>
        <v>5348627.303303279</v>
      </c>
      <c r="N29" s="345">
        <f t="shared" si="7"/>
        <v>4961121.1142285559</v>
      </c>
      <c r="O29" s="345">
        <f t="shared" si="7"/>
        <v>5434214.1822820399</v>
      </c>
      <c r="P29" s="345">
        <f t="shared" si="7"/>
        <v>6881733.6633304963</v>
      </c>
      <c r="Q29" s="345">
        <f t="shared" si="7"/>
        <v>8651425.8710586261</v>
      </c>
      <c r="R29" s="345">
        <f t="shared" si="7"/>
        <v>9968759.2261246052</v>
      </c>
      <c r="S29" s="345">
        <f t="shared" si="7"/>
        <v>9908169.5882995818</v>
      </c>
    </row>
    <row r="30" spans="2:21" x14ac:dyDescent="0.2">
      <c r="B30" s="250" t="s">
        <v>290</v>
      </c>
      <c r="C30" s="280" t="s">
        <v>250</v>
      </c>
      <c r="D30" s="250"/>
      <c r="E30" s="250"/>
      <c r="I30" s="232"/>
      <c r="M30" s="345">
        <f t="shared" ref="M30:S30" si="8">M140+M242+M346</f>
        <v>3829110.215184629</v>
      </c>
      <c r="N30" s="345">
        <f t="shared" si="8"/>
        <v>5027250.0505451625</v>
      </c>
      <c r="O30" s="345">
        <f t="shared" si="8"/>
        <v>5292915.6396526555</v>
      </c>
      <c r="P30" s="345">
        <f t="shared" si="8"/>
        <v>4938507.4857026702</v>
      </c>
      <c r="Q30" s="345">
        <f t="shared" si="8"/>
        <v>5115330.8601328488</v>
      </c>
      <c r="R30" s="345">
        <f t="shared" si="8"/>
        <v>6467023.4685311057</v>
      </c>
      <c r="S30" s="345">
        <f t="shared" si="8"/>
        <v>5200280.4734186437</v>
      </c>
    </row>
    <row r="31" spans="2:21" x14ac:dyDescent="0.2">
      <c r="B31" s="267" t="s">
        <v>291</v>
      </c>
      <c r="C31" s="280" t="s">
        <v>250</v>
      </c>
      <c r="D31" s="250"/>
      <c r="E31" s="250"/>
      <c r="I31" s="232"/>
      <c r="M31" s="345">
        <f t="shared" ref="M31:S31" si="9">M141+M243+M347</f>
        <v>7858741.8907693792</v>
      </c>
      <c r="N31" s="345">
        <f t="shared" si="9"/>
        <v>368935.82725983835</v>
      </c>
      <c r="O31" s="345">
        <f t="shared" si="9"/>
        <v>904233.22196245776</v>
      </c>
      <c r="P31" s="345">
        <f t="shared" si="9"/>
        <v>568391.81496076239</v>
      </c>
      <c r="Q31" s="345">
        <f t="shared" si="9"/>
        <v>895964.542054752</v>
      </c>
      <c r="R31" s="345">
        <f t="shared" si="9"/>
        <v>660772.95377654815</v>
      </c>
      <c r="S31" s="345">
        <f t="shared" si="9"/>
        <v>366672.09822443803</v>
      </c>
    </row>
    <row r="32" spans="2:21" x14ac:dyDescent="0.2">
      <c r="B32" s="250" t="s">
        <v>292</v>
      </c>
      <c r="C32" s="280" t="s">
        <v>250</v>
      </c>
      <c r="D32" s="250"/>
      <c r="E32" s="250"/>
      <c r="I32" s="232"/>
      <c r="M32" s="345">
        <f t="shared" ref="M32:S32" si="10">M142+M244+M348</f>
        <v>8309232.051727837</v>
      </c>
      <c r="N32" s="345">
        <f t="shared" si="10"/>
        <v>4604823.0016299654</v>
      </c>
      <c r="O32" s="345">
        <f t="shared" si="10"/>
        <v>9015299.1464892384</v>
      </c>
      <c r="P32" s="345">
        <f t="shared" si="10"/>
        <v>3122829.4104769411</v>
      </c>
      <c r="Q32" s="345">
        <f t="shared" si="10"/>
        <v>2919899.6186841843</v>
      </c>
      <c r="R32" s="345">
        <f t="shared" si="10"/>
        <v>2504828.8550408101</v>
      </c>
      <c r="S32" s="345">
        <f t="shared" si="10"/>
        <v>2387358.8946668576</v>
      </c>
    </row>
    <row r="33" spans="1:25" x14ac:dyDescent="0.2">
      <c r="B33" s="243" t="s">
        <v>49</v>
      </c>
      <c r="C33" s="337" t="s">
        <v>250</v>
      </c>
      <c r="D33" s="243"/>
      <c r="E33" s="243"/>
      <c r="F33" s="243"/>
      <c r="G33" s="243"/>
      <c r="H33" s="243"/>
      <c r="I33" s="243"/>
      <c r="J33" s="243"/>
      <c r="K33" s="243"/>
      <c r="L33" s="243"/>
      <c r="M33" s="235">
        <f t="shared" ref="M33:S33" si="11">SUM(M24:M32)</f>
        <v>60692968.202980123</v>
      </c>
      <c r="N33" s="235">
        <f t="shared" si="11"/>
        <v>71595985.121933058</v>
      </c>
      <c r="O33" s="235">
        <f t="shared" si="11"/>
        <v>78674335.553086504</v>
      </c>
      <c r="P33" s="235">
        <f t="shared" si="11"/>
        <v>67520351.067333221</v>
      </c>
      <c r="Q33" s="235">
        <f t="shared" si="11"/>
        <v>72186819.594274342</v>
      </c>
      <c r="R33" s="235">
        <f t="shared" si="11"/>
        <v>69938140.502375692</v>
      </c>
      <c r="S33" s="235">
        <f t="shared" si="11"/>
        <v>65667779.558910623</v>
      </c>
    </row>
    <row r="34" spans="1:25" x14ac:dyDescent="0.2">
      <c r="B34" s="329"/>
      <c r="C34" s="337"/>
      <c r="D34" s="243"/>
      <c r="E34" s="243"/>
      <c r="F34" s="243"/>
      <c r="G34" s="243"/>
      <c r="H34" s="243"/>
      <c r="I34" s="243"/>
      <c r="J34" s="243"/>
      <c r="K34" s="243"/>
      <c r="L34" s="243"/>
      <c r="M34" s="294"/>
      <c r="N34" s="294"/>
      <c r="O34" s="294"/>
      <c r="P34" s="294"/>
      <c r="Q34" s="294"/>
      <c r="R34" s="294"/>
      <c r="S34" s="294"/>
    </row>
    <row r="35" spans="1:25" x14ac:dyDescent="0.2">
      <c r="B35" s="242" t="s">
        <v>222</v>
      </c>
      <c r="C35" s="280" t="s">
        <v>58</v>
      </c>
      <c r="D35" s="297">
        <f>SUM(H35:S35)</f>
        <v>0</v>
      </c>
      <c r="E35" s="298"/>
      <c r="M35" s="228">
        <f>M33-SUM(M$16:M$18)</f>
        <v>0</v>
      </c>
      <c r="N35" s="228">
        <f t="shared" ref="N35:S35" si="12">N33-SUM(N$16:N$18)</f>
        <v>0</v>
      </c>
      <c r="O35" s="228">
        <f t="shared" si="12"/>
        <v>0</v>
      </c>
      <c r="P35" s="228">
        <f t="shared" si="12"/>
        <v>0</v>
      </c>
      <c r="Q35" s="228">
        <f t="shared" si="12"/>
        <v>0</v>
      </c>
      <c r="R35" s="228">
        <f t="shared" si="12"/>
        <v>0</v>
      </c>
      <c r="S35" s="228">
        <f t="shared" si="12"/>
        <v>0</v>
      </c>
    </row>
    <row r="36" spans="1:25" x14ac:dyDescent="0.2">
      <c r="B36" s="338"/>
      <c r="C36" s="337"/>
      <c r="D36" s="243"/>
      <c r="E36" s="243"/>
      <c r="F36" s="243"/>
      <c r="G36" s="243"/>
      <c r="H36" s="243"/>
      <c r="I36" s="243"/>
      <c r="J36" s="243"/>
      <c r="K36" s="243"/>
      <c r="L36" s="243"/>
      <c r="M36" s="294"/>
      <c r="N36" s="294"/>
      <c r="O36" s="294"/>
      <c r="P36" s="294"/>
      <c r="Q36" s="294"/>
      <c r="R36" s="294"/>
      <c r="S36" s="294"/>
    </row>
    <row r="37" spans="1:25" x14ac:dyDescent="0.2">
      <c r="B37" s="283" t="s">
        <v>293</v>
      </c>
      <c r="C37" s="284" t="s">
        <v>51</v>
      </c>
      <c r="D37" s="285" t="s">
        <v>52</v>
      </c>
      <c r="E37" s="284" t="s">
        <v>53</v>
      </c>
      <c r="F37" s="242"/>
      <c r="G37" s="302"/>
      <c r="H37" s="302"/>
      <c r="I37" s="302"/>
      <c r="J37" s="302"/>
      <c r="K37" s="242"/>
      <c r="L37" s="242"/>
      <c r="M37" s="242"/>
      <c r="N37" s="242"/>
      <c r="O37" s="242"/>
      <c r="P37" s="242"/>
      <c r="Q37" s="242"/>
      <c r="R37" s="242"/>
      <c r="S37" s="242"/>
      <c r="T37" s="242"/>
      <c r="U37" s="229"/>
    </row>
    <row r="38" spans="1:25" x14ac:dyDescent="0.2">
      <c r="K38" s="289"/>
      <c r="L38" s="289"/>
      <c r="M38" s="289"/>
      <c r="N38" s="289"/>
      <c r="O38" s="289"/>
      <c r="P38" s="289"/>
      <c r="Q38" s="289"/>
      <c r="R38" s="289"/>
      <c r="S38" s="289"/>
      <c r="T38" s="242"/>
    </row>
    <row r="39" spans="1:25" x14ac:dyDescent="0.2">
      <c r="B39" s="329"/>
      <c r="K39" s="289"/>
      <c r="L39" s="289"/>
      <c r="M39" s="289"/>
      <c r="N39" s="289"/>
      <c r="O39" s="289"/>
      <c r="P39" s="289"/>
      <c r="Q39" s="289"/>
      <c r="R39" s="289"/>
      <c r="S39" s="289"/>
      <c r="T39" s="242"/>
    </row>
    <row r="40" spans="1:25" x14ac:dyDescent="0.2">
      <c r="K40" s="289"/>
      <c r="L40" s="289"/>
      <c r="M40" s="289"/>
      <c r="N40" s="289"/>
      <c r="O40" s="289"/>
      <c r="P40" s="289"/>
      <c r="Q40" s="289"/>
      <c r="R40" s="289"/>
      <c r="S40" s="289"/>
      <c r="T40" s="242"/>
    </row>
    <row r="41" spans="1:25" x14ac:dyDescent="0.2">
      <c r="B41" s="343">
        <v>0</v>
      </c>
      <c r="C41" s="280" t="s">
        <v>250</v>
      </c>
      <c r="H41" s="344"/>
      <c r="I41" s="232"/>
      <c r="M41" s="345">
        <f>M149+M253+M357</f>
        <v>2455027.6564975409</v>
      </c>
      <c r="N41" s="345">
        <f t="shared" ref="N41:S41" si="13">N149+N253+N357</f>
        <v>2404041.7280172459</v>
      </c>
      <c r="O41" s="345">
        <f t="shared" si="13"/>
        <v>4762803.1578215277</v>
      </c>
      <c r="P41" s="345">
        <f t="shared" si="13"/>
        <v>65420.588737839542</v>
      </c>
      <c r="Q41" s="345">
        <f t="shared" si="13"/>
        <v>3745184.9379667272</v>
      </c>
      <c r="R41" s="345">
        <f t="shared" si="13"/>
        <v>2039588.4012129444</v>
      </c>
      <c r="S41" s="345">
        <f t="shared" si="13"/>
        <v>1462116.5186206147</v>
      </c>
    </row>
    <row r="42" spans="1:25" x14ac:dyDescent="0.2">
      <c r="B42" s="343">
        <v>0.08</v>
      </c>
      <c r="C42" s="280" t="s">
        <v>250</v>
      </c>
      <c r="H42" s="344"/>
      <c r="I42" s="232"/>
      <c r="M42" s="345">
        <f t="shared" ref="M42:S42" si="14">M150+M254+M358</f>
        <v>53312665.357382774</v>
      </c>
      <c r="N42" s="345">
        <f t="shared" si="14"/>
        <v>71533046.197779715</v>
      </c>
      <c r="O42" s="345">
        <f t="shared" si="14"/>
        <v>68660491.846931398</v>
      </c>
      <c r="P42" s="345">
        <f t="shared" si="14"/>
        <v>67216786.004570618</v>
      </c>
      <c r="Q42" s="345">
        <f t="shared" si="14"/>
        <v>68823415.062805623</v>
      </c>
      <c r="R42" s="345">
        <f t="shared" si="14"/>
        <v>70246749.916973293</v>
      </c>
      <c r="S42" s="345">
        <f t="shared" si="14"/>
        <v>68062480.084749296</v>
      </c>
    </row>
    <row r="43" spans="1:25" s="12" customFormat="1" x14ac:dyDescent="0.2">
      <c r="A43" s="232"/>
      <c r="B43" s="346">
        <v>0.1</v>
      </c>
      <c r="C43" s="280" t="s">
        <v>250</v>
      </c>
      <c r="D43" s="232"/>
      <c r="E43" s="232"/>
      <c r="F43" s="232"/>
      <c r="G43" s="232"/>
      <c r="H43" s="344"/>
      <c r="I43" s="232"/>
      <c r="J43" s="232"/>
      <c r="K43" s="232"/>
      <c r="L43" s="232"/>
      <c r="M43" s="345">
        <f t="shared" ref="M43:S43" si="15">M151+M255+M359</f>
        <v>2135125.3565935167</v>
      </c>
      <c r="N43" s="345">
        <f t="shared" si="15"/>
        <v>2005265.4417258252</v>
      </c>
      <c r="O43" s="345">
        <f t="shared" si="15"/>
        <v>2503007.4768152591</v>
      </c>
      <c r="P43" s="345">
        <f t="shared" si="15"/>
        <v>2498036.9709816594</v>
      </c>
      <c r="Q43" s="345">
        <f t="shared" si="15"/>
        <v>3214278.7972830636</v>
      </c>
      <c r="R43" s="345">
        <f t="shared" si="15"/>
        <v>3023019.7778552053</v>
      </c>
      <c r="S43" s="345">
        <f t="shared" si="15"/>
        <v>2910975.7309174039</v>
      </c>
      <c r="T43" s="232"/>
      <c r="U43" s="232"/>
      <c r="V43" s="243"/>
      <c r="W43" s="243"/>
      <c r="X43" s="243"/>
      <c r="Y43" s="243"/>
    </row>
    <row r="44" spans="1:25" x14ac:dyDescent="0.2">
      <c r="B44" s="346">
        <v>0.13</v>
      </c>
      <c r="C44" s="280" t="s">
        <v>250</v>
      </c>
      <c r="H44" s="344"/>
      <c r="I44" s="232"/>
      <c r="M44" s="345">
        <f t="shared" ref="M44:S44" si="16">M152+M256+M360</f>
        <v>403418.07629322907</v>
      </c>
      <c r="N44" s="345">
        <f t="shared" si="16"/>
        <v>654195.69251841388</v>
      </c>
      <c r="O44" s="345">
        <f t="shared" si="16"/>
        <v>343497.19463446789</v>
      </c>
      <c r="P44" s="345">
        <f t="shared" si="16"/>
        <v>327102.94368919771</v>
      </c>
      <c r="Q44" s="345">
        <f t="shared" si="16"/>
        <v>327650.48843669292</v>
      </c>
      <c r="R44" s="345">
        <f t="shared" si="16"/>
        <v>352978.7245623073</v>
      </c>
      <c r="S44" s="345">
        <f t="shared" si="16"/>
        <v>374555.08959370939</v>
      </c>
    </row>
    <row r="45" spans="1:25" s="12" customFormat="1" x14ac:dyDescent="0.2">
      <c r="A45" s="232"/>
      <c r="B45" s="346">
        <v>0.2</v>
      </c>
      <c r="C45" s="280" t="s">
        <v>250</v>
      </c>
      <c r="D45" s="232"/>
      <c r="E45" s="232"/>
      <c r="F45" s="232"/>
      <c r="G45" s="232"/>
      <c r="H45" s="344"/>
      <c r="I45" s="232"/>
      <c r="J45" s="232"/>
      <c r="K45" s="232"/>
      <c r="L45" s="232"/>
      <c r="M45" s="345">
        <f t="shared" ref="M45:S45" si="17">M153+M257+M361</f>
        <v>322734.46103458328</v>
      </c>
      <c r="N45" s="345">
        <f t="shared" si="17"/>
        <v>523356.55401473108</v>
      </c>
      <c r="O45" s="345">
        <f t="shared" si="17"/>
        <v>274797.75570757431</v>
      </c>
      <c r="P45" s="345">
        <f t="shared" si="17"/>
        <v>261682.35495135817</v>
      </c>
      <c r="Q45" s="345">
        <f t="shared" si="17"/>
        <v>262120.39074935435</v>
      </c>
      <c r="R45" s="345">
        <f t="shared" si="17"/>
        <v>282382.97964984586</v>
      </c>
      <c r="S45" s="345">
        <f t="shared" si="17"/>
        <v>299643.56320556166</v>
      </c>
      <c r="T45" s="232"/>
      <c r="U45" s="232"/>
      <c r="V45" s="243"/>
      <c r="W45" s="243"/>
      <c r="X45" s="243"/>
      <c r="Y45" s="243"/>
    </row>
    <row r="46" spans="1:25" x14ac:dyDescent="0.2">
      <c r="B46" s="346">
        <v>0.5</v>
      </c>
      <c r="C46" s="280" t="s">
        <v>250</v>
      </c>
      <c r="H46" s="344"/>
      <c r="I46" s="232"/>
      <c r="M46" s="345">
        <f t="shared" ref="M46:S46" si="18">M154+M258+M362</f>
        <v>3027288.7930774377</v>
      </c>
      <c r="N46" s="345">
        <f t="shared" si="18"/>
        <v>3849603.2470598882</v>
      </c>
      <c r="O46" s="345">
        <f t="shared" si="18"/>
        <v>8479227.7688686773</v>
      </c>
      <c r="P46" s="345">
        <f t="shared" si="18"/>
        <v>2442286.2148207258</v>
      </c>
      <c r="Q46" s="345">
        <f t="shared" si="18"/>
        <v>2013284.2042281548</v>
      </c>
      <c r="R46" s="345">
        <f t="shared" si="18"/>
        <v>1954546.6808703814</v>
      </c>
      <c r="S46" s="345">
        <f t="shared" si="18"/>
        <v>2007116.075664253</v>
      </c>
    </row>
    <row r="47" spans="1:25" x14ac:dyDescent="0.2">
      <c r="B47" s="346">
        <v>1</v>
      </c>
      <c r="C47" s="280" t="s">
        <v>250</v>
      </c>
      <c r="H47" s="344"/>
      <c r="I47" s="232"/>
      <c r="M47" s="345">
        <f t="shared" ref="M47:S47" si="19">M155+M259+M363</f>
        <v>0</v>
      </c>
      <c r="N47" s="345">
        <f t="shared" si="19"/>
        <v>0</v>
      </c>
      <c r="O47" s="345">
        <f t="shared" si="19"/>
        <v>0</v>
      </c>
      <c r="P47" s="345">
        <f t="shared" si="19"/>
        <v>0</v>
      </c>
      <c r="Q47" s="345">
        <f t="shared" si="19"/>
        <v>0</v>
      </c>
      <c r="R47" s="345">
        <f t="shared" si="19"/>
        <v>0</v>
      </c>
      <c r="S47" s="345">
        <f t="shared" si="19"/>
        <v>0</v>
      </c>
    </row>
    <row r="48" spans="1:25" x14ac:dyDescent="0.2">
      <c r="B48" s="243" t="s">
        <v>49</v>
      </c>
      <c r="C48" s="337" t="s">
        <v>250</v>
      </c>
      <c r="D48" s="243"/>
      <c r="E48" s="243"/>
      <c r="F48" s="243"/>
      <c r="G48" s="243"/>
      <c r="I48" s="243"/>
      <c r="J48" s="243"/>
      <c r="K48" s="243"/>
      <c r="L48" s="243"/>
      <c r="M48" s="235">
        <f t="shared" ref="M48:S48" si="20">SUM(M41:M47)</f>
        <v>61656259.700879082</v>
      </c>
      <c r="N48" s="235">
        <f t="shared" si="20"/>
        <v>80969508.861115798</v>
      </c>
      <c r="O48" s="235">
        <f t="shared" si="20"/>
        <v>85023825.200778902</v>
      </c>
      <c r="P48" s="235">
        <f t="shared" si="20"/>
        <v>72811315.077751398</v>
      </c>
      <c r="Q48" s="235">
        <f t="shared" si="20"/>
        <v>78385933.881469622</v>
      </c>
      <c r="R48" s="235">
        <f t="shared" si="20"/>
        <v>77899266.481123969</v>
      </c>
      <c r="S48" s="235">
        <f t="shared" si="20"/>
        <v>75116887.062750831</v>
      </c>
    </row>
    <row r="49" spans="2:20" x14ac:dyDescent="0.2">
      <c r="M49" s="229"/>
      <c r="N49" s="229"/>
      <c r="O49" s="229"/>
      <c r="P49" s="229"/>
      <c r="Q49" s="229"/>
      <c r="R49" s="229"/>
      <c r="S49" s="229"/>
    </row>
    <row r="50" spans="2:20" x14ac:dyDescent="0.2">
      <c r="B50" s="242" t="s">
        <v>224</v>
      </c>
      <c r="C50" s="280" t="s">
        <v>58</v>
      </c>
      <c r="D50" s="297">
        <f>SUM(H50:S50)</f>
        <v>0</v>
      </c>
      <c r="E50" s="298"/>
      <c r="H50" s="229"/>
      <c r="I50" s="230"/>
      <c r="J50" s="229"/>
      <c r="K50" s="229"/>
      <c r="L50" s="229"/>
      <c r="M50" s="228">
        <f>M48-(SUM(M16:M17,M19:M20))</f>
        <v>0</v>
      </c>
      <c r="N50" s="228">
        <f t="shared" ref="N50:S50" si="21">N48-(SUM(N16:N17,N19:N20))</f>
        <v>0</v>
      </c>
      <c r="O50" s="228">
        <f t="shared" si="21"/>
        <v>0</v>
      </c>
      <c r="P50" s="228">
        <f t="shared" si="21"/>
        <v>0</v>
      </c>
      <c r="Q50" s="228">
        <f t="shared" si="21"/>
        <v>0</v>
      </c>
      <c r="R50" s="228">
        <f t="shared" si="21"/>
        <v>0</v>
      </c>
      <c r="S50" s="228">
        <f t="shared" si="21"/>
        <v>0</v>
      </c>
    </row>
    <row r="51" spans="2:20" x14ac:dyDescent="0.2">
      <c r="B51" s="338"/>
      <c r="C51" s="337"/>
      <c r="D51" s="243"/>
      <c r="E51" s="243"/>
      <c r="F51" s="243"/>
      <c r="G51" s="243"/>
      <c r="I51" s="243"/>
      <c r="J51" s="243"/>
      <c r="K51" s="243"/>
      <c r="L51" s="243"/>
      <c r="M51" s="294"/>
      <c r="N51" s="294"/>
      <c r="O51" s="294"/>
      <c r="P51" s="294"/>
      <c r="Q51" s="294"/>
      <c r="R51" s="294"/>
      <c r="S51" s="294"/>
    </row>
    <row r="52" spans="2:20" x14ac:dyDescent="0.2">
      <c r="B52" s="283" t="s">
        <v>448</v>
      </c>
      <c r="C52" s="284" t="s">
        <v>51</v>
      </c>
      <c r="D52" s="285" t="s">
        <v>52</v>
      </c>
      <c r="E52" s="284" t="s">
        <v>53</v>
      </c>
    </row>
    <row r="54" spans="2:20" x14ac:dyDescent="0.2">
      <c r="B54" s="287" t="s">
        <v>266</v>
      </c>
    </row>
    <row r="55" spans="2:20" x14ac:dyDescent="0.2">
      <c r="B55" s="287"/>
    </row>
    <row r="56" spans="2:20" x14ac:dyDescent="0.2">
      <c r="B56" s="229" t="s">
        <v>95</v>
      </c>
      <c r="C56" s="280" t="s">
        <v>250</v>
      </c>
      <c r="M56" s="345">
        <f>M162+M266+M370</f>
        <v>4633872.3102142699</v>
      </c>
      <c r="N56" s="345">
        <f t="shared" ref="N56:S56" si="22">N162+N266+N370</f>
        <v>3748590.3008927819</v>
      </c>
      <c r="O56" s="345">
        <f t="shared" si="22"/>
        <v>3142201.2112447293</v>
      </c>
      <c r="P56" s="345">
        <f t="shared" si="22"/>
        <v>3031393.6948039671</v>
      </c>
      <c r="Q56" s="345">
        <f t="shared" si="22"/>
        <v>4129947.7811113521</v>
      </c>
      <c r="R56" s="345">
        <f t="shared" si="22"/>
        <v>5039022.6399233397</v>
      </c>
      <c r="S56" s="345">
        <f t="shared" si="22"/>
        <v>6139352.2789851716</v>
      </c>
    </row>
    <row r="57" spans="2:20" x14ac:dyDescent="0.2">
      <c r="B57" s="232" t="s">
        <v>77</v>
      </c>
      <c r="C57" s="280" t="s">
        <v>250</v>
      </c>
      <c r="M57" s="345">
        <f t="shared" ref="M57:S57" si="23">M163+M267+M371</f>
        <v>3626495.9399787439</v>
      </c>
      <c r="N57" s="345">
        <f t="shared" si="23"/>
        <v>7572218.9433998242</v>
      </c>
      <c r="O57" s="345">
        <f t="shared" si="23"/>
        <v>3149518.7928277878</v>
      </c>
      <c r="P57" s="345">
        <f t="shared" si="23"/>
        <v>2399978.782722726</v>
      </c>
      <c r="Q57" s="345">
        <f t="shared" si="23"/>
        <v>6850760.9156244015</v>
      </c>
      <c r="R57" s="345">
        <f t="shared" si="23"/>
        <v>3293388.1894424241</v>
      </c>
      <c r="S57" s="345">
        <f t="shared" si="23"/>
        <v>3492959.3870543083</v>
      </c>
    </row>
    <row r="58" spans="2:20" x14ac:dyDescent="0.2">
      <c r="B58" s="232" t="s">
        <v>100</v>
      </c>
      <c r="C58" s="280" t="s">
        <v>250</v>
      </c>
      <c r="M58" s="345">
        <f t="shared" ref="M58:S58" si="24">M164+M268+M372</f>
        <v>42291308.929912925</v>
      </c>
      <c r="N58" s="345">
        <f t="shared" si="24"/>
        <v>54632331.366999231</v>
      </c>
      <c r="O58" s="345">
        <f t="shared" si="24"/>
        <v>62068382.068652272</v>
      </c>
      <c r="P58" s="345">
        <f t="shared" si="24"/>
        <v>57714015.797219716</v>
      </c>
      <c r="Q58" s="345">
        <f t="shared" si="24"/>
        <v>57284594.910512418</v>
      </c>
      <c r="R58" s="345">
        <f t="shared" si="24"/>
        <v>57318566.256977022</v>
      </c>
      <c r="S58" s="345">
        <f t="shared" si="24"/>
        <v>52052195.82475473</v>
      </c>
    </row>
    <row r="59" spans="2:20" x14ac:dyDescent="0.2">
      <c r="B59" s="232" t="s">
        <v>93</v>
      </c>
      <c r="C59" s="280" t="s">
        <v>250</v>
      </c>
      <c r="M59" s="345">
        <f t="shared" ref="M59:S59" si="25">M165+M269+M373</f>
        <v>770309.28949749272</v>
      </c>
      <c r="N59" s="345">
        <f t="shared" si="25"/>
        <v>792486.68308325601</v>
      </c>
      <c r="O59" s="345">
        <f t="shared" si="25"/>
        <v>811069.02118802164</v>
      </c>
      <c r="P59" s="345">
        <f t="shared" si="25"/>
        <v>783149.08353728254</v>
      </c>
      <c r="Q59" s="345">
        <f t="shared" si="25"/>
        <v>773658.65305081394</v>
      </c>
      <c r="R59" s="345">
        <f t="shared" si="25"/>
        <v>819729.04679663049</v>
      </c>
      <c r="S59" s="345">
        <f t="shared" si="25"/>
        <v>849645.96004623349</v>
      </c>
    </row>
    <row r="60" spans="2:20" x14ac:dyDescent="0.2">
      <c r="C60" s="280"/>
      <c r="M60" s="229"/>
      <c r="N60" s="229"/>
      <c r="O60" s="229"/>
      <c r="P60" s="229"/>
      <c r="Q60" s="229"/>
      <c r="R60" s="229"/>
      <c r="S60" s="229"/>
    </row>
    <row r="61" spans="2:20" x14ac:dyDescent="0.2">
      <c r="B61" s="243" t="s">
        <v>270</v>
      </c>
      <c r="C61" s="280"/>
      <c r="M61" s="229"/>
      <c r="N61" s="229"/>
      <c r="O61" s="229"/>
      <c r="P61" s="229"/>
      <c r="Q61" s="229"/>
      <c r="R61" s="229"/>
      <c r="S61" s="229"/>
    </row>
    <row r="62" spans="2:20" x14ac:dyDescent="0.2">
      <c r="B62" s="229" t="s">
        <v>97</v>
      </c>
      <c r="C62" s="280" t="s">
        <v>250</v>
      </c>
      <c r="M62" s="345">
        <f t="shared" ref="M62:S62" si="26">M168+M272+M376</f>
        <v>1061749.6816488639</v>
      </c>
      <c r="N62" s="345">
        <f t="shared" si="26"/>
        <v>245534.82592797495</v>
      </c>
      <c r="O62" s="345">
        <f t="shared" si="26"/>
        <v>487865.31268445903</v>
      </c>
      <c r="P62" s="345">
        <f t="shared" si="26"/>
        <v>468984.29857260309</v>
      </c>
      <c r="Q62" s="345">
        <f t="shared" si="26"/>
        <v>227957.71529116973</v>
      </c>
      <c r="R62" s="345">
        <f t="shared" si="26"/>
        <v>962605.51419546211</v>
      </c>
      <c r="S62" s="345">
        <f t="shared" si="26"/>
        <v>746267.2134033005</v>
      </c>
    </row>
    <row r="63" spans="2:20" x14ac:dyDescent="0.2">
      <c r="B63" s="232" t="s">
        <v>121</v>
      </c>
      <c r="C63" s="280" t="s">
        <v>250</v>
      </c>
      <c r="M63" s="345">
        <f t="shared" ref="M63:S63" si="27">M169+M273+M377</f>
        <v>0</v>
      </c>
      <c r="N63" s="345">
        <f t="shared" si="27"/>
        <v>0</v>
      </c>
      <c r="O63" s="345">
        <f t="shared" si="27"/>
        <v>0</v>
      </c>
      <c r="P63" s="345">
        <f t="shared" si="27"/>
        <v>0</v>
      </c>
      <c r="Q63" s="345">
        <f t="shared" si="27"/>
        <v>0</v>
      </c>
      <c r="R63" s="345">
        <f t="shared" si="27"/>
        <v>0</v>
      </c>
      <c r="S63" s="345">
        <f t="shared" si="27"/>
        <v>0</v>
      </c>
      <c r="T63" s="229"/>
    </row>
    <row r="64" spans="2:20" x14ac:dyDescent="0.2">
      <c r="B64" s="232" t="s">
        <v>122</v>
      </c>
      <c r="C64" s="280" t="s">
        <v>250</v>
      </c>
      <c r="M64" s="345">
        <f t="shared" ref="M64:S64" si="28">M170+M274+M378</f>
        <v>0</v>
      </c>
      <c r="N64" s="345">
        <f t="shared" si="28"/>
        <v>0</v>
      </c>
      <c r="O64" s="345">
        <f t="shared" si="28"/>
        <v>0</v>
      </c>
      <c r="P64" s="345">
        <f t="shared" si="28"/>
        <v>0</v>
      </c>
      <c r="Q64" s="345">
        <f t="shared" si="28"/>
        <v>0</v>
      </c>
      <c r="R64" s="345">
        <f t="shared" si="28"/>
        <v>0</v>
      </c>
      <c r="S64" s="345">
        <f t="shared" si="28"/>
        <v>0</v>
      </c>
    </row>
    <row r="65" spans="1:21" x14ac:dyDescent="0.2">
      <c r="A65" s="243"/>
      <c r="B65" s="243" t="s">
        <v>272</v>
      </c>
      <c r="C65" s="337" t="s">
        <v>250</v>
      </c>
      <c r="D65" s="243"/>
      <c r="E65" s="243"/>
      <c r="F65" s="243"/>
      <c r="G65" s="243"/>
      <c r="H65" s="243"/>
      <c r="I65" s="335"/>
      <c r="J65" s="243"/>
      <c r="K65" s="243"/>
      <c r="M65" s="233">
        <f>SUM(M62:M64)</f>
        <v>1061749.6816488639</v>
      </c>
      <c r="N65" s="233">
        <f t="shared" ref="N65:S65" si="29">SUM(N62:N64)</f>
        <v>245534.82592797495</v>
      </c>
      <c r="O65" s="233">
        <f t="shared" si="29"/>
        <v>487865.31268445903</v>
      </c>
      <c r="P65" s="233">
        <f t="shared" si="29"/>
        <v>468984.29857260309</v>
      </c>
      <c r="Q65" s="233">
        <f t="shared" si="29"/>
        <v>227957.71529116973</v>
      </c>
      <c r="R65" s="233">
        <f t="shared" si="29"/>
        <v>962605.51419546211</v>
      </c>
      <c r="S65" s="233">
        <f t="shared" si="29"/>
        <v>746267.2134033005</v>
      </c>
      <c r="T65" s="243"/>
      <c r="U65" s="243"/>
    </row>
    <row r="66" spans="1:21" x14ac:dyDescent="0.2">
      <c r="C66" s="337"/>
      <c r="M66" s="229"/>
      <c r="N66" s="229"/>
      <c r="O66" s="229"/>
      <c r="P66" s="229"/>
      <c r="Q66" s="229"/>
      <c r="R66" s="229"/>
      <c r="S66" s="229"/>
    </row>
    <row r="67" spans="1:21" x14ac:dyDescent="0.2">
      <c r="A67" s="243"/>
      <c r="B67" s="243" t="s">
        <v>295</v>
      </c>
      <c r="C67" s="337" t="s">
        <v>250</v>
      </c>
      <c r="D67" s="243"/>
      <c r="E67" s="243"/>
      <c r="F67" s="243"/>
      <c r="G67" s="243"/>
      <c r="H67" s="243"/>
      <c r="I67" s="335"/>
      <c r="J67" s="243"/>
      <c r="K67" s="243"/>
      <c r="M67" s="235">
        <f>SUM(M56:M59,M65)</f>
        <v>52383736.1512523</v>
      </c>
      <c r="N67" s="235">
        <f t="shared" ref="N67:S67" si="30">SUM(N56:N59,N65)</f>
        <v>66991162.120303072</v>
      </c>
      <c r="O67" s="235">
        <f t="shared" si="30"/>
        <v>69659036.406597272</v>
      </c>
      <c r="P67" s="235">
        <f t="shared" si="30"/>
        <v>64397521.656856291</v>
      </c>
      <c r="Q67" s="235">
        <f t="shared" si="30"/>
        <v>69266919.975590155</v>
      </c>
      <c r="R67" s="235">
        <f t="shared" si="30"/>
        <v>67433311.647334874</v>
      </c>
      <c r="S67" s="235">
        <f t="shared" si="30"/>
        <v>63280420.664243743</v>
      </c>
      <c r="T67" s="243"/>
      <c r="U67" s="243"/>
    </row>
    <row r="68" spans="1:21" x14ac:dyDescent="0.2">
      <c r="C68" s="280"/>
      <c r="M68" s="229"/>
      <c r="N68" s="229"/>
      <c r="O68" s="229"/>
      <c r="P68" s="229"/>
      <c r="Q68" s="229"/>
      <c r="R68" s="229"/>
      <c r="S68" s="229"/>
    </row>
    <row r="69" spans="1:21" x14ac:dyDescent="0.2">
      <c r="B69" s="232" t="s">
        <v>274</v>
      </c>
      <c r="C69" s="280" t="s">
        <v>250</v>
      </c>
      <c r="M69" s="345">
        <f t="shared" ref="M69:S69" si="31">M175+M279+M383</f>
        <v>8309232.051727837</v>
      </c>
      <c r="N69" s="345">
        <f t="shared" si="31"/>
        <v>4604823.0016299654</v>
      </c>
      <c r="O69" s="345">
        <f t="shared" si="31"/>
        <v>9015299.1464892402</v>
      </c>
      <c r="P69" s="345">
        <f t="shared" si="31"/>
        <v>3122829.4104769421</v>
      </c>
      <c r="Q69" s="345">
        <f t="shared" si="31"/>
        <v>2919899.6186841857</v>
      </c>
      <c r="R69" s="345">
        <f t="shared" si="31"/>
        <v>2504828.855040811</v>
      </c>
      <c r="S69" s="345">
        <f t="shared" si="31"/>
        <v>2387358.8946668571</v>
      </c>
    </row>
    <row r="70" spans="1:21" x14ac:dyDescent="0.2">
      <c r="A70" s="243"/>
      <c r="B70" s="243" t="s">
        <v>296</v>
      </c>
      <c r="C70" s="337" t="s">
        <v>250</v>
      </c>
      <c r="D70" s="243"/>
      <c r="E70" s="243"/>
      <c r="F70" s="243"/>
      <c r="G70" s="243"/>
      <c r="H70" s="243"/>
      <c r="I70" s="335"/>
      <c r="J70" s="243"/>
      <c r="K70" s="243"/>
      <c r="M70" s="235">
        <f>M67+M69</f>
        <v>60692968.202980138</v>
      </c>
      <c r="N70" s="235">
        <f t="shared" ref="N70:S70" si="32">N67+N69</f>
        <v>71595985.121933043</v>
      </c>
      <c r="O70" s="235">
        <f t="shared" si="32"/>
        <v>78674335.553086519</v>
      </c>
      <c r="P70" s="235">
        <f t="shared" si="32"/>
        <v>67520351.067333236</v>
      </c>
      <c r="Q70" s="235">
        <f t="shared" si="32"/>
        <v>72186819.594274342</v>
      </c>
      <c r="R70" s="235">
        <f t="shared" si="32"/>
        <v>69938140.502375692</v>
      </c>
      <c r="S70" s="235">
        <f t="shared" si="32"/>
        <v>65667779.558910601</v>
      </c>
      <c r="T70" s="243"/>
      <c r="U70" s="243"/>
    </row>
    <row r="71" spans="1:21" x14ac:dyDescent="0.2">
      <c r="A71" s="243"/>
      <c r="B71" s="243"/>
      <c r="C71" s="337"/>
      <c r="D71" s="243"/>
      <c r="E71" s="243"/>
      <c r="F71" s="243"/>
      <c r="G71" s="243"/>
      <c r="H71" s="243"/>
      <c r="I71" s="335"/>
      <c r="J71" s="243"/>
      <c r="K71" s="243"/>
      <c r="M71" s="294"/>
      <c r="N71" s="294"/>
      <c r="O71" s="294"/>
      <c r="P71" s="294"/>
      <c r="Q71" s="294"/>
      <c r="R71" s="294"/>
      <c r="S71" s="294"/>
      <c r="T71" s="243"/>
      <c r="U71" s="243"/>
    </row>
    <row r="72" spans="1:21" x14ac:dyDescent="0.2">
      <c r="B72" s="242" t="s">
        <v>226</v>
      </c>
      <c r="C72" s="280" t="s">
        <v>58</v>
      </c>
      <c r="D72" s="297">
        <f>SUM(H72:S72)</f>
        <v>0</v>
      </c>
      <c r="E72" s="298"/>
      <c r="M72" s="228">
        <f>M70-SUM(M$16:M$18)</f>
        <v>0</v>
      </c>
      <c r="N72" s="228">
        <f t="shared" ref="N72:S72" si="33">N70-SUM(N$16:N$18)</f>
        <v>0</v>
      </c>
      <c r="O72" s="228">
        <f t="shared" si="33"/>
        <v>0</v>
      </c>
      <c r="P72" s="228">
        <f t="shared" si="33"/>
        <v>0</v>
      </c>
      <c r="Q72" s="228">
        <f t="shared" si="33"/>
        <v>0</v>
      </c>
      <c r="R72" s="228">
        <f t="shared" si="33"/>
        <v>0</v>
      </c>
      <c r="S72" s="228">
        <f t="shared" si="33"/>
        <v>0</v>
      </c>
    </row>
    <row r="73" spans="1:21" x14ac:dyDescent="0.2">
      <c r="B73" s="229"/>
    </row>
    <row r="74" spans="1:21" x14ac:dyDescent="0.2">
      <c r="B74" s="304" t="s">
        <v>297</v>
      </c>
      <c r="C74" s="229"/>
    </row>
    <row r="75" spans="1:21" x14ac:dyDescent="0.2">
      <c r="B75" s="304"/>
      <c r="C75" s="229"/>
    </row>
    <row r="76" spans="1:21" x14ac:dyDescent="0.2">
      <c r="B76" s="229" t="s">
        <v>95</v>
      </c>
      <c r="C76" s="280" t="s">
        <v>250</v>
      </c>
      <c r="M76" s="345">
        <f>M182+M286+M390</f>
        <v>5640497.9085288858</v>
      </c>
      <c r="N76" s="345">
        <f t="shared" ref="N76:S76" si="34">N182+N286+N390</f>
        <v>7857880.5367415864</v>
      </c>
      <c r="O76" s="345">
        <f t="shared" si="34"/>
        <v>5425778.0768472739</v>
      </c>
      <c r="P76" s="345">
        <f t="shared" si="34"/>
        <v>4416971.8536878359</v>
      </c>
      <c r="Q76" s="345">
        <f t="shared" si="34"/>
        <v>5637950.494353543</v>
      </c>
      <c r="R76" s="345">
        <f t="shared" si="34"/>
        <v>6964517.7082971837</v>
      </c>
      <c r="S76" s="345">
        <f t="shared" si="34"/>
        <v>8300388.36812142</v>
      </c>
    </row>
    <row r="77" spans="1:21" x14ac:dyDescent="0.2">
      <c r="B77" s="229" t="s">
        <v>77</v>
      </c>
      <c r="C77" s="280" t="s">
        <v>250</v>
      </c>
      <c r="M77" s="345">
        <f t="shared" ref="M77:S77" si="35">M183+M287+M391</f>
        <v>0</v>
      </c>
      <c r="N77" s="345">
        <f t="shared" si="35"/>
        <v>0</v>
      </c>
      <c r="O77" s="345">
        <f t="shared" si="35"/>
        <v>0</v>
      </c>
      <c r="P77" s="345">
        <f t="shared" si="35"/>
        <v>0</v>
      </c>
      <c r="Q77" s="345">
        <f t="shared" si="35"/>
        <v>0</v>
      </c>
      <c r="R77" s="345">
        <f t="shared" si="35"/>
        <v>0</v>
      </c>
      <c r="S77" s="345">
        <f t="shared" si="35"/>
        <v>0</v>
      </c>
    </row>
    <row r="78" spans="1:21" x14ac:dyDescent="0.2">
      <c r="B78" s="229" t="s">
        <v>100</v>
      </c>
      <c r="C78" s="280" t="s">
        <v>250</v>
      </c>
      <c r="M78" s="345">
        <f t="shared" ref="M78:S78" si="36">M184+M288+M392</f>
        <v>0</v>
      </c>
      <c r="N78" s="345">
        <f t="shared" si="36"/>
        <v>0</v>
      </c>
      <c r="O78" s="345">
        <f t="shared" si="36"/>
        <v>0</v>
      </c>
      <c r="P78" s="345">
        <f t="shared" si="36"/>
        <v>0</v>
      </c>
      <c r="Q78" s="345">
        <f t="shared" si="36"/>
        <v>0</v>
      </c>
      <c r="R78" s="345">
        <f t="shared" si="36"/>
        <v>0</v>
      </c>
      <c r="S78" s="345">
        <f t="shared" si="36"/>
        <v>0</v>
      </c>
    </row>
    <row r="79" spans="1:21" x14ac:dyDescent="0.2">
      <c r="B79" s="229" t="s">
        <v>93</v>
      </c>
      <c r="C79" s="280" t="s">
        <v>250</v>
      </c>
      <c r="M79" s="345">
        <f t="shared" ref="M79:S79" si="37">M185+M289+M393</f>
        <v>244120.63295704176</v>
      </c>
      <c r="N79" s="345">
        <f t="shared" si="37"/>
        <v>1661228.6707202175</v>
      </c>
      <c r="O79" s="345">
        <f t="shared" si="37"/>
        <v>1400508.8210849138</v>
      </c>
      <c r="P79" s="345">
        <f t="shared" si="37"/>
        <v>1141107.9547849016</v>
      </c>
      <c r="Q79" s="345">
        <f t="shared" si="37"/>
        <v>1056151.1710579004</v>
      </c>
      <c r="R79" s="345">
        <f t="shared" si="37"/>
        <v>1132961.2645891097</v>
      </c>
      <c r="S79" s="345">
        <f t="shared" si="37"/>
        <v>1148719.1357188032</v>
      </c>
    </row>
    <row r="80" spans="1:21" x14ac:dyDescent="0.2">
      <c r="B80" s="229"/>
      <c r="C80" s="280"/>
      <c r="M80" s="229"/>
      <c r="N80" s="229"/>
      <c r="O80" s="229"/>
      <c r="P80" s="229"/>
      <c r="Q80" s="229"/>
      <c r="R80" s="229"/>
      <c r="S80" s="229"/>
    </row>
    <row r="81" spans="1:21" x14ac:dyDescent="0.2">
      <c r="B81" s="288" t="s">
        <v>270</v>
      </c>
      <c r="C81" s="280"/>
      <c r="M81" s="229"/>
      <c r="N81" s="229"/>
      <c r="O81" s="229"/>
      <c r="P81" s="229"/>
      <c r="Q81" s="229"/>
      <c r="R81" s="229"/>
      <c r="S81" s="229"/>
    </row>
    <row r="82" spans="1:21" x14ac:dyDescent="0.2">
      <c r="B82" s="229" t="s">
        <v>97</v>
      </c>
      <c r="C82" s="280" t="s">
        <v>250</v>
      </c>
      <c r="M82" s="345">
        <f t="shared" ref="M82:S82" si="38">M188+M292+M396</f>
        <v>0</v>
      </c>
      <c r="N82" s="345">
        <f t="shared" si="38"/>
        <v>0</v>
      </c>
      <c r="O82" s="345">
        <f t="shared" si="38"/>
        <v>0</v>
      </c>
      <c r="P82" s="345">
        <f t="shared" si="38"/>
        <v>0</v>
      </c>
      <c r="Q82" s="345">
        <f t="shared" si="38"/>
        <v>0</v>
      </c>
      <c r="R82" s="345">
        <f t="shared" si="38"/>
        <v>0</v>
      </c>
      <c r="S82" s="345">
        <f t="shared" si="38"/>
        <v>0</v>
      </c>
    </row>
    <row r="83" spans="1:21" x14ac:dyDescent="0.2">
      <c r="B83" s="229" t="s">
        <v>121</v>
      </c>
      <c r="C83" s="280" t="s">
        <v>250</v>
      </c>
      <c r="M83" s="345">
        <f t="shared" ref="M83:S83" si="39">M189+M293+M397</f>
        <v>0</v>
      </c>
      <c r="N83" s="345">
        <f t="shared" si="39"/>
        <v>0</v>
      </c>
      <c r="O83" s="345">
        <f t="shared" si="39"/>
        <v>0</v>
      </c>
      <c r="P83" s="345">
        <f t="shared" si="39"/>
        <v>0</v>
      </c>
      <c r="Q83" s="345">
        <f t="shared" si="39"/>
        <v>0</v>
      </c>
      <c r="R83" s="345">
        <f t="shared" si="39"/>
        <v>0</v>
      </c>
      <c r="S83" s="345">
        <f t="shared" si="39"/>
        <v>0</v>
      </c>
      <c r="T83" s="229"/>
    </row>
    <row r="84" spans="1:21" x14ac:dyDescent="0.2">
      <c r="B84" s="229" t="s">
        <v>122</v>
      </c>
      <c r="C84" s="280" t="s">
        <v>250</v>
      </c>
      <c r="M84" s="345">
        <f t="shared" ref="M84:S84" si="40">M190+M294+M398</f>
        <v>0</v>
      </c>
      <c r="N84" s="345">
        <f t="shared" si="40"/>
        <v>0</v>
      </c>
      <c r="O84" s="345">
        <f t="shared" si="40"/>
        <v>0</v>
      </c>
      <c r="P84" s="345">
        <f t="shared" si="40"/>
        <v>0</v>
      </c>
      <c r="Q84" s="345">
        <f t="shared" si="40"/>
        <v>0</v>
      </c>
      <c r="R84" s="345">
        <f t="shared" si="40"/>
        <v>0</v>
      </c>
      <c r="S84" s="345">
        <f t="shared" si="40"/>
        <v>0</v>
      </c>
    </row>
    <row r="85" spans="1:21" x14ac:dyDescent="0.2">
      <c r="A85" s="243"/>
      <c r="B85" s="288" t="s">
        <v>272</v>
      </c>
      <c r="C85" s="337" t="s">
        <v>250</v>
      </c>
      <c r="D85" s="243"/>
      <c r="E85" s="243"/>
      <c r="F85" s="243"/>
      <c r="G85" s="243"/>
      <c r="H85" s="243"/>
      <c r="I85" s="335"/>
      <c r="J85" s="243"/>
      <c r="K85" s="243"/>
      <c r="M85" s="233">
        <f>SUM(M82:M84)</f>
        <v>0</v>
      </c>
      <c r="N85" s="233">
        <f t="shared" ref="N85:S85" si="41">SUM(N82:N84)</f>
        <v>0</v>
      </c>
      <c r="O85" s="233">
        <f t="shared" si="41"/>
        <v>0</v>
      </c>
      <c r="P85" s="233">
        <f t="shared" si="41"/>
        <v>0</v>
      </c>
      <c r="Q85" s="233">
        <f t="shared" si="41"/>
        <v>0</v>
      </c>
      <c r="R85" s="233">
        <f t="shared" si="41"/>
        <v>0</v>
      </c>
      <c r="S85" s="233">
        <f t="shared" si="41"/>
        <v>0</v>
      </c>
      <c r="T85" s="243"/>
      <c r="U85" s="243"/>
    </row>
    <row r="86" spans="1:21" x14ac:dyDescent="0.2">
      <c r="B86" s="229"/>
      <c r="C86" s="337"/>
      <c r="M86" s="229"/>
      <c r="N86" s="229"/>
      <c r="O86" s="229"/>
      <c r="P86" s="229"/>
      <c r="Q86" s="229"/>
      <c r="R86" s="229"/>
      <c r="S86" s="229"/>
    </row>
    <row r="87" spans="1:21" x14ac:dyDescent="0.2">
      <c r="A87" s="243"/>
      <c r="B87" s="288" t="s">
        <v>295</v>
      </c>
      <c r="C87" s="337" t="s">
        <v>250</v>
      </c>
      <c r="D87" s="243"/>
      <c r="E87" s="243"/>
      <c r="F87" s="243"/>
      <c r="G87" s="243"/>
      <c r="H87" s="243"/>
      <c r="I87" s="335"/>
      <c r="J87" s="243"/>
      <c r="K87" s="243"/>
      <c r="M87" s="235">
        <f>SUM(M76:M79,M85)</f>
        <v>5884618.541485928</v>
      </c>
      <c r="N87" s="235">
        <f t="shared" ref="N87:S87" si="42">SUM(N76:N79,N85)</f>
        <v>9519109.2074618042</v>
      </c>
      <c r="O87" s="235">
        <f t="shared" si="42"/>
        <v>6826286.8979321877</v>
      </c>
      <c r="P87" s="235">
        <f t="shared" si="42"/>
        <v>5558079.8084727377</v>
      </c>
      <c r="Q87" s="235">
        <f t="shared" si="42"/>
        <v>6694101.6654114434</v>
      </c>
      <c r="R87" s="235">
        <f t="shared" si="42"/>
        <v>8097478.9728862932</v>
      </c>
      <c r="S87" s="235">
        <f t="shared" si="42"/>
        <v>9449107.503840223</v>
      </c>
      <c r="T87" s="243"/>
      <c r="U87" s="243"/>
    </row>
    <row r="88" spans="1:21" x14ac:dyDescent="0.2">
      <c r="B88" s="229"/>
      <c r="C88" s="280"/>
      <c r="M88" s="229"/>
      <c r="N88" s="229"/>
      <c r="O88" s="229"/>
      <c r="P88" s="229"/>
      <c r="Q88" s="229"/>
      <c r="R88" s="229"/>
      <c r="S88" s="229"/>
    </row>
    <row r="89" spans="1:21" x14ac:dyDescent="0.2">
      <c r="B89" s="229" t="s">
        <v>274</v>
      </c>
      <c r="C89" s="280" t="s">
        <v>250</v>
      </c>
      <c r="M89" s="345">
        <f t="shared" ref="M89:S89" si="43">M195+M299+M403</f>
        <v>0</v>
      </c>
      <c r="N89" s="345">
        <f t="shared" si="43"/>
        <v>0</v>
      </c>
      <c r="O89" s="345">
        <f t="shared" si="43"/>
        <v>0</v>
      </c>
      <c r="P89" s="345">
        <f t="shared" si="43"/>
        <v>0</v>
      </c>
      <c r="Q89" s="345">
        <f t="shared" si="43"/>
        <v>0</v>
      </c>
      <c r="R89" s="345">
        <f t="shared" si="43"/>
        <v>0</v>
      </c>
      <c r="S89" s="345">
        <f t="shared" si="43"/>
        <v>0</v>
      </c>
    </row>
    <row r="90" spans="1:21" x14ac:dyDescent="0.2">
      <c r="A90" s="243"/>
      <c r="B90" s="288" t="s">
        <v>296</v>
      </c>
      <c r="C90" s="337" t="s">
        <v>250</v>
      </c>
      <c r="D90" s="243"/>
      <c r="E90" s="243"/>
      <c r="F90" s="243"/>
      <c r="G90" s="243"/>
      <c r="H90" s="243"/>
      <c r="I90" s="335"/>
      <c r="J90" s="243"/>
      <c r="K90" s="243"/>
      <c r="M90" s="235">
        <f>M87+M89</f>
        <v>5884618.541485928</v>
      </c>
      <c r="N90" s="235">
        <f t="shared" ref="N90:S90" si="44">N87+N89</f>
        <v>9519109.2074618042</v>
      </c>
      <c r="O90" s="235">
        <f t="shared" si="44"/>
        <v>6826286.8979321877</v>
      </c>
      <c r="P90" s="235">
        <f t="shared" si="44"/>
        <v>5558079.8084727377</v>
      </c>
      <c r="Q90" s="235">
        <f t="shared" si="44"/>
        <v>6694101.6654114434</v>
      </c>
      <c r="R90" s="235">
        <f t="shared" si="44"/>
        <v>8097478.9728862932</v>
      </c>
      <c r="S90" s="235">
        <f t="shared" si="44"/>
        <v>9449107.503840223</v>
      </c>
      <c r="T90" s="243"/>
      <c r="U90" s="243"/>
    </row>
    <row r="91" spans="1:21" x14ac:dyDescent="0.2">
      <c r="A91" s="243"/>
      <c r="B91" s="288"/>
      <c r="C91" s="337"/>
      <c r="D91" s="243"/>
      <c r="E91" s="243"/>
      <c r="F91" s="243"/>
      <c r="G91" s="243"/>
      <c r="H91" s="243"/>
      <c r="I91" s="335"/>
      <c r="J91" s="243"/>
      <c r="K91" s="243"/>
      <c r="M91" s="294"/>
      <c r="N91" s="294"/>
      <c r="O91" s="294"/>
      <c r="P91" s="294"/>
      <c r="Q91" s="294"/>
      <c r="R91" s="294"/>
      <c r="S91" s="294"/>
      <c r="T91" s="243"/>
      <c r="U91" s="243"/>
    </row>
    <row r="92" spans="1:21" x14ac:dyDescent="0.2">
      <c r="B92" s="242" t="s">
        <v>227</v>
      </c>
      <c r="C92" s="280" t="s">
        <v>58</v>
      </c>
      <c r="D92" s="297">
        <f>SUM(H92:S92)</f>
        <v>0</v>
      </c>
      <c r="E92" s="298"/>
      <c r="M92" s="228">
        <f>M90-SUM(M$19:M$20)</f>
        <v>0</v>
      </c>
      <c r="N92" s="228">
        <f t="shared" ref="N92:S92" si="45">N90-SUM(N$19:N$20)</f>
        <v>0</v>
      </c>
      <c r="O92" s="228">
        <f t="shared" si="45"/>
        <v>0</v>
      </c>
      <c r="P92" s="228">
        <f t="shared" si="45"/>
        <v>0</v>
      </c>
      <c r="Q92" s="228">
        <f t="shared" si="45"/>
        <v>0</v>
      </c>
      <c r="R92" s="228">
        <f t="shared" si="45"/>
        <v>0</v>
      </c>
      <c r="S92" s="228">
        <f t="shared" si="45"/>
        <v>0</v>
      </c>
    </row>
    <row r="93" spans="1:21" x14ac:dyDescent="0.2">
      <c r="B93" s="229"/>
      <c r="C93" s="229"/>
    </row>
    <row r="94" spans="1:21" x14ac:dyDescent="0.2">
      <c r="B94" s="283" t="s">
        <v>77</v>
      </c>
      <c r="C94" s="284" t="s">
        <v>51</v>
      </c>
      <c r="D94" s="285" t="s">
        <v>52</v>
      </c>
      <c r="E94" s="284" t="s">
        <v>53</v>
      </c>
      <c r="F94" s="242"/>
      <c r="G94" s="302"/>
      <c r="H94" s="302"/>
      <c r="I94" s="302"/>
      <c r="J94" s="302"/>
      <c r="K94" s="242"/>
      <c r="M94" s="242"/>
      <c r="N94" s="242"/>
      <c r="O94" s="242"/>
      <c r="P94" s="242"/>
      <c r="Q94" s="242"/>
      <c r="R94" s="242"/>
      <c r="S94" s="242"/>
    </row>
    <row r="95" spans="1:21" x14ac:dyDescent="0.2">
      <c r="B95" s="243"/>
      <c r="C95" s="337"/>
      <c r="M95" s="229"/>
      <c r="N95" s="229"/>
      <c r="O95" s="229"/>
      <c r="P95" s="229"/>
      <c r="Q95" s="229"/>
      <c r="R95" s="229"/>
      <c r="S95" s="229"/>
    </row>
    <row r="96" spans="1:21" x14ac:dyDescent="0.2">
      <c r="B96" s="287" t="s">
        <v>266</v>
      </c>
      <c r="C96" s="329"/>
      <c r="M96" s="229"/>
      <c r="N96" s="229"/>
      <c r="O96" s="229"/>
      <c r="P96" s="229"/>
      <c r="Q96" s="229"/>
      <c r="R96" s="229"/>
      <c r="S96" s="229"/>
    </row>
    <row r="97" spans="2:19" x14ac:dyDescent="0.2">
      <c r="C97" s="329"/>
      <c r="M97" s="229"/>
      <c r="N97" s="229"/>
      <c r="O97" s="229"/>
      <c r="P97" s="229"/>
      <c r="Q97" s="229"/>
      <c r="R97" s="229"/>
      <c r="S97" s="229"/>
    </row>
    <row r="98" spans="2:19" x14ac:dyDescent="0.2">
      <c r="B98" s="243" t="s">
        <v>77</v>
      </c>
      <c r="C98" s="329"/>
      <c r="M98" s="229"/>
      <c r="N98" s="229"/>
      <c r="O98" s="229"/>
      <c r="P98" s="229"/>
      <c r="Q98" s="229"/>
      <c r="R98" s="229"/>
      <c r="S98" s="229"/>
    </row>
    <row r="99" spans="2:19" x14ac:dyDescent="0.2">
      <c r="B99" s="267" t="s">
        <v>284</v>
      </c>
      <c r="C99" s="280" t="s">
        <v>250</v>
      </c>
      <c r="M99" s="345">
        <f>M203+M307+M411</f>
        <v>0</v>
      </c>
      <c r="N99" s="345">
        <f t="shared" ref="N99:S99" si="46">N203+N307+N411</f>
        <v>0</v>
      </c>
      <c r="O99" s="345">
        <f t="shared" si="46"/>
        <v>0</v>
      </c>
      <c r="P99" s="345">
        <f t="shared" si="46"/>
        <v>0</v>
      </c>
      <c r="Q99" s="345">
        <f t="shared" si="46"/>
        <v>598374.7062954962</v>
      </c>
      <c r="R99" s="345">
        <f t="shared" si="46"/>
        <v>0</v>
      </c>
      <c r="S99" s="345">
        <f t="shared" si="46"/>
        <v>0</v>
      </c>
    </row>
    <row r="100" spans="2:19" x14ac:dyDescent="0.2">
      <c r="B100" s="250" t="s">
        <v>285</v>
      </c>
      <c r="C100" s="280" t="s">
        <v>250</v>
      </c>
      <c r="M100" s="345">
        <f t="shared" ref="M100:S100" si="47">M204+M308+M412</f>
        <v>0</v>
      </c>
      <c r="N100" s="345">
        <f t="shared" si="47"/>
        <v>0</v>
      </c>
      <c r="O100" s="345">
        <f t="shared" si="47"/>
        <v>0</v>
      </c>
      <c r="P100" s="345">
        <f t="shared" si="47"/>
        <v>0</v>
      </c>
      <c r="Q100" s="345">
        <f t="shared" si="47"/>
        <v>486589.70143219171</v>
      </c>
      <c r="R100" s="345">
        <f t="shared" si="47"/>
        <v>0</v>
      </c>
      <c r="S100" s="345">
        <f t="shared" si="47"/>
        <v>0</v>
      </c>
    </row>
    <row r="101" spans="2:19" x14ac:dyDescent="0.2">
      <c r="B101" s="250" t="s">
        <v>286</v>
      </c>
      <c r="C101" s="280" t="s">
        <v>250</v>
      </c>
      <c r="M101" s="345">
        <f t="shared" ref="M101:S101" si="48">M205+M309+M413</f>
        <v>64216.126014880378</v>
      </c>
      <c r="N101" s="345">
        <f t="shared" si="48"/>
        <v>4602817.6502240459</v>
      </c>
      <c r="O101" s="345">
        <f t="shared" si="48"/>
        <v>31511.019055034456</v>
      </c>
      <c r="P101" s="345">
        <f t="shared" si="48"/>
        <v>23995.217246326712</v>
      </c>
      <c r="Q101" s="345">
        <f t="shared" si="48"/>
        <v>3237769.5353939338</v>
      </c>
      <c r="R101" s="345">
        <f t="shared" si="48"/>
        <v>32848.176140738615</v>
      </c>
      <c r="S101" s="345">
        <f t="shared" si="48"/>
        <v>34798.918447213066</v>
      </c>
    </row>
    <row r="102" spans="2:19" x14ac:dyDescent="0.2">
      <c r="B102" s="250" t="s">
        <v>287</v>
      </c>
      <c r="C102" s="280" t="s">
        <v>250</v>
      </c>
      <c r="M102" s="345">
        <f t="shared" ref="M102:S102" si="49">M206+M310+M414</f>
        <v>1474671.8691017234</v>
      </c>
      <c r="N102" s="345">
        <f t="shared" si="49"/>
        <v>1230821.2066307985</v>
      </c>
      <c r="O102" s="345">
        <f t="shared" si="49"/>
        <v>1294242.094620801</v>
      </c>
      <c r="P102" s="345">
        <f t="shared" si="49"/>
        <v>986084.27577306237</v>
      </c>
      <c r="Q102" s="345">
        <f t="shared" si="49"/>
        <v>997758.41723062692</v>
      </c>
      <c r="R102" s="345">
        <f t="shared" si="49"/>
        <v>1352546.848942369</v>
      </c>
      <c r="S102" s="345">
        <f t="shared" si="49"/>
        <v>1434053.7354759197</v>
      </c>
    </row>
    <row r="103" spans="2:19" x14ac:dyDescent="0.2">
      <c r="B103" s="250" t="s">
        <v>288</v>
      </c>
      <c r="C103" s="280" t="s">
        <v>250</v>
      </c>
      <c r="M103" s="345">
        <f t="shared" ref="M103:S103" si="50">M207+M311+M415</f>
        <v>1079028.1969037</v>
      </c>
      <c r="N103" s="345">
        <f t="shared" si="50"/>
        <v>900907.13712981716</v>
      </c>
      <c r="O103" s="345">
        <f t="shared" si="50"/>
        <v>946874.90721578628</v>
      </c>
      <c r="P103" s="345">
        <f t="shared" si="50"/>
        <v>723419.47855558957</v>
      </c>
      <c r="Q103" s="345">
        <f t="shared" si="50"/>
        <v>733436.85808677133</v>
      </c>
      <c r="R103" s="345">
        <f t="shared" si="50"/>
        <v>997059.11625571374</v>
      </c>
      <c r="S103" s="345">
        <f t="shared" si="50"/>
        <v>1060156.6585976239</v>
      </c>
    </row>
    <row r="104" spans="2:19" x14ac:dyDescent="0.2">
      <c r="B104" s="250" t="s">
        <v>289</v>
      </c>
      <c r="C104" s="280" t="s">
        <v>250</v>
      </c>
      <c r="M104" s="345">
        <f t="shared" ref="M104:S104" si="51">M208+M312+M416</f>
        <v>467578.88532493659</v>
      </c>
      <c r="N104" s="345">
        <f t="shared" si="51"/>
        <v>386959.62110897253</v>
      </c>
      <c r="O104" s="345">
        <f t="shared" si="51"/>
        <v>402878.56708184065</v>
      </c>
      <c r="P104" s="345">
        <f t="shared" si="51"/>
        <v>306031.00751401955</v>
      </c>
      <c r="Q104" s="345">
        <f t="shared" si="51"/>
        <v>308871.77204931172</v>
      </c>
      <c r="R104" s="345">
        <f t="shared" si="51"/>
        <v>417804.39225174504</v>
      </c>
      <c r="S104" s="345">
        <f t="shared" si="51"/>
        <v>442035.06889478955</v>
      </c>
    </row>
    <row r="105" spans="2:19" x14ac:dyDescent="0.2">
      <c r="B105" s="250" t="s">
        <v>290</v>
      </c>
      <c r="C105" s="280" t="s">
        <v>250</v>
      </c>
      <c r="M105" s="345">
        <f t="shared" ref="M105:S105" si="52">M209+M313+M417</f>
        <v>521530.29517012171</v>
      </c>
      <c r="N105" s="345">
        <f t="shared" si="52"/>
        <v>435727.28565415868</v>
      </c>
      <c r="O105" s="345">
        <f t="shared" si="52"/>
        <v>458256.69532680803</v>
      </c>
      <c r="P105" s="345">
        <f t="shared" si="52"/>
        <v>348451.19501056452</v>
      </c>
      <c r="Q105" s="345">
        <f t="shared" si="52"/>
        <v>352295.98461388476</v>
      </c>
      <c r="R105" s="345">
        <f t="shared" si="52"/>
        <v>476705.56778148853</v>
      </c>
      <c r="S105" s="345">
        <f t="shared" si="52"/>
        <v>504515.54641515546</v>
      </c>
    </row>
    <row r="106" spans="2:19" x14ac:dyDescent="0.2">
      <c r="B106" s="250" t="s">
        <v>291</v>
      </c>
      <c r="C106" s="280" t="s">
        <v>250</v>
      </c>
      <c r="M106" s="345">
        <f t="shared" ref="M106:S106" si="53">M210+M314+M418</f>
        <v>19470.567463382213</v>
      </c>
      <c r="N106" s="345">
        <f t="shared" si="53"/>
        <v>14986.042652032309</v>
      </c>
      <c r="O106" s="345">
        <f t="shared" si="53"/>
        <v>15755.509527517228</v>
      </c>
      <c r="P106" s="345">
        <f t="shared" si="53"/>
        <v>11997.608623163356</v>
      </c>
      <c r="Q106" s="345">
        <f t="shared" si="53"/>
        <v>135663.94052218675</v>
      </c>
      <c r="R106" s="345">
        <f t="shared" si="53"/>
        <v>16424.088070369307</v>
      </c>
      <c r="S106" s="345">
        <f t="shared" si="53"/>
        <v>17399.459223606533</v>
      </c>
    </row>
    <row r="107" spans="2:19" x14ac:dyDescent="0.2">
      <c r="B107" s="267" t="s">
        <v>292</v>
      </c>
      <c r="C107" s="280" t="s">
        <v>250</v>
      </c>
      <c r="M107" s="345">
        <f t="shared" ref="M107:S107" si="54">M211+M315+M419</f>
        <v>0</v>
      </c>
      <c r="N107" s="345">
        <f t="shared" si="54"/>
        <v>0</v>
      </c>
      <c r="O107" s="345">
        <f t="shared" si="54"/>
        <v>0</v>
      </c>
      <c r="P107" s="345">
        <f t="shared" si="54"/>
        <v>0</v>
      </c>
      <c r="Q107" s="345">
        <f t="shared" si="54"/>
        <v>0</v>
      </c>
      <c r="R107" s="345">
        <f t="shared" si="54"/>
        <v>0</v>
      </c>
      <c r="S107" s="345">
        <f t="shared" si="54"/>
        <v>0</v>
      </c>
    </row>
    <row r="108" spans="2:19" x14ac:dyDescent="0.2">
      <c r="B108" s="243" t="s">
        <v>49</v>
      </c>
      <c r="C108" s="337" t="s">
        <v>250</v>
      </c>
      <c r="D108" s="243"/>
      <c r="E108" s="243"/>
      <c r="F108" s="243"/>
      <c r="G108" s="243"/>
      <c r="H108" s="243"/>
      <c r="I108" s="335"/>
      <c r="J108" s="243"/>
      <c r="K108" s="243"/>
      <c r="M108" s="235">
        <f t="shared" ref="M108:S108" si="55">SUM(M99:M107)</f>
        <v>3626495.9399787439</v>
      </c>
      <c r="N108" s="235">
        <f t="shared" si="55"/>
        <v>7572218.9433998251</v>
      </c>
      <c r="O108" s="235">
        <f t="shared" si="55"/>
        <v>3149518.7928277873</v>
      </c>
      <c r="P108" s="235">
        <f t="shared" si="55"/>
        <v>2399978.782722726</v>
      </c>
      <c r="Q108" s="235">
        <f t="shared" si="55"/>
        <v>6850760.9156244025</v>
      </c>
      <c r="R108" s="235">
        <f t="shared" si="55"/>
        <v>3293388.1894424241</v>
      </c>
      <c r="S108" s="235">
        <f t="shared" si="55"/>
        <v>3492959.3870543079</v>
      </c>
    </row>
    <row r="109" spans="2:19" x14ac:dyDescent="0.2">
      <c r="C109" s="329"/>
    </row>
    <row r="110" spans="2:19" x14ac:dyDescent="0.2">
      <c r="B110" s="242" t="s">
        <v>228</v>
      </c>
      <c r="C110" s="280" t="s">
        <v>58</v>
      </c>
      <c r="D110" s="297">
        <f>SUM(H110:S110)</f>
        <v>0</v>
      </c>
      <c r="E110" s="298"/>
      <c r="M110" s="228">
        <f>M108-M57</f>
        <v>0</v>
      </c>
      <c r="N110" s="228">
        <f t="shared" ref="N110:S110" si="56">N108-N57</f>
        <v>0</v>
      </c>
      <c r="O110" s="228">
        <f t="shared" si="56"/>
        <v>0</v>
      </c>
      <c r="P110" s="228">
        <f t="shared" si="56"/>
        <v>0</v>
      </c>
      <c r="Q110" s="228">
        <f t="shared" si="56"/>
        <v>0</v>
      </c>
      <c r="R110" s="228">
        <f t="shared" si="56"/>
        <v>0</v>
      </c>
      <c r="S110" s="228">
        <f t="shared" si="56"/>
        <v>0</v>
      </c>
    </row>
    <row r="111" spans="2:19" x14ac:dyDescent="0.2">
      <c r="C111" s="329"/>
    </row>
    <row r="112" spans="2:19" x14ac:dyDescent="0.2">
      <c r="B112" s="283" t="s">
        <v>100</v>
      </c>
      <c r="C112" s="284" t="s">
        <v>51</v>
      </c>
      <c r="D112" s="285" t="s">
        <v>52</v>
      </c>
      <c r="E112" s="284" t="s">
        <v>53</v>
      </c>
      <c r="F112" s="242"/>
      <c r="G112" s="302"/>
      <c r="H112" s="302"/>
      <c r="I112" s="302"/>
      <c r="J112" s="302"/>
      <c r="K112" s="242"/>
      <c r="M112" s="242"/>
      <c r="N112" s="242"/>
      <c r="O112" s="242"/>
      <c r="P112" s="242"/>
      <c r="Q112" s="242"/>
      <c r="R112" s="242"/>
      <c r="S112" s="242"/>
    </row>
    <row r="113" spans="2:19" x14ac:dyDescent="0.2">
      <c r="C113" s="329"/>
      <c r="K113" s="289"/>
      <c r="M113" s="289"/>
      <c r="N113" s="289"/>
      <c r="O113" s="289"/>
      <c r="P113" s="289"/>
      <c r="Q113" s="289"/>
      <c r="R113" s="289"/>
      <c r="S113" s="289"/>
    </row>
    <row r="114" spans="2:19" x14ac:dyDescent="0.2">
      <c r="B114" s="287" t="s">
        <v>266</v>
      </c>
      <c r="C114" s="329"/>
      <c r="M114" s="229"/>
      <c r="N114" s="229"/>
      <c r="O114" s="229"/>
      <c r="P114" s="229"/>
      <c r="Q114" s="229"/>
      <c r="R114" s="229"/>
      <c r="S114" s="229"/>
    </row>
    <row r="115" spans="2:19" x14ac:dyDescent="0.2">
      <c r="C115" s="329"/>
      <c r="M115" s="229"/>
      <c r="N115" s="229"/>
      <c r="O115" s="229"/>
      <c r="P115" s="229"/>
      <c r="Q115" s="229"/>
      <c r="R115" s="229"/>
      <c r="S115" s="229"/>
    </row>
    <row r="116" spans="2:19" x14ac:dyDescent="0.2">
      <c r="B116" s="243" t="s">
        <v>100</v>
      </c>
      <c r="C116" s="329"/>
      <c r="M116" s="229"/>
      <c r="N116" s="229"/>
      <c r="O116" s="229"/>
      <c r="P116" s="229"/>
      <c r="Q116" s="229"/>
      <c r="R116" s="229"/>
      <c r="S116" s="229"/>
    </row>
    <row r="117" spans="2:19" x14ac:dyDescent="0.2">
      <c r="B117" s="267" t="s">
        <v>284</v>
      </c>
      <c r="C117" s="280" t="s">
        <v>250</v>
      </c>
      <c r="M117" s="345">
        <f>M219+M323+M427</f>
        <v>991908.58647203981</v>
      </c>
      <c r="N117" s="345">
        <f t="shared" ref="N117:S117" si="57">N219+N323+N427</f>
        <v>6986793.0289031249</v>
      </c>
      <c r="O117" s="345">
        <f t="shared" si="57"/>
        <v>6996095.8496905724</v>
      </c>
      <c r="P117" s="345">
        <f t="shared" si="57"/>
        <v>8044083.729465398</v>
      </c>
      <c r="Q117" s="345">
        <f t="shared" si="57"/>
        <v>967310.52304843359</v>
      </c>
      <c r="R117" s="345">
        <f t="shared" si="57"/>
        <v>426205.24008339056</v>
      </c>
      <c r="S117" s="345">
        <f t="shared" si="57"/>
        <v>453234.87313277903</v>
      </c>
    </row>
    <row r="118" spans="2:19" x14ac:dyDescent="0.2">
      <c r="B118" s="250" t="s">
        <v>285</v>
      </c>
      <c r="C118" s="280" t="s">
        <v>250</v>
      </c>
      <c r="M118" s="345">
        <f t="shared" ref="M118:S118" si="58">M220+M324+M428</f>
        <v>0</v>
      </c>
      <c r="N118" s="345">
        <f t="shared" si="58"/>
        <v>6785796.6046070019</v>
      </c>
      <c r="O118" s="345">
        <f t="shared" si="58"/>
        <v>503567.91604871803</v>
      </c>
      <c r="P118" s="345">
        <f t="shared" si="58"/>
        <v>306170.7285906953</v>
      </c>
      <c r="Q118" s="345">
        <f t="shared" si="58"/>
        <v>2121474.5243515642</v>
      </c>
      <c r="R118" s="345">
        <f t="shared" si="58"/>
        <v>328075.88562922762</v>
      </c>
      <c r="S118" s="345">
        <f t="shared" si="58"/>
        <v>6535385.7181890057</v>
      </c>
    </row>
    <row r="119" spans="2:19" x14ac:dyDescent="0.2">
      <c r="B119" s="250" t="s">
        <v>286</v>
      </c>
      <c r="C119" s="280" t="s">
        <v>250</v>
      </c>
      <c r="M119" s="345">
        <f t="shared" ref="M119:S119" si="59">M221+M325+M429</f>
        <v>7087751.0093029244</v>
      </c>
      <c r="N119" s="345">
        <f t="shared" si="59"/>
        <v>7786279.1952053588</v>
      </c>
      <c r="O119" s="345">
        <f t="shared" si="59"/>
        <v>15910969.857791517</v>
      </c>
      <c r="P119" s="345">
        <f t="shared" si="59"/>
        <v>7638000.7592310067</v>
      </c>
      <c r="Q119" s="345">
        <f t="shared" si="59"/>
        <v>11029569.108804001</v>
      </c>
      <c r="R119" s="345">
        <f t="shared" si="59"/>
        <v>14822143.389288612</v>
      </c>
      <c r="S119" s="345">
        <f t="shared" si="59"/>
        <v>6446177.5909936707</v>
      </c>
    </row>
    <row r="120" spans="2:19" x14ac:dyDescent="0.2">
      <c r="B120" s="250" t="s">
        <v>287</v>
      </c>
      <c r="C120" s="280" t="s">
        <v>250</v>
      </c>
      <c r="M120" s="345">
        <f t="shared" ref="M120:S120" si="60">M222+M326+M430</f>
        <v>21023159.715848986</v>
      </c>
      <c r="N120" s="345">
        <f t="shared" si="60"/>
        <v>23963428.151074111</v>
      </c>
      <c r="O120" s="345">
        <f t="shared" si="60"/>
        <v>27513918.874511056</v>
      </c>
      <c r="P120" s="345">
        <f t="shared" si="60"/>
        <v>29748985.666546889</v>
      </c>
      <c r="Q120" s="345">
        <f t="shared" si="60"/>
        <v>29216530.467339024</v>
      </c>
      <c r="R120" s="345">
        <f t="shared" si="60"/>
        <v>26559448.5749414</v>
      </c>
      <c r="S120" s="345">
        <f t="shared" si="60"/>
        <v>26021665.752305884</v>
      </c>
    </row>
    <row r="121" spans="2:19" x14ac:dyDescent="0.2">
      <c r="B121" s="250" t="s">
        <v>288</v>
      </c>
      <c r="C121" s="280" t="s">
        <v>250</v>
      </c>
      <c r="M121" s="345">
        <f t="shared" ref="M121:S121" si="61">M223+M327+M431</f>
        <v>758615.85154219496</v>
      </c>
      <c r="N121" s="345">
        <f t="shared" si="61"/>
        <v>1911891.313133769</v>
      </c>
      <c r="O121" s="345">
        <f t="shared" si="61"/>
        <v>2637482.5644728527</v>
      </c>
      <c r="P121" s="345">
        <f t="shared" si="61"/>
        <v>2418094.8300079093</v>
      </c>
      <c r="Q121" s="345">
        <f t="shared" si="61"/>
        <v>2564057.1063217488</v>
      </c>
      <c r="R121" s="345">
        <f t="shared" si="61"/>
        <v>2680280.2604308496</v>
      </c>
      <c r="S121" s="345">
        <f t="shared" si="61"/>
        <v>2112592.6878785519</v>
      </c>
    </row>
    <row r="122" spans="2:19" x14ac:dyDescent="0.2">
      <c r="B122" s="250" t="s">
        <v>289</v>
      </c>
      <c r="C122" s="280" t="s">
        <v>250</v>
      </c>
      <c r="M122" s="345">
        <f t="shared" ref="M122:S122" si="62">M224+M328+M432</f>
        <v>3127016.0627825563</v>
      </c>
      <c r="N122" s="345">
        <f t="shared" si="62"/>
        <v>3155176.2973251105</v>
      </c>
      <c r="O122" s="345">
        <f t="shared" si="62"/>
        <v>3841034.2147972099</v>
      </c>
      <c r="P122" s="345">
        <f t="shared" si="62"/>
        <v>5430607.1951137614</v>
      </c>
      <c r="Q122" s="345">
        <f t="shared" si="62"/>
        <v>6801469.7617455469</v>
      </c>
      <c r="R122" s="345">
        <f t="shared" si="62"/>
        <v>7681624.1013440602</v>
      </c>
      <c r="S122" s="345">
        <f t="shared" si="62"/>
        <v>7201822.1899184855</v>
      </c>
    </row>
    <row r="123" spans="2:19" x14ac:dyDescent="0.2">
      <c r="B123" s="250" t="s">
        <v>290</v>
      </c>
      <c r="C123" s="280" t="s">
        <v>250</v>
      </c>
      <c r="M123" s="345">
        <f t="shared" ref="M123:S123" si="63">M225+M329+M433</f>
        <v>1466380.1139642191</v>
      </c>
      <c r="N123" s="345">
        <f t="shared" si="63"/>
        <v>3936828.7280480652</v>
      </c>
      <c r="O123" s="345">
        <f t="shared" si="63"/>
        <v>4266620.0327145569</v>
      </c>
      <c r="P123" s="345">
        <f t="shared" si="63"/>
        <v>4042508.3290470527</v>
      </c>
      <c r="Q123" s="345">
        <f t="shared" si="63"/>
        <v>4054354.1839459753</v>
      </c>
      <c r="R123" s="345">
        <f t="shared" si="63"/>
        <v>4420089.1426711073</v>
      </c>
      <c r="S123" s="345">
        <f t="shared" si="63"/>
        <v>2935755.7977167186</v>
      </c>
    </row>
    <row r="124" spans="2:19" x14ac:dyDescent="0.2">
      <c r="B124" s="250" t="s">
        <v>291</v>
      </c>
      <c r="C124" s="280" t="s">
        <v>250</v>
      </c>
      <c r="M124" s="345">
        <f t="shared" ref="M124:S124" si="64">M226+M330+M434</f>
        <v>7836477.5899999999</v>
      </c>
      <c r="N124" s="345">
        <f t="shared" si="64"/>
        <v>106138.04870269322</v>
      </c>
      <c r="O124" s="345">
        <f t="shared" si="64"/>
        <v>398692.75862578908</v>
      </c>
      <c r="P124" s="345">
        <f t="shared" si="64"/>
        <v>85564.559217010305</v>
      </c>
      <c r="Q124" s="345">
        <f t="shared" si="64"/>
        <v>529829.23495612259</v>
      </c>
      <c r="R124" s="345">
        <f t="shared" si="64"/>
        <v>400699.66258836311</v>
      </c>
      <c r="S124" s="345">
        <f t="shared" si="64"/>
        <v>345561.21461964224</v>
      </c>
    </row>
    <row r="125" spans="2:19" x14ac:dyDescent="0.2">
      <c r="B125" s="250" t="s">
        <v>292</v>
      </c>
      <c r="C125" s="280" t="s">
        <v>250</v>
      </c>
      <c r="M125" s="345">
        <f t="shared" ref="M125:S125" si="65">M227+M331+M435</f>
        <v>0</v>
      </c>
      <c r="N125" s="345">
        <f t="shared" si="65"/>
        <v>0</v>
      </c>
      <c r="O125" s="345">
        <f t="shared" si="65"/>
        <v>0</v>
      </c>
      <c r="P125" s="345">
        <f t="shared" si="65"/>
        <v>0</v>
      </c>
      <c r="Q125" s="345">
        <f t="shared" si="65"/>
        <v>0</v>
      </c>
      <c r="R125" s="345">
        <f t="shared" si="65"/>
        <v>0</v>
      </c>
      <c r="S125" s="345">
        <f t="shared" si="65"/>
        <v>0</v>
      </c>
    </row>
    <row r="126" spans="2:19" x14ac:dyDescent="0.2">
      <c r="B126" s="243" t="s">
        <v>49</v>
      </c>
      <c r="C126" s="337" t="s">
        <v>250</v>
      </c>
      <c r="M126" s="235">
        <f t="shared" ref="M126:S126" si="66">SUM(M117:M125)</f>
        <v>42291308.929912925</v>
      </c>
      <c r="N126" s="235">
        <f t="shared" si="66"/>
        <v>54632331.366999239</v>
      </c>
      <c r="O126" s="235">
        <f t="shared" si="66"/>
        <v>62068382.068652272</v>
      </c>
      <c r="P126" s="235">
        <f t="shared" si="66"/>
        <v>57714015.797219731</v>
      </c>
      <c r="Q126" s="235">
        <f t="shared" si="66"/>
        <v>57284594.910512425</v>
      </c>
      <c r="R126" s="235">
        <f t="shared" si="66"/>
        <v>57318566.256977014</v>
      </c>
      <c r="S126" s="235">
        <f t="shared" si="66"/>
        <v>52052195.824754745</v>
      </c>
    </row>
    <row r="127" spans="2:19" x14ac:dyDescent="0.2">
      <c r="C127" s="329"/>
    </row>
    <row r="128" spans="2:19" x14ac:dyDescent="0.2">
      <c r="B128" s="242" t="s">
        <v>230</v>
      </c>
      <c r="C128" s="280" t="s">
        <v>58</v>
      </c>
      <c r="D128" s="297">
        <f>SUM(H128:S128)</f>
        <v>0</v>
      </c>
      <c r="E128" s="298"/>
      <c r="M128" s="228">
        <f>M126-M58</f>
        <v>0</v>
      </c>
      <c r="N128" s="228">
        <f t="shared" ref="N128:S128" si="67">N126-N58</f>
        <v>0</v>
      </c>
      <c r="O128" s="228">
        <f t="shared" si="67"/>
        <v>0</v>
      </c>
      <c r="P128" s="228">
        <f t="shared" si="67"/>
        <v>0</v>
      </c>
      <c r="Q128" s="228">
        <f t="shared" si="67"/>
        <v>0</v>
      </c>
      <c r="R128" s="228">
        <f t="shared" si="67"/>
        <v>0</v>
      </c>
      <c r="S128" s="228">
        <f t="shared" si="67"/>
        <v>0</v>
      </c>
    </row>
    <row r="129" spans="2:21" x14ac:dyDescent="0.2">
      <c r="B129" s="229"/>
    </row>
    <row r="130" spans="2:21" x14ac:dyDescent="0.2">
      <c r="B130" s="283" t="s">
        <v>449</v>
      </c>
      <c r="C130" s="284" t="s">
        <v>51</v>
      </c>
      <c r="D130" s="285" t="s">
        <v>52</v>
      </c>
      <c r="E130" s="284" t="s">
        <v>53</v>
      </c>
      <c r="F130" s="242"/>
      <c r="G130" s="302"/>
      <c r="H130" s="302"/>
      <c r="I130" s="302"/>
      <c r="J130" s="302"/>
      <c r="K130" s="242"/>
      <c r="L130" s="242"/>
      <c r="M130" s="242"/>
      <c r="N130" s="242"/>
      <c r="O130" s="242"/>
      <c r="P130" s="242"/>
      <c r="Q130" s="242"/>
      <c r="R130" s="242"/>
      <c r="S130" s="242"/>
      <c r="T130" s="242"/>
      <c r="U130" s="229"/>
    </row>
    <row r="131" spans="2:21" outlineLevel="1" x14ac:dyDescent="0.2">
      <c r="K131" s="289"/>
      <c r="L131" s="289"/>
      <c r="M131" s="289"/>
      <c r="N131" s="289"/>
      <c r="O131" s="289"/>
      <c r="P131" s="289"/>
      <c r="Q131" s="289"/>
      <c r="R131" s="289"/>
      <c r="S131" s="289"/>
      <c r="T131" s="242"/>
    </row>
    <row r="132" spans="2:21" outlineLevel="1" x14ac:dyDescent="0.2">
      <c r="B132" s="287" t="s">
        <v>283</v>
      </c>
      <c r="C132" s="314"/>
      <c r="D132" s="347"/>
      <c r="E132" s="314"/>
      <c r="F132" s="242"/>
      <c r="G132" s="302"/>
      <c r="H132" s="302"/>
      <c r="I132" s="302"/>
      <c r="J132" s="302"/>
      <c r="K132" s="242"/>
      <c r="L132" s="242"/>
      <c r="M132" s="242"/>
      <c r="N132" s="242"/>
      <c r="O132" s="242"/>
      <c r="P132" s="242"/>
      <c r="Q132" s="242"/>
      <c r="R132" s="242"/>
      <c r="S132" s="242"/>
      <c r="T132" s="242"/>
      <c r="U132" s="229"/>
    </row>
    <row r="133" spans="2:21" outlineLevel="1" x14ac:dyDescent="0.2">
      <c r="K133" s="289"/>
      <c r="L133" s="289"/>
      <c r="M133" s="289"/>
      <c r="N133" s="289"/>
      <c r="O133" s="289"/>
      <c r="P133" s="289"/>
      <c r="Q133" s="289"/>
      <c r="R133" s="289"/>
      <c r="S133" s="289"/>
      <c r="T133" s="242"/>
    </row>
    <row r="134" spans="2:21" outlineLevel="1" x14ac:dyDescent="0.2">
      <c r="B134" s="250" t="s">
        <v>284</v>
      </c>
      <c r="C134" s="280" t="s">
        <v>250</v>
      </c>
      <c r="D134" s="250"/>
      <c r="E134" s="250"/>
      <c r="I134" s="232"/>
      <c r="M134" s="345">
        <f>M$16*'Commissioned assets allocation'!M120</f>
        <v>912141.11740636488</v>
      </c>
      <c r="N134" s="345">
        <f>N$16*'Commissioned assets allocation'!N120</f>
        <v>7038132.3661190597</v>
      </c>
      <c r="O134" s="345">
        <f>O$16*'Commissioned assets allocation'!O120</f>
        <v>7048271.847877969</v>
      </c>
      <c r="P134" s="345">
        <f>P$16*'Commissioned assets allocation'!P120</f>
        <v>8094396.2125189947</v>
      </c>
      <c r="Q134" s="345">
        <f>Q$16*'Commissioned assets allocation'!Q120</f>
        <v>1017651.9436254771</v>
      </c>
      <c r="R134" s="345">
        <f>R$16*'Commissioned assets allocation'!R120</f>
        <v>479867.97255867155</v>
      </c>
      <c r="S134" s="345">
        <f>S$16*'Commissioned assets allocation'!S120</f>
        <v>509327.92951859569</v>
      </c>
      <c r="T134" s="229"/>
    </row>
    <row r="135" spans="2:21" outlineLevel="1" x14ac:dyDescent="0.2">
      <c r="B135" s="250" t="s">
        <v>285</v>
      </c>
      <c r="C135" s="280" t="s">
        <v>250</v>
      </c>
      <c r="D135" s="250"/>
      <c r="E135" s="250"/>
      <c r="I135" s="232"/>
      <c r="M135" s="345">
        <f>M$16*'Commissioned assets allocation'!M121</f>
        <v>46084.956475972111</v>
      </c>
      <c r="N135" s="345">
        <f>N$16*'Commissioned assets allocation'!N121</f>
        <v>558424.37969281222</v>
      </c>
      <c r="O135" s="345">
        <f>O$16*'Commissioned assets allocation'!O121</f>
        <v>486600.2963043059</v>
      </c>
      <c r="P135" s="345">
        <f>P$16*'Commissioned assets allocation'!P121</f>
        <v>343448.16571380745</v>
      </c>
      <c r="Q135" s="345">
        <f>Q$16*'Commissioned assets allocation'!Q121</f>
        <v>2165053.6545953401</v>
      </c>
      <c r="R135" s="345">
        <f>R$16*'Commissioned assets allocation'!R121</f>
        <v>312519.27327451884</v>
      </c>
      <c r="S135" s="345">
        <f>S$16*'Commissioned assets allocation'!S121</f>
        <v>3351130.4785115612</v>
      </c>
      <c r="T135" s="229"/>
    </row>
    <row r="136" spans="2:21" outlineLevel="1" x14ac:dyDescent="0.2">
      <c r="B136" s="250" t="s">
        <v>286</v>
      </c>
      <c r="C136" s="280" t="s">
        <v>250</v>
      </c>
      <c r="D136" s="250"/>
      <c r="E136" s="250"/>
      <c r="I136" s="232"/>
      <c r="M136" s="345">
        <f>M$16*'Commissioned assets allocation'!M122</f>
        <v>7269303.9341696938</v>
      </c>
      <c r="N136" s="345">
        <f>N$16*'Commissioned assets allocation'!N122</f>
        <v>9070186.8115047235</v>
      </c>
      <c r="O136" s="345">
        <f>O$16*'Commissioned assets allocation'!O122</f>
        <v>12218797.316614971</v>
      </c>
      <c r="P136" s="345">
        <f>P$16*'Commissioned assets allocation'!P122</f>
        <v>6406475.6773426151</v>
      </c>
      <c r="Q136" s="345">
        <f>Q$16*'Commissioned assets allocation'!Q122</f>
        <v>10645977.991242083</v>
      </c>
      <c r="R136" s="345">
        <f>R$16*'Commissioned assets allocation'!R122</f>
        <v>11251818.847862326</v>
      </c>
      <c r="S136" s="345">
        <f>S$16*'Commissioned assets allocation'!S122</f>
        <v>5432728.2275209324</v>
      </c>
    </row>
    <row r="137" spans="2:21" outlineLevel="1" x14ac:dyDescent="0.2">
      <c r="B137" s="250" t="s">
        <v>287</v>
      </c>
      <c r="C137" s="280" t="s">
        <v>250</v>
      </c>
      <c r="D137" s="250"/>
      <c r="E137" s="250"/>
      <c r="I137" s="232"/>
      <c r="M137" s="345">
        <f>M$16*'Commissioned assets allocation'!M123</f>
        <v>19897894.321756039</v>
      </c>
      <c r="N137" s="345">
        <f>N$16*'Commissioned assets allocation'!N123</f>
        <v>24645313.050201956</v>
      </c>
      <c r="O137" s="345">
        <f>O$16*'Commissioned assets allocation'!O123</f>
        <v>29242009.546937533</v>
      </c>
      <c r="P137" s="345">
        <f>P$16*'Commissioned assets allocation'!P123</f>
        <v>31153287.06881123</v>
      </c>
      <c r="Q137" s="345">
        <f>Q$16*'Commissioned assets allocation'!Q123</f>
        <v>30707486.028760564</v>
      </c>
      <c r="R137" s="345">
        <f>R$16*'Commissioned assets allocation'!R123</f>
        <v>28480730.698377073</v>
      </c>
      <c r="S137" s="345">
        <f>S$16*'Commissioned assets allocation'!S123</f>
        <v>28109153.7391643</v>
      </c>
    </row>
    <row r="138" spans="2:21" outlineLevel="1" x14ac:dyDescent="0.2">
      <c r="B138" s="250" t="s">
        <v>288</v>
      </c>
      <c r="C138" s="280" t="s">
        <v>250</v>
      </c>
      <c r="D138" s="250"/>
      <c r="E138" s="250"/>
      <c r="I138" s="232"/>
      <c r="M138" s="345">
        <f>M$16*'Commissioned assets allocation'!M124</f>
        <v>3965373.1121869283</v>
      </c>
      <c r="N138" s="345">
        <f>N$16*'Commissioned assets allocation'!N124</f>
        <v>4619216.8687629486</v>
      </c>
      <c r="O138" s="345">
        <f>O$16*'Commissioned assets allocation'!O124</f>
        <v>5111506.3529287558</v>
      </c>
      <c r="P138" s="345">
        <f>P$16*'Commissioned assets allocation'!P124</f>
        <v>4678736.2358364342</v>
      </c>
      <c r="Q138" s="345">
        <f>Q$16*'Commissioned assets allocation'!Q124</f>
        <v>5198840.2900478961</v>
      </c>
      <c r="R138" s="345">
        <f>R$16*'Commissioned assets allocation'!R124</f>
        <v>5898014.3018454937</v>
      </c>
      <c r="S138" s="345">
        <f>S$16*'Commissioned assets allocation'!S124</f>
        <v>5932358.9757879721</v>
      </c>
    </row>
    <row r="139" spans="2:21" outlineLevel="1" x14ac:dyDescent="0.2">
      <c r="B139" s="250" t="s">
        <v>289</v>
      </c>
      <c r="C139" s="280" t="s">
        <v>250</v>
      </c>
      <c r="D139" s="250"/>
      <c r="E139" s="250"/>
      <c r="I139" s="232"/>
      <c r="M139" s="345">
        <f>M$16*'Commissioned assets allocation'!M125</f>
        <v>5348627.303303279</v>
      </c>
      <c r="N139" s="345">
        <f>N$16*'Commissioned assets allocation'!N125</f>
        <v>4961121.1142285559</v>
      </c>
      <c r="O139" s="345">
        <f>O$16*'Commissioned assets allocation'!O125</f>
        <v>5388671.7358777868</v>
      </c>
      <c r="P139" s="345">
        <f>P$16*'Commissioned assets allocation'!P125</f>
        <v>6881733.6633304963</v>
      </c>
      <c r="Q139" s="345">
        <f>Q$16*'Commissioned assets allocation'!Q125</f>
        <v>8623698.3748310115</v>
      </c>
      <c r="R139" s="345">
        <f>R$16*'Commissioned assets allocation'!R125</f>
        <v>9898433.9538713899</v>
      </c>
      <c r="S139" s="345">
        <f>S$16*'Commissioned assets allocation'!S125</f>
        <v>9893845.58505789</v>
      </c>
    </row>
    <row r="140" spans="2:21" outlineLevel="1" x14ac:dyDescent="0.2">
      <c r="B140" s="250" t="s">
        <v>290</v>
      </c>
      <c r="C140" s="280" t="s">
        <v>250</v>
      </c>
      <c r="D140" s="250"/>
      <c r="E140" s="250"/>
      <c r="I140" s="232"/>
      <c r="M140" s="345">
        <f>M$16*'Commissioned assets allocation'!M126</f>
        <v>3829110.215184629</v>
      </c>
      <c r="N140" s="345">
        <f>N$16*'Commissioned assets allocation'!N126</f>
        <v>5027250.0505451625</v>
      </c>
      <c r="O140" s="345">
        <f>O$16*'Commissioned assets allocation'!O126</f>
        <v>5221730.2054227795</v>
      </c>
      <c r="P140" s="345">
        <f>P$16*'Commissioned assets allocation'!P126</f>
        <v>4938507.4857026702</v>
      </c>
      <c r="Q140" s="345">
        <f>Q$16*'Commissioned assets allocation'!Q126</f>
        <v>5068916.3192355176</v>
      </c>
      <c r="R140" s="345">
        <f>R$16*'Commissioned assets allocation'!R126</f>
        <v>6396157.3214370571</v>
      </c>
      <c r="S140" s="345">
        <f>S$16*'Commissioned assets allocation'!S126</f>
        <v>5200280.4734186437</v>
      </c>
    </row>
    <row r="141" spans="2:21" outlineLevel="1" x14ac:dyDescent="0.2">
      <c r="B141" s="267" t="s">
        <v>291</v>
      </c>
      <c r="C141" s="280" t="s">
        <v>250</v>
      </c>
      <c r="D141" s="250"/>
      <c r="E141" s="250"/>
      <c r="I141" s="232"/>
      <c r="M141" s="345">
        <f>M$16*'Commissioned assets allocation'!M127</f>
        <v>22264.300769379552</v>
      </c>
      <c r="N141" s="345">
        <f>N$16*'Commissioned assets allocation'!N127</f>
        <v>368935.82725983835</v>
      </c>
      <c r="O141" s="345">
        <f>O$16*'Commissioned assets allocation'!O127</f>
        <v>811636.20958518679</v>
      </c>
      <c r="P141" s="345">
        <f>P$16*'Commissioned assets allocation'!P127</f>
        <v>568391.81496076239</v>
      </c>
      <c r="Q141" s="345">
        <f>Q$16*'Commissioned assets allocation'!Q127</f>
        <v>763842.57622099726</v>
      </c>
      <c r="R141" s="345">
        <f>R$16*'Commissioned assets allocation'!R127</f>
        <v>588046.61663856311</v>
      </c>
      <c r="S141" s="345">
        <f>S$16*'Commissioned assets allocation'!S127</f>
        <v>339703.37005208014</v>
      </c>
    </row>
    <row r="142" spans="2:21" outlineLevel="1" x14ac:dyDescent="0.2">
      <c r="B142" s="250" t="s">
        <v>292</v>
      </c>
      <c r="C142" s="280" t="s">
        <v>250</v>
      </c>
      <c r="D142" s="250"/>
      <c r="E142" s="250"/>
      <c r="I142" s="232"/>
      <c r="M142" s="345">
        <f>M$16*'Commissioned assets allocation'!M128</f>
        <v>3387905.0081408606</v>
      </c>
      <c r="N142" s="345">
        <f>N$16*'Commissioned assets allocation'!N128</f>
        <v>4459237.5333509455</v>
      </c>
      <c r="O142" s="345">
        <f>O$16*'Commissioned assets allocation'!O128</f>
        <v>6636053.745846157</v>
      </c>
      <c r="P142" s="345">
        <f>P$16*'Commissioned assets allocation'!P128</f>
        <v>2855713.6124223685</v>
      </c>
      <c r="Q142" s="345">
        <f>Q$16*'Commissioned assets allocation'!Q128</f>
        <v>2424912.2404680066</v>
      </c>
      <c r="R142" s="345">
        <f>R$16*'Commissioned assets allocation'!R128</f>
        <v>2368475.8609028147</v>
      </c>
      <c r="S142" s="345">
        <f>S$16*'Commissioned assets allocation'!S128</f>
        <v>2387358.8946668576</v>
      </c>
    </row>
    <row r="143" spans="2:21" outlineLevel="1" x14ac:dyDescent="0.2">
      <c r="B143" s="243" t="s">
        <v>49</v>
      </c>
      <c r="C143" s="337" t="s">
        <v>250</v>
      </c>
      <c r="D143" s="243"/>
      <c r="E143" s="243"/>
      <c r="F143" s="243"/>
      <c r="G143" s="243"/>
      <c r="H143" s="243"/>
      <c r="I143" s="243"/>
      <c r="J143" s="243"/>
      <c r="K143" s="243"/>
      <c r="L143" s="243"/>
      <c r="M143" s="235">
        <f t="shared" ref="M143:S143" si="68">SUM(M134:M142)</f>
        <v>44678704.269393153</v>
      </c>
      <c r="N143" s="235">
        <f t="shared" si="68"/>
        <v>60747818.001666002</v>
      </c>
      <c r="O143" s="235">
        <f t="shared" si="68"/>
        <v>72165277.257395446</v>
      </c>
      <c r="P143" s="235">
        <f t="shared" si="68"/>
        <v>65920689.936639376</v>
      </c>
      <c r="Q143" s="235">
        <f t="shared" si="68"/>
        <v>66616379.419026896</v>
      </c>
      <c r="R143" s="235">
        <f t="shared" si="68"/>
        <v>65674064.84676791</v>
      </c>
      <c r="S143" s="235">
        <f t="shared" si="68"/>
        <v>61155887.673698835</v>
      </c>
    </row>
    <row r="144" spans="2:21" outlineLevel="1" x14ac:dyDescent="0.2">
      <c r="B144" s="329"/>
      <c r="C144" s="337"/>
      <c r="D144" s="243"/>
      <c r="E144" s="243"/>
      <c r="F144" s="243"/>
      <c r="G144" s="243"/>
      <c r="H144" s="243"/>
      <c r="I144" s="243"/>
      <c r="J144" s="243"/>
      <c r="K144" s="243"/>
      <c r="L144" s="243"/>
      <c r="M144" s="294"/>
      <c r="N144" s="294"/>
      <c r="O144" s="294"/>
      <c r="P144" s="294"/>
      <c r="Q144" s="294"/>
      <c r="R144" s="294"/>
      <c r="S144" s="294"/>
    </row>
    <row r="145" spans="1:25" outlineLevel="1" x14ac:dyDescent="0.2">
      <c r="B145" s="242" t="s">
        <v>427</v>
      </c>
      <c r="C145" s="280" t="s">
        <v>58</v>
      </c>
      <c r="D145" s="297">
        <f>SUM(H145:S145)</f>
        <v>0</v>
      </c>
      <c r="E145" s="298"/>
      <c r="M145" s="228">
        <f t="shared" ref="M145:S145" si="69">M143-M$16</f>
        <v>0</v>
      </c>
      <c r="N145" s="228">
        <f t="shared" si="69"/>
        <v>0</v>
      </c>
      <c r="O145" s="228">
        <f t="shared" si="69"/>
        <v>0</v>
      </c>
      <c r="P145" s="228">
        <f t="shared" si="69"/>
        <v>0</v>
      </c>
      <c r="Q145" s="228">
        <f t="shared" si="69"/>
        <v>0</v>
      </c>
      <c r="R145" s="228">
        <f t="shared" si="69"/>
        <v>0</v>
      </c>
      <c r="S145" s="228">
        <f t="shared" si="69"/>
        <v>0</v>
      </c>
    </row>
    <row r="146" spans="1:25" outlineLevel="1" x14ac:dyDescent="0.2">
      <c r="B146" s="338"/>
      <c r="C146" s="337"/>
      <c r="D146" s="243"/>
      <c r="E146" s="243"/>
      <c r="F146" s="243"/>
      <c r="G146" s="243"/>
      <c r="H146" s="243"/>
      <c r="I146" s="243"/>
      <c r="J146" s="243"/>
      <c r="K146" s="243"/>
      <c r="L146" s="243"/>
      <c r="M146" s="294"/>
      <c r="N146" s="294"/>
      <c r="O146" s="294"/>
      <c r="P146" s="294"/>
      <c r="Q146" s="294"/>
      <c r="R146" s="294"/>
      <c r="S146" s="294"/>
    </row>
    <row r="147" spans="1:25" outlineLevel="1" x14ac:dyDescent="0.2">
      <c r="B147" s="287" t="s">
        <v>293</v>
      </c>
      <c r="C147" s="314"/>
      <c r="D147" s="347"/>
      <c r="E147" s="314"/>
      <c r="F147" s="242"/>
      <c r="G147" s="302"/>
      <c r="H147" s="302"/>
      <c r="I147" s="302"/>
      <c r="J147" s="302"/>
      <c r="K147" s="242"/>
      <c r="L147" s="242"/>
      <c r="M147" s="242"/>
      <c r="N147" s="242"/>
      <c r="O147" s="242"/>
      <c r="P147" s="242"/>
      <c r="Q147" s="242"/>
      <c r="R147" s="242"/>
      <c r="S147" s="242"/>
      <c r="T147" s="242"/>
      <c r="U147" s="229"/>
    </row>
    <row r="148" spans="1:25" outlineLevel="1" x14ac:dyDescent="0.2">
      <c r="K148" s="289"/>
      <c r="L148" s="289"/>
      <c r="M148" s="289"/>
      <c r="N148" s="289"/>
      <c r="O148" s="289"/>
      <c r="P148" s="289"/>
      <c r="Q148" s="289"/>
      <c r="R148" s="289"/>
      <c r="S148" s="289"/>
      <c r="T148" s="242"/>
    </row>
    <row r="149" spans="1:25" outlineLevel="1" x14ac:dyDescent="0.2">
      <c r="B149" s="343">
        <v>0</v>
      </c>
      <c r="C149" s="280" t="s">
        <v>250</v>
      </c>
      <c r="H149" s="344"/>
      <c r="I149" s="232"/>
      <c r="M149" s="345">
        <f>(M$16+M$19)*'Commissioned assets allocation'!M134</f>
        <v>2455027.6564975409</v>
      </c>
      <c r="N149" s="345">
        <f>(N$16+N$19)*'Commissioned assets allocation'!N134</f>
        <v>2404041.7280172459</v>
      </c>
      <c r="O149" s="345">
        <f>(O$16+O$19)*'Commissioned assets allocation'!O134</f>
        <v>3448334.2440452306</v>
      </c>
      <c r="P149" s="345">
        <f>(P$16+P$19)*'Commissioned assets allocation'!P134</f>
        <v>65420.588737839542</v>
      </c>
      <c r="Q149" s="345">
        <f>(Q$16+Q$19)*'Commissioned assets allocation'!Q134</f>
        <v>2647056.3007498817</v>
      </c>
      <c r="R149" s="345">
        <f>(R$16+R$19)*'Commissioned assets allocation'!R134</f>
        <v>1500322.7006661308</v>
      </c>
      <c r="S149" s="345">
        <f>(S$16+S$19)*'Commissioned assets allocation'!S134</f>
        <v>1093663.6589070435</v>
      </c>
    </row>
    <row r="150" spans="1:25" outlineLevel="1" x14ac:dyDescent="0.2">
      <c r="B150" s="343">
        <v>0.08</v>
      </c>
      <c r="C150" s="280" t="s">
        <v>250</v>
      </c>
      <c r="H150" s="344"/>
      <c r="I150" s="232"/>
      <c r="M150" s="345">
        <f>(M$16+M$19)*'Commissioned assets allocation'!M135</f>
        <v>42219728.467382774</v>
      </c>
      <c r="N150" s="345">
        <f>(N$16+N$19)*'Commissioned assets allocation'!N135</f>
        <v>60830464.545791693</v>
      </c>
      <c r="O150" s="345">
        <f>(O$16+O$19)*'Commissioned assets allocation'!O135</f>
        <v>65937744.878036991</v>
      </c>
      <c r="P150" s="345">
        <f>(P$16+P$19)*'Commissioned assets allocation'!P135</f>
        <v>65884240.671931349</v>
      </c>
      <c r="Q150" s="345">
        <f>(Q$16+Q$19)*'Commissioned assets allocation'!Q135</f>
        <v>65277400.221972704</v>
      </c>
      <c r="R150" s="345">
        <f>(R$16+R$19)*'Commissioned assets allocation'!R135</f>
        <v>66731019.293188304</v>
      </c>
      <c r="S150" s="345">
        <f>(S$16+S$19)*'Commissioned assets allocation'!S135</f>
        <v>63946009.787423432</v>
      </c>
    </row>
    <row r="151" spans="1:25" s="12" customFormat="1" outlineLevel="1" x14ac:dyDescent="0.2">
      <c r="A151" s="232"/>
      <c r="B151" s="346">
        <v>0.1</v>
      </c>
      <c r="C151" s="280" t="s">
        <v>250</v>
      </c>
      <c r="D151" s="232"/>
      <c r="E151" s="232"/>
      <c r="F151" s="232"/>
      <c r="G151" s="232"/>
      <c r="H151" s="344"/>
      <c r="I151" s="232"/>
      <c r="J151" s="232"/>
      <c r="K151" s="232"/>
      <c r="L151" s="232"/>
      <c r="M151" s="345">
        <f>(M$16+M$19)*'Commissioned assets allocation'!M136</f>
        <v>2135125.3565935167</v>
      </c>
      <c r="N151" s="345">
        <f>(N$16+N$19)*'Commissioned assets allocation'!N136</f>
        <v>2005265.4417258252</v>
      </c>
      <c r="O151" s="345">
        <f>(O$16+O$19)*'Commissioned assets allocation'!O136</f>
        <v>2410410.4644379881</v>
      </c>
      <c r="P151" s="345">
        <f>(P$16+P$19)*'Commissioned assets allocation'!P136</f>
        <v>2498036.9709816594</v>
      </c>
      <c r="Q151" s="345">
        <f>(Q$16+Q$19)*'Commissioned assets allocation'!Q136</f>
        <v>2782969.478301561</v>
      </c>
      <c r="R151" s="345">
        <f>(R$16+R$19)*'Commissioned assets allocation'!R136</f>
        <v>2950293.4407172203</v>
      </c>
      <c r="S151" s="345">
        <f>(S$16+S$19)*'Commissioned assets allocation'!S136</f>
        <v>2884007.0027450458</v>
      </c>
      <c r="T151" s="232"/>
      <c r="U151" s="232"/>
      <c r="V151" s="243"/>
      <c r="W151" s="243"/>
      <c r="X151" s="243"/>
      <c r="Y151" s="243"/>
    </row>
    <row r="152" spans="1:25" outlineLevel="1" x14ac:dyDescent="0.2">
      <c r="B152" s="346">
        <v>0.13</v>
      </c>
      <c r="C152" s="280" t="s">
        <v>250</v>
      </c>
      <c r="H152" s="344"/>
      <c r="I152" s="232"/>
      <c r="M152" s="345">
        <f>(M$16+M$19)*'Commissioned assets allocation'!M137</f>
        <v>403418.07629322907</v>
      </c>
      <c r="N152" s="345">
        <f>(N$16+N$19)*'Commissioned assets allocation'!N137</f>
        <v>654195.69251841388</v>
      </c>
      <c r="O152" s="345">
        <f>(O$16+O$19)*'Commissioned assets allocation'!O137</f>
        <v>343497.19463446789</v>
      </c>
      <c r="P152" s="345">
        <f>(P$16+P$19)*'Commissioned assets allocation'!P137</f>
        <v>327102.94368919771</v>
      </c>
      <c r="Q152" s="345">
        <f>(Q$16+Q$19)*'Commissioned assets allocation'!Q137</f>
        <v>327650.48843669292</v>
      </c>
      <c r="R152" s="345">
        <f>(R$16+R$19)*'Commissioned assets allocation'!R137</f>
        <v>352978.7245623073</v>
      </c>
      <c r="S152" s="345">
        <f>(S$16+S$19)*'Commissioned assets allocation'!S137</f>
        <v>374555.08959370939</v>
      </c>
    </row>
    <row r="153" spans="1:25" s="12" customFormat="1" outlineLevel="1" x14ac:dyDescent="0.2">
      <c r="A153" s="232"/>
      <c r="B153" s="346">
        <v>0.2</v>
      </c>
      <c r="C153" s="280" t="s">
        <v>250</v>
      </c>
      <c r="D153" s="232"/>
      <c r="E153" s="232"/>
      <c r="F153" s="232"/>
      <c r="G153" s="232"/>
      <c r="H153" s="344"/>
      <c r="I153" s="232"/>
      <c r="J153" s="232"/>
      <c r="K153" s="232"/>
      <c r="L153" s="232"/>
      <c r="M153" s="345">
        <f>(M$16+M$19)*'Commissioned assets allocation'!M138</f>
        <v>322734.46103458328</v>
      </c>
      <c r="N153" s="345">
        <f>(N$16+N$19)*'Commissioned assets allocation'!N138</f>
        <v>523356.55401473108</v>
      </c>
      <c r="O153" s="345">
        <f>(O$16+O$19)*'Commissioned assets allocation'!O138</f>
        <v>274797.75570757431</v>
      </c>
      <c r="P153" s="345">
        <f>(P$16+P$19)*'Commissioned assets allocation'!P138</f>
        <v>261682.35495135817</v>
      </c>
      <c r="Q153" s="345">
        <f>(Q$16+Q$19)*'Commissioned assets allocation'!Q138</f>
        <v>262120.39074935435</v>
      </c>
      <c r="R153" s="345">
        <f>(R$16+R$19)*'Commissioned assets allocation'!R138</f>
        <v>282382.97964984586</v>
      </c>
      <c r="S153" s="345">
        <f>(S$16+S$19)*'Commissioned assets allocation'!S138</f>
        <v>299643.56320556166</v>
      </c>
      <c r="T153" s="232"/>
      <c r="U153" s="232"/>
      <c r="V153" s="243"/>
      <c r="W153" s="243"/>
      <c r="X153" s="243"/>
      <c r="Y153" s="243"/>
    </row>
    <row r="154" spans="1:25" outlineLevel="1" x14ac:dyDescent="0.2">
      <c r="B154" s="346">
        <v>0.5</v>
      </c>
      <c r="C154" s="280" t="s">
        <v>250</v>
      </c>
      <c r="H154" s="344"/>
      <c r="I154" s="232"/>
      <c r="M154" s="345">
        <f>(M$16+M$19)*'Commissioned assets allocation'!M139</f>
        <v>3027288.7930774377</v>
      </c>
      <c r="N154" s="345">
        <f>(N$16+N$19)*'Commissioned assets allocation'!N139</f>
        <v>3849603.2470598882</v>
      </c>
      <c r="O154" s="345">
        <f>(O$16+O$19)*'Commissioned assets allocation'!O139</f>
        <v>6576779.6184653752</v>
      </c>
      <c r="P154" s="345">
        <f>(P$16+P$19)*'Commissioned assets allocation'!P139</f>
        <v>2442286.2148207258</v>
      </c>
      <c r="Q154" s="345">
        <f>(Q$16+Q$19)*'Commissioned assets allocation'!Q139</f>
        <v>2013284.2042281548</v>
      </c>
      <c r="R154" s="345">
        <f>(R$16+R$19)*'Commissioned assets allocation'!R139</f>
        <v>1954546.6808703814</v>
      </c>
      <c r="S154" s="345">
        <f>(S$16+S$19)*'Commissioned assets allocation'!S139</f>
        <v>2007116.075664253</v>
      </c>
    </row>
    <row r="155" spans="1:25" outlineLevel="1" x14ac:dyDescent="0.2">
      <c r="B155" s="346">
        <v>1</v>
      </c>
      <c r="C155" s="280" t="s">
        <v>250</v>
      </c>
      <c r="H155" s="344"/>
      <c r="I155" s="232"/>
      <c r="M155" s="345">
        <f>(M$16+M$19)*'Commissioned assets allocation'!M140</f>
        <v>0</v>
      </c>
      <c r="N155" s="345">
        <f>(N$16+N$19)*'Commissioned assets allocation'!N140</f>
        <v>0</v>
      </c>
      <c r="O155" s="345">
        <f>(O$16+O$19)*'Commissioned assets allocation'!O140</f>
        <v>0</v>
      </c>
      <c r="P155" s="345">
        <f>(P$16+P$19)*'Commissioned assets allocation'!P140</f>
        <v>0</v>
      </c>
      <c r="Q155" s="345">
        <f>(Q$16+Q$19)*'Commissioned assets allocation'!Q140</f>
        <v>0</v>
      </c>
      <c r="R155" s="345">
        <f>(R$16+R$19)*'Commissioned assets allocation'!R140</f>
        <v>0</v>
      </c>
      <c r="S155" s="345">
        <f>(S$16+S$19)*'Commissioned assets allocation'!S140</f>
        <v>0</v>
      </c>
    </row>
    <row r="156" spans="1:25" outlineLevel="1" x14ac:dyDescent="0.2">
      <c r="B156" s="243" t="s">
        <v>49</v>
      </c>
      <c r="C156" s="337" t="s">
        <v>250</v>
      </c>
      <c r="D156" s="243"/>
      <c r="E156" s="243"/>
      <c r="F156" s="243"/>
      <c r="G156" s="243"/>
      <c r="I156" s="243"/>
      <c r="J156" s="243"/>
      <c r="K156" s="243"/>
      <c r="L156" s="243"/>
      <c r="M156" s="235">
        <f t="shared" ref="M156:S156" si="70">SUM(M149:M155)</f>
        <v>50563322.810879081</v>
      </c>
      <c r="N156" s="235">
        <f t="shared" si="70"/>
        <v>70266927.209127799</v>
      </c>
      <c r="O156" s="235">
        <f t="shared" si="70"/>
        <v>78991564.155327633</v>
      </c>
      <c r="P156" s="235">
        <f t="shared" si="70"/>
        <v>71478769.745112121</v>
      </c>
      <c r="Q156" s="235">
        <f t="shared" si="70"/>
        <v>73310481.084438339</v>
      </c>
      <c r="R156" s="235">
        <f t="shared" si="70"/>
        <v>73771543.819654182</v>
      </c>
      <c r="S156" s="235">
        <f t="shared" si="70"/>
        <v>70604995.177539036</v>
      </c>
    </row>
    <row r="157" spans="1:25" outlineLevel="1" x14ac:dyDescent="0.2">
      <c r="M157" s="229"/>
      <c r="N157" s="229"/>
      <c r="O157" s="229"/>
      <c r="P157" s="229"/>
      <c r="Q157" s="229"/>
      <c r="R157" s="229"/>
      <c r="S157" s="229"/>
    </row>
    <row r="158" spans="1:25" outlineLevel="1" x14ac:dyDescent="0.2">
      <c r="B158" s="242" t="s">
        <v>428</v>
      </c>
      <c r="C158" s="280" t="s">
        <v>58</v>
      </c>
      <c r="D158" s="297">
        <f>SUM(H158:S158)</f>
        <v>0</v>
      </c>
      <c r="E158" s="298"/>
      <c r="H158" s="229"/>
      <c r="I158" s="230"/>
      <c r="J158" s="229"/>
      <c r="K158" s="229"/>
      <c r="L158" s="229"/>
      <c r="M158" s="228">
        <f>IF(ABS(M156-M$16-M$19)&lt;0.001,0,1)</f>
        <v>0</v>
      </c>
      <c r="N158" s="228">
        <f t="shared" ref="N158:S158" si="71">IF(ABS(N156-N$16-N$19)&lt;0.001,0,1)</f>
        <v>0</v>
      </c>
      <c r="O158" s="228">
        <f t="shared" si="71"/>
        <v>0</v>
      </c>
      <c r="P158" s="228">
        <f t="shared" si="71"/>
        <v>0</v>
      </c>
      <c r="Q158" s="228">
        <f t="shared" si="71"/>
        <v>0</v>
      </c>
      <c r="R158" s="228">
        <f t="shared" si="71"/>
        <v>0</v>
      </c>
      <c r="S158" s="228">
        <f t="shared" si="71"/>
        <v>0</v>
      </c>
      <c r="T158" s="228"/>
      <c r="U158" s="228"/>
    </row>
    <row r="159" spans="1:25" outlineLevel="1" x14ac:dyDescent="0.2">
      <c r="B159" s="338"/>
      <c r="C159" s="337"/>
      <c r="D159" s="243"/>
      <c r="E159" s="243"/>
      <c r="F159" s="243"/>
      <c r="G159" s="243"/>
      <c r="I159" s="243"/>
      <c r="J159" s="243"/>
      <c r="K159" s="243"/>
      <c r="L159" s="243"/>
      <c r="M159" s="294"/>
      <c r="N159" s="294"/>
      <c r="O159" s="294"/>
      <c r="P159" s="294"/>
      <c r="Q159" s="294"/>
      <c r="R159" s="294"/>
      <c r="S159" s="294"/>
    </row>
    <row r="160" spans="1:25" outlineLevel="1" x14ac:dyDescent="0.2">
      <c r="B160" s="287" t="s">
        <v>450</v>
      </c>
      <c r="C160" s="314"/>
      <c r="D160" s="347"/>
      <c r="E160" s="314"/>
    </row>
    <row r="161" spans="1:21" outlineLevel="1" x14ac:dyDescent="0.2"/>
    <row r="162" spans="1:21" outlineLevel="1" x14ac:dyDescent="0.2">
      <c r="B162" s="229" t="s">
        <v>95</v>
      </c>
      <c r="C162" s="280" t="s">
        <v>250</v>
      </c>
      <c r="M162" s="345">
        <f>M$16*'Commissioned assets allocation'!M146</f>
        <v>4633872.3102142699</v>
      </c>
      <c r="N162" s="345">
        <f>N$16*'Commissioned assets allocation'!N146</f>
        <v>3748590.3008927819</v>
      </c>
      <c r="O162" s="345">
        <f>O$16*'Commissioned assets allocation'!O146</f>
        <v>3142201.2112447293</v>
      </c>
      <c r="P162" s="345">
        <f>P$16*'Commissioned assets allocation'!P146</f>
        <v>3031393.6948039671</v>
      </c>
      <c r="Q162" s="345">
        <f>Q$16*'Commissioned assets allocation'!Q146</f>
        <v>4129947.7811113521</v>
      </c>
      <c r="R162" s="345">
        <f>R$16*'Commissioned assets allocation'!R146</f>
        <v>5039022.6399233397</v>
      </c>
      <c r="S162" s="345">
        <f>S$16*'Commissioned assets allocation'!S146</f>
        <v>6139352.2789851716</v>
      </c>
    </row>
    <row r="163" spans="1:21" outlineLevel="1" x14ac:dyDescent="0.2">
      <c r="B163" s="232" t="s">
        <v>77</v>
      </c>
      <c r="C163" s="280" t="s">
        <v>250</v>
      </c>
      <c r="M163" s="345">
        <f>M$16*'Commissioned assets allocation'!M147</f>
        <v>3626495.9399787439</v>
      </c>
      <c r="N163" s="345">
        <f>N$16*'Commissioned assets allocation'!N147</f>
        <v>4158033.8030176382</v>
      </c>
      <c r="O163" s="345">
        <f>O$16*'Commissioned assets allocation'!O147</f>
        <v>3149518.7928277878</v>
      </c>
      <c r="P163" s="345">
        <f>P$16*'Commissioned assets allocation'!P147</f>
        <v>2399978.782722726</v>
      </c>
      <c r="Q163" s="345">
        <f>Q$16*'Commissioned assets allocation'!Q147</f>
        <v>4546695.3610023046</v>
      </c>
      <c r="R163" s="345">
        <f>R$16*'Commissioned assets allocation'!R147</f>
        <v>3293388.1894424241</v>
      </c>
      <c r="S163" s="345">
        <f>S$16*'Commissioned assets allocation'!S147</f>
        <v>3492959.3870543083</v>
      </c>
    </row>
    <row r="164" spans="1:21" outlineLevel="1" x14ac:dyDescent="0.2">
      <c r="B164" s="232" t="s">
        <v>100</v>
      </c>
      <c r="C164" s="280" t="s">
        <v>250</v>
      </c>
      <c r="M164" s="345">
        <f>M$16*'Commissioned assets allocation'!M148</f>
        <v>31198372.03991292</v>
      </c>
      <c r="N164" s="345">
        <f>N$16*'Commissioned assets allocation'!N148</f>
        <v>47343934.855393395</v>
      </c>
      <c r="O164" s="345">
        <f>O$16*'Commissioned assets allocation'!O148</f>
        <v>57938569.173604295</v>
      </c>
      <c r="P164" s="345">
        <f>P$16*'Commissioned assets allocation'!P148</f>
        <v>56381470.464580446</v>
      </c>
      <c r="Q164" s="345">
        <f>Q$16*'Commissioned assets allocation'!Q148</f>
        <v>54513207.668103248</v>
      </c>
      <c r="R164" s="345">
        <f>R$16*'Commissioned assets allocation'!R148</f>
        <v>53190843.595507227</v>
      </c>
      <c r="S164" s="345">
        <f>S$16*'Commissioned assets allocation'!S148</f>
        <v>47540303.939542942</v>
      </c>
    </row>
    <row r="165" spans="1:21" outlineLevel="1" x14ac:dyDescent="0.2">
      <c r="B165" s="232" t="s">
        <v>93</v>
      </c>
      <c r="C165" s="280" t="s">
        <v>250</v>
      </c>
      <c r="M165" s="345">
        <f>M$16*'Commissioned assets allocation'!M149</f>
        <v>770309.28949749272</v>
      </c>
      <c r="N165" s="345">
        <f>N$16*'Commissioned assets allocation'!N149</f>
        <v>792486.68308325601</v>
      </c>
      <c r="O165" s="345">
        <f>O$16*'Commissioned assets allocation'!O149</f>
        <v>811069.02118802164</v>
      </c>
      <c r="P165" s="345">
        <f>P$16*'Commissioned assets allocation'!P149</f>
        <v>783149.08353728254</v>
      </c>
      <c r="Q165" s="345">
        <f>Q$16*'Commissioned assets allocation'!Q149</f>
        <v>773658.65305081394</v>
      </c>
      <c r="R165" s="345">
        <f>R$16*'Commissioned assets allocation'!R149</f>
        <v>819729.04679663049</v>
      </c>
      <c r="S165" s="345">
        <f>S$16*'Commissioned assets allocation'!S149</f>
        <v>849645.96004623349</v>
      </c>
    </row>
    <row r="166" spans="1:21" outlineLevel="1" x14ac:dyDescent="0.2">
      <c r="C166" s="280"/>
      <c r="M166" s="229"/>
      <c r="N166" s="229"/>
      <c r="O166" s="229"/>
      <c r="P166" s="229"/>
      <c r="Q166" s="229"/>
      <c r="R166" s="229"/>
      <c r="S166" s="229"/>
    </row>
    <row r="167" spans="1:21" outlineLevel="1" x14ac:dyDescent="0.2">
      <c r="B167" s="243" t="s">
        <v>270</v>
      </c>
      <c r="C167" s="280"/>
      <c r="M167" s="229"/>
      <c r="N167" s="229"/>
      <c r="O167" s="229"/>
      <c r="P167" s="229"/>
      <c r="Q167" s="229"/>
      <c r="R167" s="229"/>
      <c r="S167" s="229"/>
    </row>
    <row r="168" spans="1:21" outlineLevel="1" x14ac:dyDescent="0.2">
      <c r="B168" s="229" t="s">
        <v>97</v>
      </c>
      <c r="C168" s="280" t="s">
        <v>250</v>
      </c>
      <c r="M168" s="345">
        <f>M$16*'Commissioned assets allocation'!M152</f>
        <v>1061749.6816488639</v>
      </c>
      <c r="N168" s="345">
        <f>N$16*'Commissioned assets allocation'!N152</f>
        <v>245534.82592797495</v>
      </c>
      <c r="O168" s="345">
        <f>O$16*'Commissioned assets allocation'!O152</f>
        <v>487865.31268445903</v>
      </c>
      <c r="P168" s="345">
        <f>P$16*'Commissioned assets allocation'!P152</f>
        <v>468984.29857260309</v>
      </c>
      <c r="Q168" s="345">
        <f>Q$16*'Commissioned assets allocation'!Q152</f>
        <v>227957.71529116973</v>
      </c>
      <c r="R168" s="345">
        <f>R$16*'Commissioned assets allocation'!R152</f>
        <v>962605.51419546211</v>
      </c>
      <c r="S168" s="345">
        <f>S$16*'Commissioned assets allocation'!S152</f>
        <v>746267.2134033005</v>
      </c>
    </row>
    <row r="169" spans="1:21" outlineLevel="1" x14ac:dyDescent="0.2">
      <c r="B169" s="232" t="s">
        <v>121</v>
      </c>
      <c r="C169" s="280" t="s">
        <v>250</v>
      </c>
      <c r="M169" s="345">
        <f>M$16*'Commissioned assets allocation'!M153</f>
        <v>0</v>
      </c>
      <c r="N169" s="345">
        <f>N$16*'Commissioned assets allocation'!N153</f>
        <v>0</v>
      </c>
      <c r="O169" s="345">
        <f>O$16*'Commissioned assets allocation'!O153</f>
        <v>0</v>
      </c>
      <c r="P169" s="345">
        <f>P$16*'Commissioned assets allocation'!P153</f>
        <v>0</v>
      </c>
      <c r="Q169" s="345">
        <f>Q$16*'Commissioned assets allocation'!Q153</f>
        <v>0</v>
      </c>
      <c r="R169" s="345">
        <f>R$16*'Commissioned assets allocation'!R153</f>
        <v>0</v>
      </c>
      <c r="S169" s="345">
        <f>S$16*'Commissioned assets allocation'!S153</f>
        <v>0</v>
      </c>
      <c r="T169" s="229"/>
    </row>
    <row r="170" spans="1:21" outlineLevel="1" x14ac:dyDescent="0.2">
      <c r="B170" s="232" t="s">
        <v>122</v>
      </c>
      <c r="C170" s="280" t="s">
        <v>250</v>
      </c>
      <c r="M170" s="345">
        <f>M$16*'Commissioned assets allocation'!M154</f>
        <v>0</v>
      </c>
      <c r="N170" s="345">
        <f>N$16*'Commissioned assets allocation'!N154</f>
        <v>0</v>
      </c>
      <c r="O170" s="345">
        <f>O$16*'Commissioned assets allocation'!O154</f>
        <v>0</v>
      </c>
      <c r="P170" s="345">
        <f>P$16*'Commissioned assets allocation'!P154</f>
        <v>0</v>
      </c>
      <c r="Q170" s="345">
        <f>Q$16*'Commissioned assets allocation'!Q154</f>
        <v>0</v>
      </c>
      <c r="R170" s="345">
        <f>R$16*'Commissioned assets allocation'!R154</f>
        <v>0</v>
      </c>
      <c r="S170" s="345">
        <f>S$16*'Commissioned assets allocation'!S154</f>
        <v>0</v>
      </c>
    </row>
    <row r="171" spans="1:21" outlineLevel="1" x14ac:dyDescent="0.2">
      <c r="A171" s="243"/>
      <c r="B171" s="243" t="s">
        <v>272</v>
      </c>
      <c r="C171" s="337" t="s">
        <v>250</v>
      </c>
      <c r="D171" s="243"/>
      <c r="E171" s="243"/>
      <c r="F171" s="243"/>
      <c r="G171" s="243"/>
      <c r="H171" s="243"/>
      <c r="I171" s="335"/>
      <c r="J171" s="243"/>
      <c r="K171" s="243"/>
      <c r="M171" s="233">
        <f>SUM(M168:M170)</f>
        <v>1061749.6816488639</v>
      </c>
      <c r="N171" s="233">
        <f t="shared" ref="N171:S171" si="72">SUM(N168:N170)</f>
        <v>245534.82592797495</v>
      </c>
      <c r="O171" s="233">
        <f t="shared" si="72"/>
        <v>487865.31268445903</v>
      </c>
      <c r="P171" s="233">
        <f t="shared" si="72"/>
        <v>468984.29857260309</v>
      </c>
      <c r="Q171" s="233">
        <f t="shared" si="72"/>
        <v>227957.71529116973</v>
      </c>
      <c r="R171" s="233">
        <f t="shared" si="72"/>
        <v>962605.51419546211</v>
      </c>
      <c r="S171" s="233">
        <f t="shared" si="72"/>
        <v>746267.2134033005</v>
      </c>
      <c r="T171" s="243"/>
      <c r="U171" s="243"/>
    </row>
    <row r="172" spans="1:21" outlineLevel="1" x14ac:dyDescent="0.2">
      <c r="C172" s="337"/>
      <c r="M172" s="229"/>
      <c r="N172" s="229"/>
      <c r="O172" s="229"/>
      <c r="P172" s="229"/>
      <c r="Q172" s="229"/>
      <c r="R172" s="229"/>
      <c r="S172" s="229"/>
    </row>
    <row r="173" spans="1:21" outlineLevel="1" x14ac:dyDescent="0.2">
      <c r="A173" s="243"/>
      <c r="B173" s="243" t="s">
        <v>295</v>
      </c>
      <c r="C173" s="337" t="s">
        <v>250</v>
      </c>
      <c r="D173" s="243"/>
      <c r="E173" s="243"/>
      <c r="F173" s="243"/>
      <c r="G173" s="243"/>
      <c r="H173" s="243"/>
      <c r="I173" s="335"/>
      <c r="J173" s="243"/>
      <c r="K173" s="243"/>
      <c r="M173" s="235">
        <f>SUM(M162:M165,M171)</f>
        <v>41290799.261252292</v>
      </c>
      <c r="N173" s="235">
        <f t="shared" ref="N173:S173" si="73">SUM(N162:N165,N171)</f>
        <v>56288580.468315043</v>
      </c>
      <c r="O173" s="235">
        <f t="shared" si="73"/>
        <v>65529223.511549294</v>
      </c>
      <c r="P173" s="235">
        <f t="shared" si="73"/>
        <v>63064976.324217021</v>
      </c>
      <c r="Q173" s="235">
        <f t="shared" si="73"/>
        <v>64191467.178558894</v>
      </c>
      <c r="R173" s="235">
        <f t="shared" si="73"/>
        <v>63305588.985865086</v>
      </c>
      <c r="S173" s="235">
        <f t="shared" si="73"/>
        <v>58768528.779031955</v>
      </c>
      <c r="T173" s="243"/>
      <c r="U173" s="243"/>
    </row>
    <row r="174" spans="1:21" outlineLevel="1" x14ac:dyDescent="0.2">
      <c r="C174" s="280"/>
      <c r="M174" s="229"/>
      <c r="N174" s="229"/>
      <c r="O174" s="229"/>
      <c r="P174" s="229"/>
      <c r="Q174" s="229"/>
      <c r="R174" s="229"/>
      <c r="S174" s="229"/>
    </row>
    <row r="175" spans="1:21" outlineLevel="1" x14ac:dyDescent="0.2">
      <c r="B175" s="232" t="s">
        <v>274</v>
      </c>
      <c r="C175" s="280" t="s">
        <v>250</v>
      </c>
      <c r="M175" s="345">
        <f>M$16*'Commissioned assets allocation'!M156</f>
        <v>3387905.0081408611</v>
      </c>
      <c r="N175" s="345">
        <f>N$16*'Commissioned assets allocation'!N156</f>
        <v>4459237.5333509455</v>
      </c>
      <c r="O175" s="345">
        <f>O$16*'Commissioned assets allocation'!O156</f>
        <v>6636053.7458461588</v>
      </c>
      <c r="P175" s="345">
        <f>P$16*'Commissioned assets allocation'!P156</f>
        <v>2855713.6124223694</v>
      </c>
      <c r="Q175" s="345">
        <f>Q$16*'Commissioned assets allocation'!Q156</f>
        <v>2424912.240468008</v>
      </c>
      <c r="R175" s="345">
        <f>R$16*'Commissioned assets allocation'!R156</f>
        <v>2368475.8609028156</v>
      </c>
      <c r="S175" s="345">
        <f>S$16*'Commissioned assets allocation'!S156</f>
        <v>2387358.8946668571</v>
      </c>
    </row>
    <row r="176" spans="1:21" outlineLevel="1" x14ac:dyDescent="0.2">
      <c r="A176" s="243"/>
      <c r="B176" s="243" t="s">
        <v>296</v>
      </c>
      <c r="C176" s="337" t="s">
        <v>250</v>
      </c>
      <c r="D176" s="243"/>
      <c r="E176" s="243"/>
      <c r="F176" s="243"/>
      <c r="G176" s="243"/>
      <c r="H176" s="243"/>
      <c r="I176" s="335"/>
      <c r="J176" s="243"/>
      <c r="K176" s="243"/>
      <c r="M176" s="235">
        <f>M173+M175</f>
        <v>44678704.269393153</v>
      </c>
      <c r="N176" s="235">
        <f t="shared" ref="N176:S176" si="74">N173+N175</f>
        <v>60747818.001665987</v>
      </c>
      <c r="O176" s="235">
        <f t="shared" si="74"/>
        <v>72165277.257395446</v>
      </c>
      <c r="P176" s="235">
        <f t="shared" si="74"/>
        <v>65920689.936639391</v>
      </c>
      <c r="Q176" s="235">
        <f t="shared" si="74"/>
        <v>66616379.419026904</v>
      </c>
      <c r="R176" s="235">
        <f t="shared" si="74"/>
        <v>65674064.846767902</v>
      </c>
      <c r="S176" s="235">
        <f t="shared" si="74"/>
        <v>61155887.673698813</v>
      </c>
      <c r="T176" s="243"/>
      <c r="U176" s="243"/>
    </row>
    <row r="177" spans="1:21" outlineLevel="1" x14ac:dyDescent="0.2">
      <c r="A177" s="243"/>
      <c r="B177" s="243"/>
      <c r="C177" s="337"/>
      <c r="D177" s="243"/>
      <c r="E177" s="243"/>
      <c r="F177" s="243"/>
      <c r="G177" s="243"/>
      <c r="H177" s="243"/>
      <c r="I177" s="335"/>
      <c r="J177" s="243"/>
      <c r="K177" s="243"/>
      <c r="M177" s="294"/>
      <c r="N177" s="294"/>
      <c r="O177" s="294"/>
      <c r="P177" s="294"/>
      <c r="Q177" s="294"/>
      <c r="R177" s="294"/>
      <c r="S177" s="294"/>
      <c r="T177" s="243"/>
      <c r="U177" s="243"/>
    </row>
    <row r="178" spans="1:21" outlineLevel="1" x14ac:dyDescent="0.2">
      <c r="B178" s="242" t="s">
        <v>437</v>
      </c>
      <c r="C178" s="280" t="s">
        <v>58</v>
      </c>
      <c r="D178" s="297">
        <f>SUM(H178:S178)</f>
        <v>0</v>
      </c>
      <c r="E178" s="298"/>
      <c r="M178" s="228">
        <f>M176-M$16</f>
        <v>0</v>
      </c>
      <c r="N178" s="228">
        <f t="shared" ref="N178:S178" si="75">N176-N$16</f>
        <v>0</v>
      </c>
      <c r="O178" s="228">
        <f t="shared" si="75"/>
        <v>0</v>
      </c>
      <c r="P178" s="228">
        <f t="shared" si="75"/>
        <v>0</v>
      </c>
      <c r="Q178" s="228">
        <f t="shared" si="75"/>
        <v>0</v>
      </c>
      <c r="R178" s="228">
        <f t="shared" si="75"/>
        <v>0</v>
      </c>
      <c r="S178" s="228">
        <f t="shared" si="75"/>
        <v>0</v>
      </c>
    </row>
    <row r="179" spans="1:21" outlineLevel="1" x14ac:dyDescent="0.2">
      <c r="B179" s="229"/>
    </row>
    <row r="180" spans="1:21" outlineLevel="1" x14ac:dyDescent="0.2">
      <c r="B180" s="287" t="s">
        <v>297</v>
      </c>
      <c r="C180" s="229"/>
    </row>
    <row r="181" spans="1:21" outlineLevel="1" x14ac:dyDescent="0.2">
      <c r="B181" s="304"/>
      <c r="C181" s="229"/>
    </row>
    <row r="182" spans="1:21" outlineLevel="1" x14ac:dyDescent="0.2">
      <c r="B182" s="229" t="s">
        <v>95</v>
      </c>
      <c r="C182" s="280" t="s">
        <v>250</v>
      </c>
      <c r="M182" s="345">
        <f>M$19*'Commissioned assets allocation'!M162</f>
        <v>5640497.9085288858</v>
      </c>
      <c r="N182" s="345">
        <f>N$19*'Commissioned assets allocation'!N162</f>
        <v>7857880.5367415864</v>
      </c>
      <c r="O182" s="345">
        <f>O$19*'Commissioned assets allocation'!O162</f>
        <v>5425778.0768472739</v>
      </c>
      <c r="P182" s="345">
        <f>P$19*'Commissioned assets allocation'!P162</f>
        <v>4416971.8536878359</v>
      </c>
      <c r="Q182" s="345">
        <f>Q$19*'Commissioned assets allocation'!Q162</f>
        <v>5637950.494353543</v>
      </c>
      <c r="R182" s="345">
        <f>R$19*'Commissioned assets allocation'!R162</f>
        <v>6964517.7082971837</v>
      </c>
      <c r="S182" s="345">
        <f>S$19*'Commissioned assets allocation'!S162</f>
        <v>8300388.36812142</v>
      </c>
    </row>
    <row r="183" spans="1:21" outlineLevel="1" x14ac:dyDescent="0.2">
      <c r="B183" s="229" t="s">
        <v>77</v>
      </c>
      <c r="C183" s="280" t="s">
        <v>250</v>
      </c>
      <c r="M183" s="345">
        <f>M$19*'Commissioned assets allocation'!M163</f>
        <v>0</v>
      </c>
      <c r="N183" s="345">
        <f>N$19*'Commissioned assets allocation'!N163</f>
        <v>0</v>
      </c>
      <c r="O183" s="345">
        <f>O$19*'Commissioned assets allocation'!O163</f>
        <v>0</v>
      </c>
      <c r="P183" s="345">
        <f>P$19*'Commissioned assets allocation'!P163</f>
        <v>0</v>
      </c>
      <c r="Q183" s="345">
        <f>Q$19*'Commissioned assets allocation'!Q163</f>
        <v>0</v>
      </c>
      <c r="R183" s="345">
        <f>R$19*'Commissioned assets allocation'!R163</f>
        <v>0</v>
      </c>
      <c r="S183" s="345">
        <f>S$19*'Commissioned assets allocation'!S163</f>
        <v>0</v>
      </c>
    </row>
    <row r="184" spans="1:21" outlineLevel="1" x14ac:dyDescent="0.2">
      <c r="B184" s="229" t="s">
        <v>100</v>
      </c>
      <c r="C184" s="280" t="s">
        <v>250</v>
      </c>
      <c r="M184" s="345">
        <f>M$19*'Commissioned assets allocation'!M164</f>
        <v>0</v>
      </c>
      <c r="N184" s="345">
        <f>N$19*'Commissioned assets allocation'!N164</f>
        <v>0</v>
      </c>
      <c r="O184" s="345">
        <f>O$19*'Commissioned assets allocation'!O164</f>
        <v>0</v>
      </c>
      <c r="P184" s="345">
        <f>P$19*'Commissioned assets allocation'!P164</f>
        <v>0</v>
      </c>
      <c r="Q184" s="345">
        <f>Q$19*'Commissioned assets allocation'!Q164</f>
        <v>0</v>
      </c>
      <c r="R184" s="345">
        <f>R$19*'Commissioned assets allocation'!R164</f>
        <v>0</v>
      </c>
      <c r="S184" s="345">
        <f>S$19*'Commissioned assets allocation'!S164</f>
        <v>0</v>
      </c>
    </row>
    <row r="185" spans="1:21" outlineLevel="1" x14ac:dyDescent="0.2">
      <c r="B185" s="229" t="s">
        <v>93</v>
      </c>
      <c r="C185" s="280" t="s">
        <v>250</v>
      </c>
      <c r="M185" s="345">
        <f>M$19*'Commissioned assets allocation'!M165</f>
        <v>244120.63295704176</v>
      </c>
      <c r="N185" s="345">
        <f>N$19*'Commissioned assets allocation'!N165</f>
        <v>1661228.6707202175</v>
      </c>
      <c r="O185" s="345">
        <f>O$19*'Commissioned assets allocation'!O165</f>
        <v>1400508.8210849138</v>
      </c>
      <c r="P185" s="345">
        <f>P$19*'Commissioned assets allocation'!P165</f>
        <v>1141107.9547849016</v>
      </c>
      <c r="Q185" s="345">
        <f>Q$19*'Commissioned assets allocation'!Q165</f>
        <v>1056151.1710579004</v>
      </c>
      <c r="R185" s="345">
        <f>R$19*'Commissioned assets allocation'!R165</f>
        <v>1132961.2645891097</v>
      </c>
      <c r="S185" s="345">
        <f>S$19*'Commissioned assets allocation'!S165</f>
        <v>1148719.1357188032</v>
      </c>
    </row>
    <row r="186" spans="1:21" outlineLevel="1" x14ac:dyDescent="0.2">
      <c r="B186" s="229"/>
      <c r="C186" s="280"/>
      <c r="M186" s="229"/>
      <c r="N186" s="229"/>
      <c r="O186" s="229"/>
      <c r="P186" s="229"/>
      <c r="Q186" s="229"/>
      <c r="R186" s="229"/>
      <c r="S186" s="229"/>
    </row>
    <row r="187" spans="1:21" outlineLevel="1" x14ac:dyDescent="0.2">
      <c r="B187" s="288" t="s">
        <v>270</v>
      </c>
      <c r="C187" s="280"/>
      <c r="M187" s="229"/>
      <c r="N187" s="229"/>
      <c r="O187" s="229"/>
      <c r="P187" s="229"/>
      <c r="Q187" s="229"/>
      <c r="R187" s="229"/>
      <c r="S187" s="229"/>
    </row>
    <row r="188" spans="1:21" outlineLevel="1" x14ac:dyDescent="0.2">
      <c r="B188" s="229" t="s">
        <v>97</v>
      </c>
      <c r="C188" s="280" t="s">
        <v>250</v>
      </c>
      <c r="M188" s="345">
        <f>M$19*'Commissioned assets allocation'!M168</f>
        <v>0</v>
      </c>
      <c r="N188" s="345">
        <f>N$19*'Commissioned assets allocation'!N168</f>
        <v>0</v>
      </c>
      <c r="O188" s="345">
        <f>O$19*'Commissioned assets allocation'!O168</f>
        <v>0</v>
      </c>
      <c r="P188" s="345">
        <f>P$19*'Commissioned assets allocation'!P168</f>
        <v>0</v>
      </c>
      <c r="Q188" s="345">
        <f>Q$19*'Commissioned assets allocation'!Q168</f>
        <v>0</v>
      </c>
      <c r="R188" s="345">
        <f>R$19*'Commissioned assets allocation'!R168</f>
        <v>0</v>
      </c>
      <c r="S188" s="345">
        <f>S$19*'Commissioned assets allocation'!S168</f>
        <v>0</v>
      </c>
    </row>
    <row r="189" spans="1:21" outlineLevel="1" x14ac:dyDescent="0.2">
      <c r="B189" s="229" t="s">
        <v>121</v>
      </c>
      <c r="C189" s="280" t="s">
        <v>250</v>
      </c>
      <c r="M189" s="345">
        <f>M$19*'Commissioned assets allocation'!M169</f>
        <v>0</v>
      </c>
      <c r="N189" s="345">
        <f>N$19*'Commissioned assets allocation'!N169</f>
        <v>0</v>
      </c>
      <c r="O189" s="345">
        <f>O$19*'Commissioned assets allocation'!O169</f>
        <v>0</v>
      </c>
      <c r="P189" s="345">
        <f>P$19*'Commissioned assets allocation'!P169</f>
        <v>0</v>
      </c>
      <c r="Q189" s="345">
        <f>Q$19*'Commissioned assets allocation'!Q169</f>
        <v>0</v>
      </c>
      <c r="R189" s="345">
        <f>R$19*'Commissioned assets allocation'!R169</f>
        <v>0</v>
      </c>
      <c r="S189" s="345">
        <f>S$19*'Commissioned assets allocation'!S169</f>
        <v>0</v>
      </c>
      <c r="T189" s="229"/>
    </row>
    <row r="190" spans="1:21" outlineLevel="1" x14ac:dyDescent="0.2">
      <c r="B190" s="229" t="s">
        <v>122</v>
      </c>
      <c r="C190" s="280" t="s">
        <v>250</v>
      </c>
      <c r="M190" s="345">
        <f>M$19*'Commissioned assets allocation'!M170</f>
        <v>0</v>
      </c>
      <c r="N190" s="345">
        <f>N$19*'Commissioned assets allocation'!N170</f>
        <v>0</v>
      </c>
      <c r="O190" s="345">
        <f>O$19*'Commissioned assets allocation'!O170</f>
        <v>0</v>
      </c>
      <c r="P190" s="345">
        <f>P$19*'Commissioned assets allocation'!P170</f>
        <v>0</v>
      </c>
      <c r="Q190" s="345">
        <f>Q$19*'Commissioned assets allocation'!Q170</f>
        <v>0</v>
      </c>
      <c r="R190" s="345">
        <f>R$19*'Commissioned assets allocation'!R170</f>
        <v>0</v>
      </c>
      <c r="S190" s="345">
        <f>S$19*'Commissioned assets allocation'!S170</f>
        <v>0</v>
      </c>
    </row>
    <row r="191" spans="1:21" outlineLevel="1" x14ac:dyDescent="0.2">
      <c r="A191" s="243"/>
      <c r="B191" s="288" t="s">
        <v>272</v>
      </c>
      <c r="C191" s="337" t="s">
        <v>250</v>
      </c>
      <c r="D191" s="243"/>
      <c r="E191" s="243"/>
      <c r="F191" s="243"/>
      <c r="G191" s="243"/>
      <c r="H191" s="243"/>
      <c r="I191" s="335"/>
      <c r="J191" s="243"/>
      <c r="K191" s="243"/>
      <c r="M191" s="233">
        <f>SUM(M188:M190)</f>
        <v>0</v>
      </c>
      <c r="N191" s="233">
        <f t="shared" ref="N191:S191" si="76">SUM(N188:N190)</f>
        <v>0</v>
      </c>
      <c r="O191" s="233">
        <f t="shared" si="76"/>
        <v>0</v>
      </c>
      <c r="P191" s="233">
        <f t="shared" si="76"/>
        <v>0</v>
      </c>
      <c r="Q191" s="233">
        <f t="shared" si="76"/>
        <v>0</v>
      </c>
      <c r="R191" s="233">
        <f t="shared" si="76"/>
        <v>0</v>
      </c>
      <c r="S191" s="233">
        <f t="shared" si="76"/>
        <v>0</v>
      </c>
      <c r="T191" s="243"/>
      <c r="U191" s="243"/>
    </row>
    <row r="192" spans="1:21" outlineLevel="1" x14ac:dyDescent="0.2">
      <c r="B192" s="229"/>
      <c r="C192" s="337"/>
      <c r="M192" s="229"/>
      <c r="N192" s="229"/>
      <c r="O192" s="229"/>
      <c r="P192" s="229"/>
      <c r="Q192" s="229"/>
      <c r="R192" s="229"/>
      <c r="S192" s="229"/>
    </row>
    <row r="193" spans="1:21" outlineLevel="1" x14ac:dyDescent="0.2">
      <c r="A193" s="243"/>
      <c r="B193" s="288" t="s">
        <v>295</v>
      </c>
      <c r="C193" s="337" t="s">
        <v>250</v>
      </c>
      <c r="D193" s="243"/>
      <c r="E193" s="243"/>
      <c r="F193" s="243"/>
      <c r="G193" s="243"/>
      <c r="H193" s="243"/>
      <c r="I193" s="335"/>
      <c r="J193" s="243"/>
      <c r="K193" s="243"/>
      <c r="M193" s="235">
        <f>SUM(M182:M185,M191)</f>
        <v>5884618.541485928</v>
      </c>
      <c r="N193" s="235">
        <f t="shared" ref="N193:S193" si="77">SUM(N182:N185,N191)</f>
        <v>9519109.2074618042</v>
      </c>
      <c r="O193" s="235">
        <f t="shared" si="77"/>
        <v>6826286.8979321877</v>
      </c>
      <c r="P193" s="235">
        <f t="shared" si="77"/>
        <v>5558079.8084727377</v>
      </c>
      <c r="Q193" s="235">
        <f t="shared" si="77"/>
        <v>6694101.6654114434</v>
      </c>
      <c r="R193" s="235">
        <f t="shared" si="77"/>
        <v>8097478.9728862932</v>
      </c>
      <c r="S193" s="235">
        <f t="shared" si="77"/>
        <v>9449107.503840223</v>
      </c>
      <c r="T193" s="243"/>
      <c r="U193" s="243"/>
    </row>
    <row r="194" spans="1:21" outlineLevel="1" x14ac:dyDescent="0.2">
      <c r="B194" s="229"/>
      <c r="C194" s="280"/>
      <c r="M194" s="229"/>
      <c r="N194" s="229"/>
      <c r="O194" s="229"/>
      <c r="P194" s="229"/>
      <c r="Q194" s="229"/>
      <c r="R194" s="229"/>
      <c r="S194" s="229"/>
    </row>
    <row r="195" spans="1:21" outlineLevel="1" x14ac:dyDescent="0.2">
      <c r="B195" s="229" t="s">
        <v>274</v>
      </c>
      <c r="C195" s="280" t="s">
        <v>250</v>
      </c>
      <c r="M195" s="345">
        <f>M$19*'Commissioned assets allocation'!M172</f>
        <v>0</v>
      </c>
      <c r="N195" s="345">
        <f>N$19*'Commissioned assets allocation'!N172</f>
        <v>0</v>
      </c>
      <c r="O195" s="345">
        <f>O$19*'Commissioned assets allocation'!O172</f>
        <v>0</v>
      </c>
      <c r="P195" s="345">
        <f>P$19*'Commissioned assets allocation'!P172</f>
        <v>0</v>
      </c>
      <c r="Q195" s="345">
        <f>Q$19*'Commissioned assets allocation'!Q172</f>
        <v>0</v>
      </c>
      <c r="R195" s="345">
        <f>R$19*'Commissioned assets allocation'!R172</f>
        <v>0</v>
      </c>
      <c r="S195" s="345">
        <f>S$19*'Commissioned assets allocation'!S172</f>
        <v>0</v>
      </c>
    </row>
    <row r="196" spans="1:21" outlineLevel="1" x14ac:dyDescent="0.2">
      <c r="A196" s="243"/>
      <c r="B196" s="288" t="s">
        <v>296</v>
      </c>
      <c r="C196" s="337" t="s">
        <v>250</v>
      </c>
      <c r="D196" s="243"/>
      <c r="E196" s="243"/>
      <c r="F196" s="243"/>
      <c r="G196" s="243"/>
      <c r="H196" s="243"/>
      <c r="I196" s="335"/>
      <c r="J196" s="243"/>
      <c r="K196" s="243"/>
      <c r="M196" s="235">
        <f>M193+M195</f>
        <v>5884618.541485928</v>
      </c>
      <c r="N196" s="235">
        <f t="shared" ref="N196:S196" si="78">N193+N195</f>
        <v>9519109.2074618042</v>
      </c>
      <c r="O196" s="235">
        <f t="shared" si="78"/>
        <v>6826286.8979321877</v>
      </c>
      <c r="P196" s="235">
        <f t="shared" si="78"/>
        <v>5558079.8084727377</v>
      </c>
      <c r="Q196" s="235">
        <f t="shared" si="78"/>
        <v>6694101.6654114434</v>
      </c>
      <c r="R196" s="235">
        <f t="shared" si="78"/>
        <v>8097478.9728862932</v>
      </c>
      <c r="S196" s="235">
        <f t="shared" si="78"/>
        <v>9449107.503840223</v>
      </c>
      <c r="T196" s="243"/>
      <c r="U196" s="243"/>
    </row>
    <row r="197" spans="1:21" outlineLevel="1" x14ac:dyDescent="0.2">
      <c r="A197" s="243"/>
      <c r="B197" s="288"/>
      <c r="C197" s="337"/>
      <c r="D197" s="243"/>
      <c r="E197" s="243"/>
      <c r="F197" s="243"/>
      <c r="G197" s="243"/>
      <c r="H197" s="243"/>
      <c r="I197" s="335"/>
      <c r="J197" s="243"/>
      <c r="K197" s="243"/>
      <c r="M197" s="294"/>
      <c r="N197" s="294"/>
      <c r="O197" s="294"/>
      <c r="P197" s="294"/>
      <c r="Q197" s="294"/>
      <c r="R197" s="294"/>
      <c r="S197" s="294"/>
      <c r="T197" s="243"/>
      <c r="U197" s="243"/>
    </row>
    <row r="198" spans="1:21" outlineLevel="1" x14ac:dyDescent="0.2">
      <c r="B198" s="242" t="s">
        <v>439</v>
      </c>
      <c r="C198" s="280" t="s">
        <v>58</v>
      </c>
      <c r="D198" s="297">
        <f>SUM(H198:S198)</f>
        <v>0</v>
      </c>
      <c r="E198" s="298"/>
      <c r="M198" s="228">
        <f t="shared" ref="M198:S198" si="79">M196-M19</f>
        <v>0</v>
      </c>
      <c r="N198" s="228">
        <f t="shared" si="79"/>
        <v>0</v>
      </c>
      <c r="O198" s="228">
        <f t="shared" si="79"/>
        <v>0</v>
      </c>
      <c r="P198" s="228">
        <f t="shared" si="79"/>
        <v>0</v>
      </c>
      <c r="Q198" s="228">
        <f t="shared" si="79"/>
        <v>0</v>
      </c>
      <c r="R198" s="228">
        <f t="shared" si="79"/>
        <v>0</v>
      </c>
      <c r="S198" s="228">
        <f t="shared" si="79"/>
        <v>0</v>
      </c>
    </row>
    <row r="199" spans="1:21" outlineLevel="1" x14ac:dyDescent="0.2">
      <c r="B199" s="229"/>
      <c r="C199" s="229"/>
    </row>
    <row r="200" spans="1:21" outlineLevel="1" x14ac:dyDescent="0.2">
      <c r="B200" s="287" t="s">
        <v>77</v>
      </c>
      <c r="C200" s="314"/>
      <c r="D200" s="347"/>
      <c r="E200" s="314"/>
      <c r="F200" s="242"/>
      <c r="G200" s="302"/>
      <c r="H200" s="302"/>
      <c r="I200" s="302"/>
      <c r="J200" s="302"/>
      <c r="K200" s="242"/>
      <c r="M200" s="242"/>
      <c r="N200" s="242"/>
      <c r="O200" s="242"/>
      <c r="P200" s="242"/>
      <c r="Q200" s="242"/>
      <c r="R200" s="242"/>
      <c r="S200" s="242"/>
    </row>
    <row r="201" spans="1:21" outlineLevel="1" x14ac:dyDescent="0.2">
      <c r="B201" s="243"/>
      <c r="C201" s="337"/>
      <c r="M201" s="229"/>
      <c r="N201" s="229"/>
      <c r="O201" s="229"/>
      <c r="P201" s="229"/>
      <c r="Q201" s="229"/>
      <c r="R201" s="229"/>
      <c r="S201" s="229"/>
    </row>
    <row r="202" spans="1:21" outlineLevel="1" x14ac:dyDescent="0.2">
      <c r="B202" s="243" t="s">
        <v>266</v>
      </c>
      <c r="C202" s="329"/>
      <c r="M202" s="229"/>
      <c r="N202" s="229"/>
      <c r="O202" s="229"/>
      <c r="P202" s="229"/>
      <c r="Q202" s="229"/>
      <c r="R202" s="229"/>
      <c r="S202" s="229"/>
    </row>
    <row r="203" spans="1:21" outlineLevel="1" x14ac:dyDescent="0.2">
      <c r="B203" s="267" t="s">
        <v>284</v>
      </c>
      <c r="C203" s="280" t="s">
        <v>250</v>
      </c>
      <c r="M203" s="238">
        <f>M$163*'Commissioned assets allocation'!M179</f>
        <v>0</v>
      </c>
      <c r="N203" s="238">
        <f>N$163*'Commissioned assets allocation'!N179</f>
        <v>0</v>
      </c>
      <c r="O203" s="238">
        <f>O$163*'Commissioned assets allocation'!O179</f>
        <v>0</v>
      </c>
      <c r="P203" s="238">
        <f>P$163*'Commissioned assets allocation'!P179</f>
        <v>0</v>
      </c>
      <c r="Q203" s="238">
        <f>Q$163*'Commissioned assets allocation'!Q179</f>
        <v>0</v>
      </c>
      <c r="R203" s="238">
        <f>R$163*'Commissioned assets allocation'!R179</f>
        <v>0</v>
      </c>
      <c r="S203" s="238">
        <f>S$163*'Commissioned assets allocation'!S179</f>
        <v>0</v>
      </c>
    </row>
    <row r="204" spans="1:21" outlineLevel="1" x14ac:dyDescent="0.2">
      <c r="B204" s="250" t="s">
        <v>285</v>
      </c>
      <c r="C204" s="280" t="s">
        <v>250</v>
      </c>
      <c r="M204" s="238">
        <f>M$163*'Commissioned assets allocation'!M180</f>
        <v>0</v>
      </c>
      <c r="N204" s="238">
        <f>N$163*'Commissioned assets allocation'!N180</f>
        <v>0</v>
      </c>
      <c r="O204" s="238">
        <f>O$163*'Commissioned assets allocation'!O180</f>
        <v>0</v>
      </c>
      <c r="P204" s="238">
        <f>P$163*'Commissioned assets allocation'!P180</f>
        <v>0</v>
      </c>
      <c r="Q204" s="238">
        <f>Q$163*'Commissioned assets allocation'!Q180</f>
        <v>0</v>
      </c>
      <c r="R204" s="238">
        <f>R$163*'Commissioned assets allocation'!R180</f>
        <v>0</v>
      </c>
      <c r="S204" s="238">
        <f>S$163*'Commissioned assets allocation'!S180</f>
        <v>0</v>
      </c>
    </row>
    <row r="205" spans="1:21" outlineLevel="1" x14ac:dyDescent="0.2">
      <c r="B205" s="250" t="s">
        <v>286</v>
      </c>
      <c r="C205" s="280" t="s">
        <v>250</v>
      </c>
      <c r="M205" s="238">
        <f>M$163*'Commissioned assets allocation'!M181</f>
        <v>64216.126014880378</v>
      </c>
      <c r="N205" s="238">
        <f>N$163*'Commissioned assets allocation'!N181</f>
        <v>1188632.5098418593</v>
      </c>
      <c r="O205" s="238">
        <f>O$163*'Commissioned assets allocation'!O181</f>
        <v>31511.019055034456</v>
      </c>
      <c r="P205" s="238">
        <f>P$163*'Commissioned assets allocation'!P181</f>
        <v>23995.217246326712</v>
      </c>
      <c r="Q205" s="238">
        <f>Q$163*'Commissioned assets allocation'!Q181</f>
        <v>2059680.4158360944</v>
      </c>
      <c r="R205" s="238">
        <f>R$163*'Commissioned assets allocation'!R181</f>
        <v>32848.176140738615</v>
      </c>
      <c r="S205" s="238">
        <f>S$163*'Commissioned assets allocation'!S181</f>
        <v>34798.918447213066</v>
      </c>
    </row>
    <row r="206" spans="1:21" outlineLevel="1" x14ac:dyDescent="0.2">
      <c r="B206" s="250" t="s">
        <v>287</v>
      </c>
      <c r="C206" s="280" t="s">
        <v>250</v>
      </c>
      <c r="M206" s="238">
        <f>M$163*'Commissioned assets allocation'!M182</f>
        <v>1474671.8691017234</v>
      </c>
      <c r="N206" s="238">
        <f>N$163*'Commissioned assets allocation'!N182</f>
        <v>1230821.2066307985</v>
      </c>
      <c r="O206" s="238">
        <f>O$163*'Commissioned assets allocation'!O182</f>
        <v>1294242.094620801</v>
      </c>
      <c r="P206" s="238">
        <f>P$163*'Commissioned assets allocation'!P182</f>
        <v>986084.27577306237</v>
      </c>
      <c r="Q206" s="238">
        <f>Q$163*'Commissioned assets allocation'!Q182</f>
        <v>997758.41723062692</v>
      </c>
      <c r="R206" s="238">
        <f>R$163*'Commissioned assets allocation'!R182</f>
        <v>1352546.848942369</v>
      </c>
      <c r="S206" s="238">
        <f>S$163*'Commissioned assets allocation'!S182</f>
        <v>1434053.7354759197</v>
      </c>
    </row>
    <row r="207" spans="1:21" outlineLevel="1" x14ac:dyDescent="0.2">
      <c r="B207" s="250" t="s">
        <v>288</v>
      </c>
      <c r="C207" s="280" t="s">
        <v>250</v>
      </c>
      <c r="M207" s="238">
        <f>M$163*'Commissioned assets allocation'!M183</f>
        <v>1079028.1969037</v>
      </c>
      <c r="N207" s="238">
        <f>N$163*'Commissioned assets allocation'!N183</f>
        <v>900907.13712981716</v>
      </c>
      <c r="O207" s="238">
        <f>O$163*'Commissioned assets allocation'!O183</f>
        <v>946874.90721578628</v>
      </c>
      <c r="P207" s="238">
        <f>P$163*'Commissioned assets allocation'!P183</f>
        <v>723419.47855558957</v>
      </c>
      <c r="Q207" s="238">
        <f>Q$163*'Commissioned assets allocation'!Q183</f>
        <v>733436.85808677133</v>
      </c>
      <c r="R207" s="238">
        <f>R$163*'Commissioned assets allocation'!R183</f>
        <v>997059.11625571374</v>
      </c>
      <c r="S207" s="238">
        <f>S$163*'Commissioned assets allocation'!S183</f>
        <v>1060156.6585976239</v>
      </c>
    </row>
    <row r="208" spans="1:21" outlineLevel="1" x14ac:dyDescent="0.2">
      <c r="B208" s="250" t="s">
        <v>289</v>
      </c>
      <c r="C208" s="280" t="s">
        <v>250</v>
      </c>
      <c r="M208" s="238">
        <f>M$163*'Commissioned assets allocation'!M184</f>
        <v>467578.88532493659</v>
      </c>
      <c r="N208" s="238">
        <f>N$163*'Commissioned assets allocation'!N184</f>
        <v>386959.62110897253</v>
      </c>
      <c r="O208" s="238">
        <f>O$163*'Commissioned assets allocation'!O184</f>
        <v>402878.56708184065</v>
      </c>
      <c r="P208" s="238">
        <f>P$163*'Commissioned assets allocation'!P184</f>
        <v>306031.00751401955</v>
      </c>
      <c r="Q208" s="238">
        <f>Q$163*'Commissioned assets allocation'!Q184</f>
        <v>308871.77204931172</v>
      </c>
      <c r="R208" s="238">
        <f>R$163*'Commissioned assets allocation'!R184</f>
        <v>417804.39225174504</v>
      </c>
      <c r="S208" s="238">
        <f>S$163*'Commissioned assets allocation'!S184</f>
        <v>442035.06889478955</v>
      </c>
    </row>
    <row r="209" spans="2:19" outlineLevel="1" x14ac:dyDescent="0.2">
      <c r="B209" s="250" t="s">
        <v>290</v>
      </c>
      <c r="C209" s="280" t="s">
        <v>250</v>
      </c>
      <c r="M209" s="238">
        <f>M$163*'Commissioned assets allocation'!M185</f>
        <v>521530.29517012171</v>
      </c>
      <c r="N209" s="238">
        <f>N$163*'Commissioned assets allocation'!N185</f>
        <v>435727.28565415868</v>
      </c>
      <c r="O209" s="238">
        <f>O$163*'Commissioned assets allocation'!O185</f>
        <v>458256.69532680803</v>
      </c>
      <c r="P209" s="238">
        <f>P$163*'Commissioned assets allocation'!P185</f>
        <v>348451.19501056452</v>
      </c>
      <c r="Q209" s="238">
        <f>Q$163*'Commissioned assets allocation'!Q185</f>
        <v>352295.98461388476</v>
      </c>
      <c r="R209" s="238">
        <f>R$163*'Commissioned assets allocation'!R185</f>
        <v>476705.56778148853</v>
      </c>
      <c r="S209" s="238">
        <f>S$163*'Commissioned assets allocation'!S185</f>
        <v>504515.54641515546</v>
      </c>
    </row>
    <row r="210" spans="2:19" outlineLevel="1" x14ac:dyDescent="0.2">
      <c r="B210" s="250" t="s">
        <v>291</v>
      </c>
      <c r="C210" s="280" t="s">
        <v>250</v>
      </c>
      <c r="M210" s="238">
        <f>M$163*'Commissioned assets allocation'!M186</f>
        <v>19470.567463382213</v>
      </c>
      <c r="N210" s="238">
        <f>N$163*'Commissioned assets allocation'!N186</f>
        <v>14986.042652032309</v>
      </c>
      <c r="O210" s="238">
        <f>O$163*'Commissioned assets allocation'!O186</f>
        <v>15755.509527517228</v>
      </c>
      <c r="P210" s="238">
        <f>P$163*'Commissioned assets allocation'!P186</f>
        <v>11997.608623163356</v>
      </c>
      <c r="Q210" s="238">
        <f>Q$163*'Commissioned assets allocation'!Q186</f>
        <v>94651.913185616781</v>
      </c>
      <c r="R210" s="238">
        <f>R$163*'Commissioned assets allocation'!R186</f>
        <v>16424.088070369307</v>
      </c>
      <c r="S210" s="238">
        <f>S$163*'Commissioned assets allocation'!S186</f>
        <v>17399.459223606533</v>
      </c>
    </row>
    <row r="211" spans="2:19" outlineLevel="1" x14ac:dyDescent="0.2">
      <c r="B211" s="267" t="s">
        <v>292</v>
      </c>
      <c r="C211" s="280" t="s">
        <v>250</v>
      </c>
      <c r="M211" s="238">
        <f>M$163*'Commissioned assets allocation'!M187</f>
        <v>0</v>
      </c>
      <c r="N211" s="238">
        <f>N$163*'Commissioned assets allocation'!N187</f>
        <v>0</v>
      </c>
      <c r="O211" s="238">
        <f>O$163*'Commissioned assets allocation'!O187</f>
        <v>0</v>
      </c>
      <c r="P211" s="238">
        <f>P$163*'Commissioned assets allocation'!P187</f>
        <v>0</v>
      </c>
      <c r="Q211" s="238">
        <f>Q$163*'Commissioned assets allocation'!Q187</f>
        <v>0</v>
      </c>
      <c r="R211" s="238">
        <f>R$163*'Commissioned assets allocation'!R187</f>
        <v>0</v>
      </c>
      <c r="S211" s="238">
        <f>S$163*'Commissioned assets allocation'!S187</f>
        <v>0</v>
      </c>
    </row>
    <row r="212" spans="2:19" outlineLevel="1" x14ac:dyDescent="0.2">
      <c r="B212" s="243" t="s">
        <v>49</v>
      </c>
      <c r="C212" s="337" t="s">
        <v>250</v>
      </c>
      <c r="D212" s="243"/>
      <c r="E212" s="243"/>
      <c r="F212" s="243"/>
      <c r="G212" s="243"/>
      <c r="H212" s="243"/>
      <c r="I212" s="335"/>
      <c r="J212" s="243"/>
      <c r="K212" s="243"/>
      <c r="M212" s="235">
        <f t="shared" ref="M212:S212" si="80">SUM(M203:M211)</f>
        <v>3626495.9399787439</v>
      </c>
      <c r="N212" s="235">
        <f t="shared" si="80"/>
        <v>4158033.8030176386</v>
      </c>
      <c r="O212" s="235">
        <f t="shared" si="80"/>
        <v>3149518.7928277873</v>
      </c>
      <c r="P212" s="235">
        <f t="shared" si="80"/>
        <v>2399978.782722726</v>
      </c>
      <c r="Q212" s="235">
        <f t="shared" si="80"/>
        <v>4546695.3610023065</v>
      </c>
      <c r="R212" s="235">
        <f t="shared" si="80"/>
        <v>3293388.1894424241</v>
      </c>
      <c r="S212" s="235">
        <f t="shared" si="80"/>
        <v>3492959.3870543079</v>
      </c>
    </row>
    <row r="213" spans="2:19" outlineLevel="1" x14ac:dyDescent="0.2">
      <c r="C213" s="329"/>
    </row>
    <row r="214" spans="2:19" outlineLevel="1" x14ac:dyDescent="0.2">
      <c r="B214" s="242" t="s">
        <v>440</v>
      </c>
      <c r="C214" s="280" t="s">
        <v>58</v>
      </c>
      <c r="D214" s="297">
        <f>SUM(H214:S214)</f>
        <v>0</v>
      </c>
      <c r="E214" s="298"/>
      <c r="M214" s="228">
        <f>M212-M163</f>
        <v>0</v>
      </c>
      <c r="N214" s="228">
        <f t="shared" ref="N214:S214" si="81">N212-N163</f>
        <v>0</v>
      </c>
      <c r="O214" s="228">
        <f t="shared" si="81"/>
        <v>0</v>
      </c>
      <c r="P214" s="228">
        <f t="shared" si="81"/>
        <v>0</v>
      </c>
      <c r="Q214" s="228">
        <f t="shared" si="81"/>
        <v>0</v>
      </c>
      <c r="R214" s="228">
        <f t="shared" si="81"/>
        <v>0</v>
      </c>
      <c r="S214" s="228">
        <f t="shared" si="81"/>
        <v>0</v>
      </c>
    </row>
    <row r="215" spans="2:19" outlineLevel="1" x14ac:dyDescent="0.2">
      <c r="B215" s="229"/>
      <c r="C215" s="329"/>
    </row>
    <row r="216" spans="2:19" outlineLevel="1" x14ac:dyDescent="0.2">
      <c r="B216" s="287" t="s">
        <v>100</v>
      </c>
      <c r="C216" s="314"/>
      <c r="D216" s="347"/>
      <c r="E216" s="314"/>
      <c r="F216" s="242"/>
      <c r="G216" s="302"/>
      <c r="H216" s="302"/>
      <c r="I216" s="302"/>
      <c r="J216" s="302"/>
      <c r="K216" s="242"/>
      <c r="M216" s="242"/>
      <c r="N216" s="242"/>
      <c r="O216" s="242"/>
      <c r="P216" s="242"/>
      <c r="Q216" s="242"/>
      <c r="R216" s="242"/>
      <c r="S216" s="242"/>
    </row>
    <row r="217" spans="2:19" outlineLevel="1" x14ac:dyDescent="0.2">
      <c r="C217" s="329"/>
      <c r="K217" s="289"/>
      <c r="M217" s="289"/>
      <c r="N217" s="289"/>
      <c r="O217" s="289"/>
      <c r="P217" s="289"/>
      <c r="Q217" s="289"/>
      <c r="R217" s="289"/>
      <c r="S217" s="289"/>
    </row>
    <row r="218" spans="2:19" outlineLevel="1" x14ac:dyDescent="0.2">
      <c r="B218" s="243" t="s">
        <v>266</v>
      </c>
      <c r="C218" s="329"/>
      <c r="M218" s="229"/>
      <c r="N218" s="229"/>
      <c r="O218" s="229"/>
      <c r="P218" s="229"/>
      <c r="Q218" s="229"/>
      <c r="R218" s="229"/>
      <c r="S218" s="229"/>
    </row>
    <row r="219" spans="2:19" outlineLevel="1" x14ac:dyDescent="0.2">
      <c r="B219" s="267" t="s">
        <v>284</v>
      </c>
      <c r="C219" s="280" t="s">
        <v>250</v>
      </c>
      <c r="M219" s="238">
        <f>M$164*'Commissioned assets allocation'!M194</f>
        <v>861650.21447203984</v>
      </c>
      <c r="N219" s="238">
        <f>N$164*'Commissioned assets allocation'!N194</f>
        <v>6986793.0289031249</v>
      </c>
      <c r="O219" s="238">
        <f>O$164*'Commissioned assets allocation'!O194</f>
        <v>6996095.8496905724</v>
      </c>
      <c r="P219" s="238">
        <f>P$164*'Commissioned assets allocation'!P194</f>
        <v>8044083.729465398</v>
      </c>
      <c r="Q219" s="238">
        <f>Q$164*'Commissioned assets allocation'!Q194</f>
        <v>967310.52304843359</v>
      </c>
      <c r="R219" s="238">
        <f>R$164*'Commissioned assets allocation'!R194</f>
        <v>426205.24008339056</v>
      </c>
      <c r="S219" s="238">
        <f>S$164*'Commissioned assets allocation'!S194</f>
        <v>453234.87313277903</v>
      </c>
    </row>
    <row r="220" spans="2:19" outlineLevel="1" x14ac:dyDescent="0.2">
      <c r="B220" s="250" t="s">
        <v>285</v>
      </c>
      <c r="C220" s="280" t="s">
        <v>250</v>
      </c>
      <c r="M220" s="238">
        <f>M$164*'Commissioned assets allocation'!M195</f>
        <v>0</v>
      </c>
      <c r="N220" s="238">
        <f>N$164*'Commissioned assets allocation'!N195</f>
        <v>516894.0330011631</v>
      </c>
      <c r="O220" s="238">
        <f>O$164*'Commissioned assets allocation'!O195</f>
        <v>448077.9153612667</v>
      </c>
      <c r="P220" s="238">
        <f>P$164*'Commissioned assets allocation'!P195</f>
        <v>306170.7285906953</v>
      </c>
      <c r="Q220" s="238">
        <f>Q$164*'Commissioned assets allocation'!Q195</f>
        <v>2121474.5243515642</v>
      </c>
      <c r="R220" s="238">
        <f>R$164*'Commissioned assets allocation'!R195</f>
        <v>262315.44605574541</v>
      </c>
      <c r="S220" s="238">
        <f>S$164*'Commissioned assets allocation'!S195</f>
        <v>3293539.0679620001</v>
      </c>
    </row>
    <row r="221" spans="2:19" outlineLevel="1" x14ac:dyDescent="0.2">
      <c r="B221" s="250" t="s">
        <v>286</v>
      </c>
      <c r="C221" s="280" t="s">
        <v>250</v>
      </c>
      <c r="M221" s="238">
        <f>M$164*'Commissioned assets allocation'!M196</f>
        <v>7087751.0093029244</v>
      </c>
      <c r="N221" s="238">
        <f>N$164*'Commissioned assets allocation'!N196</f>
        <v>7786279.1952053588</v>
      </c>
      <c r="O221" s="238">
        <f>O$164*'Commissioned assets allocation'!O196</f>
        <v>12107473.589406069</v>
      </c>
      <c r="P221" s="238">
        <f>P$164*'Commissioned assets allocation'!P196</f>
        <v>6305455.4265917353</v>
      </c>
      <c r="Q221" s="238">
        <f>Q$164*'Commissioned assets allocation'!Q196</f>
        <v>8481339.2860622145</v>
      </c>
      <c r="R221" s="238">
        <f>R$164*'Commissioned assets allocation'!R196</f>
        <v>11090861.789317146</v>
      </c>
      <c r="S221" s="238">
        <f>S$164*'Commissioned assets allocation'!S196</f>
        <v>5241789.6155180726</v>
      </c>
    </row>
    <row r="222" spans="2:19" outlineLevel="1" x14ac:dyDescent="0.2">
      <c r="B222" s="250" t="s">
        <v>287</v>
      </c>
      <c r="C222" s="280" t="s">
        <v>250</v>
      </c>
      <c r="M222" s="238">
        <f>M$164*'Commissioned assets allocation'!M197</f>
        <v>17896958.787848987</v>
      </c>
      <c r="N222" s="238">
        <f>N$164*'Commissioned assets allocation'!N197</f>
        <v>22943934.21107411</v>
      </c>
      <c r="O222" s="238">
        <f>O$164*'Commissioned assets allocation'!O197</f>
        <v>27513918.874511056</v>
      </c>
      <c r="P222" s="238">
        <f>P$164*'Commissioned assets allocation'!P197</f>
        <v>29748985.666546889</v>
      </c>
      <c r="Q222" s="238">
        <f>Q$164*'Commissioned assets allocation'!Q197</f>
        <v>29216530.467339024</v>
      </c>
      <c r="R222" s="238">
        <f>R$164*'Commissioned assets allocation'!R197</f>
        <v>26559448.5749414</v>
      </c>
      <c r="S222" s="238">
        <f>S$164*'Commissioned assets allocation'!S197</f>
        <v>26021665.752305884</v>
      </c>
    </row>
    <row r="223" spans="2:19" outlineLevel="1" x14ac:dyDescent="0.2">
      <c r="B223" s="250" t="s">
        <v>288</v>
      </c>
      <c r="C223" s="280" t="s">
        <v>250</v>
      </c>
      <c r="M223" s="238">
        <f>M$164*'Commissioned assets allocation'!M198</f>
        <v>758615.85154219496</v>
      </c>
      <c r="N223" s="238">
        <f>N$164*'Commissioned assets allocation'!N198</f>
        <v>1911891.313133769</v>
      </c>
      <c r="O223" s="238">
        <f>O$164*'Commissioned assets allocation'!O198</f>
        <v>2575980.831509172</v>
      </c>
      <c r="P223" s="238">
        <f>P$164*'Commissioned assets allocation'!P198</f>
        <v>2418094.8300079093</v>
      </c>
      <c r="Q223" s="238">
        <f>Q$164*'Commissioned assets allocation'!Q198</f>
        <v>2506151.6622764971</v>
      </c>
      <c r="R223" s="238">
        <f>R$164*'Commissioned assets allocation'!R198</f>
        <v>2563517.3949912544</v>
      </c>
      <c r="S223" s="238">
        <f>S$164*'Commissioned assets allocation'!S198</f>
        <v>2088228.1597834115</v>
      </c>
    </row>
    <row r="224" spans="2:19" outlineLevel="1" x14ac:dyDescent="0.2">
      <c r="B224" s="250" t="s">
        <v>289</v>
      </c>
      <c r="C224" s="280" t="s">
        <v>250</v>
      </c>
      <c r="M224" s="238">
        <f>M$164*'Commissioned assets allocation'!M199</f>
        <v>3127016.0627825563</v>
      </c>
      <c r="N224" s="238">
        <f>N$164*'Commissioned assets allocation'!N199</f>
        <v>3155176.2973251105</v>
      </c>
      <c r="O224" s="238">
        <f>O$164*'Commissioned assets allocation'!O199</f>
        <v>3795491.7683929568</v>
      </c>
      <c r="P224" s="238">
        <f>P$164*'Commissioned assets allocation'!P199</f>
        <v>5430607.1951137614</v>
      </c>
      <c r="Q224" s="238">
        <f>Q$164*'Commissioned assets allocation'!Q199</f>
        <v>6773742.2655179333</v>
      </c>
      <c r="R224" s="238">
        <f>R$164*'Commissioned assets allocation'!R199</f>
        <v>7611298.8290908448</v>
      </c>
      <c r="S224" s="238">
        <f>S$164*'Commissioned assets allocation'!S199</f>
        <v>7187498.1866767937</v>
      </c>
    </row>
    <row r="225" spans="2:21" outlineLevel="1" x14ac:dyDescent="0.2">
      <c r="B225" s="250" t="s">
        <v>290</v>
      </c>
      <c r="C225" s="280" t="s">
        <v>250</v>
      </c>
      <c r="M225" s="238">
        <f>M$164*'Commissioned assets allocation'!M200</f>
        <v>1466380.1139642191</v>
      </c>
      <c r="N225" s="238">
        <f>N$164*'Commissioned assets allocation'!N200</f>
        <v>3936828.7280480652</v>
      </c>
      <c r="O225" s="238">
        <f>O$164*'Commissioned assets allocation'!O200</f>
        <v>4195434.598484681</v>
      </c>
      <c r="P225" s="238">
        <f>P$164*'Commissioned assets allocation'!P200</f>
        <v>4042508.3290470527</v>
      </c>
      <c r="Q225" s="238">
        <f>Q$164*'Commissioned assets allocation'!Q200</f>
        <v>4007939.6430486436</v>
      </c>
      <c r="R225" s="238">
        <f>R$164*'Commissioned assets allocation'!R200</f>
        <v>4349222.9955770588</v>
      </c>
      <c r="S225" s="238">
        <f>S$164*'Commissioned assets allocation'!S200</f>
        <v>2935755.7977167186</v>
      </c>
    </row>
    <row r="226" spans="2:21" outlineLevel="1" x14ac:dyDescent="0.2">
      <c r="B226" s="250" t="s">
        <v>291</v>
      </c>
      <c r="C226" s="280" t="s">
        <v>250</v>
      </c>
      <c r="M226" s="238">
        <f>M$164*'Commissioned assets allocation'!M201</f>
        <v>0</v>
      </c>
      <c r="N226" s="238">
        <f>N$164*'Commissioned assets allocation'!N201</f>
        <v>106138.04870269322</v>
      </c>
      <c r="O226" s="238">
        <f>O$164*'Commissioned assets allocation'!O201</f>
        <v>306095.74624851812</v>
      </c>
      <c r="P226" s="238">
        <f>P$164*'Commissioned assets allocation'!P201</f>
        <v>85564.559217010305</v>
      </c>
      <c r="Q226" s="238">
        <f>Q$164*'Commissioned assets allocation'!Q201</f>
        <v>438719.29645893781</v>
      </c>
      <c r="R226" s="238">
        <f>R$164*'Commissioned assets allocation'!R201</f>
        <v>327973.32545037806</v>
      </c>
      <c r="S226" s="238">
        <f>S$164*'Commissioned assets allocation'!S201</f>
        <v>318592.48644728435</v>
      </c>
    </row>
    <row r="227" spans="2:21" outlineLevel="1" x14ac:dyDescent="0.2">
      <c r="B227" s="250" t="s">
        <v>292</v>
      </c>
      <c r="C227" s="280" t="s">
        <v>250</v>
      </c>
      <c r="M227" s="238">
        <f>M$164*'Commissioned assets allocation'!M202</f>
        <v>0</v>
      </c>
      <c r="N227" s="238">
        <f>N$164*'Commissioned assets allocation'!N202</f>
        <v>0</v>
      </c>
      <c r="O227" s="238">
        <f>O$164*'Commissioned assets allocation'!O202</f>
        <v>0</v>
      </c>
      <c r="P227" s="238">
        <f>P$164*'Commissioned assets allocation'!P202</f>
        <v>0</v>
      </c>
      <c r="Q227" s="238">
        <f>Q$164*'Commissioned assets allocation'!Q202</f>
        <v>0</v>
      </c>
      <c r="R227" s="238">
        <f>R$164*'Commissioned assets allocation'!R202</f>
        <v>0</v>
      </c>
      <c r="S227" s="238">
        <f>S$164*'Commissioned assets allocation'!S202</f>
        <v>0</v>
      </c>
    </row>
    <row r="228" spans="2:21" outlineLevel="1" x14ac:dyDescent="0.2">
      <c r="B228" s="243" t="s">
        <v>49</v>
      </c>
      <c r="C228" s="337" t="s">
        <v>250</v>
      </c>
      <c r="M228" s="235">
        <f t="shared" ref="M228:S228" si="82">SUM(M219:M227)</f>
        <v>31198372.039912917</v>
      </c>
      <c r="N228" s="235">
        <f t="shared" si="82"/>
        <v>47343934.855393395</v>
      </c>
      <c r="O228" s="235">
        <f t="shared" si="82"/>
        <v>57938569.173604295</v>
      </c>
      <c r="P228" s="235">
        <f t="shared" si="82"/>
        <v>56381470.464580454</v>
      </c>
      <c r="Q228" s="235">
        <f t="shared" si="82"/>
        <v>54513207.668103248</v>
      </c>
      <c r="R228" s="235">
        <f t="shared" si="82"/>
        <v>53190843.595507212</v>
      </c>
      <c r="S228" s="235">
        <f t="shared" si="82"/>
        <v>47540303.939542942</v>
      </c>
    </row>
    <row r="229" spans="2:21" outlineLevel="1" x14ac:dyDescent="0.2">
      <c r="C229" s="329"/>
    </row>
    <row r="230" spans="2:21" outlineLevel="1" x14ac:dyDescent="0.2">
      <c r="B230" s="242" t="s">
        <v>441</v>
      </c>
      <c r="C230" s="280" t="s">
        <v>58</v>
      </c>
      <c r="D230" s="297">
        <f>SUM(H230:S230)</f>
        <v>0</v>
      </c>
      <c r="E230" s="298"/>
      <c r="M230" s="228">
        <f t="shared" ref="M230:S230" si="83">M228-M164</f>
        <v>0</v>
      </c>
      <c r="N230" s="228">
        <f t="shared" si="83"/>
        <v>0</v>
      </c>
      <c r="O230" s="228">
        <f t="shared" si="83"/>
        <v>0</v>
      </c>
      <c r="P230" s="228">
        <f t="shared" si="83"/>
        <v>0</v>
      </c>
      <c r="Q230" s="228">
        <f t="shared" si="83"/>
        <v>0</v>
      </c>
      <c r="R230" s="228">
        <f t="shared" si="83"/>
        <v>0</v>
      </c>
      <c r="S230" s="228">
        <f t="shared" si="83"/>
        <v>0</v>
      </c>
    </row>
    <row r="231" spans="2:21" x14ac:dyDescent="0.2">
      <c r="B231" s="229"/>
    </row>
    <row r="232" spans="2:21" x14ac:dyDescent="0.2">
      <c r="B232" s="283" t="s">
        <v>451</v>
      </c>
      <c r="C232" s="284" t="s">
        <v>51</v>
      </c>
      <c r="D232" s="285" t="s">
        <v>52</v>
      </c>
      <c r="E232" s="284" t="s">
        <v>53</v>
      </c>
      <c r="F232" s="242"/>
      <c r="G232" s="302"/>
      <c r="H232" s="302"/>
      <c r="I232" s="302"/>
      <c r="J232" s="302"/>
      <c r="K232" s="242"/>
      <c r="L232" s="242"/>
      <c r="M232" s="242"/>
      <c r="N232" s="242"/>
      <c r="O232" s="242"/>
      <c r="P232" s="242"/>
      <c r="Q232" s="242"/>
      <c r="R232" s="242"/>
      <c r="S232" s="242"/>
      <c r="T232" s="242"/>
      <c r="U232" s="229"/>
    </row>
    <row r="233" spans="2:21" outlineLevel="1" x14ac:dyDescent="0.2">
      <c r="B233" s="313"/>
      <c r="C233" s="314"/>
      <c r="D233" s="347"/>
      <c r="E233" s="314"/>
      <c r="F233" s="242"/>
      <c r="G233" s="302"/>
      <c r="H233" s="302"/>
      <c r="I233" s="302"/>
      <c r="J233" s="302"/>
      <c r="K233" s="242"/>
      <c r="L233" s="242"/>
      <c r="M233" s="242"/>
      <c r="N233" s="242"/>
      <c r="O233" s="242"/>
      <c r="P233" s="242"/>
      <c r="Q233" s="242"/>
      <c r="R233" s="242"/>
      <c r="S233" s="242"/>
      <c r="T233" s="242"/>
      <c r="U233" s="229"/>
    </row>
    <row r="234" spans="2:21" outlineLevel="1" x14ac:dyDescent="0.2">
      <c r="B234" s="287" t="s">
        <v>283</v>
      </c>
      <c r="C234" s="314" t="s">
        <v>51</v>
      </c>
      <c r="D234" s="347" t="s">
        <v>52</v>
      </c>
      <c r="E234" s="314" t="s">
        <v>53</v>
      </c>
      <c r="F234" s="242"/>
      <c r="G234" s="302"/>
      <c r="H234" s="302"/>
      <c r="I234" s="302"/>
      <c r="J234" s="302"/>
      <c r="K234" s="242"/>
      <c r="L234" s="242"/>
      <c r="M234" s="242"/>
      <c r="N234" s="242"/>
      <c r="O234" s="242"/>
      <c r="P234" s="242"/>
      <c r="Q234" s="242"/>
      <c r="R234" s="242"/>
      <c r="S234" s="242"/>
      <c r="T234" s="242"/>
      <c r="U234" s="229"/>
    </row>
    <row r="235" spans="2:21" outlineLevel="1" x14ac:dyDescent="0.2">
      <c r="B235" s="229"/>
      <c r="C235" s="229"/>
      <c r="D235" s="229"/>
      <c r="E235" s="229"/>
      <c r="K235" s="289"/>
      <c r="L235" s="289"/>
      <c r="M235" s="289"/>
      <c r="N235" s="289"/>
      <c r="O235" s="289"/>
      <c r="P235" s="289"/>
      <c r="Q235" s="289"/>
      <c r="R235" s="289"/>
      <c r="S235" s="289"/>
      <c r="T235" s="242"/>
    </row>
    <row r="236" spans="2:21" outlineLevel="1" x14ac:dyDescent="0.2">
      <c r="B236" s="267" t="s">
        <v>284</v>
      </c>
      <c r="C236" s="280" t="s">
        <v>250</v>
      </c>
      <c r="D236" s="267"/>
      <c r="E236" s="267"/>
      <c r="I236" s="232"/>
      <c r="M236" s="345">
        <f>SUMIFS('Forecast capex'!$AB$9:$AB$1940,'Forecast capex'!$C$9:$C$1940,$B236,'Forecast capex'!$K$9:$K$1940,M$11,'Forecast capex'!$L$9:$L$1940,$D$12)+'Historical capex'!M42</f>
        <v>130258.37199999997</v>
      </c>
      <c r="N236" s="345">
        <f>SUMIFS('Forecast capex'!$AB$9:$AB$1940,'Forecast capex'!$C$9:$C$1940,$B236,'Forecast capex'!$K$9:$K$1940,N$11,'Forecast capex'!$L$9:$L$1940,$D$12)+'Historical capex'!N42</f>
        <v>0</v>
      </c>
      <c r="O236" s="345">
        <f>SUMIFS('Forecast capex'!$AB$9:$AB$1940,'Forecast capex'!$C$9:$C$1940,$B236,'Forecast capex'!$K$9:$K$1940,O$11,'Forecast capex'!$L$9:$L$1940,$D$12)+'Historical capex'!O42</f>
        <v>0</v>
      </c>
      <c r="P236" s="345">
        <f>SUMIFS('Forecast capex'!$AB$9:$AB$1940,'Forecast capex'!$C$9:$C$1940,$B236,'Forecast capex'!$K$9:$K$1940,P$11,'Forecast capex'!$L$9:$L$1940,$D$12)+'Historical capex'!P42</f>
        <v>0</v>
      </c>
      <c r="Q236" s="345">
        <f>SUMIFS('Forecast capex'!$AB$9:$AB$1940,'Forecast capex'!$C$9:$C$1940,$B236,'Forecast capex'!$K$9:$K$1940,Q$11,'Forecast capex'!$L$9:$L$1940,$D$12)+'Historical capex'!Q42</f>
        <v>598374.7062954962</v>
      </c>
      <c r="R236" s="345">
        <f>SUMIFS('Forecast capex'!$AB$9:$AB$1940,'Forecast capex'!$C$9:$C$1940,$B236,'Forecast capex'!$K$9:$K$1940,R$11,'Forecast capex'!$L$9:$L$1940,$D$12)+'Historical capex'!R42</f>
        <v>0</v>
      </c>
      <c r="S236" s="345">
        <f>SUMIFS('Forecast capex'!$AB$9:$AB$1940,'Forecast capex'!$C$9:$C$1940,$B236,'Forecast capex'!$K$9:$K$1940,S$11,'Forecast capex'!$L$9:$L$1940,$D$12)+'Historical capex'!S42</f>
        <v>0</v>
      </c>
      <c r="T236" s="229"/>
    </row>
    <row r="237" spans="2:21" outlineLevel="1" x14ac:dyDescent="0.2">
      <c r="B237" s="267" t="s">
        <v>285</v>
      </c>
      <c r="C237" s="280" t="s">
        <v>250</v>
      </c>
      <c r="D237" s="267"/>
      <c r="E237" s="267"/>
      <c r="I237" s="232"/>
      <c r="M237" s="345">
        <f>SUMIFS('Forecast capex'!$AB$9:$AB$1940,'Forecast capex'!$C$9:$C$1940,$B237,'Forecast capex'!$K$9:$K$1940,M$11,'Forecast capex'!$L$9:$L$1940,$D$12)+'Historical capex'!M43</f>
        <v>0</v>
      </c>
      <c r="N237" s="345">
        <f>SUMIFS('Forecast capex'!$AB$9:$AB$1940,'Forecast capex'!$C$9:$C$1940,$B237,'Forecast capex'!$K$9:$K$1940,N$11,'Forecast capex'!$L$9:$L$1940,$D$12)+'Historical capex'!N43</f>
        <v>6268902.5716058388</v>
      </c>
      <c r="O237" s="345">
        <f>SUMIFS('Forecast capex'!$AB$9:$AB$1940,'Forecast capex'!$C$9:$C$1940,$B237,'Forecast capex'!$K$9:$K$1940,O$11,'Forecast capex'!$L$9:$L$1940,$D$12)+'Historical capex'!O43</f>
        <v>55490.000687451356</v>
      </c>
      <c r="P237" s="345">
        <f>SUMIFS('Forecast capex'!$AB$9:$AB$1940,'Forecast capex'!$C$9:$C$1940,$B237,'Forecast capex'!$K$9:$K$1940,P$11,'Forecast capex'!$L$9:$L$1940,$D$12)+'Historical capex'!P43</f>
        <v>0</v>
      </c>
      <c r="Q237" s="345">
        <f>SUMIFS('Forecast capex'!$AB$9:$AB$1940,'Forecast capex'!$C$9:$C$1940,$B237,'Forecast capex'!$K$9:$K$1940,Q$11,'Forecast capex'!$L$9:$L$1940,$D$12)+'Historical capex'!Q43</f>
        <v>486589.70143219171</v>
      </c>
      <c r="R237" s="345">
        <f>SUMIFS('Forecast capex'!$AB$9:$AB$1940,'Forecast capex'!$C$9:$C$1940,$B237,'Forecast capex'!$K$9:$K$1940,R$11,'Forecast capex'!$L$9:$L$1940,$D$12)+'Historical capex'!R43</f>
        <v>65760.439573482174</v>
      </c>
      <c r="S237" s="345">
        <f>SUMIFS('Forecast capex'!$AB$9:$AB$1940,'Forecast capex'!$C$9:$C$1940,$B237,'Forecast capex'!$K$9:$K$1940,S$11,'Forecast capex'!$L$9:$L$1940,$D$12)+'Historical capex'!S43</f>
        <v>3241846.6502270056</v>
      </c>
      <c r="T237" s="229"/>
    </row>
    <row r="238" spans="2:21" outlineLevel="1" x14ac:dyDescent="0.2">
      <c r="B238" s="267" t="s">
        <v>286</v>
      </c>
      <c r="C238" s="280" t="s">
        <v>250</v>
      </c>
      <c r="D238" s="267"/>
      <c r="E238" s="267"/>
      <c r="I238" s="232"/>
      <c r="M238" s="345">
        <f>SUMIFS('Forecast capex'!$AB$9:$AB$1940,'Forecast capex'!$C$9:$C$1940,$B238,'Forecast capex'!$K$9:$K$1940,M$11,'Forecast capex'!$L$9:$L$1940,$D$12)+'Historical capex'!M44</f>
        <v>0</v>
      </c>
      <c r="N238" s="345">
        <f>SUMIFS('Forecast capex'!$AB$9:$AB$1940,'Forecast capex'!$C$9:$C$1940,$B238,'Forecast capex'!$K$9:$K$1940,N$11,'Forecast capex'!$L$9:$L$1940,$D$12)+'Historical capex'!N44</f>
        <v>3414185.1403821865</v>
      </c>
      <c r="O238" s="345">
        <f>SUMIFS('Forecast capex'!$AB$9:$AB$1940,'Forecast capex'!$C$9:$C$1940,$B238,'Forecast capex'!$K$9:$K$1940,O$11,'Forecast capex'!$L$9:$L$1940,$D$12)+'Historical capex'!O44</f>
        <v>3803496.2683854471</v>
      </c>
      <c r="P238" s="345">
        <f>SUMIFS('Forecast capex'!$AB$9:$AB$1940,'Forecast capex'!$C$9:$C$1940,$B238,'Forecast capex'!$K$9:$K$1940,P$11,'Forecast capex'!$L$9:$L$1940,$D$12)+'Historical capex'!P44</f>
        <v>1332545.3326392709</v>
      </c>
      <c r="Q238" s="345">
        <f>SUMIFS('Forecast capex'!$AB$9:$AB$1940,'Forecast capex'!$C$9:$C$1940,$B238,'Forecast capex'!$K$9:$K$1940,Q$11,'Forecast capex'!$L$9:$L$1940,$D$12)+'Historical capex'!Q44</f>
        <v>3726318.9422996249</v>
      </c>
      <c r="R238" s="345">
        <f>SUMIFS('Forecast capex'!$AB$9:$AB$1940,'Forecast capex'!$C$9:$C$1940,$B238,'Forecast capex'!$K$9:$K$1940,R$11,'Forecast capex'!$L$9:$L$1940,$D$12)+'Historical capex'!R44</f>
        <v>3731281.5999714662</v>
      </c>
      <c r="S238" s="345">
        <f>SUMIFS('Forecast capex'!$AB$9:$AB$1940,'Forecast capex'!$C$9:$C$1940,$B238,'Forecast capex'!$K$9:$K$1940,S$11,'Forecast capex'!$L$9:$L$1940,$D$12)+'Historical capex'!S44</f>
        <v>1204387.9754755981</v>
      </c>
    </row>
    <row r="239" spans="2:21" outlineLevel="1" x14ac:dyDescent="0.2">
      <c r="B239" s="267" t="s">
        <v>287</v>
      </c>
      <c r="C239" s="280" t="s">
        <v>250</v>
      </c>
      <c r="D239" s="267"/>
      <c r="E239" s="267"/>
      <c r="I239" s="232"/>
      <c r="M239" s="345">
        <f>SUMIFS('Forecast capex'!$AB$9:$AB$1940,'Forecast capex'!$C$9:$C$1940,$B239,'Forecast capex'!$K$9:$K$1940,M$11,'Forecast capex'!$L$9:$L$1940,$D$12)+'Historical capex'!M45</f>
        <v>3126200.9279999998</v>
      </c>
      <c r="N239" s="345">
        <f>SUMIFS('Forecast capex'!$AB$9:$AB$1940,'Forecast capex'!$C$9:$C$1940,$B239,'Forecast capex'!$K$9:$K$1940,N$11,'Forecast capex'!$L$9:$L$1940,$D$12)+'Historical capex'!N45</f>
        <v>1019493.94</v>
      </c>
      <c r="O239" s="345">
        <f>SUMIFS('Forecast capex'!$AB$9:$AB$1940,'Forecast capex'!$C$9:$C$1940,$B239,'Forecast capex'!$K$9:$K$1940,O$11,'Forecast capex'!$L$9:$L$1940,$D$12)+'Historical capex'!O45</f>
        <v>0</v>
      </c>
      <c r="P239" s="345">
        <f>SUMIFS('Forecast capex'!$AB$9:$AB$1940,'Forecast capex'!$C$9:$C$1940,$B239,'Forecast capex'!$K$9:$K$1940,P$11,'Forecast capex'!$L$9:$L$1940,$D$12)+'Historical capex'!P45</f>
        <v>0</v>
      </c>
      <c r="Q239" s="345">
        <f>SUMIFS('Forecast capex'!$AB$9:$AB$1940,'Forecast capex'!$C$9:$C$1940,$B239,'Forecast capex'!$K$9:$K$1940,Q$11,'Forecast capex'!$L$9:$L$1940,$D$12)+'Historical capex'!Q45</f>
        <v>0</v>
      </c>
      <c r="R239" s="345">
        <f>SUMIFS('Forecast capex'!$AB$9:$AB$1940,'Forecast capex'!$C$9:$C$1940,$B239,'Forecast capex'!$K$9:$K$1940,R$11,'Forecast capex'!$L$9:$L$1940,$D$12)+'Historical capex'!R45</f>
        <v>0</v>
      </c>
      <c r="S239" s="345">
        <f>SUMIFS('Forecast capex'!$AB$9:$AB$1940,'Forecast capex'!$C$9:$C$1940,$B239,'Forecast capex'!$K$9:$K$1940,S$11,'Forecast capex'!$L$9:$L$1940,$D$12)+'Historical capex'!S45</f>
        <v>0</v>
      </c>
    </row>
    <row r="240" spans="2:21" outlineLevel="1" x14ac:dyDescent="0.2">
      <c r="B240" s="267" t="s">
        <v>288</v>
      </c>
      <c r="C240" s="280" t="s">
        <v>250</v>
      </c>
      <c r="D240" s="267"/>
      <c r="E240" s="267"/>
      <c r="I240" s="232"/>
      <c r="M240" s="345">
        <f>SUMIFS('Forecast capex'!$AB$9:$AB$1940,'Forecast capex'!$C$9:$C$1940,$B240,'Forecast capex'!$K$9:$K$1940,M$11,'Forecast capex'!$L$9:$L$1940,$D$12)+'Historical capex'!M46</f>
        <v>0</v>
      </c>
      <c r="N240" s="345">
        <f>SUMIFS('Forecast capex'!$AB$9:$AB$1940,'Forecast capex'!$C$9:$C$1940,$B240,'Forecast capex'!$K$9:$K$1940,N$11,'Forecast capex'!$L$9:$L$1940,$D$12)+'Historical capex'!N46</f>
        <v>0</v>
      </c>
      <c r="O240" s="345">
        <f>SUMIFS('Forecast capex'!$AB$9:$AB$1940,'Forecast capex'!$C$9:$C$1940,$B240,'Forecast capex'!$K$9:$K$1940,O$11,'Forecast capex'!$L$9:$L$1940,$D$12)+'Historical capex'!O46</f>
        <v>61501.732963680552</v>
      </c>
      <c r="P240" s="345">
        <f>SUMIFS('Forecast capex'!$AB$9:$AB$1940,'Forecast capex'!$C$9:$C$1940,$B240,'Forecast capex'!$K$9:$K$1940,P$11,'Forecast capex'!$L$9:$L$1940,$D$12)+'Historical capex'!P46</f>
        <v>0</v>
      </c>
      <c r="Q240" s="345">
        <f>SUMIFS('Forecast capex'!$AB$9:$AB$1940,'Forecast capex'!$C$9:$C$1940,$B240,'Forecast capex'!$K$9:$K$1940,Q$11,'Forecast capex'!$L$9:$L$1940,$D$12)+'Historical capex'!Q46</f>
        <v>57905.444045251585</v>
      </c>
      <c r="R240" s="345">
        <f>SUMIFS('Forecast capex'!$AB$9:$AB$1940,'Forecast capex'!$C$9:$C$1940,$B240,'Forecast capex'!$K$9:$K$1940,R$11,'Forecast capex'!$L$9:$L$1940,$D$12)+'Historical capex'!R46</f>
        <v>116762.86543959503</v>
      </c>
      <c r="S240" s="345">
        <f>SUMIFS('Forecast capex'!$AB$9:$AB$1940,'Forecast capex'!$C$9:$C$1940,$B240,'Forecast capex'!$K$9:$K$1940,S$11,'Forecast capex'!$L$9:$L$1940,$D$12)+'Historical capex'!S46</f>
        <v>24364.528095140435</v>
      </c>
    </row>
    <row r="241" spans="1:25" outlineLevel="1" x14ac:dyDescent="0.2">
      <c r="B241" s="267" t="s">
        <v>289</v>
      </c>
      <c r="C241" s="280" t="s">
        <v>250</v>
      </c>
      <c r="D241" s="267"/>
      <c r="E241" s="267"/>
      <c r="I241" s="232"/>
      <c r="M241" s="345">
        <f>SUMIFS('Forecast capex'!$AB$9:$AB$1940,'Forecast capex'!$C$9:$C$1940,$B241,'Forecast capex'!$K$9:$K$1940,M$11,'Forecast capex'!$L$9:$L$1940,$D$12)+'Historical capex'!M47</f>
        <v>0</v>
      </c>
      <c r="N241" s="345">
        <f>SUMIFS('Forecast capex'!$AB$9:$AB$1940,'Forecast capex'!$C$9:$C$1940,$B241,'Forecast capex'!$K$9:$K$1940,N$11,'Forecast capex'!$L$9:$L$1940,$D$12)+'Historical capex'!N47</f>
        <v>0</v>
      </c>
      <c r="O241" s="345">
        <f>SUMIFS('Forecast capex'!$AB$9:$AB$1940,'Forecast capex'!$C$9:$C$1940,$B241,'Forecast capex'!$K$9:$K$1940,O$11,'Forecast capex'!$L$9:$L$1940,$D$12)+'Historical capex'!O47</f>
        <v>45542.446404253002</v>
      </c>
      <c r="P241" s="345">
        <f>SUMIFS('Forecast capex'!$AB$9:$AB$1940,'Forecast capex'!$C$9:$C$1940,$B241,'Forecast capex'!$K$9:$K$1940,P$11,'Forecast capex'!$L$9:$L$1940,$D$12)+'Historical capex'!P47</f>
        <v>0</v>
      </c>
      <c r="Q241" s="345">
        <f>SUMIFS('Forecast capex'!$AB$9:$AB$1940,'Forecast capex'!$C$9:$C$1940,$B241,'Forecast capex'!$K$9:$K$1940,Q$11,'Forecast capex'!$L$9:$L$1940,$D$12)+'Historical capex'!Q47</f>
        <v>27727.496227613694</v>
      </c>
      <c r="R241" s="345">
        <f>SUMIFS('Forecast capex'!$AB$9:$AB$1940,'Forecast capex'!$C$9:$C$1940,$B241,'Forecast capex'!$K$9:$K$1940,R$11,'Forecast capex'!$L$9:$L$1940,$D$12)+'Historical capex'!R47</f>
        <v>70325.27225321575</v>
      </c>
      <c r="S241" s="345">
        <f>SUMIFS('Forecast capex'!$AB$9:$AB$1940,'Forecast capex'!$C$9:$C$1940,$B241,'Forecast capex'!$K$9:$K$1940,S$11,'Forecast capex'!$L$9:$L$1940,$D$12)+'Historical capex'!S47</f>
        <v>14324.003241691553</v>
      </c>
    </row>
    <row r="242" spans="1:25" outlineLevel="1" x14ac:dyDescent="0.2">
      <c r="B242" s="267" t="s">
        <v>290</v>
      </c>
      <c r="C242" s="280" t="s">
        <v>250</v>
      </c>
      <c r="D242" s="267"/>
      <c r="E242" s="267"/>
      <c r="I242" s="232"/>
      <c r="M242" s="345">
        <f>SUMIFS('Forecast capex'!$AB$9:$AB$1940,'Forecast capex'!$C$9:$C$1940,$B242,'Forecast capex'!$K$9:$K$1940,M$11,'Forecast capex'!$L$9:$L$1940,$D$12)+'Historical capex'!M48</f>
        <v>0</v>
      </c>
      <c r="N242" s="345">
        <f>SUMIFS('Forecast capex'!$AB$9:$AB$1940,'Forecast capex'!$C$9:$C$1940,$B242,'Forecast capex'!$K$9:$K$1940,N$11,'Forecast capex'!$L$9:$L$1940,$D$12)+'Historical capex'!N48</f>
        <v>0</v>
      </c>
      <c r="O242" s="345">
        <f>SUMIFS('Forecast capex'!$AB$9:$AB$1940,'Forecast capex'!$C$9:$C$1940,$B242,'Forecast capex'!$K$9:$K$1940,O$11,'Forecast capex'!$L$9:$L$1940,$D$12)+'Historical capex'!O48</f>
        <v>71185.434229875595</v>
      </c>
      <c r="P242" s="345">
        <f>SUMIFS('Forecast capex'!$AB$9:$AB$1940,'Forecast capex'!$C$9:$C$1940,$B242,'Forecast capex'!$K$9:$K$1940,P$11,'Forecast capex'!$L$9:$L$1940,$D$12)+'Historical capex'!P48</f>
        <v>0</v>
      </c>
      <c r="Q242" s="345">
        <f>SUMIFS('Forecast capex'!$AB$9:$AB$1940,'Forecast capex'!$C$9:$C$1940,$B242,'Forecast capex'!$K$9:$K$1940,Q$11,'Forecast capex'!$L$9:$L$1940,$D$12)+'Historical capex'!Q48</f>
        <v>46414.540897331666</v>
      </c>
      <c r="R242" s="345">
        <f>SUMIFS('Forecast capex'!$AB$9:$AB$1940,'Forecast capex'!$C$9:$C$1940,$B242,'Forecast capex'!$K$9:$K$1940,R$11,'Forecast capex'!$L$9:$L$1940,$D$12)+'Historical capex'!R48</f>
        <v>70866.147094048254</v>
      </c>
      <c r="S242" s="345">
        <f>SUMIFS('Forecast capex'!$AB$9:$AB$1940,'Forecast capex'!$C$9:$C$1940,$B242,'Forecast capex'!$K$9:$K$1940,S$11,'Forecast capex'!$L$9:$L$1940,$D$12)+'Historical capex'!S48</f>
        <v>0</v>
      </c>
    </row>
    <row r="243" spans="1:25" outlineLevel="1" x14ac:dyDescent="0.2">
      <c r="B243" s="267" t="s">
        <v>291</v>
      </c>
      <c r="C243" s="280" t="s">
        <v>250</v>
      </c>
      <c r="D243" s="267"/>
      <c r="E243" s="267"/>
      <c r="I243" s="232"/>
      <c r="M243" s="345">
        <f>SUMIFS('Forecast capex'!$AB$9:$AB$1940,'Forecast capex'!$C$9:$C$1940,$B243,'Forecast capex'!$K$9:$K$1940,M$11,'Forecast capex'!$L$9:$L$1940,$D$12)+'Historical capex'!M49</f>
        <v>7836477.5899999999</v>
      </c>
      <c r="N243" s="345">
        <f>SUMIFS('Forecast capex'!$AB$9:$AB$1940,'Forecast capex'!$C$9:$C$1940,$B243,'Forecast capex'!$K$9:$K$1940,N$11,'Forecast capex'!$L$9:$L$1940,$D$12)+'Historical capex'!N49</f>
        <v>0</v>
      </c>
      <c r="O243" s="345">
        <f>SUMIFS('Forecast capex'!$AB$9:$AB$1940,'Forecast capex'!$C$9:$C$1940,$B243,'Forecast capex'!$K$9:$K$1940,O$11,'Forecast capex'!$L$9:$L$1940,$D$12)+'Historical capex'!O49</f>
        <v>92597.012377270978</v>
      </c>
      <c r="P243" s="345">
        <f>SUMIFS('Forecast capex'!$AB$9:$AB$1940,'Forecast capex'!$C$9:$C$1940,$B243,'Forecast capex'!$K$9:$K$1940,P$11,'Forecast capex'!$L$9:$L$1940,$D$12)+'Historical capex'!P49</f>
        <v>0</v>
      </c>
      <c r="Q243" s="345">
        <f>SUMIFS('Forecast capex'!$AB$9:$AB$1940,'Forecast capex'!$C$9:$C$1940,$B243,'Forecast capex'!$K$9:$K$1940,Q$11,'Forecast capex'!$L$9:$L$1940,$D$12)+'Historical capex'!Q49</f>
        <v>132121.96583375474</v>
      </c>
      <c r="R243" s="345">
        <f>SUMIFS('Forecast capex'!$AB$9:$AB$1940,'Forecast capex'!$C$9:$C$1940,$B243,'Forecast capex'!$K$9:$K$1940,R$11,'Forecast capex'!$L$9:$L$1940,$D$12)+'Historical capex'!R49</f>
        <v>72726.337137985058</v>
      </c>
      <c r="S243" s="345">
        <f>SUMIFS('Forecast capex'!$AB$9:$AB$1940,'Forecast capex'!$C$9:$C$1940,$B243,'Forecast capex'!$K$9:$K$1940,S$11,'Forecast capex'!$L$9:$L$1940,$D$12)+'Historical capex'!S49</f>
        <v>26968.728172357914</v>
      </c>
    </row>
    <row r="244" spans="1:25" outlineLevel="1" x14ac:dyDescent="0.2">
      <c r="B244" s="267" t="s">
        <v>292</v>
      </c>
      <c r="C244" s="280" t="s">
        <v>250</v>
      </c>
      <c r="D244" s="267"/>
      <c r="E244" s="267"/>
      <c r="I244" s="232"/>
      <c r="M244" s="345">
        <f>SUMIFS('Forecast capex'!$AB$9:$AB$1940,'Forecast capex'!$C$9:$C$1940,$B244,'Forecast capex'!$K$9:$K$1940,M$11,'Forecast capex'!$L$9:$L$1940,$D$12)+'Historical capex'!M50</f>
        <v>0</v>
      </c>
      <c r="N244" s="345">
        <f>SUMIFS('Forecast capex'!$AB$9:$AB$1940,'Forecast capex'!$C$9:$C$1940,$B244,'Forecast capex'!$K$9:$K$1940,N$11,'Forecast capex'!$L$9:$L$1940,$D$12)+'Historical capex'!N50</f>
        <v>0</v>
      </c>
      <c r="O244" s="345">
        <f>SUMIFS('Forecast capex'!$AB$9:$AB$1940,'Forecast capex'!$C$9:$C$1940,$B244,'Forecast capex'!$K$9:$K$1940,O$11,'Forecast capex'!$L$9:$L$1940,$D$12)+'Historical capex'!O50</f>
        <v>1902448.1504033024</v>
      </c>
      <c r="P244" s="345">
        <f>SUMIFS('Forecast capex'!$AB$9:$AB$1940,'Forecast capex'!$C$9:$C$1940,$B244,'Forecast capex'!$K$9:$K$1940,P$11,'Forecast capex'!$L$9:$L$1940,$D$12)+'Historical capex'!P50</f>
        <v>0</v>
      </c>
      <c r="Q244" s="345">
        <f>SUMIFS('Forecast capex'!$AB$9:$AB$1940,'Forecast capex'!$C$9:$C$1940,$B244,'Forecast capex'!$K$9:$K$1940,Q$11,'Forecast capex'!$L$9:$L$1940,$D$12)+'Historical capex'!Q50</f>
        <v>0</v>
      </c>
      <c r="R244" s="345">
        <f>SUMIFS('Forecast capex'!$AB$9:$AB$1940,'Forecast capex'!$C$9:$C$1940,$B244,'Forecast capex'!$K$9:$K$1940,R$11,'Forecast capex'!$L$9:$L$1940,$D$12)+'Historical capex'!R50</f>
        <v>0</v>
      </c>
      <c r="S244" s="345">
        <f>SUMIFS('Forecast capex'!$AB$9:$AB$1940,'Forecast capex'!$C$9:$C$1940,$B244,'Forecast capex'!$K$9:$K$1940,S$11,'Forecast capex'!$L$9:$L$1940,$D$12)+'Historical capex'!S50</f>
        <v>0</v>
      </c>
    </row>
    <row r="245" spans="1:25" outlineLevel="1" x14ac:dyDescent="0.2">
      <c r="B245" s="288" t="s">
        <v>49</v>
      </c>
      <c r="C245" s="337" t="s">
        <v>250</v>
      </c>
      <c r="D245" s="288"/>
      <c r="E245" s="288"/>
      <c r="F245" s="243"/>
      <c r="G245" s="243"/>
      <c r="H245" s="243"/>
      <c r="I245" s="243"/>
      <c r="J245" s="243"/>
      <c r="K245" s="243"/>
      <c r="L245" s="243"/>
      <c r="M245" s="235">
        <f t="shared" ref="M245:S245" si="84">SUM(M236:M244)</f>
        <v>11092936.890000001</v>
      </c>
      <c r="N245" s="235">
        <f t="shared" si="84"/>
        <v>10702581.651988024</v>
      </c>
      <c r="O245" s="235">
        <f t="shared" si="84"/>
        <v>6032261.0454512816</v>
      </c>
      <c r="P245" s="235">
        <f t="shared" si="84"/>
        <v>1332545.3326392709</v>
      </c>
      <c r="Q245" s="235">
        <f t="shared" si="84"/>
        <v>5075452.7970312648</v>
      </c>
      <c r="R245" s="235">
        <f t="shared" si="84"/>
        <v>4127722.6614697925</v>
      </c>
      <c r="S245" s="235">
        <f t="shared" si="84"/>
        <v>4511891.8852117937</v>
      </c>
    </row>
    <row r="246" spans="1:25" outlineLevel="1" x14ac:dyDescent="0.2">
      <c r="B246" s="338"/>
      <c r="C246" s="337"/>
      <c r="D246" s="288"/>
      <c r="E246" s="288"/>
      <c r="F246" s="243"/>
      <c r="G246" s="243"/>
      <c r="H246" s="243"/>
      <c r="I246" s="243"/>
      <c r="J246" s="243"/>
      <c r="K246" s="243"/>
      <c r="L246" s="243"/>
      <c r="M246" s="294"/>
      <c r="N246" s="294"/>
      <c r="O246" s="294"/>
      <c r="P246" s="294"/>
      <c r="Q246" s="294"/>
      <c r="R246" s="294"/>
      <c r="S246" s="294"/>
    </row>
    <row r="247" spans="1:25" outlineLevel="1" x14ac:dyDescent="0.2">
      <c r="B247" s="242" t="s">
        <v>452</v>
      </c>
      <c r="C247" s="280" t="s">
        <v>58</v>
      </c>
      <c r="D247" s="297">
        <f>SUM(H247:S247)</f>
        <v>0</v>
      </c>
      <c r="E247" s="298"/>
      <c r="M247" s="228">
        <f>IF(ABS(M245-(SUMIFS('Forecast capex'!$AB$9:$AB$1940,'Forecast capex'!$K$9:$K$1940,M$11,'Forecast capex'!$L$9:$L$1940,$D$12)+'Historical capex'!M51))&lt;0.001,0,1)</f>
        <v>0</v>
      </c>
      <c r="N247" s="228">
        <f>IF(ABS(N245-(SUMIFS('Forecast capex'!$AB$9:$AB$1940,'Forecast capex'!$K$9:$K$1940,N$11,'Forecast capex'!$L$9:$L$1940,$D$12)+'Historical capex'!N51))&lt;0.001,0,1)</f>
        <v>0</v>
      </c>
      <c r="O247" s="228">
        <f>IF(ABS(O245-(SUMIFS('Forecast capex'!$AB$9:$AB$1940,'Forecast capex'!$K$9:$K$1940,O$11,'Forecast capex'!$L$9:$L$1940,$D$12)+'Historical capex'!O51))&lt;0.001,0,1)</f>
        <v>0</v>
      </c>
      <c r="P247" s="228">
        <f>IF(ABS(P245-(SUMIFS('Forecast capex'!$AB$9:$AB$1940,'Forecast capex'!$K$9:$K$1940,P$11,'Forecast capex'!$L$9:$L$1940,$D$12)+'Historical capex'!P51))&lt;0.001,0,1)</f>
        <v>0</v>
      </c>
      <c r="Q247" s="228">
        <f>IF(ABS(Q245-(SUMIFS('Forecast capex'!$AB$9:$AB$1940,'Forecast capex'!$K$9:$K$1940,Q$11,'Forecast capex'!$L$9:$L$1940,$D$12)+'Historical capex'!Q51))&lt;0.001,0,1)</f>
        <v>0</v>
      </c>
      <c r="R247" s="228">
        <f>IF(ABS(R245-(SUMIFS('Forecast capex'!$AB$9:$AB$1940,'Forecast capex'!$K$9:$K$1940,R$11,'Forecast capex'!$L$9:$L$1940,$D$12)+'Historical capex'!R51))&lt;0.001,0,1)</f>
        <v>0</v>
      </c>
      <c r="S247" s="228">
        <f>IF(ABS(S245-(SUMIFS('Forecast capex'!$AB$9:$AB$1940,'Forecast capex'!$K$9:$K$1940,S$11,'Forecast capex'!$L$9:$L$1940,$D$12)+'Historical capex'!S51))&lt;0.001,0,1)</f>
        <v>0</v>
      </c>
    </row>
    <row r="248" spans="1:25" outlineLevel="1" x14ac:dyDescent="0.2">
      <c r="B248" s="338"/>
      <c r="C248" s="337"/>
      <c r="D248" s="288"/>
      <c r="E248" s="288"/>
      <c r="F248" s="243"/>
      <c r="G248" s="243"/>
      <c r="H248" s="243"/>
      <c r="I248" s="243"/>
      <c r="J248" s="243"/>
      <c r="K248" s="243"/>
      <c r="L248" s="243"/>
      <c r="M248" s="294"/>
      <c r="N248" s="294"/>
      <c r="O248" s="294"/>
      <c r="P248" s="294"/>
      <c r="Q248" s="294"/>
      <c r="R248" s="294"/>
      <c r="S248" s="294"/>
    </row>
    <row r="249" spans="1:25" outlineLevel="1" x14ac:dyDescent="0.2">
      <c r="B249" s="287" t="s">
        <v>293</v>
      </c>
      <c r="C249" s="314"/>
      <c r="D249" s="347"/>
      <c r="E249" s="314"/>
      <c r="F249" s="242"/>
      <c r="G249" s="302"/>
      <c r="H249" s="302"/>
      <c r="I249" s="302"/>
      <c r="J249" s="302"/>
      <c r="K249" s="242"/>
      <c r="L249" s="242"/>
      <c r="M249" s="242"/>
      <c r="N249" s="242"/>
      <c r="O249" s="242"/>
      <c r="P249" s="242"/>
      <c r="Q249" s="242"/>
      <c r="R249" s="242"/>
      <c r="S249" s="242"/>
      <c r="T249" s="242"/>
      <c r="U249" s="229"/>
    </row>
    <row r="250" spans="1:25" outlineLevel="1" x14ac:dyDescent="0.2">
      <c r="B250" s="229"/>
      <c r="C250" s="229"/>
      <c r="D250" s="229"/>
      <c r="E250" s="229"/>
      <c r="K250" s="289"/>
      <c r="L250" s="289"/>
      <c r="M250" s="289"/>
      <c r="N250" s="289"/>
      <c r="O250" s="289"/>
      <c r="P250" s="289"/>
      <c r="Q250" s="289"/>
      <c r="R250" s="289"/>
      <c r="S250" s="289"/>
      <c r="T250" s="242"/>
    </row>
    <row r="251" spans="1:25" outlineLevel="1" x14ac:dyDescent="0.2">
      <c r="B251" s="338"/>
      <c r="C251" s="229"/>
      <c r="D251" s="229"/>
      <c r="E251" s="229"/>
      <c r="K251" s="289"/>
      <c r="L251" s="289"/>
      <c r="M251" s="289"/>
      <c r="N251" s="289"/>
      <c r="O251" s="289"/>
      <c r="P251" s="289"/>
      <c r="Q251" s="289"/>
      <c r="R251" s="289"/>
      <c r="S251" s="289"/>
      <c r="T251" s="242"/>
    </row>
    <row r="252" spans="1:25" outlineLevel="1" x14ac:dyDescent="0.2">
      <c r="B252" s="229"/>
      <c r="C252" s="229"/>
      <c r="D252" s="229"/>
      <c r="E252" s="229"/>
      <c r="K252" s="289"/>
      <c r="L252" s="289"/>
      <c r="M252" s="289"/>
      <c r="N252" s="289"/>
      <c r="O252" s="289"/>
      <c r="P252" s="289"/>
      <c r="Q252" s="289"/>
      <c r="R252" s="289"/>
      <c r="S252" s="289"/>
      <c r="T252" s="242"/>
    </row>
    <row r="253" spans="1:25" outlineLevel="1" x14ac:dyDescent="0.2">
      <c r="B253" s="343">
        <v>0</v>
      </c>
      <c r="C253" s="280" t="s">
        <v>250</v>
      </c>
      <c r="D253" s="229"/>
      <c r="E253" s="229"/>
      <c r="H253" s="344"/>
      <c r="I253" s="232"/>
      <c r="M253" s="345">
        <f>SUMIFS('Forecast capex'!$AB$9:$AB$1940,'Forecast capex'!$AE$9:$AE$1940,$B253,'Forecast capex'!$K$9:$K$1940,M$11,'Forecast capex'!$L$9:$L$1940,$D$12)+SUMIFS('Forecast capex'!$T$9:$T$1940,'Forecast capex'!$AE$9:$AE$1940,$B253,'Forecast capex'!$K$9:$K$1940,M$11,'Forecast capex'!$L$9:$L$1940,$D$12)+'Historical capex'!M55</f>
        <v>0</v>
      </c>
      <c r="N253" s="345">
        <f>SUMIFS('Forecast capex'!$AB$9:$AB$1940,'Forecast capex'!$AE$9:$AE$1940,$B253,'Forecast capex'!$K$9:$K$1940,N$11,'Forecast capex'!$L$9:$L$1940,$D$12)+SUMIFS('Forecast capex'!$T$9:$T$1940,'Forecast capex'!$AE$9:$AE$1940,$B253,'Forecast capex'!$K$9:$K$1940,N$11,'Forecast capex'!$L$9:$L$1940,$D$12)+'Historical capex'!N55</f>
        <v>0</v>
      </c>
      <c r="O253" s="345">
        <f>SUMIFS('Forecast capex'!$AB$9:$AB$1940,'Forecast capex'!$AE$9:$AE$1940,$B253,'Forecast capex'!$K$9:$K$1940,O$11,'Forecast capex'!$L$9:$L$1940,$D$12)+SUMIFS('Forecast capex'!$T$9:$T$1940,'Forecast capex'!$AE$9:$AE$1940,$B253,'Forecast capex'!$K$9:$K$1940,O$11,'Forecast capex'!$L$9:$L$1940,$D$12)+'Historical capex'!O55</f>
        <v>1314468.9137762971</v>
      </c>
      <c r="P253" s="345">
        <f>SUMIFS('Forecast capex'!$AB$9:$AB$1940,'Forecast capex'!$AE$9:$AE$1940,$B253,'Forecast capex'!$K$9:$K$1940,P$11,'Forecast capex'!$L$9:$L$1940,$D$12)+SUMIFS('Forecast capex'!$T$9:$T$1940,'Forecast capex'!$AE$9:$AE$1940,$B253,'Forecast capex'!$K$9:$K$1940,P$11,'Forecast capex'!$L$9:$L$1940,$D$12)+'Historical capex'!P55</f>
        <v>0</v>
      </c>
      <c r="Q253" s="345">
        <f>SUMIFS('Forecast capex'!$AB$9:$AB$1940,'Forecast capex'!$AE$9:$AE$1940,$B253,'Forecast capex'!$K$9:$K$1940,Q$11,'Forecast capex'!$L$9:$L$1940,$D$12)+SUMIFS('Forecast capex'!$T$9:$T$1940,'Forecast capex'!$AE$9:$AE$1940,$B253,'Forecast capex'!$K$9:$K$1940,Q$11,'Forecast capex'!$L$9:$L$1940,$D$12)+'Historical capex'!Q55</f>
        <v>1098128.6372168455</v>
      </c>
      <c r="R253" s="345">
        <f>SUMIFS('Forecast capex'!$AB$9:$AB$1940,'Forecast capex'!$AE$9:$AE$1940,$B253,'Forecast capex'!$K$9:$K$1940,R$11,'Forecast capex'!$L$9:$L$1940,$D$12)+SUMIFS('Forecast capex'!$T$9:$T$1940,'Forecast capex'!$AE$9:$AE$1940,$B253,'Forecast capex'!$K$9:$K$1940,R$11,'Forecast capex'!$L$9:$L$1940,$D$12)+'Historical capex'!R55</f>
        <v>539265.70054681366</v>
      </c>
      <c r="S253" s="345">
        <f>SUMIFS('Forecast capex'!$AB$9:$AB$1940,'Forecast capex'!$AE$9:$AE$1940,$B253,'Forecast capex'!$K$9:$K$1940,S$11,'Forecast capex'!$L$9:$L$1940,$D$12)+SUMIFS('Forecast capex'!$T$9:$T$1940,'Forecast capex'!$AE$9:$AE$1940,$B253,'Forecast capex'!$K$9:$K$1940,S$11,'Forecast capex'!$L$9:$L$1940,$D$12)+'Historical capex'!S55</f>
        <v>368452.85971357115</v>
      </c>
    </row>
    <row r="254" spans="1:25" outlineLevel="1" x14ac:dyDescent="0.2">
      <c r="B254" s="343">
        <v>0.08</v>
      </c>
      <c r="C254" s="280" t="s">
        <v>250</v>
      </c>
      <c r="D254" s="229"/>
      <c r="E254" s="229"/>
      <c r="H254" s="344"/>
      <c r="I254" s="232"/>
      <c r="M254" s="345">
        <f>SUMIFS('Forecast capex'!$AB$9:$AB$1940,'Forecast capex'!$AE$9:$AE$1940,$B254,'Forecast capex'!$K$9:$K$1940,M$11,'Forecast capex'!$L$9:$L$1940,$D$12)+SUMIFS('Forecast capex'!$T$9:$T$1940,'Forecast capex'!$AE$9:$AE$1940,$B254,'Forecast capex'!$K$9:$K$1940,M$11,'Forecast capex'!$L$9:$L$1940,$D$12)+'Historical capex'!M56</f>
        <v>11092936.890000001</v>
      </c>
      <c r="N254" s="345">
        <f>SUMIFS('Forecast capex'!$AB$9:$AB$1940,'Forecast capex'!$AE$9:$AE$1940,$B254,'Forecast capex'!$K$9:$K$1940,N$11,'Forecast capex'!$L$9:$L$1940,$D$12)+SUMIFS('Forecast capex'!$T$9:$T$1940,'Forecast capex'!$AE$9:$AE$1940,$B254,'Forecast capex'!$K$9:$K$1940,N$11,'Forecast capex'!$L$9:$L$1940,$D$12)+'Historical capex'!N56</f>
        <v>10702581.651988026</v>
      </c>
      <c r="O254" s="345">
        <f>SUMIFS('Forecast capex'!$AB$9:$AB$1940,'Forecast capex'!$AE$9:$AE$1940,$B254,'Forecast capex'!$K$9:$K$1940,O$11,'Forecast capex'!$L$9:$L$1940,$D$12)+SUMIFS('Forecast capex'!$T$9:$T$1940,'Forecast capex'!$AE$9:$AE$1940,$B254,'Forecast capex'!$K$9:$K$1940,O$11,'Forecast capex'!$L$9:$L$1940,$D$12)+'Historical capex'!O56</f>
        <v>2722746.9688944109</v>
      </c>
      <c r="P254" s="345">
        <f>SUMIFS('Forecast capex'!$AB$9:$AB$1940,'Forecast capex'!$AE$9:$AE$1940,$B254,'Forecast capex'!$K$9:$K$1940,P$11,'Forecast capex'!$L$9:$L$1940,$D$12)+SUMIFS('Forecast capex'!$T$9:$T$1940,'Forecast capex'!$AE$9:$AE$1940,$B254,'Forecast capex'!$K$9:$K$1940,P$11,'Forecast capex'!$L$9:$L$1940,$D$12)+'Historical capex'!P56</f>
        <v>1332545.3326392709</v>
      </c>
      <c r="Q254" s="345">
        <f>SUMIFS('Forecast capex'!$AB$9:$AB$1940,'Forecast capex'!$AE$9:$AE$1940,$B254,'Forecast capex'!$K$9:$K$1940,Q$11,'Forecast capex'!$L$9:$L$1940,$D$12)+SUMIFS('Forecast capex'!$T$9:$T$1940,'Forecast capex'!$AE$9:$AE$1940,$B254,'Forecast capex'!$K$9:$K$1940,Q$11,'Forecast capex'!$L$9:$L$1940,$D$12)+'Historical capex'!Q56</f>
        <v>3546014.8408329161</v>
      </c>
      <c r="R254" s="345">
        <f>SUMIFS('Forecast capex'!$AB$9:$AB$1940,'Forecast capex'!$AE$9:$AE$1940,$B254,'Forecast capex'!$K$9:$K$1940,R$11,'Forecast capex'!$L$9:$L$1940,$D$12)+SUMIFS('Forecast capex'!$T$9:$T$1940,'Forecast capex'!$AE$9:$AE$1940,$B254,'Forecast capex'!$K$9:$K$1940,R$11,'Forecast capex'!$L$9:$L$1940,$D$12)+'Historical capex'!R56</f>
        <v>3515730.6237849933</v>
      </c>
      <c r="S254" s="345">
        <f>SUMIFS('Forecast capex'!$AB$9:$AB$1940,'Forecast capex'!$AE$9:$AE$1940,$B254,'Forecast capex'!$K$9:$K$1940,S$11,'Forecast capex'!$L$9:$L$1940,$D$12)+SUMIFS('Forecast capex'!$T$9:$T$1940,'Forecast capex'!$AE$9:$AE$1940,$B254,'Forecast capex'!$K$9:$K$1940,S$11,'Forecast capex'!$L$9:$L$1940,$D$12)+'Historical capex'!S56</f>
        <v>4116470.2973258644</v>
      </c>
    </row>
    <row r="255" spans="1:25" s="12" customFormat="1" outlineLevel="1" x14ac:dyDescent="0.2">
      <c r="A255" s="232"/>
      <c r="B255" s="343">
        <v>0.1</v>
      </c>
      <c r="C255" s="280" t="s">
        <v>250</v>
      </c>
      <c r="D255" s="229"/>
      <c r="E255" s="229"/>
      <c r="F255" s="232"/>
      <c r="G255" s="232"/>
      <c r="H255" s="344"/>
      <c r="I255" s="232"/>
      <c r="J255" s="232"/>
      <c r="K255" s="232"/>
      <c r="L255" s="232"/>
      <c r="M255" s="345">
        <f>SUMIFS('Forecast capex'!$AB$9:$AB$1940,'Forecast capex'!$AE$9:$AE$1940,$B255,'Forecast capex'!$K$9:$K$1940,M$11,'Forecast capex'!$L$9:$L$1940,$D$12)+SUMIFS('Forecast capex'!$T$9:$T$1940,'Forecast capex'!$AE$9:$AE$1940,$B255,'Forecast capex'!$K$9:$K$1940,M$11,'Forecast capex'!$L$9:$L$1940,$D$12)+'Historical capex'!M57</f>
        <v>0</v>
      </c>
      <c r="N255" s="345">
        <f>SUMIFS('Forecast capex'!$AB$9:$AB$1940,'Forecast capex'!$AE$9:$AE$1940,$B255,'Forecast capex'!$K$9:$K$1940,N$11,'Forecast capex'!$L$9:$L$1940,$D$12)+SUMIFS('Forecast capex'!$T$9:$T$1940,'Forecast capex'!$AE$9:$AE$1940,$B255,'Forecast capex'!$K$9:$K$1940,N$11,'Forecast capex'!$L$9:$L$1940,$D$12)+'Historical capex'!N57</f>
        <v>0</v>
      </c>
      <c r="O255" s="345">
        <f>SUMIFS('Forecast capex'!$AB$9:$AB$1940,'Forecast capex'!$AE$9:$AE$1940,$B255,'Forecast capex'!$K$9:$K$1940,O$11,'Forecast capex'!$L$9:$L$1940,$D$12)+SUMIFS('Forecast capex'!$T$9:$T$1940,'Forecast capex'!$AE$9:$AE$1940,$B255,'Forecast capex'!$K$9:$K$1940,O$11,'Forecast capex'!$L$9:$L$1940,$D$12)+'Historical capex'!O57</f>
        <v>92597.012377270978</v>
      </c>
      <c r="P255" s="345">
        <f>SUMIFS('Forecast capex'!$AB$9:$AB$1940,'Forecast capex'!$AE$9:$AE$1940,$B255,'Forecast capex'!$K$9:$K$1940,P$11,'Forecast capex'!$L$9:$L$1940,$D$12)+SUMIFS('Forecast capex'!$T$9:$T$1940,'Forecast capex'!$AE$9:$AE$1940,$B255,'Forecast capex'!$K$9:$K$1940,P$11,'Forecast capex'!$L$9:$L$1940,$D$12)+'Historical capex'!P57</f>
        <v>0</v>
      </c>
      <c r="Q255" s="345">
        <f>SUMIFS('Forecast capex'!$AB$9:$AB$1940,'Forecast capex'!$AE$9:$AE$1940,$B255,'Forecast capex'!$K$9:$K$1940,Q$11,'Forecast capex'!$L$9:$L$1940,$D$12)+SUMIFS('Forecast capex'!$T$9:$T$1940,'Forecast capex'!$AE$9:$AE$1940,$B255,'Forecast capex'!$K$9:$K$1940,Q$11,'Forecast capex'!$L$9:$L$1940,$D$12)+'Historical capex'!Q57</f>
        <v>431309.31898150285</v>
      </c>
      <c r="R255" s="345">
        <f>SUMIFS('Forecast capex'!$AB$9:$AB$1940,'Forecast capex'!$AE$9:$AE$1940,$B255,'Forecast capex'!$K$9:$K$1940,R$11,'Forecast capex'!$L$9:$L$1940,$D$12)+SUMIFS('Forecast capex'!$T$9:$T$1940,'Forecast capex'!$AE$9:$AE$1940,$B255,'Forecast capex'!$K$9:$K$1940,R$11,'Forecast capex'!$L$9:$L$1940,$D$12)+'Historical capex'!R57</f>
        <v>72726.337137985058</v>
      </c>
      <c r="S255" s="345">
        <f>SUMIFS('Forecast capex'!$AB$9:$AB$1940,'Forecast capex'!$AE$9:$AE$1940,$B255,'Forecast capex'!$K$9:$K$1940,S$11,'Forecast capex'!$L$9:$L$1940,$D$12)+SUMIFS('Forecast capex'!$T$9:$T$1940,'Forecast capex'!$AE$9:$AE$1940,$B255,'Forecast capex'!$K$9:$K$1940,S$11,'Forecast capex'!$L$9:$L$1940,$D$12)+'Historical capex'!S57</f>
        <v>26968.728172357914</v>
      </c>
      <c r="T255" s="232"/>
      <c r="U255" s="232"/>
      <c r="V255" s="243"/>
      <c r="W255" s="243"/>
      <c r="X255" s="243"/>
      <c r="Y255" s="243"/>
    </row>
    <row r="256" spans="1:25" outlineLevel="1" x14ac:dyDescent="0.2">
      <c r="B256" s="343">
        <v>0.13</v>
      </c>
      <c r="C256" s="280" t="s">
        <v>250</v>
      </c>
      <c r="D256" s="229"/>
      <c r="E256" s="229"/>
      <c r="H256" s="344"/>
      <c r="I256" s="232"/>
      <c r="M256" s="345">
        <f>SUMIFS('Forecast capex'!$AB$9:$AB$1940,'Forecast capex'!$AE$9:$AE$1940,$B256,'Forecast capex'!$K$9:$K$1940,M$11,'Forecast capex'!$L$9:$L$1940,$D$12)+SUMIFS('Forecast capex'!$T$9:$T$1940,'Forecast capex'!$AE$9:$AE$1940,$B256,'Forecast capex'!$K$9:$K$1940,M$11,'Forecast capex'!$L$9:$L$1940,$D$12)+'Historical capex'!M58</f>
        <v>0</v>
      </c>
      <c r="N256" s="345">
        <f>SUMIFS('Forecast capex'!$AB$9:$AB$1940,'Forecast capex'!$AE$9:$AE$1940,$B256,'Forecast capex'!$K$9:$K$1940,N$11,'Forecast capex'!$L$9:$L$1940,$D$12)+SUMIFS('Forecast capex'!$T$9:$T$1940,'Forecast capex'!$AE$9:$AE$1940,$B256,'Forecast capex'!$K$9:$K$1940,N$11,'Forecast capex'!$L$9:$L$1940,$D$12)+'Historical capex'!N58</f>
        <v>0</v>
      </c>
      <c r="O256" s="345">
        <f>SUMIFS('Forecast capex'!$AB$9:$AB$1940,'Forecast capex'!$AE$9:$AE$1940,$B256,'Forecast capex'!$K$9:$K$1940,O$11,'Forecast capex'!$L$9:$L$1940,$D$12)+SUMIFS('Forecast capex'!$T$9:$T$1940,'Forecast capex'!$AE$9:$AE$1940,$B256,'Forecast capex'!$K$9:$K$1940,O$11,'Forecast capex'!$L$9:$L$1940,$D$12)+'Historical capex'!O58</f>
        <v>0</v>
      </c>
      <c r="P256" s="345">
        <f>SUMIFS('Forecast capex'!$AB$9:$AB$1940,'Forecast capex'!$AE$9:$AE$1940,$B256,'Forecast capex'!$K$9:$K$1940,P$11,'Forecast capex'!$L$9:$L$1940,$D$12)+SUMIFS('Forecast capex'!$T$9:$T$1940,'Forecast capex'!$AE$9:$AE$1940,$B256,'Forecast capex'!$K$9:$K$1940,P$11,'Forecast capex'!$L$9:$L$1940,$D$12)+'Historical capex'!P58</f>
        <v>0</v>
      </c>
      <c r="Q256" s="345">
        <f>SUMIFS('Forecast capex'!$AB$9:$AB$1940,'Forecast capex'!$AE$9:$AE$1940,$B256,'Forecast capex'!$K$9:$K$1940,Q$11,'Forecast capex'!$L$9:$L$1940,$D$12)+SUMIFS('Forecast capex'!$T$9:$T$1940,'Forecast capex'!$AE$9:$AE$1940,$B256,'Forecast capex'!$K$9:$K$1940,Q$11,'Forecast capex'!$L$9:$L$1940,$D$12)+'Historical capex'!Q58</f>
        <v>0</v>
      </c>
      <c r="R256" s="345">
        <f>SUMIFS('Forecast capex'!$AB$9:$AB$1940,'Forecast capex'!$AE$9:$AE$1940,$B256,'Forecast capex'!$K$9:$K$1940,R$11,'Forecast capex'!$L$9:$L$1940,$D$12)+SUMIFS('Forecast capex'!$T$9:$T$1940,'Forecast capex'!$AE$9:$AE$1940,$B256,'Forecast capex'!$K$9:$K$1940,R$11,'Forecast capex'!$L$9:$L$1940,$D$12)+'Historical capex'!R58</f>
        <v>0</v>
      </c>
      <c r="S256" s="345">
        <f>SUMIFS('Forecast capex'!$AB$9:$AB$1940,'Forecast capex'!$AE$9:$AE$1940,$B256,'Forecast capex'!$K$9:$K$1940,S$11,'Forecast capex'!$L$9:$L$1940,$D$12)+SUMIFS('Forecast capex'!$T$9:$T$1940,'Forecast capex'!$AE$9:$AE$1940,$B256,'Forecast capex'!$K$9:$K$1940,S$11,'Forecast capex'!$L$9:$L$1940,$D$12)+'Historical capex'!S58</f>
        <v>0</v>
      </c>
    </row>
    <row r="257" spans="1:25" s="12" customFormat="1" outlineLevel="1" x14ac:dyDescent="0.2">
      <c r="A257" s="232"/>
      <c r="B257" s="343">
        <v>0.2</v>
      </c>
      <c r="C257" s="280" t="s">
        <v>250</v>
      </c>
      <c r="D257" s="229"/>
      <c r="E257" s="229"/>
      <c r="F257" s="232"/>
      <c r="G257" s="232"/>
      <c r="H257" s="344"/>
      <c r="I257" s="232"/>
      <c r="J257" s="232"/>
      <c r="K257" s="232"/>
      <c r="L257" s="232"/>
      <c r="M257" s="345">
        <f>SUMIFS('Forecast capex'!$AB$9:$AB$1940,'Forecast capex'!$AE$9:$AE$1940,$B257,'Forecast capex'!$K$9:$K$1940,M$11,'Forecast capex'!$L$9:$L$1940,$D$12)+SUMIFS('Forecast capex'!$T$9:$T$1940,'Forecast capex'!$AE$9:$AE$1940,$B257,'Forecast capex'!$K$9:$K$1940,M$11,'Forecast capex'!$L$9:$L$1940,$D$12)+'Historical capex'!M59</f>
        <v>0</v>
      </c>
      <c r="N257" s="345">
        <f>SUMIFS('Forecast capex'!$AB$9:$AB$1940,'Forecast capex'!$AE$9:$AE$1940,$B257,'Forecast capex'!$K$9:$K$1940,N$11,'Forecast capex'!$L$9:$L$1940,$D$12)+SUMIFS('Forecast capex'!$T$9:$T$1940,'Forecast capex'!$AE$9:$AE$1940,$B257,'Forecast capex'!$K$9:$K$1940,N$11,'Forecast capex'!$L$9:$L$1940,$D$12)+'Historical capex'!N59</f>
        <v>0</v>
      </c>
      <c r="O257" s="345">
        <f>SUMIFS('Forecast capex'!$AB$9:$AB$1940,'Forecast capex'!$AE$9:$AE$1940,$B257,'Forecast capex'!$K$9:$K$1940,O$11,'Forecast capex'!$L$9:$L$1940,$D$12)+SUMIFS('Forecast capex'!$T$9:$T$1940,'Forecast capex'!$AE$9:$AE$1940,$B257,'Forecast capex'!$K$9:$K$1940,O$11,'Forecast capex'!$L$9:$L$1940,$D$12)+'Historical capex'!O59</f>
        <v>0</v>
      </c>
      <c r="P257" s="345">
        <f>SUMIFS('Forecast capex'!$AB$9:$AB$1940,'Forecast capex'!$AE$9:$AE$1940,$B257,'Forecast capex'!$K$9:$K$1940,P$11,'Forecast capex'!$L$9:$L$1940,$D$12)+SUMIFS('Forecast capex'!$T$9:$T$1940,'Forecast capex'!$AE$9:$AE$1940,$B257,'Forecast capex'!$K$9:$K$1940,P$11,'Forecast capex'!$L$9:$L$1940,$D$12)+'Historical capex'!P59</f>
        <v>0</v>
      </c>
      <c r="Q257" s="345">
        <f>SUMIFS('Forecast capex'!$AB$9:$AB$1940,'Forecast capex'!$AE$9:$AE$1940,$B257,'Forecast capex'!$K$9:$K$1940,Q$11,'Forecast capex'!$L$9:$L$1940,$D$12)+SUMIFS('Forecast capex'!$T$9:$T$1940,'Forecast capex'!$AE$9:$AE$1940,$B257,'Forecast capex'!$K$9:$K$1940,Q$11,'Forecast capex'!$L$9:$L$1940,$D$12)+'Historical capex'!Q59</f>
        <v>0</v>
      </c>
      <c r="R257" s="345">
        <f>SUMIFS('Forecast capex'!$AB$9:$AB$1940,'Forecast capex'!$AE$9:$AE$1940,$B257,'Forecast capex'!$K$9:$K$1940,R$11,'Forecast capex'!$L$9:$L$1940,$D$12)+SUMIFS('Forecast capex'!$T$9:$T$1940,'Forecast capex'!$AE$9:$AE$1940,$B257,'Forecast capex'!$K$9:$K$1940,R$11,'Forecast capex'!$L$9:$L$1940,$D$12)+'Historical capex'!R59</f>
        <v>0</v>
      </c>
      <c r="S257" s="345">
        <f>SUMIFS('Forecast capex'!$AB$9:$AB$1940,'Forecast capex'!$AE$9:$AE$1940,$B257,'Forecast capex'!$K$9:$K$1940,S$11,'Forecast capex'!$L$9:$L$1940,$D$12)+SUMIFS('Forecast capex'!$T$9:$T$1940,'Forecast capex'!$AE$9:$AE$1940,$B257,'Forecast capex'!$K$9:$K$1940,S$11,'Forecast capex'!$L$9:$L$1940,$D$12)+'Historical capex'!S59</f>
        <v>0</v>
      </c>
      <c r="T257" s="232"/>
      <c r="U257" s="232"/>
      <c r="V257" s="243"/>
      <c r="W257" s="243"/>
      <c r="X257" s="243"/>
      <c r="Y257" s="243"/>
    </row>
    <row r="258" spans="1:25" outlineLevel="1" x14ac:dyDescent="0.2">
      <c r="B258" s="343">
        <v>0.5</v>
      </c>
      <c r="C258" s="280" t="s">
        <v>250</v>
      </c>
      <c r="D258" s="229"/>
      <c r="E258" s="229"/>
      <c r="H258" s="344"/>
      <c r="I258" s="232"/>
      <c r="M258" s="345">
        <f>SUMIFS('Forecast capex'!$AB$9:$AB$1940,'Forecast capex'!$AE$9:$AE$1940,$B258,'Forecast capex'!$K$9:$K$1940,M$11,'Forecast capex'!$L$9:$L$1940,$D$12)+SUMIFS('Forecast capex'!$T$9:$T$1940,'Forecast capex'!$AE$9:$AE$1940,$B258,'Forecast capex'!$K$9:$K$1940,M$11,'Forecast capex'!$L$9:$L$1940,$D$12)+'Historical capex'!M60</f>
        <v>0</v>
      </c>
      <c r="N258" s="345">
        <f>SUMIFS('Forecast capex'!$AB$9:$AB$1940,'Forecast capex'!$AE$9:$AE$1940,$B258,'Forecast capex'!$K$9:$K$1940,N$11,'Forecast capex'!$L$9:$L$1940,$D$12)+SUMIFS('Forecast capex'!$T$9:$T$1940,'Forecast capex'!$AE$9:$AE$1940,$B258,'Forecast capex'!$K$9:$K$1940,N$11,'Forecast capex'!$L$9:$L$1940,$D$12)+'Historical capex'!N60</f>
        <v>0</v>
      </c>
      <c r="O258" s="345">
        <f>SUMIFS('Forecast capex'!$AB$9:$AB$1940,'Forecast capex'!$AE$9:$AE$1940,$B258,'Forecast capex'!$K$9:$K$1940,O$11,'Forecast capex'!$L$9:$L$1940,$D$12)+SUMIFS('Forecast capex'!$T$9:$T$1940,'Forecast capex'!$AE$9:$AE$1940,$B258,'Forecast capex'!$K$9:$K$1940,O$11,'Forecast capex'!$L$9:$L$1940,$D$12)+'Historical capex'!O60</f>
        <v>1902448.1504033024</v>
      </c>
      <c r="P258" s="345">
        <f>SUMIFS('Forecast capex'!$AB$9:$AB$1940,'Forecast capex'!$AE$9:$AE$1940,$B258,'Forecast capex'!$K$9:$K$1940,P$11,'Forecast capex'!$L$9:$L$1940,$D$12)+SUMIFS('Forecast capex'!$T$9:$T$1940,'Forecast capex'!$AE$9:$AE$1940,$B258,'Forecast capex'!$K$9:$K$1940,P$11,'Forecast capex'!$L$9:$L$1940,$D$12)+'Historical capex'!P60</f>
        <v>0</v>
      </c>
      <c r="Q258" s="345">
        <f>SUMIFS('Forecast capex'!$AB$9:$AB$1940,'Forecast capex'!$AE$9:$AE$1940,$B258,'Forecast capex'!$K$9:$K$1940,Q$11,'Forecast capex'!$L$9:$L$1940,$D$12)+SUMIFS('Forecast capex'!$T$9:$T$1940,'Forecast capex'!$AE$9:$AE$1940,$B258,'Forecast capex'!$K$9:$K$1940,Q$11,'Forecast capex'!$L$9:$L$1940,$D$12)+'Historical capex'!Q60</f>
        <v>0</v>
      </c>
      <c r="R258" s="345">
        <f>SUMIFS('Forecast capex'!$AB$9:$AB$1940,'Forecast capex'!$AE$9:$AE$1940,$B258,'Forecast capex'!$K$9:$K$1940,R$11,'Forecast capex'!$L$9:$L$1940,$D$12)+SUMIFS('Forecast capex'!$T$9:$T$1940,'Forecast capex'!$AE$9:$AE$1940,$B258,'Forecast capex'!$K$9:$K$1940,R$11,'Forecast capex'!$L$9:$L$1940,$D$12)+'Historical capex'!R60</f>
        <v>0</v>
      </c>
      <c r="S258" s="345">
        <f>SUMIFS('Forecast capex'!$AB$9:$AB$1940,'Forecast capex'!$AE$9:$AE$1940,$B258,'Forecast capex'!$K$9:$K$1940,S$11,'Forecast capex'!$L$9:$L$1940,$D$12)+SUMIFS('Forecast capex'!$T$9:$T$1940,'Forecast capex'!$AE$9:$AE$1940,$B258,'Forecast capex'!$K$9:$K$1940,S$11,'Forecast capex'!$L$9:$L$1940,$D$12)+'Historical capex'!S60</f>
        <v>0</v>
      </c>
    </row>
    <row r="259" spans="1:25" outlineLevel="1" x14ac:dyDescent="0.2">
      <c r="B259" s="343">
        <v>1</v>
      </c>
      <c r="C259" s="280" t="s">
        <v>250</v>
      </c>
      <c r="D259" s="229"/>
      <c r="E259" s="229"/>
      <c r="H259" s="344"/>
      <c r="I259" s="232"/>
      <c r="M259" s="345">
        <f>SUMIFS('Forecast capex'!$AB$9:$AB$1940,'Forecast capex'!$AE$9:$AE$1940,$B259,'Forecast capex'!$K$9:$K$1940,M$11,'Forecast capex'!$L$9:$L$1940,$D$12)+SUMIFS('Forecast capex'!$T$9:$T$1940,'Forecast capex'!$AE$9:$AE$1940,$B259,'Forecast capex'!$K$9:$K$1940,M$11,'Forecast capex'!$L$9:$L$1940,$D$12)+'Historical capex'!M61</f>
        <v>0</v>
      </c>
      <c r="N259" s="345">
        <f>SUMIFS('Forecast capex'!$AB$9:$AB$1940,'Forecast capex'!$AE$9:$AE$1940,$B259,'Forecast capex'!$K$9:$K$1940,N$11,'Forecast capex'!$L$9:$L$1940,$D$12)+SUMIFS('Forecast capex'!$T$9:$T$1940,'Forecast capex'!$AE$9:$AE$1940,$B259,'Forecast capex'!$K$9:$K$1940,N$11,'Forecast capex'!$L$9:$L$1940,$D$12)+'Historical capex'!N61</f>
        <v>0</v>
      </c>
      <c r="O259" s="345">
        <f>SUMIFS('Forecast capex'!$AB$9:$AB$1940,'Forecast capex'!$AE$9:$AE$1940,$B259,'Forecast capex'!$K$9:$K$1940,O$11,'Forecast capex'!$L$9:$L$1940,$D$12)+SUMIFS('Forecast capex'!$T$9:$T$1940,'Forecast capex'!$AE$9:$AE$1940,$B259,'Forecast capex'!$K$9:$K$1940,O$11,'Forecast capex'!$L$9:$L$1940,$D$12)+'Historical capex'!O61</f>
        <v>0</v>
      </c>
      <c r="P259" s="345">
        <f>SUMIFS('Forecast capex'!$AB$9:$AB$1940,'Forecast capex'!$AE$9:$AE$1940,$B259,'Forecast capex'!$K$9:$K$1940,P$11,'Forecast capex'!$L$9:$L$1940,$D$12)+SUMIFS('Forecast capex'!$T$9:$T$1940,'Forecast capex'!$AE$9:$AE$1940,$B259,'Forecast capex'!$K$9:$K$1940,P$11,'Forecast capex'!$L$9:$L$1940,$D$12)+'Historical capex'!P61</f>
        <v>0</v>
      </c>
      <c r="Q259" s="345">
        <f>SUMIFS('Forecast capex'!$AB$9:$AB$1940,'Forecast capex'!$AE$9:$AE$1940,$B259,'Forecast capex'!$K$9:$K$1940,Q$11,'Forecast capex'!$L$9:$L$1940,$D$12)+SUMIFS('Forecast capex'!$T$9:$T$1940,'Forecast capex'!$AE$9:$AE$1940,$B259,'Forecast capex'!$K$9:$K$1940,Q$11,'Forecast capex'!$L$9:$L$1940,$D$12)+'Historical capex'!Q61</f>
        <v>0</v>
      </c>
      <c r="R259" s="345">
        <f>SUMIFS('Forecast capex'!$AB$9:$AB$1940,'Forecast capex'!$AE$9:$AE$1940,$B259,'Forecast capex'!$K$9:$K$1940,R$11,'Forecast capex'!$L$9:$L$1940,$D$12)+SUMIFS('Forecast capex'!$T$9:$T$1940,'Forecast capex'!$AE$9:$AE$1940,$B259,'Forecast capex'!$K$9:$K$1940,R$11,'Forecast capex'!$L$9:$L$1940,$D$12)+'Historical capex'!R61</f>
        <v>0</v>
      </c>
      <c r="S259" s="345">
        <f>SUMIFS('Forecast capex'!$AB$9:$AB$1940,'Forecast capex'!$AE$9:$AE$1940,$B259,'Forecast capex'!$K$9:$K$1940,S$11,'Forecast capex'!$L$9:$L$1940,$D$12)+SUMIFS('Forecast capex'!$T$9:$T$1940,'Forecast capex'!$AE$9:$AE$1940,$B259,'Forecast capex'!$K$9:$K$1940,S$11,'Forecast capex'!$L$9:$L$1940,$D$12)+'Historical capex'!S61</f>
        <v>0</v>
      </c>
    </row>
    <row r="260" spans="1:25" outlineLevel="1" x14ac:dyDescent="0.2">
      <c r="B260" s="288" t="s">
        <v>49</v>
      </c>
      <c r="C260" s="337" t="s">
        <v>250</v>
      </c>
      <c r="D260" s="288"/>
      <c r="E260" s="288"/>
      <c r="F260" s="243"/>
      <c r="G260" s="243"/>
      <c r="I260" s="243"/>
      <c r="J260" s="243"/>
      <c r="K260" s="243"/>
      <c r="L260" s="243"/>
      <c r="M260" s="235">
        <f t="shared" ref="M260:S260" si="85">SUM(M253:M259)</f>
        <v>11092936.890000001</v>
      </c>
      <c r="N260" s="235">
        <f t="shared" si="85"/>
        <v>10702581.651988026</v>
      </c>
      <c r="O260" s="235">
        <f t="shared" si="85"/>
        <v>6032261.0454512816</v>
      </c>
      <c r="P260" s="235">
        <f t="shared" si="85"/>
        <v>1332545.3326392709</v>
      </c>
      <c r="Q260" s="235">
        <f t="shared" si="85"/>
        <v>5075452.7970312648</v>
      </c>
      <c r="R260" s="235">
        <f t="shared" si="85"/>
        <v>4127722.661469792</v>
      </c>
      <c r="S260" s="235">
        <f t="shared" si="85"/>
        <v>4511891.8852117937</v>
      </c>
    </row>
    <row r="261" spans="1:25" outlineLevel="1" x14ac:dyDescent="0.2">
      <c r="B261" s="229"/>
      <c r="C261" s="229"/>
      <c r="D261" s="229"/>
      <c r="E261" s="229"/>
      <c r="M261" s="229"/>
      <c r="N261" s="229"/>
      <c r="O261" s="229"/>
      <c r="P261" s="229"/>
      <c r="Q261" s="229"/>
      <c r="R261" s="229"/>
      <c r="S261" s="229"/>
    </row>
    <row r="262" spans="1:25" outlineLevel="1" x14ac:dyDescent="0.2">
      <c r="B262" s="242" t="s">
        <v>453</v>
      </c>
      <c r="C262" s="280" t="s">
        <v>58</v>
      </c>
      <c r="D262" s="297">
        <f>SUM(H262:S262)</f>
        <v>0</v>
      </c>
      <c r="E262" s="298"/>
      <c r="H262" s="229"/>
      <c r="I262" s="230"/>
      <c r="J262" s="229"/>
      <c r="K262" s="229"/>
      <c r="L262" s="229"/>
      <c r="M262" s="228">
        <f>IF(ABS(M260-(SUMIFS('Forecast capex'!$AC$9:$AC$1940,'Forecast capex'!$K$9:$K$1940,M$11,'Forecast capex'!$L$9:$L$1940,$D$12)+'Historical capex'!M62))&lt;0.001,0,1)</f>
        <v>0</v>
      </c>
      <c r="N262" s="228">
        <f>IF(ABS(N260-(SUMIFS('Forecast capex'!$AC$9:$AC$1940,'Forecast capex'!$K$9:$K$1940,N$11,'Forecast capex'!$L$9:$L$1940,$D$12)+'Historical capex'!N62))&lt;0.001,0,1)</f>
        <v>0</v>
      </c>
      <c r="O262" s="228">
        <f>IF(ABS(O260-(SUMIFS('Forecast capex'!$AC$9:$AC$1940,'Forecast capex'!$K$9:$K$1940,O$11,'Forecast capex'!$L$9:$L$1940,$D$12)+'Historical capex'!O62))&lt;0.001,0,1)</f>
        <v>0</v>
      </c>
      <c r="P262" s="228">
        <f>IF(ABS(P260-(SUMIFS('Forecast capex'!$AC$9:$AC$1940,'Forecast capex'!$K$9:$K$1940,P$11,'Forecast capex'!$L$9:$L$1940,$D$12)+'Historical capex'!P62))&lt;0.001,0,1)</f>
        <v>0</v>
      </c>
      <c r="Q262" s="228">
        <f>IF(ABS(Q260-(SUMIFS('Forecast capex'!$AC$9:$AC$1940,'Forecast capex'!$K$9:$K$1940,Q$11,'Forecast capex'!$L$9:$L$1940,$D$12)+'Historical capex'!Q62))&lt;0.001,0,1)</f>
        <v>0</v>
      </c>
      <c r="R262" s="228">
        <f>IF(ABS(R260-(SUMIFS('Forecast capex'!$AC$9:$AC$1940,'Forecast capex'!$K$9:$K$1940,R$11,'Forecast capex'!$L$9:$L$1940,$D$12)+'Historical capex'!R62))&lt;0.001,0,1)</f>
        <v>0</v>
      </c>
      <c r="S262" s="228">
        <f>IF(ABS(S260-(SUMIFS('Forecast capex'!$AC$9:$AC$1940,'Forecast capex'!$K$9:$K$1940,S$11,'Forecast capex'!$L$9:$L$1940,$D$12)+'Historical capex'!S62))&lt;0.001,0,1)</f>
        <v>0</v>
      </c>
    </row>
    <row r="263" spans="1:25" outlineLevel="1" x14ac:dyDescent="0.2">
      <c r="B263" s="338"/>
      <c r="C263" s="337"/>
      <c r="D263" s="288"/>
      <c r="E263" s="288"/>
      <c r="F263" s="243"/>
      <c r="G263" s="243"/>
      <c r="I263" s="243"/>
      <c r="J263" s="243"/>
      <c r="K263" s="243"/>
      <c r="L263" s="243"/>
      <c r="M263" s="294"/>
      <c r="N263" s="294"/>
      <c r="O263" s="294"/>
      <c r="P263" s="294"/>
      <c r="Q263" s="294"/>
      <c r="R263" s="294"/>
      <c r="S263" s="294"/>
    </row>
    <row r="264" spans="1:25" outlineLevel="1" x14ac:dyDescent="0.2">
      <c r="B264" s="304" t="s">
        <v>294</v>
      </c>
      <c r="C264" s="229"/>
      <c r="D264" s="229"/>
      <c r="E264" s="229"/>
    </row>
    <row r="265" spans="1:25" outlineLevel="1" x14ac:dyDescent="0.2">
      <c r="B265" s="304"/>
      <c r="C265" s="229"/>
      <c r="D265" s="229"/>
      <c r="E265" s="229"/>
    </row>
    <row r="266" spans="1:25" outlineLevel="1" x14ac:dyDescent="0.2">
      <c r="B266" s="229" t="s">
        <v>95</v>
      </c>
      <c r="C266" s="280" t="s">
        <v>250</v>
      </c>
      <c r="D266" s="229"/>
      <c r="E266" s="229"/>
      <c r="M266" s="345">
        <f>SUMIFS('Forecast capex'!$AB$9:$AB$1940,'Forecast capex'!$AD$9:$AD$1940,$B266,'Forecast capex'!$K$9:$K$1940,M$11,'Forecast capex'!$L$9:$L$1940,$D$12)+'Historical capex'!M66</f>
        <v>0</v>
      </c>
      <c r="N266" s="345">
        <f>SUMIFS('Forecast capex'!$AB$9:$AB$1940,'Forecast capex'!$AD$9:$AD$1940,$B266,'Forecast capex'!$K$9:$K$1940,N$11,'Forecast capex'!$L$9:$L$1940,$D$12)+'Historical capex'!N66</f>
        <v>0</v>
      </c>
      <c r="O266" s="345">
        <f>SUMIFS('Forecast capex'!$AB$9:$AB$1940,'Forecast capex'!$AD$9:$AD$1940,$B266,'Forecast capex'!$K$9:$K$1940,O$11,'Forecast capex'!$L$9:$L$1940,$D$12)+'Historical capex'!O66</f>
        <v>0</v>
      </c>
      <c r="P266" s="345">
        <f>SUMIFS('Forecast capex'!$AB$9:$AB$1940,'Forecast capex'!$AD$9:$AD$1940,$B266,'Forecast capex'!$K$9:$K$1940,P$11,'Forecast capex'!$L$9:$L$1940,$D$12)+'Historical capex'!P66</f>
        <v>0</v>
      </c>
      <c r="Q266" s="345">
        <f>SUMIFS('Forecast capex'!$AB$9:$AB$1940,'Forecast capex'!$AD$9:$AD$1940,$B266,'Forecast capex'!$K$9:$K$1940,Q$11,'Forecast capex'!$L$9:$L$1940,$D$12)+'Historical capex'!Q66</f>
        <v>0</v>
      </c>
      <c r="R266" s="345">
        <f>SUMIFS('Forecast capex'!$AB$9:$AB$1940,'Forecast capex'!$AD$9:$AD$1940,$B266,'Forecast capex'!$K$9:$K$1940,R$11,'Forecast capex'!$L$9:$L$1940,$D$12)+'Historical capex'!R66</f>
        <v>0</v>
      </c>
      <c r="S266" s="345">
        <f>SUMIFS('Forecast capex'!$AB$9:$AB$1940,'Forecast capex'!$AD$9:$AD$1940,$B266,'Forecast capex'!$K$9:$K$1940,S$11,'Forecast capex'!$L$9:$L$1940,$D$12)+'Historical capex'!S66</f>
        <v>0</v>
      </c>
    </row>
    <row r="267" spans="1:25" outlineLevel="1" x14ac:dyDescent="0.2">
      <c r="B267" s="229" t="s">
        <v>77</v>
      </c>
      <c r="C267" s="280" t="s">
        <v>250</v>
      </c>
      <c r="D267" s="229"/>
      <c r="E267" s="229"/>
      <c r="M267" s="345">
        <f>SUMIFS('Forecast capex'!$AB$9:$AB$1940,'Forecast capex'!$AD$9:$AD$1940,$B267,'Forecast capex'!$K$9:$K$1940,M$11,'Forecast capex'!$L$9:$L$1940,$D$12)+'Historical capex'!M67</f>
        <v>0</v>
      </c>
      <c r="N267" s="345">
        <f>SUMIFS('Forecast capex'!$AB$9:$AB$1940,'Forecast capex'!$AD$9:$AD$1940,$B267,'Forecast capex'!$K$9:$K$1940,N$11,'Forecast capex'!$L$9:$L$1940,$D$12)+'Historical capex'!N67</f>
        <v>3414185.1403821865</v>
      </c>
      <c r="O267" s="345">
        <f>SUMIFS('Forecast capex'!$AB$9:$AB$1940,'Forecast capex'!$AD$9:$AD$1940,$B267,'Forecast capex'!$K$9:$K$1940,O$11,'Forecast capex'!$L$9:$L$1940,$D$12)+'Historical capex'!O67</f>
        <v>0</v>
      </c>
      <c r="P267" s="345">
        <f>SUMIFS('Forecast capex'!$AB$9:$AB$1940,'Forecast capex'!$AD$9:$AD$1940,$B267,'Forecast capex'!$K$9:$K$1940,P$11,'Forecast capex'!$L$9:$L$1940,$D$12)+'Historical capex'!P67</f>
        <v>0</v>
      </c>
      <c r="Q267" s="345">
        <f>SUMIFS('Forecast capex'!$AB$9:$AB$1940,'Forecast capex'!$AD$9:$AD$1940,$B267,'Forecast capex'!$K$9:$K$1940,Q$11,'Forecast capex'!$L$9:$L$1940,$D$12)+'Historical capex'!Q67</f>
        <v>2304065.5546220969</v>
      </c>
      <c r="R267" s="345">
        <f>SUMIFS('Forecast capex'!$AB$9:$AB$1940,'Forecast capex'!$AD$9:$AD$1940,$B267,'Forecast capex'!$K$9:$K$1940,R$11,'Forecast capex'!$L$9:$L$1940,$D$12)+'Historical capex'!R67</f>
        <v>0</v>
      </c>
      <c r="S267" s="345">
        <f>SUMIFS('Forecast capex'!$AB$9:$AB$1940,'Forecast capex'!$AD$9:$AD$1940,$B267,'Forecast capex'!$K$9:$K$1940,S$11,'Forecast capex'!$L$9:$L$1940,$D$12)+'Historical capex'!S67</f>
        <v>0</v>
      </c>
    </row>
    <row r="268" spans="1:25" outlineLevel="1" x14ac:dyDescent="0.2">
      <c r="B268" s="229" t="s">
        <v>100</v>
      </c>
      <c r="C268" s="280" t="s">
        <v>250</v>
      </c>
      <c r="D268" s="229"/>
      <c r="E268" s="229"/>
      <c r="M268" s="345">
        <f>SUMIFS('Forecast capex'!$AB$9:$AB$1940,'Forecast capex'!$AD$9:$AD$1940,$B268,'Forecast capex'!$K$9:$K$1940,M$11,'Forecast capex'!$L$9:$L$1940,$D$12)+'Historical capex'!M68</f>
        <v>11092936.890000001</v>
      </c>
      <c r="N268" s="345">
        <f>SUMIFS('Forecast capex'!$AB$9:$AB$1940,'Forecast capex'!$AD$9:$AD$1940,$B268,'Forecast capex'!$K$9:$K$1940,N$11,'Forecast capex'!$L$9:$L$1940,$D$12)+'Historical capex'!N68</f>
        <v>7288396.5116058383</v>
      </c>
      <c r="O268" s="345">
        <f>SUMIFS('Forecast capex'!$AB$9:$AB$1940,'Forecast capex'!$AD$9:$AD$1940,$B268,'Forecast capex'!$K$9:$K$1940,O$11,'Forecast capex'!$L$9:$L$1940,$D$12)+'Historical capex'!O68</f>
        <v>4129812.895047979</v>
      </c>
      <c r="P268" s="345">
        <f>SUMIFS('Forecast capex'!$AB$9:$AB$1940,'Forecast capex'!$AD$9:$AD$1940,$B268,'Forecast capex'!$K$9:$K$1940,P$11,'Forecast capex'!$L$9:$L$1940,$D$12)+'Historical capex'!P68</f>
        <v>1332545.3326392709</v>
      </c>
      <c r="Q268" s="345">
        <f>SUMIFS('Forecast capex'!$AB$9:$AB$1940,'Forecast capex'!$AD$9:$AD$1940,$B268,'Forecast capex'!$K$9:$K$1940,Q$11,'Forecast capex'!$L$9:$L$1940,$D$12)+'Historical capex'!Q68</f>
        <v>2771387.2424091673</v>
      </c>
      <c r="R268" s="345">
        <f>SUMIFS('Forecast capex'!$AB$9:$AB$1940,'Forecast capex'!$AD$9:$AD$1940,$B268,'Forecast capex'!$K$9:$K$1940,R$11,'Forecast capex'!$L$9:$L$1940,$D$12)+'Historical capex'!R68</f>
        <v>4127722.6614697934</v>
      </c>
      <c r="S268" s="345">
        <f>SUMIFS('Forecast capex'!$AB$9:$AB$1940,'Forecast capex'!$AD$9:$AD$1940,$B268,'Forecast capex'!$K$9:$K$1940,S$11,'Forecast capex'!$L$9:$L$1940,$D$12)+'Historical capex'!S68</f>
        <v>4511891.8852117918</v>
      </c>
    </row>
    <row r="269" spans="1:25" outlineLevel="1" x14ac:dyDescent="0.2">
      <c r="B269" s="229" t="s">
        <v>93</v>
      </c>
      <c r="C269" s="280" t="s">
        <v>250</v>
      </c>
      <c r="D269" s="229"/>
      <c r="E269" s="229"/>
      <c r="M269" s="345">
        <f>SUMIFS('Forecast capex'!$AB$9:$AB$1940,'Forecast capex'!$AD$9:$AD$1940,$B269,'Forecast capex'!$K$9:$K$1940,M$11,'Forecast capex'!$L$9:$L$1940,$D$12)+'Historical capex'!M69</f>
        <v>0</v>
      </c>
      <c r="N269" s="345">
        <f>SUMIFS('Forecast capex'!$AB$9:$AB$1940,'Forecast capex'!$AD$9:$AD$1940,$B269,'Forecast capex'!$K$9:$K$1940,N$11,'Forecast capex'!$L$9:$L$1940,$D$12)+'Historical capex'!N69</f>
        <v>0</v>
      </c>
      <c r="O269" s="345">
        <f>SUMIFS('Forecast capex'!$AB$9:$AB$1940,'Forecast capex'!$AD$9:$AD$1940,$B269,'Forecast capex'!$K$9:$K$1940,O$11,'Forecast capex'!$L$9:$L$1940,$D$12)+'Historical capex'!O69</f>
        <v>0</v>
      </c>
      <c r="P269" s="345">
        <f>SUMIFS('Forecast capex'!$AB$9:$AB$1940,'Forecast capex'!$AD$9:$AD$1940,$B269,'Forecast capex'!$K$9:$K$1940,P$11,'Forecast capex'!$L$9:$L$1940,$D$12)+'Historical capex'!P69</f>
        <v>0</v>
      </c>
      <c r="Q269" s="345">
        <f>SUMIFS('Forecast capex'!$AB$9:$AB$1940,'Forecast capex'!$AD$9:$AD$1940,$B269,'Forecast capex'!$K$9:$K$1940,Q$11,'Forecast capex'!$L$9:$L$1940,$D$12)+'Historical capex'!Q69</f>
        <v>0</v>
      </c>
      <c r="R269" s="345">
        <f>SUMIFS('Forecast capex'!$AB$9:$AB$1940,'Forecast capex'!$AD$9:$AD$1940,$B269,'Forecast capex'!$K$9:$K$1940,R$11,'Forecast capex'!$L$9:$L$1940,$D$12)+'Historical capex'!R69</f>
        <v>0</v>
      </c>
      <c r="S269" s="345">
        <f>SUMIFS('Forecast capex'!$AB$9:$AB$1940,'Forecast capex'!$AD$9:$AD$1940,$B269,'Forecast capex'!$K$9:$K$1940,S$11,'Forecast capex'!$L$9:$L$1940,$D$12)+'Historical capex'!S69</f>
        <v>0</v>
      </c>
    </row>
    <row r="270" spans="1:25" outlineLevel="1" x14ac:dyDescent="0.2">
      <c r="B270" s="229"/>
      <c r="C270" s="280"/>
      <c r="D270" s="229"/>
      <c r="E270" s="229"/>
      <c r="M270" s="229"/>
      <c r="N270" s="229"/>
      <c r="O270" s="229"/>
      <c r="P270" s="229"/>
      <c r="Q270" s="229"/>
      <c r="R270" s="229"/>
      <c r="S270" s="229"/>
    </row>
    <row r="271" spans="1:25" outlineLevel="1" x14ac:dyDescent="0.2">
      <c r="B271" s="288" t="s">
        <v>270</v>
      </c>
      <c r="C271" s="280"/>
      <c r="D271" s="229"/>
      <c r="E271" s="229"/>
      <c r="M271" s="229"/>
      <c r="N271" s="229"/>
      <c r="O271" s="229"/>
      <c r="P271" s="229"/>
      <c r="Q271" s="229"/>
      <c r="R271" s="229"/>
      <c r="S271" s="229"/>
    </row>
    <row r="272" spans="1:25" outlineLevel="1" x14ac:dyDescent="0.2">
      <c r="B272" s="229" t="s">
        <v>97</v>
      </c>
      <c r="C272" s="280" t="s">
        <v>250</v>
      </c>
      <c r="D272" s="229"/>
      <c r="E272" s="229"/>
      <c r="M272" s="345">
        <f>SUMIFS('Forecast capex'!$AB$9:$AB$1940,'Forecast capex'!$AD$9:$AD$1940,$B272,'Forecast capex'!$K$9:$K$1940,M$11,'Forecast capex'!$L$9:$L$1940,$D$12)+'Historical capex'!M72</f>
        <v>0</v>
      </c>
      <c r="N272" s="345">
        <f>SUMIFS('Forecast capex'!$AB$9:$AB$1940,'Forecast capex'!$AD$9:$AD$1940,$B272,'Forecast capex'!$K$9:$K$1940,N$11,'Forecast capex'!$L$9:$L$1940,$D$12)+'Historical capex'!N72</f>
        <v>0</v>
      </c>
      <c r="O272" s="345">
        <f>SUMIFS('Forecast capex'!$AB$9:$AB$1940,'Forecast capex'!$AD$9:$AD$1940,$B272,'Forecast capex'!$K$9:$K$1940,O$11,'Forecast capex'!$L$9:$L$1940,$D$12)+'Historical capex'!O72</f>
        <v>0</v>
      </c>
      <c r="P272" s="345">
        <f>SUMIFS('Forecast capex'!$AB$9:$AB$1940,'Forecast capex'!$AD$9:$AD$1940,$B272,'Forecast capex'!$K$9:$K$1940,P$11,'Forecast capex'!$L$9:$L$1940,$D$12)+'Historical capex'!P72</f>
        <v>0</v>
      </c>
      <c r="Q272" s="345">
        <f>SUMIFS('Forecast capex'!$AB$9:$AB$1940,'Forecast capex'!$AD$9:$AD$1940,$B272,'Forecast capex'!$K$9:$K$1940,Q$11,'Forecast capex'!$L$9:$L$1940,$D$12)+'Historical capex'!Q72</f>
        <v>0</v>
      </c>
      <c r="R272" s="345">
        <f>SUMIFS('Forecast capex'!$AB$9:$AB$1940,'Forecast capex'!$AD$9:$AD$1940,$B272,'Forecast capex'!$K$9:$K$1940,R$11,'Forecast capex'!$L$9:$L$1940,$D$12)+'Historical capex'!R72</f>
        <v>0</v>
      </c>
      <c r="S272" s="345">
        <f>SUMIFS('Forecast capex'!$AB$9:$AB$1940,'Forecast capex'!$AD$9:$AD$1940,$B272,'Forecast capex'!$K$9:$K$1940,S$11,'Forecast capex'!$L$9:$L$1940,$D$12)+'Historical capex'!S72</f>
        <v>0</v>
      </c>
    </row>
    <row r="273" spans="1:21" outlineLevel="1" x14ac:dyDescent="0.2">
      <c r="B273" s="229" t="s">
        <v>121</v>
      </c>
      <c r="C273" s="280" t="s">
        <v>250</v>
      </c>
      <c r="D273" s="229"/>
      <c r="E273" s="229"/>
      <c r="M273" s="345">
        <f>SUMIFS('Forecast capex'!$AB$9:$AB$1940,'Forecast capex'!$AD$9:$AD$1940,$B273,'Forecast capex'!$K$9:$K$1940,M$11,'Forecast capex'!$L$9:$L$1940,$D$12)+'Historical capex'!M73</f>
        <v>0</v>
      </c>
      <c r="N273" s="345">
        <f>SUMIFS('Forecast capex'!$AB$9:$AB$1940,'Forecast capex'!$AD$9:$AD$1940,$B273,'Forecast capex'!$K$9:$K$1940,N$11,'Forecast capex'!$L$9:$L$1940,$D$12)+'Historical capex'!N73</f>
        <v>0</v>
      </c>
      <c r="O273" s="345">
        <f>SUMIFS('Forecast capex'!$AB$9:$AB$1940,'Forecast capex'!$AD$9:$AD$1940,$B273,'Forecast capex'!$K$9:$K$1940,O$11,'Forecast capex'!$L$9:$L$1940,$D$12)+'Historical capex'!O73</f>
        <v>0</v>
      </c>
      <c r="P273" s="345">
        <f>SUMIFS('Forecast capex'!$AB$9:$AB$1940,'Forecast capex'!$AD$9:$AD$1940,$B273,'Forecast capex'!$K$9:$K$1940,P$11,'Forecast capex'!$L$9:$L$1940,$D$12)+'Historical capex'!P73</f>
        <v>0</v>
      </c>
      <c r="Q273" s="345">
        <f>SUMIFS('Forecast capex'!$AB$9:$AB$1940,'Forecast capex'!$AD$9:$AD$1940,$B273,'Forecast capex'!$K$9:$K$1940,Q$11,'Forecast capex'!$L$9:$L$1940,$D$12)+'Historical capex'!Q73</f>
        <v>0</v>
      </c>
      <c r="R273" s="345">
        <f>SUMIFS('Forecast capex'!$AB$9:$AB$1940,'Forecast capex'!$AD$9:$AD$1940,$B273,'Forecast capex'!$K$9:$K$1940,R$11,'Forecast capex'!$L$9:$L$1940,$D$12)+'Historical capex'!R73</f>
        <v>0</v>
      </c>
      <c r="S273" s="345">
        <f>SUMIFS('Forecast capex'!$AB$9:$AB$1940,'Forecast capex'!$AD$9:$AD$1940,$B273,'Forecast capex'!$K$9:$K$1940,S$11,'Forecast capex'!$L$9:$L$1940,$D$12)+'Historical capex'!S73</f>
        <v>0</v>
      </c>
      <c r="T273" s="229"/>
    </row>
    <row r="274" spans="1:21" outlineLevel="1" x14ac:dyDescent="0.2">
      <c r="B274" s="229" t="s">
        <v>122</v>
      </c>
      <c r="C274" s="280" t="s">
        <v>250</v>
      </c>
      <c r="D274" s="229"/>
      <c r="E274" s="229"/>
      <c r="M274" s="345">
        <f>SUMIFS('Forecast capex'!$AB$9:$AB$1940,'Forecast capex'!$AD$9:$AD$1940,$B274,'Forecast capex'!$K$9:$K$1940,M$11,'Forecast capex'!$L$9:$L$1940,$D$12)+'Historical capex'!M74</f>
        <v>0</v>
      </c>
      <c r="N274" s="345">
        <f>SUMIFS('Forecast capex'!$AB$9:$AB$1940,'Forecast capex'!$AD$9:$AD$1940,$B274,'Forecast capex'!$K$9:$K$1940,N$11,'Forecast capex'!$L$9:$L$1940,$D$12)+'Historical capex'!N74</f>
        <v>0</v>
      </c>
      <c r="O274" s="345">
        <f>SUMIFS('Forecast capex'!$AB$9:$AB$1940,'Forecast capex'!$AD$9:$AD$1940,$B274,'Forecast capex'!$K$9:$K$1940,O$11,'Forecast capex'!$L$9:$L$1940,$D$12)+'Historical capex'!O74</f>
        <v>0</v>
      </c>
      <c r="P274" s="345">
        <f>SUMIFS('Forecast capex'!$AB$9:$AB$1940,'Forecast capex'!$AD$9:$AD$1940,$B274,'Forecast capex'!$K$9:$K$1940,P$11,'Forecast capex'!$L$9:$L$1940,$D$12)+'Historical capex'!P74</f>
        <v>0</v>
      </c>
      <c r="Q274" s="345">
        <f>SUMIFS('Forecast capex'!$AB$9:$AB$1940,'Forecast capex'!$AD$9:$AD$1940,$B274,'Forecast capex'!$K$9:$K$1940,Q$11,'Forecast capex'!$L$9:$L$1940,$D$12)+'Historical capex'!Q74</f>
        <v>0</v>
      </c>
      <c r="R274" s="345">
        <f>SUMIFS('Forecast capex'!$AB$9:$AB$1940,'Forecast capex'!$AD$9:$AD$1940,$B274,'Forecast capex'!$K$9:$K$1940,R$11,'Forecast capex'!$L$9:$L$1940,$D$12)+'Historical capex'!R74</f>
        <v>0</v>
      </c>
      <c r="S274" s="345">
        <f>SUMIFS('Forecast capex'!$AB$9:$AB$1940,'Forecast capex'!$AD$9:$AD$1940,$B274,'Forecast capex'!$K$9:$K$1940,S$11,'Forecast capex'!$L$9:$L$1940,$D$12)+'Historical capex'!S74</f>
        <v>0</v>
      </c>
    </row>
    <row r="275" spans="1:21" outlineLevel="1" x14ac:dyDescent="0.2">
      <c r="A275" s="243"/>
      <c r="B275" s="288" t="s">
        <v>272</v>
      </c>
      <c r="C275" s="337" t="s">
        <v>250</v>
      </c>
      <c r="D275" s="288"/>
      <c r="E275" s="288"/>
      <c r="F275" s="243"/>
      <c r="G275" s="243"/>
      <c r="H275" s="243"/>
      <c r="I275" s="335"/>
      <c r="J275" s="243"/>
      <c r="K275" s="243"/>
      <c r="M275" s="233">
        <f>SUM(M272:M274)</f>
        <v>0</v>
      </c>
      <c r="N275" s="233">
        <f t="shared" ref="N275:S275" si="86">SUM(N272:N274)</f>
        <v>0</v>
      </c>
      <c r="O275" s="233">
        <f t="shared" si="86"/>
        <v>0</v>
      </c>
      <c r="P275" s="233">
        <f t="shared" si="86"/>
        <v>0</v>
      </c>
      <c r="Q275" s="233">
        <f t="shared" si="86"/>
        <v>0</v>
      </c>
      <c r="R275" s="233">
        <f t="shared" si="86"/>
        <v>0</v>
      </c>
      <c r="S275" s="233">
        <f t="shared" si="86"/>
        <v>0</v>
      </c>
      <c r="T275" s="243"/>
      <c r="U275" s="243"/>
    </row>
    <row r="276" spans="1:21" outlineLevel="1" x14ac:dyDescent="0.2">
      <c r="B276" s="229"/>
      <c r="C276" s="337"/>
      <c r="D276" s="229"/>
      <c r="E276" s="229"/>
      <c r="M276" s="229"/>
      <c r="N276" s="229"/>
      <c r="O276" s="229"/>
      <c r="P276" s="229"/>
      <c r="Q276" s="229"/>
      <c r="R276" s="229"/>
      <c r="S276" s="229"/>
    </row>
    <row r="277" spans="1:21" outlineLevel="1" x14ac:dyDescent="0.2">
      <c r="A277" s="243"/>
      <c r="B277" s="288" t="s">
        <v>295</v>
      </c>
      <c r="C277" s="337" t="s">
        <v>250</v>
      </c>
      <c r="D277" s="288"/>
      <c r="E277" s="288"/>
      <c r="F277" s="243"/>
      <c r="G277" s="243"/>
      <c r="H277" s="243"/>
      <c r="I277" s="335"/>
      <c r="J277" s="243"/>
      <c r="K277" s="243"/>
      <c r="M277" s="235">
        <f>SUM(M266:M269,M275)</f>
        <v>11092936.890000001</v>
      </c>
      <c r="N277" s="235">
        <f t="shared" ref="N277:S277" si="87">SUM(N266:N269,N275)</f>
        <v>10702581.651988026</v>
      </c>
      <c r="O277" s="235">
        <f t="shared" si="87"/>
        <v>4129812.895047979</v>
      </c>
      <c r="P277" s="235">
        <f t="shared" si="87"/>
        <v>1332545.3326392709</v>
      </c>
      <c r="Q277" s="235">
        <f t="shared" si="87"/>
        <v>5075452.7970312648</v>
      </c>
      <c r="R277" s="235">
        <f t="shared" si="87"/>
        <v>4127722.6614697934</v>
      </c>
      <c r="S277" s="235">
        <f t="shared" si="87"/>
        <v>4511891.8852117918</v>
      </c>
      <c r="T277" s="243"/>
      <c r="U277" s="243"/>
    </row>
    <row r="278" spans="1:21" outlineLevel="1" x14ac:dyDescent="0.2">
      <c r="B278" s="229"/>
      <c r="C278" s="280"/>
      <c r="D278" s="229"/>
      <c r="E278" s="229"/>
      <c r="M278" s="229"/>
      <c r="N278" s="229"/>
      <c r="O278" s="229"/>
      <c r="P278" s="229"/>
      <c r="Q278" s="229"/>
      <c r="R278" s="229"/>
      <c r="S278" s="229"/>
    </row>
    <row r="279" spans="1:21" outlineLevel="1" x14ac:dyDescent="0.2">
      <c r="B279" s="229" t="s">
        <v>274</v>
      </c>
      <c r="C279" s="280" t="s">
        <v>250</v>
      </c>
      <c r="D279" s="229"/>
      <c r="E279" s="229"/>
      <c r="M279" s="345">
        <f>SUMIFS('Forecast capex'!$AB$9:$AB$1940,'Forecast capex'!$AD$9:$AD$1940,$B279,'Forecast capex'!$K$9:$K$1940,M$11,'Forecast capex'!$L$9:$L$1940,$D$12)+'Historical capex'!M79</f>
        <v>0</v>
      </c>
      <c r="N279" s="345">
        <f>SUMIFS('Forecast capex'!$AB$9:$AB$1940,'Forecast capex'!$AD$9:$AD$1940,$B279,'Forecast capex'!$K$9:$K$1940,N$11,'Forecast capex'!$L$9:$L$1940,$D$12)+'Historical capex'!N79</f>
        <v>0</v>
      </c>
      <c r="O279" s="345">
        <f>SUMIFS('Forecast capex'!$AB$9:$AB$1940,'Forecast capex'!$AD$9:$AD$1940,$B279,'Forecast capex'!$K$9:$K$1940,O$11,'Forecast capex'!$L$9:$L$1940,$D$12)+'Historical capex'!O79</f>
        <v>1902448.1504033024</v>
      </c>
      <c r="P279" s="345">
        <f>SUMIFS('Forecast capex'!$AB$9:$AB$1940,'Forecast capex'!$AD$9:$AD$1940,$B279,'Forecast capex'!$K$9:$K$1940,P$11,'Forecast capex'!$L$9:$L$1940,$D$12)+'Historical capex'!P79</f>
        <v>0</v>
      </c>
      <c r="Q279" s="345">
        <f>SUMIFS('Forecast capex'!$AB$9:$AB$1940,'Forecast capex'!$AD$9:$AD$1940,$B279,'Forecast capex'!$K$9:$K$1940,Q$11,'Forecast capex'!$L$9:$L$1940,$D$12)+'Historical capex'!Q79</f>
        <v>0</v>
      </c>
      <c r="R279" s="345">
        <f>SUMIFS('Forecast capex'!$AB$9:$AB$1940,'Forecast capex'!$AD$9:$AD$1940,$B279,'Forecast capex'!$K$9:$K$1940,R$11,'Forecast capex'!$L$9:$L$1940,$D$12)+'Historical capex'!R79</f>
        <v>0</v>
      </c>
      <c r="S279" s="345">
        <f>SUMIFS('Forecast capex'!$AB$9:$AB$1940,'Forecast capex'!$AD$9:$AD$1940,$B279,'Forecast capex'!$K$9:$K$1940,S$11,'Forecast capex'!$L$9:$L$1940,$D$12)+'Historical capex'!S79</f>
        <v>0</v>
      </c>
    </row>
    <row r="280" spans="1:21" outlineLevel="1" x14ac:dyDescent="0.2">
      <c r="A280" s="243"/>
      <c r="B280" s="288" t="s">
        <v>296</v>
      </c>
      <c r="C280" s="337" t="s">
        <v>250</v>
      </c>
      <c r="D280" s="288"/>
      <c r="E280" s="288"/>
      <c r="F280" s="243"/>
      <c r="G280" s="243"/>
      <c r="H280" s="243"/>
      <c r="I280" s="335"/>
      <c r="J280" s="243"/>
      <c r="K280" s="243"/>
      <c r="M280" s="235">
        <f>M277+M279</f>
        <v>11092936.890000001</v>
      </c>
      <c r="N280" s="235">
        <f t="shared" ref="N280:S280" si="88">N277+N279</f>
        <v>10702581.651988026</v>
      </c>
      <c r="O280" s="235">
        <f t="shared" si="88"/>
        <v>6032261.0454512816</v>
      </c>
      <c r="P280" s="235">
        <f t="shared" si="88"/>
        <v>1332545.3326392709</v>
      </c>
      <c r="Q280" s="235">
        <f t="shared" si="88"/>
        <v>5075452.7970312648</v>
      </c>
      <c r="R280" s="235">
        <f t="shared" si="88"/>
        <v>4127722.6614697934</v>
      </c>
      <c r="S280" s="235">
        <f t="shared" si="88"/>
        <v>4511891.8852117918</v>
      </c>
      <c r="T280" s="243"/>
      <c r="U280" s="243"/>
    </row>
    <row r="281" spans="1:21" outlineLevel="1" x14ac:dyDescent="0.2">
      <c r="A281" s="243"/>
      <c r="B281" s="288"/>
      <c r="C281" s="337"/>
      <c r="D281" s="288"/>
      <c r="E281" s="288"/>
      <c r="F281" s="243"/>
      <c r="G281" s="243"/>
      <c r="H281" s="243"/>
      <c r="I281" s="335"/>
      <c r="J281" s="243"/>
      <c r="K281" s="243"/>
      <c r="M281" s="294"/>
      <c r="N281" s="294"/>
      <c r="O281" s="294"/>
      <c r="P281" s="294"/>
      <c r="Q281" s="294"/>
      <c r="R281" s="294"/>
      <c r="S281" s="294"/>
      <c r="T281" s="243"/>
      <c r="U281" s="243"/>
    </row>
    <row r="282" spans="1:21" outlineLevel="1" x14ac:dyDescent="0.2">
      <c r="B282" s="242" t="s">
        <v>454</v>
      </c>
      <c r="C282" s="280" t="s">
        <v>58</v>
      </c>
      <c r="D282" s="297">
        <f>SUM(H282:S282)</f>
        <v>0</v>
      </c>
      <c r="E282" s="298"/>
      <c r="M282" s="228">
        <f>IF(ABS(M280-(SUMIFS('Forecast capex'!$AB$9:$AB$1940,'Forecast capex'!$K$9:$K$1940,M$11,'Forecast capex'!$L$9:$L$1940,'Commissioned assets summary'!$D$12)+'Historical capex'!M80))&lt;0.001,0,1)</f>
        <v>0</v>
      </c>
      <c r="N282" s="228">
        <f>IF(ABS(N280-(SUMIFS('Forecast capex'!$AB$9:$AB$1940,'Forecast capex'!$K$9:$K$1940,N$11,'Forecast capex'!$L$9:$L$1940,'Commissioned assets summary'!$D$12)+'Historical capex'!N80))&lt;0.001,0,1)</f>
        <v>0</v>
      </c>
      <c r="O282" s="228">
        <f>IF(ABS(O280-(SUMIFS('Forecast capex'!$AB$9:$AB$1940,'Forecast capex'!$K$9:$K$1940,O$11,'Forecast capex'!$L$9:$L$1940,'Commissioned assets summary'!$D$12)+'Historical capex'!O80))&lt;0.001,0,1)</f>
        <v>0</v>
      </c>
      <c r="P282" s="228">
        <f>IF(ABS(P280-(SUMIFS('Forecast capex'!$AB$9:$AB$1940,'Forecast capex'!$K$9:$K$1940,P$11,'Forecast capex'!$L$9:$L$1940,'Commissioned assets summary'!$D$12)+'Historical capex'!P80))&lt;0.001,0,1)</f>
        <v>0</v>
      </c>
      <c r="Q282" s="228">
        <f>IF(ABS(Q280-(SUMIFS('Forecast capex'!$AB$9:$AB$1940,'Forecast capex'!$K$9:$K$1940,Q$11,'Forecast capex'!$L$9:$L$1940,'Commissioned assets summary'!$D$12)+'Historical capex'!Q80))&lt;0.001,0,1)</f>
        <v>0</v>
      </c>
      <c r="R282" s="228">
        <f>IF(ABS(R280-(SUMIFS('Forecast capex'!$AB$9:$AB$1940,'Forecast capex'!$K$9:$K$1940,R$11,'Forecast capex'!$L$9:$L$1940,'Commissioned assets summary'!$D$12)+'Historical capex'!R80))&lt;0.001,0,1)</f>
        <v>0</v>
      </c>
      <c r="S282" s="228">
        <f>IF(ABS(S280-(SUMIFS('Forecast capex'!$AB$9:$AB$1940,'Forecast capex'!$K$9:$K$1940,S$11,'Forecast capex'!$L$9:$L$1940,'Commissioned assets summary'!$D$12)+'Historical capex'!S80))&lt;0.001,0,1)</f>
        <v>0</v>
      </c>
    </row>
    <row r="283" spans="1:21" outlineLevel="1" x14ac:dyDescent="0.2">
      <c r="B283" s="229"/>
      <c r="C283" s="229"/>
      <c r="D283" s="229"/>
      <c r="E283" s="229"/>
    </row>
    <row r="284" spans="1:21" outlineLevel="1" x14ac:dyDescent="0.2">
      <c r="B284" s="304" t="s">
        <v>297</v>
      </c>
      <c r="C284" s="229"/>
      <c r="D284" s="229"/>
      <c r="E284" s="229"/>
    </row>
    <row r="285" spans="1:21" outlineLevel="1" x14ac:dyDescent="0.2">
      <c r="B285" s="304"/>
      <c r="C285" s="229"/>
      <c r="D285" s="229"/>
      <c r="E285" s="229"/>
    </row>
    <row r="286" spans="1:21" outlineLevel="1" x14ac:dyDescent="0.2">
      <c r="B286" s="229" t="s">
        <v>95</v>
      </c>
      <c r="C286" s="280" t="s">
        <v>250</v>
      </c>
      <c r="D286" s="229"/>
      <c r="E286" s="229"/>
      <c r="M286" s="345">
        <f>SUMIFS('Forecast capex'!$T$9:$T$1940,'Forecast capex'!$AD$9:$AD$1940,$B286,'Forecast capex'!$K$9:$K$1940,M$11,'Forecast capex'!$L$9:$L$1940,$D$12)+'Historical capex'!M84</f>
        <v>0</v>
      </c>
      <c r="N286" s="345">
        <f>SUMIFS('Forecast capex'!$T$9:$T$1940,'Forecast capex'!$AD$9:$AD$1940,$B286,'Forecast capex'!$K$9:$K$1940,N$11,'Forecast capex'!$L$9:$L$1940,$D$12)+'Historical capex'!N84</f>
        <v>0</v>
      </c>
      <c r="O286" s="345">
        <f>SUMIFS('Forecast capex'!$T$9:$T$1940,'Forecast capex'!$AD$9:$AD$1940,$B286,'Forecast capex'!$K$9:$K$1940,O$11,'Forecast capex'!$L$9:$L$1940,$D$12)+'Historical capex'!O84</f>
        <v>0</v>
      </c>
      <c r="P286" s="345">
        <f>SUMIFS('Forecast capex'!$T$9:$T$1940,'Forecast capex'!$AD$9:$AD$1940,$B286,'Forecast capex'!$K$9:$K$1940,P$11,'Forecast capex'!$L$9:$L$1940,$D$12)+'Historical capex'!P84</f>
        <v>0</v>
      </c>
      <c r="Q286" s="345">
        <f>SUMIFS('Forecast capex'!$T$9:$T$1940,'Forecast capex'!$AD$9:$AD$1940,$B286,'Forecast capex'!$K$9:$K$1940,Q$11,'Forecast capex'!$L$9:$L$1940,$D$12)+'Historical capex'!Q84</f>
        <v>0</v>
      </c>
      <c r="R286" s="345">
        <f>SUMIFS('Forecast capex'!$T$9:$T$1940,'Forecast capex'!$AD$9:$AD$1940,$B286,'Forecast capex'!$K$9:$K$1940,R$11,'Forecast capex'!$L$9:$L$1940,$D$12)+'Historical capex'!R84</f>
        <v>0</v>
      </c>
      <c r="S286" s="345">
        <f>SUMIFS('Forecast capex'!$T$9:$T$1940,'Forecast capex'!$AD$9:$AD$1940,$B286,'Forecast capex'!$K$9:$K$1940,S$11,'Forecast capex'!$L$9:$L$1940,$D$12)+'Historical capex'!S84</f>
        <v>0</v>
      </c>
    </row>
    <row r="287" spans="1:21" outlineLevel="1" x14ac:dyDescent="0.2">
      <c r="B287" s="229" t="s">
        <v>77</v>
      </c>
      <c r="C287" s="280" t="s">
        <v>250</v>
      </c>
      <c r="D287" s="229"/>
      <c r="E287" s="229"/>
      <c r="M287" s="345">
        <f>SUMIFS('Forecast capex'!$T$9:$T$1940,'Forecast capex'!$AD$9:$AD$1940,$B287,'Forecast capex'!$K$9:$K$1940,M$11,'Forecast capex'!$L$9:$L$1940,$D$12)+'Historical capex'!M85</f>
        <v>0</v>
      </c>
      <c r="N287" s="345">
        <f>SUMIFS('Forecast capex'!$T$9:$T$1940,'Forecast capex'!$AD$9:$AD$1940,$B287,'Forecast capex'!$K$9:$K$1940,N$11,'Forecast capex'!$L$9:$L$1940,$D$12)+'Historical capex'!N85</f>
        <v>0</v>
      </c>
      <c r="O287" s="345">
        <f>SUMIFS('Forecast capex'!$T$9:$T$1940,'Forecast capex'!$AD$9:$AD$1940,$B287,'Forecast capex'!$K$9:$K$1940,O$11,'Forecast capex'!$L$9:$L$1940,$D$12)+'Historical capex'!O85</f>
        <v>0</v>
      </c>
      <c r="P287" s="345">
        <f>SUMIFS('Forecast capex'!$T$9:$T$1940,'Forecast capex'!$AD$9:$AD$1940,$B287,'Forecast capex'!$K$9:$K$1940,P$11,'Forecast capex'!$L$9:$L$1940,$D$12)+'Historical capex'!P85</f>
        <v>0</v>
      </c>
      <c r="Q287" s="345">
        <f>SUMIFS('Forecast capex'!$T$9:$T$1940,'Forecast capex'!$AD$9:$AD$1940,$B287,'Forecast capex'!$K$9:$K$1940,Q$11,'Forecast capex'!$L$9:$L$1940,$D$12)+'Historical capex'!Q85</f>
        <v>0</v>
      </c>
      <c r="R287" s="345">
        <f>SUMIFS('Forecast capex'!$T$9:$T$1940,'Forecast capex'!$AD$9:$AD$1940,$B287,'Forecast capex'!$K$9:$K$1940,R$11,'Forecast capex'!$L$9:$L$1940,$D$12)+'Historical capex'!R85</f>
        <v>0</v>
      </c>
      <c r="S287" s="345">
        <f>SUMIFS('Forecast capex'!$T$9:$T$1940,'Forecast capex'!$AD$9:$AD$1940,$B287,'Forecast capex'!$K$9:$K$1940,S$11,'Forecast capex'!$L$9:$L$1940,$D$12)+'Historical capex'!S85</f>
        <v>0</v>
      </c>
    </row>
    <row r="288" spans="1:21" outlineLevel="1" x14ac:dyDescent="0.2">
      <c r="B288" s="229" t="s">
        <v>100</v>
      </c>
      <c r="C288" s="280" t="s">
        <v>250</v>
      </c>
      <c r="D288" s="229"/>
      <c r="E288" s="229"/>
      <c r="M288" s="345">
        <f>SUMIFS('Forecast capex'!$T$9:$T$1940,'Forecast capex'!$AD$9:$AD$1940,$B288,'Forecast capex'!$K$9:$K$1940,M$11,'Forecast capex'!$L$9:$L$1940,$D$12)+'Historical capex'!M86</f>
        <v>0</v>
      </c>
      <c r="N288" s="345">
        <f>SUMIFS('Forecast capex'!$T$9:$T$1940,'Forecast capex'!$AD$9:$AD$1940,$B288,'Forecast capex'!$K$9:$K$1940,N$11,'Forecast capex'!$L$9:$L$1940,$D$12)+'Historical capex'!N86</f>
        <v>0</v>
      </c>
      <c r="O288" s="345">
        <f>SUMIFS('Forecast capex'!$T$9:$T$1940,'Forecast capex'!$AD$9:$AD$1940,$B288,'Forecast capex'!$K$9:$K$1940,O$11,'Forecast capex'!$L$9:$L$1940,$D$12)+'Historical capex'!O86</f>
        <v>0</v>
      </c>
      <c r="P288" s="345">
        <f>SUMIFS('Forecast capex'!$T$9:$T$1940,'Forecast capex'!$AD$9:$AD$1940,$B288,'Forecast capex'!$K$9:$K$1940,P$11,'Forecast capex'!$L$9:$L$1940,$D$12)+'Historical capex'!P86</f>
        <v>0</v>
      </c>
      <c r="Q288" s="345">
        <f>SUMIFS('Forecast capex'!$T$9:$T$1940,'Forecast capex'!$AD$9:$AD$1940,$B288,'Forecast capex'!$K$9:$K$1940,Q$11,'Forecast capex'!$L$9:$L$1940,$D$12)+'Historical capex'!Q86</f>
        <v>0</v>
      </c>
      <c r="R288" s="345">
        <f>SUMIFS('Forecast capex'!$T$9:$T$1940,'Forecast capex'!$AD$9:$AD$1940,$B288,'Forecast capex'!$K$9:$K$1940,R$11,'Forecast capex'!$L$9:$L$1940,$D$12)+'Historical capex'!R86</f>
        <v>0</v>
      </c>
      <c r="S288" s="345">
        <f>SUMIFS('Forecast capex'!$T$9:$T$1940,'Forecast capex'!$AD$9:$AD$1940,$B288,'Forecast capex'!$K$9:$K$1940,S$11,'Forecast capex'!$L$9:$L$1940,$D$12)+'Historical capex'!S86</f>
        <v>0</v>
      </c>
    </row>
    <row r="289" spans="1:21" outlineLevel="1" x14ac:dyDescent="0.2">
      <c r="B289" s="229" t="s">
        <v>93</v>
      </c>
      <c r="C289" s="280" t="s">
        <v>250</v>
      </c>
      <c r="D289" s="229"/>
      <c r="E289" s="229"/>
      <c r="M289" s="345">
        <f>SUMIFS('Forecast capex'!$T$9:$T$1940,'Forecast capex'!$AD$9:$AD$1940,$B289,'Forecast capex'!$K$9:$K$1940,M$11,'Forecast capex'!$L$9:$L$1940,$D$12)+'Historical capex'!M87</f>
        <v>0</v>
      </c>
      <c r="N289" s="345">
        <f>SUMIFS('Forecast capex'!$T$9:$T$1940,'Forecast capex'!$AD$9:$AD$1940,$B289,'Forecast capex'!$K$9:$K$1940,N$11,'Forecast capex'!$L$9:$L$1940,$D$12)+'Historical capex'!N87</f>
        <v>0</v>
      </c>
      <c r="O289" s="345">
        <f>SUMIFS('Forecast capex'!$T$9:$T$1940,'Forecast capex'!$AD$9:$AD$1940,$B289,'Forecast capex'!$K$9:$K$1940,O$11,'Forecast capex'!$L$9:$L$1940,$D$12)+'Historical capex'!O87</f>
        <v>0</v>
      </c>
      <c r="P289" s="345">
        <f>SUMIFS('Forecast capex'!$T$9:$T$1940,'Forecast capex'!$AD$9:$AD$1940,$B289,'Forecast capex'!$K$9:$K$1940,P$11,'Forecast capex'!$L$9:$L$1940,$D$12)+'Historical capex'!P87</f>
        <v>0</v>
      </c>
      <c r="Q289" s="345">
        <f>SUMIFS('Forecast capex'!$T$9:$T$1940,'Forecast capex'!$AD$9:$AD$1940,$B289,'Forecast capex'!$K$9:$K$1940,Q$11,'Forecast capex'!$L$9:$L$1940,$D$12)+'Historical capex'!Q87</f>
        <v>0</v>
      </c>
      <c r="R289" s="345">
        <f>SUMIFS('Forecast capex'!$T$9:$T$1940,'Forecast capex'!$AD$9:$AD$1940,$B289,'Forecast capex'!$K$9:$K$1940,R$11,'Forecast capex'!$L$9:$L$1940,$D$12)+'Historical capex'!R87</f>
        <v>0</v>
      </c>
      <c r="S289" s="345">
        <f>SUMIFS('Forecast capex'!$T$9:$T$1940,'Forecast capex'!$AD$9:$AD$1940,$B289,'Forecast capex'!$K$9:$K$1940,S$11,'Forecast capex'!$L$9:$L$1940,$D$12)+'Historical capex'!S87</f>
        <v>0</v>
      </c>
    </row>
    <row r="290" spans="1:21" outlineLevel="1" x14ac:dyDescent="0.2">
      <c r="B290" s="229"/>
      <c r="C290" s="280"/>
      <c r="D290" s="229"/>
      <c r="E290" s="229"/>
      <c r="M290" s="229"/>
      <c r="N290" s="229"/>
      <c r="O290" s="229"/>
      <c r="P290" s="229"/>
      <c r="Q290" s="229"/>
      <c r="R290" s="229"/>
      <c r="S290" s="229"/>
    </row>
    <row r="291" spans="1:21" outlineLevel="1" x14ac:dyDescent="0.2">
      <c r="B291" s="288" t="s">
        <v>270</v>
      </c>
      <c r="C291" s="280"/>
      <c r="D291" s="229"/>
      <c r="E291" s="229"/>
      <c r="M291" s="229"/>
      <c r="N291" s="229"/>
      <c r="O291" s="229"/>
      <c r="P291" s="229"/>
      <c r="Q291" s="229"/>
      <c r="R291" s="229"/>
      <c r="S291" s="229"/>
    </row>
    <row r="292" spans="1:21" outlineLevel="1" x14ac:dyDescent="0.2">
      <c r="B292" s="229" t="s">
        <v>97</v>
      </c>
      <c r="C292" s="280" t="s">
        <v>250</v>
      </c>
      <c r="D292" s="229"/>
      <c r="E292" s="229"/>
      <c r="M292" s="345">
        <f>SUMIFS('Forecast capex'!$T$9:$T$1940,'Forecast capex'!$AD$9:$AD$1940,$B292,'Forecast capex'!$K$9:$K$1940,M$11,'Forecast capex'!$L$9:$L$1940,$D$12)+'Historical capex'!M90</f>
        <v>0</v>
      </c>
      <c r="N292" s="345">
        <f>SUMIFS('Forecast capex'!$T$9:$T$1940,'Forecast capex'!$AD$9:$AD$1940,$B292,'Forecast capex'!$K$9:$K$1940,N$11,'Forecast capex'!$L$9:$L$1940,$D$12)+'Historical capex'!N90</f>
        <v>0</v>
      </c>
      <c r="O292" s="345">
        <f>SUMIFS('Forecast capex'!$T$9:$T$1940,'Forecast capex'!$AD$9:$AD$1940,$B292,'Forecast capex'!$K$9:$K$1940,O$11,'Forecast capex'!$L$9:$L$1940,$D$12)+'Historical capex'!O90</f>
        <v>0</v>
      </c>
      <c r="P292" s="345">
        <f>SUMIFS('Forecast capex'!$T$9:$T$1940,'Forecast capex'!$AD$9:$AD$1940,$B292,'Forecast capex'!$K$9:$K$1940,P$11,'Forecast capex'!$L$9:$L$1940,$D$12)+'Historical capex'!P90</f>
        <v>0</v>
      </c>
      <c r="Q292" s="345">
        <f>SUMIFS('Forecast capex'!$T$9:$T$1940,'Forecast capex'!$AD$9:$AD$1940,$B292,'Forecast capex'!$K$9:$K$1940,Q$11,'Forecast capex'!$L$9:$L$1940,$D$12)+'Historical capex'!Q90</f>
        <v>0</v>
      </c>
      <c r="R292" s="345">
        <f>SUMIFS('Forecast capex'!$T$9:$T$1940,'Forecast capex'!$AD$9:$AD$1940,$B292,'Forecast capex'!$K$9:$K$1940,R$11,'Forecast capex'!$L$9:$L$1940,$D$12)+'Historical capex'!R90</f>
        <v>0</v>
      </c>
      <c r="S292" s="345">
        <f>SUMIFS('Forecast capex'!$T$9:$T$1940,'Forecast capex'!$AD$9:$AD$1940,$B292,'Forecast capex'!$K$9:$K$1940,S$11,'Forecast capex'!$L$9:$L$1940,$D$12)+'Historical capex'!S90</f>
        <v>0</v>
      </c>
    </row>
    <row r="293" spans="1:21" outlineLevel="1" x14ac:dyDescent="0.2">
      <c r="B293" s="229" t="s">
        <v>121</v>
      </c>
      <c r="C293" s="280" t="s">
        <v>250</v>
      </c>
      <c r="D293" s="229"/>
      <c r="E293" s="229"/>
      <c r="M293" s="345">
        <f>SUMIFS('Forecast capex'!$T$9:$T$1940,'Forecast capex'!$AD$9:$AD$1940,$B293,'Forecast capex'!$K$9:$K$1940,M$11,'Forecast capex'!$L$9:$L$1940,$D$12)+'Historical capex'!M91</f>
        <v>0</v>
      </c>
      <c r="N293" s="345">
        <f>SUMIFS('Forecast capex'!$T$9:$T$1940,'Forecast capex'!$AD$9:$AD$1940,$B293,'Forecast capex'!$K$9:$K$1940,N$11,'Forecast capex'!$L$9:$L$1940,$D$12)+'Historical capex'!N91</f>
        <v>0</v>
      </c>
      <c r="O293" s="345">
        <f>SUMIFS('Forecast capex'!$T$9:$T$1940,'Forecast capex'!$AD$9:$AD$1940,$B293,'Forecast capex'!$K$9:$K$1940,O$11,'Forecast capex'!$L$9:$L$1940,$D$12)+'Historical capex'!O91</f>
        <v>0</v>
      </c>
      <c r="P293" s="345">
        <f>SUMIFS('Forecast capex'!$T$9:$T$1940,'Forecast capex'!$AD$9:$AD$1940,$B293,'Forecast capex'!$K$9:$K$1940,P$11,'Forecast capex'!$L$9:$L$1940,$D$12)+'Historical capex'!P91</f>
        <v>0</v>
      </c>
      <c r="Q293" s="345">
        <f>SUMIFS('Forecast capex'!$T$9:$T$1940,'Forecast capex'!$AD$9:$AD$1940,$B293,'Forecast capex'!$K$9:$K$1940,Q$11,'Forecast capex'!$L$9:$L$1940,$D$12)+'Historical capex'!Q91</f>
        <v>0</v>
      </c>
      <c r="R293" s="345">
        <f>SUMIFS('Forecast capex'!$T$9:$T$1940,'Forecast capex'!$AD$9:$AD$1940,$B293,'Forecast capex'!$K$9:$K$1940,R$11,'Forecast capex'!$L$9:$L$1940,$D$12)+'Historical capex'!R91</f>
        <v>0</v>
      </c>
      <c r="S293" s="345">
        <f>SUMIFS('Forecast capex'!$T$9:$T$1940,'Forecast capex'!$AD$9:$AD$1940,$B293,'Forecast capex'!$K$9:$K$1940,S$11,'Forecast capex'!$L$9:$L$1940,$D$12)+'Historical capex'!S91</f>
        <v>0</v>
      </c>
      <c r="T293" s="229"/>
    </row>
    <row r="294" spans="1:21" outlineLevel="1" x14ac:dyDescent="0.2">
      <c r="B294" s="229" t="s">
        <v>122</v>
      </c>
      <c r="C294" s="280" t="s">
        <v>250</v>
      </c>
      <c r="D294" s="229"/>
      <c r="E294" s="229"/>
      <c r="M294" s="345">
        <f>SUMIFS('Forecast capex'!$T$9:$T$1940,'Forecast capex'!$AD$9:$AD$1940,$B294,'Forecast capex'!$K$9:$K$1940,M$11,'Forecast capex'!$L$9:$L$1940,$D$12)+'Historical capex'!M92</f>
        <v>0</v>
      </c>
      <c r="N294" s="345">
        <f>SUMIFS('Forecast capex'!$T$9:$T$1940,'Forecast capex'!$AD$9:$AD$1940,$B294,'Forecast capex'!$K$9:$K$1940,N$11,'Forecast capex'!$L$9:$L$1940,$D$12)+'Historical capex'!N92</f>
        <v>0</v>
      </c>
      <c r="O294" s="345">
        <f>SUMIFS('Forecast capex'!$T$9:$T$1940,'Forecast capex'!$AD$9:$AD$1940,$B294,'Forecast capex'!$K$9:$K$1940,O$11,'Forecast capex'!$L$9:$L$1940,$D$12)+'Historical capex'!O92</f>
        <v>0</v>
      </c>
      <c r="P294" s="345">
        <f>SUMIFS('Forecast capex'!$T$9:$T$1940,'Forecast capex'!$AD$9:$AD$1940,$B294,'Forecast capex'!$K$9:$K$1940,P$11,'Forecast capex'!$L$9:$L$1940,$D$12)+'Historical capex'!P92</f>
        <v>0</v>
      </c>
      <c r="Q294" s="345">
        <f>SUMIFS('Forecast capex'!$T$9:$T$1940,'Forecast capex'!$AD$9:$AD$1940,$B294,'Forecast capex'!$K$9:$K$1940,Q$11,'Forecast capex'!$L$9:$L$1940,$D$12)+'Historical capex'!Q92</f>
        <v>0</v>
      </c>
      <c r="R294" s="345">
        <f>SUMIFS('Forecast capex'!$T$9:$T$1940,'Forecast capex'!$AD$9:$AD$1940,$B294,'Forecast capex'!$K$9:$K$1940,R$11,'Forecast capex'!$L$9:$L$1940,$D$12)+'Historical capex'!R92</f>
        <v>0</v>
      </c>
      <c r="S294" s="345">
        <f>SUMIFS('Forecast capex'!$T$9:$T$1940,'Forecast capex'!$AD$9:$AD$1940,$B294,'Forecast capex'!$K$9:$K$1940,S$11,'Forecast capex'!$L$9:$L$1940,$D$12)+'Historical capex'!S92</f>
        <v>0</v>
      </c>
    </row>
    <row r="295" spans="1:21" outlineLevel="1" x14ac:dyDescent="0.2">
      <c r="A295" s="243"/>
      <c r="B295" s="288" t="s">
        <v>272</v>
      </c>
      <c r="C295" s="337" t="s">
        <v>250</v>
      </c>
      <c r="D295" s="288"/>
      <c r="E295" s="288"/>
      <c r="F295" s="243"/>
      <c r="G295" s="243"/>
      <c r="H295" s="243"/>
      <c r="I295" s="335"/>
      <c r="J295" s="243"/>
      <c r="K295" s="243"/>
      <c r="M295" s="233">
        <f>SUM(M292:M294)</f>
        <v>0</v>
      </c>
      <c r="N295" s="233">
        <f t="shared" ref="N295:S295" si="89">SUM(N292:N294)</f>
        <v>0</v>
      </c>
      <c r="O295" s="233">
        <f t="shared" si="89"/>
        <v>0</v>
      </c>
      <c r="P295" s="233">
        <f t="shared" si="89"/>
        <v>0</v>
      </c>
      <c r="Q295" s="233">
        <f t="shared" si="89"/>
        <v>0</v>
      </c>
      <c r="R295" s="233">
        <f t="shared" si="89"/>
        <v>0</v>
      </c>
      <c r="S295" s="233">
        <f t="shared" si="89"/>
        <v>0</v>
      </c>
      <c r="T295" s="243"/>
      <c r="U295" s="243"/>
    </row>
    <row r="296" spans="1:21" outlineLevel="1" x14ac:dyDescent="0.2">
      <c r="B296" s="229"/>
      <c r="C296" s="337"/>
      <c r="D296" s="229"/>
      <c r="E296" s="229"/>
      <c r="M296" s="229"/>
      <c r="N296" s="229"/>
      <c r="O296" s="229"/>
      <c r="P296" s="229"/>
      <c r="Q296" s="229"/>
      <c r="R296" s="229"/>
      <c r="S296" s="229"/>
    </row>
    <row r="297" spans="1:21" outlineLevel="1" x14ac:dyDescent="0.2">
      <c r="A297" s="243"/>
      <c r="B297" s="288" t="s">
        <v>295</v>
      </c>
      <c r="C297" s="337" t="s">
        <v>250</v>
      </c>
      <c r="D297" s="288"/>
      <c r="E297" s="288"/>
      <c r="F297" s="243"/>
      <c r="G297" s="243"/>
      <c r="H297" s="243"/>
      <c r="I297" s="335"/>
      <c r="J297" s="243"/>
      <c r="K297" s="243"/>
      <c r="M297" s="235">
        <f>SUM(M286:M289,M295)</f>
        <v>0</v>
      </c>
      <c r="N297" s="235">
        <f t="shared" ref="N297:S297" si="90">SUM(N286:N289,N295)</f>
        <v>0</v>
      </c>
      <c r="O297" s="235">
        <f t="shared" si="90"/>
        <v>0</v>
      </c>
      <c r="P297" s="235">
        <f t="shared" si="90"/>
        <v>0</v>
      </c>
      <c r="Q297" s="235">
        <f t="shared" si="90"/>
        <v>0</v>
      </c>
      <c r="R297" s="235">
        <f t="shared" si="90"/>
        <v>0</v>
      </c>
      <c r="S297" s="235">
        <f t="shared" si="90"/>
        <v>0</v>
      </c>
      <c r="T297" s="243"/>
      <c r="U297" s="243"/>
    </row>
    <row r="298" spans="1:21" outlineLevel="1" x14ac:dyDescent="0.2">
      <c r="B298" s="229"/>
      <c r="C298" s="280"/>
      <c r="D298" s="229"/>
      <c r="E298" s="229"/>
      <c r="M298" s="229"/>
      <c r="N298" s="229"/>
      <c r="O298" s="229"/>
      <c r="P298" s="229"/>
      <c r="Q298" s="229"/>
      <c r="R298" s="229"/>
      <c r="S298" s="229"/>
    </row>
    <row r="299" spans="1:21" outlineLevel="1" x14ac:dyDescent="0.2">
      <c r="B299" s="229" t="s">
        <v>274</v>
      </c>
      <c r="C299" s="280" t="s">
        <v>250</v>
      </c>
      <c r="D299" s="229"/>
      <c r="E299" s="229"/>
      <c r="M299" s="345">
        <f>SUMIFS('Forecast capex'!$T$9:$T$1940,'Forecast capex'!$AD$9:$AD$1940,$B299,'Forecast capex'!$K$9:$K$1940,M$11,'Forecast capex'!$L$9:$L$1940,$D$12)+'Historical capex'!M97</f>
        <v>0</v>
      </c>
      <c r="N299" s="345">
        <f>SUMIFS('Forecast capex'!$T$9:$T$1940,'Forecast capex'!$AD$9:$AD$1940,$B299,'Forecast capex'!$K$9:$K$1940,N$11,'Forecast capex'!$L$9:$L$1940,$D$12)+'Historical capex'!N97</f>
        <v>0</v>
      </c>
      <c r="O299" s="345">
        <f>SUMIFS('Forecast capex'!$T$9:$T$1940,'Forecast capex'!$AD$9:$AD$1940,$B299,'Forecast capex'!$K$9:$K$1940,O$11,'Forecast capex'!$L$9:$L$1940,$D$12)+'Historical capex'!O97</f>
        <v>0</v>
      </c>
      <c r="P299" s="345">
        <f>SUMIFS('Forecast capex'!$T$9:$T$1940,'Forecast capex'!$AD$9:$AD$1940,$B299,'Forecast capex'!$K$9:$K$1940,P$11,'Forecast capex'!$L$9:$L$1940,$D$12)+'Historical capex'!P97</f>
        <v>0</v>
      </c>
      <c r="Q299" s="345">
        <f>SUMIFS('Forecast capex'!$T$9:$T$1940,'Forecast capex'!$AD$9:$AD$1940,$B299,'Forecast capex'!$K$9:$K$1940,Q$11,'Forecast capex'!$L$9:$L$1940,$D$12)+'Historical capex'!Q97</f>
        <v>0</v>
      </c>
      <c r="R299" s="345">
        <f>SUMIFS('Forecast capex'!$T$9:$T$1940,'Forecast capex'!$AD$9:$AD$1940,$B299,'Forecast capex'!$K$9:$K$1940,R$11,'Forecast capex'!$L$9:$L$1940,$D$12)+'Historical capex'!R97</f>
        <v>0</v>
      </c>
      <c r="S299" s="345">
        <f>SUMIFS('Forecast capex'!$T$9:$T$1940,'Forecast capex'!$AD$9:$AD$1940,$B299,'Forecast capex'!$K$9:$K$1940,S$11,'Forecast capex'!$L$9:$L$1940,$D$12)+'Historical capex'!S97</f>
        <v>0</v>
      </c>
    </row>
    <row r="300" spans="1:21" outlineLevel="1" x14ac:dyDescent="0.2">
      <c r="A300" s="243"/>
      <c r="B300" s="288" t="s">
        <v>296</v>
      </c>
      <c r="C300" s="337" t="s">
        <v>250</v>
      </c>
      <c r="D300" s="288"/>
      <c r="E300" s="288"/>
      <c r="F300" s="243"/>
      <c r="G300" s="243"/>
      <c r="H300" s="243"/>
      <c r="I300" s="335"/>
      <c r="J300" s="243"/>
      <c r="K300" s="243"/>
      <c r="M300" s="235">
        <f>M297+M299</f>
        <v>0</v>
      </c>
      <c r="N300" s="235">
        <f t="shared" ref="N300:S300" si="91">N297+N299</f>
        <v>0</v>
      </c>
      <c r="O300" s="235">
        <f t="shared" si="91"/>
        <v>0</v>
      </c>
      <c r="P300" s="235">
        <f t="shared" si="91"/>
        <v>0</v>
      </c>
      <c r="Q300" s="235">
        <f t="shared" si="91"/>
        <v>0</v>
      </c>
      <c r="R300" s="235">
        <f t="shared" si="91"/>
        <v>0</v>
      </c>
      <c r="S300" s="235">
        <f t="shared" si="91"/>
        <v>0</v>
      </c>
      <c r="T300" s="243"/>
      <c r="U300" s="243"/>
    </row>
    <row r="301" spans="1:21" outlineLevel="1" x14ac:dyDescent="0.2">
      <c r="A301" s="243"/>
      <c r="B301" s="288"/>
      <c r="C301" s="337"/>
      <c r="D301" s="288"/>
      <c r="E301" s="288"/>
      <c r="F301" s="243"/>
      <c r="G301" s="243"/>
      <c r="H301" s="243"/>
      <c r="I301" s="335"/>
      <c r="J301" s="243"/>
      <c r="K301" s="243"/>
      <c r="M301" s="294"/>
      <c r="N301" s="294"/>
      <c r="O301" s="294"/>
      <c r="P301" s="294"/>
      <c r="Q301" s="294"/>
      <c r="R301" s="294"/>
      <c r="S301" s="294"/>
      <c r="T301" s="243"/>
      <c r="U301" s="243"/>
    </row>
    <row r="302" spans="1:21" outlineLevel="1" x14ac:dyDescent="0.2">
      <c r="B302" s="242" t="s">
        <v>455</v>
      </c>
      <c r="C302" s="280" t="s">
        <v>58</v>
      </c>
      <c r="D302" s="297">
        <f>SUM(H302:S302)</f>
        <v>0</v>
      </c>
      <c r="E302" s="298"/>
      <c r="M302" s="228">
        <f>IF(ABS(M300-(SUMIFS('Forecast capex'!$T$9:$T$1940,'Forecast capex'!$K$9:$K$1940,M$11,'Forecast capex'!$L$9:$L$1940,$D$12)+'Historical capex'!M98))&lt;0.001,0,1)</f>
        <v>0</v>
      </c>
      <c r="N302" s="228">
        <f>IF(ABS(N300-(SUMIFS('Forecast capex'!$T$9:$T$1940,'Forecast capex'!$K$9:$K$1940,N$11,'Forecast capex'!$L$9:$L$1940,$D$12)+'Historical capex'!N98))&lt;0.001,0,1)</f>
        <v>0</v>
      </c>
      <c r="O302" s="228">
        <f>IF(ABS(O300-(SUMIFS('Forecast capex'!$T$9:$T$1940,'Forecast capex'!$K$9:$K$1940,O$11,'Forecast capex'!$L$9:$L$1940,$D$12)+'Historical capex'!O98))&lt;0.001,0,1)</f>
        <v>0</v>
      </c>
      <c r="P302" s="228">
        <f>IF(ABS(P300-(SUMIFS('Forecast capex'!$T$9:$T$1940,'Forecast capex'!$K$9:$K$1940,P$11,'Forecast capex'!$L$9:$L$1940,$D$12)+'Historical capex'!P98))&lt;0.001,0,1)</f>
        <v>0</v>
      </c>
      <c r="Q302" s="228">
        <f>IF(ABS(Q300-(SUMIFS('Forecast capex'!$T$9:$T$1940,'Forecast capex'!$K$9:$K$1940,Q$11,'Forecast capex'!$L$9:$L$1940,$D$12)+'Historical capex'!Q98))&lt;0.001,0,1)</f>
        <v>0</v>
      </c>
      <c r="R302" s="228">
        <f>IF(ABS(R300-(SUMIFS('Forecast capex'!$T$9:$T$1940,'Forecast capex'!$K$9:$K$1940,R$11,'Forecast capex'!$L$9:$L$1940,$D$12)+'Historical capex'!R98))&lt;0.001,0,1)</f>
        <v>0</v>
      </c>
      <c r="S302" s="228">
        <f>IF(ABS(S300-(SUMIFS('Forecast capex'!$T$9:$T$1940,'Forecast capex'!$K$9:$K$1940,S$11,'Forecast capex'!$L$9:$L$1940,$D$12)+'Historical capex'!S98))&lt;0.001,0,1)</f>
        <v>0</v>
      </c>
    </row>
    <row r="303" spans="1:21" outlineLevel="1" x14ac:dyDescent="0.2">
      <c r="B303" s="229"/>
      <c r="C303" s="229"/>
      <c r="D303" s="229"/>
      <c r="E303" s="229"/>
    </row>
    <row r="304" spans="1:21" outlineLevel="1" x14ac:dyDescent="0.2">
      <c r="B304" s="304" t="s">
        <v>77</v>
      </c>
      <c r="C304" s="314"/>
      <c r="D304" s="347"/>
      <c r="E304" s="314"/>
      <c r="F304" s="242"/>
      <c r="G304" s="302"/>
      <c r="H304" s="302"/>
      <c r="I304" s="302"/>
      <c r="J304" s="302"/>
      <c r="K304" s="242"/>
      <c r="M304" s="242"/>
      <c r="N304" s="242"/>
      <c r="O304" s="242"/>
      <c r="P304" s="242"/>
      <c r="Q304" s="242"/>
      <c r="R304" s="242"/>
      <c r="S304" s="242"/>
    </row>
    <row r="305" spans="2:19" outlineLevel="1" x14ac:dyDescent="0.2">
      <c r="B305" s="288"/>
      <c r="C305" s="337"/>
      <c r="D305" s="229"/>
      <c r="E305" s="229"/>
      <c r="M305" s="229"/>
      <c r="N305" s="229"/>
      <c r="O305" s="229"/>
      <c r="P305" s="229"/>
      <c r="Q305" s="229"/>
      <c r="R305" s="229"/>
      <c r="S305" s="229"/>
    </row>
    <row r="306" spans="2:19" outlineLevel="1" x14ac:dyDescent="0.2">
      <c r="B306" s="288" t="s">
        <v>298</v>
      </c>
      <c r="C306" s="338"/>
      <c r="D306" s="229"/>
      <c r="E306" s="229"/>
      <c r="M306" s="229"/>
      <c r="N306" s="229"/>
      <c r="O306" s="229"/>
      <c r="P306" s="229"/>
      <c r="Q306" s="229"/>
      <c r="R306" s="229"/>
      <c r="S306" s="229"/>
    </row>
    <row r="307" spans="2:19" outlineLevel="1" x14ac:dyDescent="0.2">
      <c r="B307" s="267" t="s">
        <v>284</v>
      </c>
      <c r="C307" s="280" t="s">
        <v>250</v>
      </c>
      <c r="D307" s="229"/>
      <c r="E307" s="229"/>
      <c r="M307" s="238">
        <f>SUMIFS('Forecast capex'!$AB$9:$AB$1940,'Forecast capex'!$C$9:$C$1940,$B307,'Forecast capex'!$AD$9:$AD$1940,$B$304,'Forecast capex'!$K$9:$K$1940,M$11,'Forecast capex'!$L$9:$L$1940,$D$12)+'Historical capex'!M103</f>
        <v>0</v>
      </c>
      <c r="N307" s="238">
        <f>SUMIFS('Forecast capex'!$AB$9:$AB$1940,'Forecast capex'!$C$9:$C$1940,$B307,'Forecast capex'!$AD$9:$AD$1940,$B$304,'Forecast capex'!$K$9:$K$1940,N$11,'Forecast capex'!$L$9:$L$1940,$D$12)+'Historical capex'!N103</f>
        <v>0</v>
      </c>
      <c r="O307" s="238">
        <f>SUMIFS('Forecast capex'!$AB$9:$AB$1940,'Forecast capex'!$C$9:$C$1940,$B307,'Forecast capex'!$AD$9:$AD$1940,$B$304,'Forecast capex'!$K$9:$K$1940,O$11,'Forecast capex'!$L$9:$L$1940,$D$12)+'Historical capex'!O103</f>
        <v>0</v>
      </c>
      <c r="P307" s="238">
        <f>SUMIFS('Forecast capex'!$AB$9:$AB$1940,'Forecast capex'!$C$9:$C$1940,$B307,'Forecast capex'!$AD$9:$AD$1940,$B$304,'Forecast capex'!$K$9:$K$1940,P$11,'Forecast capex'!$L$9:$L$1940,$D$12)+'Historical capex'!P103</f>
        <v>0</v>
      </c>
      <c r="Q307" s="238">
        <f>SUMIFS('Forecast capex'!$AB$9:$AB$1940,'Forecast capex'!$C$9:$C$1940,$B307,'Forecast capex'!$AD$9:$AD$1940,$B$304,'Forecast capex'!$K$9:$K$1940,Q$11,'Forecast capex'!$L$9:$L$1940,$D$12)+'Historical capex'!Q103</f>
        <v>598374.7062954962</v>
      </c>
      <c r="R307" s="238">
        <f>SUMIFS('Forecast capex'!$AB$9:$AB$1940,'Forecast capex'!$C$9:$C$1940,$B307,'Forecast capex'!$AD$9:$AD$1940,$B$304,'Forecast capex'!$K$9:$K$1940,R$11,'Forecast capex'!$L$9:$L$1940,$D$12)+'Historical capex'!R103</f>
        <v>0</v>
      </c>
      <c r="S307" s="238">
        <f>SUMIFS('Forecast capex'!$AB$9:$AB$1940,'Forecast capex'!$C$9:$C$1940,$B307,'Forecast capex'!$AD$9:$AD$1940,$B$304,'Forecast capex'!$K$9:$K$1940,S$11,'Forecast capex'!$L$9:$L$1940,$D$12)+'Historical capex'!S103</f>
        <v>0</v>
      </c>
    </row>
    <row r="308" spans="2:19" outlineLevel="1" x14ac:dyDescent="0.2">
      <c r="B308" s="267" t="s">
        <v>285</v>
      </c>
      <c r="C308" s="280" t="s">
        <v>250</v>
      </c>
      <c r="D308" s="229"/>
      <c r="E308" s="229"/>
      <c r="M308" s="238">
        <f>SUMIFS('Forecast capex'!$AB$9:$AB$1940,'Forecast capex'!$C$9:$C$1940,$B308,'Forecast capex'!$AD$9:$AD$1940,$B$304,'Forecast capex'!$K$9:$K$1940,M$11,'Forecast capex'!$L$9:$L$1940,$D$12)+'Historical capex'!M104</f>
        <v>0</v>
      </c>
      <c r="N308" s="238">
        <f>SUMIFS('Forecast capex'!$AB$9:$AB$1940,'Forecast capex'!$C$9:$C$1940,$B308,'Forecast capex'!$AD$9:$AD$1940,$B$304,'Forecast capex'!$K$9:$K$1940,N$11,'Forecast capex'!$L$9:$L$1940,$D$12)+'Historical capex'!N104</f>
        <v>0</v>
      </c>
      <c r="O308" s="238">
        <f>SUMIFS('Forecast capex'!$AB$9:$AB$1940,'Forecast capex'!$C$9:$C$1940,$B308,'Forecast capex'!$AD$9:$AD$1940,$B$304,'Forecast capex'!$K$9:$K$1940,O$11,'Forecast capex'!$L$9:$L$1940,$D$12)+'Historical capex'!O104</f>
        <v>0</v>
      </c>
      <c r="P308" s="238">
        <f>SUMIFS('Forecast capex'!$AB$9:$AB$1940,'Forecast capex'!$C$9:$C$1940,$B308,'Forecast capex'!$AD$9:$AD$1940,$B$304,'Forecast capex'!$K$9:$K$1940,P$11,'Forecast capex'!$L$9:$L$1940,$D$12)+'Historical capex'!P104</f>
        <v>0</v>
      </c>
      <c r="Q308" s="238">
        <f>SUMIFS('Forecast capex'!$AB$9:$AB$1940,'Forecast capex'!$C$9:$C$1940,$B308,'Forecast capex'!$AD$9:$AD$1940,$B$304,'Forecast capex'!$K$9:$K$1940,Q$11,'Forecast capex'!$L$9:$L$1940,$D$12)+'Historical capex'!Q104</f>
        <v>486589.70143219171</v>
      </c>
      <c r="R308" s="238">
        <f>SUMIFS('Forecast capex'!$AB$9:$AB$1940,'Forecast capex'!$C$9:$C$1940,$B308,'Forecast capex'!$AD$9:$AD$1940,$B$304,'Forecast capex'!$K$9:$K$1940,R$11,'Forecast capex'!$L$9:$L$1940,$D$12)+'Historical capex'!R104</f>
        <v>0</v>
      </c>
      <c r="S308" s="238">
        <f>SUMIFS('Forecast capex'!$AB$9:$AB$1940,'Forecast capex'!$C$9:$C$1940,$B308,'Forecast capex'!$AD$9:$AD$1940,$B$304,'Forecast capex'!$K$9:$K$1940,S$11,'Forecast capex'!$L$9:$L$1940,$D$12)+'Historical capex'!S104</f>
        <v>0</v>
      </c>
    </row>
    <row r="309" spans="2:19" outlineLevel="1" x14ac:dyDescent="0.2">
      <c r="B309" s="267" t="s">
        <v>286</v>
      </c>
      <c r="C309" s="280" t="s">
        <v>250</v>
      </c>
      <c r="D309" s="229"/>
      <c r="E309" s="229"/>
      <c r="M309" s="238">
        <f>SUMIFS('Forecast capex'!$AB$9:$AB$1940,'Forecast capex'!$C$9:$C$1940,$B309,'Forecast capex'!$AD$9:$AD$1940,$B$304,'Forecast capex'!$K$9:$K$1940,M$11,'Forecast capex'!$L$9:$L$1940,$D$12)+'Historical capex'!M105</f>
        <v>0</v>
      </c>
      <c r="N309" s="238">
        <f>SUMIFS('Forecast capex'!$AB$9:$AB$1940,'Forecast capex'!$C$9:$C$1940,$B309,'Forecast capex'!$AD$9:$AD$1940,$B$304,'Forecast capex'!$K$9:$K$1940,N$11,'Forecast capex'!$L$9:$L$1940,$D$12)+'Historical capex'!N105</f>
        <v>3414185.1403821865</v>
      </c>
      <c r="O309" s="238">
        <f>SUMIFS('Forecast capex'!$AB$9:$AB$1940,'Forecast capex'!$C$9:$C$1940,$B309,'Forecast capex'!$AD$9:$AD$1940,$B$304,'Forecast capex'!$K$9:$K$1940,O$11,'Forecast capex'!$L$9:$L$1940,$D$12)+'Historical capex'!O105</f>
        <v>0</v>
      </c>
      <c r="P309" s="238">
        <f>SUMIFS('Forecast capex'!$AB$9:$AB$1940,'Forecast capex'!$C$9:$C$1940,$B309,'Forecast capex'!$AD$9:$AD$1940,$B$304,'Forecast capex'!$K$9:$K$1940,P$11,'Forecast capex'!$L$9:$L$1940,$D$12)+'Historical capex'!P105</f>
        <v>0</v>
      </c>
      <c r="Q309" s="238">
        <f>SUMIFS('Forecast capex'!$AB$9:$AB$1940,'Forecast capex'!$C$9:$C$1940,$B309,'Forecast capex'!$AD$9:$AD$1940,$B$304,'Forecast capex'!$K$9:$K$1940,Q$11,'Forecast capex'!$L$9:$L$1940,$D$12)+'Historical capex'!Q105</f>
        <v>1178089.1195578394</v>
      </c>
      <c r="R309" s="238">
        <f>SUMIFS('Forecast capex'!$AB$9:$AB$1940,'Forecast capex'!$C$9:$C$1940,$B309,'Forecast capex'!$AD$9:$AD$1940,$B$304,'Forecast capex'!$K$9:$K$1940,R$11,'Forecast capex'!$L$9:$L$1940,$D$12)+'Historical capex'!R105</f>
        <v>0</v>
      </c>
      <c r="S309" s="238">
        <f>SUMIFS('Forecast capex'!$AB$9:$AB$1940,'Forecast capex'!$C$9:$C$1940,$B309,'Forecast capex'!$AD$9:$AD$1940,$B$304,'Forecast capex'!$K$9:$K$1940,S$11,'Forecast capex'!$L$9:$L$1940,$D$12)+'Historical capex'!S105</f>
        <v>0</v>
      </c>
    </row>
    <row r="310" spans="2:19" outlineLevel="1" x14ac:dyDescent="0.2">
      <c r="B310" s="267" t="s">
        <v>287</v>
      </c>
      <c r="C310" s="280" t="s">
        <v>250</v>
      </c>
      <c r="D310" s="229"/>
      <c r="E310" s="229"/>
      <c r="M310" s="238">
        <f>SUMIFS('Forecast capex'!$AB$9:$AB$1940,'Forecast capex'!$C$9:$C$1940,$B310,'Forecast capex'!$AD$9:$AD$1940,$B$304,'Forecast capex'!$K$9:$K$1940,M$11,'Forecast capex'!$L$9:$L$1940,$D$12)+'Historical capex'!M106</f>
        <v>0</v>
      </c>
      <c r="N310" s="238">
        <f>SUMIFS('Forecast capex'!$AB$9:$AB$1940,'Forecast capex'!$C$9:$C$1940,$B310,'Forecast capex'!$AD$9:$AD$1940,$B$304,'Forecast capex'!$K$9:$K$1940,N$11,'Forecast capex'!$L$9:$L$1940,$D$12)+'Historical capex'!N106</f>
        <v>0</v>
      </c>
      <c r="O310" s="238">
        <f>SUMIFS('Forecast capex'!$AB$9:$AB$1940,'Forecast capex'!$C$9:$C$1940,$B310,'Forecast capex'!$AD$9:$AD$1940,$B$304,'Forecast capex'!$K$9:$K$1940,O$11,'Forecast capex'!$L$9:$L$1940,$D$12)+'Historical capex'!O106</f>
        <v>0</v>
      </c>
      <c r="P310" s="238">
        <f>SUMIFS('Forecast capex'!$AB$9:$AB$1940,'Forecast capex'!$C$9:$C$1940,$B310,'Forecast capex'!$AD$9:$AD$1940,$B$304,'Forecast capex'!$K$9:$K$1940,P$11,'Forecast capex'!$L$9:$L$1940,$D$12)+'Historical capex'!P106</f>
        <v>0</v>
      </c>
      <c r="Q310" s="238">
        <f>SUMIFS('Forecast capex'!$AB$9:$AB$1940,'Forecast capex'!$C$9:$C$1940,$B310,'Forecast capex'!$AD$9:$AD$1940,$B$304,'Forecast capex'!$K$9:$K$1940,Q$11,'Forecast capex'!$L$9:$L$1940,$D$12)+'Historical capex'!Q106</f>
        <v>0</v>
      </c>
      <c r="R310" s="238">
        <f>SUMIFS('Forecast capex'!$AB$9:$AB$1940,'Forecast capex'!$C$9:$C$1940,$B310,'Forecast capex'!$AD$9:$AD$1940,$B$304,'Forecast capex'!$K$9:$K$1940,R$11,'Forecast capex'!$L$9:$L$1940,$D$12)+'Historical capex'!R106</f>
        <v>0</v>
      </c>
      <c r="S310" s="238">
        <f>SUMIFS('Forecast capex'!$AB$9:$AB$1940,'Forecast capex'!$C$9:$C$1940,$B310,'Forecast capex'!$AD$9:$AD$1940,$B$304,'Forecast capex'!$K$9:$K$1940,S$11,'Forecast capex'!$L$9:$L$1940,$D$12)+'Historical capex'!S106</f>
        <v>0</v>
      </c>
    </row>
    <row r="311" spans="2:19" outlineLevel="1" x14ac:dyDescent="0.2">
      <c r="B311" s="267" t="s">
        <v>288</v>
      </c>
      <c r="C311" s="280" t="s">
        <v>250</v>
      </c>
      <c r="D311" s="229"/>
      <c r="E311" s="229"/>
      <c r="M311" s="238">
        <f>SUMIFS('Forecast capex'!$AB$9:$AB$1940,'Forecast capex'!$C$9:$C$1940,$B311,'Forecast capex'!$AD$9:$AD$1940,$B$304,'Forecast capex'!$K$9:$K$1940,M$11,'Forecast capex'!$L$9:$L$1940,$D$12)+'Historical capex'!M107</f>
        <v>0</v>
      </c>
      <c r="N311" s="238">
        <f>SUMIFS('Forecast capex'!$AB$9:$AB$1940,'Forecast capex'!$C$9:$C$1940,$B311,'Forecast capex'!$AD$9:$AD$1940,$B$304,'Forecast capex'!$K$9:$K$1940,N$11,'Forecast capex'!$L$9:$L$1940,$D$12)+'Historical capex'!N107</f>
        <v>0</v>
      </c>
      <c r="O311" s="238">
        <f>SUMIFS('Forecast capex'!$AB$9:$AB$1940,'Forecast capex'!$C$9:$C$1940,$B311,'Forecast capex'!$AD$9:$AD$1940,$B$304,'Forecast capex'!$K$9:$K$1940,O$11,'Forecast capex'!$L$9:$L$1940,$D$12)+'Historical capex'!O107</f>
        <v>0</v>
      </c>
      <c r="P311" s="238">
        <f>SUMIFS('Forecast capex'!$AB$9:$AB$1940,'Forecast capex'!$C$9:$C$1940,$B311,'Forecast capex'!$AD$9:$AD$1940,$B$304,'Forecast capex'!$K$9:$K$1940,P$11,'Forecast capex'!$L$9:$L$1940,$D$12)+'Historical capex'!P107</f>
        <v>0</v>
      </c>
      <c r="Q311" s="238">
        <f>SUMIFS('Forecast capex'!$AB$9:$AB$1940,'Forecast capex'!$C$9:$C$1940,$B311,'Forecast capex'!$AD$9:$AD$1940,$B$304,'Forecast capex'!$K$9:$K$1940,Q$11,'Forecast capex'!$L$9:$L$1940,$D$12)+'Historical capex'!Q107</f>
        <v>0</v>
      </c>
      <c r="R311" s="238">
        <f>SUMIFS('Forecast capex'!$AB$9:$AB$1940,'Forecast capex'!$C$9:$C$1940,$B311,'Forecast capex'!$AD$9:$AD$1940,$B$304,'Forecast capex'!$K$9:$K$1940,R$11,'Forecast capex'!$L$9:$L$1940,$D$12)+'Historical capex'!R107</f>
        <v>0</v>
      </c>
      <c r="S311" s="238">
        <f>SUMIFS('Forecast capex'!$AB$9:$AB$1940,'Forecast capex'!$C$9:$C$1940,$B311,'Forecast capex'!$AD$9:$AD$1940,$B$304,'Forecast capex'!$K$9:$K$1940,S$11,'Forecast capex'!$L$9:$L$1940,$D$12)+'Historical capex'!S107</f>
        <v>0</v>
      </c>
    </row>
    <row r="312" spans="2:19" outlineLevel="1" x14ac:dyDescent="0.2">
      <c r="B312" s="267" t="s">
        <v>289</v>
      </c>
      <c r="C312" s="280" t="s">
        <v>250</v>
      </c>
      <c r="D312" s="229"/>
      <c r="E312" s="229"/>
      <c r="M312" s="238">
        <f>SUMIFS('Forecast capex'!$AB$9:$AB$1940,'Forecast capex'!$C$9:$C$1940,$B312,'Forecast capex'!$AD$9:$AD$1940,$B$304,'Forecast capex'!$K$9:$K$1940,M$11,'Forecast capex'!$L$9:$L$1940,$D$12)+'Historical capex'!M108</f>
        <v>0</v>
      </c>
      <c r="N312" s="238">
        <f>SUMIFS('Forecast capex'!$AB$9:$AB$1940,'Forecast capex'!$C$9:$C$1940,$B312,'Forecast capex'!$AD$9:$AD$1940,$B$304,'Forecast capex'!$K$9:$K$1940,N$11,'Forecast capex'!$L$9:$L$1940,$D$12)+'Historical capex'!N108</f>
        <v>0</v>
      </c>
      <c r="O312" s="238">
        <f>SUMIFS('Forecast capex'!$AB$9:$AB$1940,'Forecast capex'!$C$9:$C$1940,$B312,'Forecast capex'!$AD$9:$AD$1940,$B$304,'Forecast capex'!$K$9:$K$1940,O$11,'Forecast capex'!$L$9:$L$1940,$D$12)+'Historical capex'!O108</f>
        <v>0</v>
      </c>
      <c r="P312" s="238">
        <f>SUMIFS('Forecast capex'!$AB$9:$AB$1940,'Forecast capex'!$C$9:$C$1940,$B312,'Forecast capex'!$AD$9:$AD$1940,$B$304,'Forecast capex'!$K$9:$K$1940,P$11,'Forecast capex'!$L$9:$L$1940,$D$12)+'Historical capex'!P108</f>
        <v>0</v>
      </c>
      <c r="Q312" s="238">
        <f>SUMIFS('Forecast capex'!$AB$9:$AB$1940,'Forecast capex'!$C$9:$C$1940,$B312,'Forecast capex'!$AD$9:$AD$1940,$B$304,'Forecast capex'!$K$9:$K$1940,Q$11,'Forecast capex'!$L$9:$L$1940,$D$12)+'Historical capex'!Q108</f>
        <v>0</v>
      </c>
      <c r="R312" s="238">
        <f>SUMIFS('Forecast capex'!$AB$9:$AB$1940,'Forecast capex'!$C$9:$C$1940,$B312,'Forecast capex'!$AD$9:$AD$1940,$B$304,'Forecast capex'!$K$9:$K$1940,R$11,'Forecast capex'!$L$9:$L$1940,$D$12)+'Historical capex'!R108</f>
        <v>0</v>
      </c>
      <c r="S312" s="238">
        <f>SUMIFS('Forecast capex'!$AB$9:$AB$1940,'Forecast capex'!$C$9:$C$1940,$B312,'Forecast capex'!$AD$9:$AD$1940,$B$304,'Forecast capex'!$K$9:$K$1940,S$11,'Forecast capex'!$L$9:$L$1940,$D$12)+'Historical capex'!S108</f>
        <v>0</v>
      </c>
    </row>
    <row r="313" spans="2:19" outlineLevel="1" x14ac:dyDescent="0.2">
      <c r="B313" s="267" t="s">
        <v>290</v>
      </c>
      <c r="C313" s="280" t="s">
        <v>250</v>
      </c>
      <c r="D313" s="229"/>
      <c r="E313" s="229"/>
      <c r="M313" s="238">
        <f>SUMIFS('Forecast capex'!$AB$9:$AB$1940,'Forecast capex'!$C$9:$C$1940,$B313,'Forecast capex'!$AD$9:$AD$1940,$B$304,'Forecast capex'!$K$9:$K$1940,M$11,'Forecast capex'!$L$9:$L$1940,$D$12)+'Historical capex'!M109</f>
        <v>0</v>
      </c>
      <c r="N313" s="238">
        <f>SUMIFS('Forecast capex'!$AB$9:$AB$1940,'Forecast capex'!$C$9:$C$1940,$B313,'Forecast capex'!$AD$9:$AD$1940,$B$304,'Forecast capex'!$K$9:$K$1940,N$11,'Forecast capex'!$L$9:$L$1940,$D$12)+'Historical capex'!N109</f>
        <v>0</v>
      </c>
      <c r="O313" s="238">
        <f>SUMIFS('Forecast capex'!$AB$9:$AB$1940,'Forecast capex'!$C$9:$C$1940,$B313,'Forecast capex'!$AD$9:$AD$1940,$B$304,'Forecast capex'!$K$9:$K$1940,O$11,'Forecast capex'!$L$9:$L$1940,$D$12)+'Historical capex'!O109</f>
        <v>0</v>
      </c>
      <c r="P313" s="238">
        <f>SUMIFS('Forecast capex'!$AB$9:$AB$1940,'Forecast capex'!$C$9:$C$1940,$B313,'Forecast capex'!$AD$9:$AD$1940,$B$304,'Forecast capex'!$K$9:$K$1940,P$11,'Forecast capex'!$L$9:$L$1940,$D$12)+'Historical capex'!P109</f>
        <v>0</v>
      </c>
      <c r="Q313" s="238">
        <f>SUMIFS('Forecast capex'!$AB$9:$AB$1940,'Forecast capex'!$C$9:$C$1940,$B313,'Forecast capex'!$AD$9:$AD$1940,$B$304,'Forecast capex'!$K$9:$K$1940,Q$11,'Forecast capex'!$L$9:$L$1940,$D$12)+'Historical capex'!Q109</f>
        <v>0</v>
      </c>
      <c r="R313" s="238">
        <f>SUMIFS('Forecast capex'!$AB$9:$AB$1940,'Forecast capex'!$C$9:$C$1940,$B313,'Forecast capex'!$AD$9:$AD$1940,$B$304,'Forecast capex'!$K$9:$K$1940,R$11,'Forecast capex'!$L$9:$L$1940,$D$12)+'Historical capex'!R109</f>
        <v>0</v>
      </c>
      <c r="S313" s="238">
        <f>SUMIFS('Forecast capex'!$AB$9:$AB$1940,'Forecast capex'!$C$9:$C$1940,$B313,'Forecast capex'!$AD$9:$AD$1940,$B$304,'Forecast capex'!$K$9:$K$1940,S$11,'Forecast capex'!$L$9:$L$1940,$D$12)+'Historical capex'!S109</f>
        <v>0</v>
      </c>
    </row>
    <row r="314" spans="2:19" outlineLevel="1" x14ac:dyDescent="0.2">
      <c r="B314" s="267" t="s">
        <v>291</v>
      </c>
      <c r="C314" s="280" t="s">
        <v>250</v>
      </c>
      <c r="D314" s="229"/>
      <c r="E314" s="229"/>
      <c r="M314" s="238">
        <f>SUMIFS('Forecast capex'!$AB$9:$AB$1940,'Forecast capex'!$C$9:$C$1940,$B314,'Forecast capex'!$AD$9:$AD$1940,$B$304,'Forecast capex'!$K$9:$K$1940,M$11,'Forecast capex'!$L$9:$L$1940,$D$12)+'Historical capex'!M110</f>
        <v>0</v>
      </c>
      <c r="N314" s="238">
        <f>SUMIFS('Forecast capex'!$AB$9:$AB$1940,'Forecast capex'!$C$9:$C$1940,$B314,'Forecast capex'!$AD$9:$AD$1940,$B$304,'Forecast capex'!$K$9:$K$1940,N$11,'Forecast capex'!$L$9:$L$1940,$D$12)+'Historical capex'!N110</f>
        <v>0</v>
      </c>
      <c r="O314" s="238">
        <f>SUMIFS('Forecast capex'!$AB$9:$AB$1940,'Forecast capex'!$C$9:$C$1940,$B314,'Forecast capex'!$AD$9:$AD$1940,$B$304,'Forecast capex'!$K$9:$K$1940,O$11,'Forecast capex'!$L$9:$L$1940,$D$12)+'Historical capex'!O110</f>
        <v>0</v>
      </c>
      <c r="P314" s="238">
        <f>SUMIFS('Forecast capex'!$AB$9:$AB$1940,'Forecast capex'!$C$9:$C$1940,$B314,'Forecast capex'!$AD$9:$AD$1940,$B$304,'Forecast capex'!$K$9:$K$1940,P$11,'Forecast capex'!$L$9:$L$1940,$D$12)+'Historical capex'!P110</f>
        <v>0</v>
      </c>
      <c r="Q314" s="238">
        <f>SUMIFS('Forecast capex'!$AB$9:$AB$1940,'Forecast capex'!$C$9:$C$1940,$B314,'Forecast capex'!$AD$9:$AD$1940,$B$304,'Forecast capex'!$K$9:$K$1940,Q$11,'Forecast capex'!$L$9:$L$1940,$D$12)+'Historical capex'!Q110</f>
        <v>41012.027336569961</v>
      </c>
      <c r="R314" s="238">
        <f>SUMIFS('Forecast capex'!$AB$9:$AB$1940,'Forecast capex'!$C$9:$C$1940,$B314,'Forecast capex'!$AD$9:$AD$1940,$B$304,'Forecast capex'!$K$9:$K$1940,R$11,'Forecast capex'!$L$9:$L$1940,$D$12)+'Historical capex'!R110</f>
        <v>0</v>
      </c>
      <c r="S314" s="238">
        <f>SUMIFS('Forecast capex'!$AB$9:$AB$1940,'Forecast capex'!$C$9:$C$1940,$B314,'Forecast capex'!$AD$9:$AD$1940,$B$304,'Forecast capex'!$K$9:$K$1940,S$11,'Forecast capex'!$L$9:$L$1940,$D$12)+'Historical capex'!S110</f>
        <v>0</v>
      </c>
    </row>
    <row r="315" spans="2:19" outlineLevel="1" x14ac:dyDescent="0.2">
      <c r="B315" s="267" t="s">
        <v>292</v>
      </c>
      <c r="C315" s="280" t="s">
        <v>250</v>
      </c>
      <c r="D315" s="229"/>
      <c r="E315" s="229"/>
      <c r="M315" s="238">
        <f>SUMIFS('Forecast capex'!$AB$9:$AB$1940,'Forecast capex'!$C$9:$C$1940,$B315,'Forecast capex'!$AD$9:$AD$1940,$B$304,'Forecast capex'!$K$9:$K$1940,M$11,'Forecast capex'!$L$9:$L$1940,$D$12)+'Historical capex'!M111</f>
        <v>0</v>
      </c>
      <c r="N315" s="238">
        <f>SUMIFS('Forecast capex'!$AB$9:$AB$1940,'Forecast capex'!$C$9:$C$1940,$B315,'Forecast capex'!$AD$9:$AD$1940,$B$304,'Forecast capex'!$K$9:$K$1940,N$11,'Forecast capex'!$L$9:$L$1940,$D$12)+'Historical capex'!N111</f>
        <v>0</v>
      </c>
      <c r="O315" s="238">
        <f>SUMIFS('Forecast capex'!$AB$9:$AB$1940,'Forecast capex'!$C$9:$C$1940,$B315,'Forecast capex'!$AD$9:$AD$1940,$B$304,'Forecast capex'!$K$9:$K$1940,O$11,'Forecast capex'!$L$9:$L$1940,$D$12)+'Historical capex'!O111</f>
        <v>0</v>
      </c>
      <c r="P315" s="238">
        <f>SUMIFS('Forecast capex'!$AB$9:$AB$1940,'Forecast capex'!$C$9:$C$1940,$B315,'Forecast capex'!$AD$9:$AD$1940,$B$304,'Forecast capex'!$K$9:$K$1940,P$11,'Forecast capex'!$L$9:$L$1940,$D$12)+'Historical capex'!P111</f>
        <v>0</v>
      </c>
      <c r="Q315" s="238">
        <f>SUMIFS('Forecast capex'!$AB$9:$AB$1940,'Forecast capex'!$C$9:$C$1940,$B315,'Forecast capex'!$AD$9:$AD$1940,$B$304,'Forecast capex'!$K$9:$K$1940,Q$11,'Forecast capex'!$L$9:$L$1940,$D$12)+'Historical capex'!Q111</f>
        <v>0</v>
      </c>
      <c r="R315" s="238">
        <f>SUMIFS('Forecast capex'!$AB$9:$AB$1940,'Forecast capex'!$C$9:$C$1940,$B315,'Forecast capex'!$AD$9:$AD$1940,$B$304,'Forecast capex'!$K$9:$K$1940,R$11,'Forecast capex'!$L$9:$L$1940,$D$12)+'Historical capex'!R111</f>
        <v>0</v>
      </c>
      <c r="S315" s="238">
        <f>SUMIFS('Forecast capex'!$AB$9:$AB$1940,'Forecast capex'!$C$9:$C$1940,$B315,'Forecast capex'!$AD$9:$AD$1940,$B$304,'Forecast capex'!$K$9:$K$1940,S$11,'Forecast capex'!$L$9:$L$1940,$D$12)+'Historical capex'!S111</f>
        <v>0</v>
      </c>
    </row>
    <row r="316" spans="2:19" outlineLevel="1" x14ac:dyDescent="0.2">
      <c r="B316" s="288" t="s">
        <v>49</v>
      </c>
      <c r="C316" s="337" t="s">
        <v>250</v>
      </c>
      <c r="D316" s="288"/>
      <c r="E316" s="288"/>
      <c r="F316" s="243"/>
      <c r="G316" s="243"/>
      <c r="H316" s="243"/>
      <c r="I316" s="335"/>
      <c r="J316" s="243"/>
      <c r="K316" s="243"/>
      <c r="M316" s="235">
        <f t="shared" ref="M316:S316" si="92">SUM(M307:M315)</f>
        <v>0</v>
      </c>
      <c r="N316" s="235">
        <f t="shared" si="92"/>
        <v>3414185.1403821865</v>
      </c>
      <c r="O316" s="235">
        <f t="shared" si="92"/>
        <v>0</v>
      </c>
      <c r="P316" s="235">
        <f t="shared" si="92"/>
        <v>0</v>
      </c>
      <c r="Q316" s="235">
        <f t="shared" si="92"/>
        <v>2304065.5546220974</v>
      </c>
      <c r="R316" s="235">
        <f t="shared" si="92"/>
        <v>0</v>
      </c>
      <c r="S316" s="235">
        <f t="shared" si="92"/>
        <v>0</v>
      </c>
    </row>
    <row r="317" spans="2:19" outlineLevel="1" x14ac:dyDescent="0.2">
      <c r="B317" s="229"/>
      <c r="C317" s="338"/>
      <c r="D317" s="229"/>
      <c r="E317" s="229"/>
    </row>
    <row r="318" spans="2:19" outlineLevel="1" x14ac:dyDescent="0.2">
      <c r="B318" s="242" t="s">
        <v>456</v>
      </c>
      <c r="C318" s="280" t="s">
        <v>58</v>
      </c>
      <c r="D318" s="297">
        <f>SUM(H318:S318)</f>
        <v>0</v>
      </c>
      <c r="E318" s="298"/>
      <c r="M318" s="228">
        <f>IF(ABS(M316-(SUMIFS('Forecast capex'!$AB$9:$AB$1940,'Forecast capex'!$AD$9:$AD$1940,$B$94,'Forecast capex'!$K$9:$K$1940,M$11,'Forecast capex'!$L$9:$L$1940,$D$12)+'Historical capex'!M112))&lt;0.001,0,1)</f>
        <v>0</v>
      </c>
      <c r="N318" s="228">
        <f>IF(ABS(N316-(SUMIFS('Forecast capex'!$AB$9:$AB$1940,'Forecast capex'!$AD$9:$AD$1940,$B$94,'Forecast capex'!$K$9:$K$1940,N$11,'Forecast capex'!$L$9:$L$1940,$D$12)+'Historical capex'!N112))&lt;0.001,0,1)</f>
        <v>0</v>
      </c>
      <c r="O318" s="228">
        <f>IF(ABS(O316-(SUMIFS('Forecast capex'!$AB$9:$AB$1940,'Forecast capex'!$AD$9:$AD$1940,$B$94,'Forecast capex'!$K$9:$K$1940,O$11,'Forecast capex'!$L$9:$L$1940,$D$12)+'Historical capex'!O112))&lt;0.001,0,1)</f>
        <v>0</v>
      </c>
      <c r="P318" s="228">
        <f>IF(ABS(P316-(SUMIFS('Forecast capex'!$AB$9:$AB$1940,'Forecast capex'!$AD$9:$AD$1940,$B$94,'Forecast capex'!$K$9:$K$1940,P$11,'Forecast capex'!$L$9:$L$1940,$D$12)+'Historical capex'!P112))&lt;0.001,0,1)</f>
        <v>0</v>
      </c>
      <c r="Q318" s="228">
        <f>IF(ABS(Q316-(SUMIFS('Forecast capex'!$AB$9:$AB$1940,'Forecast capex'!$AD$9:$AD$1940,$B$94,'Forecast capex'!$K$9:$K$1940,Q$11,'Forecast capex'!$L$9:$L$1940,$D$12)+'Historical capex'!Q112))&lt;0.001,0,1)</f>
        <v>0</v>
      </c>
      <c r="R318" s="228">
        <f>IF(ABS(R316-(SUMIFS('Forecast capex'!$AB$9:$AB$1940,'Forecast capex'!$AD$9:$AD$1940,$B$94,'Forecast capex'!$K$9:$K$1940,R$11,'Forecast capex'!$L$9:$L$1940,$D$12)+'Historical capex'!R112))&lt;0.001,0,1)</f>
        <v>0</v>
      </c>
      <c r="S318" s="228">
        <f>IF(ABS(S316-(SUMIFS('Forecast capex'!$AB$9:$AB$1940,'Forecast capex'!$AD$9:$AD$1940,$B$94,'Forecast capex'!$K$9:$K$1940,S$11,'Forecast capex'!$L$9:$L$1940,$D$12)+'Historical capex'!S112))&lt;0.001,0,1)</f>
        <v>0</v>
      </c>
    </row>
    <row r="319" spans="2:19" outlineLevel="1" x14ac:dyDescent="0.2">
      <c r="B319" s="229"/>
      <c r="C319" s="338"/>
      <c r="D319" s="229"/>
      <c r="E319" s="229"/>
    </row>
    <row r="320" spans="2:19" outlineLevel="1" x14ac:dyDescent="0.2">
      <c r="B320" s="287" t="s">
        <v>100</v>
      </c>
      <c r="C320" s="314"/>
      <c r="D320" s="347"/>
      <c r="E320" s="314"/>
      <c r="F320" s="242"/>
      <c r="G320" s="302"/>
      <c r="H320" s="302"/>
      <c r="I320" s="302"/>
      <c r="J320" s="302"/>
      <c r="K320" s="242"/>
      <c r="M320" s="242"/>
      <c r="N320" s="242"/>
      <c r="O320" s="242"/>
      <c r="P320" s="242"/>
      <c r="Q320" s="242"/>
      <c r="R320" s="242"/>
      <c r="S320" s="242"/>
    </row>
    <row r="321" spans="2:21" outlineLevel="1" x14ac:dyDescent="0.2">
      <c r="B321" s="229"/>
      <c r="C321" s="338"/>
      <c r="D321" s="229"/>
      <c r="E321" s="229"/>
      <c r="K321" s="289"/>
      <c r="M321" s="289"/>
      <c r="N321" s="289"/>
      <c r="O321" s="289"/>
      <c r="P321" s="289"/>
      <c r="Q321" s="289"/>
      <c r="R321" s="289"/>
      <c r="S321" s="289"/>
    </row>
    <row r="322" spans="2:21" outlineLevel="1" x14ac:dyDescent="0.2">
      <c r="B322" s="288" t="s">
        <v>298</v>
      </c>
      <c r="C322" s="338"/>
      <c r="D322" s="229"/>
      <c r="E322" s="229"/>
      <c r="M322" s="229"/>
      <c r="N322" s="229"/>
      <c r="O322" s="229"/>
      <c r="P322" s="229"/>
      <c r="Q322" s="229"/>
      <c r="R322" s="229"/>
      <c r="S322" s="229"/>
    </row>
    <row r="323" spans="2:21" outlineLevel="1" x14ac:dyDescent="0.2">
      <c r="B323" s="267" t="s">
        <v>284</v>
      </c>
      <c r="C323" s="280" t="s">
        <v>250</v>
      </c>
      <c r="D323" s="229"/>
      <c r="E323" s="229"/>
      <c r="M323" s="238">
        <f>SUMIFS('Forecast capex'!$AB$9:$AB$1940,'Forecast capex'!$C$9:$C$1940,$B323,'Forecast capex'!$AD$9:$AD$1940,$B$320,'Forecast capex'!$K$9:$K$1940,M$11,'Forecast capex'!$L$9:$L$1940,$D$12)+'Historical capex'!M117</f>
        <v>130258.37199999997</v>
      </c>
      <c r="N323" s="238">
        <f>SUMIFS('Forecast capex'!$AB$9:$AB$1940,'Forecast capex'!$C$9:$C$1940,$B323,'Forecast capex'!$AD$9:$AD$1940,$B$320,'Forecast capex'!$K$9:$K$1940,N$11,'Forecast capex'!$L$9:$L$1940,$D$12)+'Historical capex'!N117</f>
        <v>0</v>
      </c>
      <c r="O323" s="238">
        <f>SUMIFS('Forecast capex'!$AB$9:$AB$1940,'Forecast capex'!$C$9:$C$1940,$B323,'Forecast capex'!$AD$9:$AD$1940,$B$320,'Forecast capex'!$K$9:$K$1940,O$11,'Forecast capex'!$L$9:$L$1940,$D$12)+'Historical capex'!O117</f>
        <v>0</v>
      </c>
      <c r="P323" s="238">
        <f>SUMIFS('Forecast capex'!$AB$9:$AB$1940,'Forecast capex'!$C$9:$C$1940,$B323,'Forecast capex'!$AD$9:$AD$1940,$B$320,'Forecast capex'!$K$9:$K$1940,P$11,'Forecast capex'!$L$9:$L$1940,$D$12)+'Historical capex'!P117</f>
        <v>0</v>
      </c>
      <c r="Q323" s="238">
        <f>SUMIFS('Forecast capex'!$AB$9:$AB$1940,'Forecast capex'!$C$9:$C$1940,$B323,'Forecast capex'!$AD$9:$AD$1940,$B$320,'Forecast capex'!$K$9:$K$1940,Q$11,'Forecast capex'!$L$9:$L$1940,$D$12)+'Historical capex'!Q117</f>
        <v>0</v>
      </c>
      <c r="R323" s="238">
        <f>SUMIFS('Forecast capex'!$AB$9:$AB$1940,'Forecast capex'!$C$9:$C$1940,$B323,'Forecast capex'!$AD$9:$AD$1940,$B$320,'Forecast capex'!$K$9:$K$1940,R$11,'Forecast capex'!$L$9:$L$1940,$D$12)+'Historical capex'!R117</f>
        <v>0</v>
      </c>
      <c r="S323" s="238">
        <f>SUMIFS('Forecast capex'!$AB$9:$AB$1940,'Forecast capex'!$C$9:$C$1940,$B323,'Forecast capex'!$AD$9:$AD$1940,$B$320,'Forecast capex'!$K$9:$K$1940,S$11,'Forecast capex'!$L$9:$L$1940,$D$12)+'Historical capex'!S117</f>
        <v>0</v>
      </c>
    </row>
    <row r="324" spans="2:21" outlineLevel="1" x14ac:dyDescent="0.2">
      <c r="B324" s="267" t="s">
        <v>285</v>
      </c>
      <c r="C324" s="280" t="s">
        <v>250</v>
      </c>
      <c r="D324" s="229"/>
      <c r="E324" s="229"/>
      <c r="M324" s="238">
        <f>SUMIFS('Forecast capex'!$AB$9:$AB$1940,'Forecast capex'!$C$9:$C$1940,$B324,'Forecast capex'!$AD$9:$AD$1940,$B$320,'Forecast capex'!$K$9:$K$1940,M$11,'Forecast capex'!$L$9:$L$1940,$D$12)+'Historical capex'!M118</f>
        <v>0</v>
      </c>
      <c r="N324" s="238">
        <f>SUMIFS('Forecast capex'!$AB$9:$AB$1940,'Forecast capex'!$C$9:$C$1940,$B324,'Forecast capex'!$AD$9:$AD$1940,$B$320,'Forecast capex'!$K$9:$K$1940,N$11,'Forecast capex'!$L$9:$L$1940,$D$12)+'Historical capex'!N118</f>
        <v>6268902.5716058388</v>
      </c>
      <c r="O324" s="238">
        <f>SUMIFS('Forecast capex'!$AB$9:$AB$1940,'Forecast capex'!$C$9:$C$1940,$B324,'Forecast capex'!$AD$9:$AD$1940,$B$320,'Forecast capex'!$K$9:$K$1940,O$11,'Forecast capex'!$L$9:$L$1940,$D$12)+'Historical capex'!O118</f>
        <v>55490.000687451356</v>
      </c>
      <c r="P324" s="238">
        <f>SUMIFS('Forecast capex'!$AB$9:$AB$1940,'Forecast capex'!$C$9:$C$1940,$B324,'Forecast capex'!$AD$9:$AD$1940,$B$320,'Forecast capex'!$K$9:$K$1940,P$11,'Forecast capex'!$L$9:$L$1940,$D$12)+'Historical capex'!P118</f>
        <v>0</v>
      </c>
      <c r="Q324" s="238">
        <f>SUMIFS('Forecast capex'!$AB$9:$AB$1940,'Forecast capex'!$C$9:$C$1940,$B324,'Forecast capex'!$AD$9:$AD$1940,$B$320,'Forecast capex'!$K$9:$K$1940,Q$11,'Forecast capex'!$L$9:$L$1940,$D$12)+'Historical capex'!Q118</f>
        <v>0</v>
      </c>
      <c r="R324" s="238">
        <f>SUMIFS('Forecast capex'!$AB$9:$AB$1940,'Forecast capex'!$C$9:$C$1940,$B324,'Forecast capex'!$AD$9:$AD$1940,$B$320,'Forecast capex'!$K$9:$K$1940,R$11,'Forecast capex'!$L$9:$L$1940,$D$12)+'Historical capex'!R118</f>
        <v>65760.439573482174</v>
      </c>
      <c r="S324" s="238">
        <f>SUMIFS('Forecast capex'!$AB$9:$AB$1940,'Forecast capex'!$C$9:$C$1940,$B324,'Forecast capex'!$AD$9:$AD$1940,$B$320,'Forecast capex'!$K$9:$K$1940,S$11,'Forecast capex'!$L$9:$L$1940,$D$12)+'Historical capex'!S118</f>
        <v>3241846.6502270056</v>
      </c>
    </row>
    <row r="325" spans="2:21" outlineLevel="1" x14ac:dyDescent="0.2">
      <c r="B325" s="267" t="s">
        <v>286</v>
      </c>
      <c r="C325" s="280" t="s">
        <v>250</v>
      </c>
      <c r="D325" s="229"/>
      <c r="E325" s="229"/>
      <c r="M325" s="238">
        <f>SUMIFS('Forecast capex'!$AB$9:$AB$1940,'Forecast capex'!$C$9:$C$1940,$B325,'Forecast capex'!$AD$9:$AD$1940,$B$320,'Forecast capex'!$K$9:$K$1940,M$11,'Forecast capex'!$L$9:$L$1940,$D$12)+'Historical capex'!M119</f>
        <v>0</v>
      </c>
      <c r="N325" s="238">
        <f>SUMIFS('Forecast capex'!$AB$9:$AB$1940,'Forecast capex'!$C$9:$C$1940,$B325,'Forecast capex'!$AD$9:$AD$1940,$B$320,'Forecast capex'!$K$9:$K$1940,N$11,'Forecast capex'!$L$9:$L$1940,$D$12)+'Historical capex'!N119</f>
        <v>0</v>
      </c>
      <c r="O325" s="238">
        <f>SUMIFS('Forecast capex'!$AB$9:$AB$1940,'Forecast capex'!$C$9:$C$1940,$B325,'Forecast capex'!$AD$9:$AD$1940,$B$320,'Forecast capex'!$K$9:$K$1940,O$11,'Forecast capex'!$L$9:$L$1940,$D$12)+'Historical capex'!O119</f>
        <v>3803496.2683854471</v>
      </c>
      <c r="P325" s="238">
        <f>SUMIFS('Forecast capex'!$AB$9:$AB$1940,'Forecast capex'!$C$9:$C$1940,$B325,'Forecast capex'!$AD$9:$AD$1940,$B$320,'Forecast capex'!$K$9:$K$1940,P$11,'Forecast capex'!$L$9:$L$1940,$D$12)+'Historical capex'!P119</f>
        <v>1332545.3326392709</v>
      </c>
      <c r="Q325" s="238">
        <f>SUMIFS('Forecast capex'!$AB$9:$AB$1940,'Forecast capex'!$C$9:$C$1940,$B325,'Forecast capex'!$AD$9:$AD$1940,$B$320,'Forecast capex'!$K$9:$K$1940,Q$11,'Forecast capex'!$L$9:$L$1940,$D$12)+'Historical capex'!Q119</f>
        <v>2548229.8227417856</v>
      </c>
      <c r="R325" s="238">
        <f>SUMIFS('Forecast capex'!$AB$9:$AB$1940,'Forecast capex'!$C$9:$C$1940,$B325,'Forecast capex'!$AD$9:$AD$1940,$B$320,'Forecast capex'!$K$9:$K$1940,R$11,'Forecast capex'!$L$9:$L$1940,$D$12)+'Historical capex'!R119</f>
        <v>3731281.5999714662</v>
      </c>
      <c r="S325" s="238">
        <f>SUMIFS('Forecast capex'!$AB$9:$AB$1940,'Forecast capex'!$C$9:$C$1940,$B325,'Forecast capex'!$AD$9:$AD$1940,$B$320,'Forecast capex'!$K$9:$K$1940,S$11,'Forecast capex'!$L$9:$L$1940,$D$12)+'Historical capex'!S119</f>
        <v>1204387.9754755981</v>
      </c>
    </row>
    <row r="326" spans="2:21" outlineLevel="1" x14ac:dyDescent="0.2">
      <c r="B326" s="267" t="s">
        <v>287</v>
      </c>
      <c r="C326" s="280" t="s">
        <v>250</v>
      </c>
      <c r="D326" s="229"/>
      <c r="E326" s="229"/>
      <c r="M326" s="238">
        <f>SUMIFS('Forecast capex'!$AB$9:$AB$1940,'Forecast capex'!$C$9:$C$1940,$B326,'Forecast capex'!$AD$9:$AD$1940,$B$320,'Forecast capex'!$K$9:$K$1940,M$11,'Forecast capex'!$L$9:$L$1940,$D$12)+'Historical capex'!M120</f>
        <v>3126200.9279999998</v>
      </c>
      <c r="N326" s="238">
        <f>SUMIFS('Forecast capex'!$AB$9:$AB$1940,'Forecast capex'!$C$9:$C$1940,$B326,'Forecast capex'!$AD$9:$AD$1940,$B$320,'Forecast capex'!$K$9:$K$1940,N$11,'Forecast capex'!$L$9:$L$1940,$D$12)+'Historical capex'!N120</f>
        <v>1019493.94</v>
      </c>
      <c r="O326" s="238">
        <f>SUMIFS('Forecast capex'!$AB$9:$AB$1940,'Forecast capex'!$C$9:$C$1940,$B326,'Forecast capex'!$AD$9:$AD$1940,$B$320,'Forecast capex'!$K$9:$K$1940,O$11,'Forecast capex'!$L$9:$L$1940,$D$12)+'Historical capex'!O120</f>
        <v>0</v>
      </c>
      <c r="P326" s="238">
        <f>SUMIFS('Forecast capex'!$AB$9:$AB$1940,'Forecast capex'!$C$9:$C$1940,$B326,'Forecast capex'!$AD$9:$AD$1940,$B$320,'Forecast capex'!$K$9:$K$1940,P$11,'Forecast capex'!$L$9:$L$1940,$D$12)+'Historical capex'!P120</f>
        <v>0</v>
      </c>
      <c r="Q326" s="238">
        <f>SUMIFS('Forecast capex'!$AB$9:$AB$1940,'Forecast capex'!$C$9:$C$1940,$B326,'Forecast capex'!$AD$9:$AD$1940,$B$320,'Forecast capex'!$K$9:$K$1940,Q$11,'Forecast capex'!$L$9:$L$1940,$D$12)+'Historical capex'!Q120</f>
        <v>0</v>
      </c>
      <c r="R326" s="238">
        <f>SUMIFS('Forecast capex'!$AB$9:$AB$1940,'Forecast capex'!$C$9:$C$1940,$B326,'Forecast capex'!$AD$9:$AD$1940,$B$320,'Forecast capex'!$K$9:$K$1940,R$11,'Forecast capex'!$L$9:$L$1940,$D$12)+'Historical capex'!R120</f>
        <v>0</v>
      </c>
      <c r="S326" s="238">
        <f>SUMIFS('Forecast capex'!$AB$9:$AB$1940,'Forecast capex'!$C$9:$C$1940,$B326,'Forecast capex'!$AD$9:$AD$1940,$B$320,'Forecast capex'!$K$9:$K$1940,S$11,'Forecast capex'!$L$9:$L$1940,$D$12)+'Historical capex'!S120</f>
        <v>0</v>
      </c>
    </row>
    <row r="327" spans="2:21" outlineLevel="1" x14ac:dyDescent="0.2">
      <c r="B327" s="267" t="s">
        <v>288</v>
      </c>
      <c r="C327" s="280" t="s">
        <v>250</v>
      </c>
      <c r="D327" s="229"/>
      <c r="E327" s="229"/>
      <c r="M327" s="238">
        <f>SUMIFS('Forecast capex'!$AB$9:$AB$1940,'Forecast capex'!$C$9:$C$1940,$B327,'Forecast capex'!$AD$9:$AD$1940,$B$320,'Forecast capex'!$K$9:$K$1940,M$11,'Forecast capex'!$L$9:$L$1940,$D$12)+'Historical capex'!M121</f>
        <v>0</v>
      </c>
      <c r="N327" s="238">
        <f>SUMIFS('Forecast capex'!$AB$9:$AB$1940,'Forecast capex'!$C$9:$C$1940,$B327,'Forecast capex'!$AD$9:$AD$1940,$B$320,'Forecast capex'!$K$9:$K$1940,N$11,'Forecast capex'!$L$9:$L$1940,$D$12)+'Historical capex'!N121</f>
        <v>0</v>
      </c>
      <c r="O327" s="238">
        <f>SUMIFS('Forecast capex'!$AB$9:$AB$1940,'Forecast capex'!$C$9:$C$1940,$B327,'Forecast capex'!$AD$9:$AD$1940,$B$320,'Forecast capex'!$K$9:$K$1940,O$11,'Forecast capex'!$L$9:$L$1940,$D$12)+'Historical capex'!O121</f>
        <v>61501.732963680552</v>
      </c>
      <c r="P327" s="238">
        <f>SUMIFS('Forecast capex'!$AB$9:$AB$1940,'Forecast capex'!$C$9:$C$1940,$B327,'Forecast capex'!$AD$9:$AD$1940,$B$320,'Forecast capex'!$K$9:$K$1940,P$11,'Forecast capex'!$L$9:$L$1940,$D$12)+'Historical capex'!P121</f>
        <v>0</v>
      </c>
      <c r="Q327" s="238">
        <f>SUMIFS('Forecast capex'!$AB$9:$AB$1940,'Forecast capex'!$C$9:$C$1940,$B327,'Forecast capex'!$AD$9:$AD$1940,$B$320,'Forecast capex'!$K$9:$K$1940,Q$11,'Forecast capex'!$L$9:$L$1940,$D$12)+'Historical capex'!Q121</f>
        <v>57905.444045251585</v>
      </c>
      <c r="R327" s="238">
        <f>SUMIFS('Forecast capex'!$AB$9:$AB$1940,'Forecast capex'!$C$9:$C$1940,$B327,'Forecast capex'!$AD$9:$AD$1940,$B$320,'Forecast capex'!$K$9:$K$1940,R$11,'Forecast capex'!$L$9:$L$1940,$D$12)+'Historical capex'!R121</f>
        <v>116762.86543959503</v>
      </c>
      <c r="S327" s="238">
        <f>SUMIFS('Forecast capex'!$AB$9:$AB$1940,'Forecast capex'!$C$9:$C$1940,$B327,'Forecast capex'!$AD$9:$AD$1940,$B$320,'Forecast capex'!$K$9:$K$1940,S$11,'Forecast capex'!$L$9:$L$1940,$D$12)+'Historical capex'!S121</f>
        <v>24364.528095140435</v>
      </c>
    </row>
    <row r="328" spans="2:21" outlineLevel="1" x14ac:dyDescent="0.2">
      <c r="B328" s="267" t="s">
        <v>289</v>
      </c>
      <c r="C328" s="280" t="s">
        <v>250</v>
      </c>
      <c r="D328" s="229"/>
      <c r="E328" s="229"/>
      <c r="M328" s="238">
        <f>SUMIFS('Forecast capex'!$AB$9:$AB$1940,'Forecast capex'!$C$9:$C$1940,$B328,'Forecast capex'!$AD$9:$AD$1940,$B$320,'Forecast capex'!$K$9:$K$1940,M$11,'Forecast capex'!$L$9:$L$1940,$D$12)+'Historical capex'!M122</f>
        <v>0</v>
      </c>
      <c r="N328" s="238">
        <f>SUMIFS('Forecast capex'!$AB$9:$AB$1940,'Forecast capex'!$C$9:$C$1940,$B328,'Forecast capex'!$AD$9:$AD$1940,$B$320,'Forecast capex'!$K$9:$K$1940,N$11,'Forecast capex'!$L$9:$L$1940,$D$12)+'Historical capex'!N122</f>
        <v>0</v>
      </c>
      <c r="O328" s="238">
        <f>SUMIFS('Forecast capex'!$AB$9:$AB$1940,'Forecast capex'!$C$9:$C$1940,$B328,'Forecast capex'!$AD$9:$AD$1940,$B$320,'Forecast capex'!$K$9:$K$1940,O$11,'Forecast capex'!$L$9:$L$1940,$D$12)+'Historical capex'!O122</f>
        <v>45542.446404253002</v>
      </c>
      <c r="P328" s="238">
        <f>SUMIFS('Forecast capex'!$AB$9:$AB$1940,'Forecast capex'!$C$9:$C$1940,$B328,'Forecast capex'!$AD$9:$AD$1940,$B$320,'Forecast capex'!$K$9:$K$1940,P$11,'Forecast capex'!$L$9:$L$1940,$D$12)+'Historical capex'!P122</f>
        <v>0</v>
      </c>
      <c r="Q328" s="238">
        <f>SUMIFS('Forecast capex'!$AB$9:$AB$1940,'Forecast capex'!$C$9:$C$1940,$B328,'Forecast capex'!$AD$9:$AD$1940,$B$320,'Forecast capex'!$K$9:$K$1940,Q$11,'Forecast capex'!$L$9:$L$1940,$D$12)+'Historical capex'!Q122</f>
        <v>27727.496227613694</v>
      </c>
      <c r="R328" s="238">
        <f>SUMIFS('Forecast capex'!$AB$9:$AB$1940,'Forecast capex'!$C$9:$C$1940,$B328,'Forecast capex'!$AD$9:$AD$1940,$B$320,'Forecast capex'!$K$9:$K$1940,R$11,'Forecast capex'!$L$9:$L$1940,$D$12)+'Historical capex'!R122</f>
        <v>70325.27225321575</v>
      </c>
      <c r="S328" s="238">
        <f>SUMIFS('Forecast capex'!$AB$9:$AB$1940,'Forecast capex'!$C$9:$C$1940,$B328,'Forecast capex'!$AD$9:$AD$1940,$B$320,'Forecast capex'!$K$9:$K$1940,S$11,'Forecast capex'!$L$9:$L$1940,$D$12)+'Historical capex'!S122</f>
        <v>14324.003241691553</v>
      </c>
    </row>
    <row r="329" spans="2:21" outlineLevel="1" x14ac:dyDescent="0.2">
      <c r="B329" s="267" t="s">
        <v>290</v>
      </c>
      <c r="C329" s="280" t="s">
        <v>250</v>
      </c>
      <c r="D329" s="229"/>
      <c r="E329" s="229"/>
      <c r="M329" s="238">
        <f>SUMIFS('Forecast capex'!$AB$9:$AB$1940,'Forecast capex'!$C$9:$C$1940,$B329,'Forecast capex'!$AD$9:$AD$1940,$B$320,'Forecast capex'!$K$9:$K$1940,M$11,'Forecast capex'!$L$9:$L$1940,$D$12)+'Historical capex'!M123</f>
        <v>0</v>
      </c>
      <c r="N329" s="238">
        <f>SUMIFS('Forecast capex'!$AB$9:$AB$1940,'Forecast capex'!$C$9:$C$1940,$B329,'Forecast capex'!$AD$9:$AD$1940,$B$320,'Forecast capex'!$K$9:$K$1940,N$11,'Forecast capex'!$L$9:$L$1940,$D$12)+'Historical capex'!N123</f>
        <v>0</v>
      </c>
      <c r="O329" s="238">
        <f>SUMIFS('Forecast capex'!$AB$9:$AB$1940,'Forecast capex'!$C$9:$C$1940,$B329,'Forecast capex'!$AD$9:$AD$1940,$B$320,'Forecast capex'!$K$9:$K$1940,O$11,'Forecast capex'!$L$9:$L$1940,$D$12)+'Historical capex'!O123</f>
        <v>71185.434229875595</v>
      </c>
      <c r="P329" s="238">
        <f>SUMIFS('Forecast capex'!$AB$9:$AB$1940,'Forecast capex'!$C$9:$C$1940,$B329,'Forecast capex'!$AD$9:$AD$1940,$B$320,'Forecast capex'!$K$9:$K$1940,P$11,'Forecast capex'!$L$9:$L$1940,$D$12)+'Historical capex'!P123</f>
        <v>0</v>
      </c>
      <c r="Q329" s="238">
        <f>SUMIFS('Forecast capex'!$AB$9:$AB$1940,'Forecast capex'!$C$9:$C$1940,$B329,'Forecast capex'!$AD$9:$AD$1940,$B$320,'Forecast capex'!$K$9:$K$1940,Q$11,'Forecast capex'!$L$9:$L$1940,$D$12)+'Historical capex'!Q123</f>
        <v>46414.540897331666</v>
      </c>
      <c r="R329" s="238">
        <f>SUMIFS('Forecast capex'!$AB$9:$AB$1940,'Forecast capex'!$C$9:$C$1940,$B329,'Forecast capex'!$AD$9:$AD$1940,$B$320,'Forecast capex'!$K$9:$K$1940,R$11,'Forecast capex'!$L$9:$L$1940,$D$12)+'Historical capex'!R123</f>
        <v>70866.147094048254</v>
      </c>
      <c r="S329" s="238">
        <f>SUMIFS('Forecast capex'!$AB$9:$AB$1940,'Forecast capex'!$C$9:$C$1940,$B329,'Forecast capex'!$AD$9:$AD$1940,$B$320,'Forecast capex'!$K$9:$K$1940,S$11,'Forecast capex'!$L$9:$L$1940,$D$12)+'Historical capex'!S123</f>
        <v>0</v>
      </c>
    </row>
    <row r="330" spans="2:21" outlineLevel="1" x14ac:dyDescent="0.2">
      <c r="B330" s="267" t="s">
        <v>291</v>
      </c>
      <c r="C330" s="280" t="s">
        <v>250</v>
      </c>
      <c r="D330" s="229"/>
      <c r="E330" s="229"/>
      <c r="M330" s="238">
        <f>SUMIFS('Forecast capex'!$AB$9:$AB$1940,'Forecast capex'!$C$9:$C$1940,$B330,'Forecast capex'!$AD$9:$AD$1940,$B$320,'Forecast capex'!$K$9:$K$1940,M$11,'Forecast capex'!$L$9:$L$1940,$D$12)+'Historical capex'!M124</f>
        <v>7836477.5899999999</v>
      </c>
      <c r="N330" s="238">
        <f>SUMIFS('Forecast capex'!$AB$9:$AB$1940,'Forecast capex'!$C$9:$C$1940,$B330,'Forecast capex'!$AD$9:$AD$1940,$B$320,'Forecast capex'!$K$9:$K$1940,N$11,'Forecast capex'!$L$9:$L$1940,$D$12)+'Historical capex'!N124</f>
        <v>0</v>
      </c>
      <c r="O330" s="238">
        <f>SUMIFS('Forecast capex'!$AB$9:$AB$1940,'Forecast capex'!$C$9:$C$1940,$B330,'Forecast capex'!$AD$9:$AD$1940,$B$320,'Forecast capex'!$K$9:$K$1940,O$11,'Forecast capex'!$L$9:$L$1940,$D$12)+'Historical capex'!O124</f>
        <v>92597.012377270978</v>
      </c>
      <c r="P330" s="238">
        <f>SUMIFS('Forecast capex'!$AB$9:$AB$1940,'Forecast capex'!$C$9:$C$1940,$B330,'Forecast capex'!$AD$9:$AD$1940,$B$320,'Forecast capex'!$K$9:$K$1940,P$11,'Forecast capex'!$L$9:$L$1940,$D$12)+'Historical capex'!P124</f>
        <v>0</v>
      </c>
      <c r="Q330" s="238">
        <f>SUMIFS('Forecast capex'!$AB$9:$AB$1940,'Forecast capex'!$C$9:$C$1940,$B330,'Forecast capex'!$AD$9:$AD$1940,$B$320,'Forecast capex'!$K$9:$K$1940,Q$11,'Forecast capex'!$L$9:$L$1940,$D$12)+'Historical capex'!Q124</f>
        <v>91109.93849718479</v>
      </c>
      <c r="R330" s="238">
        <f>SUMIFS('Forecast capex'!$AB$9:$AB$1940,'Forecast capex'!$C$9:$C$1940,$B330,'Forecast capex'!$AD$9:$AD$1940,$B$320,'Forecast capex'!$K$9:$K$1940,R$11,'Forecast capex'!$L$9:$L$1940,$D$12)+'Historical capex'!R124</f>
        <v>72726.337137985058</v>
      </c>
      <c r="S330" s="238">
        <f>SUMIFS('Forecast capex'!$AB$9:$AB$1940,'Forecast capex'!$C$9:$C$1940,$B330,'Forecast capex'!$AD$9:$AD$1940,$B$320,'Forecast capex'!$K$9:$K$1940,S$11,'Forecast capex'!$L$9:$L$1940,$D$12)+'Historical capex'!S124</f>
        <v>26968.728172357914</v>
      </c>
    </row>
    <row r="331" spans="2:21" outlineLevel="1" x14ac:dyDescent="0.2">
      <c r="B331" s="267" t="s">
        <v>292</v>
      </c>
      <c r="C331" s="280" t="s">
        <v>250</v>
      </c>
      <c r="D331" s="229"/>
      <c r="E331" s="229"/>
      <c r="M331" s="238">
        <f>SUMIFS('Forecast capex'!$AB$9:$AB$1940,'Forecast capex'!$C$9:$C$1940,$B331,'Forecast capex'!$AD$9:$AD$1940,$B$320,'Forecast capex'!$K$9:$K$1940,M$11,'Forecast capex'!$L$9:$L$1940,$D$12)+'Historical capex'!M125</f>
        <v>0</v>
      </c>
      <c r="N331" s="238">
        <f>SUMIFS('Forecast capex'!$AB$9:$AB$1940,'Forecast capex'!$C$9:$C$1940,$B331,'Forecast capex'!$AD$9:$AD$1940,$B$320,'Forecast capex'!$K$9:$K$1940,N$11,'Forecast capex'!$L$9:$L$1940,$D$12)+'Historical capex'!N125</f>
        <v>0</v>
      </c>
      <c r="O331" s="238">
        <f>SUMIFS('Forecast capex'!$AB$9:$AB$1940,'Forecast capex'!$C$9:$C$1940,$B331,'Forecast capex'!$AD$9:$AD$1940,$B$320,'Forecast capex'!$K$9:$K$1940,O$11,'Forecast capex'!$L$9:$L$1940,$D$12)+'Historical capex'!O125</f>
        <v>0</v>
      </c>
      <c r="P331" s="238">
        <f>SUMIFS('Forecast capex'!$AB$9:$AB$1940,'Forecast capex'!$C$9:$C$1940,$B331,'Forecast capex'!$AD$9:$AD$1940,$B$320,'Forecast capex'!$K$9:$K$1940,P$11,'Forecast capex'!$L$9:$L$1940,$D$12)+'Historical capex'!P125</f>
        <v>0</v>
      </c>
      <c r="Q331" s="238">
        <f>SUMIFS('Forecast capex'!$AB$9:$AB$1940,'Forecast capex'!$C$9:$C$1940,$B331,'Forecast capex'!$AD$9:$AD$1940,$B$320,'Forecast capex'!$K$9:$K$1940,Q$11,'Forecast capex'!$L$9:$L$1940,$D$12)+'Historical capex'!Q125</f>
        <v>0</v>
      </c>
      <c r="R331" s="238">
        <f>SUMIFS('Forecast capex'!$AB$9:$AB$1940,'Forecast capex'!$C$9:$C$1940,$B331,'Forecast capex'!$AD$9:$AD$1940,$B$320,'Forecast capex'!$K$9:$K$1940,R$11,'Forecast capex'!$L$9:$L$1940,$D$12)+'Historical capex'!R125</f>
        <v>0</v>
      </c>
      <c r="S331" s="238">
        <f>SUMIFS('Forecast capex'!$AB$9:$AB$1940,'Forecast capex'!$C$9:$C$1940,$B331,'Forecast capex'!$AD$9:$AD$1940,$B$320,'Forecast capex'!$K$9:$K$1940,S$11,'Forecast capex'!$L$9:$L$1940,$D$12)+'Historical capex'!S125</f>
        <v>0</v>
      </c>
    </row>
    <row r="332" spans="2:21" outlineLevel="1" x14ac:dyDescent="0.2">
      <c r="B332" s="288" t="s">
        <v>49</v>
      </c>
      <c r="C332" s="337" t="s">
        <v>250</v>
      </c>
      <c r="D332" s="229"/>
      <c r="E332" s="229"/>
      <c r="M332" s="235">
        <f t="shared" ref="M332:S332" si="93">SUM(M323:M331)</f>
        <v>11092936.890000001</v>
      </c>
      <c r="N332" s="235">
        <f t="shared" si="93"/>
        <v>7288396.5116058383</v>
      </c>
      <c r="O332" s="235">
        <f t="shared" si="93"/>
        <v>4129812.895047979</v>
      </c>
      <c r="P332" s="235">
        <f t="shared" si="93"/>
        <v>1332545.3326392709</v>
      </c>
      <c r="Q332" s="235">
        <f t="shared" si="93"/>
        <v>2771387.2424091673</v>
      </c>
      <c r="R332" s="235">
        <f t="shared" si="93"/>
        <v>4127722.6614697925</v>
      </c>
      <c r="S332" s="235">
        <f t="shared" si="93"/>
        <v>4511891.8852117937</v>
      </c>
    </row>
    <row r="333" spans="2:21" outlineLevel="1" x14ac:dyDescent="0.2">
      <c r="B333" s="229"/>
      <c r="C333" s="338"/>
      <c r="D333" s="229"/>
      <c r="E333" s="229"/>
    </row>
    <row r="334" spans="2:21" outlineLevel="1" x14ac:dyDescent="0.2">
      <c r="B334" s="242" t="s">
        <v>457</v>
      </c>
      <c r="C334" s="280" t="s">
        <v>58</v>
      </c>
      <c r="D334" s="297">
        <f>SUM(H334:S334)</f>
        <v>0</v>
      </c>
      <c r="E334" s="298"/>
      <c r="M334" s="228">
        <f>IF(ABS(M332-(SUMIFS('Forecast capex'!$AB$9:$AB$1940,'Forecast capex'!$AD$9:$AD$1940,$B$112,'Forecast capex'!$K$9:$K$1940,M$11,'Forecast capex'!$L$9:$L$1940,$D$12)+'Historical capex'!M126))&lt;0.001,0,1)</f>
        <v>0</v>
      </c>
      <c r="N334" s="228">
        <f>IF(ABS(N332-(SUMIFS('Forecast capex'!$AB$9:$AB$1940,'Forecast capex'!$AD$9:$AD$1940,$B$112,'Forecast capex'!$K$9:$K$1940,N$11,'Forecast capex'!$L$9:$L$1940,$D$12)+'Historical capex'!N126))&lt;0.001,0,1)</f>
        <v>0</v>
      </c>
      <c r="O334" s="228">
        <f>IF(ABS(O332-(SUMIFS('Forecast capex'!$AB$9:$AB$1940,'Forecast capex'!$AD$9:$AD$1940,$B$112,'Forecast capex'!$K$9:$K$1940,O$11,'Forecast capex'!$L$9:$L$1940,$D$12)+'Historical capex'!O126))&lt;0.001,0,1)</f>
        <v>0</v>
      </c>
      <c r="P334" s="228">
        <f>IF(ABS(P332-(SUMIFS('Forecast capex'!$AB$9:$AB$1940,'Forecast capex'!$AD$9:$AD$1940,$B$112,'Forecast capex'!$K$9:$K$1940,P$11,'Forecast capex'!$L$9:$L$1940,$D$12)+'Historical capex'!P126))&lt;0.001,0,1)</f>
        <v>0</v>
      </c>
      <c r="Q334" s="228">
        <f>IF(ABS(Q332-(SUMIFS('Forecast capex'!$AB$9:$AB$1940,'Forecast capex'!$AD$9:$AD$1940,$B$112,'Forecast capex'!$K$9:$K$1940,Q$11,'Forecast capex'!$L$9:$L$1940,$D$12)+'Historical capex'!Q126))&lt;0.001,0,1)</f>
        <v>0</v>
      </c>
      <c r="R334" s="228">
        <f>IF(ABS(R332-(SUMIFS('Forecast capex'!$AB$9:$AB$1940,'Forecast capex'!$AD$9:$AD$1940,$B$112,'Forecast capex'!$K$9:$K$1940,R$11,'Forecast capex'!$L$9:$L$1940,$D$12)+'Historical capex'!R126))&lt;0.001,0,1)</f>
        <v>0</v>
      </c>
      <c r="S334" s="228">
        <f>IF(ABS(S332-(SUMIFS('Forecast capex'!$AB$9:$AB$1940,'Forecast capex'!$AD$9:$AD$1940,$B$112,'Forecast capex'!$K$9:$K$1940,S$11,'Forecast capex'!$L$9:$L$1940,$D$12)+'Historical capex'!S126))&lt;0.001,0,1)</f>
        <v>0</v>
      </c>
    </row>
    <row r="335" spans="2:21" x14ac:dyDescent="0.2">
      <c r="B335" s="229"/>
    </row>
    <row r="336" spans="2:21" x14ac:dyDescent="0.2">
      <c r="B336" s="283" t="s">
        <v>445</v>
      </c>
      <c r="C336" s="284" t="s">
        <v>51</v>
      </c>
      <c r="D336" s="285" t="s">
        <v>52</v>
      </c>
      <c r="E336" s="284" t="s">
        <v>53</v>
      </c>
      <c r="F336" s="242"/>
      <c r="G336" s="302"/>
      <c r="H336" s="302"/>
      <c r="I336" s="302"/>
      <c r="J336" s="302"/>
      <c r="K336" s="242"/>
      <c r="L336" s="242"/>
      <c r="M336" s="242"/>
      <c r="N336" s="242"/>
      <c r="O336" s="242"/>
      <c r="P336" s="242"/>
      <c r="Q336" s="242"/>
      <c r="R336" s="242"/>
      <c r="S336" s="242"/>
      <c r="T336" s="242"/>
      <c r="U336" s="229"/>
    </row>
    <row r="337" spans="2:21" outlineLevel="1" x14ac:dyDescent="0.2">
      <c r="B337" s="313"/>
      <c r="C337" s="314"/>
      <c r="D337" s="347"/>
      <c r="E337" s="314"/>
      <c r="F337" s="242"/>
      <c r="G337" s="302"/>
      <c r="H337" s="302"/>
      <c r="I337" s="302"/>
      <c r="J337" s="302"/>
      <c r="K337" s="242"/>
      <c r="L337" s="242"/>
      <c r="M337" s="242"/>
      <c r="N337" s="242"/>
      <c r="O337" s="242"/>
      <c r="P337" s="242"/>
      <c r="Q337" s="242"/>
      <c r="R337" s="242"/>
      <c r="S337" s="242"/>
      <c r="T337" s="242"/>
      <c r="U337" s="229"/>
    </row>
    <row r="338" spans="2:21" outlineLevel="1" x14ac:dyDescent="0.2">
      <c r="B338" s="287" t="s">
        <v>283</v>
      </c>
      <c r="C338" s="314" t="s">
        <v>51</v>
      </c>
      <c r="D338" s="347" t="s">
        <v>52</v>
      </c>
      <c r="E338" s="314" t="s">
        <v>53</v>
      </c>
      <c r="F338" s="242"/>
      <c r="G338" s="302"/>
      <c r="H338" s="302"/>
      <c r="I338" s="302"/>
      <c r="J338" s="302"/>
      <c r="K338" s="242"/>
      <c r="L338" s="242"/>
      <c r="M338" s="242"/>
      <c r="N338" s="242"/>
      <c r="O338" s="242"/>
      <c r="P338" s="242"/>
      <c r="Q338" s="242"/>
      <c r="R338" s="242"/>
      <c r="S338" s="242"/>
      <c r="T338" s="242"/>
      <c r="U338" s="229"/>
    </row>
    <row r="339" spans="2:21" outlineLevel="1" x14ac:dyDescent="0.2">
      <c r="B339" s="229"/>
      <c r="C339" s="229"/>
      <c r="D339" s="229"/>
      <c r="E339" s="229"/>
      <c r="K339" s="289"/>
      <c r="L339" s="289"/>
      <c r="M339" s="289"/>
      <c r="N339" s="289"/>
      <c r="O339" s="289"/>
      <c r="P339" s="289"/>
      <c r="Q339" s="289"/>
      <c r="R339" s="289"/>
      <c r="S339" s="289"/>
      <c r="T339" s="242"/>
    </row>
    <row r="340" spans="2:21" outlineLevel="1" x14ac:dyDescent="0.2">
      <c r="B340" s="267" t="s">
        <v>284</v>
      </c>
      <c r="C340" s="280" t="s">
        <v>250</v>
      </c>
      <c r="D340" s="267"/>
      <c r="E340" s="267"/>
      <c r="I340" s="232"/>
      <c r="M340" s="345">
        <f>SUMIFS('Forecast capex'!$S$9:$S$1940,'Forecast capex'!$C$9:$C$1940,$B340,'Forecast capex'!$K$9:$K$1940,M$11)</f>
        <v>0</v>
      </c>
      <c r="N340" s="345">
        <f>SUMIFS('Forecast capex'!$S$9:$S$1940,'Forecast capex'!$C$9:$C$1940,$B340,'Forecast capex'!$K$9:$K$1940,N$11)</f>
        <v>0</v>
      </c>
      <c r="O340" s="345">
        <f>SUMIFS('Forecast capex'!$S$9:$S$1940,'Forecast capex'!$C$9:$C$1940,$B340,'Forecast capex'!$K$9:$K$1940,O$11)</f>
        <v>0</v>
      </c>
      <c r="P340" s="345">
        <f>SUMIFS('Forecast capex'!$S$9:$S$1940,'Forecast capex'!$C$9:$C$1940,$B340,'Forecast capex'!$K$9:$K$1940,P$11)</f>
        <v>0</v>
      </c>
      <c r="Q340" s="345">
        <f>SUMIFS('Forecast capex'!$S$9:$S$1940,'Forecast capex'!$C$9:$C$1940,$B340,'Forecast capex'!$K$9:$K$1940,Q$11)</f>
        <v>0</v>
      </c>
      <c r="R340" s="345">
        <f>SUMIFS('Forecast capex'!$S$9:$S$1940,'Forecast capex'!$C$9:$C$1940,$B340,'Forecast capex'!$K$9:$K$1940,R$11)</f>
        <v>0</v>
      </c>
      <c r="S340" s="345">
        <f>SUMIFS('Forecast capex'!$S$9:$S$1940,'Forecast capex'!$C$9:$C$1940,$B340,'Forecast capex'!$K$9:$K$1940,S$11)</f>
        <v>0</v>
      </c>
      <c r="T340" s="229"/>
    </row>
    <row r="341" spans="2:21" outlineLevel="1" x14ac:dyDescent="0.2">
      <c r="B341" s="267" t="s">
        <v>285</v>
      </c>
      <c r="C341" s="280" t="s">
        <v>250</v>
      </c>
      <c r="D341" s="267"/>
      <c r="E341" s="267"/>
      <c r="I341" s="232"/>
      <c r="M341" s="345">
        <f>SUMIFS('Forecast capex'!$S$9:$S$1940,'Forecast capex'!$C$9:$C$1940,$B341,'Forecast capex'!$K$9:$K$1940,M$11)</f>
        <v>0</v>
      </c>
      <c r="N341" s="345">
        <f>SUMIFS('Forecast capex'!$S$9:$S$1940,'Forecast capex'!$C$9:$C$1940,$B341,'Forecast capex'!$K$9:$K$1940,N$11)</f>
        <v>0</v>
      </c>
      <c r="O341" s="345">
        <f>SUMIFS('Forecast capex'!$S$9:$S$1940,'Forecast capex'!$C$9:$C$1940,$B341,'Forecast capex'!$K$9:$K$1940,O$11)</f>
        <v>0</v>
      </c>
      <c r="P341" s="345">
        <f>SUMIFS('Forecast capex'!$S$9:$S$1940,'Forecast capex'!$C$9:$C$1940,$B341,'Forecast capex'!$K$9:$K$1940,P$11)</f>
        <v>0</v>
      </c>
      <c r="Q341" s="345">
        <f>SUMIFS('Forecast capex'!$S$9:$S$1940,'Forecast capex'!$C$9:$C$1940,$B341,'Forecast capex'!$K$9:$K$1940,Q$11)</f>
        <v>0</v>
      </c>
      <c r="R341" s="345">
        <f>SUMIFS('Forecast capex'!$S$9:$S$1940,'Forecast capex'!$C$9:$C$1940,$B341,'Forecast capex'!$K$9:$K$1940,R$11)</f>
        <v>0</v>
      </c>
      <c r="S341" s="345">
        <f>SUMIFS('Forecast capex'!$S$9:$S$1940,'Forecast capex'!$C$9:$C$1940,$B341,'Forecast capex'!$K$9:$K$1940,S$11)</f>
        <v>0</v>
      </c>
      <c r="T341" s="229"/>
    </row>
    <row r="342" spans="2:21" outlineLevel="1" x14ac:dyDescent="0.2">
      <c r="B342" s="267" t="s">
        <v>286</v>
      </c>
      <c r="C342" s="280" t="s">
        <v>250</v>
      </c>
      <c r="D342" s="267"/>
      <c r="E342" s="267"/>
      <c r="I342" s="232"/>
      <c r="M342" s="345">
        <f>SUMIFS('Forecast capex'!$S$9:$S$1940,'Forecast capex'!$C$9:$C$1940,$B342,'Forecast capex'!$K$9:$K$1940,M$11)</f>
        <v>0</v>
      </c>
      <c r="N342" s="345">
        <f>SUMIFS('Forecast capex'!$S$9:$S$1940,'Forecast capex'!$C$9:$C$1940,$B342,'Forecast capex'!$K$9:$K$1940,N$11)</f>
        <v>0</v>
      </c>
      <c r="O342" s="345">
        <f>SUMIFS('Forecast capex'!$S$9:$S$1940,'Forecast capex'!$C$9:$C$1940,$B342,'Forecast capex'!$K$9:$K$1940,O$11)</f>
        <v>0</v>
      </c>
      <c r="P342" s="345">
        <f>SUMIFS('Forecast capex'!$S$9:$S$1940,'Forecast capex'!$C$9:$C$1940,$B342,'Forecast capex'!$K$9:$K$1940,P$11)</f>
        <v>0</v>
      </c>
      <c r="Q342" s="345">
        <f>SUMIFS('Forecast capex'!$S$9:$S$1940,'Forecast capex'!$C$9:$C$1940,$B342,'Forecast capex'!$K$9:$K$1940,Q$11)</f>
        <v>0</v>
      </c>
      <c r="R342" s="345">
        <f>SUMIFS('Forecast capex'!$S$9:$S$1940,'Forecast capex'!$C$9:$C$1940,$B342,'Forecast capex'!$K$9:$K$1940,R$11)</f>
        <v>0</v>
      </c>
      <c r="S342" s="345">
        <f>SUMIFS('Forecast capex'!$S$9:$S$1940,'Forecast capex'!$C$9:$C$1940,$B342,'Forecast capex'!$K$9:$K$1940,S$11)</f>
        <v>0</v>
      </c>
    </row>
    <row r="343" spans="2:21" outlineLevel="1" x14ac:dyDescent="0.2">
      <c r="B343" s="267" t="s">
        <v>287</v>
      </c>
      <c r="C343" s="280" t="s">
        <v>250</v>
      </c>
      <c r="D343" s="267"/>
      <c r="E343" s="267"/>
      <c r="I343" s="232"/>
      <c r="M343" s="345">
        <f>SUMIFS('Forecast capex'!$S$9:$S$1940,'Forecast capex'!$C$9:$C$1940,$B343,'Forecast capex'!$K$9:$K$1940,M$11)</f>
        <v>0</v>
      </c>
      <c r="N343" s="345">
        <f>SUMIFS('Forecast capex'!$S$9:$S$1940,'Forecast capex'!$C$9:$C$1940,$B343,'Forecast capex'!$K$9:$K$1940,N$11)</f>
        <v>0</v>
      </c>
      <c r="O343" s="345">
        <f>SUMIFS('Forecast capex'!$S$9:$S$1940,'Forecast capex'!$C$9:$C$1940,$B343,'Forecast capex'!$K$9:$K$1940,O$11)</f>
        <v>0</v>
      </c>
      <c r="P343" s="345">
        <f>SUMIFS('Forecast capex'!$S$9:$S$1940,'Forecast capex'!$C$9:$C$1940,$B343,'Forecast capex'!$K$9:$K$1940,P$11)</f>
        <v>0</v>
      </c>
      <c r="Q343" s="345">
        <f>SUMIFS('Forecast capex'!$S$9:$S$1940,'Forecast capex'!$C$9:$C$1940,$B343,'Forecast capex'!$K$9:$K$1940,Q$11)</f>
        <v>0</v>
      </c>
      <c r="R343" s="345">
        <f>SUMIFS('Forecast capex'!$S$9:$S$1940,'Forecast capex'!$C$9:$C$1940,$B343,'Forecast capex'!$K$9:$K$1940,R$11)</f>
        <v>0</v>
      </c>
      <c r="S343" s="345">
        <f>SUMIFS('Forecast capex'!$S$9:$S$1940,'Forecast capex'!$C$9:$C$1940,$B343,'Forecast capex'!$K$9:$K$1940,S$11)</f>
        <v>0</v>
      </c>
    </row>
    <row r="344" spans="2:21" outlineLevel="1" x14ac:dyDescent="0.2">
      <c r="B344" s="267" t="s">
        <v>288</v>
      </c>
      <c r="C344" s="280" t="s">
        <v>250</v>
      </c>
      <c r="D344" s="267"/>
      <c r="E344" s="267"/>
      <c r="I344" s="232"/>
      <c r="M344" s="345">
        <f>SUMIFS('Forecast capex'!$S$9:$S$1940,'Forecast capex'!$C$9:$C$1940,$B344,'Forecast capex'!$K$9:$K$1940,M$11)</f>
        <v>0</v>
      </c>
      <c r="N344" s="345">
        <f>SUMIFS('Forecast capex'!$S$9:$S$1940,'Forecast capex'!$C$9:$C$1940,$B344,'Forecast capex'!$K$9:$K$1940,N$11)</f>
        <v>0</v>
      </c>
      <c r="O344" s="345">
        <f>SUMIFS('Forecast capex'!$S$9:$S$1940,'Forecast capex'!$C$9:$C$1940,$B344,'Forecast capex'!$K$9:$K$1940,O$11)</f>
        <v>0</v>
      </c>
      <c r="P344" s="345">
        <f>SUMIFS('Forecast capex'!$S$9:$S$1940,'Forecast capex'!$C$9:$C$1940,$B344,'Forecast capex'!$K$9:$K$1940,P$11)</f>
        <v>0</v>
      </c>
      <c r="Q344" s="345">
        <f>SUMIFS('Forecast capex'!$S$9:$S$1940,'Forecast capex'!$C$9:$C$1940,$B344,'Forecast capex'!$K$9:$K$1940,Q$11)</f>
        <v>0</v>
      </c>
      <c r="R344" s="345">
        <f>SUMIFS('Forecast capex'!$S$9:$S$1940,'Forecast capex'!$C$9:$C$1940,$B344,'Forecast capex'!$K$9:$K$1940,R$11)</f>
        <v>0</v>
      </c>
      <c r="S344" s="345">
        <f>SUMIFS('Forecast capex'!$S$9:$S$1940,'Forecast capex'!$C$9:$C$1940,$B344,'Forecast capex'!$K$9:$K$1940,S$11)</f>
        <v>0</v>
      </c>
    </row>
    <row r="345" spans="2:21" outlineLevel="1" x14ac:dyDescent="0.2">
      <c r="B345" s="267" t="s">
        <v>289</v>
      </c>
      <c r="C345" s="280" t="s">
        <v>250</v>
      </c>
      <c r="D345" s="267"/>
      <c r="E345" s="267"/>
      <c r="I345" s="232"/>
      <c r="M345" s="345">
        <f>SUMIFS('Forecast capex'!$S$9:$S$1940,'Forecast capex'!$C$9:$C$1940,$B345,'Forecast capex'!$K$9:$K$1940,M$11)</f>
        <v>0</v>
      </c>
      <c r="N345" s="345">
        <f>SUMIFS('Forecast capex'!$S$9:$S$1940,'Forecast capex'!$C$9:$C$1940,$B345,'Forecast capex'!$K$9:$K$1940,N$11)</f>
        <v>0</v>
      </c>
      <c r="O345" s="345">
        <f>SUMIFS('Forecast capex'!$S$9:$S$1940,'Forecast capex'!$C$9:$C$1940,$B345,'Forecast capex'!$K$9:$K$1940,O$11)</f>
        <v>0</v>
      </c>
      <c r="P345" s="345">
        <f>SUMIFS('Forecast capex'!$S$9:$S$1940,'Forecast capex'!$C$9:$C$1940,$B345,'Forecast capex'!$K$9:$K$1940,P$11)</f>
        <v>0</v>
      </c>
      <c r="Q345" s="345">
        <f>SUMIFS('Forecast capex'!$S$9:$S$1940,'Forecast capex'!$C$9:$C$1940,$B345,'Forecast capex'!$K$9:$K$1940,Q$11)</f>
        <v>0</v>
      </c>
      <c r="R345" s="345">
        <f>SUMIFS('Forecast capex'!$S$9:$S$1940,'Forecast capex'!$C$9:$C$1940,$B345,'Forecast capex'!$K$9:$K$1940,R$11)</f>
        <v>0</v>
      </c>
      <c r="S345" s="345">
        <f>SUMIFS('Forecast capex'!$S$9:$S$1940,'Forecast capex'!$C$9:$C$1940,$B345,'Forecast capex'!$K$9:$K$1940,S$11)</f>
        <v>0</v>
      </c>
    </row>
    <row r="346" spans="2:21" outlineLevel="1" x14ac:dyDescent="0.2">
      <c r="B346" s="267" t="s">
        <v>290</v>
      </c>
      <c r="C346" s="280" t="s">
        <v>250</v>
      </c>
      <c r="D346" s="267"/>
      <c r="E346" s="267"/>
      <c r="I346" s="232"/>
      <c r="M346" s="345">
        <f>SUMIFS('Forecast capex'!$S$9:$S$1940,'Forecast capex'!$C$9:$C$1940,$B346,'Forecast capex'!$K$9:$K$1940,M$11)</f>
        <v>0</v>
      </c>
      <c r="N346" s="345">
        <f>SUMIFS('Forecast capex'!$S$9:$S$1940,'Forecast capex'!$C$9:$C$1940,$B346,'Forecast capex'!$K$9:$K$1940,N$11)</f>
        <v>0</v>
      </c>
      <c r="O346" s="345">
        <f>SUMIFS('Forecast capex'!$S$9:$S$1940,'Forecast capex'!$C$9:$C$1940,$B346,'Forecast capex'!$K$9:$K$1940,O$11)</f>
        <v>0</v>
      </c>
      <c r="P346" s="345">
        <f>SUMIFS('Forecast capex'!$S$9:$S$1940,'Forecast capex'!$C$9:$C$1940,$B346,'Forecast capex'!$K$9:$K$1940,P$11)</f>
        <v>0</v>
      </c>
      <c r="Q346" s="345">
        <f>SUMIFS('Forecast capex'!$S$9:$S$1940,'Forecast capex'!$C$9:$C$1940,$B346,'Forecast capex'!$K$9:$K$1940,Q$11)</f>
        <v>0</v>
      </c>
      <c r="R346" s="345">
        <f>SUMIFS('Forecast capex'!$S$9:$S$1940,'Forecast capex'!$C$9:$C$1940,$B346,'Forecast capex'!$K$9:$K$1940,R$11)</f>
        <v>0</v>
      </c>
      <c r="S346" s="345">
        <f>SUMIFS('Forecast capex'!$S$9:$S$1940,'Forecast capex'!$C$9:$C$1940,$B346,'Forecast capex'!$K$9:$K$1940,S$11)</f>
        <v>0</v>
      </c>
    </row>
    <row r="347" spans="2:21" outlineLevel="1" x14ac:dyDescent="0.2">
      <c r="B347" s="267" t="s">
        <v>291</v>
      </c>
      <c r="C347" s="280" t="s">
        <v>250</v>
      </c>
      <c r="D347" s="267"/>
      <c r="E347" s="267"/>
      <c r="I347" s="232"/>
      <c r="M347" s="345">
        <f>SUMIFS('Forecast capex'!$S$9:$S$1940,'Forecast capex'!$C$9:$C$1940,$B347,'Forecast capex'!$K$9:$K$1940,M$11)</f>
        <v>0</v>
      </c>
      <c r="N347" s="345">
        <f>SUMIFS('Forecast capex'!$S$9:$S$1940,'Forecast capex'!$C$9:$C$1940,$B347,'Forecast capex'!$K$9:$K$1940,N$11)</f>
        <v>0</v>
      </c>
      <c r="O347" s="345">
        <f>SUMIFS('Forecast capex'!$S$9:$S$1940,'Forecast capex'!$C$9:$C$1940,$B347,'Forecast capex'!$K$9:$K$1940,O$11)</f>
        <v>0</v>
      </c>
      <c r="P347" s="345">
        <f>SUMIFS('Forecast capex'!$S$9:$S$1940,'Forecast capex'!$C$9:$C$1940,$B347,'Forecast capex'!$K$9:$K$1940,P$11)</f>
        <v>0</v>
      </c>
      <c r="Q347" s="345">
        <f>SUMIFS('Forecast capex'!$S$9:$S$1940,'Forecast capex'!$C$9:$C$1940,$B347,'Forecast capex'!$K$9:$K$1940,Q$11)</f>
        <v>0</v>
      </c>
      <c r="R347" s="345">
        <f>SUMIFS('Forecast capex'!$S$9:$S$1940,'Forecast capex'!$C$9:$C$1940,$B347,'Forecast capex'!$K$9:$K$1940,R$11)</f>
        <v>0</v>
      </c>
      <c r="S347" s="345">
        <f>SUMIFS('Forecast capex'!$S$9:$S$1940,'Forecast capex'!$C$9:$C$1940,$B347,'Forecast capex'!$K$9:$K$1940,S$11)</f>
        <v>0</v>
      </c>
    </row>
    <row r="348" spans="2:21" outlineLevel="1" x14ac:dyDescent="0.2">
      <c r="B348" s="267" t="s">
        <v>292</v>
      </c>
      <c r="C348" s="280" t="s">
        <v>250</v>
      </c>
      <c r="D348" s="267"/>
      <c r="E348" s="267"/>
      <c r="I348" s="232"/>
      <c r="M348" s="345">
        <f>SUMIFS('Forecast capex'!$S$9:$S$1940,'Forecast capex'!$C$9:$C$1940,$B348,'Forecast capex'!$K$9:$K$1940,M$11)</f>
        <v>4921327.0435869759</v>
      </c>
      <c r="N348" s="345">
        <f>SUMIFS('Forecast capex'!$S$9:$S$1940,'Forecast capex'!$C$9:$C$1940,$B348,'Forecast capex'!$K$9:$K$1940,N$11)</f>
        <v>145585.46827902034</v>
      </c>
      <c r="O348" s="345">
        <f>SUMIFS('Forecast capex'!$S$9:$S$1940,'Forecast capex'!$C$9:$C$1940,$B348,'Forecast capex'!$K$9:$K$1940,O$11)</f>
        <v>476797.25023977744</v>
      </c>
      <c r="P348" s="345">
        <f>SUMIFS('Forecast capex'!$S$9:$S$1940,'Forecast capex'!$C$9:$C$1940,$B348,'Forecast capex'!$K$9:$K$1940,P$11)</f>
        <v>267115.7980545726</v>
      </c>
      <c r="Q348" s="345">
        <f>SUMIFS('Forecast capex'!$S$9:$S$1940,'Forecast capex'!$C$9:$C$1940,$B348,'Forecast capex'!$K$9:$K$1940,Q$11)</f>
        <v>494987.37821617769</v>
      </c>
      <c r="R348" s="345">
        <f>SUMIFS('Forecast capex'!$S$9:$S$1940,'Forecast capex'!$C$9:$C$1940,$B348,'Forecast capex'!$K$9:$K$1940,R$11)</f>
        <v>136352.99413799553</v>
      </c>
      <c r="S348" s="345">
        <f>SUMIFS('Forecast capex'!$S$9:$S$1940,'Forecast capex'!$C$9:$C$1940,$B348,'Forecast capex'!$K$9:$K$1940,S$11)</f>
        <v>0</v>
      </c>
    </row>
    <row r="349" spans="2:21" outlineLevel="1" x14ac:dyDescent="0.2">
      <c r="B349" s="288" t="s">
        <v>49</v>
      </c>
      <c r="C349" s="337" t="s">
        <v>250</v>
      </c>
      <c r="D349" s="288"/>
      <c r="E349" s="288"/>
      <c r="F349" s="243"/>
      <c r="G349" s="243"/>
      <c r="H349" s="243"/>
      <c r="I349" s="243"/>
      <c r="J349" s="243"/>
      <c r="K349" s="243"/>
      <c r="L349" s="243"/>
      <c r="M349" s="235">
        <f t="shared" ref="M349:S349" si="94">SUM(M340:M348)</f>
        <v>4921327.0435869759</v>
      </c>
      <c r="N349" s="235">
        <f t="shared" si="94"/>
        <v>145585.46827902034</v>
      </c>
      <c r="O349" s="235">
        <f t="shared" si="94"/>
        <v>476797.25023977744</v>
      </c>
      <c r="P349" s="235">
        <f t="shared" si="94"/>
        <v>267115.7980545726</v>
      </c>
      <c r="Q349" s="235">
        <f t="shared" si="94"/>
        <v>494987.37821617769</v>
      </c>
      <c r="R349" s="235">
        <f t="shared" si="94"/>
        <v>136352.99413799553</v>
      </c>
      <c r="S349" s="235">
        <f t="shared" si="94"/>
        <v>0</v>
      </c>
    </row>
    <row r="350" spans="2:21" outlineLevel="1" x14ac:dyDescent="0.2">
      <c r="B350" s="338"/>
      <c r="C350" s="337"/>
      <c r="D350" s="288"/>
      <c r="E350" s="288"/>
      <c r="F350" s="243"/>
      <c r="G350" s="243"/>
      <c r="H350" s="243"/>
      <c r="I350" s="243"/>
      <c r="J350" s="243"/>
      <c r="K350" s="243"/>
      <c r="L350" s="243"/>
      <c r="M350" s="294"/>
      <c r="N350" s="294"/>
      <c r="O350" s="294"/>
      <c r="P350" s="294"/>
      <c r="Q350" s="294"/>
      <c r="R350" s="294"/>
      <c r="S350" s="294"/>
    </row>
    <row r="351" spans="2:21" outlineLevel="1" x14ac:dyDescent="0.2">
      <c r="B351" s="242" t="s">
        <v>458</v>
      </c>
      <c r="C351" s="280" t="s">
        <v>58</v>
      </c>
      <c r="D351" s="297">
        <f>SUM(H351:S351)</f>
        <v>0</v>
      </c>
      <c r="E351" s="298"/>
      <c r="M351" s="228">
        <f>IF(ABS(M349-SUMIFS('Forecast capex'!$S$9:$S$1940,'Forecast capex'!$K$9:$K$1940,M$11))&lt;0.001,0,1)</f>
        <v>0</v>
      </c>
      <c r="N351" s="228">
        <f>IF(ABS(N349-SUMIFS('Forecast capex'!$S$9:$S$1940,'Forecast capex'!$K$9:$K$1940,N$11))&lt;0.001,0,1)</f>
        <v>0</v>
      </c>
      <c r="O351" s="228">
        <f>IF(ABS(O349-SUMIFS('Forecast capex'!$S$9:$S$1940,'Forecast capex'!$K$9:$K$1940,O$11))&lt;0.001,0,1)</f>
        <v>0</v>
      </c>
      <c r="P351" s="228">
        <f>IF(ABS(P349-SUMIFS('Forecast capex'!$S$9:$S$1940,'Forecast capex'!$K$9:$K$1940,P$11))&lt;0.001,0,1)</f>
        <v>0</v>
      </c>
      <c r="Q351" s="228">
        <f>IF(ABS(Q349-SUMIFS('Forecast capex'!$S$9:$S$1940,'Forecast capex'!$K$9:$K$1940,Q$11))&lt;0.001,0,1)</f>
        <v>0</v>
      </c>
      <c r="R351" s="228">
        <f>IF(ABS(R349-SUMIFS('Forecast capex'!$S$9:$S$1940,'Forecast capex'!$K$9:$K$1940,R$11))&lt;0.001,0,1)</f>
        <v>0</v>
      </c>
      <c r="S351" s="228">
        <f>IF(ABS(S349-SUMIFS('Forecast capex'!$S$9:$S$1940,'Forecast capex'!$K$9:$K$1940,S$11))&lt;0.001,0,1)</f>
        <v>0</v>
      </c>
    </row>
    <row r="352" spans="2:21" outlineLevel="1" x14ac:dyDescent="0.2">
      <c r="B352" s="338"/>
      <c r="C352" s="337"/>
      <c r="D352" s="288"/>
      <c r="E352" s="288"/>
      <c r="F352" s="243"/>
      <c r="G352" s="243"/>
      <c r="H352" s="243"/>
      <c r="I352" s="243"/>
      <c r="J352" s="243"/>
      <c r="K352" s="243"/>
      <c r="L352" s="243"/>
      <c r="M352" s="294"/>
      <c r="N352" s="294"/>
      <c r="O352" s="294"/>
      <c r="P352" s="294"/>
      <c r="Q352" s="294"/>
      <c r="R352" s="294"/>
      <c r="S352" s="294"/>
    </row>
    <row r="353" spans="1:25" outlineLevel="1" x14ac:dyDescent="0.2">
      <c r="B353" s="287" t="s">
        <v>293</v>
      </c>
      <c r="C353" s="314"/>
      <c r="D353" s="347"/>
      <c r="E353" s="314"/>
      <c r="F353" s="242"/>
      <c r="G353" s="302"/>
      <c r="H353" s="302"/>
      <c r="I353" s="302"/>
      <c r="J353" s="302"/>
      <c r="K353" s="242"/>
      <c r="L353" s="242"/>
      <c r="M353" s="242"/>
      <c r="N353" s="242"/>
      <c r="O353" s="242"/>
      <c r="P353" s="242"/>
      <c r="Q353" s="242"/>
      <c r="R353" s="242"/>
      <c r="S353" s="242"/>
      <c r="T353" s="242"/>
      <c r="U353" s="229"/>
    </row>
    <row r="354" spans="1:25" outlineLevel="1" x14ac:dyDescent="0.2">
      <c r="B354" s="229"/>
      <c r="C354" s="229"/>
      <c r="D354" s="229"/>
      <c r="E354" s="229"/>
      <c r="K354" s="289"/>
      <c r="L354" s="289"/>
      <c r="M354" s="289"/>
      <c r="N354" s="289"/>
      <c r="O354" s="289"/>
      <c r="P354" s="289"/>
      <c r="Q354" s="289"/>
      <c r="R354" s="289"/>
      <c r="S354" s="289"/>
      <c r="T354" s="242"/>
    </row>
    <row r="355" spans="1:25" outlineLevel="1" x14ac:dyDescent="0.2">
      <c r="B355" s="338"/>
      <c r="C355" s="229"/>
      <c r="D355" s="229"/>
      <c r="E355" s="229"/>
      <c r="K355" s="289"/>
      <c r="L355" s="289"/>
      <c r="M355" s="289"/>
      <c r="N355" s="289"/>
      <c r="O355" s="289"/>
      <c r="P355" s="289"/>
      <c r="Q355" s="289"/>
      <c r="R355" s="289"/>
      <c r="S355" s="289"/>
      <c r="T355" s="242"/>
    </row>
    <row r="356" spans="1:25" outlineLevel="1" x14ac:dyDescent="0.2">
      <c r="B356" s="229"/>
      <c r="C356" s="229"/>
      <c r="D356" s="229"/>
      <c r="E356" s="229"/>
      <c r="K356" s="289"/>
      <c r="L356" s="289"/>
      <c r="M356" s="289"/>
      <c r="N356" s="289"/>
      <c r="O356" s="289"/>
      <c r="P356" s="289"/>
      <c r="Q356" s="289"/>
      <c r="R356" s="289"/>
      <c r="S356" s="289"/>
      <c r="T356" s="242"/>
    </row>
    <row r="357" spans="1:25" outlineLevel="1" x14ac:dyDescent="0.2">
      <c r="B357" s="343">
        <v>0</v>
      </c>
      <c r="C357" s="280" t="s">
        <v>250</v>
      </c>
      <c r="D357" s="229"/>
      <c r="E357" s="229"/>
      <c r="H357" s="344"/>
      <c r="I357" s="232"/>
      <c r="M357" s="345">
        <v>0</v>
      </c>
      <c r="N357" s="345">
        <v>0</v>
      </c>
      <c r="O357" s="345">
        <v>0</v>
      </c>
      <c r="P357" s="345">
        <v>0</v>
      </c>
      <c r="Q357" s="345">
        <v>0</v>
      </c>
      <c r="R357" s="345">
        <v>0</v>
      </c>
      <c r="S357" s="345">
        <v>0</v>
      </c>
    </row>
    <row r="358" spans="1:25" outlineLevel="1" x14ac:dyDescent="0.2">
      <c r="B358" s="343">
        <v>0.08</v>
      </c>
      <c r="C358" s="280" t="s">
        <v>250</v>
      </c>
      <c r="D358" s="229"/>
      <c r="E358" s="229"/>
      <c r="H358" s="344"/>
      <c r="I358" s="232"/>
      <c r="M358" s="345">
        <v>0</v>
      </c>
      <c r="N358" s="345">
        <v>0</v>
      </c>
      <c r="O358" s="345">
        <v>0</v>
      </c>
      <c r="P358" s="345">
        <v>0</v>
      </c>
      <c r="Q358" s="345">
        <v>0</v>
      </c>
      <c r="R358" s="345">
        <v>0</v>
      </c>
      <c r="S358" s="345">
        <v>0</v>
      </c>
    </row>
    <row r="359" spans="1:25" s="12" customFormat="1" outlineLevel="1" x14ac:dyDescent="0.2">
      <c r="A359" s="232"/>
      <c r="B359" s="343">
        <v>0.1</v>
      </c>
      <c r="C359" s="280" t="s">
        <v>250</v>
      </c>
      <c r="D359" s="229"/>
      <c r="E359" s="229"/>
      <c r="F359" s="232"/>
      <c r="G359" s="232"/>
      <c r="H359" s="344"/>
      <c r="I359" s="232"/>
      <c r="J359" s="232"/>
      <c r="K359" s="232"/>
      <c r="L359" s="232"/>
      <c r="M359" s="345">
        <v>0</v>
      </c>
      <c r="N359" s="345">
        <v>0</v>
      </c>
      <c r="O359" s="345">
        <v>0</v>
      </c>
      <c r="P359" s="345">
        <v>0</v>
      </c>
      <c r="Q359" s="345">
        <v>0</v>
      </c>
      <c r="R359" s="345">
        <v>0</v>
      </c>
      <c r="S359" s="345">
        <v>0</v>
      </c>
      <c r="T359" s="232"/>
      <c r="U359" s="232"/>
      <c r="V359" s="243"/>
      <c r="W359" s="243"/>
      <c r="X359" s="243"/>
      <c r="Y359" s="243"/>
    </row>
    <row r="360" spans="1:25" outlineLevel="1" x14ac:dyDescent="0.2">
      <c r="B360" s="343">
        <v>0.13</v>
      </c>
      <c r="C360" s="280" t="s">
        <v>250</v>
      </c>
      <c r="D360" s="229"/>
      <c r="E360" s="229"/>
      <c r="H360" s="344"/>
      <c r="I360" s="232"/>
      <c r="M360" s="345">
        <v>0</v>
      </c>
      <c r="N360" s="345">
        <v>0</v>
      </c>
      <c r="O360" s="345">
        <v>0</v>
      </c>
      <c r="P360" s="345">
        <v>0</v>
      </c>
      <c r="Q360" s="345">
        <v>0</v>
      </c>
      <c r="R360" s="345">
        <v>0</v>
      </c>
      <c r="S360" s="345">
        <v>0</v>
      </c>
    </row>
    <row r="361" spans="1:25" s="12" customFormat="1" outlineLevel="1" x14ac:dyDescent="0.2">
      <c r="A361" s="232"/>
      <c r="B361" s="343">
        <v>0.2</v>
      </c>
      <c r="C361" s="280" t="s">
        <v>250</v>
      </c>
      <c r="D361" s="229"/>
      <c r="E361" s="229"/>
      <c r="F361" s="232"/>
      <c r="G361" s="232"/>
      <c r="H361" s="344"/>
      <c r="I361" s="232"/>
      <c r="J361" s="232"/>
      <c r="K361" s="232"/>
      <c r="L361" s="232"/>
      <c r="M361" s="345">
        <v>0</v>
      </c>
      <c r="N361" s="345">
        <v>0</v>
      </c>
      <c r="O361" s="345">
        <v>0</v>
      </c>
      <c r="P361" s="345">
        <v>0</v>
      </c>
      <c r="Q361" s="345">
        <v>0</v>
      </c>
      <c r="R361" s="345">
        <v>0</v>
      </c>
      <c r="S361" s="345">
        <v>0</v>
      </c>
      <c r="T361" s="232"/>
      <c r="U361" s="232"/>
      <c r="V361" s="243"/>
      <c r="W361" s="243"/>
      <c r="X361" s="243"/>
      <c r="Y361" s="243"/>
    </row>
    <row r="362" spans="1:25" outlineLevel="1" x14ac:dyDescent="0.2">
      <c r="B362" s="343">
        <v>0.5</v>
      </c>
      <c r="C362" s="280" t="s">
        <v>250</v>
      </c>
      <c r="D362" s="229"/>
      <c r="E362" s="229"/>
      <c r="H362" s="344"/>
      <c r="I362" s="232"/>
      <c r="M362" s="345">
        <v>0</v>
      </c>
      <c r="N362" s="345">
        <v>0</v>
      </c>
      <c r="O362" s="345">
        <v>0</v>
      </c>
      <c r="P362" s="345">
        <v>0</v>
      </c>
      <c r="Q362" s="345">
        <v>0</v>
      </c>
      <c r="R362" s="345">
        <v>0</v>
      </c>
      <c r="S362" s="345">
        <v>0</v>
      </c>
    </row>
    <row r="363" spans="1:25" outlineLevel="1" x14ac:dyDescent="0.2">
      <c r="B363" s="343">
        <v>1</v>
      </c>
      <c r="C363" s="280" t="s">
        <v>250</v>
      </c>
      <c r="D363" s="229"/>
      <c r="E363" s="229"/>
      <c r="H363" s="344"/>
      <c r="I363" s="232"/>
      <c r="M363" s="345">
        <v>0</v>
      </c>
      <c r="N363" s="345">
        <v>0</v>
      </c>
      <c r="O363" s="345">
        <v>0</v>
      </c>
      <c r="P363" s="345">
        <v>0</v>
      </c>
      <c r="Q363" s="345">
        <v>0</v>
      </c>
      <c r="R363" s="345">
        <v>0</v>
      </c>
      <c r="S363" s="345">
        <v>0</v>
      </c>
    </row>
    <row r="364" spans="1:25" outlineLevel="1" x14ac:dyDescent="0.2">
      <c r="B364" s="288" t="s">
        <v>49</v>
      </c>
      <c r="C364" s="337" t="s">
        <v>250</v>
      </c>
      <c r="D364" s="288"/>
      <c r="E364" s="288"/>
      <c r="F364" s="243"/>
      <c r="G364" s="243"/>
      <c r="I364" s="243"/>
      <c r="J364" s="243"/>
      <c r="K364" s="243"/>
      <c r="L364" s="243"/>
      <c r="M364" s="235">
        <f t="shared" ref="M364:S364" si="95">SUM(M357:M363)</f>
        <v>0</v>
      </c>
      <c r="N364" s="235">
        <f t="shared" si="95"/>
        <v>0</v>
      </c>
      <c r="O364" s="235">
        <f t="shared" si="95"/>
        <v>0</v>
      </c>
      <c r="P364" s="235">
        <f t="shared" si="95"/>
        <v>0</v>
      </c>
      <c r="Q364" s="235">
        <f t="shared" si="95"/>
        <v>0</v>
      </c>
      <c r="R364" s="235">
        <f t="shared" si="95"/>
        <v>0</v>
      </c>
      <c r="S364" s="235">
        <f t="shared" si="95"/>
        <v>0</v>
      </c>
    </row>
    <row r="365" spans="1:25" outlineLevel="1" x14ac:dyDescent="0.2">
      <c r="B365" s="229"/>
      <c r="C365" s="229"/>
      <c r="D365" s="229"/>
      <c r="E365" s="229"/>
      <c r="M365" s="229"/>
      <c r="N365" s="229"/>
      <c r="O365" s="229"/>
      <c r="P365" s="229"/>
      <c r="Q365" s="229"/>
      <c r="R365" s="229"/>
      <c r="S365" s="229"/>
    </row>
    <row r="366" spans="1:25" outlineLevel="1" x14ac:dyDescent="0.2">
      <c r="B366" s="242" t="s">
        <v>459</v>
      </c>
      <c r="C366" s="280" t="s">
        <v>58</v>
      </c>
      <c r="D366" s="297">
        <f>SUM(H366:S366)</f>
        <v>0</v>
      </c>
      <c r="E366" s="298"/>
      <c r="H366" s="229"/>
      <c r="I366" s="230"/>
      <c r="J366" s="229"/>
      <c r="K366" s="229"/>
      <c r="L366" s="229"/>
      <c r="M366" s="228">
        <f>0-M364</f>
        <v>0</v>
      </c>
      <c r="N366" s="228">
        <f t="shared" ref="N366:S366" si="96">0-N364</f>
        <v>0</v>
      </c>
      <c r="O366" s="228">
        <f t="shared" si="96"/>
        <v>0</v>
      </c>
      <c r="P366" s="228">
        <f t="shared" si="96"/>
        <v>0</v>
      </c>
      <c r="Q366" s="228">
        <f t="shared" si="96"/>
        <v>0</v>
      </c>
      <c r="R366" s="228">
        <f t="shared" si="96"/>
        <v>0</v>
      </c>
      <c r="S366" s="228">
        <f t="shared" si="96"/>
        <v>0</v>
      </c>
    </row>
    <row r="367" spans="1:25" outlineLevel="1" x14ac:dyDescent="0.2">
      <c r="B367" s="338"/>
      <c r="C367" s="337"/>
      <c r="D367" s="288"/>
      <c r="E367" s="288"/>
      <c r="F367" s="243"/>
      <c r="G367" s="243"/>
      <c r="I367" s="243"/>
      <c r="J367" s="243"/>
      <c r="K367" s="243"/>
      <c r="L367" s="243"/>
      <c r="M367" s="294"/>
      <c r="N367" s="294"/>
      <c r="O367" s="294"/>
      <c r="P367" s="294"/>
      <c r="Q367" s="294"/>
      <c r="R367" s="294"/>
      <c r="S367" s="294"/>
    </row>
    <row r="368" spans="1:25" outlineLevel="1" x14ac:dyDescent="0.2">
      <c r="B368" s="304" t="s">
        <v>294</v>
      </c>
      <c r="C368" s="229"/>
      <c r="D368" s="229"/>
      <c r="E368" s="229"/>
    </row>
    <row r="369" spans="1:21" outlineLevel="1" x14ac:dyDescent="0.2">
      <c r="B369" s="304"/>
      <c r="C369" s="229"/>
      <c r="D369" s="229"/>
      <c r="E369" s="229"/>
    </row>
    <row r="370" spans="1:21" outlineLevel="1" x14ac:dyDescent="0.2">
      <c r="B370" s="229" t="s">
        <v>95</v>
      </c>
      <c r="C370" s="280" t="s">
        <v>250</v>
      </c>
      <c r="D370" s="229"/>
      <c r="E370" s="229"/>
      <c r="M370" s="345">
        <f>SUMIFS('Forecast capex'!$S$9:$S$1940,'Forecast capex'!$AD$9:$AD$1940,$B370,'Forecast capex'!$K$9:$K$1940,M$11)</f>
        <v>0</v>
      </c>
      <c r="N370" s="345">
        <f>SUMIFS('Forecast capex'!$S$9:$S$1940,'Forecast capex'!$AD$9:$AD$1940,$B370,'Forecast capex'!$K$9:$K$1940,N$11)</f>
        <v>0</v>
      </c>
      <c r="O370" s="345">
        <f>SUMIFS('Forecast capex'!$S$9:$S$1940,'Forecast capex'!$AD$9:$AD$1940,$B370,'Forecast capex'!$K$9:$K$1940,O$11)</f>
        <v>0</v>
      </c>
      <c r="P370" s="345">
        <f>SUMIFS('Forecast capex'!$S$9:$S$1940,'Forecast capex'!$AD$9:$AD$1940,$B370,'Forecast capex'!$K$9:$K$1940,P$11)</f>
        <v>0</v>
      </c>
      <c r="Q370" s="345">
        <f>SUMIFS('Forecast capex'!$S$9:$S$1940,'Forecast capex'!$AD$9:$AD$1940,$B370,'Forecast capex'!$K$9:$K$1940,Q$11)</f>
        <v>0</v>
      </c>
      <c r="R370" s="345">
        <f>SUMIFS('Forecast capex'!$S$9:$S$1940,'Forecast capex'!$AD$9:$AD$1940,$B370,'Forecast capex'!$K$9:$K$1940,R$11)</f>
        <v>0</v>
      </c>
      <c r="S370" s="345">
        <f>SUMIFS('Forecast capex'!$S$9:$S$1940,'Forecast capex'!$AD$9:$AD$1940,$B370,'Forecast capex'!$K$9:$K$1940,S$11)</f>
        <v>0</v>
      </c>
    </row>
    <row r="371" spans="1:21" outlineLevel="1" x14ac:dyDescent="0.2">
      <c r="B371" s="229" t="s">
        <v>77</v>
      </c>
      <c r="C371" s="280" t="s">
        <v>250</v>
      </c>
      <c r="D371" s="229"/>
      <c r="E371" s="229"/>
      <c r="M371" s="345">
        <f>SUMIFS('Forecast capex'!$S$9:$S$1940,'Forecast capex'!$AD$9:$AD$1940,$B371,'Forecast capex'!$K$9:$K$1940,M$11)</f>
        <v>0</v>
      </c>
      <c r="N371" s="345">
        <f>SUMIFS('Forecast capex'!$S$9:$S$1940,'Forecast capex'!$AD$9:$AD$1940,$B371,'Forecast capex'!$K$9:$K$1940,N$11)</f>
        <v>0</v>
      </c>
      <c r="O371" s="345">
        <f>SUMIFS('Forecast capex'!$S$9:$S$1940,'Forecast capex'!$AD$9:$AD$1940,$B371,'Forecast capex'!$K$9:$K$1940,O$11)</f>
        <v>0</v>
      </c>
      <c r="P371" s="345">
        <f>SUMIFS('Forecast capex'!$S$9:$S$1940,'Forecast capex'!$AD$9:$AD$1940,$B371,'Forecast capex'!$K$9:$K$1940,P$11)</f>
        <v>0</v>
      </c>
      <c r="Q371" s="345">
        <f>SUMIFS('Forecast capex'!$S$9:$S$1940,'Forecast capex'!$AD$9:$AD$1940,$B371,'Forecast capex'!$K$9:$K$1940,Q$11)</f>
        <v>0</v>
      </c>
      <c r="R371" s="345">
        <f>SUMIFS('Forecast capex'!$S$9:$S$1940,'Forecast capex'!$AD$9:$AD$1940,$B371,'Forecast capex'!$K$9:$K$1940,R$11)</f>
        <v>0</v>
      </c>
      <c r="S371" s="345">
        <f>SUMIFS('Forecast capex'!$S$9:$S$1940,'Forecast capex'!$AD$9:$AD$1940,$B371,'Forecast capex'!$K$9:$K$1940,S$11)</f>
        <v>0</v>
      </c>
    </row>
    <row r="372" spans="1:21" outlineLevel="1" x14ac:dyDescent="0.2">
      <c r="B372" s="229" t="s">
        <v>100</v>
      </c>
      <c r="C372" s="280" t="s">
        <v>250</v>
      </c>
      <c r="D372" s="229"/>
      <c r="E372" s="229"/>
      <c r="M372" s="345">
        <f>SUMIFS('Forecast capex'!$S$9:$S$1940,'Forecast capex'!$AD$9:$AD$1940,$B372,'Forecast capex'!$K$9:$K$1940,M$11)</f>
        <v>0</v>
      </c>
      <c r="N372" s="345">
        <f>SUMIFS('Forecast capex'!$S$9:$S$1940,'Forecast capex'!$AD$9:$AD$1940,$B372,'Forecast capex'!$K$9:$K$1940,N$11)</f>
        <v>0</v>
      </c>
      <c r="O372" s="345">
        <f>SUMIFS('Forecast capex'!$S$9:$S$1940,'Forecast capex'!$AD$9:$AD$1940,$B372,'Forecast capex'!$K$9:$K$1940,O$11)</f>
        <v>0</v>
      </c>
      <c r="P372" s="345">
        <f>SUMIFS('Forecast capex'!$S$9:$S$1940,'Forecast capex'!$AD$9:$AD$1940,$B372,'Forecast capex'!$K$9:$K$1940,P$11)</f>
        <v>0</v>
      </c>
      <c r="Q372" s="345">
        <f>SUMIFS('Forecast capex'!$S$9:$S$1940,'Forecast capex'!$AD$9:$AD$1940,$B372,'Forecast capex'!$K$9:$K$1940,Q$11)</f>
        <v>0</v>
      </c>
      <c r="R372" s="345">
        <f>SUMIFS('Forecast capex'!$S$9:$S$1940,'Forecast capex'!$AD$9:$AD$1940,$B372,'Forecast capex'!$K$9:$K$1940,R$11)</f>
        <v>0</v>
      </c>
      <c r="S372" s="345">
        <f>SUMIFS('Forecast capex'!$S$9:$S$1940,'Forecast capex'!$AD$9:$AD$1940,$B372,'Forecast capex'!$K$9:$K$1940,S$11)</f>
        <v>0</v>
      </c>
    </row>
    <row r="373" spans="1:21" outlineLevel="1" x14ac:dyDescent="0.2">
      <c r="B373" s="229" t="s">
        <v>93</v>
      </c>
      <c r="C373" s="280" t="s">
        <v>250</v>
      </c>
      <c r="D373" s="229"/>
      <c r="E373" s="229"/>
      <c r="M373" s="345">
        <f>SUMIFS('Forecast capex'!$S$9:$S$1940,'Forecast capex'!$AD$9:$AD$1940,$B373,'Forecast capex'!$K$9:$K$1940,M$11)</f>
        <v>0</v>
      </c>
      <c r="N373" s="345">
        <f>SUMIFS('Forecast capex'!$S$9:$S$1940,'Forecast capex'!$AD$9:$AD$1940,$B373,'Forecast capex'!$K$9:$K$1940,N$11)</f>
        <v>0</v>
      </c>
      <c r="O373" s="345">
        <f>SUMIFS('Forecast capex'!$S$9:$S$1940,'Forecast capex'!$AD$9:$AD$1940,$B373,'Forecast capex'!$K$9:$K$1940,O$11)</f>
        <v>0</v>
      </c>
      <c r="P373" s="345">
        <f>SUMIFS('Forecast capex'!$S$9:$S$1940,'Forecast capex'!$AD$9:$AD$1940,$B373,'Forecast capex'!$K$9:$K$1940,P$11)</f>
        <v>0</v>
      </c>
      <c r="Q373" s="345">
        <f>SUMIFS('Forecast capex'!$S$9:$S$1940,'Forecast capex'!$AD$9:$AD$1940,$B373,'Forecast capex'!$K$9:$K$1940,Q$11)</f>
        <v>0</v>
      </c>
      <c r="R373" s="345">
        <f>SUMIFS('Forecast capex'!$S$9:$S$1940,'Forecast capex'!$AD$9:$AD$1940,$B373,'Forecast capex'!$K$9:$K$1940,R$11)</f>
        <v>0</v>
      </c>
      <c r="S373" s="345">
        <f>SUMIFS('Forecast capex'!$S$9:$S$1940,'Forecast capex'!$AD$9:$AD$1940,$B373,'Forecast capex'!$K$9:$K$1940,S$11)</f>
        <v>0</v>
      </c>
    </row>
    <row r="374" spans="1:21" outlineLevel="1" x14ac:dyDescent="0.2">
      <c r="B374" s="229"/>
      <c r="C374" s="280"/>
      <c r="D374" s="229"/>
      <c r="E374" s="229"/>
      <c r="M374" s="229"/>
      <c r="N374" s="229"/>
      <c r="O374" s="229"/>
      <c r="P374" s="229"/>
      <c r="Q374" s="229"/>
      <c r="R374" s="229"/>
      <c r="S374" s="229"/>
    </row>
    <row r="375" spans="1:21" outlineLevel="1" x14ac:dyDescent="0.2">
      <c r="B375" s="288" t="s">
        <v>270</v>
      </c>
      <c r="C375" s="280"/>
      <c r="D375" s="229"/>
      <c r="E375" s="229"/>
      <c r="M375" s="229"/>
      <c r="N375" s="229"/>
      <c r="O375" s="229"/>
      <c r="P375" s="229"/>
      <c r="Q375" s="229"/>
      <c r="R375" s="229"/>
      <c r="S375" s="229"/>
    </row>
    <row r="376" spans="1:21" outlineLevel="1" x14ac:dyDescent="0.2">
      <c r="B376" s="229" t="s">
        <v>97</v>
      </c>
      <c r="C376" s="280" t="s">
        <v>250</v>
      </c>
      <c r="D376" s="229"/>
      <c r="E376" s="229"/>
      <c r="M376" s="345">
        <f>SUMIFS('Forecast capex'!$S$9:$S$1940,'Forecast capex'!$AD$9:$AD$1940,$B376,'Forecast capex'!$K$9:$K$1940,M$11)</f>
        <v>0</v>
      </c>
      <c r="N376" s="345">
        <f>SUMIFS('Forecast capex'!$S$9:$S$1940,'Forecast capex'!$AD$9:$AD$1940,$B376,'Forecast capex'!$K$9:$K$1940,N$11)</f>
        <v>0</v>
      </c>
      <c r="O376" s="345">
        <f>SUMIFS('Forecast capex'!$S$9:$S$1940,'Forecast capex'!$AD$9:$AD$1940,$B376,'Forecast capex'!$K$9:$K$1940,O$11)</f>
        <v>0</v>
      </c>
      <c r="P376" s="345">
        <f>SUMIFS('Forecast capex'!$S$9:$S$1940,'Forecast capex'!$AD$9:$AD$1940,$B376,'Forecast capex'!$K$9:$K$1940,P$11)</f>
        <v>0</v>
      </c>
      <c r="Q376" s="345">
        <f>SUMIFS('Forecast capex'!$S$9:$S$1940,'Forecast capex'!$AD$9:$AD$1940,$B376,'Forecast capex'!$K$9:$K$1940,Q$11)</f>
        <v>0</v>
      </c>
      <c r="R376" s="345">
        <f>SUMIFS('Forecast capex'!$S$9:$S$1940,'Forecast capex'!$AD$9:$AD$1940,$B376,'Forecast capex'!$K$9:$K$1940,R$11)</f>
        <v>0</v>
      </c>
      <c r="S376" s="345">
        <f>SUMIFS('Forecast capex'!$S$9:$S$1940,'Forecast capex'!$AD$9:$AD$1940,$B376,'Forecast capex'!$K$9:$K$1940,S$11)</f>
        <v>0</v>
      </c>
    </row>
    <row r="377" spans="1:21" outlineLevel="1" x14ac:dyDescent="0.2">
      <c r="B377" s="229" t="s">
        <v>121</v>
      </c>
      <c r="C377" s="280" t="s">
        <v>250</v>
      </c>
      <c r="D377" s="229"/>
      <c r="E377" s="229"/>
      <c r="M377" s="345">
        <f>SUMIFS('Forecast capex'!$S$9:$S$1940,'Forecast capex'!$AD$9:$AD$1940,$B377,'Forecast capex'!$K$9:$K$1940,M$11)</f>
        <v>0</v>
      </c>
      <c r="N377" s="345">
        <f>SUMIFS('Forecast capex'!$S$9:$S$1940,'Forecast capex'!$AD$9:$AD$1940,$B377,'Forecast capex'!$K$9:$K$1940,N$11)</f>
        <v>0</v>
      </c>
      <c r="O377" s="345">
        <f>SUMIFS('Forecast capex'!$S$9:$S$1940,'Forecast capex'!$AD$9:$AD$1940,$B377,'Forecast capex'!$K$9:$K$1940,O$11)</f>
        <v>0</v>
      </c>
      <c r="P377" s="345">
        <f>SUMIFS('Forecast capex'!$S$9:$S$1940,'Forecast capex'!$AD$9:$AD$1940,$B377,'Forecast capex'!$K$9:$K$1940,P$11)</f>
        <v>0</v>
      </c>
      <c r="Q377" s="345">
        <f>SUMIFS('Forecast capex'!$S$9:$S$1940,'Forecast capex'!$AD$9:$AD$1940,$B377,'Forecast capex'!$K$9:$K$1940,Q$11)</f>
        <v>0</v>
      </c>
      <c r="R377" s="345">
        <f>SUMIFS('Forecast capex'!$S$9:$S$1940,'Forecast capex'!$AD$9:$AD$1940,$B377,'Forecast capex'!$K$9:$K$1940,R$11)</f>
        <v>0</v>
      </c>
      <c r="S377" s="345">
        <f>SUMIFS('Forecast capex'!$S$9:$S$1940,'Forecast capex'!$AD$9:$AD$1940,$B377,'Forecast capex'!$K$9:$K$1940,S$11)</f>
        <v>0</v>
      </c>
      <c r="T377" s="229"/>
    </row>
    <row r="378" spans="1:21" outlineLevel="1" x14ac:dyDescent="0.2">
      <c r="B378" s="229" t="s">
        <v>122</v>
      </c>
      <c r="C378" s="280" t="s">
        <v>250</v>
      </c>
      <c r="D378" s="229"/>
      <c r="E378" s="229"/>
      <c r="M378" s="345">
        <f>SUMIFS('Forecast capex'!$S$9:$S$1940,'Forecast capex'!$AD$9:$AD$1940,$B378,'Forecast capex'!$K$9:$K$1940,M$11)</f>
        <v>0</v>
      </c>
      <c r="N378" s="345">
        <f>SUMIFS('Forecast capex'!$S$9:$S$1940,'Forecast capex'!$AD$9:$AD$1940,$B378,'Forecast capex'!$K$9:$K$1940,N$11)</f>
        <v>0</v>
      </c>
      <c r="O378" s="345">
        <f>SUMIFS('Forecast capex'!$S$9:$S$1940,'Forecast capex'!$AD$9:$AD$1940,$B378,'Forecast capex'!$K$9:$K$1940,O$11)</f>
        <v>0</v>
      </c>
      <c r="P378" s="345">
        <f>SUMIFS('Forecast capex'!$S$9:$S$1940,'Forecast capex'!$AD$9:$AD$1940,$B378,'Forecast capex'!$K$9:$K$1940,P$11)</f>
        <v>0</v>
      </c>
      <c r="Q378" s="345">
        <f>SUMIFS('Forecast capex'!$S$9:$S$1940,'Forecast capex'!$AD$9:$AD$1940,$B378,'Forecast capex'!$K$9:$K$1940,Q$11)</f>
        <v>0</v>
      </c>
      <c r="R378" s="345">
        <f>SUMIFS('Forecast capex'!$S$9:$S$1940,'Forecast capex'!$AD$9:$AD$1940,$B378,'Forecast capex'!$K$9:$K$1940,R$11)</f>
        <v>0</v>
      </c>
      <c r="S378" s="345">
        <f>SUMIFS('Forecast capex'!$S$9:$S$1940,'Forecast capex'!$AD$9:$AD$1940,$B378,'Forecast capex'!$K$9:$K$1940,S$11)</f>
        <v>0</v>
      </c>
    </row>
    <row r="379" spans="1:21" outlineLevel="1" x14ac:dyDescent="0.2">
      <c r="A379" s="243"/>
      <c r="B379" s="288" t="s">
        <v>272</v>
      </c>
      <c r="C379" s="337" t="s">
        <v>250</v>
      </c>
      <c r="D379" s="288"/>
      <c r="E379" s="288"/>
      <c r="F379" s="243"/>
      <c r="G379" s="243"/>
      <c r="H379" s="243"/>
      <c r="I379" s="335"/>
      <c r="J379" s="243"/>
      <c r="K379" s="243"/>
      <c r="M379" s="233">
        <f>SUM(M376:M378)</f>
        <v>0</v>
      </c>
      <c r="N379" s="233">
        <f t="shared" ref="N379:S379" si="97">SUM(N376:N378)</f>
        <v>0</v>
      </c>
      <c r="O379" s="233">
        <f t="shared" si="97"/>
        <v>0</v>
      </c>
      <c r="P379" s="233">
        <f t="shared" si="97"/>
        <v>0</v>
      </c>
      <c r="Q379" s="233">
        <f t="shared" si="97"/>
        <v>0</v>
      </c>
      <c r="R379" s="233">
        <f t="shared" si="97"/>
        <v>0</v>
      </c>
      <c r="S379" s="233">
        <f t="shared" si="97"/>
        <v>0</v>
      </c>
      <c r="T379" s="243"/>
      <c r="U379" s="243"/>
    </row>
    <row r="380" spans="1:21" outlineLevel="1" x14ac:dyDescent="0.2">
      <c r="B380" s="229"/>
      <c r="C380" s="337"/>
      <c r="D380" s="229"/>
      <c r="E380" s="229"/>
      <c r="M380" s="229"/>
      <c r="N380" s="229"/>
      <c r="O380" s="229"/>
      <c r="P380" s="229"/>
      <c r="Q380" s="229"/>
      <c r="R380" s="229"/>
      <c r="S380" s="229"/>
    </row>
    <row r="381" spans="1:21" outlineLevel="1" x14ac:dyDescent="0.2">
      <c r="A381" s="243"/>
      <c r="B381" s="288" t="s">
        <v>295</v>
      </c>
      <c r="C381" s="337" t="s">
        <v>250</v>
      </c>
      <c r="D381" s="288"/>
      <c r="E381" s="288"/>
      <c r="F381" s="243"/>
      <c r="G381" s="243"/>
      <c r="H381" s="243"/>
      <c r="I381" s="335"/>
      <c r="J381" s="243"/>
      <c r="K381" s="243"/>
      <c r="M381" s="235">
        <f>SUM(M370:M373,M379)</f>
        <v>0</v>
      </c>
      <c r="N381" s="235">
        <f t="shared" ref="N381:S381" si="98">SUM(N370:N373,N379)</f>
        <v>0</v>
      </c>
      <c r="O381" s="235">
        <f t="shared" si="98"/>
        <v>0</v>
      </c>
      <c r="P381" s="235">
        <f t="shared" si="98"/>
        <v>0</v>
      </c>
      <c r="Q381" s="235">
        <f t="shared" si="98"/>
        <v>0</v>
      </c>
      <c r="R381" s="235">
        <f t="shared" si="98"/>
        <v>0</v>
      </c>
      <c r="S381" s="235">
        <f t="shared" si="98"/>
        <v>0</v>
      </c>
      <c r="T381" s="243"/>
      <c r="U381" s="243"/>
    </row>
    <row r="382" spans="1:21" outlineLevel="1" x14ac:dyDescent="0.2">
      <c r="B382" s="229"/>
      <c r="C382" s="280"/>
      <c r="D382" s="229"/>
      <c r="E382" s="229"/>
      <c r="M382" s="229"/>
      <c r="N382" s="229"/>
      <c r="O382" s="229"/>
      <c r="P382" s="229"/>
      <c r="Q382" s="229"/>
      <c r="R382" s="229"/>
      <c r="S382" s="229"/>
    </row>
    <row r="383" spans="1:21" outlineLevel="1" x14ac:dyDescent="0.2">
      <c r="B383" s="229" t="s">
        <v>274</v>
      </c>
      <c r="C383" s="280" t="s">
        <v>250</v>
      </c>
      <c r="D383" s="229"/>
      <c r="E383" s="229"/>
      <c r="M383" s="345">
        <f>SUMIFS('Forecast capex'!$S$9:$S$1940,'Forecast capex'!$AD$9:$AD$1940,$B383,'Forecast capex'!$K$9:$K$1940,M$11)</f>
        <v>4921327.0435869759</v>
      </c>
      <c r="N383" s="345">
        <f>SUMIFS('Forecast capex'!$S$9:$S$1940,'Forecast capex'!$AD$9:$AD$1940,$B383,'Forecast capex'!$K$9:$K$1940,N$11)</f>
        <v>145585.46827902034</v>
      </c>
      <c r="O383" s="345">
        <f>SUMIFS('Forecast capex'!$S$9:$S$1940,'Forecast capex'!$AD$9:$AD$1940,$B383,'Forecast capex'!$K$9:$K$1940,O$11)</f>
        <v>476797.25023977744</v>
      </c>
      <c r="P383" s="345">
        <f>SUMIFS('Forecast capex'!$S$9:$S$1940,'Forecast capex'!$AD$9:$AD$1940,$B383,'Forecast capex'!$K$9:$K$1940,P$11)</f>
        <v>267115.7980545726</v>
      </c>
      <c r="Q383" s="345">
        <f>SUMIFS('Forecast capex'!$S$9:$S$1940,'Forecast capex'!$AD$9:$AD$1940,$B383,'Forecast capex'!$K$9:$K$1940,Q$11)</f>
        <v>494987.37821617769</v>
      </c>
      <c r="R383" s="345">
        <f>SUMIFS('Forecast capex'!$S$9:$S$1940,'Forecast capex'!$AD$9:$AD$1940,$B383,'Forecast capex'!$K$9:$K$1940,R$11)</f>
        <v>136352.99413799553</v>
      </c>
      <c r="S383" s="345">
        <f>SUMIFS('Forecast capex'!$S$9:$S$1940,'Forecast capex'!$AD$9:$AD$1940,$B383,'Forecast capex'!$K$9:$K$1940,S$11)</f>
        <v>0</v>
      </c>
    </row>
    <row r="384" spans="1:21" outlineLevel="1" x14ac:dyDescent="0.2">
      <c r="A384" s="243"/>
      <c r="B384" s="288" t="s">
        <v>296</v>
      </c>
      <c r="C384" s="337" t="s">
        <v>250</v>
      </c>
      <c r="D384" s="288"/>
      <c r="E384" s="288"/>
      <c r="F384" s="243"/>
      <c r="G384" s="243"/>
      <c r="H384" s="243"/>
      <c r="I384" s="335"/>
      <c r="J384" s="243"/>
      <c r="K384" s="243"/>
      <c r="M384" s="235">
        <f>M381+M383</f>
        <v>4921327.0435869759</v>
      </c>
      <c r="N384" s="235">
        <f t="shared" ref="N384:S384" si="99">N381+N383</f>
        <v>145585.46827902034</v>
      </c>
      <c r="O384" s="235">
        <f t="shared" si="99"/>
        <v>476797.25023977744</v>
      </c>
      <c r="P384" s="235">
        <f t="shared" si="99"/>
        <v>267115.7980545726</v>
      </c>
      <c r="Q384" s="235">
        <f t="shared" si="99"/>
        <v>494987.37821617769</v>
      </c>
      <c r="R384" s="235">
        <f t="shared" si="99"/>
        <v>136352.99413799553</v>
      </c>
      <c r="S384" s="235">
        <f t="shared" si="99"/>
        <v>0</v>
      </c>
      <c r="T384" s="243"/>
      <c r="U384" s="243"/>
    </row>
    <row r="385" spans="1:21" outlineLevel="1" x14ac:dyDescent="0.2">
      <c r="A385" s="243"/>
      <c r="B385" s="288"/>
      <c r="C385" s="337"/>
      <c r="D385" s="288"/>
      <c r="E385" s="288"/>
      <c r="F385" s="243"/>
      <c r="G385" s="243"/>
      <c r="H385" s="243"/>
      <c r="I385" s="335"/>
      <c r="J385" s="243"/>
      <c r="K385" s="243"/>
      <c r="M385" s="294"/>
      <c r="N385" s="294"/>
      <c r="O385" s="294"/>
      <c r="P385" s="294"/>
      <c r="Q385" s="294"/>
      <c r="R385" s="294"/>
      <c r="S385" s="294"/>
      <c r="T385" s="243"/>
      <c r="U385" s="243"/>
    </row>
    <row r="386" spans="1:21" outlineLevel="1" x14ac:dyDescent="0.2">
      <c r="B386" s="242" t="s">
        <v>460</v>
      </c>
      <c r="C386" s="280" t="s">
        <v>58</v>
      </c>
      <c r="D386" s="297">
        <f>SUM(H386:S386)</f>
        <v>0</v>
      </c>
      <c r="E386" s="298"/>
      <c r="M386" s="228">
        <f>SUMIFS('Forecast capex'!$S$9:$S$1940,'Forecast capex'!$K$9:$K$1940,M$11)-M384</f>
        <v>0</v>
      </c>
      <c r="N386" s="228">
        <f>SUMIFS('Forecast capex'!$S$9:$S$1940,'Forecast capex'!$K$9:$K$1940,N$11)-N384</f>
        <v>0</v>
      </c>
      <c r="O386" s="228">
        <f>SUMIFS('Forecast capex'!$S$9:$S$1940,'Forecast capex'!$K$9:$K$1940,O$11)-O384</f>
        <v>0</v>
      </c>
      <c r="P386" s="228">
        <f>SUMIFS('Forecast capex'!$S$9:$S$1940,'Forecast capex'!$K$9:$K$1940,P$11)-P384</f>
        <v>0</v>
      </c>
      <c r="Q386" s="228">
        <f>SUMIFS('Forecast capex'!$S$9:$S$1940,'Forecast capex'!$K$9:$K$1940,Q$11)-Q384</f>
        <v>0</v>
      </c>
      <c r="R386" s="228">
        <f>SUMIFS('Forecast capex'!$S$9:$S$1940,'Forecast capex'!$K$9:$K$1940,R$11)-R384</f>
        <v>0</v>
      </c>
      <c r="S386" s="228">
        <f>SUMIFS('Forecast capex'!$S$9:$S$1940,'Forecast capex'!$K$9:$K$1940,S$11)-S384</f>
        <v>0</v>
      </c>
    </row>
    <row r="387" spans="1:21" outlineLevel="1" x14ac:dyDescent="0.2">
      <c r="B387" s="229"/>
      <c r="C387" s="229"/>
      <c r="D387" s="229"/>
      <c r="E387" s="229"/>
    </row>
    <row r="388" spans="1:21" outlineLevel="1" x14ac:dyDescent="0.2">
      <c r="B388" s="304" t="s">
        <v>297</v>
      </c>
      <c r="C388" s="229"/>
      <c r="D388" s="229"/>
      <c r="E388" s="229"/>
    </row>
    <row r="389" spans="1:21" outlineLevel="1" x14ac:dyDescent="0.2">
      <c r="B389" s="304"/>
      <c r="C389" s="229"/>
      <c r="D389" s="229"/>
      <c r="E389" s="229"/>
    </row>
    <row r="390" spans="1:21" outlineLevel="1" x14ac:dyDescent="0.2">
      <c r="B390" s="229" t="s">
        <v>95</v>
      </c>
      <c r="C390" s="280" t="s">
        <v>250</v>
      </c>
      <c r="D390" s="229"/>
      <c r="E390" s="229"/>
      <c r="M390" s="345">
        <v>0</v>
      </c>
      <c r="N390" s="345">
        <v>0</v>
      </c>
      <c r="O390" s="345">
        <v>0</v>
      </c>
      <c r="P390" s="345">
        <v>0</v>
      </c>
      <c r="Q390" s="345">
        <v>0</v>
      </c>
      <c r="R390" s="345">
        <v>0</v>
      </c>
      <c r="S390" s="345">
        <v>0</v>
      </c>
    </row>
    <row r="391" spans="1:21" outlineLevel="1" x14ac:dyDescent="0.2">
      <c r="B391" s="229" t="s">
        <v>77</v>
      </c>
      <c r="C391" s="280" t="s">
        <v>250</v>
      </c>
      <c r="D391" s="229"/>
      <c r="E391" s="229"/>
      <c r="M391" s="345">
        <v>0</v>
      </c>
      <c r="N391" s="345">
        <v>0</v>
      </c>
      <c r="O391" s="345">
        <v>0</v>
      </c>
      <c r="P391" s="345">
        <v>0</v>
      </c>
      <c r="Q391" s="345">
        <v>0</v>
      </c>
      <c r="R391" s="345">
        <v>0</v>
      </c>
      <c r="S391" s="345">
        <v>0</v>
      </c>
    </row>
    <row r="392" spans="1:21" outlineLevel="1" x14ac:dyDescent="0.2">
      <c r="B392" s="229" t="s">
        <v>100</v>
      </c>
      <c r="C392" s="280" t="s">
        <v>250</v>
      </c>
      <c r="D392" s="229"/>
      <c r="E392" s="229"/>
      <c r="M392" s="345">
        <v>0</v>
      </c>
      <c r="N392" s="345">
        <v>0</v>
      </c>
      <c r="O392" s="345">
        <v>0</v>
      </c>
      <c r="P392" s="345">
        <v>0</v>
      </c>
      <c r="Q392" s="345">
        <v>0</v>
      </c>
      <c r="R392" s="345">
        <v>0</v>
      </c>
      <c r="S392" s="345">
        <v>0</v>
      </c>
    </row>
    <row r="393" spans="1:21" outlineLevel="1" x14ac:dyDescent="0.2">
      <c r="B393" s="229" t="s">
        <v>93</v>
      </c>
      <c r="C393" s="280" t="s">
        <v>250</v>
      </c>
      <c r="D393" s="229"/>
      <c r="E393" s="229"/>
      <c r="M393" s="345">
        <v>0</v>
      </c>
      <c r="N393" s="345">
        <v>0</v>
      </c>
      <c r="O393" s="345">
        <v>0</v>
      </c>
      <c r="P393" s="345">
        <v>0</v>
      </c>
      <c r="Q393" s="345">
        <v>0</v>
      </c>
      <c r="R393" s="345">
        <v>0</v>
      </c>
      <c r="S393" s="345">
        <v>0</v>
      </c>
    </row>
    <row r="394" spans="1:21" outlineLevel="1" x14ac:dyDescent="0.2">
      <c r="B394" s="229"/>
      <c r="C394" s="280"/>
      <c r="D394" s="229"/>
      <c r="E394" s="229"/>
      <c r="M394" s="229"/>
      <c r="N394" s="229"/>
      <c r="O394" s="229"/>
      <c r="P394" s="229"/>
      <c r="Q394" s="229"/>
      <c r="R394" s="229"/>
      <c r="S394" s="229"/>
    </row>
    <row r="395" spans="1:21" outlineLevel="1" x14ac:dyDescent="0.2">
      <c r="B395" s="288" t="s">
        <v>270</v>
      </c>
      <c r="C395" s="280"/>
      <c r="D395" s="229"/>
      <c r="E395" s="229"/>
      <c r="M395" s="229"/>
      <c r="N395" s="229"/>
      <c r="O395" s="229"/>
      <c r="P395" s="229"/>
      <c r="Q395" s="229"/>
      <c r="R395" s="229"/>
      <c r="S395" s="229"/>
    </row>
    <row r="396" spans="1:21" outlineLevel="1" x14ac:dyDescent="0.2">
      <c r="B396" s="229" t="s">
        <v>97</v>
      </c>
      <c r="C396" s="280" t="s">
        <v>250</v>
      </c>
      <c r="D396" s="229"/>
      <c r="E396" s="229"/>
      <c r="M396" s="345">
        <v>0</v>
      </c>
      <c r="N396" s="345">
        <v>0</v>
      </c>
      <c r="O396" s="345">
        <v>0</v>
      </c>
      <c r="P396" s="345">
        <v>0</v>
      </c>
      <c r="Q396" s="345">
        <v>0</v>
      </c>
      <c r="R396" s="345">
        <v>0</v>
      </c>
      <c r="S396" s="345">
        <v>0</v>
      </c>
    </row>
    <row r="397" spans="1:21" outlineLevel="1" x14ac:dyDescent="0.2">
      <c r="B397" s="229" t="s">
        <v>121</v>
      </c>
      <c r="C397" s="280" t="s">
        <v>250</v>
      </c>
      <c r="D397" s="229"/>
      <c r="E397" s="229"/>
      <c r="M397" s="345">
        <v>0</v>
      </c>
      <c r="N397" s="345">
        <v>0</v>
      </c>
      <c r="O397" s="345">
        <v>0</v>
      </c>
      <c r="P397" s="345">
        <v>0</v>
      </c>
      <c r="Q397" s="345">
        <v>0</v>
      </c>
      <c r="R397" s="345">
        <v>0</v>
      </c>
      <c r="S397" s="345">
        <v>0</v>
      </c>
      <c r="T397" s="229"/>
    </row>
    <row r="398" spans="1:21" outlineLevel="1" x14ac:dyDescent="0.2">
      <c r="B398" s="229" t="s">
        <v>122</v>
      </c>
      <c r="C398" s="280" t="s">
        <v>250</v>
      </c>
      <c r="D398" s="229"/>
      <c r="E398" s="229"/>
      <c r="M398" s="345">
        <v>0</v>
      </c>
      <c r="N398" s="345">
        <v>0</v>
      </c>
      <c r="O398" s="345">
        <v>0</v>
      </c>
      <c r="P398" s="345">
        <v>0</v>
      </c>
      <c r="Q398" s="345">
        <v>0</v>
      </c>
      <c r="R398" s="345">
        <v>0</v>
      </c>
      <c r="S398" s="345">
        <v>0</v>
      </c>
    </row>
    <row r="399" spans="1:21" outlineLevel="1" x14ac:dyDescent="0.2">
      <c r="A399" s="243"/>
      <c r="B399" s="288" t="s">
        <v>272</v>
      </c>
      <c r="C399" s="337" t="s">
        <v>250</v>
      </c>
      <c r="D399" s="288"/>
      <c r="E399" s="288"/>
      <c r="F399" s="243"/>
      <c r="G399" s="243"/>
      <c r="H399" s="243"/>
      <c r="I399" s="335"/>
      <c r="J399" s="243"/>
      <c r="K399" s="243"/>
      <c r="M399" s="233">
        <f>SUM(M396:M398)</f>
        <v>0</v>
      </c>
      <c r="N399" s="233">
        <f t="shared" ref="N399:S399" si="100">SUM(N396:N398)</f>
        <v>0</v>
      </c>
      <c r="O399" s="233">
        <f t="shared" si="100"/>
        <v>0</v>
      </c>
      <c r="P399" s="233">
        <f t="shared" si="100"/>
        <v>0</v>
      </c>
      <c r="Q399" s="233">
        <f t="shared" si="100"/>
        <v>0</v>
      </c>
      <c r="R399" s="233">
        <f t="shared" si="100"/>
        <v>0</v>
      </c>
      <c r="S399" s="233">
        <f t="shared" si="100"/>
        <v>0</v>
      </c>
      <c r="T399" s="243"/>
      <c r="U399" s="243"/>
    </row>
    <row r="400" spans="1:21" outlineLevel="1" x14ac:dyDescent="0.2">
      <c r="B400" s="229"/>
      <c r="C400" s="337"/>
      <c r="D400" s="229"/>
      <c r="E400" s="229"/>
      <c r="M400" s="229"/>
      <c r="N400" s="229"/>
      <c r="O400" s="229"/>
      <c r="P400" s="229"/>
      <c r="Q400" s="229"/>
      <c r="R400" s="229"/>
      <c r="S400" s="229"/>
    </row>
    <row r="401" spans="1:21" outlineLevel="1" x14ac:dyDescent="0.2">
      <c r="A401" s="243"/>
      <c r="B401" s="288" t="s">
        <v>295</v>
      </c>
      <c r="C401" s="337" t="s">
        <v>250</v>
      </c>
      <c r="D401" s="288"/>
      <c r="E401" s="288"/>
      <c r="F401" s="243"/>
      <c r="G401" s="243"/>
      <c r="H401" s="243"/>
      <c r="I401" s="335"/>
      <c r="J401" s="243"/>
      <c r="K401" s="243"/>
      <c r="M401" s="235">
        <f>SUM(M390:M393,M399)</f>
        <v>0</v>
      </c>
      <c r="N401" s="235">
        <f t="shared" ref="N401:S401" si="101">SUM(N390:N393,N399)</f>
        <v>0</v>
      </c>
      <c r="O401" s="235">
        <f t="shared" si="101"/>
        <v>0</v>
      </c>
      <c r="P401" s="235">
        <f t="shared" si="101"/>
        <v>0</v>
      </c>
      <c r="Q401" s="235">
        <f t="shared" si="101"/>
        <v>0</v>
      </c>
      <c r="R401" s="235">
        <f t="shared" si="101"/>
        <v>0</v>
      </c>
      <c r="S401" s="235">
        <f t="shared" si="101"/>
        <v>0</v>
      </c>
      <c r="T401" s="243"/>
      <c r="U401" s="243"/>
    </row>
    <row r="402" spans="1:21" outlineLevel="1" x14ac:dyDescent="0.2">
      <c r="B402" s="229"/>
      <c r="C402" s="280"/>
      <c r="D402" s="229"/>
      <c r="E402" s="229"/>
      <c r="M402" s="229"/>
      <c r="N402" s="229"/>
      <c r="O402" s="229"/>
      <c r="P402" s="229"/>
      <c r="Q402" s="229"/>
      <c r="R402" s="229"/>
      <c r="S402" s="229"/>
    </row>
    <row r="403" spans="1:21" outlineLevel="1" x14ac:dyDescent="0.2">
      <c r="B403" s="229" t="s">
        <v>274</v>
      </c>
      <c r="C403" s="280" t="s">
        <v>250</v>
      </c>
      <c r="D403" s="229"/>
      <c r="E403" s="229"/>
      <c r="M403" s="345">
        <v>0</v>
      </c>
      <c r="N403" s="345">
        <v>0</v>
      </c>
      <c r="O403" s="345">
        <v>0</v>
      </c>
      <c r="P403" s="345">
        <v>0</v>
      </c>
      <c r="Q403" s="345">
        <v>0</v>
      </c>
      <c r="R403" s="345">
        <v>0</v>
      </c>
      <c r="S403" s="345">
        <v>0</v>
      </c>
    </row>
    <row r="404" spans="1:21" outlineLevel="1" x14ac:dyDescent="0.2">
      <c r="A404" s="243"/>
      <c r="B404" s="288" t="s">
        <v>296</v>
      </c>
      <c r="C404" s="337" t="s">
        <v>250</v>
      </c>
      <c r="D404" s="288"/>
      <c r="E404" s="288"/>
      <c r="F404" s="243"/>
      <c r="G404" s="243"/>
      <c r="H404" s="243"/>
      <c r="I404" s="335"/>
      <c r="J404" s="243"/>
      <c r="K404" s="243"/>
      <c r="M404" s="235">
        <f>M401+M403</f>
        <v>0</v>
      </c>
      <c r="N404" s="235">
        <f t="shared" ref="N404:S404" si="102">N401+N403</f>
        <v>0</v>
      </c>
      <c r="O404" s="235">
        <f t="shared" si="102"/>
        <v>0</v>
      </c>
      <c r="P404" s="235">
        <f t="shared" si="102"/>
        <v>0</v>
      </c>
      <c r="Q404" s="235">
        <f t="shared" si="102"/>
        <v>0</v>
      </c>
      <c r="R404" s="235">
        <f t="shared" si="102"/>
        <v>0</v>
      </c>
      <c r="S404" s="235">
        <f t="shared" si="102"/>
        <v>0</v>
      </c>
      <c r="T404" s="243"/>
      <c r="U404" s="243"/>
    </row>
    <row r="405" spans="1:21" outlineLevel="1" x14ac:dyDescent="0.2">
      <c r="A405" s="243"/>
      <c r="B405" s="288"/>
      <c r="C405" s="337"/>
      <c r="D405" s="288"/>
      <c r="E405" s="288"/>
      <c r="F405" s="243"/>
      <c r="G405" s="243"/>
      <c r="H405" s="243"/>
      <c r="I405" s="335"/>
      <c r="J405" s="243"/>
      <c r="K405" s="243"/>
      <c r="M405" s="294"/>
      <c r="N405" s="294"/>
      <c r="O405" s="294"/>
      <c r="P405" s="294"/>
      <c r="Q405" s="294"/>
      <c r="R405" s="294"/>
      <c r="S405" s="294"/>
      <c r="T405" s="243"/>
      <c r="U405" s="243"/>
    </row>
    <row r="406" spans="1:21" outlineLevel="1" x14ac:dyDescent="0.2">
      <c r="B406" s="242" t="s">
        <v>461</v>
      </c>
      <c r="C406" s="280" t="s">
        <v>58</v>
      </c>
      <c r="D406" s="297">
        <f>SUM(H406:S406)</f>
        <v>0</v>
      </c>
      <c r="E406" s="298"/>
      <c r="M406" s="228">
        <f>0-M404</f>
        <v>0</v>
      </c>
      <c r="N406" s="228">
        <f t="shared" ref="N406:S406" si="103">0-N404</f>
        <v>0</v>
      </c>
      <c r="O406" s="228">
        <f t="shared" si="103"/>
        <v>0</v>
      </c>
      <c r="P406" s="228">
        <f t="shared" si="103"/>
        <v>0</v>
      </c>
      <c r="Q406" s="228">
        <f t="shared" si="103"/>
        <v>0</v>
      </c>
      <c r="R406" s="228">
        <f t="shared" si="103"/>
        <v>0</v>
      </c>
      <c r="S406" s="228">
        <f t="shared" si="103"/>
        <v>0</v>
      </c>
    </row>
    <row r="407" spans="1:21" outlineLevel="1" x14ac:dyDescent="0.2">
      <c r="B407" s="229"/>
      <c r="C407" s="229"/>
      <c r="D407" s="229"/>
      <c r="E407" s="229"/>
    </row>
    <row r="408" spans="1:21" outlineLevel="1" x14ac:dyDescent="0.2">
      <c r="B408" s="304" t="s">
        <v>77</v>
      </c>
      <c r="C408" s="314"/>
      <c r="D408" s="347"/>
      <c r="E408" s="314"/>
      <c r="F408" s="242"/>
      <c r="G408" s="302"/>
      <c r="H408" s="302"/>
      <c r="I408" s="302"/>
      <c r="J408" s="302"/>
      <c r="K408" s="242"/>
      <c r="M408" s="242"/>
      <c r="N408" s="242"/>
      <c r="O408" s="242"/>
      <c r="P408" s="242"/>
      <c r="Q408" s="242"/>
      <c r="R408" s="242"/>
      <c r="S408" s="242"/>
    </row>
    <row r="409" spans="1:21" outlineLevel="1" x14ac:dyDescent="0.2">
      <c r="B409" s="288"/>
      <c r="C409" s="337"/>
      <c r="D409" s="229"/>
      <c r="E409" s="229"/>
      <c r="M409" s="229"/>
      <c r="N409" s="229"/>
      <c r="O409" s="229"/>
      <c r="P409" s="229"/>
      <c r="Q409" s="229"/>
      <c r="R409" s="229"/>
      <c r="S409" s="229"/>
    </row>
    <row r="410" spans="1:21" outlineLevel="1" x14ac:dyDescent="0.2">
      <c r="B410" s="288" t="s">
        <v>298</v>
      </c>
      <c r="C410" s="338"/>
      <c r="D410" s="229"/>
      <c r="E410" s="229"/>
      <c r="M410" s="229"/>
      <c r="N410" s="229"/>
      <c r="O410" s="229"/>
      <c r="P410" s="229"/>
      <c r="Q410" s="229"/>
      <c r="R410" s="229"/>
      <c r="S410" s="229"/>
    </row>
    <row r="411" spans="1:21" outlineLevel="1" x14ac:dyDescent="0.2">
      <c r="B411" s="267" t="s">
        <v>284</v>
      </c>
      <c r="C411" s="280" t="s">
        <v>250</v>
      </c>
      <c r="D411" s="229"/>
      <c r="E411" s="229"/>
      <c r="M411" s="238">
        <f>SUMIFS('Forecast capex'!$S$9:$S$1940,'Forecast capex'!$C$9:$C$1940,$B411,'Forecast capex'!$AD$9:$AD$1940,$B$408,'Forecast capex'!$K$9:$K$1940,M$11)</f>
        <v>0</v>
      </c>
      <c r="N411" s="238">
        <f>SUMIFS('Forecast capex'!$S$9:$S$1940,'Forecast capex'!$C$9:$C$1940,$B411,'Forecast capex'!$AD$9:$AD$1940,$B$408,'Forecast capex'!$K$9:$K$1940,N$11)</f>
        <v>0</v>
      </c>
      <c r="O411" s="238">
        <f>SUMIFS('Forecast capex'!$S$9:$S$1940,'Forecast capex'!$C$9:$C$1940,$B411,'Forecast capex'!$AD$9:$AD$1940,$B$408,'Forecast capex'!$K$9:$K$1940,O$11)</f>
        <v>0</v>
      </c>
      <c r="P411" s="238">
        <f>SUMIFS('Forecast capex'!$S$9:$S$1940,'Forecast capex'!$C$9:$C$1940,$B411,'Forecast capex'!$AD$9:$AD$1940,$B$408,'Forecast capex'!$K$9:$K$1940,P$11)</f>
        <v>0</v>
      </c>
      <c r="Q411" s="238">
        <f>SUMIFS('Forecast capex'!$S$9:$S$1940,'Forecast capex'!$C$9:$C$1940,$B411,'Forecast capex'!$AD$9:$AD$1940,$B$408,'Forecast capex'!$K$9:$K$1940,Q$11)</f>
        <v>0</v>
      </c>
      <c r="R411" s="238">
        <f>SUMIFS('Forecast capex'!$S$9:$S$1940,'Forecast capex'!$C$9:$C$1940,$B411,'Forecast capex'!$AD$9:$AD$1940,$B$408,'Forecast capex'!$K$9:$K$1940,R$11)</f>
        <v>0</v>
      </c>
      <c r="S411" s="238">
        <f>SUMIFS('Forecast capex'!$S$9:$S$1940,'Forecast capex'!$C$9:$C$1940,$B411,'Forecast capex'!$AD$9:$AD$1940,$B$408,'Forecast capex'!$K$9:$K$1940,S$11)</f>
        <v>0</v>
      </c>
    </row>
    <row r="412" spans="1:21" outlineLevel="1" x14ac:dyDescent="0.2">
      <c r="B412" s="267" t="s">
        <v>285</v>
      </c>
      <c r="C412" s="280" t="s">
        <v>250</v>
      </c>
      <c r="D412" s="229"/>
      <c r="E412" s="229"/>
      <c r="M412" s="238">
        <f>SUMIFS('Forecast capex'!$S$9:$S$1940,'Forecast capex'!$C$9:$C$1940,$B412,'Forecast capex'!$AD$9:$AD$1940,$B$408,'Forecast capex'!$K$9:$K$1940,M$11)</f>
        <v>0</v>
      </c>
      <c r="N412" s="238">
        <f>SUMIFS('Forecast capex'!$S$9:$S$1940,'Forecast capex'!$C$9:$C$1940,$B412,'Forecast capex'!$AD$9:$AD$1940,$B$408,'Forecast capex'!$K$9:$K$1940,N$11)</f>
        <v>0</v>
      </c>
      <c r="O412" s="238">
        <f>SUMIFS('Forecast capex'!$S$9:$S$1940,'Forecast capex'!$C$9:$C$1940,$B412,'Forecast capex'!$AD$9:$AD$1940,$B$408,'Forecast capex'!$K$9:$K$1940,O$11)</f>
        <v>0</v>
      </c>
      <c r="P412" s="238">
        <f>SUMIFS('Forecast capex'!$S$9:$S$1940,'Forecast capex'!$C$9:$C$1940,$B412,'Forecast capex'!$AD$9:$AD$1940,$B$408,'Forecast capex'!$K$9:$K$1940,P$11)</f>
        <v>0</v>
      </c>
      <c r="Q412" s="238">
        <f>SUMIFS('Forecast capex'!$S$9:$S$1940,'Forecast capex'!$C$9:$C$1940,$B412,'Forecast capex'!$AD$9:$AD$1940,$B$408,'Forecast capex'!$K$9:$K$1940,Q$11)</f>
        <v>0</v>
      </c>
      <c r="R412" s="238">
        <f>SUMIFS('Forecast capex'!$S$9:$S$1940,'Forecast capex'!$C$9:$C$1940,$B412,'Forecast capex'!$AD$9:$AD$1940,$B$408,'Forecast capex'!$K$9:$K$1940,R$11)</f>
        <v>0</v>
      </c>
      <c r="S412" s="238">
        <f>SUMIFS('Forecast capex'!$S$9:$S$1940,'Forecast capex'!$C$9:$C$1940,$B412,'Forecast capex'!$AD$9:$AD$1940,$B$408,'Forecast capex'!$K$9:$K$1940,S$11)</f>
        <v>0</v>
      </c>
    </row>
    <row r="413" spans="1:21" outlineLevel="1" x14ac:dyDescent="0.2">
      <c r="B413" s="267" t="s">
        <v>286</v>
      </c>
      <c r="C413" s="280" t="s">
        <v>250</v>
      </c>
      <c r="D413" s="229"/>
      <c r="E413" s="229"/>
      <c r="M413" s="238">
        <f>SUMIFS('Forecast capex'!$S$9:$S$1940,'Forecast capex'!$C$9:$C$1940,$B413,'Forecast capex'!$AD$9:$AD$1940,$B$408,'Forecast capex'!$K$9:$K$1940,M$11)</f>
        <v>0</v>
      </c>
      <c r="N413" s="238">
        <f>SUMIFS('Forecast capex'!$S$9:$S$1940,'Forecast capex'!$C$9:$C$1940,$B413,'Forecast capex'!$AD$9:$AD$1940,$B$408,'Forecast capex'!$K$9:$K$1940,N$11)</f>
        <v>0</v>
      </c>
      <c r="O413" s="238">
        <f>SUMIFS('Forecast capex'!$S$9:$S$1940,'Forecast capex'!$C$9:$C$1940,$B413,'Forecast capex'!$AD$9:$AD$1940,$B$408,'Forecast capex'!$K$9:$K$1940,O$11)</f>
        <v>0</v>
      </c>
      <c r="P413" s="238">
        <f>SUMIFS('Forecast capex'!$S$9:$S$1940,'Forecast capex'!$C$9:$C$1940,$B413,'Forecast capex'!$AD$9:$AD$1940,$B$408,'Forecast capex'!$K$9:$K$1940,P$11)</f>
        <v>0</v>
      </c>
      <c r="Q413" s="238">
        <f>SUMIFS('Forecast capex'!$S$9:$S$1940,'Forecast capex'!$C$9:$C$1940,$B413,'Forecast capex'!$AD$9:$AD$1940,$B$408,'Forecast capex'!$K$9:$K$1940,Q$11)</f>
        <v>0</v>
      </c>
      <c r="R413" s="238">
        <f>SUMIFS('Forecast capex'!$S$9:$S$1940,'Forecast capex'!$C$9:$C$1940,$B413,'Forecast capex'!$AD$9:$AD$1940,$B$408,'Forecast capex'!$K$9:$K$1940,R$11)</f>
        <v>0</v>
      </c>
      <c r="S413" s="238">
        <f>SUMIFS('Forecast capex'!$S$9:$S$1940,'Forecast capex'!$C$9:$C$1940,$B413,'Forecast capex'!$AD$9:$AD$1940,$B$408,'Forecast capex'!$K$9:$K$1940,S$11)</f>
        <v>0</v>
      </c>
    </row>
    <row r="414" spans="1:21" outlineLevel="1" x14ac:dyDescent="0.2">
      <c r="B414" s="267" t="s">
        <v>287</v>
      </c>
      <c r="C414" s="280" t="s">
        <v>250</v>
      </c>
      <c r="D414" s="229"/>
      <c r="E414" s="229"/>
      <c r="M414" s="238">
        <f>SUMIFS('Forecast capex'!$S$9:$S$1940,'Forecast capex'!$C$9:$C$1940,$B414,'Forecast capex'!$AD$9:$AD$1940,$B$408,'Forecast capex'!$K$9:$K$1940,M$11)</f>
        <v>0</v>
      </c>
      <c r="N414" s="238">
        <f>SUMIFS('Forecast capex'!$S$9:$S$1940,'Forecast capex'!$C$9:$C$1940,$B414,'Forecast capex'!$AD$9:$AD$1940,$B$408,'Forecast capex'!$K$9:$K$1940,N$11)</f>
        <v>0</v>
      </c>
      <c r="O414" s="238">
        <f>SUMIFS('Forecast capex'!$S$9:$S$1940,'Forecast capex'!$C$9:$C$1940,$B414,'Forecast capex'!$AD$9:$AD$1940,$B$408,'Forecast capex'!$K$9:$K$1940,O$11)</f>
        <v>0</v>
      </c>
      <c r="P414" s="238">
        <f>SUMIFS('Forecast capex'!$S$9:$S$1940,'Forecast capex'!$C$9:$C$1940,$B414,'Forecast capex'!$AD$9:$AD$1940,$B$408,'Forecast capex'!$K$9:$K$1940,P$11)</f>
        <v>0</v>
      </c>
      <c r="Q414" s="238">
        <f>SUMIFS('Forecast capex'!$S$9:$S$1940,'Forecast capex'!$C$9:$C$1940,$B414,'Forecast capex'!$AD$9:$AD$1940,$B$408,'Forecast capex'!$K$9:$K$1940,Q$11)</f>
        <v>0</v>
      </c>
      <c r="R414" s="238">
        <f>SUMIFS('Forecast capex'!$S$9:$S$1940,'Forecast capex'!$C$9:$C$1940,$B414,'Forecast capex'!$AD$9:$AD$1940,$B$408,'Forecast capex'!$K$9:$K$1940,R$11)</f>
        <v>0</v>
      </c>
      <c r="S414" s="238">
        <f>SUMIFS('Forecast capex'!$S$9:$S$1940,'Forecast capex'!$C$9:$C$1940,$B414,'Forecast capex'!$AD$9:$AD$1940,$B$408,'Forecast capex'!$K$9:$K$1940,S$11)</f>
        <v>0</v>
      </c>
    </row>
    <row r="415" spans="1:21" outlineLevel="1" x14ac:dyDescent="0.2">
      <c r="B415" s="267" t="s">
        <v>288</v>
      </c>
      <c r="C415" s="280" t="s">
        <v>250</v>
      </c>
      <c r="D415" s="229"/>
      <c r="E415" s="229"/>
      <c r="M415" s="238">
        <f>SUMIFS('Forecast capex'!$S$9:$S$1940,'Forecast capex'!$C$9:$C$1940,$B415,'Forecast capex'!$AD$9:$AD$1940,$B$408,'Forecast capex'!$K$9:$K$1940,M$11)</f>
        <v>0</v>
      </c>
      <c r="N415" s="238">
        <f>SUMIFS('Forecast capex'!$S$9:$S$1940,'Forecast capex'!$C$9:$C$1940,$B415,'Forecast capex'!$AD$9:$AD$1940,$B$408,'Forecast capex'!$K$9:$K$1940,N$11)</f>
        <v>0</v>
      </c>
      <c r="O415" s="238">
        <f>SUMIFS('Forecast capex'!$S$9:$S$1940,'Forecast capex'!$C$9:$C$1940,$B415,'Forecast capex'!$AD$9:$AD$1940,$B$408,'Forecast capex'!$K$9:$K$1940,O$11)</f>
        <v>0</v>
      </c>
      <c r="P415" s="238">
        <f>SUMIFS('Forecast capex'!$S$9:$S$1940,'Forecast capex'!$C$9:$C$1940,$B415,'Forecast capex'!$AD$9:$AD$1940,$B$408,'Forecast capex'!$K$9:$K$1940,P$11)</f>
        <v>0</v>
      </c>
      <c r="Q415" s="238">
        <f>SUMIFS('Forecast capex'!$S$9:$S$1940,'Forecast capex'!$C$9:$C$1940,$B415,'Forecast capex'!$AD$9:$AD$1940,$B$408,'Forecast capex'!$K$9:$K$1940,Q$11)</f>
        <v>0</v>
      </c>
      <c r="R415" s="238">
        <f>SUMIFS('Forecast capex'!$S$9:$S$1940,'Forecast capex'!$C$9:$C$1940,$B415,'Forecast capex'!$AD$9:$AD$1940,$B$408,'Forecast capex'!$K$9:$K$1940,R$11)</f>
        <v>0</v>
      </c>
      <c r="S415" s="238">
        <f>SUMIFS('Forecast capex'!$S$9:$S$1940,'Forecast capex'!$C$9:$C$1940,$B415,'Forecast capex'!$AD$9:$AD$1940,$B$408,'Forecast capex'!$K$9:$K$1940,S$11)</f>
        <v>0</v>
      </c>
    </row>
    <row r="416" spans="1:21" outlineLevel="1" x14ac:dyDescent="0.2">
      <c r="B416" s="267" t="s">
        <v>289</v>
      </c>
      <c r="C416" s="280" t="s">
        <v>250</v>
      </c>
      <c r="D416" s="229"/>
      <c r="E416" s="229"/>
      <c r="M416" s="238">
        <f>SUMIFS('Forecast capex'!$S$9:$S$1940,'Forecast capex'!$C$9:$C$1940,$B416,'Forecast capex'!$AD$9:$AD$1940,$B$408,'Forecast capex'!$K$9:$K$1940,M$11)</f>
        <v>0</v>
      </c>
      <c r="N416" s="238">
        <f>SUMIFS('Forecast capex'!$S$9:$S$1940,'Forecast capex'!$C$9:$C$1940,$B416,'Forecast capex'!$AD$9:$AD$1940,$B$408,'Forecast capex'!$K$9:$K$1940,N$11)</f>
        <v>0</v>
      </c>
      <c r="O416" s="238">
        <f>SUMIFS('Forecast capex'!$S$9:$S$1940,'Forecast capex'!$C$9:$C$1940,$B416,'Forecast capex'!$AD$9:$AD$1940,$B$408,'Forecast capex'!$K$9:$K$1940,O$11)</f>
        <v>0</v>
      </c>
      <c r="P416" s="238">
        <f>SUMIFS('Forecast capex'!$S$9:$S$1940,'Forecast capex'!$C$9:$C$1940,$B416,'Forecast capex'!$AD$9:$AD$1940,$B$408,'Forecast capex'!$K$9:$K$1940,P$11)</f>
        <v>0</v>
      </c>
      <c r="Q416" s="238">
        <f>SUMIFS('Forecast capex'!$S$9:$S$1940,'Forecast capex'!$C$9:$C$1940,$B416,'Forecast capex'!$AD$9:$AD$1940,$B$408,'Forecast capex'!$K$9:$K$1940,Q$11)</f>
        <v>0</v>
      </c>
      <c r="R416" s="238">
        <f>SUMIFS('Forecast capex'!$S$9:$S$1940,'Forecast capex'!$C$9:$C$1940,$B416,'Forecast capex'!$AD$9:$AD$1940,$B$408,'Forecast capex'!$K$9:$K$1940,R$11)</f>
        <v>0</v>
      </c>
      <c r="S416" s="238">
        <f>SUMIFS('Forecast capex'!$S$9:$S$1940,'Forecast capex'!$C$9:$C$1940,$B416,'Forecast capex'!$AD$9:$AD$1940,$B$408,'Forecast capex'!$K$9:$K$1940,S$11)</f>
        <v>0</v>
      </c>
    </row>
    <row r="417" spans="2:19" outlineLevel="1" x14ac:dyDescent="0.2">
      <c r="B417" s="267" t="s">
        <v>290</v>
      </c>
      <c r="C417" s="280" t="s">
        <v>250</v>
      </c>
      <c r="D417" s="229"/>
      <c r="E417" s="229"/>
      <c r="M417" s="238">
        <f>SUMIFS('Forecast capex'!$S$9:$S$1940,'Forecast capex'!$C$9:$C$1940,$B417,'Forecast capex'!$AD$9:$AD$1940,$B$408,'Forecast capex'!$K$9:$K$1940,M$11)</f>
        <v>0</v>
      </c>
      <c r="N417" s="238">
        <f>SUMIFS('Forecast capex'!$S$9:$S$1940,'Forecast capex'!$C$9:$C$1940,$B417,'Forecast capex'!$AD$9:$AD$1940,$B$408,'Forecast capex'!$K$9:$K$1940,N$11)</f>
        <v>0</v>
      </c>
      <c r="O417" s="238">
        <f>SUMIFS('Forecast capex'!$S$9:$S$1940,'Forecast capex'!$C$9:$C$1940,$B417,'Forecast capex'!$AD$9:$AD$1940,$B$408,'Forecast capex'!$K$9:$K$1940,O$11)</f>
        <v>0</v>
      </c>
      <c r="P417" s="238">
        <f>SUMIFS('Forecast capex'!$S$9:$S$1940,'Forecast capex'!$C$9:$C$1940,$B417,'Forecast capex'!$AD$9:$AD$1940,$B$408,'Forecast capex'!$K$9:$K$1940,P$11)</f>
        <v>0</v>
      </c>
      <c r="Q417" s="238">
        <f>SUMIFS('Forecast capex'!$S$9:$S$1940,'Forecast capex'!$C$9:$C$1940,$B417,'Forecast capex'!$AD$9:$AD$1940,$B$408,'Forecast capex'!$K$9:$K$1940,Q$11)</f>
        <v>0</v>
      </c>
      <c r="R417" s="238">
        <f>SUMIFS('Forecast capex'!$S$9:$S$1940,'Forecast capex'!$C$9:$C$1940,$B417,'Forecast capex'!$AD$9:$AD$1940,$B$408,'Forecast capex'!$K$9:$K$1940,R$11)</f>
        <v>0</v>
      </c>
      <c r="S417" s="238">
        <f>SUMIFS('Forecast capex'!$S$9:$S$1940,'Forecast capex'!$C$9:$C$1940,$B417,'Forecast capex'!$AD$9:$AD$1940,$B$408,'Forecast capex'!$K$9:$K$1940,S$11)</f>
        <v>0</v>
      </c>
    </row>
    <row r="418" spans="2:19" outlineLevel="1" x14ac:dyDescent="0.2">
      <c r="B418" s="267" t="s">
        <v>291</v>
      </c>
      <c r="C418" s="280" t="s">
        <v>250</v>
      </c>
      <c r="D418" s="229"/>
      <c r="E418" s="229"/>
      <c r="M418" s="238">
        <f>SUMIFS('Forecast capex'!$S$9:$S$1940,'Forecast capex'!$C$9:$C$1940,$B418,'Forecast capex'!$AD$9:$AD$1940,$B$408,'Forecast capex'!$K$9:$K$1940,M$11)</f>
        <v>0</v>
      </c>
      <c r="N418" s="238">
        <f>SUMIFS('Forecast capex'!$S$9:$S$1940,'Forecast capex'!$C$9:$C$1940,$B418,'Forecast capex'!$AD$9:$AD$1940,$B$408,'Forecast capex'!$K$9:$K$1940,N$11)</f>
        <v>0</v>
      </c>
      <c r="O418" s="238">
        <f>SUMIFS('Forecast capex'!$S$9:$S$1940,'Forecast capex'!$C$9:$C$1940,$B418,'Forecast capex'!$AD$9:$AD$1940,$B$408,'Forecast capex'!$K$9:$K$1940,O$11)</f>
        <v>0</v>
      </c>
      <c r="P418" s="238">
        <f>SUMIFS('Forecast capex'!$S$9:$S$1940,'Forecast capex'!$C$9:$C$1940,$B418,'Forecast capex'!$AD$9:$AD$1940,$B$408,'Forecast capex'!$K$9:$K$1940,P$11)</f>
        <v>0</v>
      </c>
      <c r="Q418" s="238">
        <f>SUMIFS('Forecast capex'!$S$9:$S$1940,'Forecast capex'!$C$9:$C$1940,$B418,'Forecast capex'!$AD$9:$AD$1940,$B$408,'Forecast capex'!$K$9:$K$1940,Q$11)</f>
        <v>0</v>
      </c>
      <c r="R418" s="238">
        <f>SUMIFS('Forecast capex'!$S$9:$S$1940,'Forecast capex'!$C$9:$C$1940,$B418,'Forecast capex'!$AD$9:$AD$1940,$B$408,'Forecast capex'!$K$9:$K$1940,R$11)</f>
        <v>0</v>
      </c>
      <c r="S418" s="238">
        <f>SUMIFS('Forecast capex'!$S$9:$S$1940,'Forecast capex'!$C$9:$C$1940,$B418,'Forecast capex'!$AD$9:$AD$1940,$B$408,'Forecast capex'!$K$9:$K$1940,S$11)</f>
        <v>0</v>
      </c>
    </row>
    <row r="419" spans="2:19" outlineLevel="1" x14ac:dyDescent="0.2">
      <c r="B419" s="267" t="s">
        <v>292</v>
      </c>
      <c r="C419" s="280" t="s">
        <v>250</v>
      </c>
      <c r="D419" s="229"/>
      <c r="E419" s="229"/>
      <c r="M419" s="238">
        <f>SUMIFS('Forecast capex'!$S$9:$S$1940,'Forecast capex'!$C$9:$C$1940,$B419,'Forecast capex'!$AD$9:$AD$1940,$B$408,'Forecast capex'!$K$9:$K$1940,M$11)</f>
        <v>0</v>
      </c>
      <c r="N419" s="238">
        <f>SUMIFS('Forecast capex'!$S$9:$S$1940,'Forecast capex'!$C$9:$C$1940,$B419,'Forecast capex'!$AD$9:$AD$1940,$B$408,'Forecast capex'!$K$9:$K$1940,N$11)</f>
        <v>0</v>
      </c>
      <c r="O419" s="238">
        <f>SUMIFS('Forecast capex'!$S$9:$S$1940,'Forecast capex'!$C$9:$C$1940,$B419,'Forecast capex'!$AD$9:$AD$1940,$B$408,'Forecast capex'!$K$9:$K$1940,O$11)</f>
        <v>0</v>
      </c>
      <c r="P419" s="238">
        <f>SUMIFS('Forecast capex'!$S$9:$S$1940,'Forecast capex'!$C$9:$C$1940,$B419,'Forecast capex'!$AD$9:$AD$1940,$B$408,'Forecast capex'!$K$9:$K$1940,P$11)</f>
        <v>0</v>
      </c>
      <c r="Q419" s="238">
        <f>SUMIFS('Forecast capex'!$S$9:$S$1940,'Forecast capex'!$C$9:$C$1940,$B419,'Forecast capex'!$AD$9:$AD$1940,$B$408,'Forecast capex'!$K$9:$K$1940,Q$11)</f>
        <v>0</v>
      </c>
      <c r="R419" s="238">
        <f>SUMIFS('Forecast capex'!$S$9:$S$1940,'Forecast capex'!$C$9:$C$1940,$B419,'Forecast capex'!$AD$9:$AD$1940,$B$408,'Forecast capex'!$K$9:$K$1940,R$11)</f>
        <v>0</v>
      </c>
      <c r="S419" s="238">
        <f>SUMIFS('Forecast capex'!$S$9:$S$1940,'Forecast capex'!$C$9:$C$1940,$B419,'Forecast capex'!$AD$9:$AD$1940,$B$408,'Forecast capex'!$K$9:$K$1940,S$11)</f>
        <v>0</v>
      </c>
    </row>
    <row r="420" spans="2:19" outlineLevel="1" x14ac:dyDescent="0.2">
      <c r="B420" s="288" t="s">
        <v>49</v>
      </c>
      <c r="C420" s="337" t="s">
        <v>250</v>
      </c>
      <c r="D420" s="288"/>
      <c r="E420" s="288"/>
      <c r="F420" s="243"/>
      <c r="G420" s="243"/>
      <c r="H420" s="243"/>
      <c r="I420" s="335"/>
      <c r="J420" s="243"/>
      <c r="K420" s="243"/>
      <c r="M420" s="235">
        <f t="shared" ref="M420:S420" si="104">SUM(M411:M419)</f>
        <v>0</v>
      </c>
      <c r="N420" s="235">
        <f t="shared" si="104"/>
        <v>0</v>
      </c>
      <c r="O420" s="235">
        <f t="shared" si="104"/>
        <v>0</v>
      </c>
      <c r="P420" s="235">
        <f t="shared" si="104"/>
        <v>0</v>
      </c>
      <c r="Q420" s="235">
        <f t="shared" si="104"/>
        <v>0</v>
      </c>
      <c r="R420" s="235">
        <f t="shared" si="104"/>
        <v>0</v>
      </c>
      <c r="S420" s="235">
        <f t="shared" si="104"/>
        <v>0</v>
      </c>
    </row>
    <row r="421" spans="2:19" outlineLevel="1" x14ac:dyDescent="0.2">
      <c r="B421" s="229"/>
      <c r="C421" s="338"/>
      <c r="D421" s="229"/>
      <c r="E421" s="229"/>
    </row>
    <row r="422" spans="2:19" outlineLevel="1" x14ac:dyDescent="0.2">
      <c r="B422" s="242" t="s">
        <v>462</v>
      </c>
      <c r="C422" s="280" t="s">
        <v>58</v>
      </c>
      <c r="D422" s="297">
        <f>SUM(H422:S422)</f>
        <v>0</v>
      </c>
      <c r="E422" s="298"/>
      <c r="M422" s="228">
        <f>SUMIFS('Forecast capex'!$S$9:$S$1940,'Forecast capex'!$AD$9:$AD$1940,$B$408,'Forecast capex'!$K$9:$K$1940,M$11)-M420</f>
        <v>0</v>
      </c>
      <c r="N422" s="228">
        <f>SUMIFS('Forecast capex'!$S$9:$S$1940,'Forecast capex'!$AD$9:$AD$1940,$B$408,'Forecast capex'!$K$9:$K$1940,N$11)-N420</f>
        <v>0</v>
      </c>
      <c r="O422" s="228">
        <f>SUMIFS('Forecast capex'!$S$9:$S$1940,'Forecast capex'!$AD$9:$AD$1940,$B$408,'Forecast capex'!$K$9:$K$1940,O$11)-O420</f>
        <v>0</v>
      </c>
      <c r="P422" s="228">
        <f>SUMIFS('Forecast capex'!$S$9:$S$1940,'Forecast capex'!$AD$9:$AD$1940,$B$408,'Forecast capex'!$K$9:$K$1940,P$11)-P420</f>
        <v>0</v>
      </c>
      <c r="Q422" s="228">
        <f>SUMIFS('Forecast capex'!$S$9:$S$1940,'Forecast capex'!$AD$9:$AD$1940,$B$408,'Forecast capex'!$K$9:$K$1940,Q$11)-Q420</f>
        <v>0</v>
      </c>
      <c r="R422" s="228">
        <f>SUMIFS('Forecast capex'!$S$9:$S$1940,'Forecast capex'!$AD$9:$AD$1940,$B$408,'Forecast capex'!$K$9:$K$1940,R$11)-R420</f>
        <v>0</v>
      </c>
      <c r="S422" s="228">
        <f>SUMIFS('Forecast capex'!$S$9:$S$1940,'Forecast capex'!$AD$9:$AD$1940,$B$408,'Forecast capex'!$K$9:$K$1940,S$11)-S420</f>
        <v>0</v>
      </c>
    </row>
    <row r="423" spans="2:19" outlineLevel="1" x14ac:dyDescent="0.2">
      <c r="B423" s="229"/>
      <c r="C423" s="338"/>
      <c r="D423" s="229"/>
      <c r="E423" s="229"/>
    </row>
    <row r="424" spans="2:19" outlineLevel="1" x14ac:dyDescent="0.2">
      <c r="B424" s="287" t="s">
        <v>100</v>
      </c>
      <c r="C424" s="314"/>
      <c r="D424" s="347"/>
      <c r="E424" s="314"/>
      <c r="F424" s="242"/>
      <c r="G424" s="302"/>
      <c r="H424" s="302"/>
      <c r="I424" s="302"/>
      <c r="J424" s="302"/>
      <c r="K424" s="242"/>
      <c r="M424" s="242"/>
      <c r="N424" s="242"/>
      <c r="O424" s="242"/>
      <c r="P424" s="242"/>
      <c r="Q424" s="242"/>
      <c r="R424" s="242"/>
      <c r="S424" s="242"/>
    </row>
    <row r="425" spans="2:19" outlineLevel="1" x14ac:dyDescent="0.2">
      <c r="B425" s="229"/>
      <c r="C425" s="338"/>
      <c r="D425" s="229"/>
      <c r="E425" s="229"/>
      <c r="K425" s="289"/>
      <c r="M425" s="289"/>
      <c r="N425" s="289"/>
      <c r="O425" s="289"/>
      <c r="P425" s="289"/>
      <c r="Q425" s="289"/>
      <c r="R425" s="289"/>
      <c r="S425" s="289"/>
    </row>
    <row r="426" spans="2:19" outlineLevel="1" x14ac:dyDescent="0.2">
      <c r="B426" s="288" t="s">
        <v>298</v>
      </c>
      <c r="C426" s="338"/>
      <c r="D426" s="229"/>
      <c r="E426" s="229"/>
      <c r="M426" s="229"/>
      <c r="N426" s="229"/>
      <c r="O426" s="229"/>
      <c r="P426" s="229"/>
      <c r="Q426" s="229"/>
      <c r="R426" s="229"/>
      <c r="S426" s="229"/>
    </row>
    <row r="427" spans="2:19" outlineLevel="1" x14ac:dyDescent="0.2">
      <c r="B427" s="267" t="s">
        <v>284</v>
      </c>
      <c r="C427" s="280" t="s">
        <v>250</v>
      </c>
      <c r="D427" s="229"/>
      <c r="E427" s="229"/>
      <c r="M427" s="238">
        <f>SUMIFS('Forecast capex'!$S$9:$S$1940,'Forecast capex'!$C$9:$C$1940,$B427,'Forecast capex'!$AD$9:$AD$1940,$B$424,'Forecast capex'!$K$9:$K$1940,M$11)</f>
        <v>0</v>
      </c>
      <c r="N427" s="238">
        <f>SUMIFS('Forecast capex'!$S$9:$S$1940,'Forecast capex'!$C$9:$C$1940,$B427,'Forecast capex'!$AD$9:$AD$1940,$B$424,'Forecast capex'!$K$9:$K$1940,N$11)</f>
        <v>0</v>
      </c>
      <c r="O427" s="238">
        <f>SUMIFS('Forecast capex'!$S$9:$S$1940,'Forecast capex'!$C$9:$C$1940,$B427,'Forecast capex'!$AD$9:$AD$1940,$B$424,'Forecast capex'!$K$9:$K$1940,O$11)</f>
        <v>0</v>
      </c>
      <c r="P427" s="238">
        <f>SUMIFS('Forecast capex'!$S$9:$S$1940,'Forecast capex'!$C$9:$C$1940,$B427,'Forecast capex'!$AD$9:$AD$1940,$B$424,'Forecast capex'!$K$9:$K$1940,P$11)</f>
        <v>0</v>
      </c>
      <c r="Q427" s="238">
        <f>SUMIFS('Forecast capex'!$S$9:$S$1940,'Forecast capex'!$C$9:$C$1940,$B427,'Forecast capex'!$AD$9:$AD$1940,$B$424,'Forecast capex'!$K$9:$K$1940,Q$11)</f>
        <v>0</v>
      </c>
      <c r="R427" s="238">
        <f>SUMIFS('Forecast capex'!$S$9:$S$1940,'Forecast capex'!$C$9:$C$1940,$B427,'Forecast capex'!$AD$9:$AD$1940,$B$424,'Forecast capex'!$K$9:$K$1940,R$11)</f>
        <v>0</v>
      </c>
      <c r="S427" s="238">
        <f>SUMIFS('Forecast capex'!$S$9:$S$1940,'Forecast capex'!$C$9:$C$1940,$B427,'Forecast capex'!$AD$9:$AD$1940,$B$424,'Forecast capex'!$K$9:$K$1940,S$11)</f>
        <v>0</v>
      </c>
    </row>
    <row r="428" spans="2:19" outlineLevel="1" x14ac:dyDescent="0.2">
      <c r="B428" s="267" t="s">
        <v>285</v>
      </c>
      <c r="C428" s="280" t="s">
        <v>250</v>
      </c>
      <c r="D428" s="229"/>
      <c r="E428" s="229"/>
      <c r="M428" s="238">
        <f>SUMIFS('Forecast capex'!$S$9:$S$1940,'Forecast capex'!$C$9:$C$1940,$B428,'Forecast capex'!$AD$9:$AD$1940,$B$424,'Forecast capex'!$K$9:$K$1940,M$11)</f>
        <v>0</v>
      </c>
      <c r="N428" s="238">
        <f>SUMIFS('Forecast capex'!$S$9:$S$1940,'Forecast capex'!$C$9:$C$1940,$B428,'Forecast capex'!$AD$9:$AD$1940,$B$424,'Forecast capex'!$K$9:$K$1940,N$11)</f>
        <v>0</v>
      </c>
      <c r="O428" s="238">
        <f>SUMIFS('Forecast capex'!$S$9:$S$1940,'Forecast capex'!$C$9:$C$1940,$B428,'Forecast capex'!$AD$9:$AD$1940,$B$424,'Forecast capex'!$K$9:$K$1940,O$11)</f>
        <v>0</v>
      </c>
      <c r="P428" s="238">
        <f>SUMIFS('Forecast capex'!$S$9:$S$1940,'Forecast capex'!$C$9:$C$1940,$B428,'Forecast capex'!$AD$9:$AD$1940,$B$424,'Forecast capex'!$K$9:$K$1940,P$11)</f>
        <v>0</v>
      </c>
      <c r="Q428" s="238">
        <f>SUMIFS('Forecast capex'!$S$9:$S$1940,'Forecast capex'!$C$9:$C$1940,$B428,'Forecast capex'!$AD$9:$AD$1940,$B$424,'Forecast capex'!$K$9:$K$1940,Q$11)</f>
        <v>0</v>
      </c>
      <c r="R428" s="238">
        <f>SUMIFS('Forecast capex'!$S$9:$S$1940,'Forecast capex'!$C$9:$C$1940,$B428,'Forecast capex'!$AD$9:$AD$1940,$B$424,'Forecast capex'!$K$9:$K$1940,R$11)</f>
        <v>0</v>
      </c>
      <c r="S428" s="238">
        <f>SUMIFS('Forecast capex'!$S$9:$S$1940,'Forecast capex'!$C$9:$C$1940,$B428,'Forecast capex'!$AD$9:$AD$1940,$B$424,'Forecast capex'!$K$9:$K$1940,S$11)</f>
        <v>0</v>
      </c>
    </row>
    <row r="429" spans="2:19" outlineLevel="1" x14ac:dyDescent="0.2">
      <c r="B429" s="267" t="s">
        <v>286</v>
      </c>
      <c r="C429" s="280" t="s">
        <v>250</v>
      </c>
      <c r="D429" s="229"/>
      <c r="E429" s="229"/>
      <c r="M429" s="238">
        <f>SUMIFS('Forecast capex'!$S$9:$S$1940,'Forecast capex'!$C$9:$C$1940,$B429,'Forecast capex'!$AD$9:$AD$1940,$B$424,'Forecast capex'!$K$9:$K$1940,M$11)</f>
        <v>0</v>
      </c>
      <c r="N429" s="238">
        <f>SUMIFS('Forecast capex'!$S$9:$S$1940,'Forecast capex'!$C$9:$C$1940,$B429,'Forecast capex'!$AD$9:$AD$1940,$B$424,'Forecast capex'!$K$9:$K$1940,N$11)</f>
        <v>0</v>
      </c>
      <c r="O429" s="238">
        <f>SUMIFS('Forecast capex'!$S$9:$S$1940,'Forecast capex'!$C$9:$C$1940,$B429,'Forecast capex'!$AD$9:$AD$1940,$B$424,'Forecast capex'!$K$9:$K$1940,O$11)</f>
        <v>0</v>
      </c>
      <c r="P429" s="238">
        <f>SUMIFS('Forecast capex'!$S$9:$S$1940,'Forecast capex'!$C$9:$C$1940,$B429,'Forecast capex'!$AD$9:$AD$1940,$B$424,'Forecast capex'!$K$9:$K$1940,P$11)</f>
        <v>0</v>
      </c>
      <c r="Q429" s="238">
        <f>SUMIFS('Forecast capex'!$S$9:$S$1940,'Forecast capex'!$C$9:$C$1940,$B429,'Forecast capex'!$AD$9:$AD$1940,$B$424,'Forecast capex'!$K$9:$K$1940,Q$11)</f>
        <v>0</v>
      </c>
      <c r="R429" s="238">
        <f>SUMIFS('Forecast capex'!$S$9:$S$1940,'Forecast capex'!$C$9:$C$1940,$B429,'Forecast capex'!$AD$9:$AD$1940,$B$424,'Forecast capex'!$K$9:$K$1940,R$11)</f>
        <v>0</v>
      </c>
      <c r="S429" s="238">
        <f>SUMIFS('Forecast capex'!$S$9:$S$1940,'Forecast capex'!$C$9:$C$1940,$B429,'Forecast capex'!$AD$9:$AD$1940,$B$424,'Forecast capex'!$K$9:$K$1940,S$11)</f>
        <v>0</v>
      </c>
    </row>
    <row r="430" spans="2:19" outlineLevel="1" x14ac:dyDescent="0.2">
      <c r="B430" s="267" t="s">
        <v>287</v>
      </c>
      <c r="C430" s="280" t="s">
        <v>250</v>
      </c>
      <c r="D430" s="229"/>
      <c r="E430" s="229"/>
      <c r="M430" s="238">
        <f>SUMIFS('Forecast capex'!$S$9:$S$1940,'Forecast capex'!$C$9:$C$1940,$B430,'Forecast capex'!$AD$9:$AD$1940,$B$424,'Forecast capex'!$K$9:$K$1940,M$11)</f>
        <v>0</v>
      </c>
      <c r="N430" s="238">
        <f>SUMIFS('Forecast capex'!$S$9:$S$1940,'Forecast capex'!$C$9:$C$1940,$B430,'Forecast capex'!$AD$9:$AD$1940,$B$424,'Forecast capex'!$K$9:$K$1940,N$11)</f>
        <v>0</v>
      </c>
      <c r="O430" s="238">
        <f>SUMIFS('Forecast capex'!$S$9:$S$1940,'Forecast capex'!$C$9:$C$1940,$B430,'Forecast capex'!$AD$9:$AD$1940,$B$424,'Forecast capex'!$K$9:$K$1940,O$11)</f>
        <v>0</v>
      </c>
      <c r="P430" s="238">
        <f>SUMIFS('Forecast capex'!$S$9:$S$1940,'Forecast capex'!$C$9:$C$1940,$B430,'Forecast capex'!$AD$9:$AD$1940,$B$424,'Forecast capex'!$K$9:$K$1940,P$11)</f>
        <v>0</v>
      </c>
      <c r="Q430" s="238">
        <f>SUMIFS('Forecast capex'!$S$9:$S$1940,'Forecast capex'!$C$9:$C$1940,$B430,'Forecast capex'!$AD$9:$AD$1940,$B$424,'Forecast capex'!$K$9:$K$1940,Q$11)</f>
        <v>0</v>
      </c>
      <c r="R430" s="238">
        <f>SUMIFS('Forecast capex'!$S$9:$S$1940,'Forecast capex'!$C$9:$C$1940,$B430,'Forecast capex'!$AD$9:$AD$1940,$B$424,'Forecast capex'!$K$9:$K$1940,R$11)</f>
        <v>0</v>
      </c>
      <c r="S430" s="238">
        <f>SUMIFS('Forecast capex'!$S$9:$S$1940,'Forecast capex'!$C$9:$C$1940,$B430,'Forecast capex'!$AD$9:$AD$1940,$B$424,'Forecast capex'!$K$9:$K$1940,S$11)</f>
        <v>0</v>
      </c>
    </row>
    <row r="431" spans="2:19" outlineLevel="1" x14ac:dyDescent="0.2">
      <c r="B431" s="267" t="s">
        <v>288</v>
      </c>
      <c r="C431" s="280" t="s">
        <v>250</v>
      </c>
      <c r="D431" s="229"/>
      <c r="E431" s="229"/>
      <c r="M431" s="238">
        <f>SUMIFS('Forecast capex'!$S$9:$S$1940,'Forecast capex'!$C$9:$C$1940,$B431,'Forecast capex'!$AD$9:$AD$1940,$B$424,'Forecast capex'!$K$9:$K$1940,M$11)</f>
        <v>0</v>
      </c>
      <c r="N431" s="238">
        <f>SUMIFS('Forecast capex'!$S$9:$S$1940,'Forecast capex'!$C$9:$C$1940,$B431,'Forecast capex'!$AD$9:$AD$1940,$B$424,'Forecast capex'!$K$9:$K$1940,N$11)</f>
        <v>0</v>
      </c>
      <c r="O431" s="238">
        <f>SUMIFS('Forecast capex'!$S$9:$S$1940,'Forecast capex'!$C$9:$C$1940,$B431,'Forecast capex'!$AD$9:$AD$1940,$B$424,'Forecast capex'!$K$9:$K$1940,O$11)</f>
        <v>0</v>
      </c>
      <c r="P431" s="238">
        <f>SUMIFS('Forecast capex'!$S$9:$S$1940,'Forecast capex'!$C$9:$C$1940,$B431,'Forecast capex'!$AD$9:$AD$1940,$B$424,'Forecast capex'!$K$9:$K$1940,P$11)</f>
        <v>0</v>
      </c>
      <c r="Q431" s="238">
        <f>SUMIFS('Forecast capex'!$S$9:$S$1940,'Forecast capex'!$C$9:$C$1940,$B431,'Forecast capex'!$AD$9:$AD$1940,$B$424,'Forecast capex'!$K$9:$K$1940,Q$11)</f>
        <v>0</v>
      </c>
      <c r="R431" s="238">
        <f>SUMIFS('Forecast capex'!$S$9:$S$1940,'Forecast capex'!$C$9:$C$1940,$B431,'Forecast capex'!$AD$9:$AD$1940,$B$424,'Forecast capex'!$K$9:$K$1940,R$11)</f>
        <v>0</v>
      </c>
      <c r="S431" s="238">
        <f>SUMIFS('Forecast capex'!$S$9:$S$1940,'Forecast capex'!$C$9:$C$1940,$B431,'Forecast capex'!$AD$9:$AD$1940,$B$424,'Forecast capex'!$K$9:$K$1940,S$11)</f>
        <v>0</v>
      </c>
    </row>
    <row r="432" spans="2:19" outlineLevel="1" x14ac:dyDescent="0.2">
      <c r="B432" s="267" t="s">
        <v>289</v>
      </c>
      <c r="C432" s="280" t="s">
        <v>250</v>
      </c>
      <c r="D432" s="229"/>
      <c r="E432" s="229"/>
      <c r="M432" s="238">
        <f>SUMIFS('Forecast capex'!$S$9:$S$1940,'Forecast capex'!$C$9:$C$1940,$B432,'Forecast capex'!$AD$9:$AD$1940,$B$424,'Forecast capex'!$K$9:$K$1940,M$11)</f>
        <v>0</v>
      </c>
      <c r="N432" s="238">
        <f>SUMIFS('Forecast capex'!$S$9:$S$1940,'Forecast capex'!$C$9:$C$1940,$B432,'Forecast capex'!$AD$9:$AD$1940,$B$424,'Forecast capex'!$K$9:$K$1940,N$11)</f>
        <v>0</v>
      </c>
      <c r="O432" s="238">
        <f>SUMIFS('Forecast capex'!$S$9:$S$1940,'Forecast capex'!$C$9:$C$1940,$B432,'Forecast capex'!$AD$9:$AD$1940,$B$424,'Forecast capex'!$K$9:$K$1940,O$11)</f>
        <v>0</v>
      </c>
      <c r="P432" s="238">
        <f>SUMIFS('Forecast capex'!$S$9:$S$1940,'Forecast capex'!$C$9:$C$1940,$B432,'Forecast capex'!$AD$9:$AD$1940,$B$424,'Forecast capex'!$K$9:$K$1940,P$11)</f>
        <v>0</v>
      </c>
      <c r="Q432" s="238">
        <f>SUMIFS('Forecast capex'!$S$9:$S$1940,'Forecast capex'!$C$9:$C$1940,$B432,'Forecast capex'!$AD$9:$AD$1940,$B$424,'Forecast capex'!$K$9:$K$1940,Q$11)</f>
        <v>0</v>
      </c>
      <c r="R432" s="238">
        <f>SUMIFS('Forecast capex'!$S$9:$S$1940,'Forecast capex'!$C$9:$C$1940,$B432,'Forecast capex'!$AD$9:$AD$1940,$B$424,'Forecast capex'!$K$9:$K$1940,R$11)</f>
        <v>0</v>
      </c>
      <c r="S432" s="238">
        <f>SUMIFS('Forecast capex'!$S$9:$S$1940,'Forecast capex'!$C$9:$C$1940,$B432,'Forecast capex'!$AD$9:$AD$1940,$B$424,'Forecast capex'!$K$9:$K$1940,S$11)</f>
        <v>0</v>
      </c>
    </row>
    <row r="433" spans="2:19" outlineLevel="1" x14ac:dyDescent="0.2">
      <c r="B433" s="267" t="s">
        <v>290</v>
      </c>
      <c r="C433" s="280" t="s">
        <v>250</v>
      </c>
      <c r="D433" s="229"/>
      <c r="E433" s="229"/>
      <c r="M433" s="238">
        <f>SUMIFS('Forecast capex'!$S$9:$S$1940,'Forecast capex'!$C$9:$C$1940,$B433,'Forecast capex'!$AD$9:$AD$1940,$B$424,'Forecast capex'!$K$9:$K$1940,M$11)</f>
        <v>0</v>
      </c>
      <c r="N433" s="238">
        <f>SUMIFS('Forecast capex'!$S$9:$S$1940,'Forecast capex'!$C$9:$C$1940,$B433,'Forecast capex'!$AD$9:$AD$1940,$B$424,'Forecast capex'!$K$9:$K$1940,N$11)</f>
        <v>0</v>
      </c>
      <c r="O433" s="238">
        <f>SUMIFS('Forecast capex'!$S$9:$S$1940,'Forecast capex'!$C$9:$C$1940,$B433,'Forecast capex'!$AD$9:$AD$1940,$B$424,'Forecast capex'!$K$9:$K$1940,O$11)</f>
        <v>0</v>
      </c>
      <c r="P433" s="238">
        <f>SUMIFS('Forecast capex'!$S$9:$S$1940,'Forecast capex'!$C$9:$C$1940,$B433,'Forecast capex'!$AD$9:$AD$1940,$B$424,'Forecast capex'!$K$9:$K$1940,P$11)</f>
        <v>0</v>
      </c>
      <c r="Q433" s="238">
        <f>SUMIFS('Forecast capex'!$S$9:$S$1940,'Forecast capex'!$C$9:$C$1940,$B433,'Forecast capex'!$AD$9:$AD$1940,$B$424,'Forecast capex'!$K$9:$K$1940,Q$11)</f>
        <v>0</v>
      </c>
      <c r="R433" s="238">
        <f>SUMIFS('Forecast capex'!$S$9:$S$1940,'Forecast capex'!$C$9:$C$1940,$B433,'Forecast capex'!$AD$9:$AD$1940,$B$424,'Forecast capex'!$K$9:$K$1940,R$11)</f>
        <v>0</v>
      </c>
      <c r="S433" s="238">
        <f>SUMIFS('Forecast capex'!$S$9:$S$1940,'Forecast capex'!$C$9:$C$1940,$B433,'Forecast capex'!$AD$9:$AD$1940,$B$424,'Forecast capex'!$K$9:$K$1940,S$11)</f>
        <v>0</v>
      </c>
    </row>
    <row r="434" spans="2:19" outlineLevel="1" x14ac:dyDescent="0.2">
      <c r="B434" s="267" t="s">
        <v>291</v>
      </c>
      <c r="C434" s="280" t="s">
        <v>250</v>
      </c>
      <c r="D434" s="229"/>
      <c r="E434" s="229"/>
      <c r="M434" s="238">
        <f>SUMIFS('Forecast capex'!$S$9:$S$1940,'Forecast capex'!$C$9:$C$1940,$B434,'Forecast capex'!$AD$9:$AD$1940,$B$424,'Forecast capex'!$K$9:$K$1940,M$11)</f>
        <v>0</v>
      </c>
      <c r="N434" s="238">
        <f>SUMIFS('Forecast capex'!$S$9:$S$1940,'Forecast capex'!$C$9:$C$1940,$B434,'Forecast capex'!$AD$9:$AD$1940,$B$424,'Forecast capex'!$K$9:$K$1940,N$11)</f>
        <v>0</v>
      </c>
      <c r="O434" s="238">
        <f>SUMIFS('Forecast capex'!$S$9:$S$1940,'Forecast capex'!$C$9:$C$1940,$B434,'Forecast capex'!$AD$9:$AD$1940,$B$424,'Forecast capex'!$K$9:$K$1940,O$11)</f>
        <v>0</v>
      </c>
      <c r="P434" s="238">
        <f>SUMIFS('Forecast capex'!$S$9:$S$1940,'Forecast capex'!$C$9:$C$1940,$B434,'Forecast capex'!$AD$9:$AD$1940,$B$424,'Forecast capex'!$K$9:$K$1940,P$11)</f>
        <v>0</v>
      </c>
      <c r="Q434" s="238">
        <f>SUMIFS('Forecast capex'!$S$9:$S$1940,'Forecast capex'!$C$9:$C$1940,$B434,'Forecast capex'!$AD$9:$AD$1940,$B$424,'Forecast capex'!$K$9:$K$1940,Q$11)</f>
        <v>0</v>
      </c>
      <c r="R434" s="238">
        <f>SUMIFS('Forecast capex'!$S$9:$S$1940,'Forecast capex'!$C$9:$C$1940,$B434,'Forecast capex'!$AD$9:$AD$1940,$B$424,'Forecast capex'!$K$9:$K$1940,R$11)</f>
        <v>0</v>
      </c>
      <c r="S434" s="238">
        <f>SUMIFS('Forecast capex'!$S$9:$S$1940,'Forecast capex'!$C$9:$C$1940,$B434,'Forecast capex'!$AD$9:$AD$1940,$B$424,'Forecast capex'!$K$9:$K$1940,S$11)</f>
        <v>0</v>
      </c>
    </row>
    <row r="435" spans="2:19" outlineLevel="1" x14ac:dyDescent="0.2">
      <c r="B435" s="267" t="s">
        <v>292</v>
      </c>
      <c r="C435" s="280" t="s">
        <v>250</v>
      </c>
      <c r="D435" s="229"/>
      <c r="E435" s="229"/>
      <c r="M435" s="238">
        <f>SUMIFS('Forecast capex'!$S$9:$S$1940,'Forecast capex'!$C$9:$C$1940,$B435,'Forecast capex'!$AD$9:$AD$1940,$B$424,'Forecast capex'!$K$9:$K$1940,M$11)</f>
        <v>0</v>
      </c>
      <c r="N435" s="238">
        <f>SUMIFS('Forecast capex'!$S$9:$S$1940,'Forecast capex'!$C$9:$C$1940,$B435,'Forecast capex'!$AD$9:$AD$1940,$B$424,'Forecast capex'!$K$9:$K$1940,N$11)</f>
        <v>0</v>
      </c>
      <c r="O435" s="238">
        <f>SUMIFS('Forecast capex'!$S$9:$S$1940,'Forecast capex'!$C$9:$C$1940,$B435,'Forecast capex'!$AD$9:$AD$1940,$B$424,'Forecast capex'!$K$9:$K$1940,O$11)</f>
        <v>0</v>
      </c>
      <c r="P435" s="238">
        <f>SUMIFS('Forecast capex'!$S$9:$S$1940,'Forecast capex'!$C$9:$C$1940,$B435,'Forecast capex'!$AD$9:$AD$1940,$B$424,'Forecast capex'!$K$9:$K$1940,P$11)</f>
        <v>0</v>
      </c>
      <c r="Q435" s="238">
        <f>SUMIFS('Forecast capex'!$S$9:$S$1940,'Forecast capex'!$C$9:$C$1940,$B435,'Forecast capex'!$AD$9:$AD$1940,$B$424,'Forecast capex'!$K$9:$K$1940,Q$11)</f>
        <v>0</v>
      </c>
      <c r="R435" s="238">
        <f>SUMIFS('Forecast capex'!$S$9:$S$1940,'Forecast capex'!$C$9:$C$1940,$B435,'Forecast capex'!$AD$9:$AD$1940,$B$424,'Forecast capex'!$K$9:$K$1940,R$11)</f>
        <v>0</v>
      </c>
      <c r="S435" s="238">
        <f>SUMIFS('Forecast capex'!$S$9:$S$1940,'Forecast capex'!$C$9:$C$1940,$B435,'Forecast capex'!$AD$9:$AD$1940,$B$424,'Forecast capex'!$K$9:$K$1940,S$11)</f>
        <v>0</v>
      </c>
    </row>
    <row r="436" spans="2:19" outlineLevel="1" x14ac:dyDescent="0.2">
      <c r="B436" s="288" t="s">
        <v>49</v>
      </c>
      <c r="C436" s="337" t="s">
        <v>250</v>
      </c>
      <c r="D436" s="229"/>
      <c r="E436" s="229"/>
      <c r="M436" s="235">
        <f t="shared" ref="M436:S436" si="105">SUM(M427:M435)</f>
        <v>0</v>
      </c>
      <c r="N436" s="235">
        <f t="shared" si="105"/>
        <v>0</v>
      </c>
      <c r="O436" s="235">
        <f t="shared" si="105"/>
        <v>0</v>
      </c>
      <c r="P436" s="235">
        <f t="shared" si="105"/>
        <v>0</v>
      </c>
      <c r="Q436" s="235">
        <f t="shared" si="105"/>
        <v>0</v>
      </c>
      <c r="R436" s="235">
        <f t="shared" si="105"/>
        <v>0</v>
      </c>
      <c r="S436" s="235">
        <f t="shared" si="105"/>
        <v>0</v>
      </c>
    </row>
    <row r="437" spans="2:19" outlineLevel="1" x14ac:dyDescent="0.2">
      <c r="B437" s="229"/>
      <c r="C437" s="338"/>
      <c r="D437" s="229"/>
      <c r="E437" s="229"/>
    </row>
    <row r="438" spans="2:19" outlineLevel="1" x14ac:dyDescent="0.2">
      <c r="B438" s="242" t="s">
        <v>463</v>
      </c>
      <c r="C438" s="280" t="s">
        <v>58</v>
      </c>
      <c r="D438" s="297">
        <f>SUM(H438:S438)</f>
        <v>0</v>
      </c>
      <c r="E438" s="298"/>
      <c r="M438" s="228">
        <f>SUMIFS('Forecast capex'!$S$9:$S$1940,'Forecast capex'!$AD$9:$AD$1940,$B$424,'Forecast capex'!$K$9:$K$1940,M$11)-M436</f>
        <v>0</v>
      </c>
      <c r="N438" s="228">
        <f>SUMIFS('Forecast capex'!$S$9:$S$1940,'Forecast capex'!$AD$9:$AD$1940,$B$424,'Forecast capex'!$K$9:$K$1940,N$11)-N436</f>
        <v>0</v>
      </c>
      <c r="O438" s="228">
        <f>SUMIFS('Forecast capex'!$S$9:$S$1940,'Forecast capex'!$AD$9:$AD$1940,$B$424,'Forecast capex'!$K$9:$K$1940,O$11)-O436</f>
        <v>0</v>
      </c>
      <c r="P438" s="228">
        <f>SUMIFS('Forecast capex'!$S$9:$S$1940,'Forecast capex'!$AD$9:$AD$1940,$B$424,'Forecast capex'!$K$9:$K$1940,P$11)-P436</f>
        <v>0</v>
      </c>
      <c r="Q438" s="228">
        <f>SUMIFS('Forecast capex'!$S$9:$S$1940,'Forecast capex'!$AD$9:$AD$1940,$B$424,'Forecast capex'!$K$9:$K$1940,Q$11)-Q436</f>
        <v>0</v>
      </c>
      <c r="R438" s="228">
        <f>SUMIFS('Forecast capex'!$S$9:$S$1940,'Forecast capex'!$AD$9:$AD$1940,$B$424,'Forecast capex'!$K$9:$K$1940,R$11)-R436</f>
        <v>0</v>
      </c>
      <c r="S438" s="228">
        <f>SUMIFS('Forecast capex'!$S$9:$S$1940,'Forecast capex'!$AD$9:$AD$1940,$B$424,'Forecast capex'!$K$9:$K$1940,S$11)-S436</f>
        <v>0</v>
      </c>
    </row>
    <row r="505" spans="2:2" x14ac:dyDescent="0.2">
      <c r="B505" s="229"/>
    </row>
  </sheetData>
  <sheetProtection algorithmName="SHA-512" hashValue="LvCtU80q8MR9O7+BCbzF0+fIIqXMypsumqkHqbLsAryyyI8WgDelaB7H7M8nSk+VOC21mVF2gxilJJ8fpk1+ew==" saltValue="pTD5cJ24yvQ0NIaxqaXacw==" spinCount="100000" sheet="1" objects="1" scenarios="1"/>
  <conditionalFormatting sqref="C2">
    <cfRule type="expression" dxfId="238" priority="143">
      <formula>Model_check&lt;&gt;0</formula>
    </cfRule>
    <cfRule type="expression" dxfId="237" priority="144">
      <formula>Model_check=0</formula>
    </cfRule>
  </conditionalFormatting>
  <conditionalFormatting sqref="D110:E110">
    <cfRule type="cellIs" dxfId="236" priority="141" stopIfTrue="1" operator="equal">
      <formula>0</formula>
    </cfRule>
    <cfRule type="cellIs" dxfId="235" priority="142" stopIfTrue="1" operator="notEqual">
      <formula>0</formula>
    </cfRule>
  </conditionalFormatting>
  <conditionalFormatting sqref="M110:S110">
    <cfRule type="cellIs" dxfId="234" priority="135" stopIfTrue="1" operator="equal">
      <formula>0</formula>
    </cfRule>
    <cfRule type="cellIs" dxfId="233" priority="136" stopIfTrue="1" operator="notEqual">
      <formula>0</formula>
    </cfRule>
  </conditionalFormatting>
  <conditionalFormatting sqref="D128:E128">
    <cfRule type="cellIs" dxfId="232" priority="129" stopIfTrue="1" operator="equal">
      <formula>0</formula>
    </cfRule>
    <cfRule type="cellIs" dxfId="231" priority="130" stopIfTrue="1" operator="notEqual">
      <formula>0</formula>
    </cfRule>
  </conditionalFormatting>
  <conditionalFormatting sqref="M128:S128">
    <cfRule type="cellIs" dxfId="230" priority="125" stopIfTrue="1" operator="equal">
      <formula>0</formula>
    </cfRule>
    <cfRule type="cellIs" dxfId="229" priority="126" stopIfTrue="1" operator="notEqual">
      <formula>0</formula>
    </cfRule>
  </conditionalFormatting>
  <conditionalFormatting sqref="D72:E72">
    <cfRule type="cellIs" dxfId="228" priority="123" stopIfTrue="1" operator="equal">
      <formula>0</formula>
    </cfRule>
    <cfRule type="cellIs" dxfId="227" priority="124" stopIfTrue="1" operator="notEqual">
      <formula>0</formula>
    </cfRule>
  </conditionalFormatting>
  <conditionalFormatting sqref="M72:S72">
    <cfRule type="cellIs" dxfId="226" priority="121" stopIfTrue="1" operator="equal">
      <formula>0</formula>
    </cfRule>
    <cfRule type="cellIs" dxfId="225" priority="122" stopIfTrue="1" operator="notEqual">
      <formula>0</formula>
    </cfRule>
  </conditionalFormatting>
  <conditionalFormatting sqref="D35:E35">
    <cfRule type="cellIs" dxfId="224" priority="119" stopIfTrue="1" operator="equal">
      <formula>0</formula>
    </cfRule>
    <cfRule type="cellIs" dxfId="223" priority="120" stopIfTrue="1" operator="notEqual">
      <formula>0</formula>
    </cfRule>
  </conditionalFormatting>
  <conditionalFormatting sqref="M35:S35">
    <cfRule type="cellIs" dxfId="222" priority="117" stopIfTrue="1" operator="equal">
      <formula>0</formula>
    </cfRule>
    <cfRule type="cellIs" dxfId="221" priority="118" stopIfTrue="1" operator="notEqual">
      <formula>0</formula>
    </cfRule>
  </conditionalFormatting>
  <conditionalFormatting sqref="D50:E50">
    <cfRule type="cellIs" dxfId="220" priority="107" stopIfTrue="1" operator="equal">
      <formula>0</formula>
    </cfRule>
    <cfRule type="cellIs" dxfId="219" priority="108" stopIfTrue="1" operator="notEqual">
      <formula>0</formula>
    </cfRule>
  </conditionalFormatting>
  <conditionalFormatting sqref="N50:S50">
    <cfRule type="cellIs" dxfId="218" priority="105" stopIfTrue="1" operator="equal">
      <formula>0</formula>
    </cfRule>
    <cfRule type="cellIs" dxfId="217" priority="106" stopIfTrue="1" operator="notEqual">
      <formula>0</formula>
    </cfRule>
  </conditionalFormatting>
  <conditionalFormatting sqref="D92:E92">
    <cfRule type="cellIs" dxfId="216" priority="103" stopIfTrue="1" operator="equal">
      <formula>0</formula>
    </cfRule>
    <cfRule type="cellIs" dxfId="215" priority="104" stopIfTrue="1" operator="notEqual">
      <formula>0</formula>
    </cfRule>
  </conditionalFormatting>
  <conditionalFormatting sqref="M92:S92">
    <cfRule type="cellIs" dxfId="214" priority="101" stopIfTrue="1" operator="equal">
      <formula>0</formula>
    </cfRule>
    <cfRule type="cellIs" dxfId="213" priority="102" stopIfTrue="1" operator="notEqual">
      <formula>0</formula>
    </cfRule>
  </conditionalFormatting>
  <conditionalFormatting sqref="D214:E214">
    <cfRule type="cellIs" dxfId="212" priority="95" stopIfTrue="1" operator="equal">
      <formula>0</formula>
    </cfRule>
    <cfRule type="cellIs" dxfId="211" priority="96" stopIfTrue="1" operator="notEqual">
      <formula>0</formula>
    </cfRule>
  </conditionalFormatting>
  <conditionalFormatting sqref="M214:S214">
    <cfRule type="cellIs" dxfId="210" priority="93" stopIfTrue="1" operator="equal">
      <formula>0</formula>
    </cfRule>
    <cfRule type="cellIs" dxfId="209" priority="94" stopIfTrue="1" operator="notEqual">
      <formula>0</formula>
    </cfRule>
  </conditionalFormatting>
  <conditionalFormatting sqref="D230:E230">
    <cfRule type="cellIs" dxfId="208" priority="91" stopIfTrue="1" operator="equal">
      <formula>0</formula>
    </cfRule>
    <cfRule type="cellIs" dxfId="207" priority="92" stopIfTrue="1" operator="notEqual">
      <formula>0</formula>
    </cfRule>
  </conditionalFormatting>
  <conditionalFormatting sqref="M230:S230">
    <cfRule type="cellIs" dxfId="206" priority="89" stopIfTrue="1" operator="equal">
      <formula>0</formula>
    </cfRule>
    <cfRule type="cellIs" dxfId="205" priority="90" stopIfTrue="1" operator="notEqual">
      <formula>0</formula>
    </cfRule>
  </conditionalFormatting>
  <conditionalFormatting sqref="D178:E178">
    <cfRule type="cellIs" dxfId="204" priority="87" stopIfTrue="1" operator="equal">
      <formula>0</formula>
    </cfRule>
    <cfRule type="cellIs" dxfId="203" priority="88" stopIfTrue="1" operator="notEqual">
      <formula>0</formula>
    </cfRule>
  </conditionalFormatting>
  <conditionalFormatting sqref="N178:S178">
    <cfRule type="cellIs" dxfId="202" priority="85" stopIfTrue="1" operator="equal">
      <formula>0</formula>
    </cfRule>
    <cfRule type="cellIs" dxfId="201" priority="86" stopIfTrue="1" operator="notEqual">
      <formula>0</formula>
    </cfRule>
  </conditionalFormatting>
  <conditionalFormatting sqref="D145:E145">
    <cfRule type="cellIs" dxfId="200" priority="83" stopIfTrue="1" operator="equal">
      <formula>0</formula>
    </cfRule>
    <cfRule type="cellIs" dxfId="199" priority="84" stopIfTrue="1" operator="notEqual">
      <formula>0</formula>
    </cfRule>
  </conditionalFormatting>
  <conditionalFormatting sqref="M145:S145">
    <cfRule type="cellIs" dxfId="198" priority="81" stopIfTrue="1" operator="equal">
      <formula>0</formula>
    </cfRule>
    <cfRule type="cellIs" dxfId="197" priority="82" stopIfTrue="1" operator="notEqual">
      <formula>0</formula>
    </cfRule>
  </conditionalFormatting>
  <conditionalFormatting sqref="D158:E158">
    <cfRule type="cellIs" dxfId="196" priority="79" stopIfTrue="1" operator="equal">
      <formula>0</formula>
    </cfRule>
    <cfRule type="cellIs" dxfId="195" priority="80" stopIfTrue="1" operator="notEqual">
      <formula>0</formula>
    </cfRule>
  </conditionalFormatting>
  <conditionalFormatting sqref="N158:S158">
    <cfRule type="cellIs" dxfId="194" priority="77" stopIfTrue="1" operator="equal">
      <formula>0</formula>
    </cfRule>
    <cfRule type="cellIs" dxfId="193" priority="78" stopIfTrue="1" operator="notEqual">
      <formula>0</formula>
    </cfRule>
  </conditionalFormatting>
  <conditionalFormatting sqref="D198:E198">
    <cfRule type="cellIs" dxfId="192" priority="75" stopIfTrue="1" operator="equal">
      <formula>0</formula>
    </cfRule>
    <cfRule type="cellIs" dxfId="191" priority="76" stopIfTrue="1" operator="notEqual">
      <formula>0</formula>
    </cfRule>
  </conditionalFormatting>
  <conditionalFormatting sqref="M198:S198">
    <cfRule type="cellIs" dxfId="190" priority="73" stopIfTrue="1" operator="equal">
      <formula>0</formula>
    </cfRule>
    <cfRule type="cellIs" dxfId="189" priority="74" stopIfTrue="1" operator="notEqual">
      <formula>0</formula>
    </cfRule>
  </conditionalFormatting>
  <conditionalFormatting sqref="M158:U158">
    <cfRule type="cellIs" dxfId="188" priority="67" stopIfTrue="1" operator="equal">
      <formula>0</formula>
    </cfRule>
    <cfRule type="cellIs" dxfId="187" priority="68" stopIfTrue="1" operator="notEqual">
      <formula>0</formula>
    </cfRule>
  </conditionalFormatting>
  <conditionalFormatting sqref="M178:S178">
    <cfRule type="cellIs" dxfId="186" priority="65" stopIfTrue="1" operator="equal">
      <formula>0</formula>
    </cfRule>
    <cfRule type="cellIs" dxfId="185" priority="66" stopIfTrue="1" operator="notEqual">
      <formula>0</formula>
    </cfRule>
  </conditionalFormatting>
  <conditionalFormatting sqref="D318:E318">
    <cfRule type="cellIs" dxfId="184" priority="63" stopIfTrue="1" operator="equal">
      <formula>0</formula>
    </cfRule>
    <cfRule type="cellIs" dxfId="183" priority="64" stopIfTrue="1" operator="notEqual">
      <formula>0</formula>
    </cfRule>
  </conditionalFormatting>
  <conditionalFormatting sqref="M318:S318">
    <cfRule type="cellIs" dxfId="182" priority="61" stopIfTrue="1" operator="equal">
      <formula>0</formula>
    </cfRule>
    <cfRule type="cellIs" dxfId="181" priority="62" stopIfTrue="1" operator="notEqual">
      <formula>0</formula>
    </cfRule>
  </conditionalFormatting>
  <conditionalFormatting sqref="D334:E334">
    <cfRule type="cellIs" dxfId="180" priority="59" stopIfTrue="1" operator="equal">
      <formula>0</formula>
    </cfRule>
    <cfRule type="cellIs" dxfId="179" priority="60" stopIfTrue="1" operator="notEqual">
      <formula>0</formula>
    </cfRule>
  </conditionalFormatting>
  <conditionalFormatting sqref="M334:S334">
    <cfRule type="cellIs" dxfId="178" priority="57" stopIfTrue="1" operator="equal">
      <formula>0</formula>
    </cfRule>
    <cfRule type="cellIs" dxfId="177" priority="58" stopIfTrue="1" operator="notEqual">
      <formula>0</formula>
    </cfRule>
  </conditionalFormatting>
  <conditionalFormatting sqref="D282:E282">
    <cfRule type="cellIs" dxfId="176" priority="55" stopIfTrue="1" operator="equal">
      <formula>0</formula>
    </cfRule>
    <cfRule type="cellIs" dxfId="175" priority="56" stopIfTrue="1" operator="notEqual">
      <formula>0</formula>
    </cfRule>
  </conditionalFormatting>
  <conditionalFormatting sqref="M282:S282">
    <cfRule type="cellIs" dxfId="174" priority="53" stopIfTrue="1" operator="equal">
      <formula>0</formula>
    </cfRule>
    <cfRule type="cellIs" dxfId="173" priority="54" stopIfTrue="1" operator="notEqual">
      <formula>0</formula>
    </cfRule>
  </conditionalFormatting>
  <conditionalFormatting sqref="D247:E247">
    <cfRule type="cellIs" dxfId="172" priority="51" stopIfTrue="1" operator="equal">
      <formula>0</formula>
    </cfRule>
    <cfRule type="cellIs" dxfId="171" priority="52" stopIfTrue="1" operator="notEqual">
      <formula>0</formula>
    </cfRule>
  </conditionalFormatting>
  <conditionalFormatting sqref="M247:S247">
    <cfRule type="cellIs" dxfId="170" priority="49" stopIfTrue="1" operator="equal">
      <formula>0</formula>
    </cfRule>
    <cfRule type="cellIs" dxfId="169" priority="50" stopIfTrue="1" operator="notEqual">
      <formula>0</formula>
    </cfRule>
  </conditionalFormatting>
  <conditionalFormatting sqref="D262:E262">
    <cfRule type="cellIs" dxfId="168" priority="47" stopIfTrue="1" operator="equal">
      <formula>0</formula>
    </cfRule>
    <cfRule type="cellIs" dxfId="167" priority="48" stopIfTrue="1" operator="notEqual">
      <formula>0</formula>
    </cfRule>
  </conditionalFormatting>
  <conditionalFormatting sqref="N262:S262">
    <cfRule type="cellIs" dxfId="166" priority="45" stopIfTrue="1" operator="equal">
      <formula>0</formula>
    </cfRule>
    <cfRule type="cellIs" dxfId="165" priority="46" stopIfTrue="1" operator="notEqual">
      <formula>0</formula>
    </cfRule>
  </conditionalFormatting>
  <conditionalFormatting sqref="D302:E302">
    <cfRule type="cellIs" dxfId="164" priority="43" stopIfTrue="1" operator="equal">
      <formula>0</formula>
    </cfRule>
    <cfRule type="cellIs" dxfId="163" priority="44" stopIfTrue="1" operator="notEqual">
      <formula>0</formula>
    </cfRule>
  </conditionalFormatting>
  <conditionalFormatting sqref="M302:S302">
    <cfRule type="cellIs" dxfId="162" priority="41" stopIfTrue="1" operator="equal">
      <formula>0</formula>
    </cfRule>
    <cfRule type="cellIs" dxfId="161" priority="42" stopIfTrue="1" operator="notEqual">
      <formula>0</formula>
    </cfRule>
  </conditionalFormatting>
  <conditionalFormatting sqref="M262:S262">
    <cfRule type="cellIs" dxfId="160" priority="35" stopIfTrue="1" operator="equal">
      <formula>0</formula>
    </cfRule>
    <cfRule type="cellIs" dxfId="159" priority="36" stopIfTrue="1" operator="notEqual">
      <formula>0</formula>
    </cfRule>
  </conditionalFormatting>
  <conditionalFormatting sqref="D422:E422">
    <cfRule type="cellIs" dxfId="158" priority="33" stopIfTrue="1" operator="equal">
      <formula>0</formula>
    </cfRule>
    <cfRule type="cellIs" dxfId="157" priority="34" stopIfTrue="1" operator="notEqual">
      <formula>0</formula>
    </cfRule>
  </conditionalFormatting>
  <conditionalFormatting sqref="N438:S438">
    <cfRule type="cellIs" dxfId="156" priority="27" stopIfTrue="1" operator="equal">
      <formula>0</formula>
    </cfRule>
    <cfRule type="cellIs" dxfId="155" priority="28" stopIfTrue="1" operator="notEqual">
      <formula>0</formula>
    </cfRule>
  </conditionalFormatting>
  <conditionalFormatting sqref="D438:E438">
    <cfRule type="cellIs" dxfId="154" priority="29" stopIfTrue="1" operator="equal">
      <formula>0</formula>
    </cfRule>
    <cfRule type="cellIs" dxfId="153" priority="30" stopIfTrue="1" operator="notEqual">
      <formula>0</formula>
    </cfRule>
  </conditionalFormatting>
  <conditionalFormatting sqref="D386:E386">
    <cfRule type="cellIs" dxfId="152" priority="25" stopIfTrue="1" operator="equal">
      <formula>0</formula>
    </cfRule>
    <cfRule type="cellIs" dxfId="151" priority="26" stopIfTrue="1" operator="notEqual">
      <formula>0</formula>
    </cfRule>
  </conditionalFormatting>
  <conditionalFormatting sqref="M386:S386">
    <cfRule type="cellIs" dxfId="150" priority="23" stopIfTrue="1" operator="equal">
      <formula>0</formula>
    </cfRule>
    <cfRule type="cellIs" dxfId="149" priority="24" stopIfTrue="1" operator="notEqual">
      <formula>0</formula>
    </cfRule>
  </conditionalFormatting>
  <conditionalFormatting sqref="D351:E351">
    <cfRule type="cellIs" dxfId="148" priority="21" stopIfTrue="1" operator="equal">
      <formula>0</formula>
    </cfRule>
    <cfRule type="cellIs" dxfId="147" priority="22" stopIfTrue="1" operator="notEqual">
      <formula>0</formula>
    </cfRule>
  </conditionalFormatting>
  <conditionalFormatting sqref="M351:S351">
    <cfRule type="cellIs" dxfId="146" priority="19" stopIfTrue="1" operator="equal">
      <formula>0</formula>
    </cfRule>
    <cfRule type="cellIs" dxfId="145" priority="20" stopIfTrue="1" operator="notEqual">
      <formula>0</formula>
    </cfRule>
  </conditionalFormatting>
  <conditionalFormatting sqref="D366:E366">
    <cfRule type="cellIs" dxfId="144" priority="17" stopIfTrue="1" operator="equal">
      <formula>0</formula>
    </cfRule>
    <cfRule type="cellIs" dxfId="143" priority="18" stopIfTrue="1" operator="notEqual">
      <formula>0</formula>
    </cfRule>
  </conditionalFormatting>
  <conditionalFormatting sqref="D406:E406">
    <cfRule type="cellIs" dxfId="142" priority="13" stopIfTrue="1" operator="equal">
      <formula>0</formula>
    </cfRule>
    <cfRule type="cellIs" dxfId="141" priority="14" stopIfTrue="1" operator="notEqual">
      <formula>0</formula>
    </cfRule>
  </conditionalFormatting>
  <conditionalFormatting sqref="M406:S406">
    <cfRule type="cellIs" dxfId="140" priority="11" stopIfTrue="1" operator="equal">
      <formula>0</formula>
    </cfRule>
    <cfRule type="cellIs" dxfId="139" priority="12" stopIfTrue="1" operator="notEqual">
      <formula>0</formula>
    </cfRule>
  </conditionalFormatting>
  <conditionalFormatting sqref="M438:S438">
    <cfRule type="cellIs" dxfId="138" priority="3" stopIfTrue="1" operator="equal">
      <formula>0</formula>
    </cfRule>
    <cfRule type="cellIs" dxfId="137" priority="4" stopIfTrue="1" operator="notEqual">
      <formula>0</formula>
    </cfRule>
  </conditionalFormatting>
  <conditionalFormatting sqref="M366:S366">
    <cfRule type="cellIs" dxfId="136" priority="7" stopIfTrue="1" operator="equal">
      <formula>0</formula>
    </cfRule>
    <cfRule type="cellIs" dxfId="135" priority="8" stopIfTrue="1" operator="notEqual">
      <formula>0</formula>
    </cfRule>
  </conditionalFormatting>
  <conditionalFormatting sqref="M422:S422">
    <cfRule type="cellIs" dxfId="134" priority="5" stopIfTrue="1" operator="equal">
      <formula>0</formula>
    </cfRule>
    <cfRule type="cellIs" dxfId="133" priority="6" stopIfTrue="1" operator="notEqual">
      <formula>0</formula>
    </cfRule>
  </conditionalFormatting>
  <conditionalFormatting sqref="M50:S50">
    <cfRule type="cellIs" dxfId="132" priority="1" stopIfTrue="1" operator="equal">
      <formula>0</formula>
    </cfRule>
    <cfRule type="cellIs" dxfId="131"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4" manualBreakCount="4">
    <brk id="129" min="1" max="19" man="1"/>
    <brk id="248" min="1" max="19" man="1"/>
    <brk id="303" min="1" max="19" man="1"/>
    <brk id="423" min="1" max="19" man="1"/>
  </rowBreaks>
  <extLst>
    <ext xmlns:x14="http://schemas.microsoft.com/office/spreadsheetml/2009/9/main" uri="{78C0D931-6437-407d-A8EE-F0AAD7539E65}">
      <x14:conditionalFormattings>
        <x14:conditionalFormatting xmlns:xm="http://schemas.microsoft.com/office/excel/2006/main">
          <x14:cfRule type="expression" priority="147" id="{ADF2BC2D-B5D7-4D6F-B7A9-159E54D239D5}">
            <xm:f>'Global inputs'!$A1="MODEL ERROR"</xm:f>
            <x14:dxf>
              <fill>
                <patternFill>
                  <bgColor theme="1"/>
                </patternFill>
              </fill>
            </x14:dxf>
          </x14:cfRule>
          <xm:sqref>A1:XFD1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1E68-51C7-41EE-B7A0-33BDFDAE7E96}">
  <dimension ref="A1:Y351"/>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outlineLevelRow="1" outlineLevelCol="1" x14ac:dyDescent="0.2"/>
  <cols>
    <col min="1" max="1" width="2.75" style="232" customWidth="1"/>
    <col min="2" max="2" width="49.5" style="232" bestFit="1" customWidth="1"/>
    <col min="3" max="3" width="15.75" style="329" customWidth="1"/>
    <col min="4" max="5" width="15.75" style="232" customWidth="1"/>
    <col min="6" max="7" width="2.75" style="232" customWidth="1"/>
    <col min="8" max="8" width="10.75" style="232" customWidth="1" outlineLevel="1"/>
    <col min="9" max="9" width="10.75" style="234" customWidth="1" outlineLevel="1"/>
    <col min="10" max="12" width="10.75" style="232" customWidth="1" outlineLevel="1"/>
    <col min="13" max="20" width="10.75" style="232" customWidth="1"/>
    <col min="21" max="21" width="2.75" style="232" customWidth="1"/>
    <col min="22" max="23" width="8.25" style="232" hidden="1" customWidth="1"/>
    <col min="24" max="25" width="8.75" style="232" hidden="1" customWidth="1"/>
    <col min="26" max="27" width="8.25" style="232" hidden="1" customWidth="1"/>
    <col min="28" max="16384" width="8.25" style="232" hidden="1"/>
  </cols>
  <sheetData>
    <row r="1" spans="1:24" ht="12" customHeight="1" x14ac:dyDescent="0.2">
      <c r="A1" s="229"/>
      <c r="B1" s="229"/>
      <c r="C1" s="303"/>
      <c r="D1" s="229"/>
      <c r="E1" s="229"/>
      <c r="F1" s="229"/>
      <c r="G1" s="229"/>
      <c r="H1" s="229"/>
      <c r="I1" s="229"/>
      <c r="J1" s="229"/>
      <c r="K1" s="229"/>
      <c r="L1" s="229"/>
      <c r="M1" s="229"/>
      <c r="N1" s="229"/>
      <c r="O1" s="229"/>
      <c r="P1" s="229"/>
      <c r="Q1" s="229"/>
      <c r="R1" s="229"/>
      <c r="S1" s="229"/>
      <c r="T1" s="229"/>
      <c r="U1" s="229"/>
      <c r="V1" s="229"/>
      <c r="W1" s="229"/>
      <c r="X1" s="229"/>
    </row>
    <row r="2" spans="1:24" s="229" customFormat="1" ht="15" customHeight="1" x14ac:dyDescent="0.25">
      <c r="B2" s="212" t="str">
        <f ca="1">MID(CELL("filename",B2),FIND("]",CELL("filename",B2))+1,255)</f>
        <v>Schedule E calculations</v>
      </c>
      <c r="C2" s="336" t="str">
        <f>'Global inputs'!$C$2</f>
        <v>Model: Ok</v>
      </c>
      <c r="D2" s="277"/>
      <c r="E2" s="277"/>
      <c r="F2" s="242"/>
      <c r="G2" s="242"/>
      <c r="H2" s="242"/>
      <c r="I2" s="242"/>
      <c r="J2" s="242"/>
      <c r="K2" s="242"/>
      <c r="L2" s="242"/>
      <c r="M2" s="242"/>
      <c r="N2" s="242"/>
      <c r="O2" s="242"/>
      <c r="P2" s="242"/>
      <c r="Q2" s="242"/>
      <c r="R2" s="242"/>
      <c r="S2" s="242"/>
      <c r="T2" s="242"/>
    </row>
    <row r="3" spans="1:24" s="243" customFormat="1" ht="12" customHeight="1" x14ac:dyDescent="0.2">
      <c r="B3" s="300" t="s">
        <v>42</v>
      </c>
      <c r="C3" s="278"/>
      <c r="D3" s="245"/>
      <c r="E3" s="245"/>
      <c r="F3" s="244"/>
      <c r="G3" s="247"/>
      <c r="H3" s="213">
        <f>'Global inputs'!H3</f>
        <v>41730</v>
      </c>
      <c r="I3" s="213">
        <f>'Global inputs'!I3</f>
        <v>42095</v>
      </c>
      <c r="J3" s="213">
        <f>'Global inputs'!J3</f>
        <v>42461</v>
      </c>
      <c r="K3" s="213">
        <f>'Global inputs'!K3</f>
        <v>42826</v>
      </c>
      <c r="L3" s="213">
        <f>'Global inputs'!L3</f>
        <v>43191</v>
      </c>
      <c r="M3" s="213">
        <f>'Global inputs'!M3</f>
        <v>43556</v>
      </c>
      <c r="N3" s="213">
        <f>'Global inputs'!N3</f>
        <v>43922</v>
      </c>
      <c r="O3" s="213">
        <f>'Global inputs'!O3</f>
        <v>44287</v>
      </c>
      <c r="P3" s="213">
        <f>'Global inputs'!P3</f>
        <v>44652</v>
      </c>
      <c r="Q3" s="213">
        <f>'Global inputs'!Q3</f>
        <v>45017</v>
      </c>
      <c r="R3" s="213">
        <f>'Global inputs'!R3</f>
        <v>45383</v>
      </c>
      <c r="S3" s="213">
        <f>Escalators!T3</f>
        <v>45748</v>
      </c>
      <c r="T3" s="213"/>
    </row>
    <row r="4" spans="1:24" s="243" customFormat="1" ht="12" customHeight="1" x14ac:dyDescent="0.2">
      <c r="B4" s="300" t="s">
        <v>43</v>
      </c>
      <c r="C4" s="278"/>
      <c r="D4" s="279"/>
      <c r="E4" s="279"/>
      <c r="F4" s="244"/>
      <c r="G4" s="247"/>
      <c r="H4" s="213">
        <f>'Global inputs'!H4</f>
        <v>42094</v>
      </c>
      <c r="I4" s="213">
        <f>'Global inputs'!I4</f>
        <v>42460</v>
      </c>
      <c r="J4" s="213">
        <f>'Global inputs'!J4</f>
        <v>42825</v>
      </c>
      <c r="K4" s="213">
        <f>'Global inputs'!K4</f>
        <v>43190</v>
      </c>
      <c r="L4" s="213">
        <f>'Global inputs'!L4</f>
        <v>43555</v>
      </c>
      <c r="M4" s="213">
        <f>'Global inputs'!M4</f>
        <v>43921</v>
      </c>
      <c r="N4" s="213">
        <f>'Global inputs'!N4</f>
        <v>44286</v>
      </c>
      <c r="O4" s="213">
        <f>'Global inputs'!O4</f>
        <v>44651</v>
      </c>
      <c r="P4" s="213">
        <f>'Global inputs'!P4</f>
        <v>45016</v>
      </c>
      <c r="Q4" s="213">
        <f>'Global inputs'!Q4</f>
        <v>45382</v>
      </c>
      <c r="R4" s="213">
        <f>'Global inputs'!R4</f>
        <v>45747</v>
      </c>
      <c r="S4" s="213">
        <f>Escalators!T4</f>
        <v>46112</v>
      </c>
      <c r="T4" s="213"/>
    </row>
    <row r="5" spans="1:24" s="243" customFormat="1" ht="12" customHeight="1" x14ac:dyDescent="0.2">
      <c r="B5" s="300" t="s">
        <v>44</v>
      </c>
      <c r="C5" s="278"/>
      <c r="D5" s="279"/>
      <c r="E5" s="279"/>
      <c r="F5" s="244"/>
      <c r="G5" s="247"/>
      <c r="H5" s="214" t="str">
        <f>'Global inputs'!H5</f>
        <v>RY15</v>
      </c>
      <c r="I5" s="214" t="str">
        <f>'Global inputs'!I5</f>
        <v>RY16</v>
      </c>
      <c r="J5" s="214" t="str">
        <f>'Global inputs'!J5</f>
        <v>RY17</v>
      </c>
      <c r="K5" s="214" t="str">
        <f>'Global inputs'!K5</f>
        <v>RY18</v>
      </c>
      <c r="L5" s="214" t="str">
        <f>'Global inputs'!L5</f>
        <v>RY19</v>
      </c>
      <c r="M5" s="214" t="str">
        <f>'Global inputs'!M5</f>
        <v>RY20</v>
      </c>
      <c r="N5" s="214" t="str">
        <f>'Global inputs'!N5</f>
        <v>RY21</v>
      </c>
      <c r="O5" s="214" t="str">
        <f>'Global inputs'!O5</f>
        <v>RY22</v>
      </c>
      <c r="P5" s="214" t="str">
        <f>'Global inputs'!P5</f>
        <v>RY23</v>
      </c>
      <c r="Q5" s="214" t="str">
        <f>'Global inputs'!Q5</f>
        <v>RY24</v>
      </c>
      <c r="R5" s="214" t="str">
        <f>'Global inputs'!R5</f>
        <v>RY25</v>
      </c>
      <c r="S5" s="214" t="str">
        <f>Escalators!T5</f>
        <v>RY26</v>
      </c>
      <c r="T5" s="214"/>
    </row>
    <row r="6" spans="1:24" s="243" customFormat="1" ht="12" customHeight="1" x14ac:dyDescent="0.2">
      <c r="B6" s="300" t="s">
        <v>45</v>
      </c>
      <c r="C6" s="278"/>
      <c r="D6" s="279"/>
      <c r="E6" s="279"/>
      <c r="F6" s="244"/>
      <c r="G6" s="247"/>
      <c r="H6" s="215" t="s">
        <v>46</v>
      </c>
      <c r="I6" s="216"/>
      <c r="J6" s="216"/>
      <c r="K6" s="216"/>
      <c r="L6" s="216"/>
      <c r="M6" s="215" t="s">
        <v>47</v>
      </c>
      <c r="N6" s="216"/>
      <c r="O6" s="215" t="s">
        <v>48</v>
      </c>
      <c r="P6" s="216"/>
      <c r="Q6" s="216"/>
      <c r="R6" s="216"/>
      <c r="S6" s="216"/>
      <c r="T6" s="215" t="s">
        <v>49</v>
      </c>
    </row>
    <row r="7" spans="1:24" ht="12" customHeight="1" x14ac:dyDescent="0.2">
      <c r="B7" s="242"/>
      <c r="C7" s="280"/>
      <c r="D7" s="248"/>
      <c r="E7" s="248"/>
      <c r="F7" s="242"/>
      <c r="G7" s="242"/>
      <c r="H7" s="242"/>
      <c r="I7" s="242"/>
      <c r="J7" s="242"/>
      <c r="K7" s="242"/>
      <c r="L7" s="242"/>
      <c r="M7" s="242"/>
      <c r="N7" s="242"/>
      <c r="O7" s="242"/>
      <c r="P7" s="242"/>
      <c r="Q7" s="242"/>
      <c r="R7" s="242"/>
      <c r="S7" s="242"/>
      <c r="T7" s="242"/>
    </row>
    <row r="8" spans="1:24" ht="12" customHeight="1" x14ac:dyDescent="0.2">
      <c r="B8" s="242"/>
      <c r="C8" s="280"/>
      <c r="D8" s="248"/>
      <c r="E8" s="248"/>
      <c r="F8" s="242"/>
      <c r="G8" s="242"/>
      <c r="H8" s="242"/>
      <c r="I8" s="242"/>
      <c r="J8" s="242"/>
      <c r="K8" s="242"/>
      <c r="L8" s="242"/>
      <c r="M8" s="242"/>
      <c r="N8" s="242"/>
      <c r="O8" s="242"/>
      <c r="P8" s="242"/>
      <c r="Q8" s="242"/>
      <c r="R8" s="242"/>
      <c r="S8" s="242"/>
      <c r="T8" s="242"/>
    </row>
    <row r="9" spans="1:24" s="265" customFormat="1" ht="14.25" x14ac:dyDescent="0.2">
      <c r="B9" s="291" t="s">
        <v>67</v>
      </c>
      <c r="C9" s="250"/>
      <c r="D9" s="250"/>
      <c r="E9" s="250"/>
      <c r="F9" s="250"/>
      <c r="G9" s="250"/>
      <c r="H9" s="250"/>
      <c r="I9" s="250"/>
      <c r="J9" s="250"/>
      <c r="K9" s="250"/>
      <c r="L9" s="250"/>
      <c r="M9" s="350">
        <v>2020</v>
      </c>
      <c r="N9" s="351">
        <f t="shared" ref="N9:S9" si="0">M9+1</f>
        <v>2021</v>
      </c>
      <c r="O9" s="351">
        <f t="shared" si="0"/>
        <v>2022</v>
      </c>
      <c r="P9" s="351">
        <f t="shared" si="0"/>
        <v>2023</v>
      </c>
      <c r="Q9" s="351">
        <f t="shared" si="0"/>
        <v>2024</v>
      </c>
      <c r="R9" s="351">
        <f t="shared" si="0"/>
        <v>2025</v>
      </c>
      <c r="S9" s="350">
        <f t="shared" si="0"/>
        <v>2026</v>
      </c>
    </row>
    <row r="10" spans="1:24" s="352" customFormat="1" ht="14.25" x14ac:dyDescent="0.2">
      <c r="B10" s="267"/>
      <c r="C10" s="267"/>
      <c r="D10" s="267"/>
      <c r="E10" s="267"/>
      <c r="F10" s="267"/>
      <c r="G10" s="267"/>
      <c r="H10" s="267"/>
      <c r="I10" s="267"/>
      <c r="J10" s="267"/>
      <c r="K10" s="267"/>
      <c r="L10" s="267"/>
      <c r="M10" s="353"/>
      <c r="N10" s="353"/>
      <c r="O10" s="353"/>
      <c r="P10" s="353"/>
      <c r="Q10" s="353"/>
      <c r="R10" s="353"/>
      <c r="S10" s="353"/>
    </row>
    <row r="11" spans="1:24" s="229" customFormat="1" ht="12" customHeight="1" x14ac:dyDescent="0.2">
      <c r="A11" s="232"/>
      <c r="B11" s="283" t="s">
        <v>464</v>
      </c>
      <c r="C11" s="284" t="s">
        <v>51</v>
      </c>
      <c r="D11" s="285" t="s">
        <v>52</v>
      </c>
      <c r="E11" s="284" t="s">
        <v>53</v>
      </c>
      <c r="F11" s="242"/>
      <c r="G11" s="302"/>
      <c r="H11" s="302"/>
      <c r="I11" s="302"/>
      <c r="J11" s="302"/>
      <c r="K11" s="242"/>
      <c r="L11" s="242"/>
      <c r="M11" s="242"/>
      <c r="N11" s="242"/>
      <c r="O11" s="242"/>
      <c r="P11" s="242"/>
      <c r="Q11" s="242"/>
      <c r="R11" s="242"/>
      <c r="S11" s="242"/>
      <c r="T11" s="242"/>
    </row>
    <row r="12" spans="1:24" s="229" customFormat="1" ht="12" customHeight="1" x14ac:dyDescent="0.2">
      <c r="B12" s="313"/>
      <c r="C12" s="314"/>
      <c r="D12" s="347"/>
      <c r="E12" s="314"/>
      <c r="F12" s="242"/>
      <c r="G12" s="302"/>
      <c r="H12" s="302"/>
      <c r="I12" s="302"/>
      <c r="J12" s="302"/>
      <c r="K12" s="242"/>
      <c r="L12" s="242"/>
      <c r="M12" s="242"/>
      <c r="N12" s="242"/>
      <c r="O12" s="242"/>
      <c r="P12" s="242"/>
      <c r="Q12" s="242"/>
      <c r="R12" s="242"/>
      <c r="S12" s="242"/>
      <c r="T12" s="242"/>
    </row>
    <row r="13" spans="1:24" s="265" customFormat="1" ht="14.25" x14ac:dyDescent="0.2">
      <c r="B13" s="354" t="s">
        <v>380</v>
      </c>
      <c r="C13" s="355"/>
      <c r="D13" s="250"/>
      <c r="E13" s="250"/>
      <c r="F13" s="250"/>
      <c r="G13" s="250"/>
      <c r="H13" s="250"/>
      <c r="I13" s="250"/>
      <c r="J13" s="250"/>
      <c r="K13" s="250"/>
      <c r="L13" s="250"/>
      <c r="M13" s="250"/>
      <c r="N13" s="250"/>
      <c r="O13" s="250"/>
      <c r="P13" s="250"/>
      <c r="Q13" s="250"/>
      <c r="R13" s="250"/>
      <c r="S13" s="250"/>
    </row>
    <row r="14" spans="1:24" s="265" customFormat="1" ht="14.25" x14ac:dyDescent="0.2">
      <c r="B14" s="250"/>
      <c r="C14" s="355"/>
      <c r="D14" s="250"/>
      <c r="E14" s="250"/>
      <c r="F14" s="250"/>
      <c r="G14" s="250"/>
      <c r="H14" s="250"/>
      <c r="I14" s="250"/>
      <c r="J14" s="250"/>
      <c r="K14" s="250"/>
      <c r="L14" s="250"/>
      <c r="M14" s="250"/>
      <c r="N14" s="250"/>
      <c r="O14" s="250"/>
      <c r="P14" s="250"/>
      <c r="Q14" s="250"/>
      <c r="R14" s="250"/>
      <c r="S14" s="250"/>
    </row>
    <row r="15" spans="1:24" customFormat="1" ht="14.25" x14ac:dyDescent="0.2">
      <c r="A15" s="265"/>
      <c r="B15" s="291" t="s">
        <v>465</v>
      </c>
      <c r="C15" s="356" t="s">
        <v>250</v>
      </c>
      <c r="D15" s="250"/>
      <c r="E15" s="250"/>
      <c r="F15" s="250"/>
      <c r="G15" s="250"/>
      <c r="H15" s="27"/>
      <c r="I15" s="27"/>
      <c r="J15" s="27"/>
      <c r="K15" s="27"/>
      <c r="L15" s="27"/>
      <c r="M15" s="161">
        <f xml:space="preserve"> 'Works under construction'!M$51</f>
        <v>562511.32696919737</v>
      </c>
      <c r="N15" s="162">
        <f xml:space="preserve"> 'Works under construction'!N$51</f>
        <v>555284.33704712754</v>
      </c>
      <c r="O15" s="162">
        <f xml:space="preserve"> 'Works under construction'!O$51</f>
        <v>471136.74372244219</v>
      </c>
      <c r="P15" s="162">
        <f xml:space="preserve"> 'Works under construction'!P$51</f>
        <v>455188.8673536625</v>
      </c>
      <c r="Q15" s="162">
        <f xml:space="preserve"> 'Works under construction'!Q$51</f>
        <v>473939.32899362192</v>
      </c>
      <c r="R15" s="162">
        <f xml:space="preserve"> 'Works under construction'!R$51</f>
        <v>450442.4163292041</v>
      </c>
      <c r="S15" s="161">
        <f xml:space="preserve"> 'Works under construction'!S$51</f>
        <v>413380.88562159636</v>
      </c>
      <c r="T15" s="265"/>
      <c r="U15" s="265"/>
    </row>
    <row r="16" spans="1:24" s="265" customFormat="1" ht="14.25" x14ac:dyDescent="0.2">
      <c r="B16" s="291" t="s">
        <v>466</v>
      </c>
      <c r="C16" s="356" t="s">
        <v>467</v>
      </c>
      <c r="D16" s="250"/>
      <c r="E16" s="250"/>
      <c r="F16" s="250"/>
      <c r="G16" s="250"/>
      <c r="H16" s="250"/>
      <c r="I16" s="250"/>
      <c r="J16" s="250"/>
      <c r="K16" s="250"/>
      <c r="L16" s="250"/>
      <c r="M16" s="357">
        <f>M15/('Capex summary'!M51/'Capex summary'!M31)</f>
        <v>562511.32696919737</v>
      </c>
      <c r="N16" s="357">
        <f>N15/('Capex summary'!N51/'Capex summary'!N31)</f>
        <v>546953.34296732605</v>
      </c>
      <c r="O16" s="357">
        <f>O15/('Capex summary'!O51/'Capex summary'!O31)</f>
        <v>457620.22157916398</v>
      </c>
      <c r="P16" s="357">
        <f>P15/('Capex summary'!P51/'Capex summary'!P31)</f>
        <v>433633.64462050586</v>
      </c>
      <c r="Q16" s="357">
        <f>Q15/('Capex summary'!Q51/'Capex summary'!Q31)</f>
        <v>444604.66840890649</v>
      </c>
      <c r="R16" s="357">
        <f>R15/('Capex summary'!R51/'Capex summary'!R31)</f>
        <v>414306.26233222277</v>
      </c>
      <c r="S16" s="357">
        <f>S15/('Capex summary'!S51/'Capex summary'!S31)</f>
        <v>372488.48789597256</v>
      </c>
    </row>
    <row r="17" spans="2:19" s="265" customFormat="1" ht="14.25" x14ac:dyDescent="0.2">
      <c r="B17" s="250"/>
      <c r="C17" s="355"/>
      <c r="D17" s="250"/>
      <c r="E17" s="250"/>
      <c r="F17" s="250"/>
      <c r="G17" s="250"/>
      <c r="H17" s="250"/>
      <c r="I17" s="250"/>
      <c r="J17" s="250"/>
      <c r="K17" s="250"/>
      <c r="L17" s="250"/>
      <c r="M17" s="250"/>
      <c r="N17" s="250"/>
      <c r="O17" s="250"/>
      <c r="P17" s="250"/>
      <c r="Q17" s="250"/>
      <c r="R17" s="250"/>
      <c r="S17" s="250"/>
    </row>
    <row r="18" spans="2:19" s="265" customFormat="1" ht="14.25" x14ac:dyDescent="0.2">
      <c r="B18" s="291" t="s">
        <v>468</v>
      </c>
      <c r="C18" s="358"/>
      <c r="D18" s="250"/>
      <c r="E18" s="250"/>
      <c r="F18" s="250"/>
      <c r="G18" s="250"/>
      <c r="H18" s="250"/>
      <c r="I18" s="250"/>
      <c r="J18" s="250"/>
      <c r="K18" s="250"/>
      <c r="L18" s="250"/>
      <c r="M18" s="250"/>
      <c r="N18" s="250"/>
      <c r="O18" s="250"/>
      <c r="P18" s="250"/>
      <c r="Q18" s="250"/>
      <c r="R18" s="250"/>
      <c r="S18" s="250"/>
    </row>
    <row r="19" spans="2:19" s="265" customFormat="1" ht="14.25" x14ac:dyDescent="0.2">
      <c r="B19" s="359" t="str">
        <f>'Capex summary'!B37</f>
        <v>Consumer connection</v>
      </c>
      <c r="C19" s="356" t="s">
        <v>69</v>
      </c>
      <c r="D19" s="250"/>
      <c r="E19" s="250"/>
      <c r="F19" s="250"/>
      <c r="G19" s="250"/>
      <c r="H19" s="250"/>
      <c r="I19" s="250"/>
      <c r="J19" s="250"/>
      <c r="K19" s="250"/>
      <c r="L19" s="250"/>
      <c r="M19" s="360">
        <f>'Capex summary'!M17/'Capex summary'!M$31</f>
        <v>0.20699963095415572</v>
      </c>
      <c r="N19" s="360">
        <f>'Capex summary'!N17/'Capex summary'!N$31</f>
        <v>0.12541765136567212</v>
      </c>
      <c r="O19" s="360">
        <f>'Capex summary'!O17/'Capex summary'!O$31</f>
        <v>9.7537866547518448E-2</v>
      </c>
      <c r="P19" s="360">
        <f>'Capex summary'!P17/'Capex summary'!P$31</f>
        <v>0.10195958062756859</v>
      </c>
      <c r="Q19" s="360">
        <f>'Capex summary'!Q17/'Capex summary'!Q$31</f>
        <v>0.1320375627138457</v>
      </c>
      <c r="R19" s="360">
        <f>'Capex summary'!R17/'Capex summary'!R$31</f>
        <v>0.15958659760782859</v>
      </c>
      <c r="S19" s="360">
        <f>'Capex summary'!S17/'Capex summary'!S$31</f>
        <v>0.20764078082284895</v>
      </c>
    </row>
    <row r="20" spans="2:19" s="265" customFormat="1" ht="14.25" x14ac:dyDescent="0.2">
      <c r="B20" s="359" t="str">
        <f>'Capex summary'!B38</f>
        <v xml:space="preserve">System growth </v>
      </c>
      <c r="C20" s="356" t="s">
        <v>69</v>
      </c>
      <c r="D20" s="250"/>
      <c r="E20" s="250"/>
      <c r="F20" s="250"/>
      <c r="G20" s="250"/>
      <c r="H20" s="250"/>
      <c r="I20" s="250"/>
      <c r="J20" s="250"/>
      <c r="K20" s="250"/>
      <c r="L20" s="250"/>
      <c r="M20" s="360">
        <f>'Capex summary'!M18/'Capex summary'!M$31</f>
        <v>0.10457839830023977</v>
      </c>
      <c r="N20" s="360">
        <f>'Capex summary'!N18/'Capex summary'!N$31</f>
        <v>7.2248321343075989E-2</v>
      </c>
      <c r="O20" s="360">
        <f>'Capex summary'!O18/'Capex summary'!O$31</f>
        <v>5.0622163214468316E-2</v>
      </c>
      <c r="P20" s="360">
        <f>'Capex summary'!P18/'Capex summary'!P$31</f>
        <v>3.2135059968185484E-2</v>
      </c>
      <c r="Q20" s="360">
        <f>'Capex summary'!Q18/'Capex summary'!Q$31</f>
        <v>5.7882348491081766E-2</v>
      </c>
      <c r="R20" s="360">
        <f>'Capex summary'!R18/'Capex summary'!R$31</f>
        <v>4.1514097464975308E-2</v>
      </c>
      <c r="S20" s="360">
        <f>'Capex summary'!S18/'Capex summary'!S$31</f>
        <v>4.7020083834029516E-2</v>
      </c>
    </row>
    <row r="21" spans="2:19" s="265" customFormat="1" ht="14.25" x14ac:dyDescent="0.2">
      <c r="B21" s="359" t="str">
        <f>'Capex summary'!B39</f>
        <v>Asset replacement and renewal</v>
      </c>
      <c r="C21" s="356" t="s">
        <v>69</v>
      </c>
      <c r="D21" s="250"/>
      <c r="E21" s="250"/>
      <c r="F21" s="250"/>
      <c r="G21" s="250"/>
      <c r="H21" s="250"/>
      <c r="I21" s="250"/>
      <c r="J21" s="250"/>
      <c r="K21" s="250"/>
      <c r="L21" s="250"/>
      <c r="M21" s="360">
        <f>'Capex summary'!M19/'Capex summary'!M$31</f>
        <v>0.52955185795781023</v>
      </c>
      <c r="N21" s="360">
        <f>'Capex summary'!N19/'Capex summary'!N$31</f>
        <v>0.68659718042294604</v>
      </c>
      <c r="O21" s="360">
        <f>'Capex summary'!O19/'Capex summary'!O$31</f>
        <v>0.73321922665133299</v>
      </c>
      <c r="P21" s="360">
        <f>'Capex summary'!P19/'Capex summary'!P$31</f>
        <v>0.79181781875896617</v>
      </c>
      <c r="Q21" s="360">
        <f>'Capex summary'!Q19/'Capex summary'!Q$31</f>
        <v>0.74572073554295015</v>
      </c>
      <c r="R21" s="360">
        <f>'Capex summary'!R19/'Capex summary'!R$31</f>
        <v>0.72943526914183054</v>
      </c>
      <c r="S21" s="360">
        <f>'Capex summary'!S19/'Capex summary'!S$31</f>
        <v>0.67457726821940978</v>
      </c>
    </row>
    <row r="22" spans="2:19" s="265" customFormat="1" ht="14.25" x14ac:dyDescent="0.2">
      <c r="B22" s="359" t="str">
        <f>'Capex summary'!B40</f>
        <v>Asset relocations and undergrounding</v>
      </c>
      <c r="C22" s="356" t="s">
        <v>69</v>
      </c>
      <c r="D22" s="250"/>
      <c r="E22" s="250"/>
      <c r="F22" s="250"/>
      <c r="G22" s="250"/>
      <c r="H22" s="250"/>
      <c r="I22" s="250"/>
      <c r="J22" s="250"/>
      <c r="K22" s="250"/>
      <c r="L22" s="250"/>
      <c r="M22" s="360">
        <f>'Capex summary'!M20/'Capex summary'!M$31</f>
        <v>1.7917879502798061E-2</v>
      </c>
      <c r="N22" s="360">
        <f>'Capex summary'!N20/'Capex summary'!N$31</f>
        <v>2.6444542701221548E-2</v>
      </c>
      <c r="O22" s="360">
        <f>'Capex summary'!O20/'Capex summary'!O$31</f>
        <v>2.5018945180360408E-2</v>
      </c>
      <c r="P22" s="360">
        <f>'Capex summary'!P20/'Capex summary'!P$31</f>
        <v>2.6153136711175851E-2</v>
      </c>
      <c r="Q22" s="360">
        <f>'Capex summary'!Q20/'Capex summary'!Q$31</f>
        <v>2.4539362117587712E-2</v>
      </c>
      <c r="R22" s="360">
        <f>'Capex summary'!R20/'Capex summary'!R$31</f>
        <v>2.5741921277732685E-2</v>
      </c>
      <c r="S22" s="360">
        <f>'Capex summary'!S20/'Capex summary'!S$31</f>
        <v>2.8478055276489569E-2</v>
      </c>
    </row>
    <row r="23" spans="2:19" s="265" customFormat="1" ht="14.25" x14ac:dyDescent="0.2">
      <c r="B23" s="359" t="str">
        <f>'Capex summary'!B42</f>
        <v>Reliability, safety and environment (RSE)</v>
      </c>
      <c r="C23" s="356" t="s">
        <v>69</v>
      </c>
      <c r="D23" s="250"/>
      <c r="E23" s="250"/>
      <c r="F23" s="250"/>
      <c r="G23" s="250"/>
      <c r="H23" s="250"/>
      <c r="I23" s="250"/>
      <c r="J23" s="250"/>
      <c r="K23" s="250"/>
      <c r="L23" s="250"/>
      <c r="M23" s="360">
        <f>'Capex summary'!M26/'Capex summary'!M$31</f>
        <v>1.6695149477351328E-2</v>
      </c>
      <c r="N23" s="360">
        <f>'Capex summary'!N26/'Capex summary'!N$31</f>
        <v>3.2615705556578714E-3</v>
      </c>
      <c r="O23" s="360">
        <f>'Capex summary'!O26/'Capex summary'!O$31</f>
        <v>5.9779740004203379E-3</v>
      </c>
      <c r="P23" s="360">
        <f>'Capex summary'!P26/'Capex summary'!P$31</f>
        <v>6.2489753329638869E-3</v>
      </c>
      <c r="Q23" s="360">
        <f>'Capex summary'!Q26/'Capex summary'!Q$31</f>
        <v>2.8876705284390956E-3</v>
      </c>
      <c r="R23" s="360">
        <f>'Capex summary'!R26/'Capex summary'!R$31</f>
        <v>1.213686776032317E-2</v>
      </c>
      <c r="S23" s="360">
        <f>'Capex summary'!S26/'Capex summary'!S$31</f>
        <v>1.0075732250149181E-2</v>
      </c>
    </row>
    <row r="24" spans="2:19" s="265" customFormat="1" ht="14.25" x14ac:dyDescent="0.2">
      <c r="B24" s="359" t="str">
        <f>'Capex summary'!B50</f>
        <v>Non-network capex</v>
      </c>
      <c r="C24" s="356" t="s">
        <v>69</v>
      </c>
      <c r="D24" s="250"/>
      <c r="E24" s="250"/>
      <c r="F24" s="250"/>
      <c r="G24" s="250"/>
      <c r="H24" s="250"/>
      <c r="I24" s="250"/>
      <c r="J24" s="250"/>
      <c r="K24" s="250"/>
      <c r="L24" s="250"/>
      <c r="M24" s="360">
        <f>'Capex summary'!M30/'Capex summary'!M$31</f>
        <v>0.12425708380764484</v>
      </c>
      <c r="N24" s="360">
        <f>'Capex summary'!N30/'Capex summary'!N$31</f>
        <v>8.6030733611426408E-2</v>
      </c>
      <c r="O24" s="360">
        <f>'Capex summary'!O30/'Capex summary'!O$31</f>
        <v>8.7623824405899567E-2</v>
      </c>
      <c r="P24" s="360">
        <f>'Capex summary'!P30/'Capex summary'!P$31</f>
        <v>4.1685428601139982E-2</v>
      </c>
      <c r="Q24" s="360">
        <f>'Capex summary'!Q30/'Capex summary'!Q$31</f>
        <v>3.6932320606095713E-2</v>
      </c>
      <c r="R24" s="360">
        <f>'Capex summary'!R30/'Capex summary'!R$31</f>
        <v>3.1585246747309913E-2</v>
      </c>
      <c r="S24" s="360">
        <f>'Capex summary'!S30/'Capex summary'!S$31</f>
        <v>3.2208079597072968E-2</v>
      </c>
    </row>
    <row r="25" spans="2:19" s="265" customFormat="1" ht="14.25" x14ac:dyDescent="0.2">
      <c r="B25" s="359"/>
      <c r="C25" s="356"/>
      <c r="D25" s="250"/>
      <c r="E25" s="250"/>
      <c r="F25" s="250"/>
      <c r="G25" s="250"/>
      <c r="H25" s="250"/>
      <c r="I25" s="250"/>
      <c r="J25" s="250"/>
      <c r="K25" s="250"/>
      <c r="L25" s="250"/>
      <c r="M25" s="360"/>
      <c r="N25" s="360"/>
      <c r="O25" s="360"/>
      <c r="P25" s="360"/>
      <c r="Q25" s="360"/>
      <c r="R25" s="360"/>
      <c r="S25" s="360"/>
    </row>
    <row r="26" spans="2:19" s="265" customFormat="1" ht="14.25" x14ac:dyDescent="0.2">
      <c r="B26" s="361" t="s">
        <v>222</v>
      </c>
      <c r="C26" s="362">
        <f>SUM(M26:S26)</f>
        <v>0</v>
      </c>
      <c r="D26" s="250"/>
      <c r="E26" s="250"/>
      <c r="F26" s="250"/>
      <c r="G26" s="250"/>
      <c r="H26" s="250"/>
      <c r="I26" s="250"/>
      <c r="J26" s="250"/>
      <c r="K26" s="250"/>
      <c r="L26" s="250"/>
      <c r="M26" s="228">
        <f t="shared" ref="M26:S26" si="1">1-SUM(M19:M24)</f>
        <v>0</v>
      </c>
      <c r="N26" s="228">
        <f t="shared" si="1"/>
        <v>0</v>
      </c>
      <c r="O26" s="228">
        <f t="shared" si="1"/>
        <v>0</v>
      </c>
      <c r="P26" s="228">
        <f t="shared" si="1"/>
        <v>0</v>
      </c>
      <c r="Q26" s="228">
        <f t="shared" si="1"/>
        <v>0</v>
      </c>
      <c r="R26" s="228">
        <f t="shared" si="1"/>
        <v>0</v>
      </c>
      <c r="S26" s="228">
        <f t="shared" si="1"/>
        <v>0</v>
      </c>
    </row>
    <row r="27" spans="2:19" s="265" customFormat="1" ht="14.25" x14ac:dyDescent="0.2">
      <c r="B27" s="361"/>
      <c r="C27" s="355"/>
      <c r="D27" s="250"/>
      <c r="E27" s="250"/>
      <c r="F27" s="250"/>
      <c r="G27" s="250"/>
      <c r="H27" s="250"/>
      <c r="I27" s="250"/>
      <c r="J27" s="250"/>
      <c r="K27" s="250"/>
      <c r="L27" s="250"/>
      <c r="M27" s="228"/>
      <c r="N27" s="228"/>
      <c r="O27" s="228"/>
      <c r="P27" s="228"/>
      <c r="Q27" s="228"/>
      <c r="R27" s="228"/>
      <c r="S27" s="228"/>
    </row>
    <row r="28" spans="2:19" s="265" customFormat="1" ht="14.25" x14ac:dyDescent="0.2">
      <c r="B28" s="291" t="s">
        <v>469</v>
      </c>
      <c r="C28" s="358"/>
      <c r="D28" s="250"/>
      <c r="E28" s="250"/>
      <c r="F28" s="250"/>
      <c r="G28" s="250"/>
      <c r="H28" s="250"/>
      <c r="I28" s="250"/>
      <c r="J28" s="250"/>
      <c r="K28" s="250"/>
      <c r="L28" s="250"/>
      <c r="M28" s="250"/>
      <c r="N28" s="250"/>
      <c r="O28" s="250"/>
      <c r="P28" s="250"/>
      <c r="Q28" s="250"/>
      <c r="R28" s="250"/>
      <c r="S28" s="250"/>
    </row>
    <row r="29" spans="2:19" s="265" customFormat="1" ht="14.25" x14ac:dyDescent="0.2">
      <c r="B29" s="359" t="str">
        <f t="shared" ref="B29:B34" si="2">B19</f>
        <v>Consumer connection</v>
      </c>
      <c r="C29" s="356" t="s">
        <v>250</v>
      </c>
      <c r="D29" s="250"/>
      <c r="E29" s="250"/>
      <c r="F29" s="250"/>
      <c r="G29" s="250"/>
      <c r="H29" s="250"/>
      <c r="I29" s="250"/>
      <c r="J29" s="250"/>
      <c r="K29" s="250"/>
      <c r="L29" s="250"/>
      <c r="M29" s="363">
        <f>SUMIFS('Forecast capex'!$AA$9:$AA$1883,'Forecast capex'!$AD$9:$AD$1883,'Schedule E calculations'!$B29,'Forecast capex'!$J$9:$J$1883,'Schedule E calculations'!M$9)</f>
        <v>0</v>
      </c>
      <c r="N29" s="363">
        <f>SUMIFS('Forecast capex'!$AA$9:$AA$1883,'Forecast capex'!$AD$9:$AD$1883,'Schedule E calculations'!$B29,'Forecast capex'!$J$9:$J$1883,'Schedule E calculations'!N$9)</f>
        <v>0</v>
      </c>
      <c r="O29" s="363">
        <f>SUMIFS('Forecast capex'!$AA$9:$AA$1883,'Forecast capex'!$AD$9:$AD$1883,'Schedule E calculations'!$B29,'Forecast capex'!$J$9:$J$1883,'Schedule E calculations'!O$9)</f>
        <v>0</v>
      </c>
      <c r="P29" s="363">
        <f>SUMIFS('Forecast capex'!$AA$9:$AA$1883,'Forecast capex'!$AD$9:$AD$1883,'Schedule E calculations'!$B29,'Forecast capex'!$J$9:$J$1883,'Schedule E calculations'!P$9)</f>
        <v>0</v>
      </c>
      <c r="Q29" s="363">
        <f>SUMIFS('Forecast capex'!$AA$9:$AA$1883,'Forecast capex'!$AD$9:$AD$1883,'Schedule E calculations'!$B29,'Forecast capex'!$J$9:$J$1883,'Schedule E calculations'!Q$9)</f>
        <v>0</v>
      </c>
      <c r="R29" s="363">
        <f>SUMIFS('Forecast capex'!$AA$9:$AA$1883,'Forecast capex'!$AD$9:$AD$1883,'Schedule E calculations'!$B29,'Forecast capex'!$J$9:$J$1883,'Schedule E calculations'!R$9)</f>
        <v>0</v>
      </c>
      <c r="S29" s="363">
        <f>SUMIFS('Forecast capex'!$AA$9:$AA$1883,'Forecast capex'!$AD$9:$AD$1883,'Schedule E calculations'!$B29,'Forecast capex'!$J$9:$J$1883,'Schedule E calculations'!S$9)</f>
        <v>0</v>
      </c>
    </row>
    <row r="30" spans="2:19" s="265" customFormat="1" ht="14.25" x14ac:dyDescent="0.2">
      <c r="B30" s="359" t="str">
        <f t="shared" si="2"/>
        <v xml:space="preserve">System growth </v>
      </c>
      <c r="C30" s="356" t="s">
        <v>250</v>
      </c>
      <c r="D30" s="250"/>
      <c r="E30" s="250"/>
      <c r="F30" s="250"/>
      <c r="G30" s="250"/>
      <c r="H30" s="250"/>
      <c r="I30" s="250"/>
      <c r="J30" s="250"/>
      <c r="K30" s="250"/>
      <c r="L30" s="250"/>
      <c r="M30" s="363">
        <f>SUMIFS('Forecast capex'!$AA$9:$AA$1883,'Forecast capex'!$AD$9:$AD$1883,'Schedule E calculations'!$B30,'Forecast capex'!$J$9:$J$1883,'Schedule E calculations'!M$9)</f>
        <v>117261.52702281214</v>
      </c>
      <c r="N30" s="363">
        <f>SUMIFS('Forecast capex'!$AA$9:$AA$1883,'Forecast capex'!$AD$9:$AD$1883,'Schedule E calculations'!$B30,'Forecast capex'!$J$9:$J$1883,'Schedule E calculations'!N$9)</f>
        <v>135794.26625595635</v>
      </c>
      <c r="O30" s="363">
        <f>SUMIFS('Forecast capex'!$AA$9:$AA$1883,'Forecast capex'!$AD$9:$AD$1883,'Schedule E calculations'!$B30,'Forecast capex'!$J$9:$J$1883,'Schedule E calculations'!O$9)</f>
        <v>63448.242360262244</v>
      </c>
      <c r="P30" s="363">
        <f>SUMIFS('Forecast capex'!$AA$9:$AA$1883,'Forecast capex'!$AD$9:$AD$1883,'Schedule E calculations'!$B30,'Forecast capex'!$J$9:$J$1883,'Schedule E calculations'!P$9)</f>
        <v>0</v>
      </c>
      <c r="Q30" s="363">
        <f>SUMIFS('Forecast capex'!$AA$9:$AA$1883,'Forecast capex'!$AD$9:$AD$1883,'Schedule E calculations'!$B30,'Forecast capex'!$J$9:$J$1883,'Schedule E calculations'!Q$9)</f>
        <v>0</v>
      </c>
      <c r="R30" s="363">
        <f>SUMIFS('Forecast capex'!$AA$9:$AA$1883,'Forecast capex'!$AD$9:$AD$1883,'Schedule E calculations'!$B30,'Forecast capex'!$J$9:$J$1883,'Schedule E calculations'!R$9)</f>
        <v>0</v>
      </c>
      <c r="S30" s="363">
        <f>SUMIFS('Forecast capex'!$AA$9:$AA$1883,'Forecast capex'!$AD$9:$AD$1883,'Schedule E calculations'!$B30,'Forecast capex'!$J$9:$J$1883,'Schedule E calculations'!S$9)</f>
        <v>0</v>
      </c>
    </row>
    <row r="31" spans="2:19" s="265" customFormat="1" ht="14.25" x14ac:dyDescent="0.2">
      <c r="B31" s="359" t="str">
        <f t="shared" si="2"/>
        <v>Asset replacement and renewal</v>
      </c>
      <c r="C31" s="356" t="s">
        <v>250</v>
      </c>
      <c r="D31" s="250"/>
      <c r="E31" s="250"/>
      <c r="F31" s="250"/>
      <c r="G31" s="250"/>
      <c r="H31" s="250"/>
      <c r="I31" s="250"/>
      <c r="J31" s="250"/>
      <c r="K31" s="250"/>
      <c r="L31" s="250"/>
      <c r="M31" s="363">
        <f>SUMIFS('Forecast capex'!$AA$9:$AA$1883,'Forecast capex'!$AD$9:$AD$1883,'Schedule E calculations'!$B31,'Forecast capex'!$J$9:$J$1883,'Schedule E calculations'!M$9)</f>
        <v>96124.85695740112</v>
      </c>
      <c r="N31" s="363">
        <f>SUMIFS('Forecast capex'!$AA$9:$AA$1883,'Forecast capex'!$AD$9:$AD$1883,'Schedule E calculations'!$B31,'Forecast capex'!$J$9:$J$1883,'Schedule E calculations'!N$9)</f>
        <v>141840.04278620266</v>
      </c>
      <c r="O31" s="363">
        <f>SUMIFS('Forecast capex'!$AA$9:$AA$1883,'Forecast capex'!$AD$9:$AD$1883,'Schedule E calculations'!$B31,'Forecast capex'!$J$9:$J$1883,'Schedule E calculations'!O$9)</f>
        <v>45766.791813437099</v>
      </c>
      <c r="P31" s="363">
        <f>SUMIFS('Forecast capex'!$AA$9:$AA$1883,'Forecast capex'!$AD$9:$AD$1883,'Schedule E calculations'!$B31,'Forecast capex'!$J$9:$J$1883,'Schedule E calculations'!P$9)</f>
        <v>95184.381237176014</v>
      </c>
      <c r="Q31" s="363">
        <f>SUMIFS('Forecast capex'!$AA$9:$AA$1883,'Forecast capex'!$AD$9:$AD$1883,'Schedule E calculations'!$B31,'Forecast capex'!$J$9:$J$1883,'Schedule E calculations'!Q$9)</f>
        <v>141768.2528945785</v>
      </c>
      <c r="R31" s="363">
        <f>SUMIFS('Forecast capex'!$AA$9:$AA$1883,'Forecast capex'!$AD$9:$AD$1883,'Schedule E calculations'!$B31,'Forecast capex'!$J$9:$J$1883,'Schedule E calculations'!R$9)</f>
        <v>154962.69548011242</v>
      </c>
      <c r="S31" s="363">
        <f>SUMIFS('Forecast capex'!$AA$9:$AA$1883,'Forecast capex'!$AD$9:$AD$1883,'Schedule E calculations'!$B31,'Forecast capex'!$J$9:$J$1883,'Schedule E calculations'!S$9)</f>
        <v>81810.776309014429</v>
      </c>
    </row>
    <row r="32" spans="2:19" s="265" customFormat="1" ht="14.25" x14ac:dyDescent="0.2">
      <c r="B32" s="359" t="str">
        <f t="shared" si="2"/>
        <v>Asset relocations and undergrounding</v>
      </c>
      <c r="C32" s="356" t="s">
        <v>250</v>
      </c>
      <c r="D32" s="250"/>
      <c r="E32" s="250"/>
      <c r="F32" s="250"/>
      <c r="G32" s="250"/>
      <c r="H32" s="250"/>
      <c r="I32" s="250"/>
      <c r="J32" s="250"/>
      <c r="K32" s="250"/>
      <c r="L32" s="250"/>
      <c r="M32" s="363">
        <f>SUMIFS('Forecast capex'!$AA$9:$AA$1883,'Forecast capex'!$AD$9:$AD$1883,'Schedule E calculations'!$B32,'Forecast capex'!$J$9:$J$1883,'Schedule E calculations'!M$9)</f>
        <v>0</v>
      </c>
      <c r="N32" s="363">
        <f>SUMIFS('Forecast capex'!$AA$9:$AA$1883,'Forecast capex'!$AD$9:$AD$1883,'Schedule E calculations'!$B32,'Forecast capex'!$J$9:$J$1883,'Schedule E calculations'!N$9)</f>
        <v>0</v>
      </c>
      <c r="O32" s="363">
        <f>SUMIFS('Forecast capex'!$AA$9:$AA$1883,'Forecast capex'!$AD$9:$AD$1883,'Schedule E calculations'!$B32,'Forecast capex'!$J$9:$J$1883,'Schedule E calculations'!O$9)</f>
        <v>0</v>
      </c>
      <c r="P32" s="363">
        <f>SUMIFS('Forecast capex'!$AA$9:$AA$1883,'Forecast capex'!$AD$9:$AD$1883,'Schedule E calculations'!$B32,'Forecast capex'!$J$9:$J$1883,'Schedule E calculations'!P$9)</f>
        <v>0</v>
      </c>
      <c r="Q32" s="363">
        <f>SUMIFS('Forecast capex'!$AA$9:$AA$1883,'Forecast capex'!$AD$9:$AD$1883,'Schedule E calculations'!$B32,'Forecast capex'!$J$9:$J$1883,'Schedule E calculations'!Q$9)</f>
        <v>0</v>
      </c>
      <c r="R32" s="363">
        <f>SUMIFS('Forecast capex'!$AA$9:$AA$1883,'Forecast capex'!$AD$9:$AD$1883,'Schedule E calculations'!$B32,'Forecast capex'!$J$9:$J$1883,'Schedule E calculations'!R$9)</f>
        <v>0</v>
      </c>
      <c r="S32" s="363">
        <f>SUMIFS('Forecast capex'!$AA$9:$AA$1883,'Forecast capex'!$AD$9:$AD$1883,'Schedule E calculations'!$B32,'Forecast capex'!$J$9:$J$1883,'Schedule E calculations'!S$9)</f>
        <v>0</v>
      </c>
    </row>
    <row r="33" spans="2:19" s="265" customFormat="1" ht="14.25" x14ac:dyDescent="0.2">
      <c r="B33" s="359" t="str">
        <f t="shared" si="2"/>
        <v>Reliability, safety and environment (RSE)</v>
      </c>
      <c r="C33" s="356" t="s">
        <v>250</v>
      </c>
      <c r="D33" s="250"/>
      <c r="E33" s="250"/>
      <c r="F33" s="250"/>
      <c r="G33" s="250"/>
      <c r="H33" s="250"/>
      <c r="I33" s="250"/>
      <c r="J33" s="250"/>
      <c r="K33" s="250"/>
      <c r="L33" s="250"/>
      <c r="M33" s="363">
        <f>SUMIFS('Forecast capex'!$AA$9:$AA$1883,'Forecast capex'!$AD$9:$AD$1883,'Schedule E calculations'!$B33,'Forecast capex'!$J$9:$J$1883,'Schedule E calculations'!M$9)</f>
        <v>0</v>
      </c>
      <c r="N33" s="363">
        <f>SUMIFS('Forecast capex'!$AA$9:$AA$1883,'Forecast capex'!$AD$9:$AD$1883,'Schedule E calculations'!$B33,'Forecast capex'!$J$9:$J$1883,'Schedule E calculations'!N$9)</f>
        <v>0</v>
      </c>
      <c r="O33" s="363">
        <f>SUMIFS('Forecast capex'!$AA$9:$AA$1883,'Forecast capex'!$AD$9:$AD$1883,'Schedule E calculations'!$B33,'Forecast capex'!$J$9:$J$1883,'Schedule E calculations'!O$9)</f>
        <v>0</v>
      </c>
      <c r="P33" s="363">
        <f>SUMIFS('Forecast capex'!$AA$9:$AA$1883,'Forecast capex'!$AD$9:$AD$1883,'Schedule E calculations'!$B33,'Forecast capex'!$J$9:$J$1883,'Schedule E calculations'!P$9)</f>
        <v>0</v>
      </c>
      <c r="Q33" s="363">
        <f>SUMIFS('Forecast capex'!$AA$9:$AA$1883,'Forecast capex'!$AD$9:$AD$1883,'Schedule E calculations'!$B33,'Forecast capex'!$J$9:$J$1883,'Schedule E calculations'!Q$9)</f>
        <v>0</v>
      </c>
      <c r="R33" s="363">
        <f>SUMIFS('Forecast capex'!$AA$9:$AA$1883,'Forecast capex'!$AD$9:$AD$1883,'Schedule E calculations'!$B33,'Forecast capex'!$J$9:$J$1883,'Schedule E calculations'!R$9)</f>
        <v>0</v>
      </c>
      <c r="S33" s="363">
        <f>SUMIFS('Forecast capex'!$AA$9:$AA$1883,'Forecast capex'!$AD$9:$AD$1883,'Schedule E calculations'!$B33,'Forecast capex'!$J$9:$J$1883,'Schedule E calculations'!S$9)</f>
        <v>0</v>
      </c>
    </row>
    <row r="34" spans="2:19" s="265" customFormat="1" ht="14.25" x14ac:dyDescent="0.2">
      <c r="B34" s="359" t="str">
        <f t="shared" si="2"/>
        <v>Non-network capex</v>
      </c>
      <c r="C34" s="356" t="s">
        <v>250</v>
      </c>
      <c r="D34" s="250"/>
      <c r="E34" s="250"/>
      <c r="F34" s="250"/>
      <c r="G34" s="250"/>
      <c r="H34" s="250"/>
      <c r="I34" s="250"/>
      <c r="J34" s="250"/>
      <c r="K34" s="250"/>
      <c r="L34" s="250"/>
      <c r="M34" s="363">
        <f>SUMIFS('Forecast capex'!$AA$9:$AA$1883,'Forecast capex'!$AD$9:$AD$1883,'Schedule E calculations'!$B34,'Forecast capex'!$J$9:$J$1883,'Schedule E calculations'!M$9)</f>
        <v>0</v>
      </c>
      <c r="N34" s="363">
        <f>SUMIFS('Forecast capex'!$AA$9:$AA$1883,'Forecast capex'!$AD$9:$AD$1883,'Schedule E calculations'!$B34,'Forecast capex'!$J$9:$J$1883,'Schedule E calculations'!N$9)</f>
        <v>65340.327494086501</v>
      </c>
      <c r="O34" s="363">
        <f>SUMIFS('Forecast capex'!$AA$9:$AA$1883,'Forecast capex'!$AD$9:$AD$1883,'Schedule E calculations'!$B34,'Forecast capex'!$J$9:$J$1883,'Schedule E calculations'!O$9)</f>
        <v>0</v>
      </c>
      <c r="P34" s="363">
        <f>SUMIFS('Forecast capex'!$AA$9:$AA$1883,'Forecast capex'!$AD$9:$AD$1883,'Schedule E calculations'!$B34,'Forecast capex'!$J$9:$J$1883,'Schedule E calculations'!P$9)</f>
        <v>0</v>
      </c>
      <c r="Q34" s="363">
        <f>SUMIFS('Forecast capex'!$AA$9:$AA$1883,'Forecast capex'!$AD$9:$AD$1883,'Schedule E calculations'!$B34,'Forecast capex'!$J$9:$J$1883,'Schedule E calculations'!Q$9)</f>
        <v>0</v>
      </c>
      <c r="R34" s="363">
        <f>SUMIFS('Forecast capex'!$AA$9:$AA$1883,'Forecast capex'!$AD$9:$AD$1883,'Schedule E calculations'!$B34,'Forecast capex'!$J$9:$J$1883,'Schedule E calculations'!R$9)</f>
        <v>0</v>
      </c>
      <c r="S34" s="363">
        <f>SUMIFS('Forecast capex'!$AA$9:$AA$1883,'Forecast capex'!$AD$9:$AD$1883,'Schedule E calculations'!$B34,'Forecast capex'!$J$9:$J$1883,'Schedule E calculations'!S$9)</f>
        <v>0</v>
      </c>
    </row>
    <row r="35" spans="2:19" s="265" customFormat="1" ht="14.25" x14ac:dyDescent="0.2">
      <c r="B35" s="250"/>
      <c r="C35" s="355"/>
      <c r="D35" s="250"/>
      <c r="E35" s="250"/>
      <c r="F35" s="250"/>
      <c r="G35" s="250"/>
      <c r="H35" s="250"/>
      <c r="I35" s="250"/>
      <c r="J35" s="250"/>
      <c r="K35" s="250"/>
      <c r="L35" s="250"/>
      <c r="M35" s="250"/>
      <c r="N35" s="250"/>
      <c r="O35" s="250"/>
      <c r="P35" s="250"/>
      <c r="Q35" s="250"/>
      <c r="R35" s="250"/>
      <c r="S35" s="250"/>
    </row>
    <row r="36" spans="2:19" s="265" customFormat="1" ht="14.25" x14ac:dyDescent="0.2">
      <c r="B36" s="361" t="s">
        <v>224</v>
      </c>
      <c r="C36" s="362">
        <f>SUM(M36:S36)</f>
        <v>0</v>
      </c>
      <c r="D36" s="250"/>
      <c r="E36" s="250"/>
      <c r="F36" s="250"/>
      <c r="G36" s="250"/>
      <c r="H36" s="250"/>
      <c r="I36" s="250"/>
      <c r="J36" s="250"/>
      <c r="K36" s="250"/>
      <c r="L36" s="250"/>
      <c r="M36" s="228">
        <f>SUMIFS('Forecast capex'!$AA$9:$AA$1883,'Forecast capex'!$J$9:$J$1883,'Schedule E calculations'!M$9)-SUM('Schedule E calculations'!M29:M34)</f>
        <v>0</v>
      </c>
      <c r="N36" s="228">
        <f>SUMIFS('Forecast capex'!$AA$9:$AA$1883,'Forecast capex'!$J$9:$J$1883,'Schedule E calculations'!N$9)-SUM('Schedule E calculations'!N29:N34)</f>
        <v>0</v>
      </c>
      <c r="O36" s="228">
        <f>SUMIFS('Forecast capex'!$AA$9:$AA$1883,'Forecast capex'!$J$9:$J$1883,'Schedule E calculations'!O$9)-SUM('Schedule E calculations'!O29:O34)</f>
        <v>0</v>
      </c>
      <c r="P36" s="228">
        <f>SUMIFS('Forecast capex'!$AA$9:$AA$1883,'Forecast capex'!$J$9:$J$1883,'Schedule E calculations'!P$9)-SUM('Schedule E calculations'!P29:P34)</f>
        <v>0</v>
      </c>
      <c r="Q36" s="228">
        <f>SUMIFS('Forecast capex'!$AA$9:$AA$1883,'Forecast capex'!$J$9:$J$1883,'Schedule E calculations'!Q$9)-SUM('Schedule E calculations'!Q29:Q34)</f>
        <v>0</v>
      </c>
      <c r="R36" s="228">
        <f>SUMIFS('Forecast capex'!$AA$9:$AA$1883,'Forecast capex'!$J$9:$J$1883,'Schedule E calculations'!R$9)-SUM('Schedule E calculations'!R29:R34)</f>
        <v>0</v>
      </c>
      <c r="S36" s="228">
        <f>SUMIFS('Forecast capex'!$AA$9:$AA$1883,'Forecast capex'!$J$9:$J$1883,'Schedule E calculations'!S$9)-SUM('Schedule E calculations'!S29:S34)</f>
        <v>0</v>
      </c>
    </row>
    <row r="37" spans="2:19" s="265" customFormat="1" ht="14.25" x14ac:dyDescent="0.2">
      <c r="B37" s="361"/>
      <c r="C37" s="355"/>
      <c r="D37" s="250"/>
      <c r="E37" s="250"/>
      <c r="F37" s="250"/>
      <c r="G37" s="250"/>
      <c r="H37" s="250"/>
      <c r="I37" s="250"/>
      <c r="J37" s="250"/>
      <c r="K37" s="250"/>
      <c r="L37" s="250"/>
      <c r="M37" s="228"/>
      <c r="N37" s="228"/>
      <c r="O37" s="228"/>
      <c r="P37" s="228"/>
      <c r="Q37" s="228"/>
      <c r="R37" s="228"/>
      <c r="S37" s="228"/>
    </row>
    <row r="38" spans="2:19" s="265" customFormat="1" ht="14.25" x14ac:dyDescent="0.2">
      <c r="B38" s="291" t="s">
        <v>470</v>
      </c>
      <c r="C38" s="358"/>
      <c r="D38" s="250"/>
      <c r="E38" s="250"/>
      <c r="F38" s="250"/>
      <c r="G38" s="250"/>
      <c r="H38" s="250"/>
      <c r="I38" s="250"/>
      <c r="J38" s="250"/>
      <c r="K38" s="250"/>
      <c r="L38" s="250"/>
      <c r="M38" s="250"/>
      <c r="N38" s="250"/>
      <c r="O38" s="250"/>
      <c r="P38" s="250"/>
      <c r="Q38" s="250"/>
      <c r="R38" s="250"/>
      <c r="S38" s="250"/>
    </row>
    <row r="39" spans="2:19" s="265" customFormat="1" ht="14.25" x14ac:dyDescent="0.2">
      <c r="B39" s="359" t="str">
        <f t="shared" ref="B39:B44" si="3">B29</f>
        <v>Consumer connection</v>
      </c>
      <c r="C39" s="356" t="s">
        <v>467</v>
      </c>
      <c r="D39" s="250"/>
      <c r="E39" s="250"/>
      <c r="F39" s="250"/>
      <c r="G39" s="250"/>
      <c r="H39" s="250"/>
      <c r="I39" s="250"/>
      <c r="J39" s="250"/>
      <c r="K39" s="250"/>
      <c r="L39" s="250"/>
      <c r="M39" s="363">
        <f>SUMIFS('Forecast capex'!$Z$9:$Z$1883,'Forecast capex'!$AD$9:$AD$1883,'Schedule E calculations'!$B39,'Forecast capex'!$J$9:$J$1883,'Schedule E calculations'!M$9)</f>
        <v>0</v>
      </c>
      <c r="N39" s="363">
        <f>SUMIFS('Forecast capex'!$Z$9:$Z$1883,'Forecast capex'!$AD$9:$AD$1883,'Schedule E calculations'!$B39,'Forecast capex'!$J$9:$J$1883,'Schedule E calculations'!N$9)</f>
        <v>0</v>
      </c>
      <c r="O39" s="363">
        <f>SUMIFS('Forecast capex'!$Z$9:$Z$1883,'Forecast capex'!$AD$9:$AD$1883,'Schedule E calculations'!$B39,'Forecast capex'!$J$9:$J$1883,'Schedule E calculations'!O$9)</f>
        <v>0</v>
      </c>
      <c r="P39" s="363">
        <f>SUMIFS('Forecast capex'!$Z$9:$Z$1883,'Forecast capex'!$AD$9:$AD$1883,'Schedule E calculations'!$B39,'Forecast capex'!$J$9:$J$1883,'Schedule E calculations'!P$9)</f>
        <v>0</v>
      </c>
      <c r="Q39" s="363">
        <f>SUMIFS('Forecast capex'!$Z$9:$Z$1883,'Forecast capex'!$AD$9:$AD$1883,'Schedule E calculations'!$B39,'Forecast capex'!$J$9:$J$1883,'Schedule E calculations'!Q$9)</f>
        <v>0</v>
      </c>
      <c r="R39" s="363">
        <f>SUMIFS('Forecast capex'!$Z$9:$Z$1883,'Forecast capex'!$AD$9:$AD$1883,'Schedule E calculations'!$B39,'Forecast capex'!$J$9:$J$1883,'Schedule E calculations'!R$9)</f>
        <v>0</v>
      </c>
      <c r="S39" s="363">
        <f>SUMIFS('Forecast capex'!$Z$9:$Z$1883,'Forecast capex'!$AD$9:$AD$1883,'Schedule E calculations'!$B39,'Forecast capex'!$J$9:$J$1883,'Schedule E calculations'!S$9)</f>
        <v>0</v>
      </c>
    </row>
    <row r="40" spans="2:19" s="265" customFormat="1" ht="14.25" x14ac:dyDescent="0.2">
      <c r="B40" s="359" t="str">
        <f t="shared" si="3"/>
        <v xml:space="preserve">System growth </v>
      </c>
      <c r="C40" s="356" t="s">
        <v>467</v>
      </c>
      <c r="D40" s="250"/>
      <c r="E40" s="250"/>
      <c r="F40" s="250"/>
      <c r="G40" s="250"/>
      <c r="H40" s="250"/>
      <c r="I40" s="250"/>
      <c r="J40" s="250"/>
      <c r="K40" s="250"/>
      <c r="L40" s="250"/>
      <c r="M40" s="363">
        <f>SUMIFS('Forecast capex'!$Z$9:$Z$1883,'Forecast capex'!$AD$9:$AD$1883,'Schedule E calculations'!$B40,'Forecast capex'!$J$9:$J$1883,'Schedule E calculations'!M$9)</f>
        <v>117261.52702281214</v>
      </c>
      <c r="N40" s="363">
        <f>SUMIFS('Forecast capex'!$Z$9:$Z$1883,'Forecast capex'!$AD$9:$AD$1883,'Schedule E calculations'!$B40,'Forecast capex'!$J$9:$J$1883,'Schedule E calculations'!N$9)</f>
        <v>133754.45965574766</v>
      </c>
      <c r="O40" s="363">
        <f>SUMIFS('Forecast capex'!$Z$9:$Z$1883,'Forecast capex'!$AD$9:$AD$1883,'Schedule E calculations'!$B40,'Forecast capex'!$J$9:$J$1883,'Schedule E calculations'!O$9)</f>
        <v>61606.284840629043</v>
      </c>
      <c r="P40" s="363">
        <f>SUMIFS('Forecast capex'!$Z$9:$Z$1883,'Forecast capex'!$AD$9:$AD$1883,'Schedule E calculations'!$B40,'Forecast capex'!$J$9:$J$1883,'Schedule E calculations'!P$9)</f>
        <v>0</v>
      </c>
      <c r="Q40" s="363">
        <f>SUMIFS('Forecast capex'!$Z$9:$Z$1883,'Forecast capex'!$AD$9:$AD$1883,'Schedule E calculations'!$B40,'Forecast capex'!$J$9:$J$1883,'Schedule E calculations'!Q$9)</f>
        <v>0</v>
      </c>
      <c r="R40" s="363">
        <f>SUMIFS('Forecast capex'!$Z$9:$Z$1883,'Forecast capex'!$AD$9:$AD$1883,'Schedule E calculations'!$B40,'Forecast capex'!$J$9:$J$1883,'Schedule E calculations'!R$9)</f>
        <v>0</v>
      </c>
      <c r="S40" s="363">
        <f>SUMIFS('Forecast capex'!$Z$9:$Z$1883,'Forecast capex'!$AD$9:$AD$1883,'Schedule E calculations'!$B40,'Forecast capex'!$J$9:$J$1883,'Schedule E calculations'!S$9)</f>
        <v>0</v>
      </c>
    </row>
    <row r="41" spans="2:19" s="265" customFormat="1" ht="14.25" x14ac:dyDescent="0.2">
      <c r="B41" s="359" t="str">
        <f t="shared" si="3"/>
        <v>Asset replacement and renewal</v>
      </c>
      <c r="C41" s="356" t="s">
        <v>467</v>
      </c>
      <c r="D41" s="250"/>
      <c r="E41" s="250"/>
      <c r="F41" s="250"/>
      <c r="G41" s="250"/>
      <c r="H41" s="250"/>
      <c r="I41" s="250"/>
      <c r="J41" s="250"/>
      <c r="K41" s="250"/>
      <c r="L41" s="250"/>
      <c r="M41" s="363">
        <f>SUMIFS('Forecast capex'!$Z$9:$Z$1883,'Forecast capex'!$AD$9:$AD$1883,'Schedule E calculations'!$B41,'Forecast capex'!$J$9:$J$1883,'Schedule E calculations'!M$9)</f>
        <v>96124.85695740112</v>
      </c>
      <c r="N41" s="363">
        <f>SUMIFS('Forecast capex'!$Z$9:$Z$1883,'Forecast capex'!$AD$9:$AD$1883,'Schedule E calculations'!$B41,'Forecast capex'!$J$9:$J$1883,'Schedule E calculations'!N$9)</f>
        <v>139887.71112772526</v>
      </c>
      <c r="O41" s="363">
        <f>SUMIFS('Forecast capex'!$Z$9:$Z$1883,'Forecast capex'!$AD$9:$AD$1883,'Schedule E calculations'!$B41,'Forecast capex'!$J$9:$J$1883,'Schedule E calculations'!O$9)</f>
        <v>44540.139504709477</v>
      </c>
      <c r="P41" s="363">
        <f>SUMIFS('Forecast capex'!$Z$9:$Z$1883,'Forecast capex'!$AD$9:$AD$1883,'Schedule E calculations'!$B41,'Forecast capex'!$J$9:$J$1883,'Schedule E calculations'!P$9)</f>
        <v>91170.836953047736</v>
      </c>
      <c r="Q41" s="363">
        <f>SUMIFS('Forecast capex'!$Z$9:$Z$1883,'Forecast capex'!$AD$9:$AD$1883,'Schedule E calculations'!$B41,'Forecast capex'!$J$9:$J$1883,'Schedule E calculations'!Q$9)</f>
        <v>133795.77073221788</v>
      </c>
      <c r="R41" s="363">
        <f>SUMIFS('Forecast capex'!$Z$9:$Z$1883,'Forecast capex'!$AD$9:$AD$1883,'Schedule E calculations'!$B41,'Forecast capex'!$J$9:$J$1883,'Schedule E calculations'!R$9)</f>
        <v>141560.40287326337</v>
      </c>
      <c r="S41" s="363">
        <f>SUMIFS('Forecast capex'!$Z$9:$Z$1883,'Forecast capex'!$AD$9:$AD$1883,'Schedule E calculations'!$B41,'Forecast capex'!$J$9:$J$1883,'Schedule E calculations'!S$9)</f>
        <v>74228.362395966455</v>
      </c>
    </row>
    <row r="42" spans="2:19" s="265" customFormat="1" ht="14.25" x14ac:dyDescent="0.2">
      <c r="B42" s="359" t="str">
        <f t="shared" si="3"/>
        <v>Asset relocations and undergrounding</v>
      </c>
      <c r="C42" s="356" t="s">
        <v>467</v>
      </c>
      <c r="D42" s="250"/>
      <c r="E42" s="250"/>
      <c r="F42" s="250"/>
      <c r="G42" s="250"/>
      <c r="H42" s="250"/>
      <c r="I42" s="250"/>
      <c r="J42" s="250"/>
      <c r="K42" s="250"/>
      <c r="L42" s="250"/>
      <c r="M42" s="363">
        <f>SUMIFS('Forecast capex'!$Z$9:$Z$1883,'Forecast capex'!$AD$9:$AD$1883,'Schedule E calculations'!$B42,'Forecast capex'!$J$9:$J$1883,'Schedule E calculations'!M$9)</f>
        <v>0</v>
      </c>
      <c r="N42" s="363">
        <f>SUMIFS('Forecast capex'!$Z$9:$Z$1883,'Forecast capex'!$AD$9:$AD$1883,'Schedule E calculations'!$B42,'Forecast capex'!$J$9:$J$1883,'Schedule E calculations'!N$9)</f>
        <v>0</v>
      </c>
      <c r="O42" s="363">
        <f>SUMIFS('Forecast capex'!$Z$9:$Z$1883,'Forecast capex'!$AD$9:$AD$1883,'Schedule E calculations'!$B42,'Forecast capex'!$J$9:$J$1883,'Schedule E calculations'!O$9)</f>
        <v>0</v>
      </c>
      <c r="P42" s="363">
        <f>SUMIFS('Forecast capex'!$Z$9:$Z$1883,'Forecast capex'!$AD$9:$AD$1883,'Schedule E calculations'!$B42,'Forecast capex'!$J$9:$J$1883,'Schedule E calculations'!P$9)</f>
        <v>0</v>
      </c>
      <c r="Q42" s="363">
        <f>SUMIFS('Forecast capex'!$Z$9:$Z$1883,'Forecast capex'!$AD$9:$AD$1883,'Schedule E calculations'!$B42,'Forecast capex'!$J$9:$J$1883,'Schedule E calculations'!Q$9)</f>
        <v>0</v>
      </c>
      <c r="R42" s="363">
        <f>SUMIFS('Forecast capex'!$Z$9:$Z$1883,'Forecast capex'!$AD$9:$AD$1883,'Schedule E calculations'!$B42,'Forecast capex'!$J$9:$J$1883,'Schedule E calculations'!R$9)</f>
        <v>0</v>
      </c>
      <c r="S42" s="363">
        <f>SUMIFS('Forecast capex'!$Z$9:$Z$1883,'Forecast capex'!$AD$9:$AD$1883,'Schedule E calculations'!$B42,'Forecast capex'!$J$9:$J$1883,'Schedule E calculations'!S$9)</f>
        <v>0</v>
      </c>
    </row>
    <row r="43" spans="2:19" s="265" customFormat="1" ht="14.25" x14ac:dyDescent="0.2">
      <c r="B43" s="359" t="str">
        <f t="shared" si="3"/>
        <v>Reliability, safety and environment (RSE)</v>
      </c>
      <c r="C43" s="356" t="s">
        <v>467</v>
      </c>
      <c r="D43" s="250"/>
      <c r="E43" s="250"/>
      <c r="F43" s="250"/>
      <c r="G43" s="250"/>
      <c r="H43" s="250"/>
      <c r="I43" s="250"/>
      <c r="J43" s="250"/>
      <c r="K43" s="250"/>
      <c r="L43" s="250"/>
      <c r="M43" s="363">
        <f>SUMIFS('Forecast capex'!$Z$9:$Z$1883,'Forecast capex'!$AD$9:$AD$1883,'Schedule E calculations'!$B43,'Forecast capex'!$J$9:$J$1883,'Schedule E calculations'!M$9)</f>
        <v>0</v>
      </c>
      <c r="N43" s="363">
        <f>SUMIFS('Forecast capex'!$Z$9:$Z$1883,'Forecast capex'!$AD$9:$AD$1883,'Schedule E calculations'!$B43,'Forecast capex'!$J$9:$J$1883,'Schedule E calculations'!N$9)</f>
        <v>0</v>
      </c>
      <c r="O43" s="363">
        <f>SUMIFS('Forecast capex'!$Z$9:$Z$1883,'Forecast capex'!$AD$9:$AD$1883,'Schedule E calculations'!$B43,'Forecast capex'!$J$9:$J$1883,'Schedule E calculations'!O$9)</f>
        <v>0</v>
      </c>
      <c r="P43" s="363">
        <f>SUMIFS('Forecast capex'!$Z$9:$Z$1883,'Forecast capex'!$AD$9:$AD$1883,'Schedule E calculations'!$B43,'Forecast capex'!$J$9:$J$1883,'Schedule E calculations'!P$9)</f>
        <v>0</v>
      </c>
      <c r="Q43" s="363">
        <f>SUMIFS('Forecast capex'!$Z$9:$Z$1883,'Forecast capex'!$AD$9:$AD$1883,'Schedule E calculations'!$B43,'Forecast capex'!$J$9:$J$1883,'Schedule E calculations'!Q$9)</f>
        <v>0</v>
      </c>
      <c r="R43" s="363">
        <f>SUMIFS('Forecast capex'!$Z$9:$Z$1883,'Forecast capex'!$AD$9:$AD$1883,'Schedule E calculations'!$B43,'Forecast capex'!$J$9:$J$1883,'Schedule E calculations'!R$9)</f>
        <v>0</v>
      </c>
      <c r="S43" s="363">
        <f>SUMIFS('Forecast capex'!$Z$9:$Z$1883,'Forecast capex'!$AD$9:$AD$1883,'Schedule E calculations'!$B43,'Forecast capex'!$J$9:$J$1883,'Schedule E calculations'!S$9)</f>
        <v>0</v>
      </c>
    </row>
    <row r="44" spans="2:19" s="265" customFormat="1" ht="14.25" x14ac:dyDescent="0.2">
      <c r="B44" s="359" t="str">
        <f t="shared" si="3"/>
        <v>Non-network capex</v>
      </c>
      <c r="C44" s="356" t="s">
        <v>467</v>
      </c>
      <c r="D44" s="250"/>
      <c r="E44" s="250"/>
      <c r="F44" s="250"/>
      <c r="G44" s="250"/>
      <c r="H44" s="250"/>
      <c r="I44" s="250"/>
      <c r="J44" s="250"/>
      <c r="K44" s="250"/>
      <c r="L44" s="250"/>
      <c r="M44" s="363">
        <f>SUMIFS('Forecast capex'!$Z$9:$Z$1883,'Forecast capex'!$AD$9:$AD$1883,'Schedule E calculations'!$B44,'Forecast capex'!$J$9:$J$1883,'Schedule E calculations'!M$9)</f>
        <v>0</v>
      </c>
      <c r="N44" s="363">
        <f>SUMIFS('Forecast capex'!$Z$9:$Z$1883,'Forecast capex'!$AD$9:$AD$1883,'Schedule E calculations'!$B44,'Forecast capex'!$J$9:$J$1883,'Schedule E calculations'!N$9)</f>
        <v>64020.515302747022</v>
      </c>
      <c r="O44" s="363">
        <f>SUMIFS('Forecast capex'!$Z$9:$Z$1883,'Forecast capex'!$AD$9:$AD$1883,'Schedule E calculations'!$B44,'Forecast capex'!$J$9:$J$1883,'Schedule E calculations'!O$9)</f>
        <v>0</v>
      </c>
      <c r="P44" s="363">
        <f>SUMIFS('Forecast capex'!$Z$9:$Z$1883,'Forecast capex'!$AD$9:$AD$1883,'Schedule E calculations'!$B44,'Forecast capex'!$J$9:$J$1883,'Schedule E calculations'!P$9)</f>
        <v>0</v>
      </c>
      <c r="Q44" s="363">
        <f>SUMIFS('Forecast capex'!$Z$9:$Z$1883,'Forecast capex'!$AD$9:$AD$1883,'Schedule E calculations'!$B44,'Forecast capex'!$J$9:$J$1883,'Schedule E calculations'!Q$9)</f>
        <v>0</v>
      </c>
      <c r="R44" s="363">
        <f>SUMIFS('Forecast capex'!$Z$9:$Z$1883,'Forecast capex'!$AD$9:$AD$1883,'Schedule E calculations'!$B44,'Forecast capex'!$J$9:$J$1883,'Schedule E calculations'!R$9)</f>
        <v>0</v>
      </c>
      <c r="S44" s="363">
        <f>SUMIFS('Forecast capex'!$Z$9:$Z$1883,'Forecast capex'!$AD$9:$AD$1883,'Schedule E calculations'!$B44,'Forecast capex'!$J$9:$J$1883,'Schedule E calculations'!S$9)</f>
        <v>0</v>
      </c>
    </row>
    <row r="45" spans="2:19" s="265" customFormat="1" ht="14.25" x14ac:dyDescent="0.2">
      <c r="B45" s="250"/>
      <c r="C45" s="355"/>
      <c r="D45" s="250"/>
      <c r="E45" s="250"/>
      <c r="F45" s="250"/>
      <c r="G45" s="250"/>
      <c r="H45" s="250"/>
      <c r="I45" s="250"/>
      <c r="J45" s="250"/>
      <c r="K45" s="250"/>
      <c r="L45" s="250"/>
      <c r="M45" s="250"/>
      <c r="N45" s="250"/>
      <c r="O45" s="250"/>
      <c r="P45" s="250"/>
      <c r="Q45" s="250"/>
      <c r="R45" s="250"/>
      <c r="S45" s="250"/>
    </row>
    <row r="46" spans="2:19" s="265" customFormat="1" ht="14.25" x14ac:dyDescent="0.2">
      <c r="B46" s="361" t="s">
        <v>226</v>
      </c>
      <c r="C46" s="362">
        <f>SUM(M46:S46)</f>
        <v>0</v>
      </c>
      <c r="D46" s="250"/>
      <c r="E46" s="250"/>
      <c r="F46" s="250"/>
      <c r="G46" s="250"/>
      <c r="H46" s="250"/>
      <c r="I46" s="250"/>
      <c r="J46" s="250"/>
      <c r="K46" s="250"/>
      <c r="L46" s="250"/>
      <c r="M46" s="228">
        <f>SUMIFS('Forecast capex'!$Z$9:$Z$1883,'Forecast capex'!$J$9:$J$1883,'Schedule E calculations'!M$9)-SUM('Schedule E calculations'!M39:M44)</f>
        <v>0</v>
      </c>
      <c r="N46" s="228">
        <f>SUMIFS('Forecast capex'!$Z$9:$Z$1883,'Forecast capex'!$J$9:$J$1883,'Schedule E calculations'!N$9)-SUM('Schedule E calculations'!N39:N44)</f>
        <v>0</v>
      </c>
      <c r="O46" s="228">
        <f>SUMIFS('Forecast capex'!$Z$9:$Z$1883,'Forecast capex'!$J$9:$J$1883,'Schedule E calculations'!O$9)-SUM('Schedule E calculations'!O39:O44)</f>
        <v>0</v>
      </c>
      <c r="P46" s="228">
        <f>SUMIFS('Forecast capex'!$Z$9:$Z$1883,'Forecast capex'!$J$9:$J$1883,'Schedule E calculations'!P$9)-SUM('Schedule E calculations'!P39:P44)</f>
        <v>0</v>
      </c>
      <c r="Q46" s="228">
        <f>SUMIFS('Forecast capex'!$Z$9:$Z$1883,'Forecast capex'!$J$9:$J$1883,'Schedule E calculations'!Q$9)-SUM('Schedule E calculations'!Q39:Q44)</f>
        <v>0</v>
      </c>
      <c r="R46" s="228">
        <f>SUMIFS('Forecast capex'!$Z$9:$Z$1883,'Forecast capex'!$J$9:$J$1883,'Schedule E calculations'!R$9)-SUM('Schedule E calculations'!R39:R44)</f>
        <v>0</v>
      </c>
      <c r="S46" s="228">
        <f>SUMIFS('Forecast capex'!$Z$9:$Z$1883,'Forecast capex'!$J$9:$J$1883,'Schedule E calculations'!S$9)-SUM('Schedule E calculations'!S39:S44)</f>
        <v>0</v>
      </c>
    </row>
    <row r="47" spans="2:19" s="265" customFormat="1" ht="14.25" x14ac:dyDescent="0.2">
      <c r="B47" s="361"/>
      <c r="C47" s="355"/>
      <c r="D47" s="250"/>
      <c r="E47" s="250"/>
      <c r="F47" s="250"/>
      <c r="G47" s="250"/>
      <c r="H47" s="250"/>
      <c r="I47" s="250"/>
      <c r="J47" s="250"/>
      <c r="K47" s="250"/>
      <c r="L47" s="250"/>
      <c r="M47" s="228"/>
      <c r="N47" s="228"/>
      <c r="O47" s="228"/>
      <c r="P47" s="228"/>
      <c r="Q47" s="228"/>
      <c r="R47" s="228"/>
      <c r="S47" s="228"/>
    </row>
    <row r="48" spans="2:19" s="265" customFormat="1" ht="14.25" x14ac:dyDescent="0.2">
      <c r="B48" s="291" t="s">
        <v>465</v>
      </c>
      <c r="C48" s="358"/>
      <c r="D48" s="250"/>
      <c r="E48" s="250"/>
      <c r="F48" s="250"/>
      <c r="G48" s="250"/>
      <c r="H48" s="250"/>
      <c r="I48" s="250"/>
      <c r="J48" s="250"/>
      <c r="K48" s="250"/>
      <c r="L48" s="250"/>
      <c r="M48" s="250"/>
      <c r="N48" s="250"/>
      <c r="O48" s="250"/>
      <c r="P48" s="250"/>
      <c r="Q48" s="250"/>
      <c r="R48" s="250"/>
      <c r="S48" s="250"/>
    </row>
    <row r="49" spans="2:19" s="265" customFormat="1" ht="14.25" x14ac:dyDescent="0.2">
      <c r="B49" s="359" t="str">
        <f t="shared" ref="B49:B54" si="4">B19</f>
        <v>Consumer connection</v>
      </c>
      <c r="C49" s="356" t="s">
        <v>250</v>
      </c>
      <c r="D49" s="250"/>
      <c r="E49" s="250"/>
      <c r="F49" s="250"/>
      <c r="G49" s="250"/>
      <c r="H49" s="250"/>
      <c r="I49" s="250"/>
      <c r="J49" s="250"/>
      <c r="K49" s="250"/>
      <c r="L49" s="250"/>
      <c r="M49" s="363">
        <f t="shared" ref="M49:S54" si="5">M19*M$15</f>
        <v>116439.63709015628</v>
      </c>
      <c r="N49" s="226">
        <f t="shared" si="5"/>
        <v>69642.45739259501</v>
      </c>
      <c r="O49" s="226">
        <f t="shared" si="5"/>
        <v>45953.672834831967</v>
      </c>
      <c r="P49" s="226">
        <f t="shared" si="5"/>
        <v>46410.866021717375</v>
      </c>
      <c r="Q49" s="226">
        <f t="shared" si="5"/>
        <v>62577.793874553303</v>
      </c>
      <c r="R49" s="226">
        <f t="shared" si="5"/>
        <v>71884.572640226688</v>
      </c>
      <c r="S49" s="226">
        <f t="shared" si="5"/>
        <v>85834.729867709088</v>
      </c>
    </row>
    <row r="50" spans="2:19" s="265" customFormat="1" ht="14.25" x14ac:dyDescent="0.2">
      <c r="B50" s="359" t="str">
        <f t="shared" si="4"/>
        <v xml:space="preserve">System growth </v>
      </c>
      <c r="C50" s="356" t="s">
        <v>250</v>
      </c>
      <c r="D50" s="250"/>
      <c r="E50" s="250"/>
      <c r="F50" s="250"/>
      <c r="G50" s="250"/>
      <c r="H50" s="250"/>
      <c r="I50" s="250"/>
      <c r="J50" s="250"/>
      <c r="K50" s="250"/>
      <c r="L50" s="250"/>
      <c r="M50" s="363">
        <f t="shared" si="5"/>
        <v>58826.533600181123</v>
      </c>
      <c r="N50" s="363">
        <f t="shared" si="5"/>
        <v>40118.361219757782</v>
      </c>
      <c r="O50" s="226">
        <f t="shared" si="5"/>
        <v>23849.961137050599</v>
      </c>
      <c r="P50" s="226">
        <f t="shared" si="5"/>
        <v>14627.521549260371</v>
      </c>
      <c r="Q50" s="226">
        <f t="shared" si="5"/>
        <v>27432.721404438278</v>
      </c>
      <c r="R50" s="226">
        <f t="shared" si="5"/>
        <v>18699.710373849564</v>
      </c>
      <c r="S50" s="226">
        <f t="shared" si="5"/>
        <v>19437.203897312829</v>
      </c>
    </row>
    <row r="51" spans="2:19" s="265" customFormat="1" ht="14.25" x14ac:dyDescent="0.2">
      <c r="B51" s="359" t="str">
        <f t="shared" si="4"/>
        <v>Asset replacement and renewal</v>
      </c>
      <c r="C51" s="356" t="s">
        <v>250</v>
      </c>
      <c r="D51" s="250"/>
      <c r="E51" s="250"/>
      <c r="F51" s="250"/>
      <c r="G51" s="250"/>
      <c r="H51" s="250"/>
      <c r="I51" s="250"/>
      <c r="J51" s="250"/>
      <c r="K51" s="250"/>
      <c r="L51" s="250"/>
      <c r="M51" s="363">
        <f t="shared" si="5"/>
        <v>297878.91831885173</v>
      </c>
      <c r="N51" s="226">
        <f t="shared" si="5"/>
        <v>381256.6601495826</v>
      </c>
      <c r="O51" s="226">
        <f t="shared" si="5"/>
        <v>345446.51887919632</v>
      </c>
      <c r="P51" s="226">
        <f t="shared" si="5"/>
        <v>360426.65607134142</v>
      </c>
      <c r="Q51" s="226">
        <f t="shared" si="5"/>
        <v>353426.38501985598</v>
      </c>
      <c r="R51" s="226">
        <f t="shared" si="5"/>
        <v>328568.58518798946</v>
      </c>
      <c r="S51" s="226">
        <f t="shared" si="5"/>
        <v>278857.34855673678</v>
      </c>
    </row>
    <row r="52" spans="2:19" s="265" customFormat="1" ht="14.25" x14ac:dyDescent="0.2">
      <c r="B52" s="359" t="str">
        <f t="shared" si="4"/>
        <v>Asset relocations and undergrounding</v>
      </c>
      <c r="C52" s="356" t="s">
        <v>250</v>
      </c>
      <c r="D52" s="250"/>
      <c r="E52" s="250"/>
      <c r="F52" s="250"/>
      <c r="G52" s="250"/>
      <c r="H52" s="250"/>
      <c r="I52" s="250"/>
      <c r="J52" s="250"/>
      <c r="K52" s="250"/>
      <c r="L52" s="250"/>
      <c r="M52" s="363">
        <f t="shared" si="5"/>
        <v>10079.010175593119</v>
      </c>
      <c r="N52" s="226">
        <f t="shared" si="5"/>
        <v>14684.240362362263</v>
      </c>
      <c r="O52" s="226">
        <f t="shared" si="5"/>
        <v>11787.344363645292</v>
      </c>
      <c r="P52" s="226">
        <f t="shared" si="5"/>
        <v>11904.616677305627</v>
      </c>
      <c r="Q52" s="226">
        <f t="shared" si="5"/>
        <v>11630.168815941026</v>
      </c>
      <c r="R52" s="226">
        <f t="shared" si="5"/>
        <v>11595.253221298064</v>
      </c>
      <c r="S52" s="226">
        <f t="shared" si="5"/>
        <v>11772.283710976033</v>
      </c>
    </row>
    <row r="53" spans="2:19" s="265" customFormat="1" ht="14.25" x14ac:dyDescent="0.2">
      <c r="B53" s="359" t="str">
        <f t="shared" si="4"/>
        <v>Reliability, safety and environment (RSE)</v>
      </c>
      <c r="C53" s="356" t="s">
        <v>250</v>
      </c>
      <c r="D53" s="250"/>
      <c r="E53" s="250"/>
      <c r="F53" s="250"/>
      <c r="G53" s="250"/>
      <c r="H53" s="250"/>
      <c r="I53" s="250"/>
      <c r="J53" s="250"/>
      <c r="K53" s="250"/>
      <c r="L53" s="250"/>
      <c r="M53" s="363">
        <f t="shared" si="5"/>
        <v>9391.2106864539983</v>
      </c>
      <c r="N53" s="226">
        <f t="shared" si="5"/>
        <v>1811.0990437309124</v>
      </c>
      <c r="O53" s="226">
        <f t="shared" si="5"/>
        <v>2816.4432046154593</v>
      </c>
      <c r="P53" s="226">
        <f t="shared" si="5"/>
        <v>2844.4640039328078</v>
      </c>
      <c r="Q53" s="226">
        <f t="shared" si="5"/>
        <v>1368.5806326030827</v>
      </c>
      <c r="R53" s="226">
        <f t="shared" si="5"/>
        <v>5466.9600406279842</v>
      </c>
      <c r="S53" s="226">
        <f t="shared" si="5"/>
        <v>4165.1151208527481</v>
      </c>
    </row>
    <row r="54" spans="2:19" s="265" customFormat="1" ht="14.25" x14ac:dyDescent="0.2">
      <c r="B54" s="359" t="str">
        <f t="shared" si="4"/>
        <v>Non-network capex</v>
      </c>
      <c r="C54" s="356" t="s">
        <v>250</v>
      </c>
      <c r="D54" s="250"/>
      <c r="E54" s="250"/>
      <c r="F54" s="250"/>
      <c r="G54" s="250"/>
      <c r="H54" s="250"/>
      <c r="I54" s="250"/>
      <c r="J54" s="250"/>
      <c r="K54" s="250"/>
      <c r="L54" s="250"/>
      <c r="M54" s="226">
        <f t="shared" si="5"/>
        <v>69896.01709796107</v>
      </c>
      <c r="N54" s="226">
        <f t="shared" si="5"/>
        <v>47771.518879098949</v>
      </c>
      <c r="O54" s="226">
        <f t="shared" si="5"/>
        <v>41282.803303102577</v>
      </c>
      <c r="P54" s="226">
        <f t="shared" si="5"/>
        <v>18974.743030104877</v>
      </c>
      <c r="Q54" s="226">
        <f t="shared" si="5"/>
        <v>17503.679246230316</v>
      </c>
      <c r="R54" s="226">
        <f t="shared" si="5"/>
        <v>14227.334865212411</v>
      </c>
      <c r="S54" s="226">
        <f t="shared" si="5"/>
        <v>13314.204468008891</v>
      </c>
    </row>
    <row r="55" spans="2:19" s="265" customFormat="1" ht="14.25" x14ac:dyDescent="0.2">
      <c r="B55" s="250"/>
      <c r="C55" s="355"/>
      <c r="D55" s="250"/>
      <c r="E55" s="250"/>
      <c r="F55" s="250"/>
      <c r="G55" s="250"/>
      <c r="H55" s="250"/>
      <c r="I55" s="250"/>
      <c r="J55" s="250"/>
      <c r="K55" s="250"/>
      <c r="L55" s="250"/>
      <c r="M55" s="250"/>
      <c r="N55" s="250"/>
      <c r="O55" s="250"/>
      <c r="P55" s="250"/>
      <c r="Q55" s="250"/>
      <c r="R55" s="250"/>
      <c r="S55" s="250"/>
    </row>
    <row r="56" spans="2:19" s="265" customFormat="1" ht="14.25" x14ac:dyDescent="0.2">
      <c r="B56" s="361" t="s">
        <v>227</v>
      </c>
      <c r="C56" s="362">
        <f>SUM(M56:S56)</f>
        <v>0</v>
      </c>
      <c r="D56" s="250"/>
      <c r="E56" s="250"/>
      <c r="F56" s="250"/>
      <c r="G56" s="250"/>
      <c r="H56" s="250"/>
      <c r="I56" s="250"/>
      <c r="J56" s="250"/>
      <c r="K56" s="250"/>
      <c r="L56" s="250"/>
      <c r="M56" s="228">
        <f t="shared" ref="M56:S56" si="6">SUM(M49:M54)-M15</f>
        <v>0</v>
      </c>
      <c r="N56" s="228">
        <f t="shared" si="6"/>
        <v>0</v>
      </c>
      <c r="O56" s="228">
        <f t="shared" si="6"/>
        <v>0</v>
      </c>
      <c r="P56" s="228">
        <f t="shared" si="6"/>
        <v>0</v>
      </c>
      <c r="Q56" s="228">
        <f t="shared" si="6"/>
        <v>0</v>
      </c>
      <c r="R56" s="228">
        <f t="shared" si="6"/>
        <v>0</v>
      </c>
      <c r="S56" s="228">
        <f t="shared" si="6"/>
        <v>0</v>
      </c>
    </row>
    <row r="57" spans="2:19" s="265" customFormat="1" ht="14.25" x14ac:dyDescent="0.2">
      <c r="B57" s="361"/>
      <c r="C57" s="355"/>
      <c r="D57" s="250"/>
      <c r="E57" s="250"/>
      <c r="F57" s="250"/>
      <c r="G57" s="250"/>
      <c r="H57" s="250"/>
      <c r="I57" s="250"/>
      <c r="J57" s="250"/>
      <c r="K57" s="250"/>
      <c r="L57" s="250"/>
      <c r="M57" s="228"/>
      <c r="N57" s="228"/>
      <c r="O57" s="228"/>
      <c r="P57" s="228"/>
      <c r="Q57" s="228"/>
      <c r="R57" s="228"/>
      <c r="S57" s="228"/>
    </row>
    <row r="58" spans="2:19" s="265" customFormat="1" ht="14.25" x14ac:dyDescent="0.2">
      <c r="B58" s="291" t="s">
        <v>466</v>
      </c>
      <c r="C58" s="358"/>
      <c r="D58" s="250"/>
      <c r="E58" s="250"/>
      <c r="F58" s="250"/>
      <c r="G58" s="250"/>
      <c r="H58" s="250"/>
      <c r="I58" s="250"/>
      <c r="J58" s="250"/>
      <c r="K58" s="250"/>
      <c r="L58" s="250"/>
      <c r="M58" s="250"/>
      <c r="N58" s="250"/>
      <c r="O58" s="250"/>
      <c r="P58" s="250"/>
      <c r="Q58" s="250"/>
      <c r="R58" s="250"/>
      <c r="S58" s="250"/>
    </row>
    <row r="59" spans="2:19" s="265" customFormat="1" ht="14.25" x14ac:dyDescent="0.2">
      <c r="B59" s="359" t="str">
        <f t="shared" ref="B59:B64" si="7">B49</f>
        <v>Consumer connection</v>
      </c>
      <c r="C59" s="356" t="s">
        <v>467</v>
      </c>
      <c r="D59" s="250"/>
      <c r="E59" s="250"/>
      <c r="F59" s="250"/>
      <c r="G59" s="250"/>
      <c r="H59" s="250"/>
      <c r="I59" s="250"/>
      <c r="J59" s="250"/>
      <c r="K59" s="250"/>
      <c r="L59" s="250"/>
      <c r="M59" s="363">
        <f t="shared" ref="M59:S64" si="8">M19*M$16</f>
        <v>116439.63709015628</v>
      </c>
      <c r="N59" s="363">
        <f t="shared" si="8"/>
        <v>68597.603681565</v>
      </c>
      <c r="O59" s="363">
        <f t="shared" si="8"/>
        <v>44635.30010183432</v>
      </c>
      <c r="P59" s="363">
        <f t="shared" si="8"/>
        <v>44213.104551510893</v>
      </c>
      <c r="Q59" s="363">
        <f t="shared" si="8"/>
        <v>58704.516787909561</v>
      </c>
      <c r="R59" s="363">
        <f t="shared" si="8"/>
        <v>66117.726773215909</v>
      </c>
      <c r="S59" s="363">
        <f t="shared" si="8"/>
        <v>77343.80047424206</v>
      </c>
    </row>
    <row r="60" spans="2:19" s="265" customFormat="1" ht="14.25" x14ac:dyDescent="0.2">
      <c r="B60" s="359" t="str">
        <f t="shared" si="7"/>
        <v xml:space="preserve">System growth </v>
      </c>
      <c r="C60" s="356" t="s">
        <v>467</v>
      </c>
      <c r="D60" s="250"/>
      <c r="E60" s="250"/>
      <c r="F60" s="250"/>
      <c r="G60" s="250"/>
      <c r="H60" s="250"/>
      <c r="I60" s="250"/>
      <c r="J60" s="250"/>
      <c r="K60" s="250"/>
      <c r="L60" s="250"/>
      <c r="M60" s="363">
        <f t="shared" si="8"/>
        <v>58826.533600181123</v>
      </c>
      <c r="N60" s="363">
        <f t="shared" si="8"/>
        <v>39516.460882373023</v>
      </c>
      <c r="O60" s="363">
        <f t="shared" si="8"/>
        <v>23165.725547021593</v>
      </c>
      <c r="P60" s="363">
        <f t="shared" si="8"/>
        <v>13934.843174102789</v>
      </c>
      <c r="Q60" s="363">
        <f t="shared" si="8"/>
        <v>25734.762357606178</v>
      </c>
      <c r="R60" s="363">
        <f t="shared" si="8"/>
        <v>17199.550554809524</v>
      </c>
      <c r="S60" s="363">
        <f t="shared" si="8"/>
        <v>17514.439928079519</v>
      </c>
    </row>
    <row r="61" spans="2:19" s="265" customFormat="1" ht="14.25" x14ac:dyDescent="0.2">
      <c r="B61" s="359" t="str">
        <f t="shared" si="7"/>
        <v>Asset replacement and renewal</v>
      </c>
      <c r="C61" s="356" t="s">
        <v>467</v>
      </c>
      <c r="D61" s="250"/>
      <c r="E61" s="250"/>
      <c r="F61" s="250"/>
      <c r="G61" s="250"/>
      <c r="H61" s="250"/>
      <c r="I61" s="250"/>
      <c r="J61" s="250"/>
      <c r="K61" s="250"/>
      <c r="L61" s="250"/>
      <c r="M61" s="363">
        <f t="shared" si="8"/>
        <v>297878.91831885173</v>
      </c>
      <c r="N61" s="363">
        <f t="shared" si="8"/>
        <v>375536.62310427066</v>
      </c>
      <c r="O61" s="363">
        <f t="shared" si="8"/>
        <v>335535.94496628625</v>
      </c>
      <c r="P61" s="363">
        <f t="shared" si="8"/>
        <v>343358.84662390966</v>
      </c>
      <c r="Q61" s="363">
        <f t="shared" si="8"/>
        <v>331550.92035171919</v>
      </c>
      <c r="R61" s="363">
        <f t="shared" si="8"/>
        <v>302209.59997145075</v>
      </c>
      <c r="S61" s="363">
        <f t="shared" si="8"/>
        <v>251272.26660804386</v>
      </c>
    </row>
    <row r="62" spans="2:19" s="265" customFormat="1" ht="14.25" x14ac:dyDescent="0.2">
      <c r="B62" s="359" t="str">
        <f t="shared" si="7"/>
        <v>Asset relocations and undergrounding</v>
      </c>
      <c r="C62" s="356" t="s">
        <v>467</v>
      </c>
      <c r="D62" s="250"/>
      <c r="E62" s="250"/>
      <c r="F62" s="250"/>
      <c r="G62" s="250"/>
      <c r="H62" s="250"/>
      <c r="I62" s="250"/>
      <c r="J62" s="250"/>
      <c r="K62" s="250"/>
      <c r="L62" s="250"/>
      <c r="M62" s="363">
        <f t="shared" si="8"/>
        <v>10079.010175593119</v>
      </c>
      <c r="N62" s="363">
        <f t="shared" si="8"/>
        <v>14463.931033675328</v>
      </c>
      <c r="O62" s="363">
        <f t="shared" si="8"/>
        <v>11449.175237113486</v>
      </c>
      <c r="P62" s="363">
        <f t="shared" si="8"/>
        <v>11340.879990325535</v>
      </c>
      <c r="Q62" s="363">
        <f t="shared" si="8"/>
        <v>10910.314957256167</v>
      </c>
      <c r="R62" s="363">
        <f t="shared" si="8"/>
        <v>10665.039189827745</v>
      </c>
      <c r="S62" s="363">
        <f t="shared" si="8"/>
        <v>10607.747748157522</v>
      </c>
    </row>
    <row r="63" spans="2:19" s="265" customFormat="1" ht="14.25" x14ac:dyDescent="0.2">
      <c r="B63" s="359" t="str">
        <f t="shared" si="7"/>
        <v>Reliability, safety and environment (RSE)</v>
      </c>
      <c r="C63" s="356" t="s">
        <v>467</v>
      </c>
      <c r="D63" s="250"/>
      <c r="E63" s="250"/>
      <c r="F63" s="250"/>
      <c r="G63" s="250"/>
      <c r="H63" s="250"/>
      <c r="I63" s="250"/>
      <c r="J63" s="250"/>
      <c r="K63" s="250"/>
      <c r="L63" s="250"/>
      <c r="M63" s="363">
        <f t="shared" si="8"/>
        <v>9391.2106864539983</v>
      </c>
      <c r="N63" s="363">
        <f t="shared" si="8"/>
        <v>1783.926918740872</v>
      </c>
      <c r="O63" s="363">
        <f t="shared" si="8"/>
        <v>2735.6417866668362</v>
      </c>
      <c r="P63" s="363">
        <f t="shared" si="8"/>
        <v>2709.7659487767696</v>
      </c>
      <c r="Q63" s="363">
        <f t="shared" si="8"/>
        <v>1283.8717977708359</v>
      </c>
      <c r="R63" s="363">
        <f t="shared" si="8"/>
        <v>5028.3803181999483</v>
      </c>
      <c r="S63" s="363">
        <f t="shared" si="8"/>
        <v>3753.0942703027536</v>
      </c>
    </row>
    <row r="64" spans="2:19" s="265" customFormat="1" ht="14.25" x14ac:dyDescent="0.2">
      <c r="B64" s="359" t="str">
        <f t="shared" si="7"/>
        <v>Non-network capex</v>
      </c>
      <c r="C64" s="356" t="s">
        <v>467</v>
      </c>
      <c r="D64" s="250"/>
      <c r="E64" s="250"/>
      <c r="F64" s="250"/>
      <c r="G64" s="250"/>
      <c r="H64" s="250"/>
      <c r="I64" s="250"/>
      <c r="J64" s="250"/>
      <c r="K64" s="250"/>
      <c r="L64" s="250"/>
      <c r="M64" s="363">
        <f t="shared" si="8"/>
        <v>69896.01709796107</v>
      </c>
      <c r="N64" s="363">
        <f t="shared" si="8"/>
        <v>47054.797346701176</v>
      </c>
      <c r="O64" s="363">
        <f t="shared" si="8"/>
        <v>40098.433940241513</v>
      </c>
      <c r="P64" s="363">
        <f t="shared" si="8"/>
        <v>18076.204331880206</v>
      </c>
      <c r="Q64" s="363">
        <f t="shared" si="8"/>
        <v>16420.282156644607</v>
      </c>
      <c r="R64" s="363">
        <f t="shared" si="8"/>
        <v>13085.965524718968</v>
      </c>
      <c r="S64" s="363">
        <f t="shared" si="8"/>
        <v>11997.138867146836</v>
      </c>
    </row>
    <row r="65" spans="2:22" s="265" customFormat="1" ht="14.25" x14ac:dyDescent="0.2">
      <c r="B65" s="250"/>
      <c r="C65" s="355"/>
      <c r="D65" s="250"/>
      <c r="E65" s="250"/>
      <c r="F65" s="250"/>
      <c r="G65" s="250"/>
      <c r="H65" s="250"/>
      <c r="I65" s="250"/>
      <c r="J65" s="250"/>
      <c r="K65" s="250"/>
      <c r="L65" s="250"/>
      <c r="M65" s="250"/>
      <c r="N65" s="250"/>
      <c r="O65" s="250"/>
      <c r="P65" s="250"/>
      <c r="Q65" s="250"/>
      <c r="R65" s="250"/>
      <c r="S65" s="250"/>
    </row>
    <row r="66" spans="2:22" s="265" customFormat="1" ht="14.25" x14ac:dyDescent="0.2">
      <c r="B66" s="361" t="s">
        <v>228</v>
      </c>
      <c r="C66" s="362">
        <f>SUM(M66:S66)</f>
        <v>0</v>
      </c>
      <c r="D66" s="250"/>
      <c r="E66" s="250"/>
      <c r="F66" s="250"/>
      <c r="G66" s="250"/>
      <c r="H66" s="250"/>
      <c r="I66" s="250"/>
      <c r="J66" s="250"/>
      <c r="K66" s="250"/>
      <c r="L66" s="250"/>
      <c r="M66" s="228">
        <f t="shared" ref="M66:S66" si="9">SUM(M59:M64)-M16</f>
        <v>0</v>
      </c>
      <c r="N66" s="228">
        <f t="shared" si="9"/>
        <v>0</v>
      </c>
      <c r="O66" s="228">
        <f t="shared" si="9"/>
        <v>0</v>
      </c>
      <c r="P66" s="228">
        <f t="shared" si="9"/>
        <v>0</v>
      </c>
      <c r="Q66" s="228">
        <f t="shared" si="9"/>
        <v>0</v>
      </c>
      <c r="R66" s="228">
        <f t="shared" si="9"/>
        <v>0</v>
      </c>
      <c r="S66" s="228">
        <f t="shared" si="9"/>
        <v>0</v>
      </c>
    </row>
    <row r="67" spans="2:22" s="265" customFormat="1" ht="14.25" x14ac:dyDescent="0.2">
      <c r="B67" s="361"/>
      <c r="C67" s="355"/>
      <c r="D67" s="250"/>
      <c r="E67" s="250"/>
      <c r="F67" s="250"/>
      <c r="G67" s="250"/>
      <c r="H67" s="250"/>
      <c r="I67" s="250"/>
      <c r="J67" s="250"/>
      <c r="K67" s="250"/>
      <c r="L67" s="250"/>
      <c r="M67" s="228"/>
      <c r="N67" s="228"/>
      <c r="O67" s="228"/>
      <c r="P67" s="228"/>
      <c r="Q67" s="228"/>
      <c r="R67" s="228"/>
      <c r="S67" s="228"/>
    </row>
    <row r="68" spans="2:22" s="265" customFormat="1" ht="14.25" x14ac:dyDescent="0.2">
      <c r="B68" s="354" t="str">
        <f>B19</f>
        <v>Consumer connection</v>
      </c>
      <c r="C68" s="355"/>
      <c r="D68" s="250"/>
      <c r="E68" s="250"/>
      <c r="F68" s="250"/>
      <c r="G68" s="250"/>
      <c r="H68" s="250"/>
      <c r="I68" s="250"/>
      <c r="J68" s="250"/>
      <c r="K68" s="250"/>
      <c r="L68" s="250"/>
      <c r="M68" s="250"/>
      <c r="N68" s="250"/>
      <c r="O68" s="250"/>
      <c r="P68" s="250"/>
      <c r="Q68" s="250"/>
      <c r="R68" s="250"/>
      <c r="S68" s="250"/>
    </row>
    <row r="69" spans="2:22" s="265" customFormat="1" ht="14.25" x14ac:dyDescent="0.2">
      <c r="B69" s="250"/>
      <c r="C69" s="355"/>
      <c r="D69" s="250"/>
      <c r="E69" s="250"/>
      <c r="F69" s="250"/>
      <c r="G69" s="250"/>
      <c r="H69" s="250"/>
      <c r="I69" s="250"/>
      <c r="J69" s="250"/>
      <c r="K69" s="250"/>
      <c r="L69" s="250"/>
      <c r="M69" s="250"/>
      <c r="N69" s="250"/>
      <c r="O69" s="250"/>
      <c r="P69" s="250"/>
      <c r="Q69" s="250"/>
      <c r="R69" s="250"/>
      <c r="S69" s="250"/>
    </row>
    <row r="70" spans="2:22" s="265" customFormat="1" ht="14.25" x14ac:dyDescent="0.2">
      <c r="B70" s="291" t="s">
        <v>471</v>
      </c>
      <c r="C70" s="358"/>
      <c r="D70" s="250"/>
      <c r="E70" s="250"/>
      <c r="F70" s="250"/>
      <c r="G70" s="250"/>
      <c r="H70" s="250"/>
      <c r="I70" s="250"/>
      <c r="J70" s="250"/>
      <c r="K70" s="250"/>
      <c r="L70" s="250"/>
      <c r="M70" s="250"/>
      <c r="N70" s="250"/>
      <c r="O70" s="250"/>
      <c r="P70" s="250"/>
      <c r="Q70" s="250"/>
      <c r="R70" s="250"/>
      <c r="S70" s="250"/>
    </row>
    <row r="71" spans="2:22" s="265" customFormat="1" ht="14.25" x14ac:dyDescent="0.2">
      <c r="B71" s="364" t="str">
        <f xml:space="preserve"> 'Sch E table 4 '!E13</f>
        <v>10 Consumer connection (net)</v>
      </c>
      <c r="C71" s="356" t="s">
        <v>69</v>
      </c>
      <c r="D71" s="250"/>
      <c r="E71" s="250"/>
      <c r="F71" s="250"/>
      <c r="G71" s="250"/>
      <c r="H71" s="250"/>
      <c r="I71" s="250"/>
      <c r="J71" s="250"/>
      <c r="K71" s="250"/>
      <c r="L71" s="250"/>
      <c r="M71" s="360">
        <f>SUMIFS('Forecast capex'!$Q$9:$Q$1883,'Forecast capex'!$F$9:$F$1883,'Schedule E calculations'!$B71,'Forecast capex'!$J$9:$J$1883,'Schedule E calculations'!M$9)/'Capex summary'!M$17</f>
        <v>1</v>
      </c>
      <c r="N71" s="360">
        <f>SUMIFS('Forecast capex'!$Q$9:$Q$1883,'Forecast capex'!$F$9:$F$1883,'Schedule E calculations'!$B71,'Forecast capex'!$J$9:$J$1883,'Schedule E calculations'!N$9)/'Capex summary'!N$17</f>
        <v>1</v>
      </c>
      <c r="O71" s="360">
        <f>SUMIFS('Forecast capex'!$Q$9:$Q$1883,'Forecast capex'!$F$9:$F$1883,'Schedule E calculations'!$B71,'Forecast capex'!$J$9:$J$1883,'Schedule E calculations'!O$9)/'Capex summary'!O$17</f>
        <v>1</v>
      </c>
      <c r="P71" s="360">
        <f>SUMIFS('Forecast capex'!$Q$9:$Q$1883,'Forecast capex'!$F$9:$F$1883,'Schedule E calculations'!$B71,'Forecast capex'!$J$9:$J$1883,'Schedule E calculations'!P$9)/'Capex summary'!P$17</f>
        <v>1</v>
      </c>
      <c r="Q71" s="360">
        <f>SUMIFS('Forecast capex'!$Q$9:$Q$1883,'Forecast capex'!$F$9:$F$1883,'Schedule E calculations'!$B71,'Forecast capex'!$J$9:$J$1883,'Schedule E calculations'!Q$9)/'Capex summary'!Q$17</f>
        <v>1</v>
      </c>
      <c r="R71" s="360">
        <f>SUMIFS('Forecast capex'!$Q$9:$Q$1883,'Forecast capex'!$F$9:$F$1883,'Schedule E calculations'!$B71,'Forecast capex'!$J$9:$J$1883,'Schedule E calculations'!R$9)/'Capex summary'!R$17</f>
        <v>1</v>
      </c>
      <c r="S71" s="360">
        <f>SUMIFS('Forecast capex'!$Q$9:$Q$1883,'Forecast capex'!$F$9:$F$1883,'Schedule E calculations'!$B71,'Forecast capex'!$J$9:$J$1883,'Schedule E calculations'!S$9)/'Capex summary'!S$17</f>
        <v>1</v>
      </c>
    </row>
    <row r="72" spans="2:22" s="265" customFormat="1" ht="14.25" x14ac:dyDescent="0.2">
      <c r="B72" s="291"/>
      <c r="C72" s="358"/>
      <c r="D72" s="250"/>
      <c r="E72" s="250"/>
      <c r="F72" s="250"/>
      <c r="G72" s="250"/>
      <c r="H72" s="250"/>
      <c r="I72" s="250"/>
      <c r="J72" s="250"/>
      <c r="K72" s="250"/>
      <c r="L72" s="250"/>
      <c r="M72" s="250"/>
      <c r="N72" s="250"/>
      <c r="O72" s="250"/>
      <c r="P72" s="250"/>
      <c r="Q72" s="250"/>
      <c r="R72" s="250"/>
      <c r="S72" s="250"/>
    </row>
    <row r="73" spans="2:22" s="265" customFormat="1" ht="14.25" x14ac:dyDescent="0.2">
      <c r="B73" s="361" t="s">
        <v>230</v>
      </c>
      <c r="C73" s="362">
        <f>SUM(M73:S73)</f>
        <v>0</v>
      </c>
      <c r="D73" s="250"/>
      <c r="E73" s="250"/>
      <c r="F73" s="250"/>
      <c r="G73" s="250"/>
      <c r="H73" s="250"/>
      <c r="I73" s="250"/>
      <c r="J73" s="250"/>
      <c r="K73" s="250"/>
      <c r="L73" s="250"/>
      <c r="M73" s="228">
        <f t="shared" ref="M73:S73" si="10">1-M71</f>
        <v>0</v>
      </c>
      <c r="N73" s="228">
        <f t="shared" si="10"/>
        <v>0</v>
      </c>
      <c r="O73" s="228">
        <f t="shared" si="10"/>
        <v>0</v>
      </c>
      <c r="P73" s="228">
        <f t="shared" si="10"/>
        <v>0</v>
      </c>
      <c r="Q73" s="228">
        <f t="shared" si="10"/>
        <v>0</v>
      </c>
      <c r="R73" s="228">
        <f t="shared" si="10"/>
        <v>0</v>
      </c>
      <c r="S73" s="228">
        <f t="shared" si="10"/>
        <v>0</v>
      </c>
    </row>
    <row r="74" spans="2:22" s="265" customFormat="1" ht="14.25" x14ac:dyDescent="0.2">
      <c r="B74" s="361"/>
      <c r="C74" s="355"/>
      <c r="D74" s="250"/>
      <c r="E74" s="250"/>
      <c r="F74" s="250"/>
      <c r="G74" s="250"/>
      <c r="H74" s="250"/>
      <c r="I74" s="250"/>
      <c r="J74" s="250"/>
      <c r="K74" s="250"/>
      <c r="L74" s="250"/>
      <c r="M74" s="228"/>
      <c r="N74" s="228"/>
      <c r="O74" s="228"/>
      <c r="P74" s="228"/>
      <c r="Q74" s="228"/>
      <c r="R74" s="228"/>
      <c r="S74" s="228"/>
    </row>
    <row r="75" spans="2:22" s="265" customFormat="1" ht="14.25" x14ac:dyDescent="0.2">
      <c r="B75" s="291" t="s">
        <v>472</v>
      </c>
      <c r="C75" s="358"/>
      <c r="D75" s="250"/>
      <c r="E75" s="250"/>
      <c r="F75" s="250"/>
      <c r="G75" s="250"/>
      <c r="H75" s="250"/>
      <c r="I75" s="250"/>
      <c r="J75" s="250"/>
      <c r="K75" s="250"/>
      <c r="L75" s="250"/>
      <c r="M75" s="250"/>
      <c r="N75" s="250"/>
      <c r="O75" s="250"/>
      <c r="P75" s="250"/>
      <c r="Q75" s="250"/>
      <c r="R75" s="250"/>
      <c r="S75" s="250"/>
    </row>
    <row r="76" spans="2:22" s="265" customFormat="1" ht="14.25" x14ac:dyDescent="0.2">
      <c r="B76" s="364" t="str">
        <f>B71</f>
        <v>10 Consumer connection (net)</v>
      </c>
      <c r="C76" s="356" t="s">
        <v>250</v>
      </c>
      <c r="D76" s="250"/>
      <c r="E76" s="250"/>
      <c r="F76" s="250"/>
      <c r="G76" s="250"/>
      <c r="H76" s="250"/>
      <c r="I76" s="250"/>
      <c r="J76" s="250"/>
      <c r="K76" s="250"/>
      <c r="L76" s="250"/>
      <c r="M76" s="363">
        <f t="shared" ref="M76:S76" si="11">M71*M$49</f>
        <v>116439.63709015628</v>
      </c>
      <c r="N76" s="363">
        <f t="shared" si="11"/>
        <v>69642.45739259501</v>
      </c>
      <c r="O76" s="363">
        <f t="shared" si="11"/>
        <v>45953.672834831967</v>
      </c>
      <c r="P76" s="363">
        <f t="shared" si="11"/>
        <v>46410.866021717375</v>
      </c>
      <c r="Q76" s="363">
        <f t="shared" si="11"/>
        <v>62577.793874553303</v>
      </c>
      <c r="R76" s="363">
        <f t="shared" si="11"/>
        <v>71884.572640226688</v>
      </c>
      <c r="S76" s="363">
        <f t="shared" si="11"/>
        <v>85834.729867709088</v>
      </c>
      <c r="V76" s="352"/>
    </row>
    <row r="77" spans="2:22" s="265" customFormat="1" ht="14.25" x14ac:dyDescent="0.2">
      <c r="B77" s="291"/>
      <c r="C77" s="358"/>
      <c r="D77" s="250"/>
      <c r="E77" s="250"/>
      <c r="F77" s="250"/>
      <c r="G77" s="250"/>
      <c r="H77" s="250"/>
      <c r="I77" s="250"/>
      <c r="J77" s="250"/>
      <c r="K77" s="250"/>
      <c r="L77" s="250"/>
      <c r="M77" s="267"/>
      <c r="N77" s="250"/>
      <c r="O77" s="250"/>
      <c r="P77" s="250"/>
      <c r="Q77" s="250"/>
      <c r="R77" s="250"/>
      <c r="S77" s="250"/>
    </row>
    <row r="78" spans="2:22" s="265" customFormat="1" ht="14.25" x14ac:dyDescent="0.2">
      <c r="B78" s="361" t="s">
        <v>427</v>
      </c>
      <c r="C78" s="362">
        <f>SUM(M78:S78)</f>
        <v>0</v>
      </c>
      <c r="D78" s="250"/>
      <c r="E78" s="250"/>
      <c r="F78" s="250"/>
      <c r="G78" s="250"/>
      <c r="H78" s="250"/>
      <c r="I78" s="250"/>
      <c r="J78" s="250"/>
      <c r="K78" s="250"/>
      <c r="L78" s="250"/>
      <c r="M78" s="228">
        <f t="shared" ref="M78:S78" si="12">SUM(M76)-M49</f>
        <v>0</v>
      </c>
      <c r="N78" s="228">
        <f t="shared" si="12"/>
        <v>0</v>
      </c>
      <c r="O78" s="228">
        <f t="shared" si="12"/>
        <v>0</v>
      </c>
      <c r="P78" s="228">
        <f t="shared" si="12"/>
        <v>0</v>
      </c>
      <c r="Q78" s="228">
        <f t="shared" si="12"/>
        <v>0</v>
      </c>
      <c r="R78" s="228">
        <f t="shared" si="12"/>
        <v>0</v>
      </c>
      <c r="S78" s="228">
        <f t="shared" si="12"/>
        <v>0</v>
      </c>
    </row>
    <row r="79" spans="2:22" s="265" customFormat="1" ht="14.25" x14ac:dyDescent="0.2">
      <c r="B79" s="361"/>
      <c r="C79" s="355"/>
      <c r="D79" s="250"/>
      <c r="E79" s="250"/>
      <c r="F79" s="250"/>
      <c r="G79" s="250"/>
      <c r="H79" s="250"/>
      <c r="I79" s="250"/>
      <c r="J79" s="250"/>
      <c r="K79" s="250"/>
      <c r="L79" s="250"/>
      <c r="M79" s="228"/>
      <c r="N79" s="228"/>
      <c r="O79" s="228"/>
      <c r="P79" s="228"/>
      <c r="Q79" s="228"/>
      <c r="R79" s="228"/>
      <c r="S79" s="228"/>
    </row>
    <row r="80" spans="2:22" s="265" customFormat="1" ht="14.25" x14ac:dyDescent="0.2">
      <c r="B80" s="291" t="s">
        <v>473</v>
      </c>
      <c r="C80" s="358"/>
      <c r="D80" s="250"/>
      <c r="E80" s="250"/>
      <c r="F80" s="250"/>
      <c r="G80" s="250"/>
      <c r="H80" s="250"/>
      <c r="I80" s="250"/>
      <c r="J80" s="250"/>
      <c r="K80" s="250"/>
      <c r="L80" s="250"/>
      <c r="M80" s="250"/>
      <c r="N80" s="250"/>
      <c r="O80" s="250"/>
      <c r="P80" s="250"/>
      <c r="Q80" s="250"/>
      <c r="R80" s="250"/>
      <c r="S80" s="250"/>
    </row>
    <row r="81" spans="2:19" s="265" customFormat="1" ht="14.25" x14ac:dyDescent="0.2">
      <c r="B81" s="364" t="str">
        <f>B76</f>
        <v>10 Consumer connection (net)</v>
      </c>
      <c r="C81" s="356" t="s">
        <v>467</v>
      </c>
      <c r="D81" s="250"/>
      <c r="E81" s="250"/>
      <c r="F81" s="250"/>
      <c r="G81" s="250"/>
      <c r="H81" s="250"/>
      <c r="I81" s="250"/>
      <c r="J81" s="250"/>
      <c r="K81" s="250"/>
      <c r="L81" s="250"/>
      <c r="M81" s="363">
        <f t="shared" ref="M81:S81" si="13">M71*M$59</f>
        <v>116439.63709015628</v>
      </c>
      <c r="N81" s="363">
        <f t="shared" si="13"/>
        <v>68597.603681565</v>
      </c>
      <c r="O81" s="363">
        <f t="shared" si="13"/>
        <v>44635.30010183432</v>
      </c>
      <c r="P81" s="363">
        <f t="shared" si="13"/>
        <v>44213.104551510893</v>
      </c>
      <c r="Q81" s="363">
        <f t="shared" si="13"/>
        <v>58704.516787909561</v>
      </c>
      <c r="R81" s="363">
        <f t="shared" si="13"/>
        <v>66117.726773215909</v>
      </c>
      <c r="S81" s="363">
        <f t="shared" si="13"/>
        <v>77343.80047424206</v>
      </c>
    </row>
    <row r="82" spans="2:19" s="265" customFormat="1" ht="14.25" x14ac:dyDescent="0.2">
      <c r="B82" s="291"/>
      <c r="C82" s="358"/>
      <c r="D82" s="250"/>
      <c r="E82" s="250"/>
      <c r="F82" s="250"/>
      <c r="G82" s="250"/>
      <c r="H82" s="250"/>
      <c r="I82" s="250"/>
      <c r="J82" s="250"/>
      <c r="K82" s="250"/>
      <c r="L82" s="250"/>
      <c r="M82" s="267"/>
      <c r="N82" s="250"/>
      <c r="O82" s="250"/>
      <c r="P82" s="250"/>
      <c r="Q82" s="250"/>
      <c r="R82" s="250"/>
      <c r="S82" s="250"/>
    </row>
    <row r="83" spans="2:19" s="265" customFormat="1" ht="14.25" x14ac:dyDescent="0.2">
      <c r="B83" s="361" t="s">
        <v>428</v>
      </c>
      <c r="C83" s="362">
        <f>SUM(M83:S83)</f>
        <v>0</v>
      </c>
      <c r="D83" s="250"/>
      <c r="E83" s="250"/>
      <c r="F83" s="250"/>
      <c r="G83" s="250"/>
      <c r="H83" s="250"/>
      <c r="I83" s="250"/>
      <c r="J83" s="250"/>
      <c r="K83" s="250"/>
      <c r="L83" s="250"/>
      <c r="M83" s="228">
        <f t="shared" ref="M83:S83" si="14">SUM(M81)-M59</f>
        <v>0</v>
      </c>
      <c r="N83" s="228">
        <f t="shared" si="14"/>
        <v>0</v>
      </c>
      <c r="O83" s="228">
        <f t="shared" si="14"/>
        <v>0</v>
      </c>
      <c r="P83" s="228">
        <f t="shared" si="14"/>
        <v>0</v>
      </c>
      <c r="Q83" s="228">
        <f t="shared" si="14"/>
        <v>0</v>
      </c>
      <c r="R83" s="228">
        <f t="shared" si="14"/>
        <v>0</v>
      </c>
      <c r="S83" s="228">
        <f t="shared" si="14"/>
        <v>0</v>
      </c>
    </row>
    <row r="84" spans="2:19" s="265" customFormat="1" ht="14.25" x14ac:dyDescent="0.2">
      <c r="B84" s="361"/>
      <c r="C84" s="355"/>
      <c r="D84" s="250"/>
      <c r="E84" s="250"/>
      <c r="F84" s="250"/>
      <c r="G84" s="250"/>
      <c r="H84" s="250"/>
      <c r="I84" s="250"/>
      <c r="J84" s="250"/>
      <c r="K84" s="250"/>
      <c r="L84" s="250"/>
      <c r="M84" s="228"/>
      <c r="N84" s="228"/>
      <c r="O84" s="228"/>
      <c r="P84" s="228"/>
      <c r="Q84" s="228"/>
      <c r="R84" s="228"/>
      <c r="S84" s="228"/>
    </row>
    <row r="85" spans="2:19" s="265" customFormat="1" ht="14.25" x14ac:dyDescent="0.2">
      <c r="B85" s="354" t="str">
        <f>B20</f>
        <v xml:space="preserve">System growth </v>
      </c>
      <c r="C85" s="355"/>
      <c r="D85" s="250"/>
      <c r="E85" s="250"/>
      <c r="F85" s="250"/>
      <c r="G85" s="250"/>
      <c r="H85" s="250"/>
      <c r="I85" s="250"/>
      <c r="J85" s="250"/>
      <c r="K85" s="250"/>
      <c r="L85" s="250"/>
      <c r="M85" s="250"/>
      <c r="N85" s="250"/>
      <c r="O85" s="250"/>
      <c r="P85" s="250"/>
      <c r="Q85" s="250"/>
      <c r="R85" s="250"/>
      <c r="S85" s="250"/>
    </row>
    <row r="86" spans="2:19" s="265" customFormat="1" ht="14.25" x14ac:dyDescent="0.2">
      <c r="B86" s="250"/>
      <c r="C86" s="355"/>
      <c r="D86" s="250"/>
      <c r="E86" s="250"/>
      <c r="F86" s="250"/>
      <c r="G86" s="250"/>
      <c r="H86" s="250"/>
      <c r="I86" s="250"/>
      <c r="J86" s="250"/>
      <c r="K86" s="250"/>
      <c r="L86" s="250"/>
      <c r="M86" s="250"/>
      <c r="N86" s="250"/>
      <c r="O86" s="250"/>
      <c r="P86" s="250"/>
      <c r="Q86" s="250"/>
      <c r="R86" s="250"/>
      <c r="S86" s="250"/>
    </row>
    <row r="87" spans="2:19" s="265" customFormat="1" ht="14.25" x14ac:dyDescent="0.2">
      <c r="B87" s="291" t="s">
        <v>474</v>
      </c>
      <c r="C87" s="358"/>
      <c r="D87" s="250"/>
      <c r="E87" s="250"/>
      <c r="F87" s="250"/>
      <c r="G87" s="250"/>
      <c r="H87" s="250"/>
      <c r="I87" s="250"/>
      <c r="J87" s="250"/>
      <c r="K87" s="250"/>
      <c r="L87" s="250"/>
      <c r="M87" s="250"/>
      <c r="N87" s="250"/>
      <c r="O87" s="250"/>
      <c r="P87" s="250"/>
      <c r="Q87" s="250"/>
      <c r="R87" s="250"/>
      <c r="S87" s="250"/>
    </row>
    <row r="88" spans="2:19" s="265" customFormat="1" ht="14.25" x14ac:dyDescent="0.2">
      <c r="B88" s="364" t="str">
        <f xml:space="preserve"> 'Sch E table 4 '!E21</f>
        <v>8.1 Arrowtown 33kV Ring Upgrade</v>
      </c>
      <c r="C88" s="356" t="s">
        <v>69</v>
      </c>
      <c r="D88" s="250"/>
      <c r="E88" s="250"/>
      <c r="F88" s="250"/>
      <c r="G88" s="250"/>
      <c r="H88" s="250"/>
      <c r="I88" s="250"/>
      <c r="J88" s="250"/>
      <c r="K88" s="250"/>
      <c r="L88" s="250"/>
      <c r="M88" s="360">
        <f>SUMIFS('Forecast capex'!$Q$9:$Q$1883,'Forecast capex'!$F$9:$F$1883,'Schedule E calculations'!$B88,'Forecast capex'!$J$9:$J$1883,'Schedule E calculations'!M$9)/'Capex summary'!M$18</f>
        <v>0</v>
      </c>
      <c r="N88" s="365">
        <f>SUMIFS('Forecast capex'!$Q$9:$Q$1883,'Forecast capex'!$F$9:$F$1883,'Schedule E calculations'!$B88,'Forecast capex'!$J$9:$J$1883,'Schedule E calculations'!N$9)/'Capex summary'!N$18</f>
        <v>0.12218940503305796</v>
      </c>
      <c r="O88" s="360">
        <f>SUMIFS('Forecast capex'!$Q$9:$Q$1883,'Forecast capex'!$F$9:$F$1883,'Schedule E calculations'!$B88,'Forecast capex'!$J$9:$J$1883,'Schedule E calculations'!O$9)/'Capex summary'!O$18</f>
        <v>0</v>
      </c>
      <c r="P88" s="365">
        <f>SUMIFS('Forecast capex'!$Q$9:$Q$1883,'Forecast capex'!$F$9:$F$1883,'Schedule E calculations'!$B88,'Forecast capex'!$J$9:$J$1883,'Schedule E calculations'!P$9)/'Capex summary'!P$18</f>
        <v>0</v>
      </c>
      <c r="Q88" s="365">
        <f>SUMIFS('Forecast capex'!$Q$9:$Q$1883,'Forecast capex'!$F$9:$F$1883,'Schedule E calculations'!$B88,'Forecast capex'!$J$9:$J$1883,'Schedule E calculations'!Q$9)/'Capex summary'!Q$18</f>
        <v>0</v>
      </c>
      <c r="R88" s="365">
        <f>SUMIFS('Forecast capex'!$Q$9:$Q$1883,'Forecast capex'!$F$9:$F$1883,'Schedule E calculations'!$B88,'Forecast capex'!$J$9:$J$1883,'Schedule E calculations'!R$9)/'Capex summary'!R$18</f>
        <v>0</v>
      </c>
      <c r="S88" s="365">
        <f>SUMIFS('Forecast capex'!$Q$9:$Q$1883,'Forecast capex'!$F$9:$F$1883,'Schedule E calculations'!$B88,'Forecast capex'!$J$9:$J$1883,'Schedule E calculations'!S$9)/'Capex summary'!S$18</f>
        <v>0</v>
      </c>
    </row>
    <row r="89" spans="2:19" s="265" customFormat="1" ht="14.25" x14ac:dyDescent="0.2">
      <c r="B89" s="364" t="str">
        <f xml:space="preserve"> 'Sch E table 4 '!E22</f>
        <v>8.2 Arrowtown Zone Substation 33kV Indoor Switchboard</v>
      </c>
      <c r="C89" s="356" t="s">
        <v>69</v>
      </c>
      <c r="D89" s="250"/>
      <c r="E89" s="250"/>
      <c r="F89" s="250"/>
      <c r="G89" s="250"/>
      <c r="H89" s="250"/>
      <c r="I89" s="250"/>
      <c r="J89" s="250"/>
      <c r="K89" s="250"/>
      <c r="L89" s="250"/>
      <c r="M89" s="365">
        <f>SUMIFS('Forecast capex'!$Q$9:$Q$1883,'Forecast capex'!$F$9:$F$1883,'Schedule E calculations'!$B89,'Forecast capex'!$J$9:$J$1883,'Schedule E calculations'!M$9)/'Capex summary'!M$18</f>
        <v>0</v>
      </c>
      <c r="N89" s="360">
        <f>SUMIFS('Forecast capex'!$Q$9:$Q$1883,'Forecast capex'!$F$9:$F$1883,'Schedule E calculations'!$B89,'Forecast capex'!$J$9:$J$1883,'Schedule E calculations'!N$9)/'Capex summary'!N$18</f>
        <v>0</v>
      </c>
      <c r="O89" s="365">
        <f>SUMIFS('Forecast capex'!$Q$9:$Q$1883,'Forecast capex'!$F$9:$F$1883,'Schedule E calculations'!$B89,'Forecast capex'!$J$9:$J$1883,'Schedule E calculations'!O$9)/'Capex summary'!O$18</f>
        <v>0</v>
      </c>
      <c r="P89" s="365">
        <f>SUMIFS('Forecast capex'!$Q$9:$Q$1883,'Forecast capex'!$F$9:$F$1883,'Schedule E calculations'!$B89,'Forecast capex'!$J$9:$J$1883,'Schedule E calculations'!P$9)/'Capex summary'!P$18</f>
        <v>0</v>
      </c>
      <c r="Q89" s="365">
        <f>SUMIFS('Forecast capex'!$Q$9:$Q$1883,'Forecast capex'!$F$9:$F$1883,'Schedule E calculations'!$B89,'Forecast capex'!$J$9:$J$1883,'Schedule E calculations'!Q$9)/'Capex summary'!Q$18</f>
        <v>0</v>
      </c>
      <c r="R89" s="365">
        <f>SUMIFS('Forecast capex'!$Q$9:$Q$1883,'Forecast capex'!$F$9:$F$1883,'Schedule E calculations'!$B89,'Forecast capex'!$J$9:$J$1883,'Schedule E calculations'!R$9)/'Capex summary'!R$18</f>
        <v>0</v>
      </c>
      <c r="S89" s="365">
        <f>SUMIFS('Forecast capex'!$Q$9:$Q$1883,'Forecast capex'!$F$9:$F$1883,'Schedule E calculations'!$B89,'Forecast capex'!$J$9:$J$1883,'Schedule E calculations'!S$9)/'Capex summary'!S$18</f>
        <v>0</v>
      </c>
    </row>
    <row r="90" spans="2:19" s="265" customFormat="1" ht="14.25" x14ac:dyDescent="0.2">
      <c r="B90" s="364" t="str">
        <f xml:space="preserve"> 'Sch E table 4 '!E23</f>
        <v>8.3 Omakau New Zone Substation</v>
      </c>
      <c r="C90" s="356" t="s">
        <v>69</v>
      </c>
      <c r="D90" s="250"/>
      <c r="E90" s="250"/>
      <c r="F90" s="250"/>
      <c r="G90" s="250"/>
      <c r="H90" s="250"/>
      <c r="I90" s="250"/>
      <c r="J90" s="250"/>
      <c r="K90" s="250"/>
      <c r="L90" s="250"/>
      <c r="M90" s="365">
        <f>SUMIFS('Forecast capex'!$Q$9:$Q$1883,'Forecast capex'!$F$9:$F$1883,'Schedule E calculations'!$B90,'Forecast capex'!$J$9:$J$1883,'Schedule E calculations'!M$9)/'Capex summary'!M$18</f>
        <v>0</v>
      </c>
      <c r="N90" s="365">
        <f>SUMIFS('Forecast capex'!$Q$9:$Q$1883,'Forecast capex'!$F$9:$F$1883,'Schedule E calculations'!$B90,'Forecast capex'!$J$9:$J$1883,'Schedule E calculations'!N$9)/'Capex summary'!N$18</f>
        <v>1.9092094536415305E-2</v>
      </c>
      <c r="O90" s="365">
        <f>SUMIFS('Forecast capex'!$Q$9:$Q$1883,'Forecast capex'!$F$9:$F$1883,'Schedule E calculations'!$B90,'Forecast capex'!$J$9:$J$1883,'Schedule E calculations'!O$9)/'Capex summary'!O$18</f>
        <v>0.23091010239628076</v>
      </c>
      <c r="P90" s="365">
        <f>SUMIFS('Forecast capex'!$Q$9:$Q$1883,'Forecast capex'!$F$9:$F$1883,'Schedule E calculations'!$B90,'Forecast capex'!$J$9:$J$1883,'Schedule E calculations'!P$9)/'Capex summary'!P$18</f>
        <v>0</v>
      </c>
      <c r="Q90" s="365">
        <f>SUMIFS('Forecast capex'!$Q$9:$Q$1883,'Forecast capex'!$F$9:$F$1883,'Schedule E calculations'!$B90,'Forecast capex'!$J$9:$J$1883,'Schedule E calculations'!Q$9)/'Capex summary'!Q$18</f>
        <v>0.46605524863319098</v>
      </c>
      <c r="R90" s="365">
        <f>SUMIFS('Forecast capex'!$Q$9:$Q$1883,'Forecast capex'!$F$9:$F$1883,'Schedule E calculations'!$B90,'Forecast capex'!$J$9:$J$1883,'Schedule E calculations'!R$9)/'Capex summary'!R$18</f>
        <v>0</v>
      </c>
      <c r="S90" s="365">
        <f>SUMIFS('Forecast capex'!$Q$9:$Q$1883,'Forecast capex'!$F$9:$F$1883,'Schedule E calculations'!$B90,'Forecast capex'!$J$9:$J$1883,'Schedule E calculations'!S$9)/'Capex summary'!S$18</f>
        <v>0</v>
      </c>
    </row>
    <row r="91" spans="2:19" s="265" customFormat="1" ht="14.25" x14ac:dyDescent="0.2">
      <c r="B91" s="364" t="str">
        <f xml:space="preserve"> 'Sch E table 4 '!E24</f>
        <v>8.5 Lindis Crossing Second Transformer</v>
      </c>
      <c r="C91" s="356" t="s">
        <v>69</v>
      </c>
      <c r="D91" s="250"/>
      <c r="E91" s="250"/>
      <c r="F91" s="250"/>
      <c r="G91" s="250"/>
      <c r="H91" s="250"/>
      <c r="I91" s="250"/>
      <c r="J91" s="250"/>
      <c r="K91" s="250"/>
      <c r="L91" s="250"/>
      <c r="M91" s="365">
        <f>SUMIFS('Forecast capex'!$Q$9:$Q$1883,'Forecast capex'!$F$9:$F$1883,'Schedule E calculations'!$B91,'Forecast capex'!$J$9:$J$1883,'Schedule E calculations'!M$9)/'Capex summary'!M$18</f>
        <v>0</v>
      </c>
      <c r="N91" s="365">
        <f>SUMIFS('Forecast capex'!$Q$9:$Q$1883,'Forecast capex'!$F$9:$F$1883,'Schedule E calculations'!$B91,'Forecast capex'!$J$9:$J$1883,'Schedule E calculations'!N$9)/'Capex summary'!N$18</f>
        <v>0</v>
      </c>
      <c r="O91" s="360">
        <f>SUMIFS('Forecast capex'!$Q$9:$Q$1883,'Forecast capex'!$F$9:$F$1883,'Schedule E calculations'!$B91,'Forecast capex'!$J$9:$J$1883,'Schedule E calculations'!O$9)/'Capex summary'!O$18</f>
        <v>0</v>
      </c>
      <c r="P91" s="365">
        <f>SUMIFS('Forecast capex'!$Q$9:$Q$1883,'Forecast capex'!$F$9:$F$1883,'Schedule E calculations'!$B91,'Forecast capex'!$J$9:$J$1883,'Schedule E calculations'!P$9)/'Capex summary'!P$18</f>
        <v>0</v>
      </c>
      <c r="Q91" s="365">
        <f>SUMIFS('Forecast capex'!$Q$9:$Q$1883,'Forecast capex'!$F$9:$F$1883,'Schedule E calculations'!$B91,'Forecast capex'!$J$9:$J$1883,'Schedule E calculations'!Q$9)/'Capex summary'!Q$18</f>
        <v>0</v>
      </c>
      <c r="R91" s="365">
        <f>SUMIFS('Forecast capex'!$Q$9:$Q$1883,'Forecast capex'!$F$9:$F$1883,'Schedule E calculations'!$B91,'Forecast capex'!$J$9:$J$1883,'Schedule E calculations'!R$9)/'Capex summary'!R$18</f>
        <v>0</v>
      </c>
      <c r="S91" s="365">
        <f>SUMIFS('Forecast capex'!$Q$9:$Q$1883,'Forecast capex'!$F$9:$F$1883,'Schedule E calculations'!$B91,'Forecast capex'!$J$9:$J$1883,'Schedule E calculations'!S$9)/'Capex summary'!S$18</f>
        <v>0</v>
      </c>
    </row>
    <row r="92" spans="2:19" s="265" customFormat="1" ht="14.25" x14ac:dyDescent="0.2">
      <c r="B92" s="364" t="str">
        <f xml:space="preserve"> 'Sch E table 4 '!E25</f>
        <v>8.7 Upper Clutha Voltage Support</v>
      </c>
      <c r="C92" s="356" t="s">
        <v>69</v>
      </c>
      <c r="D92" s="250"/>
      <c r="E92" s="250"/>
      <c r="F92" s="250"/>
      <c r="G92" s="250"/>
      <c r="H92" s="250"/>
      <c r="I92" s="250"/>
      <c r="J92" s="250"/>
      <c r="K92" s="250"/>
      <c r="L92" s="250"/>
      <c r="M92" s="360">
        <f>SUMIFS('Forecast capex'!$Q$9:$Q$1883,'Forecast capex'!$F$9:$F$1883,'Schedule E calculations'!$B92,'Forecast capex'!$J$9:$J$1883,'Schedule E calculations'!M$9)/'Capex summary'!M$18</f>
        <v>0</v>
      </c>
      <c r="N92" s="365">
        <f>SUMIFS('Forecast capex'!$Q$9:$Q$1883,'Forecast capex'!$F$9:$F$1883,'Schedule E calculations'!$B92,'Forecast capex'!$J$9:$J$1883,'Schedule E calculations'!N$9)/'Capex summary'!N$18</f>
        <v>0.17602911162574914</v>
      </c>
      <c r="O92" s="365">
        <f>SUMIFS('Forecast capex'!$Q$9:$Q$1883,'Forecast capex'!$F$9:$F$1883,'Schedule E calculations'!$B92,'Forecast capex'!$J$9:$J$1883,'Schedule E calculations'!O$9)/'Capex summary'!O$18</f>
        <v>0</v>
      </c>
      <c r="P92" s="365">
        <f>SUMIFS('Forecast capex'!$Q$9:$Q$1883,'Forecast capex'!$F$9:$F$1883,'Schedule E calculations'!$B92,'Forecast capex'!$J$9:$J$1883,'Schedule E calculations'!P$9)/'Capex summary'!P$18</f>
        <v>0</v>
      </c>
      <c r="Q92" s="365">
        <f>SUMIFS('Forecast capex'!$Q$9:$Q$1883,'Forecast capex'!$F$9:$F$1883,'Schedule E calculations'!$B92,'Forecast capex'!$J$9:$J$1883,'Schedule E calculations'!Q$9)/'Capex summary'!Q$18</f>
        <v>0</v>
      </c>
      <c r="R92" s="365">
        <f>SUMIFS('Forecast capex'!$Q$9:$Q$1883,'Forecast capex'!$F$9:$F$1883,'Schedule E calculations'!$B92,'Forecast capex'!$J$9:$J$1883,'Schedule E calculations'!R$9)/'Capex summary'!R$18</f>
        <v>0</v>
      </c>
      <c r="S92" s="365">
        <f>SUMIFS('Forecast capex'!$Q$9:$Q$1883,'Forecast capex'!$F$9:$F$1883,'Schedule E calculations'!$B92,'Forecast capex'!$J$9:$J$1883,'Schedule E calculations'!S$9)/'Capex summary'!S$18</f>
        <v>0</v>
      </c>
    </row>
    <row r="93" spans="2:19" s="265" customFormat="1" ht="14.25" x14ac:dyDescent="0.2">
      <c r="B93" s="364" t="str">
        <f xml:space="preserve"> 'Sch E table 4 '!E26</f>
        <v>8.16 Smith Street to Willowbank Inter-tie</v>
      </c>
      <c r="C93" s="356" t="s">
        <v>69</v>
      </c>
      <c r="D93" s="250"/>
      <c r="E93" s="250"/>
      <c r="F93" s="250"/>
      <c r="G93" s="250"/>
      <c r="H93" s="250"/>
      <c r="I93" s="250"/>
      <c r="J93" s="250"/>
      <c r="K93" s="250"/>
      <c r="L93" s="250"/>
      <c r="M93" s="365">
        <f>SUMIFS('Forecast capex'!$Q$9:$Q$1883,'Forecast capex'!$F$9:$F$1883,'Schedule E calculations'!$B93,'Forecast capex'!$J$9:$J$1883,'Schedule E calculations'!M$9)/'Capex summary'!M$18</f>
        <v>0</v>
      </c>
      <c r="N93" s="365">
        <f>SUMIFS('Forecast capex'!$Q$9:$Q$1883,'Forecast capex'!$F$9:$F$1883,'Schedule E calculations'!$B93,'Forecast capex'!$J$9:$J$1883,'Schedule E calculations'!N$9)/'Capex summary'!N$18</f>
        <v>8.9732844321151944E-2</v>
      </c>
      <c r="O93" s="365">
        <f>SUMIFS('Forecast capex'!$Q$9:$Q$1883,'Forecast capex'!$F$9:$F$1883,'Schedule E calculations'!$B93,'Forecast capex'!$J$9:$J$1883,'Schedule E calculations'!O$9)/'Capex summary'!O$18</f>
        <v>0</v>
      </c>
      <c r="P93" s="365">
        <f>SUMIFS('Forecast capex'!$Q$9:$Q$1883,'Forecast capex'!$F$9:$F$1883,'Schedule E calculations'!$B93,'Forecast capex'!$J$9:$J$1883,'Schedule E calculations'!P$9)/'Capex summary'!P$18</f>
        <v>0</v>
      </c>
      <c r="Q93" s="360">
        <f>SUMIFS('Forecast capex'!$Q$9:$Q$1883,'Forecast capex'!$F$9:$F$1883,'Schedule E calculations'!$B93,'Forecast capex'!$J$9:$J$1883,'Schedule E calculations'!Q$9)/'Capex summary'!Q$18</f>
        <v>0</v>
      </c>
      <c r="R93" s="365">
        <f>SUMIFS('Forecast capex'!$Q$9:$Q$1883,'Forecast capex'!$F$9:$F$1883,'Schedule E calculations'!$B93,'Forecast capex'!$J$9:$J$1883,'Schedule E calculations'!R$9)/'Capex summary'!R$18</f>
        <v>0</v>
      </c>
      <c r="S93" s="365">
        <f>SUMIFS('Forecast capex'!$Q$9:$Q$1883,'Forecast capex'!$F$9:$F$1883,'Schedule E calculations'!$B93,'Forecast capex'!$J$9:$J$1883,'Schedule E calculations'!S$9)/'Capex summary'!S$18</f>
        <v>0</v>
      </c>
    </row>
    <row r="94" spans="2:19" s="265" customFormat="1" ht="14.25" x14ac:dyDescent="0.2">
      <c r="B94" s="364" t="str">
        <f xml:space="preserve"> 'Sch E table 4 '!E27</f>
        <v>8.17 North City to Ward Inter-tie</v>
      </c>
      <c r="C94" s="356" t="s">
        <v>69</v>
      </c>
      <c r="D94" s="250"/>
      <c r="E94" s="250"/>
      <c r="F94" s="250"/>
      <c r="G94" s="250"/>
      <c r="H94" s="250"/>
      <c r="I94" s="250"/>
      <c r="J94" s="250"/>
      <c r="K94" s="250"/>
      <c r="L94" s="250"/>
      <c r="M94" s="365">
        <f>SUMIFS('Forecast capex'!$Q$9:$Q$1883,'Forecast capex'!$F$9:$F$1883,'Schedule E calculations'!$B94,'Forecast capex'!$J$9:$J$1883,'Schedule E calculations'!M$9)/'Capex summary'!M$18</f>
        <v>0</v>
      </c>
      <c r="N94" s="365">
        <f>SUMIFS('Forecast capex'!$Q$9:$Q$1883,'Forecast capex'!$F$9:$F$1883,'Schedule E calculations'!$B94,'Forecast capex'!$J$9:$J$1883,'Schedule E calculations'!N$9)/'Capex summary'!N$18</f>
        <v>0</v>
      </c>
      <c r="O94" s="365">
        <f>SUMIFS('Forecast capex'!$Q$9:$Q$1883,'Forecast capex'!$F$9:$F$1883,'Schedule E calculations'!$B94,'Forecast capex'!$J$9:$J$1883,'Schedule E calculations'!O$9)/'Capex summary'!O$18</f>
        <v>0</v>
      </c>
      <c r="P94" s="365">
        <f>SUMIFS('Forecast capex'!$Q$9:$Q$1883,'Forecast capex'!$F$9:$F$1883,'Schedule E calculations'!$B94,'Forecast capex'!$J$9:$J$1883,'Schedule E calculations'!P$9)/'Capex summary'!P$18</f>
        <v>0</v>
      </c>
      <c r="Q94" s="365">
        <f>SUMIFS('Forecast capex'!$Q$9:$Q$1883,'Forecast capex'!$F$9:$F$1883,'Schedule E calculations'!$B94,'Forecast capex'!$J$9:$J$1883,'Schedule E calculations'!Q$9)/'Capex summary'!Q$18</f>
        <v>0</v>
      </c>
      <c r="R94" s="365">
        <f>SUMIFS('Forecast capex'!$Q$9:$Q$1883,'Forecast capex'!$F$9:$F$1883,'Schedule E calculations'!$B94,'Forecast capex'!$J$9:$J$1883,'Schedule E calculations'!R$9)/'Capex summary'!R$18</f>
        <v>0</v>
      </c>
      <c r="S94" s="365">
        <f>SUMIFS('Forecast capex'!$Q$9:$Q$1883,'Forecast capex'!$F$9:$F$1883,'Schedule E calculations'!$B94,'Forecast capex'!$J$9:$J$1883,'Schedule E calculations'!S$9)/'Capex summary'!S$18</f>
        <v>0</v>
      </c>
    </row>
    <row r="95" spans="2:19" s="265" customFormat="1" ht="14.25" x14ac:dyDescent="0.2">
      <c r="B95" s="364" t="str">
        <f xml:space="preserve"> 'Sch E table 4 '!E28</f>
        <v>9 Distribution and LV Reinforcement</v>
      </c>
      <c r="C95" s="356" t="s">
        <v>69</v>
      </c>
      <c r="D95" s="250"/>
      <c r="E95" s="250"/>
      <c r="F95" s="250"/>
      <c r="G95" s="250"/>
      <c r="H95" s="250"/>
      <c r="I95" s="250"/>
      <c r="J95" s="250"/>
      <c r="K95" s="250"/>
      <c r="L95" s="250"/>
      <c r="M95" s="365">
        <f>SUMIFS('Forecast capex'!$Q$9:$Q$1883,'Forecast capex'!$F$9:$F$1883,'Schedule E calculations'!$B95,'Forecast capex'!$J$9:$J$1883,'Schedule E calculations'!M$9)/'Capex summary'!M$18</f>
        <v>0.54080129806135702</v>
      </c>
      <c r="N95" s="365">
        <f>SUMIFS('Forecast capex'!$Q$9:$Q$1883,'Forecast capex'!$F$9:$F$1883,'Schedule E calculations'!$B95,'Forecast capex'!$J$9:$J$1883,'Schedule E calculations'!N$9)/'Capex summary'!N$18</f>
        <v>0.55477235541079528</v>
      </c>
      <c r="O95" s="365">
        <f>SUMIFS('Forecast capex'!$Q$9:$Q$1883,'Forecast capex'!$F$9:$F$1883,'Schedule E calculations'!$B95,'Forecast capex'!$J$9:$J$1883,'Schedule E calculations'!O$9)/'Capex summary'!O$18</f>
        <v>0.76908989760371915</v>
      </c>
      <c r="P95" s="365">
        <f>SUMIFS('Forecast capex'!$Q$9:$Q$1883,'Forecast capex'!$F$9:$F$1883,'Schedule E calculations'!$B95,'Forecast capex'!$J$9:$J$1883,'Schedule E calculations'!P$9)/'Capex summary'!P$18</f>
        <v>1</v>
      </c>
      <c r="Q95" s="365">
        <f>SUMIFS('Forecast capex'!$Q$9:$Q$1883,'Forecast capex'!$F$9:$F$1883,'Schedule E calculations'!$B95,'Forecast capex'!$J$9:$J$1883,'Schedule E calculations'!Q$9)/'Capex summary'!Q$18</f>
        <v>0.53394475136680908</v>
      </c>
      <c r="R95" s="365">
        <f>SUMIFS('Forecast capex'!$Q$9:$Q$1883,'Forecast capex'!$F$9:$F$1883,'Schedule E calculations'!$B95,'Forecast capex'!$J$9:$J$1883,'Schedule E calculations'!R$9)/'Capex summary'!R$18</f>
        <v>1</v>
      </c>
      <c r="S95" s="365">
        <f>SUMIFS('Forecast capex'!$Q$9:$Q$1883,'Forecast capex'!$F$9:$F$1883,'Schedule E calculations'!$B95,'Forecast capex'!$J$9:$J$1883,'Schedule E calculations'!S$9)/'Capex summary'!S$18</f>
        <v>1</v>
      </c>
    </row>
    <row r="96" spans="2:19" s="265" customFormat="1" ht="14.25" x14ac:dyDescent="0.2">
      <c r="B96" s="364" t="str">
        <f xml:space="preserve"> 'Sch E table 4 '!E29</f>
        <v>Install two new 24MVA transformers at Cromwell substation</v>
      </c>
      <c r="C96" s="356" t="s">
        <v>69</v>
      </c>
      <c r="D96" s="250"/>
      <c r="E96" s="250"/>
      <c r="F96" s="250"/>
      <c r="G96" s="250"/>
      <c r="H96" s="250"/>
      <c r="I96" s="250"/>
      <c r="J96" s="250"/>
      <c r="K96" s="250"/>
      <c r="L96" s="250"/>
      <c r="M96" s="365">
        <f>SUMIFS('Forecast capex'!$Q$9:$Q$1883,'Forecast capex'!$F$9:$F$1883,'Schedule E calculations'!$B96,'Forecast capex'!$J$9:$J$1883,'Schedule E calculations'!M$9)/'Capex summary'!M$18</f>
        <v>0.45472776780555835</v>
      </c>
      <c r="N96" s="365">
        <f>SUMIFS('Forecast capex'!$Q$9:$Q$1883,'Forecast capex'!$F$9:$F$1883,'Schedule E calculations'!$B96,'Forecast capex'!$J$9:$J$1883,'Schedule E calculations'!N$9)/'Capex summary'!N$18</f>
        <v>3.818418907283061E-2</v>
      </c>
      <c r="O96" s="365">
        <f>SUMIFS('Forecast capex'!$Q$9:$Q$1883,'Forecast capex'!$F$9:$F$1883,'Schedule E calculations'!$B96,'Forecast capex'!$J$9:$J$1883,'Schedule E calculations'!O$9)/'Capex summary'!O$18</f>
        <v>0</v>
      </c>
      <c r="P96" s="365">
        <f>SUMIFS('Forecast capex'!$Q$9:$Q$1883,'Forecast capex'!$F$9:$F$1883,'Schedule E calculations'!$B96,'Forecast capex'!$J$9:$J$1883,'Schedule E calculations'!P$9)/'Capex summary'!P$18</f>
        <v>0</v>
      </c>
      <c r="Q96" s="365">
        <f>SUMIFS('Forecast capex'!$Q$9:$Q$1883,'Forecast capex'!$F$9:$F$1883,'Schedule E calculations'!$B96,'Forecast capex'!$J$9:$J$1883,'Schedule E calculations'!Q$9)/'Capex summary'!Q$18</f>
        <v>0</v>
      </c>
      <c r="R96" s="365">
        <f>SUMIFS('Forecast capex'!$Q$9:$Q$1883,'Forecast capex'!$F$9:$F$1883,'Schedule E calculations'!$B96,'Forecast capex'!$J$9:$J$1883,'Schedule E calculations'!R$9)/'Capex summary'!R$18</f>
        <v>0</v>
      </c>
      <c r="S96" s="365">
        <f>SUMIFS('Forecast capex'!$Q$9:$Q$1883,'Forecast capex'!$F$9:$F$1883,'Schedule E calculations'!$B96,'Forecast capex'!$J$9:$J$1883,'Schedule E calculations'!S$9)/'Capex summary'!S$18</f>
        <v>0</v>
      </c>
    </row>
    <row r="97" spans="2:19" s="265" customFormat="1" ht="14.25" x14ac:dyDescent="0.2">
      <c r="B97" s="364" t="str">
        <f xml:space="preserve"> 'Sch E table 4 '!E30</f>
        <v>Riverbank Road Switching Station</v>
      </c>
      <c r="C97" s="356" t="s">
        <v>69</v>
      </c>
      <c r="D97" s="250"/>
      <c r="E97" s="250"/>
      <c r="F97" s="250"/>
      <c r="G97" s="250"/>
      <c r="H97" s="250"/>
      <c r="I97" s="250"/>
      <c r="J97" s="250"/>
      <c r="K97" s="250"/>
      <c r="L97" s="250"/>
      <c r="M97" s="365">
        <f>SUMIFS('Forecast capex'!$Q$9:$Q$1883,'Forecast capex'!$F$9:$F$1883,'Schedule E calculations'!$B97,'Forecast capex'!$J$9:$J$1883,'Schedule E calculations'!M$9)/'Capex summary'!M$18</f>
        <v>4.470934133084423E-3</v>
      </c>
      <c r="N97" s="365">
        <f>SUMIFS('Forecast capex'!$Q$9:$Q$1883,'Forecast capex'!$F$9:$F$1883,'Schedule E calculations'!$B97,'Forecast capex'!$J$9:$J$1883,'Schedule E calculations'!N$9)/'Capex summary'!N$18</f>
        <v>0</v>
      </c>
      <c r="O97" s="365">
        <f>SUMIFS('Forecast capex'!$Q$9:$Q$1883,'Forecast capex'!$F$9:$F$1883,'Schedule E calculations'!$B97,'Forecast capex'!$J$9:$J$1883,'Schedule E calculations'!O$9)/'Capex summary'!O$18</f>
        <v>0</v>
      </c>
      <c r="P97" s="365">
        <f>SUMIFS('Forecast capex'!$Q$9:$Q$1883,'Forecast capex'!$F$9:$F$1883,'Schedule E calculations'!$B97,'Forecast capex'!$J$9:$J$1883,'Schedule E calculations'!P$9)/'Capex summary'!P$18</f>
        <v>0</v>
      </c>
      <c r="Q97" s="365">
        <f>SUMIFS('Forecast capex'!$Q$9:$Q$1883,'Forecast capex'!$F$9:$F$1883,'Schedule E calculations'!$B97,'Forecast capex'!$J$9:$J$1883,'Schedule E calculations'!Q$9)/'Capex summary'!Q$18</f>
        <v>0</v>
      </c>
      <c r="R97" s="365">
        <f>SUMIFS('Forecast capex'!$Q$9:$Q$1883,'Forecast capex'!$F$9:$F$1883,'Schedule E calculations'!$B97,'Forecast capex'!$J$9:$J$1883,'Schedule E calculations'!R$9)/'Capex summary'!R$18</f>
        <v>0</v>
      </c>
      <c r="S97" s="365">
        <f>SUMIFS('Forecast capex'!$Q$9:$Q$1883,'Forecast capex'!$F$9:$F$1883,'Schedule E calculations'!$B97,'Forecast capex'!$J$9:$J$1883,'Schedule E calculations'!S$9)/'Capex summary'!S$18</f>
        <v>0</v>
      </c>
    </row>
    <row r="98" spans="2:19" s="265" customFormat="1" ht="14.25" x14ac:dyDescent="0.2">
      <c r="B98" s="366"/>
      <c r="C98" s="367"/>
      <c r="D98" s="250"/>
      <c r="E98" s="250"/>
      <c r="F98" s="250"/>
      <c r="G98" s="250"/>
      <c r="H98" s="250"/>
      <c r="I98" s="250"/>
      <c r="J98" s="250"/>
      <c r="K98" s="250"/>
      <c r="L98" s="250"/>
      <c r="M98" s="250"/>
      <c r="N98" s="250"/>
      <c r="O98" s="250"/>
      <c r="P98" s="250"/>
      <c r="Q98" s="250"/>
      <c r="R98" s="250"/>
      <c r="S98" s="250"/>
    </row>
    <row r="99" spans="2:19" s="265" customFormat="1" ht="14.25" x14ac:dyDescent="0.2">
      <c r="B99" s="361" t="s">
        <v>437</v>
      </c>
      <c r="C99" s="362">
        <f>SUM(M99:S99)</f>
        <v>0</v>
      </c>
      <c r="D99" s="250"/>
      <c r="E99" s="250"/>
      <c r="F99" s="250"/>
      <c r="G99" s="250"/>
      <c r="H99" s="250"/>
      <c r="I99" s="250"/>
      <c r="J99" s="250"/>
      <c r="K99" s="250"/>
      <c r="L99" s="250"/>
      <c r="M99" s="228">
        <f t="shared" ref="M99:S99" si="15">1-SUM(M88:M97)</f>
        <v>0</v>
      </c>
      <c r="N99" s="228">
        <f t="shared" si="15"/>
        <v>0</v>
      </c>
      <c r="O99" s="228">
        <f t="shared" si="15"/>
        <v>0</v>
      </c>
      <c r="P99" s="228">
        <f t="shared" si="15"/>
        <v>0</v>
      </c>
      <c r="Q99" s="228">
        <f t="shared" si="15"/>
        <v>0</v>
      </c>
      <c r="R99" s="228">
        <f t="shared" si="15"/>
        <v>0</v>
      </c>
      <c r="S99" s="228">
        <f t="shared" si="15"/>
        <v>0</v>
      </c>
    </row>
    <row r="100" spans="2:19" s="265" customFormat="1" ht="14.25" x14ac:dyDescent="0.2">
      <c r="B100" s="361"/>
      <c r="C100" s="355"/>
      <c r="D100" s="250"/>
      <c r="E100" s="250"/>
      <c r="F100" s="250"/>
      <c r="G100" s="250"/>
      <c r="H100" s="250"/>
      <c r="I100" s="250"/>
      <c r="J100" s="250"/>
      <c r="K100" s="250"/>
      <c r="L100" s="250"/>
      <c r="M100" s="228"/>
      <c r="N100" s="228"/>
      <c r="O100" s="228"/>
      <c r="P100" s="228"/>
      <c r="Q100" s="228"/>
      <c r="R100" s="228"/>
      <c r="S100" s="228"/>
    </row>
    <row r="101" spans="2:19" s="265" customFormat="1" ht="14.25" x14ac:dyDescent="0.2">
      <c r="B101" s="291" t="s">
        <v>475</v>
      </c>
      <c r="C101" s="358"/>
      <c r="D101" s="250"/>
      <c r="E101" s="250"/>
      <c r="F101" s="250"/>
      <c r="G101" s="250"/>
      <c r="H101" s="250"/>
      <c r="I101" s="250"/>
      <c r="J101" s="250"/>
      <c r="K101" s="250"/>
      <c r="L101" s="250"/>
      <c r="M101" s="250"/>
      <c r="N101" s="250"/>
      <c r="O101" s="250"/>
      <c r="P101" s="250"/>
      <c r="Q101" s="250"/>
      <c r="R101" s="250"/>
      <c r="S101" s="250"/>
    </row>
    <row r="102" spans="2:19" s="265" customFormat="1" ht="14.25" x14ac:dyDescent="0.2">
      <c r="B102" s="364" t="str">
        <f t="shared" ref="B102:B111" si="16">B88</f>
        <v>8.1 Arrowtown 33kV Ring Upgrade</v>
      </c>
      <c r="C102" s="356" t="s">
        <v>250</v>
      </c>
      <c r="D102" s="250"/>
      <c r="E102" s="250"/>
      <c r="F102" s="250"/>
      <c r="G102" s="250"/>
      <c r="H102" s="250"/>
      <c r="I102" s="250"/>
      <c r="J102" s="250"/>
      <c r="K102" s="250"/>
      <c r="L102" s="250"/>
      <c r="M102" s="363">
        <f>M88*M$50</f>
        <v>0</v>
      </c>
      <c r="N102" s="363">
        <f t="shared" ref="N102:S102" si="17">N88*N$50</f>
        <v>4902.0386883435085</v>
      </c>
      <c r="O102" s="363">
        <f t="shared" si="17"/>
        <v>0</v>
      </c>
      <c r="P102" s="363">
        <f t="shared" si="17"/>
        <v>0</v>
      </c>
      <c r="Q102" s="363">
        <f t="shared" si="17"/>
        <v>0</v>
      </c>
      <c r="R102" s="363">
        <f t="shared" si="17"/>
        <v>0</v>
      </c>
      <c r="S102" s="363">
        <f t="shared" si="17"/>
        <v>0</v>
      </c>
    </row>
    <row r="103" spans="2:19" s="265" customFormat="1" ht="14.25" x14ac:dyDescent="0.2">
      <c r="B103" s="366" t="str">
        <f t="shared" si="16"/>
        <v>8.2 Arrowtown Zone Substation 33kV Indoor Switchboard</v>
      </c>
      <c r="C103" s="356" t="s">
        <v>250</v>
      </c>
      <c r="D103" s="250"/>
      <c r="E103" s="250"/>
      <c r="F103" s="250"/>
      <c r="G103" s="250"/>
      <c r="H103" s="250"/>
      <c r="I103" s="250"/>
      <c r="J103" s="250"/>
      <c r="K103" s="250"/>
      <c r="L103" s="250"/>
      <c r="M103" s="363">
        <f t="shared" ref="M103:S103" si="18">M89*M$50</f>
        <v>0</v>
      </c>
      <c r="N103" s="363">
        <f t="shared" si="18"/>
        <v>0</v>
      </c>
      <c r="O103" s="363">
        <f t="shared" si="18"/>
        <v>0</v>
      </c>
      <c r="P103" s="363">
        <f t="shared" si="18"/>
        <v>0</v>
      </c>
      <c r="Q103" s="363">
        <f t="shared" si="18"/>
        <v>0</v>
      </c>
      <c r="R103" s="363">
        <f t="shared" si="18"/>
        <v>0</v>
      </c>
      <c r="S103" s="363">
        <f t="shared" si="18"/>
        <v>0</v>
      </c>
    </row>
    <row r="104" spans="2:19" s="265" customFormat="1" ht="14.25" x14ac:dyDescent="0.2">
      <c r="B104" s="366" t="str">
        <f t="shared" si="16"/>
        <v>8.3 Omakau New Zone Substation</v>
      </c>
      <c r="C104" s="356" t="s">
        <v>250</v>
      </c>
      <c r="D104" s="250"/>
      <c r="E104" s="250"/>
      <c r="F104" s="250"/>
      <c r="G104" s="250"/>
      <c r="H104" s="250"/>
      <c r="I104" s="250"/>
      <c r="J104" s="250"/>
      <c r="K104" s="250"/>
      <c r="L104" s="250"/>
      <c r="M104" s="363">
        <f t="shared" ref="M104:S104" si="19">M90*M$50</f>
        <v>0</v>
      </c>
      <c r="N104" s="363">
        <f t="shared" si="19"/>
        <v>765.94354505367323</v>
      </c>
      <c r="O104" s="363">
        <f t="shared" si="19"/>
        <v>5507.1969683036705</v>
      </c>
      <c r="P104" s="363">
        <f t="shared" si="19"/>
        <v>0</v>
      </c>
      <c r="Q104" s="363">
        <f t="shared" si="19"/>
        <v>12785.163794830542</v>
      </c>
      <c r="R104" s="363">
        <f t="shared" si="19"/>
        <v>0</v>
      </c>
      <c r="S104" s="363">
        <f t="shared" si="19"/>
        <v>0</v>
      </c>
    </row>
    <row r="105" spans="2:19" s="265" customFormat="1" ht="14.25" x14ac:dyDescent="0.2">
      <c r="B105" s="366" t="str">
        <f t="shared" si="16"/>
        <v>8.5 Lindis Crossing Second Transformer</v>
      </c>
      <c r="C105" s="356" t="s">
        <v>250</v>
      </c>
      <c r="D105" s="250"/>
      <c r="E105" s="250"/>
      <c r="F105" s="250"/>
      <c r="G105" s="250"/>
      <c r="H105" s="250"/>
      <c r="I105" s="250"/>
      <c r="J105" s="250"/>
      <c r="K105" s="250"/>
      <c r="L105" s="250"/>
      <c r="M105" s="363">
        <f t="shared" ref="M105:S105" si="20">M91*M$50</f>
        <v>0</v>
      </c>
      <c r="N105" s="363">
        <f t="shared" si="20"/>
        <v>0</v>
      </c>
      <c r="O105" s="363">
        <f t="shared" si="20"/>
        <v>0</v>
      </c>
      <c r="P105" s="363">
        <f t="shared" si="20"/>
        <v>0</v>
      </c>
      <c r="Q105" s="363">
        <f t="shared" si="20"/>
        <v>0</v>
      </c>
      <c r="R105" s="363">
        <f t="shared" si="20"/>
        <v>0</v>
      </c>
      <c r="S105" s="363">
        <f t="shared" si="20"/>
        <v>0</v>
      </c>
    </row>
    <row r="106" spans="2:19" s="265" customFormat="1" ht="14.25" x14ac:dyDescent="0.2">
      <c r="B106" s="366" t="str">
        <f t="shared" si="16"/>
        <v>8.7 Upper Clutha Voltage Support</v>
      </c>
      <c r="C106" s="356" t="s">
        <v>250</v>
      </c>
      <c r="D106" s="250"/>
      <c r="E106" s="250"/>
      <c r="F106" s="250"/>
      <c r="G106" s="250"/>
      <c r="H106" s="250"/>
      <c r="I106" s="250"/>
      <c r="J106" s="250"/>
      <c r="K106" s="250"/>
      <c r="L106" s="250"/>
      <c r="M106" s="363">
        <f t="shared" ref="M106:S106" si="21">M92*M$50</f>
        <v>0</v>
      </c>
      <c r="N106" s="363">
        <f t="shared" si="21"/>
        <v>7061.9994853948683</v>
      </c>
      <c r="O106" s="363">
        <f t="shared" si="21"/>
        <v>0</v>
      </c>
      <c r="P106" s="363">
        <f t="shared" si="21"/>
        <v>0</v>
      </c>
      <c r="Q106" s="363">
        <f t="shared" si="21"/>
        <v>0</v>
      </c>
      <c r="R106" s="363">
        <f t="shared" si="21"/>
        <v>0</v>
      </c>
      <c r="S106" s="363">
        <f t="shared" si="21"/>
        <v>0</v>
      </c>
    </row>
    <row r="107" spans="2:19" s="265" customFormat="1" ht="14.25" x14ac:dyDescent="0.2">
      <c r="B107" s="366" t="str">
        <f t="shared" si="16"/>
        <v>8.16 Smith Street to Willowbank Inter-tie</v>
      </c>
      <c r="C107" s="356" t="s">
        <v>250</v>
      </c>
      <c r="D107" s="250"/>
      <c r="E107" s="250"/>
      <c r="F107" s="250"/>
      <c r="G107" s="250"/>
      <c r="H107" s="250"/>
      <c r="I107" s="250"/>
      <c r="J107" s="250"/>
      <c r="K107" s="250"/>
      <c r="L107" s="250"/>
      <c r="M107" s="363">
        <f t="shared" ref="M107:S107" si="22">M93*M$50</f>
        <v>0</v>
      </c>
      <c r="N107" s="363">
        <f t="shared" si="22"/>
        <v>3599.9346617522647</v>
      </c>
      <c r="O107" s="363">
        <f t="shared" si="22"/>
        <v>0</v>
      </c>
      <c r="P107" s="363">
        <f t="shared" si="22"/>
        <v>0</v>
      </c>
      <c r="Q107" s="363">
        <f t="shared" si="22"/>
        <v>0</v>
      </c>
      <c r="R107" s="363">
        <f t="shared" si="22"/>
        <v>0</v>
      </c>
      <c r="S107" s="363">
        <f t="shared" si="22"/>
        <v>0</v>
      </c>
    </row>
    <row r="108" spans="2:19" s="265" customFormat="1" ht="14.25" x14ac:dyDescent="0.2">
      <c r="B108" s="366" t="str">
        <f t="shared" si="16"/>
        <v>8.17 North City to Ward Inter-tie</v>
      </c>
      <c r="C108" s="356" t="s">
        <v>250</v>
      </c>
      <c r="D108" s="250"/>
      <c r="E108" s="250"/>
      <c r="F108" s="250"/>
      <c r="G108" s="250"/>
      <c r="H108" s="250"/>
      <c r="I108" s="250"/>
      <c r="J108" s="250"/>
      <c r="K108" s="250"/>
      <c r="L108" s="250"/>
      <c r="M108" s="363">
        <f t="shared" ref="M108:S108" si="23">M94*M$50</f>
        <v>0</v>
      </c>
      <c r="N108" s="363">
        <f t="shared" si="23"/>
        <v>0</v>
      </c>
      <c r="O108" s="363">
        <f t="shared" si="23"/>
        <v>0</v>
      </c>
      <c r="P108" s="363">
        <f t="shared" si="23"/>
        <v>0</v>
      </c>
      <c r="Q108" s="363">
        <f t="shared" si="23"/>
        <v>0</v>
      </c>
      <c r="R108" s="363">
        <f t="shared" si="23"/>
        <v>0</v>
      </c>
      <c r="S108" s="363">
        <f t="shared" si="23"/>
        <v>0</v>
      </c>
    </row>
    <row r="109" spans="2:19" s="265" customFormat="1" ht="14.25" x14ac:dyDescent="0.2">
      <c r="B109" s="366" t="str">
        <f t="shared" si="16"/>
        <v>9 Distribution and LV Reinforcement</v>
      </c>
      <c r="C109" s="356" t="s">
        <v>250</v>
      </c>
      <c r="D109" s="250"/>
      <c r="E109" s="250"/>
      <c r="F109" s="250"/>
      <c r="G109" s="250"/>
      <c r="H109" s="250"/>
      <c r="I109" s="250"/>
      <c r="J109" s="250"/>
      <c r="K109" s="250"/>
      <c r="L109" s="250"/>
      <c r="M109" s="363">
        <f t="shared" ref="M109:S109" si="24">M95*M$50</f>
        <v>31813.465731427987</v>
      </c>
      <c r="N109" s="363">
        <f t="shared" si="24"/>
        <v>22256.55774910613</v>
      </c>
      <c r="O109" s="363">
        <f t="shared" si="24"/>
        <v>18342.764168746926</v>
      </c>
      <c r="P109" s="363">
        <f t="shared" si="24"/>
        <v>14627.521549260371</v>
      </c>
      <c r="Q109" s="363">
        <f t="shared" si="24"/>
        <v>14647.557609607738</v>
      </c>
      <c r="R109" s="363">
        <f t="shared" si="24"/>
        <v>18699.710373849564</v>
      </c>
      <c r="S109" s="363">
        <f t="shared" si="24"/>
        <v>19437.203897312829</v>
      </c>
    </row>
    <row r="110" spans="2:19" s="265" customFormat="1" ht="14.25" x14ac:dyDescent="0.2">
      <c r="B110" s="366" t="str">
        <f t="shared" si="16"/>
        <v>Install two new 24MVA transformers at Cromwell substation</v>
      </c>
      <c r="C110" s="356" t="s">
        <v>250</v>
      </c>
      <c r="D110" s="250"/>
      <c r="E110" s="250"/>
      <c r="F110" s="250"/>
      <c r="G110" s="250"/>
      <c r="H110" s="250"/>
      <c r="I110" s="250"/>
      <c r="J110" s="250"/>
      <c r="K110" s="250"/>
      <c r="L110" s="250"/>
      <c r="M110" s="363">
        <f t="shared" ref="M110:S110" si="25">M96*M$50</f>
        <v>26750.058311749039</v>
      </c>
      <c r="N110" s="363">
        <f t="shared" si="25"/>
        <v>1531.8870901073465</v>
      </c>
      <c r="O110" s="363">
        <f t="shared" si="25"/>
        <v>0</v>
      </c>
      <c r="P110" s="363">
        <f t="shared" si="25"/>
        <v>0</v>
      </c>
      <c r="Q110" s="363">
        <f t="shared" si="25"/>
        <v>0</v>
      </c>
      <c r="R110" s="363">
        <f t="shared" si="25"/>
        <v>0</v>
      </c>
      <c r="S110" s="363">
        <f t="shared" si="25"/>
        <v>0</v>
      </c>
    </row>
    <row r="111" spans="2:19" s="265" customFormat="1" ht="14.25" x14ac:dyDescent="0.2">
      <c r="B111" s="366" t="str">
        <f t="shared" si="16"/>
        <v>Riverbank Road Switching Station</v>
      </c>
      <c r="C111" s="356" t="s">
        <v>250</v>
      </c>
      <c r="D111" s="250"/>
      <c r="E111" s="250"/>
      <c r="F111" s="250"/>
      <c r="G111" s="250"/>
      <c r="H111" s="250"/>
      <c r="I111" s="250"/>
      <c r="J111" s="250"/>
      <c r="K111" s="250"/>
      <c r="L111" s="250"/>
      <c r="M111" s="363">
        <f t="shared" ref="M111:S111" si="26">M97*M$50</f>
        <v>263.00955700408747</v>
      </c>
      <c r="N111" s="363">
        <f t="shared" si="26"/>
        <v>0</v>
      </c>
      <c r="O111" s="363">
        <f t="shared" si="26"/>
        <v>0</v>
      </c>
      <c r="P111" s="363">
        <f t="shared" si="26"/>
        <v>0</v>
      </c>
      <c r="Q111" s="363">
        <f t="shared" si="26"/>
        <v>0</v>
      </c>
      <c r="R111" s="363">
        <f t="shared" si="26"/>
        <v>0</v>
      </c>
      <c r="S111" s="363">
        <f t="shared" si="26"/>
        <v>0</v>
      </c>
    </row>
    <row r="112" spans="2:19" s="265" customFormat="1" ht="14.25" x14ac:dyDescent="0.2">
      <c r="B112" s="366"/>
      <c r="C112" s="367"/>
      <c r="D112" s="250"/>
      <c r="E112" s="250"/>
      <c r="F112" s="250"/>
      <c r="G112" s="250"/>
      <c r="H112" s="250"/>
      <c r="I112" s="250"/>
      <c r="J112" s="250"/>
      <c r="K112" s="250"/>
      <c r="L112" s="250"/>
      <c r="M112" s="250"/>
      <c r="N112" s="250"/>
      <c r="O112" s="250"/>
      <c r="P112" s="250"/>
      <c r="Q112" s="250"/>
      <c r="R112" s="250"/>
      <c r="S112" s="250"/>
    </row>
    <row r="113" spans="2:19" s="265" customFormat="1" ht="14.25" x14ac:dyDescent="0.2">
      <c r="B113" s="361" t="s">
        <v>439</v>
      </c>
      <c r="C113" s="362">
        <f>SUM(M113:S113)</f>
        <v>0</v>
      </c>
      <c r="D113" s="250"/>
      <c r="E113" s="250"/>
      <c r="F113" s="250"/>
      <c r="G113" s="250"/>
      <c r="H113" s="250"/>
      <c r="I113" s="250"/>
      <c r="J113" s="250"/>
      <c r="K113" s="250"/>
      <c r="L113" s="250"/>
      <c r="M113" s="228">
        <f t="shared" ref="M113:S113" si="27">SUM(M102:M111)-M50</f>
        <v>0</v>
      </c>
      <c r="N113" s="228">
        <f t="shared" si="27"/>
        <v>0</v>
      </c>
      <c r="O113" s="228">
        <f t="shared" si="27"/>
        <v>0</v>
      </c>
      <c r="P113" s="228">
        <f t="shared" si="27"/>
        <v>0</v>
      </c>
      <c r="Q113" s="228">
        <f t="shared" si="27"/>
        <v>0</v>
      </c>
      <c r="R113" s="228">
        <f t="shared" si="27"/>
        <v>0</v>
      </c>
      <c r="S113" s="228">
        <f t="shared" si="27"/>
        <v>0</v>
      </c>
    </row>
    <row r="114" spans="2:19" s="265" customFormat="1" ht="14.25" x14ac:dyDescent="0.2">
      <c r="B114" s="361"/>
      <c r="C114" s="355"/>
      <c r="D114" s="250"/>
      <c r="E114" s="250"/>
      <c r="F114" s="250"/>
      <c r="G114" s="250"/>
      <c r="H114" s="250"/>
      <c r="I114" s="250"/>
      <c r="J114" s="250"/>
      <c r="K114" s="250"/>
      <c r="L114" s="250"/>
      <c r="M114" s="228"/>
      <c r="N114" s="228"/>
      <c r="O114" s="228"/>
      <c r="P114" s="228"/>
      <c r="Q114" s="228"/>
      <c r="R114" s="228"/>
      <c r="S114" s="228"/>
    </row>
    <row r="115" spans="2:19" s="265" customFormat="1" ht="14.25" x14ac:dyDescent="0.2">
      <c r="B115" s="291" t="s">
        <v>476</v>
      </c>
      <c r="C115" s="358"/>
      <c r="D115" s="250"/>
      <c r="E115" s="250"/>
      <c r="F115" s="250"/>
      <c r="G115" s="250"/>
      <c r="H115" s="250"/>
      <c r="I115" s="250"/>
      <c r="J115" s="250"/>
      <c r="K115" s="250"/>
      <c r="L115" s="250"/>
      <c r="M115" s="250"/>
      <c r="N115" s="250"/>
      <c r="O115" s="250"/>
      <c r="P115" s="250"/>
      <c r="Q115" s="250"/>
      <c r="R115" s="250"/>
      <c r="S115" s="250"/>
    </row>
    <row r="116" spans="2:19" s="265" customFormat="1" ht="14.25" x14ac:dyDescent="0.2">
      <c r="B116" s="366" t="str">
        <f t="shared" ref="B116:B125" si="28">B102</f>
        <v>8.1 Arrowtown 33kV Ring Upgrade</v>
      </c>
      <c r="C116" s="356" t="s">
        <v>467</v>
      </c>
      <c r="D116" s="250"/>
      <c r="E116" s="250"/>
      <c r="F116" s="250"/>
      <c r="G116" s="250"/>
      <c r="H116" s="250"/>
      <c r="I116" s="250"/>
      <c r="J116" s="250"/>
      <c r="K116" s="250"/>
      <c r="L116" s="250"/>
      <c r="M116" s="363">
        <f>M$60*M88</f>
        <v>0</v>
      </c>
      <c r="N116" s="363">
        <f t="shared" ref="N116:S116" si="29">N$60*N88</f>
        <v>4828.4928442292685</v>
      </c>
      <c r="O116" s="363">
        <f t="shared" si="29"/>
        <v>0</v>
      </c>
      <c r="P116" s="363">
        <f t="shared" si="29"/>
        <v>0</v>
      </c>
      <c r="Q116" s="363">
        <f t="shared" si="29"/>
        <v>0</v>
      </c>
      <c r="R116" s="363">
        <f t="shared" si="29"/>
        <v>0</v>
      </c>
      <c r="S116" s="363">
        <f t="shared" si="29"/>
        <v>0</v>
      </c>
    </row>
    <row r="117" spans="2:19" s="265" customFormat="1" ht="14.25" x14ac:dyDescent="0.2">
      <c r="B117" s="366" t="str">
        <f t="shared" si="28"/>
        <v>8.2 Arrowtown Zone Substation 33kV Indoor Switchboard</v>
      </c>
      <c r="C117" s="356" t="s">
        <v>467</v>
      </c>
      <c r="D117" s="250"/>
      <c r="E117" s="250"/>
      <c r="F117" s="250"/>
      <c r="G117" s="250"/>
      <c r="H117" s="250"/>
      <c r="I117" s="250"/>
      <c r="J117" s="250"/>
      <c r="K117" s="250"/>
      <c r="L117" s="250"/>
      <c r="M117" s="363">
        <f t="shared" ref="M117:S117" si="30">M$60*M89</f>
        <v>0</v>
      </c>
      <c r="N117" s="363">
        <f t="shared" si="30"/>
        <v>0</v>
      </c>
      <c r="O117" s="363">
        <f t="shared" si="30"/>
        <v>0</v>
      </c>
      <c r="P117" s="363">
        <f t="shared" si="30"/>
        <v>0</v>
      </c>
      <c r="Q117" s="363">
        <f t="shared" si="30"/>
        <v>0</v>
      </c>
      <c r="R117" s="363">
        <f t="shared" si="30"/>
        <v>0</v>
      </c>
      <c r="S117" s="363">
        <f t="shared" si="30"/>
        <v>0</v>
      </c>
    </row>
    <row r="118" spans="2:19" s="265" customFormat="1" ht="14.25" x14ac:dyDescent="0.2">
      <c r="B118" s="366" t="str">
        <f t="shared" si="28"/>
        <v>8.3 Omakau New Zone Substation</v>
      </c>
      <c r="C118" s="356" t="s">
        <v>467</v>
      </c>
      <c r="D118" s="250"/>
      <c r="E118" s="250"/>
      <c r="F118" s="250"/>
      <c r="G118" s="250"/>
      <c r="H118" s="250"/>
      <c r="I118" s="250"/>
      <c r="J118" s="250"/>
      <c r="K118" s="250"/>
      <c r="L118" s="250"/>
      <c r="M118" s="363">
        <f t="shared" ref="M118:S118" si="31">M$60*M90</f>
        <v>0</v>
      </c>
      <c r="N118" s="363">
        <f t="shared" si="31"/>
        <v>754.45200691082312</v>
      </c>
      <c r="O118" s="363">
        <f t="shared" si="31"/>
        <v>5349.2000581468938</v>
      </c>
      <c r="P118" s="363">
        <f t="shared" si="31"/>
        <v>0</v>
      </c>
      <c r="Q118" s="363">
        <f t="shared" si="31"/>
        <v>11993.821069090231</v>
      </c>
      <c r="R118" s="363">
        <f t="shared" si="31"/>
        <v>0</v>
      </c>
      <c r="S118" s="363">
        <f t="shared" si="31"/>
        <v>0</v>
      </c>
    </row>
    <row r="119" spans="2:19" s="265" customFormat="1" ht="14.25" x14ac:dyDescent="0.2">
      <c r="B119" s="366" t="str">
        <f t="shared" si="28"/>
        <v>8.5 Lindis Crossing Second Transformer</v>
      </c>
      <c r="C119" s="356" t="s">
        <v>467</v>
      </c>
      <c r="D119" s="250"/>
      <c r="E119" s="250"/>
      <c r="F119" s="250"/>
      <c r="G119" s="250"/>
      <c r="H119" s="250"/>
      <c r="I119" s="250"/>
      <c r="J119" s="250"/>
      <c r="K119" s="250"/>
      <c r="L119" s="250"/>
      <c r="M119" s="363">
        <f t="shared" ref="M119:S119" si="32">M$60*M91</f>
        <v>0</v>
      </c>
      <c r="N119" s="363">
        <f t="shared" si="32"/>
        <v>0</v>
      </c>
      <c r="O119" s="363">
        <f t="shared" si="32"/>
        <v>0</v>
      </c>
      <c r="P119" s="363">
        <f t="shared" si="32"/>
        <v>0</v>
      </c>
      <c r="Q119" s="363">
        <f t="shared" si="32"/>
        <v>0</v>
      </c>
      <c r="R119" s="363">
        <f t="shared" si="32"/>
        <v>0</v>
      </c>
      <c r="S119" s="363">
        <f t="shared" si="32"/>
        <v>0</v>
      </c>
    </row>
    <row r="120" spans="2:19" s="265" customFormat="1" ht="14.25" x14ac:dyDescent="0.2">
      <c r="B120" s="366" t="str">
        <f t="shared" si="28"/>
        <v>8.7 Upper Clutha Voltage Support</v>
      </c>
      <c r="C120" s="356" t="s">
        <v>467</v>
      </c>
      <c r="D120" s="250"/>
      <c r="E120" s="250"/>
      <c r="F120" s="250"/>
      <c r="G120" s="250"/>
      <c r="H120" s="250"/>
      <c r="I120" s="250"/>
      <c r="J120" s="250"/>
      <c r="K120" s="250"/>
      <c r="L120" s="250"/>
      <c r="M120" s="363">
        <f t="shared" ref="M120:S120" si="33">M$60*M92</f>
        <v>0</v>
      </c>
      <c r="N120" s="363">
        <f t="shared" si="33"/>
        <v>6956.0475037177903</v>
      </c>
      <c r="O120" s="363">
        <f t="shared" si="33"/>
        <v>0</v>
      </c>
      <c r="P120" s="363">
        <f t="shared" si="33"/>
        <v>0</v>
      </c>
      <c r="Q120" s="363">
        <f t="shared" si="33"/>
        <v>0</v>
      </c>
      <c r="R120" s="363">
        <f t="shared" si="33"/>
        <v>0</v>
      </c>
      <c r="S120" s="363">
        <f t="shared" si="33"/>
        <v>0</v>
      </c>
    </row>
    <row r="121" spans="2:19" s="265" customFormat="1" ht="14.25" x14ac:dyDescent="0.2">
      <c r="B121" s="366" t="str">
        <f t="shared" si="28"/>
        <v>8.16 Smith Street to Willowbank Inter-tie</v>
      </c>
      <c r="C121" s="356" t="s">
        <v>467</v>
      </c>
      <c r="D121" s="250"/>
      <c r="E121" s="250"/>
      <c r="F121" s="250"/>
      <c r="G121" s="250"/>
      <c r="H121" s="250"/>
      <c r="I121" s="250"/>
      <c r="J121" s="250"/>
      <c r="K121" s="250"/>
      <c r="L121" s="250"/>
      <c r="M121" s="363">
        <f t="shared" ref="M121:S121" si="34">M$60*M93</f>
        <v>0</v>
      </c>
      <c r="N121" s="363">
        <f t="shared" si="34"/>
        <v>3545.9244324808692</v>
      </c>
      <c r="O121" s="363">
        <f t="shared" si="34"/>
        <v>0</v>
      </c>
      <c r="P121" s="363">
        <f t="shared" si="34"/>
        <v>0</v>
      </c>
      <c r="Q121" s="363">
        <f t="shared" si="34"/>
        <v>0</v>
      </c>
      <c r="R121" s="363">
        <f t="shared" si="34"/>
        <v>0</v>
      </c>
      <c r="S121" s="363">
        <f t="shared" si="34"/>
        <v>0</v>
      </c>
    </row>
    <row r="122" spans="2:19" s="265" customFormat="1" ht="14.25" x14ac:dyDescent="0.2">
      <c r="B122" s="366" t="str">
        <f t="shared" si="28"/>
        <v>8.17 North City to Ward Inter-tie</v>
      </c>
      <c r="C122" s="356" t="s">
        <v>467</v>
      </c>
      <c r="D122" s="250"/>
      <c r="E122" s="250"/>
      <c r="F122" s="250"/>
      <c r="G122" s="250"/>
      <c r="H122" s="250"/>
      <c r="I122" s="250"/>
      <c r="J122" s="250"/>
      <c r="K122" s="250"/>
      <c r="L122" s="250"/>
      <c r="M122" s="363">
        <f t="shared" ref="M122:S122" si="35">M$60*M94</f>
        <v>0</v>
      </c>
      <c r="N122" s="363">
        <f t="shared" si="35"/>
        <v>0</v>
      </c>
      <c r="O122" s="363">
        <f t="shared" si="35"/>
        <v>0</v>
      </c>
      <c r="P122" s="363">
        <f t="shared" si="35"/>
        <v>0</v>
      </c>
      <c r="Q122" s="363">
        <f t="shared" si="35"/>
        <v>0</v>
      </c>
      <c r="R122" s="363">
        <f t="shared" si="35"/>
        <v>0</v>
      </c>
      <c r="S122" s="363">
        <f t="shared" si="35"/>
        <v>0</v>
      </c>
    </row>
    <row r="123" spans="2:19" s="265" customFormat="1" ht="14.25" x14ac:dyDescent="0.2">
      <c r="B123" s="366" t="str">
        <f t="shared" si="28"/>
        <v>9 Distribution and LV Reinforcement</v>
      </c>
      <c r="C123" s="356" t="s">
        <v>467</v>
      </c>
      <c r="D123" s="250"/>
      <c r="E123" s="250"/>
      <c r="F123" s="250"/>
      <c r="G123" s="250"/>
      <c r="H123" s="250"/>
      <c r="I123" s="250"/>
      <c r="J123" s="250"/>
      <c r="K123" s="250"/>
      <c r="L123" s="250"/>
      <c r="M123" s="363">
        <f t="shared" ref="M123:S123" si="36">M$60*M95</f>
        <v>31813.465731427987</v>
      </c>
      <c r="N123" s="363">
        <f t="shared" si="36"/>
        <v>21922.640081212634</v>
      </c>
      <c r="O123" s="363">
        <f t="shared" si="36"/>
        <v>17816.525488874697</v>
      </c>
      <c r="P123" s="363">
        <f t="shared" si="36"/>
        <v>13934.843174102789</v>
      </c>
      <c r="Q123" s="363">
        <f t="shared" si="36"/>
        <v>13740.941288515947</v>
      </c>
      <c r="R123" s="363">
        <f t="shared" si="36"/>
        <v>17199.550554809524</v>
      </c>
      <c r="S123" s="363">
        <f t="shared" si="36"/>
        <v>17514.439928079519</v>
      </c>
    </row>
    <row r="124" spans="2:19" s="265" customFormat="1" ht="14.25" x14ac:dyDescent="0.2">
      <c r="B124" s="366" t="str">
        <f t="shared" si="28"/>
        <v>Install two new 24MVA transformers at Cromwell substation</v>
      </c>
      <c r="C124" s="356" t="s">
        <v>467</v>
      </c>
      <c r="D124" s="250"/>
      <c r="E124" s="250"/>
      <c r="F124" s="250"/>
      <c r="G124" s="250"/>
      <c r="H124" s="250"/>
      <c r="I124" s="250"/>
      <c r="J124" s="250"/>
      <c r="K124" s="250"/>
      <c r="L124" s="250"/>
      <c r="M124" s="363">
        <f t="shared" ref="M124:S124" si="37">M$60*M96</f>
        <v>26750.058311749039</v>
      </c>
      <c r="N124" s="363">
        <f t="shared" si="37"/>
        <v>1508.9040138216462</v>
      </c>
      <c r="O124" s="363">
        <f t="shared" si="37"/>
        <v>0</v>
      </c>
      <c r="P124" s="363">
        <f t="shared" si="37"/>
        <v>0</v>
      </c>
      <c r="Q124" s="363">
        <f t="shared" si="37"/>
        <v>0</v>
      </c>
      <c r="R124" s="363">
        <f t="shared" si="37"/>
        <v>0</v>
      </c>
      <c r="S124" s="363">
        <f t="shared" si="37"/>
        <v>0</v>
      </c>
    </row>
    <row r="125" spans="2:19" s="265" customFormat="1" ht="14.25" x14ac:dyDescent="0.2">
      <c r="B125" s="366" t="str">
        <f t="shared" si="28"/>
        <v>Riverbank Road Switching Station</v>
      </c>
      <c r="C125" s="356" t="s">
        <v>467</v>
      </c>
      <c r="D125" s="250"/>
      <c r="E125" s="250"/>
      <c r="F125" s="250"/>
      <c r="G125" s="250"/>
      <c r="H125" s="250"/>
      <c r="I125" s="250"/>
      <c r="J125" s="250"/>
      <c r="K125" s="250"/>
      <c r="L125" s="250"/>
      <c r="M125" s="363">
        <f t="shared" ref="M125:S125" si="38">M$60*M97</f>
        <v>263.00955700408747</v>
      </c>
      <c r="N125" s="363">
        <f t="shared" si="38"/>
        <v>0</v>
      </c>
      <c r="O125" s="363">
        <f t="shared" si="38"/>
        <v>0</v>
      </c>
      <c r="P125" s="363">
        <f t="shared" si="38"/>
        <v>0</v>
      </c>
      <c r="Q125" s="363">
        <f t="shared" si="38"/>
        <v>0</v>
      </c>
      <c r="R125" s="363">
        <f t="shared" si="38"/>
        <v>0</v>
      </c>
      <c r="S125" s="363">
        <f t="shared" si="38"/>
        <v>0</v>
      </c>
    </row>
    <row r="126" spans="2:19" s="265" customFormat="1" ht="14.25" x14ac:dyDescent="0.2">
      <c r="B126" s="250"/>
      <c r="C126" s="355"/>
      <c r="D126" s="250"/>
      <c r="E126" s="250"/>
      <c r="F126" s="250"/>
      <c r="G126" s="250"/>
      <c r="H126" s="250"/>
      <c r="I126" s="250"/>
      <c r="J126" s="250"/>
      <c r="K126" s="250"/>
      <c r="L126" s="250"/>
      <c r="M126" s="267"/>
      <c r="N126" s="250"/>
      <c r="O126" s="250"/>
      <c r="P126" s="250"/>
      <c r="Q126" s="250"/>
      <c r="R126" s="250"/>
      <c r="S126" s="250"/>
    </row>
    <row r="127" spans="2:19" s="265" customFormat="1" ht="14.25" x14ac:dyDescent="0.2">
      <c r="B127" s="361" t="s">
        <v>440</v>
      </c>
      <c r="C127" s="362">
        <f>SUM(M127:S127)</f>
        <v>0</v>
      </c>
      <c r="D127" s="250"/>
      <c r="E127" s="250"/>
      <c r="F127" s="250"/>
      <c r="G127" s="250"/>
      <c r="H127" s="250"/>
      <c r="I127" s="250"/>
      <c r="J127" s="250"/>
      <c r="K127" s="250"/>
      <c r="L127" s="250"/>
      <c r="M127" s="228">
        <f t="shared" ref="M127:S127" si="39">SUM(M116:M125)-M60</f>
        <v>0</v>
      </c>
      <c r="N127" s="228">
        <f t="shared" si="39"/>
        <v>0</v>
      </c>
      <c r="O127" s="228">
        <f t="shared" si="39"/>
        <v>0</v>
      </c>
      <c r="P127" s="228">
        <f t="shared" si="39"/>
        <v>0</v>
      </c>
      <c r="Q127" s="228">
        <f t="shared" si="39"/>
        <v>0</v>
      </c>
      <c r="R127" s="228">
        <f t="shared" si="39"/>
        <v>0</v>
      </c>
      <c r="S127" s="228">
        <f t="shared" si="39"/>
        <v>0</v>
      </c>
    </row>
    <row r="128" spans="2:19" s="265" customFormat="1" ht="14.25" x14ac:dyDescent="0.2">
      <c r="B128" s="361"/>
      <c r="C128" s="355"/>
      <c r="D128" s="250"/>
      <c r="E128" s="250"/>
      <c r="F128" s="250"/>
      <c r="G128" s="250"/>
      <c r="H128" s="250"/>
      <c r="I128" s="250"/>
      <c r="J128" s="250"/>
      <c r="K128" s="250"/>
      <c r="L128" s="250"/>
      <c r="M128" s="228"/>
      <c r="N128" s="228"/>
      <c r="O128" s="228"/>
      <c r="P128" s="228"/>
      <c r="Q128" s="228"/>
      <c r="R128" s="228"/>
      <c r="S128" s="228"/>
    </row>
    <row r="129" spans="2:19" s="265" customFormat="1" ht="14.25" x14ac:dyDescent="0.2">
      <c r="B129" s="354" t="str">
        <f>B21</f>
        <v>Asset replacement and renewal</v>
      </c>
      <c r="C129" s="355"/>
      <c r="D129" s="250"/>
      <c r="E129" s="250"/>
      <c r="F129" s="250"/>
      <c r="G129" s="250"/>
      <c r="H129" s="250"/>
      <c r="I129" s="250"/>
      <c r="J129" s="250"/>
      <c r="K129" s="250"/>
      <c r="L129" s="250"/>
      <c r="M129" s="267"/>
      <c r="N129" s="250"/>
      <c r="O129" s="250"/>
      <c r="P129" s="250"/>
      <c r="Q129" s="250"/>
      <c r="R129" s="250"/>
      <c r="S129" s="250"/>
    </row>
    <row r="130" spans="2:19" s="265" customFormat="1" ht="14.25" x14ac:dyDescent="0.2">
      <c r="B130" s="250"/>
      <c r="C130" s="355"/>
      <c r="D130" s="250"/>
      <c r="E130" s="250"/>
      <c r="F130" s="250"/>
      <c r="G130" s="250"/>
      <c r="H130" s="250"/>
      <c r="I130" s="250"/>
      <c r="J130" s="250"/>
      <c r="K130" s="250"/>
      <c r="L130" s="250"/>
      <c r="M130" s="267"/>
      <c r="N130" s="250"/>
      <c r="O130" s="250"/>
      <c r="P130" s="250"/>
      <c r="Q130" s="250"/>
      <c r="R130" s="250"/>
      <c r="S130" s="250"/>
    </row>
    <row r="131" spans="2:19" s="265" customFormat="1" ht="14.25" x14ac:dyDescent="0.2">
      <c r="B131" s="291" t="s">
        <v>477</v>
      </c>
      <c r="C131" s="358"/>
      <c r="D131" s="250"/>
      <c r="E131" s="250"/>
      <c r="F131" s="250"/>
      <c r="G131" s="250"/>
      <c r="H131" s="250"/>
      <c r="I131" s="250"/>
      <c r="J131" s="250"/>
      <c r="K131" s="250"/>
      <c r="L131" s="250"/>
      <c r="M131" s="267"/>
      <c r="N131" s="250"/>
      <c r="O131" s="250"/>
      <c r="P131" s="250"/>
      <c r="Q131" s="250"/>
      <c r="R131" s="250"/>
      <c r="S131" s="250"/>
    </row>
    <row r="132" spans="2:19" s="265" customFormat="1" ht="14.25" x14ac:dyDescent="0.2">
      <c r="B132" s="364" t="str">
        <f>'Sch E table 4 '!E38</f>
        <v>1.1 Poles</v>
      </c>
      <c r="C132" s="356" t="s">
        <v>69</v>
      </c>
      <c r="D132" s="250"/>
      <c r="E132" s="250"/>
      <c r="F132" s="250"/>
      <c r="G132" s="250"/>
      <c r="H132" s="250"/>
      <c r="I132" s="250"/>
      <c r="J132" s="250"/>
      <c r="K132" s="250"/>
      <c r="L132" s="250"/>
      <c r="M132" s="360">
        <f>SUMIFS('Forecast capex'!$Q$9:$Q$1883,'Forecast capex'!$F$9:$F$1883,'Schedule E calculations'!$B132,'Forecast capex'!$J$9:$J$1883,'Schedule E calculations'!M$9)/'Capex summary'!M$19</f>
        <v>0.38671227463027102</v>
      </c>
      <c r="N132" s="360">
        <f>SUMIFS('Forecast capex'!$Q$9:$Q$1883,'Forecast capex'!$F$9:$F$1883,'Schedule E calculations'!$B132,'Forecast capex'!$J$9:$J$1883,'Schedule E calculations'!N$9)/'Capex summary'!N$19</f>
        <v>0.28833127149299859</v>
      </c>
      <c r="O132" s="360">
        <f>SUMIFS('Forecast capex'!$Q$9:$Q$1883,'Forecast capex'!$F$9:$F$1883,'Schedule E calculations'!$B132,'Forecast capex'!$J$9:$J$1883,'Schedule E calculations'!O$9)/'Capex summary'!O$19</f>
        <v>0.21571634169148796</v>
      </c>
      <c r="P132" s="360">
        <f>SUMIFS('Forecast capex'!$Q$9:$Q$1883,'Forecast capex'!$F$9:$F$1883,'Schedule E calculations'!$B132,'Forecast capex'!$J$9:$J$1883,'Schedule E calculations'!P$9)/'Capex summary'!P$19</f>
        <v>0.18627296440113575</v>
      </c>
      <c r="Q132" s="360">
        <f>SUMIFS('Forecast capex'!$Q$9:$Q$1883,'Forecast capex'!$F$9:$F$1883,'Schedule E calculations'!$B132,'Forecast capex'!$J$9:$J$1883,'Schedule E calculations'!Q$9)/'Capex summary'!Q$19</f>
        <v>0.17590226943844023</v>
      </c>
      <c r="R132" s="360">
        <f>SUMIFS('Forecast capex'!$Q$9:$Q$1883,'Forecast capex'!$F$9:$F$1883,'Schedule E calculations'!$B132,'Forecast capex'!$J$9:$J$1883,'Schedule E calculations'!R$9)/'Capex summary'!R$19</f>
        <v>0.11044618668720427</v>
      </c>
      <c r="S132" s="360">
        <f>SUMIFS('Forecast capex'!$Q$9:$Q$1883,'Forecast capex'!$F$9:$F$1883,'Schedule E calculations'!$B132,'Forecast capex'!$J$9:$J$1883,'Schedule E calculations'!S$9)/'Capex summary'!S$19</f>
        <v>0.11864534016097793</v>
      </c>
    </row>
    <row r="133" spans="2:19" s="265" customFormat="1" ht="14.25" x14ac:dyDescent="0.2">
      <c r="B133" s="364" t="str">
        <f>'Sch E table 4 '!E39</f>
        <v>1.2 Crossarms</v>
      </c>
      <c r="C133" s="356" t="s">
        <v>69</v>
      </c>
      <c r="D133" s="250"/>
      <c r="E133" s="250"/>
      <c r="F133" s="250"/>
      <c r="G133" s="250"/>
      <c r="H133" s="250"/>
      <c r="I133" s="250"/>
      <c r="J133" s="250"/>
      <c r="K133" s="250"/>
      <c r="L133" s="250"/>
      <c r="M133" s="360">
        <f>SUMIFS('Forecast capex'!$Q$9:$Q$1883,'Forecast capex'!$F$9:$F$1883,'Schedule E calculations'!$B133,'Forecast capex'!$J$9:$J$1883,'Schedule E calculations'!M$9)/'Capex summary'!M$19</f>
        <v>3.1085429365859962E-2</v>
      </c>
      <c r="N133" s="360">
        <f>SUMIFS('Forecast capex'!$Q$9:$Q$1883,'Forecast capex'!$F$9:$F$1883,'Schedule E calculations'!$B133,'Forecast capex'!$J$9:$J$1883,'Schedule E calculations'!N$9)/'Capex summary'!N$19</f>
        <v>7.354536780111269E-2</v>
      </c>
      <c r="O133" s="360">
        <f>SUMIFS('Forecast capex'!$Q$9:$Q$1883,'Forecast capex'!$F$9:$F$1883,'Schedule E calculations'!$B133,'Forecast capex'!$J$9:$J$1883,'Schedule E calculations'!O$9)/'Capex summary'!O$19</f>
        <v>0.12295603844527413</v>
      </c>
      <c r="P133" s="360">
        <f>SUMIFS('Forecast capex'!$Q$9:$Q$1883,'Forecast capex'!$F$9:$F$1883,'Schedule E calculations'!$B133,'Forecast capex'!$J$9:$J$1883,'Schedule E calculations'!P$9)/'Capex summary'!P$19</f>
        <v>0.14959879477013854</v>
      </c>
      <c r="Q133" s="360">
        <f>SUMIFS('Forecast capex'!$Q$9:$Q$1883,'Forecast capex'!$F$9:$F$1883,'Schedule E calculations'!$B133,'Forecast capex'!$J$9:$J$1883,'Schedule E calculations'!Q$9)/'Capex summary'!Q$19</f>
        <v>0.14604593255843162</v>
      </c>
      <c r="R133" s="360">
        <f>SUMIFS('Forecast capex'!$Q$9:$Q$1883,'Forecast capex'!$F$9:$F$1883,'Schedule E calculations'!$B133,'Forecast capex'!$J$9:$J$1883,'Schedule E calculations'!R$9)/'Capex summary'!R$19</f>
        <v>0.1516892633030138</v>
      </c>
      <c r="S133" s="360">
        <f>SUMIFS('Forecast capex'!$Q$9:$Q$1883,'Forecast capex'!$F$9:$F$1883,'Schedule E calculations'!$B133,'Forecast capex'!$J$9:$J$1883,'Schedule E calculations'!S$9)/'Capex summary'!S$19</f>
        <v>0.17574887462306896</v>
      </c>
    </row>
    <row r="134" spans="2:19" s="265" customFormat="1" ht="14.25" x14ac:dyDescent="0.2">
      <c r="B134" s="364" t="str">
        <f>'Sch E table 4 '!E40</f>
        <v>2.1 Subtransmission Conductor</v>
      </c>
      <c r="C134" s="356" t="s">
        <v>69</v>
      </c>
      <c r="D134" s="250"/>
      <c r="E134" s="250"/>
      <c r="F134" s="250"/>
      <c r="G134" s="250"/>
      <c r="H134" s="250"/>
      <c r="I134" s="250"/>
      <c r="J134" s="250"/>
      <c r="K134" s="250"/>
      <c r="L134" s="250"/>
      <c r="M134" s="360">
        <f>SUMIFS('Forecast capex'!$Q$9:$Q$1883,'Forecast capex'!$F$9:$F$1883,'Schedule E calculations'!$B134,'Forecast capex'!$J$9:$J$1883,'Schedule E calculations'!M$9)/'Capex summary'!M$19</f>
        <v>2.5585309604336758E-2</v>
      </c>
      <c r="N134" s="360">
        <f>SUMIFS('Forecast capex'!$Q$9:$Q$1883,'Forecast capex'!$F$9:$F$1883,'Schedule E calculations'!$B134,'Forecast capex'!$J$9:$J$1883,'Schedule E calculations'!N$9)/'Capex summary'!N$19</f>
        <v>0.13601007162128151</v>
      </c>
      <c r="O134" s="360">
        <f>SUMIFS('Forecast capex'!$Q$9:$Q$1883,'Forecast capex'!$F$9:$F$1883,'Schedule E calculations'!$B134,'Forecast capex'!$J$9:$J$1883,'Schedule E calculations'!O$9)/'Capex summary'!O$19</f>
        <v>0.11786534448837785</v>
      </c>
      <c r="P134" s="360">
        <f>SUMIFS('Forecast capex'!$Q$9:$Q$1883,'Forecast capex'!$F$9:$F$1883,'Schedule E calculations'!$B134,'Forecast capex'!$J$9:$J$1883,'Schedule E calculations'!P$9)/'Capex summary'!P$19</f>
        <v>0.1356733573576398</v>
      </c>
      <c r="Q134" s="360">
        <f>SUMIFS('Forecast capex'!$Q$9:$Q$1883,'Forecast capex'!$F$9:$F$1883,'Schedule E calculations'!$B134,'Forecast capex'!$J$9:$J$1883,'Schedule E calculations'!Q$9)/'Capex summary'!Q$19</f>
        <v>1.6450775709027338E-2</v>
      </c>
      <c r="R134" s="360">
        <f>SUMIFS('Forecast capex'!$Q$9:$Q$1883,'Forecast capex'!$F$9:$F$1883,'Schedule E calculations'!$B134,'Forecast capex'!$J$9:$J$1883,'Schedule E calculations'!R$9)/'Capex summary'!R$19</f>
        <v>7.3286935330250016E-3</v>
      </c>
      <c r="S134" s="360">
        <f>SUMIFS('Forecast capex'!$Q$9:$Q$1883,'Forecast capex'!$F$9:$F$1883,'Schedule E calculations'!$B134,'Forecast capex'!$J$9:$J$1883,'Schedule E calculations'!S$9)/'Capex summary'!S$19</f>
        <v>8.985248548746487E-3</v>
      </c>
    </row>
    <row r="135" spans="2:19" s="265" customFormat="1" ht="14.25" x14ac:dyDescent="0.2">
      <c r="B135" s="364" t="str">
        <f>'Sch E table 4 '!E41</f>
        <v>2.2 Distribution Conductor</v>
      </c>
      <c r="C135" s="356" t="s">
        <v>69</v>
      </c>
      <c r="D135" s="250"/>
      <c r="E135" s="250"/>
      <c r="F135" s="250"/>
      <c r="G135" s="250"/>
      <c r="H135" s="250"/>
      <c r="I135" s="250"/>
      <c r="J135" s="250"/>
      <c r="K135" s="250"/>
      <c r="L135" s="250"/>
      <c r="M135" s="360">
        <f>SUMIFS('Forecast capex'!$Q$9:$Q$1883,'Forecast capex'!$F$9:$F$1883,'Schedule E calculations'!$B135,'Forecast capex'!$J$9:$J$1883,'Schedule E calculations'!M$9)/'Capex summary'!M$19</f>
        <v>0.11362354313225395</v>
      </c>
      <c r="N135" s="360">
        <f>SUMIFS('Forecast capex'!$Q$9:$Q$1883,'Forecast capex'!$F$9:$F$1883,'Schedule E calculations'!$B135,'Forecast capex'!$J$9:$J$1883,'Schedule E calculations'!N$9)/'Capex summary'!N$19</f>
        <v>8.404639592328314E-2</v>
      </c>
      <c r="O135" s="360">
        <f>SUMIFS('Forecast capex'!$Q$9:$Q$1883,'Forecast capex'!$F$9:$F$1883,'Schedule E calculations'!$B135,'Forecast capex'!$J$9:$J$1883,'Schedule E calculations'!O$9)/'Capex summary'!O$19</f>
        <v>8.3509989704328505E-2</v>
      </c>
      <c r="P135" s="360">
        <f>SUMIFS('Forecast capex'!$Q$9:$Q$1883,'Forecast capex'!$F$9:$F$1883,'Schedule E calculations'!$B135,'Forecast capex'!$J$9:$J$1883,'Schedule E calculations'!P$9)/'Capex summary'!P$19</f>
        <v>9.5410624940204372E-2</v>
      </c>
      <c r="Q135" s="360">
        <f>SUMIFS('Forecast capex'!$Q$9:$Q$1883,'Forecast capex'!$F$9:$F$1883,'Schedule E calculations'!$B135,'Forecast capex'!$J$9:$J$1883,'Schedule E calculations'!Q$9)/'Capex summary'!Q$19</f>
        <v>0.10244659398354122</v>
      </c>
      <c r="R135" s="360">
        <f>SUMIFS('Forecast capex'!$Q$9:$Q$1883,'Forecast capex'!$F$9:$F$1883,'Schedule E calculations'!$B135,'Forecast capex'!$J$9:$J$1883,'Schedule E calculations'!R$9)/'Capex summary'!R$19</f>
        <v>0.11290361434099455</v>
      </c>
      <c r="S135" s="360">
        <f>SUMIFS('Forecast capex'!$Q$9:$Q$1883,'Forecast capex'!$F$9:$F$1883,'Schedule E calculations'!$B135,'Forecast capex'!$J$9:$J$1883,'Schedule E calculations'!S$9)/'Capex summary'!S$19</f>
        <v>0.12611021958090582</v>
      </c>
    </row>
    <row r="136" spans="2:19" s="265" customFormat="1" ht="14.25" x14ac:dyDescent="0.2">
      <c r="B136" s="364" t="str">
        <f>'Sch E table 4 '!E42</f>
        <v>2.3 Low Voltage Conductor</v>
      </c>
      <c r="C136" s="356" t="s">
        <v>69</v>
      </c>
      <c r="D136" s="250"/>
      <c r="E136" s="250"/>
      <c r="F136" s="250"/>
      <c r="G136" s="250"/>
      <c r="H136" s="250"/>
      <c r="I136" s="250"/>
      <c r="J136" s="250"/>
      <c r="K136" s="250"/>
      <c r="L136" s="250"/>
      <c r="M136" s="360">
        <f>SUMIFS('Forecast capex'!$Q$9:$Q$1883,'Forecast capex'!$F$9:$F$1883,'Schedule E calculations'!$B136,'Forecast capex'!$J$9:$J$1883,'Schedule E calculations'!M$9)/'Capex summary'!M$19</f>
        <v>0</v>
      </c>
      <c r="N136" s="360">
        <f>SUMIFS('Forecast capex'!$Q$9:$Q$1883,'Forecast capex'!$F$9:$F$1883,'Schedule E calculations'!$B136,'Forecast capex'!$J$9:$J$1883,'Schedule E calculations'!N$9)/'Capex summary'!N$19</f>
        <v>0</v>
      </c>
      <c r="O136" s="360">
        <f>SUMIFS('Forecast capex'!$Q$9:$Q$1883,'Forecast capex'!$F$9:$F$1883,'Schedule E calculations'!$B136,'Forecast capex'!$J$9:$J$1883,'Schedule E calculations'!O$9)/'Capex summary'!O$19</f>
        <v>4.0366721366030915E-2</v>
      </c>
      <c r="P136" s="360">
        <f>SUMIFS('Forecast capex'!$Q$9:$Q$1883,'Forecast capex'!$F$9:$F$1883,'Schedule E calculations'!$B136,'Forecast capex'!$J$9:$J$1883,'Schedule E calculations'!P$9)/'Capex summary'!P$19</f>
        <v>7.0767187252506955E-2</v>
      </c>
      <c r="Q136" s="360">
        <f>SUMIFS('Forecast capex'!$Q$9:$Q$1883,'Forecast capex'!$F$9:$F$1883,'Schedule E calculations'!$B136,'Forecast capex'!$J$9:$J$1883,'Schedule E calculations'!Q$9)/'Capex summary'!Q$19</f>
        <v>7.3316642630694151E-2</v>
      </c>
      <c r="R136" s="360">
        <f>SUMIFS('Forecast capex'!$Q$9:$Q$1883,'Forecast capex'!$F$9:$F$1883,'Schedule E calculations'!$B136,'Forecast capex'!$J$9:$J$1883,'Schedule E calculations'!R$9)/'Capex summary'!R$19</f>
        <v>8.3265380143483295E-2</v>
      </c>
      <c r="S136" s="360">
        <f>SUMIFS('Forecast capex'!$Q$9:$Q$1883,'Forecast capex'!$F$9:$F$1883,'Schedule E calculations'!$B136,'Forecast capex'!$J$9:$J$1883,'Schedule E calculations'!S$9)/'Capex summary'!S$19</f>
        <v>9.8219316119900882E-2</v>
      </c>
    </row>
    <row r="137" spans="2:19" s="265" customFormat="1" ht="14.25" x14ac:dyDescent="0.2">
      <c r="B137" s="364" t="str">
        <f>'Sch E table 4 '!E43</f>
        <v>3.1 Subtransmission Cables</v>
      </c>
      <c r="C137" s="356" t="s">
        <v>69</v>
      </c>
      <c r="D137" s="250"/>
      <c r="E137" s="250"/>
      <c r="F137" s="250"/>
      <c r="G137" s="250"/>
      <c r="H137" s="250"/>
      <c r="I137" s="250"/>
      <c r="J137" s="250"/>
      <c r="K137" s="250"/>
      <c r="L137" s="250"/>
      <c r="M137" s="360">
        <f>SUMIFS('Forecast capex'!$Q$9:$Q$1883,'Forecast capex'!$F$9:$F$1883,'Schedule E calculations'!$B137,'Forecast capex'!$J$9:$J$1883,'Schedule E calculations'!M$9)/'Capex summary'!M$19</f>
        <v>7.3614798225809339E-2</v>
      </c>
      <c r="N137" s="360">
        <f>SUMIFS('Forecast capex'!$Q$9:$Q$1883,'Forecast capex'!$F$9:$F$1883,'Schedule E calculations'!$B137,'Forecast capex'!$J$9:$J$1883,'Schedule E calculations'!N$9)/'Capex summary'!N$19</f>
        <v>4.0179943073160342E-3</v>
      </c>
      <c r="O137" s="360">
        <f>SUMIFS('Forecast capex'!$Q$9:$Q$1883,'Forecast capex'!$F$9:$F$1883,'Schedule E calculations'!$B137,'Forecast capex'!$J$9:$J$1883,'Schedule E calculations'!O$9)/'Capex summary'!O$19</f>
        <v>0</v>
      </c>
      <c r="P137" s="360">
        <f>SUMIFS('Forecast capex'!$Q$9:$Q$1883,'Forecast capex'!$F$9:$F$1883,'Schedule E calculations'!$B137,'Forecast capex'!$J$9:$J$1883,'Schedule E calculations'!P$9)/'Capex summary'!P$19</f>
        <v>0</v>
      </c>
      <c r="Q137" s="360">
        <f>SUMIFS('Forecast capex'!$Q$9:$Q$1883,'Forecast capex'!$F$9:$F$1883,'Schedule E calculations'!$B137,'Forecast capex'!$J$9:$J$1883,'Schedule E calculations'!Q$9)/'Capex summary'!Q$19</f>
        <v>3.425768788407655E-2</v>
      </c>
      <c r="R137" s="360">
        <f>SUMIFS('Forecast capex'!$Q$9:$Q$1883,'Forecast capex'!$F$9:$F$1883,'Schedule E calculations'!$B137,'Forecast capex'!$J$9:$J$1883,'Schedule E calculations'!R$9)/'Capex summary'!R$19</f>
        <v>5.5108229309447428E-2</v>
      </c>
      <c r="S137" s="360">
        <f>SUMIFS('Forecast capex'!$Q$9:$Q$1883,'Forecast capex'!$F$9:$F$1883,'Schedule E calculations'!$B137,'Forecast capex'!$J$9:$J$1883,'Schedule E calculations'!S$9)/'Capex summary'!S$19</f>
        <v>6.2784260183181187E-2</v>
      </c>
    </row>
    <row r="138" spans="2:19" s="265" customFormat="1" ht="14.25" x14ac:dyDescent="0.2">
      <c r="B138" s="364" t="str">
        <f>'Sch E table 4 '!E44</f>
        <v>3.2 Distribution Cables</v>
      </c>
      <c r="C138" s="356" t="s">
        <v>69</v>
      </c>
      <c r="D138" s="250"/>
      <c r="E138" s="250"/>
      <c r="F138" s="250"/>
      <c r="G138" s="250"/>
      <c r="H138" s="250"/>
      <c r="I138" s="250"/>
      <c r="J138" s="250"/>
      <c r="K138" s="250"/>
      <c r="L138" s="250"/>
      <c r="M138" s="360">
        <f>SUMIFS('Forecast capex'!$Q$9:$Q$1883,'Forecast capex'!$F$9:$F$1883,'Schedule E calculations'!$B138,'Forecast capex'!$J$9:$J$1883,'Schedule E calculations'!M$9)/'Capex summary'!M$19</f>
        <v>2.8185124076841123E-2</v>
      </c>
      <c r="N138" s="360">
        <f>SUMIFS('Forecast capex'!$Q$9:$Q$1883,'Forecast capex'!$F$9:$F$1883,'Schedule E calculations'!$B138,'Forecast capex'!$J$9:$J$1883,'Schedule E calculations'!N$9)/'Capex summary'!N$19</f>
        <v>1.7086520791861435E-2</v>
      </c>
      <c r="O138" s="360">
        <f>SUMIFS('Forecast capex'!$Q$9:$Q$1883,'Forecast capex'!$F$9:$F$1883,'Schedule E calculations'!$B138,'Forecast capex'!$J$9:$J$1883,'Schedule E calculations'!O$9)/'Capex summary'!O$19</f>
        <v>2.9554491488463924E-2</v>
      </c>
      <c r="P138" s="360">
        <f>SUMIFS('Forecast capex'!$Q$9:$Q$1883,'Forecast capex'!$F$9:$F$1883,'Schedule E calculations'!$B138,'Forecast capex'!$J$9:$J$1883,'Schedule E calculations'!P$9)/'Capex summary'!P$19</f>
        <v>3.0522286181552765E-2</v>
      </c>
      <c r="Q138" s="360">
        <f>SUMIFS('Forecast capex'!$Q$9:$Q$1883,'Forecast capex'!$F$9:$F$1883,'Schedule E calculations'!$B138,'Forecast capex'!$J$9:$J$1883,'Schedule E calculations'!Q$9)/'Capex summary'!Q$19</f>
        <v>3.2317167278193129E-2</v>
      </c>
      <c r="R138" s="360">
        <f>SUMIFS('Forecast capex'!$Q$9:$Q$1883,'Forecast capex'!$F$9:$F$1883,'Schedule E calculations'!$B138,'Forecast capex'!$J$9:$J$1883,'Schedule E calculations'!R$9)/'Capex summary'!R$19</f>
        <v>3.5440064422679003E-2</v>
      </c>
      <c r="S138" s="360">
        <f>SUMIFS('Forecast capex'!$Q$9:$Q$1883,'Forecast capex'!$F$9:$F$1883,'Schedule E calculations'!$B138,'Forecast capex'!$J$9:$J$1883,'Schedule E calculations'!S$9)/'Capex summary'!S$19</f>
        <v>2.7252689301041022E-2</v>
      </c>
    </row>
    <row r="139" spans="2:19" s="265" customFormat="1" ht="14.25" x14ac:dyDescent="0.2">
      <c r="B139" s="364" t="str">
        <f>'Sch E table 4 '!E45</f>
        <v>3.3 Low Voltage Cables</v>
      </c>
      <c r="C139" s="356" t="s">
        <v>69</v>
      </c>
      <c r="D139" s="250"/>
      <c r="E139" s="250"/>
      <c r="F139" s="250"/>
      <c r="G139" s="250"/>
      <c r="H139" s="250"/>
      <c r="I139" s="250"/>
      <c r="J139" s="250"/>
      <c r="K139" s="250"/>
      <c r="L139" s="250"/>
      <c r="M139" s="360">
        <f>SUMIFS('Forecast capex'!$Q$9:$Q$1883,'Forecast capex'!$F$9:$F$1883,'Schedule E calculations'!$B139,'Forecast capex'!$J$9:$J$1883,'Schedule E calculations'!M$9)/'Capex summary'!M$19</f>
        <v>6.8639896606323856E-3</v>
      </c>
      <c r="N139" s="360">
        <f>SUMIFS('Forecast capex'!$Q$9:$Q$1883,'Forecast capex'!$F$9:$F$1883,'Schedule E calculations'!$B139,'Forecast capex'!$J$9:$J$1883,'Schedule E calculations'!N$9)/'Capex summary'!N$19</f>
        <v>7.9753189433580257E-3</v>
      </c>
      <c r="O139" s="360">
        <f>SUMIFS('Forecast capex'!$Q$9:$Q$1883,'Forecast capex'!$F$9:$F$1883,'Schedule E calculations'!$B139,'Forecast capex'!$J$9:$J$1883,'Schedule E calculations'!O$9)/'Capex summary'!O$19</f>
        <v>5.3311303721542665E-3</v>
      </c>
      <c r="P139" s="360">
        <f>SUMIFS('Forecast capex'!$Q$9:$Q$1883,'Forecast capex'!$F$9:$F$1883,'Schedule E calculations'!$B139,'Forecast capex'!$J$9:$J$1883,'Schedule E calculations'!P$9)/'Capex summary'!P$19</f>
        <v>5.1603916716710871E-3</v>
      </c>
      <c r="Q139" s="360">
        <f>SUMIFS('Forecast capex'!$Q$9:$Q$1883,'Forecast capex'!$F$9:$F$1883,'Schedule E calculations'!$B139,'Forecast capex'!$J$9:$J$1883,'Schedule E calculations'!Q$9)/'Capex summary'!Q$19</f>
        <v>5.1412793581797978E-3</v>
      </c>
      <c r="R139" s="360">
        <f>SUMIFS('Forecast capex'!$Q$9:$Q$1883,'Forecast capex'!$F$9:$F$1883,'Schedule E calculations'!$B139,'Forecast capex'!$J$9:$J$1883,'Schedule E calculations'!R$9)/'Capex summary'!R$19</f>
        <v>5.5136393087052669E-3</v>
      </c>
      <c r="S139" s="360">
        <f>SUMIFS('Forecast capex'!$Q$9:$Q$1883,'Forecast capex'!$F$9:$F$1883,'Schedule E calculations'!$B139,'Forecast capex'!$J$9:$J$1883,'Schedule E calculations'!S$9)/'Capex summary'!S$19</f>
        <v>6.5957164241049662E-3</v>
      </c>
    </row>
    <row r="140" spans="2:19" s="265" customFormat="1" ht="14.25" x14ac:dyDescent="0.2">
      <c r="B140" s="364" t="str">
        <f>'Sch E table 4 '!E46</f>
        <v>4.1 Zone Substations</v>
      </c>
      <c r="C140" s="356" t="s">
        <v>69</v>
      </c>
      <c r="D140" s="250"/>
      <c r="E140" s="250"/>
      <c r="F140" s="250"/>
      <c r="G140" s="250"/>
      <c r="H140" s="250"/>
      <c r="I140" s="250"/>
      <c r="J140" s="250"/>
      <c r="K140" s="250"/>
      <c r="L140" s="250"/>
      <c r="M140" s="360">
        <f>SUMIFS('Forecast capex'!$Q$9:$Q$1883,'Forecast capex'!$F$9:$F$1883,'Schedule E calculations'!$B140,'Forecast capex'!$J$9:$J$1883,'Schedule E calculations'!M$9)/'Capex summary'!M$19</f>
        <v>0.1679615325126417</v>
      </c>
      <c r="N140" s="360">
        <f>SUMIFS('Forecast capex'!$Q$9:$Q$1883,'Forecast capex'!$F$9:$F$1883,'Schedule E calculations'!$B140,'Forecast capex'!$J$9:$J$1883,'Schedule E calculations'!N$9)/'Capex summary'!N$19</f>
        <v>0.17583487191225722</v>
      </c>
      <c r="O140" s="360">
        <f>SUMIFS('Forecast capex'!$Q$9:$Q$1883,'Forecast capex'!$F$9:$F$1883,'Schedule E calculations'!$B140,'Forecast capex'!$J$9:$J$1883,'Schedule E calculations'!O$9)/'Capex summary'!O$19</f>
        <v>0.18680090594964185</v>
      </c>
      <c r="P140" s="360">
        <f>SUMIFS('Forecast capex'!$Q$9:$Q$1883,'Forecast capex'!$F$9:$F$1883,'Schedule E calculations'!$B140,'Forecast capex'!$J$9:$J$1883,'Schedule E calculations'!P$9)/'Capex summary'!P$19</f>
        <v>9.9477751519571861E-2</v>
      </c>
      <c r="Q140" s="360">
        <f>SUMIFS('Forecast capex'!$Q$9:$Q$1883,'Forecast capex'!$F$9:$F$1883,'Schedule E calculations'!$B140,'Forecast capex'!$J$9:$J$1883,'Schedule E calculations'!Q$9)/'Capex summary'!Q$19</f>
        <v>0.17603541396507183</v>
      </c>
      <c r="R140" s="360">
        <f>SUMIFS('Forecast capex'!$Q$9:$Q$1883,'Forecast capex'!$F$9:$F$1883,'Schedule E calculations'!$B140,'Forecast capex'!$J$9:$J$1883,'Schedule E calculations'!R$9)/'Capex summary'!R$19</f>
        <v>0.19209057143441716</v>
      </c>
      <c r="S140" s="360">
        <f>SUMIFS('Forecast capex'!$Q$9:$Q$1883,'Forecast capex'!$F$9:$F$1883,'Schedule E calculations'!$B140,'Forecast capex'!$J$9:$J$1883,'Schedule E calculations'!S$9)/'Capex summary'!S$19</f>
        <v>0.10981775691207417</v>
      </c>
    </row>
    <row r="141" spans="2:19" s="265" customFormat="1" ht="14.25" x14ac:dyDescent="0.2">
      <c r="B141" s="364" t="str">
        <f>'Sch E table 4 '!E47</f>
        <v>5.1 Ground Mounted Switchgear</v>
      </c>
      <c r="C141" s="356" t="s">
        <v>69</v>
      </c>
      <c r="D141" s="250"/>
      <c r="E141" s="250"/>
      <c r="F141" s="250"/>
      <c r="G141" s="250"/>
      <c r="H141" s="250"/>
      <c r="I141" s="250"/>
      <c r="J141" s="250"/>
      <c r="K141" s="250"/>
      <c r="L141" s="250"/>
      <c r="M141" s="360">
        <f>SUMIFS('Forecast capex'!$Q$9:$Q$1883,'Forecast capex'!$F$9:$F$1883,'Schedule E calculations'!$B141,'Forecast capex'!$J$9:$J$1883,'Schedule E calculations'!M$9)/'Capex summary'!M$19</f>
        <v>3.3300564124395395E-2</v>
      </c>
      <c r="N141" s="360">
        <f>SUMIFS('Forecast capex'!$Q$9:$Q$1883,'Forecast capex'!$F$9:$F$1883,'Schedule E calculations'!$B141,'Forecast capex'!$J$9:$J$1883,'Schedule E calculations'!N$9)/'Capex summary'!N$19</f>
        <v>6.2230193582422322E-2</v>
      </c>
      <c r="O141" s="360">
        <f>SUMIFS('Forecast capex'!$Q$9:$Q$1883,'Forecast capex'!$F$9:$F$1883,'Schedule E calculations'!$B141,'Forecast capex'!$J$9:$J$1883,'Schedule E calculations'!O$9)/'Capex summary'!O$19</f>
        <v>5.5131810818070198E-2</v>
      </c>
      <c r="P141" s="360">
        <f>SUMIFS('Forecast capex'!$Q$9:$Q$1883,'Forecast capex'!$F$9:$F$1883,'Schedule E calculations'!$B141,'Forecast capex'!$J$9:$J$1883,'Schedule E calculations'!P$9)/'Capex summary'!P$19</f>
        <v>5.5561441934301029E-2</v>
      </c>
      <c r="Q141" s="360">
        <f>SUMIFS('Forecast capex'!$Q$9:$Q$1883,'Forecast capex'!$F$9:$F$1883,'Schedule E calculations'!$B141,'Forecast capex'!$J$9:$J$1883,'Schedule E calculations'!Q$9)/'Capex summary'!Q$19</f>
        <v>5.3555958820096533E-2</v>
      </c>
      <c r="R141" s="360">
        <f>SUMIFS('Forecast capex'!$Q$9:$Q$1883,'Forecast capex'!$F$9:$F$1883,'Schedule E calculations'!$B141,'Forecast capex'!$J$9:$J$1883,'Schedule E calculations'!R$9)/'Capex summary'!R$19</f>
        <v>5.7984248010782238E-2</v>
      </c>
      <c r="S141" s="360">
        <f>SUMIFS('Forecast capex'!$Q$9:$Q$1883,'Forecast capex'!$F$9:$F$1883,'Schedule E calculations'!$B141,'Forecast capex'!$J$9:$J$1883,'Schedule E calculations'!S$9)/'Capex summary'!S$19</f>
        <v>4.1288049888981736E-2</v>
      </c>
    </row>
    <row r="142" spans="2:19" s="265" customFormat="1" ht="14.25" x14ac:dyDescent="0.2">
      <c r="B142" s="364" t="str">
        <f>'Sch E table 4 '!E48</f>
        <v>5.2 Pole Mounted Fuses</v>
      </c>
      <c r="C142" s="356" t="s">
        <v>69</v>
      </c>
      <c r="D142" s="250"/>
      <c r="E142" s="250"/>
      <c r="F142" s="250"/>
      <c r="G142" s="250"/>
      <c r="H142" s="250"/>
      <c r="I142" s="250"/>
      <c r="J142" s="250"/>
      <c r="K142" s="250"/>
      <c r="L142" s="250"/>
      <c r="M142" s="360">
        <f>SUMIFS('Forecast capex'!$Q$9:$Q$1883,'Forecast capex'!$F$9:$F$1883,'Schedule E calculations'!$B142,'Forecast capex'!$J$9:$J$1883,'Schedule E calculations'!M$9)/'Capex summary'!M$19</f>
        <v>2.0428540656644003E-3</v>
      </c>
      <c r="N142" s="360">
        <f>SUMIFS('Forecast capex'!$Q$9:$Q$1883,'Forecast capex'!$F$9:$F$1883,'Schedule E calculations'!$B142,'Forecast capex'!$J$9:$J$1883,'Schedule E calculations'!N$9)/'Capex summary'!N$19</f>
        <v>4.3193438803647366E-3</v>
      </c>
      <c r="O142" s="360">
        <f>SUMIFS('Forecast capex'!$Q$9:$Q$1883,'Forecast capex'!$F$9:$F$1883,'Schedule E calculations'!$B142,'Forecast capex'!$J$9:$J$1883,'Schedule E calculations'!O$9)/'Capex summary'!O$19</f>
        <v>3.2037080449230882E-3</v>
      </c>
      <c r="P142" s="360">
        <f>SUMIFS('Forecast capex'!$Q$9:$Q$1883,'Forecast capex'!$F$9:$F$1883,'Schedule E calculations'!$B142,'Forecast capex'!$J$9:$J$1883,'Schedule E calculations'!P$9)/'Capex summary'!P$19</f>
        <v>3.5318125880718487E-3</v>
      </c>
      <c r="Q142" s="360">
        <f>SUMIFS('Forecast capex'!$Q$9:$Q$1883,'Forecast capex'!$F$9:$F$1883,'Schedule E calculations'!$B142,'Forecast capex'!$J$9:$J$1883,'Schedule E calculations'!Q$9)/'Capex summary'!Q$19</f>
        <v>3.7762001635886855E-3</v>
      </c>
      <c r="R142" s="360">
        <f>SUMIFS('Forecast capex'!$Q$9:$Q$1883,'Forecast capex'!$F$9:$F$1883,'Schedule E calculations'!$B142,'Forecast capex'!$J$9:$J$1883,'Schedule E calculations'!R$9)/'Capex summary'!R$19</f>
        <v>4.3258089785821671E-3</v>
      </c>
      <c r="S142" s="360">
        <f>SUMIFS('Forecast capex'!$Q$9:$Q$1883,'Forecast capex'!$F$9:$F$1883,'Schedule E calculations'!$B142,'Forecast capex'!$J$9:$J$1883,'Schedule E calculations'!S$9)/'Capex summary'!S$19</f>
        <v>5.3949718521602808E-3</v>
      </c>
    </row>
    <row r="143" spans="2:19" s="265" customFormat="1" ht="14.25" x14ac:dyDescent="0.2">
      <c r="B143" s="364" t="str">
        <f>'Sch E table 4 '!E49</f>
        <v>5.3 Pole Mounted Switches</v>
      </c>
      <c r="C143" s="356" t="s">
        <v>69</v>
      </c>
      <c r="D143" s="250"/>
      <c r="E143" s="250"/>
      <c r="F143" s="250"/>
      <c r="G143" s="250"/>
      <c r="H143" s="250"/>
      <c r="I143" s="250"/>
      <c r="J143" s="250"/>
      <c r="K143" s="250"/>
      <c r="L143" s="250"/>
      <c r="M143" s="360">
        <f>SUMIFS('Forecast capex'!$Q$9:$Q$1883,'Forecast capex'!$F$9:$F$1883,'Schedule E calculations'!$B143,'Forecast capex'!$J$9:$J$1883,'Schedule E calculations'!M$9)/'Capex summary'!M$19</f>
        <v>8.1983677728271163E-3</v>
      </c>
      <c r="N143" s="360">
        <f>SUMIFS('Forecast capex'!$Q$9:$Q$1883,'Forecast capex'!$F$9:$F$1883,'Schedule E calculations'!$B143,'Forecast capex'!$J$9:$J$1883,'Schedule E calculations'!N$9)/'Capex summary'!N$19</f>
        <v>7.6783871212809411E-3</v>
      </c>
      <c r="O143" s="360">
        <f>SUMIFS('Forecast capex'!$Q$9:$Q$1883,'Forecast capex'!$F$9:$F$1883,'Schedule E calculations'!$B143,'Forecast capex'!$J$9:$J$1883,'Schedule E calculations'!O$9)/'Capex summary'!O$19</f>
        <v>9.6289225127966158E-3</v>
      </c>
      <c r="P143" s="360">
        <f>SUMIFS('Forecast capex'!$Q$9:$Q$1883,'Forecast capex'!$F$9:$F$1883,'Schedule E calculations'!$B143,'Forecast capex'!$J$9:$J$1883,'Schedule E calculations'!P$9)/'Capex summary'!P$19</f>
        <v>9.3205395616920497E-3</v>
      </c>
      <c r="Q143" s="360">
        <f>SUMIFS('Forecast capex'!$Q$9:$Q$1883,'Forecast capex'!$F$9:$F$1883,'Schedule E calculations'!$B143,'Forecast capex'!$J$9:$J$1883,'Schedule E calculations'!Q$9)/'Capex summary'!Q$19</f>
        <v>9.2860194931885399E-3</v>
      </c>
      <c r="R143" s="360">
        <f>SUMIFS('Forecast capex'!$Q$9:$Q$1883,'Forecast capex'!$F$9:$F$1883,'Schedule E calculations'!$B143,'Forecast capex'!$J$9:$J$1883,'Schedule E calculations'!R$9)/'Capex summary'!R$19</f>
        <v>9.9585644996295838E-3</v>
      </c>
      <c r="S143" s="360">
        <f>SUMIFS('Forecast capex'!$Q$9:$Q$1883,'Forecast capex'!$F$9:$F$1883,'Schedule E calculations'!$B143,'Forecast capex'!$J$9:$J$1883,'Schedule E calculations'!S$9)/'Capex summary'!S$19</f>
        <v>1.1912978661300864E-2</v>
      </c>
    </row>
    <row r="144" spans="2:19" s="265" customFormat="1" ht="14.25" x14ac:dyDescent="0.2">
      <c r="B144" s="364" t="str">
        <f>'Sch E table 4 '!E50</f>
        <v>5.4 Low Voltage Enclosures</v>
      </c>
      <c r="C144" s="356" t="s">
        <v>69</v>
      </c>
      <c r="D144" s="250"/>
      <c r="E144" s="250"/>
      <c r="F144" s="250"/>
      <c r="G144" s="250"/>
      <c r="H144" s="250"/>
      <c r="I144" s="250"/>
      <c r="J144" s="250"/>
      <c r="K144" s="250"/>
      <c r="L144" s="250"/>
      <c r="M144" s="360">
        <f>SUMIFS('Forecast capex'!$Q$9:$Q$1883,'Forecast capex'!$F$9:$F$1883,'Schedule E calculations'!$B144,'Forecast capex'!$J$9:$J$1883,'Schedule E calculations'!M$9)/'Capex summary'!M$19</f>
        <v>1.5661881170093737E-2</v>
      </c>
      <c r="N144" s="360">
        <f>SUMIFS('Forecast capex'!$Q$9:$Q$1883,'Forecast capex'!$F$9:$F$1883,'Schedule E calculations'!$B144,'Forecast capex'!$J$9:$J$1883,'Schedule E calculations'!N$9)/'Capex summary'!N$19</f>
        <v>2.8427309724260941E-2</v>
      </c>
      <c r="O144" s="360">
        <f>SUMIFS('Forecast capex'!$Q$9:$Q$1883,'Forecast capex'!$F$9:$F$1883,'Schedule E calculations'!$B144,'Forecast capex'!$J$9:$J$1883,'Schedule E calculations'!O$9)/'Capex summary'!O$19</f>
        <v>3.5519005245423611E-2</v>
      </c>
      <c r="P144" s="360">
        <f>SUMIFS('Forecast capex'!$Q$9:$Q$1883,'Forecast capex'!$F$9:$F$1883,'Schedule E calculations'!$B144,'Forecast capex'!$J$9:$J$1883,'Schedule E calculations'!P$9)/'Capex summary'!P$19</f>
        <v>3.5633676787175224E-2</v>
      </c>
      <c r="Q144" s="360">
        <f>SUMIFS('Forecast capex'!$Q$9:$Q$1883,'Forecast capex'!$F$9:$F$1883,'Schedule E calculations'!$B144,'Forecast capex'!$J$9:$J$1883,'Schedule E calculations'!Q$9)/'Capex summary'!Q$19</f>
        <v>3.5297534160702665E-2</v>
      </c>
      <c r="R144" s="360">
        <f>SUMIFS('Forecast capex'!$Q$9:$Q$1883,'Forecast capex'!$F$9:$F$1883,'Schedule E calculations'!$B144,'Forecast capex'!$J$9:$J$1883,'Schedule E calculations'!R$9)/'Capex summary'!R$19</f>
        <v>3.3968015363509373E-2</v>
      </c>
      <c r="S144" s="360">
        <f>SUMIFS('Forecast capex'!$Q$9:$Q$1883,'Forecast capex'!$F$9:$F$1883,'Schedule E calculations'!$B144,'Forecast capex'!$J$9:$J$1883,'Schedule E calculations'!S$9)/'Capex summary'!S$19</f>
        <v>3.389966201411132E-2</v>
      </c>
    </row>
    <row r="145" spans="2:19" s="265" customFormat="1" ht="14.25" x14ac:dyDescent="0.2">
      <c r="B145" s="364" t="str">
        <f>'Sch E table 4 '!E51</f>
        <v>5.6 Ancillary Distribution Substation Equipment</v>
      </c>
      <c r="C145" s="356" t="s">
        <v>69</v>
      </c>
      <c r="D145" s="250"/>
      <c r="E145" s="250"/>
      <c r="F145" s="250"/>
      <c r="G145" s="250"/>
      <c r="H145" s="250"/>
      <c r="I145" s="250"/>
      <c r="J145" s="250"/>
      <c r="K145" s="250"/>
      <c r="L145" s="250"/>
      <c r="M145" s="360">
        <f>SUMIFS('Forecast capex'!$Q$9:$Q$1883,'Forecast capex'!$F$9:$F$1883,'Schedule E calculations'!$B145,'Forecast capex'!$J$9:$J$1883,'Schedule E calculations'!M$9)/'Capex summary'!M$19</f>
        <v>2.387410003795621E-2</v>
      </c>
      <c r="N145" s="360">
        <f>SUMIFS('Forecast capex'!$Q$9:$Q$1883,'Forecast capex'!$F$9:$F$1883,'Schedule E calculations'!$B145,'Forecast capex'!$J$9:$J$1883,'Schedule E calculations'!N$9)/'Capex summary'!N$19</f>
        <v>1.5514018449778694E-2</v>
      </c>
      <c r="O145" s="360">
        <f>SUMIFS('Forecast capex'!$Q$9:$Q$1883,'Forecast capex'!$F$9:$F$1883,'Schedule E calculations'!$B145,'Forecast capex'!$J$9:$J$1883,'Schedule E calculations'!O$9)/'Capex summary'!O$19</f>
        <v>1.3744388068926786E-2</v>
      </c>
      <c r="P145" s="360">
        <f>SUMIFS('Forecast capex'!$Q$9:$Q$1883,'Forecast capex'!$F$9:$F$1883,'Schedule E calculations'!$B145,'Forecast capex'!$J$9:$J$1883,'Schedule E calculations'!P$9)/'Capex summary'!P$19</f>
        <v>2.2186278142582443E-2</v>
      </c>
      <c r="Q145" s="360">
        <f>SUMIFS('Forecast capex'!$Q$9:$Q$1883,'Forecast capex'!$F$9:$F$1883,'Schedule E calculations'!$B145,'Forecast capex'!$J$9:$J$1883,'Schedule E calculations'!Q$9)/'Capex summary'!Q$19</f>
        <v>1.8671198569763677E-2</v>
      </c>
      <c r="R145" s="360">
        <f>SUMIFS('Forecast capex'!$Q$9:$Q$1883,'Forecast capex'!$F$9:$F$1883,'Schedule E calculations'!$B145,'Forecast capex'!$J$9:$J$1883,'Schedule E calculations'!R$9)/'Capex summary'!R$19</f>
        <v>2.0023470269341162E-2</v>
      </c>
      <c r="S145" s="360">
        <f>SUMIFS('Forecast capex'!$Q$9:$Q$1883,'Forecast capex'!$F$9:$F$1883,'Schedule E calculations'!$B145,'Forecast capex'!$J$9:$J$1883,'Schedule E calculations'!S$9)/'Capex summary'!S$19</f>
        <v>2.395316855684634E-2</v>
      </c>
    </row>
    <row r="146" spans="2:19" s="265" customFormat="1" ht="14.25" x14ac:dyDescent="0.2">
      <c r="B146" s="364" t="str">
        <f>'Sch E table 4 '!E52</f>
        <v>6.1 Ground Mounted Distribution Transformers</v>
      </c>
      <c r="C146" s="356" t="s">
        <v>69</v>
      </c>
      <c r="D146" s="250"/>
      <c r="E146" s="250"/>
      <c r="F146" s="250"/>
      <c r="G146" s="250"/>
      <c r="H146" s="250"/>
      <c r="I146" s="250"/>
      <c r="J146" s="250"/>
      <c r="K146" s="250"/>
      <c r="L146" s="250"/>
      <c r="M146" s="360">
        <f>SUMIFS('Forecast capex'!$Q$9:$Q$1883,'Forecast capex'!$F$9:$F$1883,'Schedule E calculations'!$B146,'Forecast capex'!$J$9:$J$1883,'Schedule E calculations'!M$9)/'Capex summary'!M$19</f>
        <v>2.7487707322214404E-3</v>
      </c>
      <c r="N146" s="360">
        <f>SUMIFS('Forecast capex'!$Q$9:$Q$1883,'Forecast capex'!$F$9:$F$1883,'Schedule E calculations'!$B146,'Forecast capex'!$J$9:$J$1883,'Schedule E calculations'!N$9)/'Capex summary'!N$19</f>
        <v>4.371577806359845E-3</v>
      </c>
      <c r="O146" s="360">
        <f>SUMIFS('Forecast capex'!$Q$9:$Q$1883,'Forecast capex'!$F$9:$F$1883,'Schedule E calculations'!$B146,'Forecast capex'!$J$9:$J$1883,'Schedule E calculations'!O$9)/'Capex summary'!O$19</f>
        <v>5.8093905881271999E-3</v>
      </c>
      <c r="P146" s="360">
        <f>SUMIFS('Forecast capex'!$Q$9:$Q$1883,'Forecast capex'!$F$9:$F$1883,'Schedule E calculations'!$B146,'Forecast capex'!$J$9:$J$1883,'Schedule E calculations'!P$9)/'Capex summary'!P$19</f>
        <v>5.6233347743739094E-3</v>
      </c>
      <c r="Q146" s="360">
        <f>SUMIFS('Forecast capex'!$Q$9:$Q$1883,'Forecast capex'!$F$9:$F$1883,'Schedule E calculations'!$B146,'Forecast capex'!$J$9:$J$1883,'Schedule E calculations'!Q$9)/'Capex summary'!Q$19</f>
        <v>5.6025078790697593E-3</v>
      </c>
      <c r="R146" s="360">
        <f>SUMIFS('Forecast capex'!$Q$9:$Q$1883,'Forecast capex'!$F$9:$F$1883,'Schedule E calculations'!$B146,'Forecast capex'!$J$9:$J$1883,'Schedule E calculations'!R$9)/'Capex summary'!R$19</f>
        <v>6.0082725557839122E-3</v>
      </c>
      <c r="S146" s="360">
        <f>SUMIFS('Forecast capex'!$Q$9:$Q$1883,'Forecast capex'!$F$9:$F$1883,'Schedule E calculations'!$B146,'Forecast capex'!$J$9:$J$1883,'Schedule E calculations'!S$9)/'Capex summary'!S$19</f>
        <v>8.3853276787862648E-3</v>
      </c>
    </row>
    <row r="147" spans="2:19" s="265" customFormat="1" ht="14.25" x14ac:dyDescent="0.2">
      <c r="B147" s="364" t="str">
        <f>'Sch E table 4 '!E53</f>
        <v>6.2 Pole Mounted Distribution Transformers</v>
      </c>
      <c r="C147" s="356" t="s">
        <v>69</v>
      </c>
      <c r="D147" s="250"/>
      <c r="E147" s="250"/>
      <c r="F147" s="250"/>
      <c r="G147" s="250"/>
      <c r="H147" s="250"/>
      <c r="I147" s="250"/>
      <c r="J147" s="250"/>
      <c r="K147" s="250"/>
      <c r="L147" s="250"/>
      <c r="M147" s="360">
        <f>SUMIFS('Forecast capex'!$Q$9:$Q$1883,'Forecast capex'!$F$9:$F$1883,'Schedule E calculations'!$B147,'Forecast capex'!$J$9:$J$1883,'Schedule E calculations'!M$9)/'Capex summary'!M$19</f>
        <v>3.7015153767128495E-2</v>
      </c>
      <c r="N147" s="360">
        <f>SUMIFS('Forecast capex'!$Q$9:$Q$1883,'Forecast capex'!$F$9:$F$1883,'Schedule E calculations'!$B147,'Forecast capex'!$J$9:$J$1883,'Schedule E calculations'!N$9)/'Capex summary'!N$19</f>
        <v>2.9561388617500892E-2</v>
      </c>
      <c r="O147" s="360">
        <f>SUMIFS('Forecast capex'!$Q$9:$Q$1883,'Forecast capex'!$F$9:$F$1883,'Schedule E calculations'!$B147,'Forecast capex'!$J$9:$J$1883,'Schedule E calculations'!O$9)/'Capex summary'!O$19</f>
        <v>1.9280537957578104E-2</v>
      </c>
      <c r="P147" s="360">
        <f>SUMIFS('Forecast capex'!$Q$9:$Q$1883,'Forecast capex'!$F$9:$F$1883,'Schedule E calculations'!$B147,'Forecast capex'!$J$9:$J$1883,'Schedule E calculations'!P$9)/'Capex summary'!P$19</f>
        <v>4.0097529730084104E-2</v>
      </c>
      <c r="Q147" s="360">
        <f>SUMIFS('Forecast capex'!$Q$9:$Q$1883,'Forecast capex'!$F$9:$F$1883,'Schedule E calculations'!$B147,'Forecast capex'!$J$9:$J$1883,'Schedule E calculations'!Q$9)/'Capex summary'!Q$19</f>
        <v>6.1796657449818937E-2</v>
      </c>
      <c r="R147" s="360">
        <f>SUMIFS('Forecast capex'!$Q$9:$Q$1883,'Forecast capex'!$F$9:$F$1883,'Schedule E calculations'!$B147,'Forecast capex'!$J$9:$J$1883,'Schedule E calculations'!R$9)/'Capex summary'!R$19</f>
        <v>7.1787260192015589E-2</v>
      </c>
      <c r="S147" s="360">
        <f>SUMIFS('Forecast capex'!$Q$9:$Q$1883,'Forecast capex'!$F$9:$F$1883,'Schedule E calculations'!$B147,'Forecast capex'!$J$9:$J$1883,'Schedule E calculations'!S$9)/'Capex summary'!S$19</f>
        <v>8.8724165660098789E-2</v>
      </c>
    </row>
    <row r="148" spans="2:19" s="265" customFormat="1" ht="14.25" x14ac:dyDescent="0.2">
      <c r="B148" s="364" t="str">
        <f>'Sch E table 4 '!E54</f>
        <v>6.4 Mobile Distribution Substations and Generators</v>
      </c>
      <c r="C148" s="356" t="s">
        <v>69</v>
      </c>
      <c r="D148" s="250"/>
      <c r="E148" s="250"/>
      <c r="F148" s="250"/>
      <c r="G148" s="250"/>
      <c r="H148" s="250"/>
      <c r="I148" s="250"/>
      <c r="J148" s="250"/>
      <c r="K148" s="250"/>
      <c r="L148" s="250"/>
      <c r="M148" s="360">
        <f>SUMIFS('Forecast capex'!$Q$9:$Q$1883,'Forecast capex'!$F$9:$F$1883,'Schedule E calculations'!$B148,'Forecast capex'!$J$9:$J$1883,'Schedule E calculations'!M$9)/'Capex summary'!M$19</f>
        <v>1.0285361649807123E-3</v>
      </c>
      <c r="N148" s="360">
        <f>SUMIFS('Forecast capex'!$Q$9:$Q$1883,'Forecast capex'!$F$9:$F$1883,'Schedule E calculations'!$B148,'Forecast capex'!$J$9:$J$1883,'Schedule E calculations'!N$9)/'Capex summary'!N$19</f>
        <v>0</v>
      </c>
      <c r="O148" s="360">
        <f>SUMIFS('Forecast capex'!$Q$9:$Q$1883,'Forecast capex'!$F$9:$F$1883,'Schedule E calculations'!$B148,'Forecast capex'!$J$9:$J$1883,'Schedule E calculations'!O$9)/'Capex summary'!O$19</f>
        <v>0</v>
      </c>
      <c r="P148" s="360">
        <f>SUMIFS('Forecast capex'!$Q$9:$Q$1883,'Forecast capex'!$F$9:$F$1883,'Schedule E calculations'!$B148,'Forecast capex'!$J$9:$J$1883,'Schedule E calculations'!P$9)/'Capex summary'!P$19</f>
        <v>0</v>
      </c>
      <c r="Q148" s="360">
        <f>SUMIFS('Forecast capex'!$Q$9:$Q$1883,'Forecast capex'!$F$9:$F$1883,'Schedule E calculations'!$B148,'Forecast capex'!$J$9:$J$1883,'Schedule E calculations'!Q$9)/'Capex summary'!Q$19</f>
        <v>0</v>
      </c>
      <c r="R148" s="360">
        <f>SUMIFS('Forecast capex'!$Q$9:$Q$1883,'Forecast capex'!$F$9:$F$1883,'Schedule E calculations'!$B148,'Forecast capex'!$J$9:$J$1883,'Schedule E calculations'!R$9)/'Capex summary'!R$19</f>
        <v>0</v>
      </c>
      <c r="S148" s="360">
        <f>SUMIFS('Forecast capex'!$Q$9:$Q$1883,'Forecast capex'!$F$9:$F$1883,'Schedule E calculations'!$B148,'Forecast capex'!$J$9:$J$1883,'Schedule E calculations'!S$9)/'Capex summary'!S$19</f>
        <v>0</v>
      </c>
    </row>
    <row r="149" spans="2:19" s="265" customFormat="1" ht="14.25" x14ac:dyDescent="0.2">
      <c r="B149" s="364" t="str">
        <f>'Sch E table 4 '!E55</f>
        <v>7.1 Protection</v>
      </c>
      <c r="C149" s="356" t="s">
        <v>69</v>
      </c>
      <c r="D149" s="250"/>
      <c r="E149" s="250"/>
      <c r="F149" s="250"/>
      <c r="G149" s="250"/>
      <c r="H149" s="250"/>
      <c r="I149" s="250"/>
      <c r="J149" s="250"/>
      <c r="K149" s="250"/>
      <c r="L149" s="250"/>
      <c r="M149" s="360">
        <f>SUMIFS('Forecast capex'!$Q$9:$Q$1883,'Forecast capex'!$F$9:$F$1883,'Schedule E calculations'!$B149,'Forecast capex'!$J$9:$J$1883,'Schedule E calculations'!M$9)/'Capex summary'!M$19</f>
        <v>3.4319948303161936E-2</v>
      </c>
      <c r="N149" s="360">
        <f>SUMIFS('Forecast capex'!$Q$9:$Q$1883,'Forecast capex'!$F$9:$F$1883,'Schedule E calculations'!$B149,'Forecast capex'!$J$9:$J$1883,'Schedule E calculations'!N$9)/'Capex summary'!N$19</f>
        <v>4.7412332826329201E-2</v>
      </c>
      <c r="O149" s="360">
        <f>SUMIFS('Forecast capex'!$Q$9:$Q$1883,'Forecast capex'!$F$9:$F$1883,'Schedule E calculations'!$B149,'Forecast capex'!$J$9:$J$1883,'Schedule E calculations'!O$9)/'Capex summary'!O$19</f>
        <v>4.2004172144547158E-2</v>
      </c>
      <c r="P149" s="360">
        <f>SUMIFS('Forecast capex'!$Q$9:$Q$1883,'Forecast capex'!$F$9:$F$1883,'Schedule E calculations'!$B149,'Forecast capex'!$J$9:$J$1883,'Schedule E calculations'!P$9)/'Capex summary'!P$19</f>
        <v>4.0658915648046648E-2</v>
      </c>
      <c r="Q149" s="360">
        <f>SUMIFS('Forecast capex'!$Q$9:$Q$1883,'Forecast capex'!$F$9:$F$1883,'Schedule E calculations'!$B149,'Forecast capex'!$J$9:$J$1883,'Schedule E calculations'!Q$9)/'Capex summary'!Q$19</f>
        <v>3.3127574162391697E-2</v>
      </c>
      <c r="R149" s="360">
        <f>SUMIFS('Forecast capex'!$Q$9:$Q$1883,'Forecast capex'!$F$9:$F$1883,'Schedule E calculations'!$B149,'Forecast capex'!$J$9:$J$1883,'Schedule E calculations'!R$9)/'Capex summary'!R$19</f>
        <v>2.4298161071184939E-2</v>
      </c>
      <c r="S149" s="360">
        <f>SUMIFS('Forecast capex'!$Q$9:$Q$1883,'Forecast capex'!$F$9:$F$1883,'Schedule E calculations'!$B149,'Forecast capex'!$J$9:$J$1883,'Schedule E calculations'!S$9)/'Capex summary'!S$19</f>
        <v>2.9066787121843143E-2</v>
      </c>
    </row>
    <row r="150" spans="2:19" s="265" customFormat="1" ht="14.25" x14ac:dyDescent="0.2">
      <c r="B150" s="364" t="str">
        <f>'Sch E table 4 '!E56</f>
        <v>7.2 DC Systems</v>
      </c>
      <c r="C150" s="356"/>
      <c r="D150" s="250"/>
      <c r="E150" s="250"/>
      <c r="F150" s="250"/>
      <c r="G150" s="250"/>
      <c r="H150" s="250"/>
      <c r="I150" s="250"/>
      <c r="J150" s="250"/>
      <c r="K150" s="250"/>
      <c r="L150" s="250"/>
      <c r="M150" s="360">
        <f>SUMIFS('Forecast capex'!$Q$9:$Q$1883,'Forecast capex'!$F$9:$F$1883,'Schedule E calculations'!$B150,'Forecast capex'!$J$9:$J$1883,'Schedule E calculations'!M$9)/'Capex summary'!M$19</f>
        <v>8.1778226529244016E-3</v>
      </c>
      <c r="N150" s="360">
        <f>SUMIFS('Forecast capex'!$Q$9:$Q$1883,'Forecast capex'!$F$9:$F$1883,'Schedule E calculations'!$B150,'Forecast capex'!$J$9:$J$1883,'Schedule E calculations'!N$9)/'Capex summary'!N$19</f>
        <v>1.3637635198233643E-2</v>
      </c>
      <c r="O150" s="360">
        <f>SUMIFS('Forecast capex'!$Q$9:$Q$1883,'Forecast capex'!$F$9:$F$1883,'Schedule E calculations'!$B150,'Forecast capex'!$J$9:$J$1883,'Schedule E calculations'!O$9)/'Capex summary'!O$19</f>
        <v>1.2082037359550279E-2</v>
      </c>
      <c r="P150" s="360">
        <f>SUMIFS('Forecast capex'!$Q$9:$Q$1883,'Forecast capex'!$F$9:$F$1883,'Schedule E calculations'!$B150,'Forecast capex'!$J$9:$J$1883,'Schedule E calculations'!P$9)/'Capex summary'!P$19</f>
        <v>1.3055930995846586E-2</v>
      </c>
      <c r="Q150" s="360">
        <f>SUMIFS('Forecast capex'!$Q$9:$Q$1883,'Forecast capex'!$F$9:$F$1883,'Schedule E calculations'!$B150,'Forecast capex'!$J$9:$J$1883,'Schedule E calculations'!Q$9)/'Capex summary'!Q$19</f>
        <v>1.3007576323955479E-2</v>
      </c>
      <c r="R150" s="360">
        <f>SUMIFS('Forecast capex'!$Q$9:$Q$1883,'Forecast capex'!$F$9:$F$1883,'Schedule E calculations'!$B150,'Forecast capex'!$J$9:$J$1883,'Schedule E calculations'!R$9)/'Capex summary'!R$19</f>
        <v>1.5154625002364688E-2</v>
      </c>
      <c r="S150" s="360">
        <f>SUMIFS('Forecast capex'!$Q$9:$Q$1883,'Forecast capex'!$F$9:$F$1883,'Schedule E calculations'!$B150,'Forecast capex'!$J$9:$J$1883,'Schedule E calculations'!S$9)/'Capex summary'!S$19</f>
        <v>1.8128778965547376E-2</v>
      </c>
    </row>
    <row r="151" spans="2:19" s="265" customFormat="1" ht="14.25" x14ac:dyDescent="0.2">
      <c r="B151" s="364" t="str">
        <f>'Sch E table 4 '!E57</f>
        <v>7.3 Remote Terminal Units</v>
      </c>
      <c r="C151" s="356" t="s">
        <v>69</v>
      </c>
      <c r="D151" s="250"/>
      <c r="E151" s="250"/>
      <c r="F151" s="250"/>
      <c r="G151" s="250"/>
      <c r="H151" s="250"/>
      <c r="I151" s="250"/>
      <c r="J151" s="250"/>
      <c r="K151" s="250"/>
      <c r="L151" s="250"/>
      <c r="M151" s="360">
        <f>SUMIFS('Forecast capex'!$Q$9:$Q$1883,'Forecast capex'!$F$9:$F$1883,'Schedule E calculations'!$B151,'Forecast capex'!$J$9:$J$1883,'Schedule E calculations'!M$9)/'Capex summary'!M$19</f>
        <v>0</v>
      </c>
      <c r="N151" s="360">
        <f>SUMIFS('Forecast capex'!$Q$9:$Q$1883,'Forecast capex'!$F$9:$F$1883,'Schedule E calculations'!$B151,'Forecast capex'!$J$9:$J$1883,'Schedule E calculations'!N$9)/'Capex summary'!N$19</f>
        <v>0</v>
      </c>
      <c r="O151" s="360">
        <f>SUMIFS('Forecast capex'!$Q$9:$Q$1883,'Forecast capex'!$F$9:$F$1883,'Schedule E calculations'!$B151,'Forecast capex'!$J$9:$J$1883,'Schedule E calculations'!O$9)/'Capex summary'!O$19</f>
        <v>1.4950637542974412E-3</v>
      </c>
      <c r="P151" s="360">
        <f>SUMIFS('Forecast capex'!$Q$9:$Q$1883,'Forecast capex'!$F$9:$F$1883,'Schedule E calculations'!$B151,'Forecast capex'!$J$9:$J$1883,'Schedule E calculations'!P$9)/'Capex summary'!P$19</f>
        <v>1.4471817434050501E-3</v>
      </c>
      <c r="Q151" s="360">
        <f>SUMIFS('Forecast capex'!$Q$9:$Q$1883,'Forecast capex'!$F$9:$F$1883,'Schedule E calculations'!$B151,'Forecast capex'!$J$9:$J$1883,'Schedule E calculations'!Q$9)/'Capex summary'!Q$19</f>
        <v>3.9650101717681203E-3</v>
      </c>
      <c r="R151" s="360">
        <f>SUMIFS('Forecast capex'!$Q$9:$Q$1883,'Forecast capex'!$F$9:$F$1883,'Schedule E calculations'!$B151,'Forecast capex'!$J$9:$J$1883,'Schedule E calculations'!R$9)/'Capex summary'!R$19</f>
        <v>2.7059315738365043E-3</v>
      </c>
      <c r="S151" s="360">
        <f>SUMIFS('Forecast capex'!$Q$9:$Q$1883,'Forecast capex'!$F$9:$F$1883,'Schedule E calculations'!$B151,'Forecast capex'!$J$9:$J$1883,'Schedule E calculations'!S$9)/'Capex summary'!S$19</f>
        <v>5.0866877463225501E-3</v>
      </c>
    </row>
    <row r="152" spans="2:19" s="265" customFormat="1" ht="14.25" x14ac:dyDescent="0.2">
      <c r="B152" s="366"/>
      <c r="C152" s="355"/>
      <c r="D152" s="250"/>
      <c r="E152" s="250"/>
      <c r="F152" s="250"/>
      <c r="G152" s="250"/>
      <c r="H152" s="250"/>
      <c r="I152" s="250"/>
      <c r="J152" s="250"/>
      <c r="K152" s="250"/>
      <c r="L152" s="250"/>
      <c r="M152" s="250"/>
      <c r="N152" s="250"/>
      <c r="O152" s="250"/>
      <c r="P152" s="250"/>
      <c r="Q152" s="250"/>
      <c r="R152" s="250"/>
      <c r="S152" s="250"/>
    </row>
    <row r="153" spans="2:19" s="265" customFormat="1" ht="14.25" x14ac:dyDescent="0.2">
      <c r="B153" s="361" t="s">
        <v>441</v>
      </c>
      <c r="C153" s="362">
        <f>SUM(M153:S153)</f>
        <v>0</v>
      </c>
      <c r="D153" s="250"/>
      <c r="E153" s="250"/>
      <c r="F153" s="250"/>
      <c r="G153" s="250"/>
      <c r="H153" s="250"/>
      <c r="I153" s="250"/>
      <c r="J153" s="250"/>
      <c r="K153" s="250"/>
      <c r="L153" s="250"/>
      <c r="M153" s="228">
        <f t="shared" ref="M153:S153" si="40">1-SUM(M132:M151)</f>
        <v>0</v>
      </c>
      <c r="N153" s="228">
        <f t="shared" si="40"/>
        <v>0</v>
      </c>
      <c r="O153" s="228">
        <f t="shared" si="40"/>
        <v>0</v>
      </c>
      <c r="P153" s="228">
        <f t="shared" si="40"/>
        <v>0</v>
      </c>
      <c r="Q153" s="228">
        <f t="shared" si="40"/>
        <v>0</v>
      </c>
      <c r="R153" s="228">
        <f t="shared" si="40"/>
        <v>0</v>
      </c>
      <c r="S153" s="228">
        <f t="shared" si="40"/>
        <v>0</v>
      </c>
    </row>
    <row r="154" spans="2:19" s="265" customFormat="1" ht="14.25" x14ac:dyDescent="0.2">
      <c r="B154" s="361"/>
      <c r="C154" s="355"/>
      <c r="D154" s="250"/>
      <c r="E154" s="250"/>
      <c r="F154" s="250"/>
      <c r="G154" s="250"/>
      <c r="H154" s="250"/>
      <c r="I154" s="250"/>
      <c r="J154" s="250"/>
      <c r="K154" s="250"/>
      <c r="L154" s="250"/>
      <c r="M154" s="228"/>
      <c r="N154" s="228"/>
      <c r="O154" s="228"/>
      <c r="P154" s="228"/>
      <c r="Q154" s="228"/>
      <c r="R154" s="228"/>
      <c r="S154" s="228"/>
    </row>
    <row r="155" spans="2:19" s="265" customFormat="1" ht="14.25" x14ac:dyDescent="0.2">
      <c r="B155" s="291" t="s">
        <v>478</v>
      </c>
      <c r="C155" s="358"/>
      <c r="D155" s="250"/>
      <c r="E155" s="250"/>
      <c r="F155" s="250"/>
      <c r="G155" s="250"/>
      <c r="H155" s="250"/>
      <c r="I155" s="250"/>
      <c r="J155" s="250"/>
      <c r="K155" s="250"/>
      <c r="L155" s="250"/>
      <c r="M155" s="250"/>
      <c r="N155" s="250"/>
      <c r="O155" s="250"/>
      <c r="P155" s="250"/>
      <c r="Q155" s="250"/>
      <c r="R155" s="250"/>
      <c r="S155" s="250"/>
    </row>
    <row r="156" spans="2:19" s="265" customFormat="1" ht="14.25" x14ac:dyDescent="0.2">
      <c r="B156" s="364" t="str">
        <f>B132</f>
        <v>1.1 Poles</v>
      </c>
      <c r="C156" s="356" t="s">
        <v>250</v>
      </c>
      <c r="D156" s="250"/>
      <c r="E156" s="250"/>
      <c r="F156" s="250"/>
      <c r="G156" s="250"/>
      <c r="H156" s="250"/>
      <c r="I156" s="250"/>
      <c r="J156" s="250"/>
      <c r="K156" s="250"/>
      <c r="L156" s="250"/>
      <c r="M156" s="363">
        <f t="shared" ref="M156:S156" si="41">M132*M$51</f>
        <v>115193.43406748786</v>
      </c>
      <c r="N156" s="363">
        <f t="shared" si="41"/>
        <v>109928.2175861032</v>
      </c>
      <c r="O156" s="363">
        <f t="shared" si="41"/>
        <v>74518.459302679752</v>
      </c>
      <c r="P156" s="363">
        <f t="shared" si="41"/>
        <v>67137.741675597383</v>
      </c>
      <c r="Q156" s="363">
        <f t="shared" si="41"/>
        <v>62168.503204416622</v>
      </c>
      <c r="R156" s="363">
        <f t="shared" si="41"/>
        <v>36289.147299223259</v>
      </c>
      <c r="S156" s="363">
        <f t="shared" si="41"/>
        <v>33085.124975902421</v>
      </c>
    </row>
    <row r="157" spans="2:19" s="265" customFormat="1" ht="14.25" x14ac:dyDescent="0.2">
      <c r="B157" s="364" t="str">
        <f t="shared" ref="B157:B175" si="42">B133</f>
        <v>1.2 Crossarms</v>
      </c>
      <c r="C157" s="356" t="s">
        <v>250</v>
      </c>
      <c r="D157" s="250"/>
      <c r="E157" s="250"/>
      <c r="F157" s="250"/>
      <c r="G157" s="250"/>
      <c r="H157" s="250"/>
      <c r="I157" s="250"/>
      <c r="J157" s="250"/>
      <c r="K157" s="250"/>
      <c r="L157" s="250"/>
      <c r="M157" s="363">
        <f t="shared" ref="M157:S157" si="43">M133*M$51</f>
        <v>9259.6940749794339</v>
      </c>
      <c r="N157" s="363">
        <f t="shared" si="43"/>
        <v>28039.661297324878</v>
      </c>
      <c r="O157" s="363">
        <f t="shared" si="43"/>
        <v>42474.735456096576</v>
      </c>
      <c r="P157" s="363">
        <f t="shared" si="43"/>
        <v>53919.393351303916</v>
      </c>
      <c r="Q157" s="363">
        <f t="shared" si="43"/>
        <v>51616.485990980174</v>
      </c>
      <c r="R157" s="363">
        <f t="shared" si="43"/>
        <v>49840.326631679651</v>
      </c>
      <c r="S157" s="363">
        <f t="shared" si="43"/>
        <v>49008.865189219374</v>
      </c>
    </row>
    <row r="158" spans="2:19" s="265" customFormat="1" ht="14.25" x14ac:dyDescent="0.2">
      <c r="B158" s="364" t="str">
        <f t="shared" si="42"/>
        <v>2.1 Subtransmission Conductor</v>
      </c>
      <c r="C158" s="356" t="s">
        <v>250</v>
      </c>
      <c r="D158" s="250"/>
      <c r="E158" s="250"/>
      <c r="F158" s="250"/>
      <c r="G158" s="250"/>
      <c r="H158" s="250"/>
      <c r="I158" s="250"/>
      <c r="J158" s="250"/>
      <c r="K158" s="250"/>
      <c r="L158" s="250"/>
      <c r="M158" s="363">
        <f t="shared" ref="M158:S158" si="44">M134*M$51</f>
        <v>7621.3243497927624</v>
      </c>
      <c r="N158" s="363">
        <f t="shared" si="44"/>
        <v>51854.745653035316</v>
      </c>
      <c r="O158" s="363">
        <f t="shared" si="44"/>
        <v>40716.172950007393</v>
      </c>
      <c r="P158" s="363">
        <f t="shared" si="44"/>
        <v>48900.294510386237</v>
      </c>
      <c r="Q158" s="363">
        <f t="shared" si="44"/>
        <v>5814.1381896139901</v>
      </c>
      <c r="R158" s="363">
        <f t="shared" si="44"/>
        <v>2407.9784654223927</v>
      </c>
      <c r="S158" s="363">
        <f t="shared" si="44"/>
        <v>2505.6025864267126</v>
      </c>
    </row>
    <row r="159" spans="2:19" s="265" customFormat="1" ht="14.25" x14ac:dyDescent="0.2">
      <c r="B159" s="364" t="str">
        <f t="shared" si="42"/>
        <v>2.2 Distribution Conductor</v>
      </c>
      <c r="C159" s="356" t="s">
        <v>250</v>
      </c>
      <c r="D159" s="250"/>
      <c r="E159" s="250"/>
      <c r="F159" s="250"/>
      <c r="G159" s="250"/>
      <c r="H159" s="250"/>
      <c r="I159" s="250"/>
      <c r="J159" s="250"/>
      <c r="K159" s="250"/>
      <c r="L159" s="250"/>
      <c r="M159" s="363">
        <f t="shared" ref="M159:S159" si="45">M135*M$51</f>
        <v>33846.058123791205</v>
      </c>
      <c r="N159" s="363">
        <f t="shared" si="45"/>
        <v>32043.248207320426</v>
      </c>
      <c r="O159" s="363">
        <f t="shared" si="45"/>
        <v>28848.235234997806</v>
      </c>
      <c r="P159" s="363">
        <f t="shared" si="45"/>
        <v>34388.53250087479</v>
      </c>
      <c r="Q159" s="363">
        <f t="shared" si="45"/>
        <v>36207.329369199899</v>
      </c>
      <c r="R159" s="363">
        <f t="shared" si="45"/>
        <v>37096.580826630976</v>
      </c>
      <c r="S159" s="363">
        <f t="shared" si="45"/>
        <v>35166.761458239263</v>
      </c>
    </row>
    <row r="160" spans="2:19" s="265" customFormat="1" ht="14.25" x14ac:dyDescent="0.2">
      <c r="B160" s="364" t="str">
        <f t="shared" si="42"/>
        <v>2.3 Low Voltage Conductor</v>
      </c>
      <c r="C160" s="356" t="s">
        <v>250</v>
      </c>
      <c r="D160" s="250"/>
      <c r="E160" s="250"/>
      <c r="F160" s="250"/>
      <c r="G160" s="250"/>
      <c r="H160" s="250"/>
      <c r="I160" s="250"/>
      <c r="J160" s="250"/>
      <c r="K160" s="250"/>
      <c r="L160" s="250"/>
      <c r="M160" s="363">
        <f t="shared" ref="M160:S160" si="46">M136*M$51</f>
        <v>0</v>
      </c>
      <c r="N160" s="363">
        <f t="shared" si="46"/>
        <v>0</v>
      </c>
      <c r="O160" s="363">
        <f t="shared" si="46"/>
        <v>13944.543374461855</v>
      </c>
      <c r="P160" s="363">
        <f t="shared" si="46"/>
        <v>25506.380660995543</v>
      </c>
      <c r="Q160" s="363">
        <f t="shared" si="46"/>
        <v>25912.035966758896</v>
      </c>
      <c r="R160" s="363">
        <f t="shared" si="46"/>
        <v>27358.388148884416</v>
      </c>
      <c r="S160" s="363">
        <f t="shared" si="46"/>
        <v>27389.178070251517</v>
      </c>
    </row>
    <row r="161" spans="2:19" s="265" customFormat="1" ht="14.25" x14ac:dyDescent="0.2">
      <c r="B161" s="364" t="str">
        <f t="shared" si="42"/>
        <v>3.1 Subtransmission Cables</v>
      </c>
      <c r="C161" s="356" t="s">
        <v>250</v>
      </c>
      <c r="D161" s="250"/>
      <c r="E161" s="250"/>
      <c r="F161" s="250"/>
      <c r="G161" s="250"/>
      <c r="H161" s="250"/>
      <c r="I161" s="250"/>
      <c r="J161" s="250"/>
      <c r="K161" s="250"/>
      <c r="L161" s="250"/>
      <c r="M161" s="363">
        <f t="shared" ref="M161:S161" si="47">M137*M$51</f>
        <v>21928.296467764612</v>
      </c>
      <c r="N161" s="363">
        <f t="shared" si="47"/>
        <v>1531.8870901073467</v>
      </c>
      <c r="O161" s="363">
        <f t="shared" si="47"/>
        <v>0</v>
      </c>
      <c r="P161" s="363">
        <f t="shared" si="47"/>
        <v>0</v>
      </c>
      <c r="Q161" s="363">
        <f t="shared" si="47"/>
        <v>12107.570788007693</v>
      </c>
      <c r="R161" s="363">
        <f t="shared" si="47"/>
        <v>18106.832936420436</v>
      </c>
      <c r="S161" s="363">
        <f t="shared" si="47"/>
        <v>17507.852325778207</v>
      </c>
    </row>
    <row r="162" spans="2:19" s="265" customFormat="1" ht="14.25" x14ac:dyDescent="0.2">
      <c r="B162" s="364" t="str">
        <f t="shared" si="42"/>
        <v>3.2 Distribution Cables</v>
      </c>
      <c r="C162" s="356" t="s">
        <v>250</v>
      </c>
      <c r="D162" s="250"/>
      <c r="E162" s="250"/>
      <c r="F162" s="250"/>
      <c r="G162" s="250"/>
      <c r="H162" s="250"/>
      <c r="I162" s="250"/>
      <c r="J162" s="250"/>
      <c r="K162" s="250"/>
      <c r="L162" s="250"/>
      <c r="M162" s="363">
        <f t="shared" ref="M162:S162" si="48">M138*M$51</f>
        <v>8395.7542726920583</v>
      </c>
      <c r="N162" s="363">
        <f t="shared" si="48"/>
        <v>6514.3498506814922</v>
      </c>
      <c r="O162" s="363">
        <f t="shared" si="48"/>
        <v>10209.4962019347</v>
      </c>
      <c r="P162" s="363">
        <f t="shared" si="48"/>
        <v>11001.045544069575</v>
      </c>
      <c r="Q162" s="363">
        <f t="shared" si="48"/>
        <v>11421.739605213776</v>
      </c>
      <c r="R162" s="363">
        <f t="shared" si="48"/>
        <v>11644.491826330841</v>
      </c>
      <c r="S162" s="363">
        <f t="shared" si="48"/>
        <v>7599.6126795288474</v>
      </c>
    </row>
    <row r="163" spans="2:19" s="265" customFormat="1" ht="14.25" x14ac:dyDescent="0.2">
      <c r="B163" s="364" t="str">
        <f t="shared" si="42"/>
        <v>3.3 Low Voltage Cables</v>
      </c>
      <c r="C163" s="356" t="s">
        <v>250</v>
      </c>
      <c r="D163" s="250"/>
      <c r="E163" s="250"/>
      <c r="F163" s="250"/>
      <c r="G163" s="250"/>
      <c r="H163" s="250"/>
      <c r="I163" s="250"/>
      <c r="J163" s="250"/>
      <c r="K163" s="250"/>
      <c r="L163" s="250"/>
      <c r="M163" s="363">
        <f t="shared" ref="M163:S163" si="49">M139*M$51</f>
        <v>2044.6378154609572</v>
      </c>
      <c r="N163" s="363">
        <f t="shared" si="49"/>
        <v>3040.6434639723789</v>
      </c>
      <c r="O163" s="363">
        <f t="shared" si="49"/>
        <v>1841.6204287518458</v>
      </c>
      <c r="P163" s="363">
        <f t="shared" si="49"/>
        <v>1859.9427142388095</v>
      </c>
      <c r="Q163" s="363">
        <f t="shared" si="49"/>
        <v>1817.0637779386911</v>
      </c>
      <c r="R163" s="363">
        <f t="shared" si="49"/>
        <v>1811.6086668981739</v>
      </c>
      <c r="S163" s="363">
        <f t="shared" si="49"/>
        <v>1839.2639938580321</v>
      </c>
    </row>
    <row r="164" spans="2:19" s="265" customFormat="1" ht="14.25" x14ac:dyDescent="0.2">
      <c r="B164" s="364" t="str">
        <f t="shared" si="42"/>
        <v>4.1 Zone Substations</v>
      </c>
      <c r="C164" s="356" t="s">
        <v>250</v>
      </c>
      <c r="D164" s="250"/>
      <c r="E164" s="250"/>
      <c r="F164" s="250"/>
      <c r="G164" s="250"/>
      <c r="H164" s="250"/>
      <c r="I164" s="250"/>
      <c r="J164" s="250"/>
      <c r="K164" s="250"/>
      <c r="L164" s="250"/>
      <c r="M164" s="363">
        <f t="shared" ref="M164:S164" si="50">M140*M$51</f>
        <v>50032.199624042361</v>
      </c>
      <c r="N164" s="363">
        <f t="shared" si="50"/>
        <v>67038.216003096837</v>
      </c>
      <c r="O164" s="363">
        <f t="shared" si="50"/>
        <v>64529.722683783933</v>
      </c>
      <c r="P164" s="363">
        <f t="shared" si="50"/>
        <v>35854.433333695088</v>
      </c>
      <c r="Q164" s="363">
        <f t="shared" si="50"/>
        <v>62215.559993149211</v>
      </c>
      <c r="R164" s="363">
        <f t="shared" si="50"/>
        <v>63114.927284158868</v>
      </c>
      <c r="S164" s="363">
        <f t="shared" si="50"/>
        <v>30623.488516949255</v>
      </c>
    </row>
    <row r="165" spans="2:19" s="265" customFormat="1" ht="14.25" x14ac:dyDescent="0.2">
      <c r="B165" s="364" t="str">
        <f t="shared" si="42"/>
        <v>5.1 Ground Mounted Switchgear</v>
      </c>
      <c r="C165" s="356" t="s">
        <v>250</v>
      </c>
      <c r="D165" s="250"/>
      <c r="E165" s="250"/>
      <c r="F165" s="250"/>
      <c r="G165" s="250"/>
      <c r="H165" s="250"/>
      <c r="I165" s="250"/>
      <c r="J165" s="250"/>
      <c r="K165" s="250"/>
      <c r="L165" s="250"/>
      <c r="M165" s="363">
        <f t="shared" ref="M165:S165" si="51">M141*M$51</f>
        <v>9919.5360207824597</v>
      </c>
      <c r="N165" s="363">
        <f t="shared" si="51"/>
        <v>23725.675765696324</v>
      </c>
      <c r="O165" s="363">
        <f t="shared" si="51"/>
        <v>19045.092126608768</v>
      </c>
      <c r="P165" s="363">
        <f t="shared" si="51"/>
        <v>20025.824722882124</v>
      </c>
      <c r="Q165" s="363">
        <f t="shared" si="51"/>
        <v>18928.088922058989</v>
      </c>
      <c r="R165" s="363">
        <f t="shared" si="51"/>
        <v>19051.802332092211</v>
      </c>
      <c r="S165" s="363">
        <f t="shared" si="51"/>
        <v>11513.476119119718</v>
      </c>
    </row>
    <row r="166" spans="2:19" s="265" customFormat="1" ht="14.25" x14ac:dyDescent="0.2">
      <c r="B166" s="364" t="str">
        <f t="shared" si="42"/>
        <v>5.2 Pole Mounted Fuses</v>
      </c>
      <c r="C166" s="356" t="s">
        <v>250</v>
      </c>
      <c r="D166" s="250"/>
      <c r="E166" s="250"/>
      <c r="F166" s="250"/>
      <c r="G166" s="250"/>
      <c r="H166" s="250"/>
      <c r="I166" s="250"/>
      <c r="J166" s="250"/>
      <c r="K166" s="250"/>
      <c r="L166" s="250"/>
      <c r="M166" s="363">
        <f t="shared" ref="M166:S166" si="52">M142*M$51</f>
        <v>608.52315936338005</v>
      </c>
      <c r="N166" s="363">
        <f t="shared" si="52"/>
        <v>1646.7786218653978</v>
      </c>
      <c r="O166" s="363">
        <f t="shared" si="52"/>
        <v>1106.7097916239568</v>
      </c>
      <c r="P166" s="363">
        <f t="shared" si="52"/>
        <v>1272.9594009894065</v>
      </c>
      <c r="Q166" s="363">
        <f t="shared" si="52"/>
        <v>1334.608772928538</v>
      </c>
      <c r="R166" s="363">
        <f t="shared" si="52"/>
        <v>1421.3249358862445</v>
      </c>
      <c r="S166" s="363">
        <f t="shared" si="52"/>
        <v>1504.4275462316432</v>
      </c>
    </row>
    <row r="167" spans="2:19" s="265" customFormat="1" ht="14.25" x14ac:dyDescent="0.2">
      <c r="B167" s="364" t="str">
        <f t="shared" si="42"/>
        <v>5.3 Pole Mounted Switches</v>
      </c>
      <c r="C167" s="356" t="s">
        <v>250</v>
      </c>
      <c r="D167" s="250"/>
      <c r="E167" s="250"/>
      <c r="F167" s="250"/>
      <c r="G167" s="250"/>
      <c r="H167" s="250"/>
      <c r="I167" s="250"/>
      <c r="J167" s="250"/>
      <c r="K167" s="250"/>
      <c r="L167" s="250"/>
      <c r="M167" s="363">
        <f t="shared" ref="M167:S167" si="53">M143*M$51</f>
        <v>2442.120924149875</v>
      </c>
      <c r="N167" s="363">
        <f t="shared" si="53"/>
        <v>2927.4362291951397</v>
      </c>
      <c r="O167" s="363">
        <f t="shared" si="53"/>
        <v>3326.2777626031148</v>
      </c>
      <c r="P167" s="363">
        <f t="shared" si="53"/>
        <v>3359.3709070013119</v>
      </c>
      <c r="Q167" s="363">
        <f t="shared" si="53"/>
        <v>3281.9243007015407</v>
      </c>
      <c r="R167" s="363">
        <f t="shared" si="53"/>
        <v>3272.0714481466307</v>
      </c>
      <c r="S167" s="363">
        <f t="shared" si="53"/>
        <v>3322.0216429033426</v>
      </c>
    </row>
    <row r="168" spans="2:19" s="265" customFormat="1" ht="14.25" x14ac:dyDescent="0.2">
      <c r="B168" s="364" t="str">
        <f t="shared" si="42"/>
        <v>5.4 Low Voltage Enclosures</v>
      </c>
      <c r="C168" s="356" t="s">
        <v>250</v>
      </c>
      <c r="D168" s="250"/>
      <c r="E168" s="250"/>
      <c r="F168" s="250"/>
      <c r="G168" s="250"/>
      <c r="H168" s="250"/>
      <c r="I168" s="250"/>
      <c r="J168" s="250"/>
      <c r="K168" s="250"/>
      <c r="L168" s="250"/>
      <c r="M168" s="363">
        <f t="shared" ref="M168:S168" si="54">M144*M$51</f>
        <v>4665.3442217859147</v>
      </c>
      <c r="N168" s="363">
        <f t="shared" si="54"/>
        <v>10838.101162509478</v>
      </c>
      <c r="O168" s="363">
        <f t="shared" si="54"/>
        <v>12269.9167160835</v>
      </c>
      <c r="P168" s="363">
        <f t="shared" si="54"/>
        <v>12843.326967928548</v>
      </c>
      <c r="Q168" s="363">
        <f t="shared" si="54"/>
        <v>12475.07989853202</v>
      </c>
      <c r="R168" s="363">
        <f t="shared" si="54"/>
        <v>11160.822749632163</v>
      </c>
      <c r="S168" s="363">
        <f t="shared" si="54"/>
        <v>9453.169866224609</v>
      </c>
    </row>
    <row r="169" spans="2:19" s="265" customFormat="1" ht="14.25" x14ac:dyDescent="0.2">
      <c r="B169" s="364" t="str">
        <f t="shared" si="42"/>
        <v>5.6 Ancillary Distribution Substation Equipment</v>
      </c>
      <c r="C169" s="356" t="s">
        <v>250</v>
      </c>
      <c r="D169" s="250"/>
      <c r="E169" s="250"/>
      <c r="F169" s="250"/>
      <c r="G169" s="250"/>
      <c r="H169" s="250"/>
      <c r="I169" s="250"/>
      <c r="J169" s="250"/>
      <c r="K169" s="250"/>
      <c r="L169" s="250"/>
      <c r="M169" s="363">
        <f t="shared" ref="M169:S169" si="55">M145*M$51</f>
        <v>7111.591095142453</v>
      </c>
      <c r="N169" s="363">
        <f t="shared" si="55"/>
        <v>5914.82285966163</v>
      </c>
      <c r="O169" s="363">
        <f t="shared" si="55"/>
        <v>4747.9510125355173</v>
      </c>
      <c r="P169" s="363">
        <f t="shared" si="55"/>
        <v>7996.5260415996818</v>
      </c>
      <c r="Q169" s="363">
        <f t="shared" si="55"/>
        <v>6598.8942144994817</v>
      </c>
      <c r="R169" s="363">
        <f t="shared" si="55"/>
        <v>6579.0832969511957</v>
      </c>
      <c r="S169" s="363">
        <f t="shared" si="55"/>
        <v>6679.5170732947672</v>
      </c>
    </row>
    <row r="170" spans="2:19" s="265" customFormat="1" ht="14.25" x14ac:dyDescent="0.2">
      <c r="B170" s="364" t="str">
        <f t="shared" si="42"/>
        <v>6.1 Ground Mounted Distribution Transformers</v>
      </c>
      <c r="C170" s="356" t="s">
        <v>250</v>
      </c>
      <c r="D170" s="250"/>
      <c r="E170" s="250"/>
      <c r="F170" s="250"/>
      <c r="G170" s="250"/>
      <c r="H170" s="250"/>
      <c r="I170" s="250"/>
      <c r="J170" s="250"/>
      <c r="K170" s="250"/>
      <c r="L170" s="250"/>
      <c r="M170" s="363">
        <f t="shared" ref="M170:S170" si="56">M146*M$51</f>
        <v>818.80085242064069</v>
      </c>
      <c r="N170" s="363">
        <f t="shared" si="56"/>
        <v>1666.6931540367932</v>
      </c>
      <c r="O170" s="363">
        <f t="shared" si="56"/>
        <v>2006.8337554781081</v>
      </c>
      <c r="P170" s="363">
        <f t="shared" si="56"/>
        <v>2026.7997486972793</v>
      </c>
      <c r="Q170" s="363">
        <f t="shared" si="56"/>
        <v>1980.0741067448855</v>
      </c>
      <c r="R170" s="363">
        <f t="shared" si="56"/>
        <v>1974.1296130777455</v>
      </c>
      <c r="S170" s="363">
        <f t="shared" si="56"/>
        <v>2338.310243285754</v>
      </c>
    </row>
    <row r="171" spans="2:19" s="265" customFormat="1" ht="14.25" x14ac:dyDescent="0.2">
      <c r="B171" s="364" t="str">
        <f t="shared" si="42"/>
        <v>6.2 Pole Mounted Distribution Transformers</v>
      </c>
      <c r="C171" s="356" t="s">
        <v>250</v>
      </c>
      <c r="D171" s="250"/>
      <c r="E171" s="250"/>
      <c r="F171" s="250"/>
      <c r="G171" s="250"/>
      <c r="H171" s="250"/>
      <c r="I171" s="250"/>
      <c r="J171" s="250"/>
      <c r="K171" s="250"/>
      <c r="L171" s="250"/>
      <c r="M171" s="363">
        <f t="shared" ref="M171:S171" si="57">M147*M$51</f>
        <v>11026.033965558207</v>
      </c>
      <c r="N171" s="363">
        <f t="shared" si="57"/>
        <v>11270.476293692276</v>
      </c>
      <c r="O171" s="363">
        <f t="shared" si="57"/>
        <v>6660.3947195635656</v>
      </c>
      <c r="P171" s="363">
        <f t="shared" si="57"/>
        <v>14452.218557335411</v>
      </c>
      <c r="Q171" s="363">
        <f t="shared" si="57"/>
        <v>21840.56924879986</v>
      </c>
      <c r="R171" s="363">
        <f t="shared" si="57"/>
        <v>23587.038515812637</v>
      </c>
      <c r="S171" s="363">
        <f t="shared" si="57"/>
        <v>24741.385588883822</v>
      </c>
    </row>
    <row r="172" spans="2:19" s="265" customFormat="1" ht="14.25" x14ac:dyDescent="0.2">
      <c r="B172" s="364" t="str">
        <f t="shared" si="42"/>
        <v>6.4 Mobile Distribution Substations and Generators</v>
      </c>
      <c r="C172" s="356" t="s">
        <v>250</v>
      </c>
      <c r="D172" s="250"/>
      <c r="E172" s="250"/>
      <c r="F172" s="250"/>
      <c r="G172" s="250"/>
      <c r="H172" s="250"/>
      <c r="I172" s="250"/>
      <c r="J172" s="250"/>
      <c r="K172" s="250"/>
      <c r="L172" s="250"/>
      <c r="M172" s="363">
        <f t="shared" ref="M172:S172" si="58">M148*M$51</f>
        <v>306.37924027627463</v>
      </c>
      <c r="N172" s="363">
        <f t="shared" si="58"/>
        <v>0</v>
      </c>
      <c r="O172" s="363">
        <f t="shared" si="58"/>
        <v>0</v>
      </c>
      <c r="P172" s="363">
        <f t="shared" si="58"/>
        <v>0</v>
      </c>
      <c r="Q172" s="363">
        <f t="shared" si="58"/>
        <v>0</v>
      </c>
      <c r="R172" s="363">
        <f t="shared" si="58"/>
        <v>0</v>
      </c>
      <c r="S172" s="363">
        <f t="shared" si="58"/>
        <v>0</v>
      </c>
    </row>
    <row r="173" spans="2:19" s="265" customFormat="1" ht="14.25" x14ac:dyDescent="0.2">
      <c r="B173" s="364" t="str">
        <f t="shared" si="42"/>
        <v>7.1 Protection</v>
      </c>
      <c r="C173" s="356" t="s">
        <v>250</v>
      </c>
      <c r="D173" s="250"/>
      <c r="E173" s="250"/>
      <c r="F173" s="250"/>
      <c r="G173" s="250"/>
      <c r="H173" s="250"/>
      <c r="I173" s="250"/>
      <c r="J173" s="250"/>
      <c r="K173" s="250"/>
      <c r="L173" s="250"/>
      <c r="M173" s="363">
        <f t="shared" ref="M173:S173" si="59">M149*M$51</f>
        <v>10223.189077304789</v>
      </c>
      <c r="N173" s="363">
        <f t="shared" si="59"/>
        <v>18076.267663266692</v>
      </c>
      <c r="O173" s="363">
        <f t="shared" si="59"/>
        <v>14510.195045736322</v>
      </c>
      <c r="P173" s="363">
        <f t="shared" si="59"/>
        <v>14654.557006512192</v>
      </c>
      <c r="Q173" s="363">
        <f t="shared" si="59"/>
        <v>11708.158780691281</v>
      </c>
      <c r="R173" s="363">
        <f t="shared" si="59"/>
        <v>7983.612405829118</v>
      </c>
      <c r="S173" s="363">
        <f t="shared" si="59"/>
        <v>8105.4871878602808</v>
      </c>
    </row>
    <row r="174" spans="2:19" s="265" customFormat="1" ht="14.25" x14ac:dyDescent="0.2">
      <c r="B174" s="364" t="str">
        <f t="shared" si="42"/>
        <v>7.2 DC Systems</v>
      </c>
      <c r="C174" s="356" t="s">
        <v>250</v>
      </c>
      <c r="D174" s="250"/>
      <c r="E174" s="250"/>
      <c r="F174" s="250"/>
      <c r="G174" s="250"/>
      <c r="H174" s="250"/>
      <c r="I174" s="250"/>
      <c r="J174" s="250"/>
      <c r="K174" s="250"/>
      <c r="L174" s="250"/>
      <c r="M174" s="363">
        <f t="shared" ref="M174:S174" si="60">M150*M$51</f>
        <v>2436.0009660565233</v>
      </c>
      <c r="N174" s="363">
        <f t="shared" si="60"/>
        <v>5199.4392480169499</v>
      </c>
      <c r="O174" s="363">
        <f t="shared" si="60"/>
        <v>4173.6977468250407</v>
      </c>
      <c r="P174" s="363">
        <f t="shared" si="60"/>
        <v>4705.7055507311634</v>
      </c>
      <c r="Q174" s="363">
        <f t="shared" si="60"/>
        <v>4597.2206780454517</v>
      </c>
      <c r="R174" s="363">
        <f t="shared" si="60"/>
        <v>4979.3336960814968</v>
      </c>
      <c r="S174" s="363">
        <f t="shared" si="60"/>
        <v>5055.343234903683</v>
      </c>
    </row>
    <row r="175" spans="2:19" s="265" customFormat="1" ht="14.25" x14ac:dyDescent="0.2">
      <c r="B175" s="364" t="str">
        <f t="shared" si="42"/>
        <v>7.3 Remote Terminal Units</v>
      </c>
      <c r="C175" s="356" t="s">
        <v>250</v>
      </c>
      <c r="D175" s="250"/>
      <c r="E175" s="250"/>
      <c r="F175" s="250"/>
      <c r="G175" s="250"/>
      <c r="H175" s="250"/>
      <c r="I175" s="250"/>
      <c r="J175" s="250"/>
      <c r="K175" s="250"/>
      <c r="L175" s="250"/>
      <c r="M175" s="363">
        <f t="shared" ref="M175:S175" si="61">M151*M$51</f>
        <v>0</v>
      </c>
      <c r="N175" s="363">
        <f t="shared" si="61"/>
        <v>0</v>
      </c>
      <c r="O175" s="363">
        <f t="shared" si="61"/>
        <v>516.46456942451312</v>
      </c>
      <c r="P175" s="363">
        <f t="shared" si="61"/>
        <v>521.6028765029763</v>
      </c>
      <c r="Q175" s="363">
        <f t="shared" si="61"/>
        <v>1401.339211574965</v>
      </c>
      <c r="R175" s="363">
        <f t="shared" si="61"/>
        <v>889.08410883096985</v>
      </c>
      <c r="S175" s="363">
        <f t="shared" si="61"/>
        <v>1418.4602578755491</v>
      </c>
    </row>
    <row r="176" spans="2:19" s="265" customFormat="1" ht="14.25" x14ac:dyDescent="0.2">
      <c r="B176" s="366"/>
      <c r="C176" s="355"/>
      <c r="D176" s="250"/>
      <c r="E176" s="250"/>
      <c r="F176" s="250"/>
      <c r="G176" s="250"/>
      <c r="H176" s="250"/>
      <c r="I176" s="250"/>
      <c r="J176" s="250"/>
      <c r="K176" s="250"/>
      <c r="L176" s="250"/>
      <c r="M176" s="267"/>
      <c r="N176" s="250"/>
      <c r="O176" s="250"/>
      <c r="P176" s="250"/>
      <c r="Q176" s="250"/>
      <c r="R176" s="250"/>
      <c r="S176" s="250"/>
    </row>
    <row r="177" spans="2:19" s="265" customFormat="1" ht="14.25" x14ac:dyDescent="0.2">
      <c r="B177" s="361" t="s">
        <v>452</v>
      </c>
      <c r="C177" s="362">
        <f>SUM(M177:S177)</f>
        <v>0</v>
      </c>
      <c r="D177" s="250"/>
      <c r="E177" s="250"/>
      <c r="F177" s="250"/>
      <c r="G177" s="250"/>
      <c r="H177" s="250"/>
      <c r="I177" s="250"/>
      <c r="J177" s="250"/>
      <c r="K177" s="250"/>
      <c r="L177" s="250"/>
      <c r="M177" s="228">
        <f t="shared" ref="M177:S177" si="62">SUM(M156:M175)-M51</f>
        <v>0</v>
      </c>
      <c r="N177" s="228">
        <f t="shared" si="62"/>
        <v>0</v>
      </c>
      <c r="O177" s="228">
        <f t="shared" si="62"/>
        <v>0</v>
      </c>
      <c r="P177" s="228">
        <f t="shared" si="62"/>
        <v>0</v>
      </c>
      <c r="Q177" s="228">
        <f t="shared" si="62"/>
        <v>0</v>
      </c>
      <c r="R177" s="228">
        <f t="shared" si="62"/>
        <v>0</v>
      </c>
      <c r="S177" s="228">
        <f t="shared" si="62"/>
        <v>0</v>
      </c>
    </row>
    <row r="178" spans="2:19" s="265" customFormat="1" ht="14.25" x14ac:dyDescent="0.2">
      <c r="B178" s="361"/>
      <c r="C178" s="355"/>
      <c r="D178" s="250"/>
      <c r="E178" s="250"/>
      <c r="F178" s="250"/>
      <c r="G178" s="250"/>
      <c r="H178" s="250"/>
      <c r="I178" s="250"/>
      <c r="J178" s="250"/>
      <c r="K178" s="250"/>
      <c r="L178" s="250"/>
      <c r="M178" s="228"/>
      <c r="N178" s="228"/>
      <c r="O178" s="228"/>
      <c r="P178" s="228"/>
      <c r="Q178" s="228"/>
      <c r="R178" s="228"/>
      <c r="S178" s="228"/>
    </row>
    <row r="179" spans="2:19" s="265" customFormat="1" ht="14.25" x14ac:dyDescent="0.2">
      <c r="B179" s="291" t="s">
        <v>479</v>
      </c>
      <c r="C179" s="358"/>
      <c r="D179" s="250"/>
      <c r="E179" s="250"/>
      <c r="F179" s="250"/>
      <c r="G179" s="250"/>
      <c r="H179" s="250"/>
      <c r="I179" s="250"/>
      <c r="J179" s="250"/>
      <c r="K179" s="250"/>
      <c r="L179" s="250"/>
      <c r="M179" s="267"/>
      <c r="N179" s="250"/>
      <c r="O179" s="250"/>
      <c r="P179" s="250"/>
      <c r="Q179" s="250"/>
      <c r="R179" s="250"/>
      <c r="S179" s="250"/>
    </row>
    <row r="180" spans="2:19" s="265" customFormat="1" ht="14.25" x14ac:dyDescent="0.2">
      <c r="B180" s="364" t="str">
        <f>B156</f>
        <v>1.1 Poles</v>
      </c>
      <c r="C180" s="356" t="s">
        <v>467</v>
      </c>
      <c r="D180" s="250"/>
      <c r="E180" s="250"/>
      <c r="F180" s="250"/>
      <c r="G180" s="250"/>
      <c r="H180" s="250"/>
      <c r="I180" s="250"/>
      <c r="J180" s="250"/>
      <c r="K180" s="250"/>
      <c r="L180" s="250"/>
      <c r="M180" s="363">
        <f t="shared" ref="M180:S180" si="63">M132*M$61</f>
        <v>115193.43406748786</v>
      </c>
      <c r="N180" s="363">
        <f t="shared" si="63"/>
        <v>108278.95203184136</v>
      </c>
      <c r="O180" s="363">
        <f t="shared" si="63"/>
        <v>72380.5865541237</v>
      </c>
      <c r="P180" s="363">
        <f t="shared" si="63"/>
        <v>63958.470213990557</v>
      </c>
      <c r="Q180" s="363">
        <f t="shared" si="63"/>
        <v>58320.559324270944</v>
      </c>
      <c r="R180" s="363">
        <f t="shared" si="63"/>
        <v>33377.897897112169</v>
      </c>
      <c r="S180" s="363">
        <f t="shared" si="63"/>
        <v>29812.283544731301</v>
      </c>
    </row>
    <row r="181" spans="2:19" s="265" customFormat="1" ht="14.25" x14ac:dyDescent="0.2">
      <c r="B181" s="364" t="str">
        <f t="shared" ref="B181:B199" si="64">B157</f>
        <v>1.2 Crossarms</v>
      </c>
      <c r="C181" s="356" t="s">
        <v>467</v>
      </c>
      <c r="D181" s="250"/>
      <c r="E181" s="250"/>
      <c r="F181" s="250"/>
      <c r="G181" s="250"/>
      <c r="H181" s="250"/>
      <c r="I181" s="250"/>
      <c r="J181" s="250"/>
      <c r="K181" s="250"/>
      <c r="L181" s="250"/>
      <c r="M181" s="363">
        <f t="shared" ref="M181:S181" si="65">M133*M$61</f>
        <v>9259.6940749794339</v>
      </c>
      <c r="N181" s="363">
        <f t="shared" si="65"/>
        <v>27618.979068991419</v>
      </c>
      <c r="O181" s="363">
        <f t="shared" si="65"/>
        <v>41256.170549046074</v>
      </c>
      <c r="P181" s="363">
        <f t="shared" si="65"/>
        <v>51366.069628601741</v>
      </c>
      <c r="Q181" s="363">
        <f t="shared" si="65"/>
        <v>48421.663353373115</v>
      </c>
      <c r="R181" s="363">
        <f t="shared" si="65"/>
        <v>45841.951582767862</v>
      </c>
      <c r="S181" s="363">
        <f t="shared" si="65"/>
        <v>44160.818080351455</v>
      </c>
    </row>
    <row r="182" spans="2:19" s="265" customFormat="1" ht="14.25" x14ac:dyDescent="0.2">
      <c r="B182" s="364" t="str">
        <f t="shared" si="64"/>
        <v>2.1 Subtransmission Conductor</v>
      </c>
      <c r="C182" s="356" t="s">
        <v>467</v>
      </c>
      <c r="D182" s="250"/>
      <c r="E182" s="250"/>
      <c r="F182" s="250"/>
      <c r="G182" s="250"/>
      <c r="H182" s="250"/>
      <c r="I182" s="250"/>
      <c r="J182" s="250"/>
      <c r="K182" s="250"/>
      <c r="L182" s="250"/>
      <c r="M182" s="363">
        <f t="shared" ref="M182:S182" si="66">M134*M$61</f>
        <v>7621.3243497927624</v>
      </c>
      <c r="N182" s="363">
        <f t="shared" si="66"/>
        <v>51076.763004826054</v>
      </c>
      <c r="O182" s="363">
        <f t="shared" si="66"/>
        <v>39548.059741684723</v>
      </c>
      <c r="P182" s="363">
        <f t="shared" si="66"/>
        <v>46584.647499912731</v>
      </c>
      <c r="Q182" s="363">
        <f t="shared" si="66"/>
        <v>5454.26982682772</v>
      </c>
      <c r="R182" s="363">
        <f t="shared" si="66"/>
        <v>2214.8015409288437</v>
      </c>
      <c r="S182" s="363">
        <f t="shared" si="66"/>
        <v>2257.7437688801665</v>
      </c>
    </row>
    <row r="183" spans="2:19" s="265" customFormat="1" ht="14.25" x14ac:dyDescent="0.2">
      <c r="B183" s="364" t="str">
        <f t="shared" si="64"/>
        <v>2.2 Distribution Conductor</v>
      </c>
      <c r="C183" s="356" t="s">
        <v>467</v>
      </c>
      <c r="D183" s="250"/>
      <c r="E183" s="250"/>
      <c r="F183" s="250"/>
      <c r="G183" s="250"/>
      <c r="H183" s="250"/>
      <c r="I183" s="250"/>
      <c r="J183" s="250"/>
      <c r="K183" s="250"/>
      <c r="L183" s="250"/>
      <c r="M183" s="363">
        <f t="shared" ref="M183:S183" si="67">M135*M$61</f>
        <v>33846.058123791205</v>
      </c>
      <c r="N183" s="363">
        <f t="shared" si="67"/>
        <v>31562.49970911429</v>
      </c>
      <c r="O183" s="363">
        <f t="shared" si="67"/>
        <v>28020.603309566701</v>
      </c>
      <c r="P183" s="363">
        <f t="shared" si="67"/>
        <v>32760.082135135002</v>
      </c>
      <c r="Q183" s="363">
        <f t="shared" si="67"/>
        <v>33966.262522141988</v>
      </c>
      <c r="R183" s="363">
        <f t="shared" si="67"/>
        <v>34120.55612532291</v>
      </c>
      <c r="S183" s="363">
        <f t="shared" si="67"/>
        <v>31688.000716532322</v>
      </c>
    </row>
    <row r="184" spans="2:19" s="265" customFormat="1" ht="14.25" x14ac:dyDescent="0.2">
      <c r="B184" s="364" t="str">
        <f t="shared" si="64"/>
        <v>2.3 Low Voltage Conductor</v>
      </c>
      <c r="C184" s="356" t="s">
        <v>467</v>
      </c>
      <c r="D184" s="250"/>
      <c r="E184" s="250"/>
      <c r="F184" s="250"/>
      <c r="G184" s="250"/>
      <c r="H184" s="250"/>
      <c r="I184" s="250"/>
      <c r="J184" s="250"/>
      <c r="K184" s="250"/>
      <c r="L184" s="250"/>
      <c r="M184" s="363">
        <f t="shared" ref="M184:S184" si="68">M136*M$61</f>
        <v>0</v>
      </c>
      <c r="N184" s="363">
        <f t="shared" si="68"/>
        <v>0</v>
      </c>
      <c r="O184" s="363">
        <f t="shared" si="68"/>
        <v>13544.48599874196</v>
      </c>
      <c r="P184" s="363">
        <f t="shared" si="68"/>
        <v>24298.539793839031</v>
      </c>
      <c r="Q184" s="363">
        <f t="shared" si="68"/>
        <v>24308.200341304735</v>
      </c>
      <c r="R184" s="363">
        <f t="shared" si="68"/>
        <v>25163.597224632864</v>
      </c>
      <c r="S184" s="363">
        <f t="shared" si="68"/>
        <v>24679.790186139475</v>
      </c>
    </row>
    <row r="185" spans="2:19" s="265" customFormat="1" ht="14.25" x14ac:dyDescent="0.2">
      <c r="B185" s="364" t="str">
        <f t="shared" si="64"/>
        <v>3.1 Subtransmission Cables</v>
      </c>
      <c r="C185" s="356" t="s">
        <v>467</v>
      </c>
      <c r="D185" s="250"/>
      <c r="E185" s="250"/>
      <c r="F185" s="250"/>
      <c r="G185" s="250"/>
      <c r="H185" s="250"/>
      <c r="I185" s="250"/>
      <c r="J185" s="250"/>
      <c r="K185" s="250"/>
      <c r="L185" s="250"/>
      <c r="M185" s="363">
        <f t="shared" ref="M185:S185" si="69">M137*M$61</f>
        <v>21928.296467764612</v>
      </c>
      <c r="N185" s="363">
        <f t="shared" si="69"/>
        <v>1508.9040138216467</v>
      </c>
      <c r="O185" s="363">
        <f t="shared" si="69"/>
        <v>0</v>
      </c>
      <c r="P185" s="363">
        <f t="shared" si="69"/>
        <v>0</v>
      </c>
      <c r="Q185" s="363">
        <f t="shared" si="69"/>
        <v>11358.167947087521</v>
      </c>
      <c r="R185" s="363">
        <f t="shared" si="69"/>
        <v>16654.235934743083</v>
      </c>
      <c r="S185" s="363">
        <f t="shared" si="69"/>
        <v>15775.943363537097</v>
      </c>
    </row>
    <row r="186" spans="2:19" s="265" customFormat="1" ht="14.25" x14ac:dyDescent="0.2">
      <c r="B186" s="364" t="str">
        <f t="shared" si="64"/>
        <v>3.2 Distribution Cables</v>
      </c>
      <c r="C186" s="356" t="s">
        <v>467</v>
      </c>
      <c r="D186" s="250"/>
      <c r="E186" s="250"/>
      <c r="F186" s="250"/>
      <c r="G186" s="250"/>
      <c r="H186" s="250"/>
      <c r="I186" s="250"/>
      <c r="J186" s="250"/>
      <c r="K186" s="250"/>
      <c r="L186" s="250"/>
      <c r="M186" s="363">
        <f t="shared" ref="M186:S186" si="70">M138*M$61</f>
        <v>8395.7542726920583</v>
      </c>
      <c r="N186" s="363">
        <f t="shared" si="70"/>
        <v>6416.614318776552</v>
      </c>
      <c r="O186" s="363">
        <f t="shared" si="70"/>
        <v>9916.5942295798068</v>
      </c>
      <c r="P186" s="363">
        <f t="shared" si="70"/>
        <v>10480.096979622853</v>
      </c>
      <c r="Q186" s="363">
        <f t="shared" si="70"/>
        <v>10714.786554245396</v>
      </c>
      <c r="R186" s="363">
        <f t="shared" si="70"/>
        <v>10710.327692140265</v>
      </c>
      <c r="S186" s="363">
        <f t="shared" si="70"/>
        <v>6847.8450118373639</v>
      </c>
    </row>
    <row r="187" spans="2:19" s="265" customFormat="1" ht="14.25" x14ac:dyDescent="0.2">
      <c r="B187" s="364" t="str">
        <f t="shared" si="64"/>
        <v>3.3 Low Voltage Cables</v>
      </c>
      <c r="C187" s="356" t="s">
        <v>467</v>
      </c>
      <c r="D187" s="250"/>
      <c r="E187" s="250"/>
      <c r="F187" s="250"/>
      <c r="G187" s="250"/>
      <c r="H187" s="250"/>
      <c r="I187" s="250"/>
      <c r="J187" s="250"/>
      <c r="K187" s="250"/>
      <c r="L187" s="250"/>
      <c r="M187" s="363">
        <f t="shared" ref="M187:S187" si="71">M139*M$61</f>
        <v>2044.6378154609572</v>
      </c>
      <c r="N187" s="363">
        <f t="shared" si="71"/>
        <v>2995.0243441681932</v>
      </c>
      <c r="O187" s="363">
        <f t="shared" si="71"/>
        <v>1788.785867159251</v>
      </c>
      <c r="P187" s="363">
        <f t="shared" si="71"/>
        <v>1771.8661325126136</v>
      </c>
      <c r="Q187" s="363">
        <f t="shared" si="71"/>
        <v>1704.5959029898081</v>
      </c>
      <c r="R187" s="363">
        <f t="shared" si="71"/>
        <v>1666.274729870685</v>
      </c>
      <c r="S187" s="363">
        <f t="shared" si="71"/>
        <v>1657.3206157887569</v>
      </c>
    </row>
    <row r="188" spans="2:19" s="265" customFormat="1" ht="14.25" x14ac:dyDescent="0.2">
      <c r="B188" s="364" t="str">
        <f t="shared" si="64"/>
        <v>4.1 Zone Substations</v>
      </c>
      <c r="C188" s="356" t="s">
        <v>467</v>
      </c>
      <c r="D188" s="250"/>
      <c r="E188" s="250"/>
      <c r="F188" s="250"/>
      <c r="G188" s="250"/>
      <c r="H188" s="250"/>
      <c r="I188" s="250"/>
      <c r="J188" s="250"/>
      <c r="K188" s="250"/>
      <c r="L188" s="250"/>
      <c r="M188" s="363">
        <f t="shared" ref="M188:S188" si="72">M140*M$61</f>
        <v>50032.199624042361</v>
      </c>
      <c r="N188" s="363">
        <f t="shared" si="72"/>
        <v>66032.434021901048</v>
      </c>
      <c r="O188" s="363">
        <f t="shared" si="72"/>
        <v>62678.418498371444</v>
      </c>
      <c r="P188" s="363">
        <f t="shared" si="72"/>
        <v>34156.56602650007</v>
      </c>
      <c r="Q188" s="363">
        <f t="shared" si="72"/>
        <v>58364.703514615445</v>
      </c>
      <c r="R188" s="363">
        <f t="shared" si="72"/>
        <v>58051.614751482593</v>
      </c>
      <c r="S188" s="363">
        <f t="shared" si="72"/>
        <v>27594.156693108052</v>
      </c>
    </row>
    <row r="189" spans="2:19" s="265" customFormat="1" ht="14.25" x14ac:dyDescent="0.2">
      <c r="B189" s="364" t="str">
        <f t="shared" si="64"/>
        <v>5.1 Ground Mounted Switchgear</v>
      </c>
      <c r="C189" s="356" t="s">
        <v>467</v>
      </c>
      <c r="D189" s="250"/>
      <c r="E189" s="250"/>
      <c r="F189" s="250"/>
      <c r="G189" s="250"/>
      <c r="H189" s="250"/>
      <c r="I189" s="250"/>
      <c r="J189" s="250"/>
      <c r="K189" s="250"/>
      <c r="L189" s="250"/>
      <c r="M189" s="363">
        <f t="shared" ref="M189:S189" si="73">M141*M$61</f>
        <v>9919.5360207824597</v>
      </c>
      <c r="N189" s="363">
        <f t="shared" si="73"/>
        <v>23369.716753067936</v>
      </c>
      <c r="O189" s="363">
        <f t="shared" si="73"/>
        <v>18498.704240543706</v>
      </c>
      <c r="P189" s="363">
        <f t="shared" si="73"/>
        <v>19077.51261932293</v>
      </c>
      <c r="Q189" s="363">
        <f t="shared" si="73"/>
        <v>17756.527437121778</v>
      </c>
      <c r="R189" s="363">
        <f t="shared" si="73"/>
        <v>17523.396395983887</v>
      </c>
      <c r="S189" s="363">
        <f t="shared" si="73"/>
        <v>10374.541879430435</v>
      </c>
    </row>
    <row r="190" spans="2:19" s="265" customFormat="1" ht="14.25" x14ac:dyDescent="0.2">
      <c r="B190" s="364" t="str">
        <f t="shared" si="64"/>
        <v>5.2 Pole Mounted Fuses</v>
      </c>
      <c r="C190" s="356" t="s">
        <v>467</v>
      </c>
      <c r="D190" s="250"/>
      <c r="E190" s="250"/>
      <c r="F190" s="250"/>
      <c r="G190" s="250"/>
      <c r="H190" s="250"/>
      <c r="I190" s="250"/>
      <c r="J190" s="250"/>
      <c r="K190" s="250"/>
      <c r="L190" s="250"/>
      <c r="M190" s="363">
        <f t="shared" ref="M190:S190" si="74">M142*M$61</f>
        <v>608.52315936338005</v>
      </c>
      <c r="N190" s="363">
        <f t="shared" si="74"/>
        <v>1622.07181485827</v>
      </c>
      <c r="O190" s="363">
        <f t="shared" si="74"/>
        <v>1074.9592062493618</v>
      </c>
      <c r="P190" s="363">
        <f t="shared" si="74"/>
        <v>1212.6790967321554</v>
      </c>
      <c r="Q190" s="363">
        <f t="shared" si="74"/>
        <v>1252.0026396701412</v>
      </c>
      <c r="R190" s="363">
        <f t="shared" si="74"/>
        <v>1307.3010009702266</v>
      </c>
      <c r="S190" s="363">
        <f t="shared" si="74"/>
        <v>1355.6068055789103</v>
      </c>
    </row>
    <row r="191" spans="2:19" s="265" customFormat="1" ht="14.25" x14ac:dyDescent="0.2">
      <c r="B191" s="364" t="str">
        <f t="shared" si="64"/>
        <v>5.3 Pole Mounted Switches</v>
      </c>
      <c r="C191" s="356" t="s">
        <v>467</v>
      </c>
      <c r="D191" s="250"/>
      <c r="E191" s="250"/>
      <c r="F191" s="250"/>
      <c r="G191" s="250"/>
      <c r="H191" s="250"/>
      <c r="I191" s="250"/>
      <c r="J191" s="250"/>
      <c r="K191" s="250"/>
      <c r="L191" s="250"/>
      <c r="M191" s="363">
        <f t="shared" ref="M191:S191" si="75">M143*M$61</f>
        <v>2442.120924149875</v>
      </c>
      <c r="N191" s="363">
        <f t="shared" si="75"/>
        <v>2883.5155704131666</v>
      </c>
      <c r="O191" s="363">
        <f t="shared" si="75"/>
        <v>3230.84961433836</v>
      </c>
      <c r="P191" s="363">
        <f t="shared" si="75"/>
        <v>3200.2897138151025</v>
      </c>
      <c r="Q191" s="363">
        <f t="shared" si="75"/>
        <v>3078.7883093706655</v>
      </c>
      <c r="R191" s="363">
        <f t="shared" si="75"/>
        <v>3009.5737937229469</v>
      </c>
      <c r="S191" s="363">
        <f t="shared" si="75"/>
        <v>2993.4011502783283</v>
      </c>
    </row>
    <row r="192" spans="2:19" s="265" customFormat="1" ht="14.25" x14ac:dyDescent="0.2">
      <c r="B192" s="364" t="str">
        <f t="shared" si="64"/>
        <v>5.4 Low Voltage Enclosures</v>
      </c>
      <c r="C192" s="356" t="s">
        <v>467</v>
      </c>
      <c r="D192" s="250"/>
      <c r="E192" s="250"/>
      <c r="F192" s="250"/>
      <c r="G192" s="250"/>
      <c r="H192" s="250"/>
      <c r="I192" s="250"/>
      <c r="J192" s="250"/>
      <c r="K192" s="250"/>
      <c r="L192" s="250"/>
      <c r="M192" s="363">
        <f t="shared" ref="M192:S192" si="76">M144*M$61</f>
        <v>4665.3442217859147</v>
      </c>
      <c r="N192" s="363">
        <f t="shared" si="76"/>
        <v>10675.495897788149</v>
      </c>
      <c r="O192" s="363">
        <f t="shared" si="76"/>
        <v>11917.902989285689</v>
      </c>
      <c r="P192" s="363">
        <f t="shared" si="76"/>
        <v>12235.138162613668</v>
      </c>
      <c r="Q192" s="363">
        <f t="shared" si="76"/>
        <v>11702.929937127217</v>
      </c>
      <c r="R192" s="363">
        <f t="shared" si="76"/>
        <v>10265.460334830261</v>
      </c>
      <c r="S192" s="363">
        <f t="shared" si="76"/>
        <v>8518.0449115323572</v>
      </c>
    </row>
    <row r="193" spans="2:19" s="265" customFormat="1" ht="14.25" x14ac:dyDescent="0.2">
      <c r="B193" s="364" t="str">
        <f t="shared" si="64"/>
        <v>5.6 Ancillary Distribution Substation Equipment</v>
      </c>
      <c r="C193" s="356" t="s">
        <v>467</v>
      </c>
      <c r="D193" s="250"/>
      <c r="E193" s="250"/>
      <c r="F193" s="250"/>
      <c r="G193" s="250"/>
      <c r="H193" s="250"/>
      <c r="I193" s="250"/>
      <c r="J193" s="250"/>
      <c r="K193" s="250"/>
      <c r="L193" s="250"/>
      <c r="M193" s="363">
        <f t="shared" ref="M193:S193" si="77">M145*M$61</f>
        <v>7111.591095142453</v>
      </c>
      <c r="N193" s="363">
        <f t="shared" si="77"/>
        <v>5826.0820994072428</v>
      </c>
      <c r="O193" s="363">
        <f t="shared" si="77"/>
        <v>4611.7362386906989</v>
      </c>
      <c r="P193" s="363">
        <f t="shared" si="77"/>
        <v>7617.8548739143644</v>
      </c>
      <c r="Q193" s="363">
        <f t="shared" si="77"/>
        <v>6190.4530698748504</v>
      </c>
      <c r="R193" s="363">
        <f t="shared" si="77"/>
        <v>6051.2849401378298</v>
      </c>
      <c r="S193" s="363">
        <f t="shared" si="77"/>
        <v>6018.7669557233066</v>
      </c>
    </row>
    <row r="194" spans="2:19" s="265" customFormat="1" ht="14.25" x14ac:dyDescent="0.2">
      <c r="B194" s="364" t="str">
        <f t="shared" si="64"/>
        <v>6.1 Ground Mounted Distribution Transformers</v>
      </c>
      <c r="C194" s="356" t="s">
        <v>467</v>
      </c>
      <c r="D194" s="250"/>
      <c r="E194" s="250"/>
      <c r="F194" s="250"/>
      <c r="G194" s="250"/>
      <c r="H194" s="250"/>
      <c r="I194" s="250"/>
      <c r="J194" s="250"/>
      <c r="K194" s="250"/>
      <c r="L194" s="250"/>
      <c r="M194" s="363">
        <f t="shared" ref="M194:S194" si="78">M146*M$61</f>
        <v>818.80085242064069</v>
      </c>
      <c r="N194" s="363">
        <f t="shared" si="78"/>
        <v>1641.6875670379513</v>
      </c>
      <c r="O194" s="363">
        <f t="shared" si="78"/>
        <v>1949.2593606655093</v>
      </c>
      <c r="P194" s="363">
        <f t="shared" si="78"/>
        <v>1930.8217423091487</v>
      </c>
      <c r="Q194" s="363">
        <f t="shared" si="78"/>
        <v>1857.5166435833371</v>
      </c>
      <c r="R194" s="363">
        <f t="shared" si="78"/>
        <v>1815.7576456029021</v>
      </c>
      <c r="S194" s="363">
        <f t="shared" si="78"/>
        <v>2107.0002920997917</v>
      </c>
    </row>
    <row r="195" spans="2:19" s="265" customFormat="1" ht="14.25" x14ac:dyDescent="0.2">
      <c r="B195" s="364" t="str">
        <f t="shared" si="64"/>
        <v>6.2 Pole Mounted Distribution Transformers</v>
      </c>
      <c r="C195" s="356" t="s">
        <v>467</v>
      </c>
      <c r="D195" s="250"/>
      <c r="E195" s="250"/>
      <c r="F195" s="250"/>
      <c r="G195" s="250"/>
      <c r="H195" s="250"/>
      <c r="I195" s="250"/>
      <c r="J195" s="250"/>
      <c r="K195" s="250"/>
      <c r="L195" s="250"/>
      <c r="M195" s="363">
        <f t="shared" ref="M195:S195" si="79">M147*M$61</f>
        <v>11026.033965558207</v>
      </c>
      <c r="N195" s="363">
        <f t="shared" si="79"/>
        <v>11101.384055689308</v>
      </c>
      <c r="O195" s="363">
        <f t="shared" si="79"/>
        <v>6469.3135230543194</v>
      </c>
      <c r="P195" s="363">
        <f t="shared" si="79"/>
        <v>13767.841560589606</v>
      </c>
      <c r="Q195" s="363">
        <f t="shared" si="79"/>
        <v>20488.738652147393</v>
      </c>
      <c r="R195" s="363">
        <f t="shared" si="79"/>
        <v>21694.799185675482</v>
      </c>
      <c r="S195" s="363">
        <f t="shared" si="79"/>
        <v>22293.922208320593</v>
      </c>
    </row>
    <row r="196" spans="2:19" s="265" customFormat="1" ht="14.25" x14ac:dyDescent="0.2">
      <c r="B196" s="364" t="str">
        <f t="shared" si="64"/>
        <v>6.4 Mobile Distribution Substations and Generators</v>
      </c>
      <c r="C196" s="356" t="s">
        <v>467</v>
      </c>
      <c r="D196" s="250"/>
      <c r="E196" s="250"/>
      <c r="F196" s="250"/>
      <c r="G196" s="250"/>
      <c r="H196" s="250"/>
      <c r="I196" s="250"/>
      <c r="J196" s="250"/>
      <c r="K196" s="250"/>
      <c r="L196" s="250"/>
      <c r="M196" s="363">
        <f t="shared" ref="M196:S196" si="80">M148*M$61</f>
        <v>306.37924027627463</v>
      </c>
      <c r="N196" s="363">
        <f t="shared" si="80"/>
        <v>0</v>
      </c>
      <c r="O196" s="363">
        <f t="shared" si="80"/>
        <v>0</v>
      </c>
      <c r="P196" s="363">
        <f t="shared" si="80"/>
        <v>0</v>
      </c>
      <c r="Q196" s="363">
        <f t="shared" si="80"/>
        <v>0</v>
      </c>
      <c r="R196" s="363">
        <f t="shared" si="80"/>
        <v>0</v>
      </c>
      <c r="S196" s="363">
        <f t="shared" si="80"/>
        <v>0</v>
      </c>
    </row>
    <row r="197" spans="2:19" s="265" customFormat="1" ht="14.25" x14ac:dyDescent="0.2">
      <c r="B197" s="364" t="str">
        <f t="shared" si="64"/>
        <v>7.1 Protection</v>
      </c>
      <c r="C197" s="356" t="s">
        <v>467</v>
      </c>
      <c r="D197" s="250"/>
      <c r="E197" s="250"/>
      <c r="F197" s="250"/>
      <c r="G197" s="250"/>
      <c r="H197" s="250"/>
      <c r="I197" s="250"/>
      <c r="J197" s="250"/>
      <c r="K197" s="250"/>
      <c r="L197" s="250"/>
      <c r="M197" s="363">
        <f t="shared" ref="M197:S197" si="81">M149*M$61</f>
        <v>10223.189077304789</v>
      </c>
      <c r="N197" s="363">
        <f t="shared" si="81"/>
        <v>17805.06736309543</v>
      </c>
      <c r="O197" s="363">
        <f t="shared" si="81"/>
        <v>14093.909593047189</v>
      </c>
      <c r="P197" s="363">
        <f t="shared" si="81"/>
        <v>13960.598381892129</v>
      </c>
      <c r="Q197" s="363">
        <f t="shared" si="81"/>
        <v>10983.4777025608</v>
      </c>
      <c r="R197" s="363">
        <f t="shared" si="81"/>
        <v>7343.1375373646779</v>
      </c>
      <c r="S197" s="363">
        <f t="shared" si="81"/>
        <v>7303.677483119026</v>
      </c>
    </row>
    <row r="198" spans="2:19" s="265" customFormat="1" ht="14.25" x14ac:dyDescent="0.2">
      <c r="B198" s="364" t="str">
        <f t="shared" si="64"/>
        <v>7.2 DC Systems</v>
      </c>
      <c r="C198" s="356" t="s">
        <v>467</v>
      </c>
      <c r="D198" s="250"/>
      <c r="E198" s="250"/>
      <c r="F198" s="250"/>
      <c r="G198" s="250"/>
      <c r="H198" s="250"/>
      <c r="I198" s="250"/>
      <c r="J198" s="250"/>
      <c r="K198" s="250"/>
      <c r="L198" s="250"/>
      <c r="M198" s="363">
        <f t="shared" ref="M198:S198" si="82">M150*M$61</f>
        <v>2436.0009660565233</v>
      </c>
      <c r="N198" s="363">
        <f t="shared" si="82"/>
        <v>5121.4314694726036</v>
      </c>
      <c r="O198" s="363">
        <f t="shared" si="82"/>
        <v>4053.9578225546766</v>
      </c>
      <c r="P198" s="363">
        <f t="shared" si="82"/>
        <v>4482.8694083352357</v>
      </c>
      <c r="Q198" s="363">
        <f t="shared" si="82"/>
        <v>4312.6739017526716</v>
      </c>
      <c r="R198" s="363">
        <f t="shared" si="82"/>
        <v>4579.873159681978</v>
      </c>
      <c r="S198" s="363">
        <f t="shared" si="82"/>
        <v>4555.2593815093178</v>
      </c>
    </row>
    <row r="199" spans="2:19" s="265" customFormat="1" ht="14.25" x14ac:dyDescent="0.2">
      <c r="B199" s="364" t="str">
        <f t="shared" si="64"/>
        <v>7.3 Remote Terminal Units</v>
      </c>
      <c r="C199" s="356" t="s">
        <v>467</v>
      </c>
      <c r="D199" s="250"/>
      <c r="E199" s="250"/>
      <c r="F199" s="250"/>
      <c r="G199" s="250"/>
      <c r="H199" s="250"/>
      <c r="I199" s="250"/>
      <c r="J199" s="250"/>
      <c r="K199" s="250"/>
      <c r="L199" s="250"/>
      <c r="M199" s="363">
        <f t="shared" ref="M199:S199" si="83">M151*M$61</f>
        <v>0</v>
      </c>
      <c r="N199" s="363">
        <f t="shared" si="83"/>
        <v>0</v>
      </c>
      <c r="O199" s="363">
        <f t="shared" si="83"/>
        <v>501.6476295830355</v>
      </c>
      <c r="P199" s="363">
        <f t="shared" si="83"/>
        <v>496.90265427073678</v>
      </c>
      <c r="Q199" s="363">
        <f t="shared" si="83"/>
        <v>1314.6027716536485</v>
      </c>
      <c r="R199" s="363">
        <f t="shared" si="83"/>
        <v>817.75849847924815</v>
      </c>
      <c r="S199" s="363">
        <f t="shared" si="83"/>
        <v>1278.1435595458297</v>
      </c>
    </row>
    <row r="200" spans="2:19" s="265" customFormat="1" ht="14.25" x14ac:dyDescent="0.2">
      <c r="B200" s="366"/>
      <c r="C200" s="355"/>
      <c r="D200" s="250"/>
      <c r="E200" s="250"/>
      <c r="F200" s="250"/>
      <c r="G200" s="250"/>
      <c r="H200" s="250"/>
      <c r="I200" s="250"/>
      <c r="J200" s="250"/>
      <c r="K200" s="250"/>
      <c r="L200" s="250"/>
      <c r="M200" s="267"/>
      <c r="N200" s="250"/>
      <c r="O200" s="250"/>
      <c r="P200" s="250"/>
      <c r="Q200" s="250"/>
      <c r="R200" s="250"/>
      <c r="S200" s="250"/>
    </row>
    <row r="201" spans="2:19" s="265" customFormat="1" ht="14.25" x14ac:dyDescent="0.2">
      <c r="B201" s="361" t="s">
        <v>453</v>
      </c>
      <c r="C201" s="362">
        <f>SUM(M201:S201)</f>
        <v>0</v>
      </c>
      <c r="D201" s="250"/>
      <c r="E201" s="250"/>
      <c r="F201" s="250"/>
      <c r="G201" s="250"/>
      <c r="H201" s="250"/>
      <c r="I201" s="250"/>
      <c r="J201" s="250"/>
      <c r="K201" s="250"/>
      <c r="L201" s="250"/>
      <c r="M201" s="228">
        <f t="shared" ref="M201:S201" si="84">SUM(M180:M199)-M61</f>
        <v>0</v>
      </c>
      <c r="N201" s="228">
        <f t="shared" si="84"/>
        <v>0</v>
      </c>
      <c r="O201" s="228">
        <f t="shared" si="84"/>
        <v>0</v>
      </c>
      <c r="P201" s="228">
        <f t="shared" si="84"/>
        <v>0</v>
      </c>
      <c r="Q201" s="228">
        <f t="shared" si="84"/>
        <v>0</v>
      </c>
      <c r="R201" s="228">
        <f t="shared" si="84"/>
        <v>0</v>
      </c>
      <c r="S201" s="228">
        <f t="shared" si="84"/>
        <v>0</v>
      </c>
    </row>
    <row r="202" spans="2:19" s="265" customFormat="1" ht="14.25" x14ac:dyDescent="0.2">
      <c r="B202" s="361"/>
      <c r="C202" s="355"/>
      <c r="D202" s="250"/>
      <c r="E202" s="250"/>
      <c r="F202" s="250"/>
      <c r="G202" s="250"/>
      <c r="H202" s="250"/>
      <c r="I202" s="250"/>
      <c r="J202" s="250"/>
      <c r="K202" s="250"/>
      <c r="L202" s="250"/>
      <c r="M202" s="228"/>
      <c r="N202" s="228"/>
      <c r="O202" s="228"/>
      <c r="P202" s="228"/>
      <c r="Q202" s="228"/>
      <c r="R202" s="228"/>
      <c r="S202" s="228"/>
    </row>
    <row r="203" spans="2:19" s="265" customFormat="1" ht="14.25" x14ac:dyDescent="0.2">
      <c r="B203" s="354" t="str">
        <f>B22</f>
        <v>Asset relocations and undergrounding</v>
      </c>
      <c r="C203" s="355"/>
      <c r="D203" s="250"/>
      <c r="E203" s="250"/>
      <c r="F203" s="250"/>
      <c r="G203" s="250"/>
      <c r="H203" s="250"/>
      <c r="I203" s="250"/>
      <c r="J203" s="250"/>
      <c r="K203" s="250"/>
      <c r="L203" s="250"/>
      <c r="M203" s="267"/>
      <c r="N203" s="250"/>
      <c r="O203" s="250"/>
      <c r="P203" s="250"/>
      <c r="Q203" s="250"/>
      <c r="R203" s="250"/>
      <c r="S203" s="250"/>
    </row>
    <row r="204" spans="2:19" s="265" customFormat="1" ht="14.25" x14ac:dyDescent="0.2">
      <c r="B204" s="250"/>
      <c r="C204" s="355"/>
      <c r="D204" s="250"/>
      <c r="E204" s="250"/>
      <c r="F204" s="250"/>
      <c r="G204" s="250"/>
      <c r="H204" s="250"/>
      <c r="I204" s="250"/>
      <c r="J204" s="250"/>
      <c r="K204" s="250"/>
      <c r="L204" s="250"/>
      <c r="M204" s="267"/>
      <c r="N204" s="250"/>
      <c r="O204" s="250"/>
      <c r="P204" s="250"/>
      <c r="Q204" s="250"/>
      <c r="R204" s="250"/>
      <c r="S204" s="250"/>
    </row>
    <row r="205" spans="2:19" s="265" customFormat="1" ht="14.25" x14ac:dyDescent="0.2">
      <c r="B205" s="291" t="s">
        <v>480</v>
      </c>
      <c r="C205" s="358"/>
      <c r="D205" s="250"/>
      <c r="E205" s="250"/>
      <c r="F205" s="250"/>
      <c r="G205" s="250"/>
      <c r="H205" s="250"/>
      <c r="I205" s="250"/>
      <c r="J205" s="250"/>
      <c r="K205" s="250"/>
      <c r="L205" s="250"/>
      <c r="M205" s="267"/>
      <c r="N205" s="250"/>
      <c r="O205" s="250"/>
      <c r="P205" s="250"/>
      <c r="Q205" s="250"/>
      <c r="R205" s="250"/>
      <c r="S205" s="250"/>
    </row>
    <row r="206" spans="2:19" s="265" customFormat="1" ht="14.25" x14ac:dyDescent="0.2">
      <c r="B206" s="364" t="str">
        <f>'Sch E table 4 '!E65</f>
        <v>11 Asset relocations (net)</v>
      </c>
      <c r="C206" s="356" t="s">
        <v>69</v>
      </c>
      <c r="D206" s="250"/>
      <c r="E206" s="250"/>
      <c r="F206" s="250"/>
      <c r="G206" s="250"/>
      <c r="H206" s="250"/>
      <c r="I206" s="250"/>
      <c r="J206" s="250"/>
      <c r="K206" s="250"/>
      <c r="L206" s="250"/>
      <c r="M206" s="360">
        <f>SUMIFS('Forecast capex'!$Q$9:$Q$1883,'Forecast capex'!$F$9:$F$1883,'Schedule E calculations'!$B206,'Forecast capex'!$J$9:$J$1883,'Schedule E calculations'!M$9)/'Capex summary'!M$20</f>
        <v>1</v>
      </c>
      <c r="N206" s="360">
        <f>SUMIFS('Forecast capex'!$Q$9:$Q$1883,'Forecast capex'!$F$9:$F$1883,'Schedule E calculations'!$B206,'Forecast capex'!$J$9:$J$1883,'Schedule E calculations'!N$9)/'Capex summary'!N$20</f>
        <v>1</v>
      </c>
      <c r="O206" s="360">
        <f>SUMIFS('Forecast capex'!$Q$9:$Q$1883,'Forecast capex'!$F$9:$F$1883,'Schedule E calculations'!$B206,'Forecast capex'!$J$9:$J$1883,'Schedule E calculations'!O$9)/'Capex summary'!O$20</f>
        <v>1</v>
      </c>
      <c r="P206" s="360">
        <f>SUMIFS('Forecast capex'!$Q$9:$Q$1883,'Forecast capex'!$F$9:$F$1883,'Schedule E calculations'!$B206,'Forecast capex'!$J$9:$J$1883,'Schedule E calculations'!P$9)/'Capex summary'!P$20</f>
        <v>1</v>
      </c>
      <c r="Q206" s="360">
        <f>SUMIFS('Forecast capex'!$Q$9:$Q$1883,'Forecast capex'!$F$9:$F$1883,'Schedule E calculations'!$B206,'Forecast capex'!$J$9:$J$1883,'Schedule E calculations'!Q$9)/'Capex summary'!Q$20</f>
        <v>1</v>
      </c>
      <c r="R206" s="360">
        <f>SUMIFS('Forecast capex'!$Q$9:$Q$1883,'Forecast capex'!$F$9:$F$1883,'Schedule E calculations'!$B206,'Forecast capex'!$J$9:$J$1883,'Schedule E calculations'!R$9)/'Capex summary'!R$20</f>
        <v>1</v>
      </c>
      <c r="S206" s="360">
        <f>SUMIFS('Forecast capex'!$Q$9:$Q$1883,'Forecast capex'!$F$9:$F$1883,'Schedule E calculations'!$B206,'Forecast capex'!$J$9:$J$1883,'Schedule E calculations'!S$9)/'Capex summary'!S$20</f>
        <v>1</v>
      </c>
    </row>
    <row r="207" spans="2:19" s="265" customFormat="1" ht="14.25" x14ac:dyDescent="0.2">
      <c r="B207" s="366"/>
      <c r="C207" s="355"/>
      <c r="D207" s="250"/>
      <c r="E207" s="250"/>
      <c r="F207" s="250"/>
      <c r="G207" s="250"/>
      <c r="H207" s="250"/>
      <c r="I207" s="250"/>
      <c r="J207" s="250"/>
      <c r="K207" s="250"/>
      <c r="L207" s="250"/>
      <c r="M207" s="267"/>
      <c r="N207" s="250"/>
      <c r="O207" s="250"/>
      <c r="P207" s="250"/>
      <c r="Q207" s="250"/>
      <c r="R207" s="250"/>
      <c r="S207" s="250"/>
    </row>
    <row r="208" spans="2:19" s="265" customFormat="1" ht="14.25" x14ac:dyDescent="0.2">
      <c r="B208" s="361" t="s">
        <v>454</v>
      </c>
      <c r="C208" s="362">
        <f>SUM(M208:S208)</f>
        <v>0</v>
      </c>
      <c r="D208" s="250"/>
      <c r="E208" s="250"/>
      <c r="F208" s="250"/>
      <c r="G208" s="250"/>
      <c r="H208" s="250"/>
      <c r="I208" s="250"/>
      <c r="J208" s="250"/>
      <c r="K208" s="250"/>
      <c r="L208" s="250"/>
      <c r="M208" s="228">
        <f t="shared" ref="M208:S208" si="85">1-SUM(M206)</f>
        <v>0</v>
      </c>
      <c r="N208" s="228">
        <f t="shared" si="85"/>
        <v>0</v>
      </c>
      <c r="O208" s="228">
        <f t="shared" si="85"/>
        <v>0</v>
      </c>
      <c r="P208" s="228">
        <f t="shared" si="85"/>
        <v>0</v>
      </c>
      <c r="Q208" s="228">
        <f t="shared" si="85"/>
        <v>0</v>
      </c>
      <c r="R208" s="228">
        <f t="shared" si="85"/>
        <v>0</v>
      </c>
      <c r="S208" s="228">
        <f t="shared" si="85"/>
        <v>0</v>
      </c>
    </row>
    <row r="209" spans="2:19" s="265" customFormat="1" ht="14.25" x14ac:dyDescent="0.2">
      <c r="B209" s="361"/>
      <c r="C209" s="355"/>
      <c r="D209" s="250"/>
      <c r="E209" s="250"/>
      <c r="F209" s="250"/>
      <c r="G209" s="250"/>
      <c r="H209" s="250"/>
      <c r="I209" s="250"/>
      <c r="J209" s="250"/>
      <c r="K209" s="250"/>
      <c r="L209" s="250"/>
      <c r="M209" s="228"/>
      <c r="N209" s="228"/>
      <c r="O209" s="228"/>
      <c r="P209" s="228"/>
      <c r="Q209" s="228"/>
      <c r="R209" s="228"/>
      <c r="S209" s="228"/>
    </row>
    <row r="210" spans="2:19" s="265" customFormat="1" ht="14.25" x14ac:dyDescent="0.2">
      <c r="B210" s="291" t="s">
        <v>478</v>
      </c>
      <c r="C210" s="358"/>
      <c r="D210" s="250"/>
      <c r="E210" s="250"/>
      <c r="F210" s="250"/>
      <c r="G210" s="250"/>
      <c r="H210" s="250"/>
      <c r="I210" s="250"/>
      <c r="J210" s="250"/>
      <c r="K210" s="250"/>
      <c r="L210" s="250"/>
      <c r="M210" s="267"/>
      <c r="N210" s="250"/>
      <c r="O210" s="250"/>
      <c r="P210" s="250"/>
      <c r="Q210" s="250"/>
      <c r="R210" s="250"/>
      <c r="S210" s="250"/>
    </row>
    <row r="211" spans="2:19" s="265" customFormat="1" ht="14.25" x14ac:dyDescent="0.2">
      <c r="B211" s="366" t="str">
        <f>B206</f>
        <v>11 Asset relocations (net)</v>
      </c>
      <c r="C211" s="356" t="s">
        <v>250</v>
      </c>
      <c r="D211" s="250"/>
      <c r="E211" s="250"/>
      <c r="F211" s="250"/>
      <c r="G211" s="250"/>
      <c r="H211" s="250"/>
      <c r="I211" s="250"/>
      <c r="J211" s="250"/>
      <c r="K211" s="250"/>
      <c r="L211" s="250"/>
      <c r="M211" s="363">
        <f t="shared" ref="M211:S211" si="86">M206*M$52</f>
        <v>10079.010175593119</v>
      </c>
      <c r="N211" s="363">
        <f t="shared" si="86"/>
        <v>14684.240362362263</v>
      </c>
      <c r="O211" s="363">
        <f t="shared" si="86"/>
        <v>11787.344363645292</v>
      </c>
      <c r="P211" s="363">
        <f t="shared" si="86"/>
        <v>11904.616677305627</v>
      </c>
      <c r="Q211" s="363">
        <f t="shared" si="86"/>
        <v>11630.168815941026</v>
      </c>
      <c r="R211" s="363">
        <f t="shared" si="86"/>
        <v>11595.253221298064</v>
      </c>
      <c r="S211" s="363">
        <f t="shared" si="86"/>
        <v>11772.283710976033</v>
      </c>
    </row>
    <row r="212" spans="2:19" s="265" customFormat="1" ht="14.25" x14ac:dyDescent="0.2">
      <c r="B212" s="366"/>
      <c r="C212" s="355"/>
      <c r="D212" s="250"/>
      <c r="E212" s="250"/>
      <c r="F212" s="250"/>
      <c r="G212" s="250"/>
      <c r="H212" s="250"/>
      <c r="I212" s="250"/>
      <c r="J212" s="250"/>
      <c r="K212" s="250"/>
      <c r="L212" s="250"/>
      <c r="M212" s="250"/>
      <c r="N212" s="250"/>
      <c r="O212" s="250"/>
      <c r="P212" s="250"/>
      <c r="Q212" s="250"/>
      <c r="R212" s="250"/>
      <c r="S212" s="250"/>
    </row>
    <row r="213" spans="2:19" s="265" customFormat="1" ht="14.25" x14ac:dyDescent="0.2">
      <c r="B213" s="361" t="s">
        <v>455</v>
      </c>
      <c r="C213" s="362">
        <f>SUM(M213:S213)</f>
        <v>0</v>
      </c>
      <c r="D213" s="250"/>
      <c r="E213" s="250"/>
      <c r="F213" s="250"/>
      <c r="G213" s="250"/>
      <c r="H213" s="250"/>
      <c r="I213" s="250"/>
      <c r="J213" s="250"/>
      <c r="K213" s="250"/>
      <c r="L213" s="250"/>
      <c r="M213" s="228">
        <f t="shared" ref="M213:S213" si="87">SUM(M211)-M52</f>
        <v>0</v>
      </c>
      <c r="N213" s="228">
        <f t="shared" si="87"/>
        <v>0</v>
      </c>
      <c r="O213" s="228">
        <f t="shared" si="87"/>
        <v>0</v>
      </c>
      <c r="P213" s="228">
        <f t="shared" si="87"/>
        <v>0</v>
      </c>
      <c r="Q213" s="228">
        <f t="shared" si="87"/>
        <v>0</v>
      </c>
      <c r="R213" s="228">
        <f t="shared" si="87"/>
        <v>0</v>
      </c>
      <c r="S213" s="228">
        <f t="shared" si="87"/>
        <v>0</v>
      </c>
    </row>
    <row r="214" spans="2:19" s="265" customFormat="1" ht="14.25" x14ac:dyDescent="0.2">
      <c r="B214" s="361"/>
      <c r="C214" s="355"/>
      <c r="D214" s="250"/>
      <c r="E214" s="250"/>
      <c r="F214" s="250"/>
      <c r="G214" s="250"/>
      <c r="H214" s="250"/>
      <c r="I214" s="250"/>
      <c r="J214" s="250"/>
      <c r="K214" s="250"/>
      <c r="L214" s="250"/>
      <c r="M214" s="228"/>
      <c r="N214" s="228"/>
      <c r="O214" s="228"/>
      <c r="P214" s="228"/>
      <c r="Q214" s="228"/>
      <c r="R214" s="228"/>
      <c r="S214" s="228"/>
    </row>
    <row r="215" spans="2:19" s="265" customFormat="1" ht="14.25" x14ac:dyDescent="0.2">
      <c r="B215" s="291" t="s">
        <v>479</v>
      </c>
      <c r="C215" s="358"/>
      <c r="D215" s="250"/>
      <c r="E215" s="250"/>
      <c r="F215" s="250"/>
      <c r="G215" s="250"/>
      <c r="H215" s="250"/>
      <c r="I215" s="250"/>
      <c r="J215" s="250"/>
      <c r="K215" s="250"/>
      <c r="L215" s="250"/>
      <c r="M215" s="250"/>
      <c r="N215" s="250"/>
      <c r="O215" s="250"/>
      <c r="P215" s="250"/>
      <c r="Q215" s="250"/>
      <c r="R215" s="250"/>
      <c r="S215" s="250"/>
    </row>
    <row r="216" spans="2:19" s="265" customFormat="1" ht="14.25" x14ac:dyDescent="0.2">
      <c r="B216" s="366" t="str">
        <f>B211</f>
        <v>11 Asset relocations (net)</v>
      </c>
      <c r="C216" s="356" t="s">
        <v>467</v>
      </c>
      <c r="D216" s="250"/>
      <c r="E216" s="250"/>
      <c r="F216" s="250"/>
      <c r="G216" s="250"/>
      <c r="H216" s="250"/>
      <c r="I216" s="250"/>
      <c r="J216" s="250"/>
      <c r="K216" s="250"/>
      <c r="L216" s="250"/>
      <c r="M216" s="363">
        <f t="shared" ref="M216:S216" si="88">M206*M$62</f>
        <v>10079.010175593119</v>
      </c>
      <c r="N216" s="363">
        <f t="shared" si="88"/>
        <v>14463.931033675328</v>
      </c>
      <c r="O216" s="363">
        <f t="shared" si="88"/>
        <v>11449.175237113486</v>
      </c>
      <c r="P216" s="363">
        <f t="shared" si="88"/>
        <v>11340.879990325535</v>
      </c>
      <c r="Q216" s="363">
        <f t="shared" si="88"/>
        <v>10910.314957256167</v>
      </c>
      <c r="R216" s="363">
        <f t="shared" si="88"/>
        <v>10665.039189827745</v>
      </c>
      <c r="S216" s="363">
        <f t="shared" si="88"/>
        <v>10607.747748157522</v>
      </c>
    </row>
    <row r="217" spans="2:19" s="265" customFormat="1" ht="14.25" x14ac:dyDescent="0.2">
      <c r="B217" s="267"/>
      <c r="C217" s="355"/>
      <c r="D217" s="250"/>
      <c r="E217" s="250"/>
      <c r="F217" s="250"/>
      <c r="G217" s="250"/>
      <c r="H217" s="250"/>
      <c r="I217" s="250"/>
      <c r="J217" s="250"/>
      <c r="K217" s="250"/>
      <c r="L217" s="250"/>
      <c r="M217" s="250"/>
      <c r="N217" s="250"/>
      <c r="O217" s="250"/>
      <c r="P217" s="250"/>
      <c r="Q217" s="250"/>
      <c r="R217" s="250"/>
      <c r="S217" s="250"/>
    </row>
    <row r="218" spans="2:19" s="265" customFormat="1" ht="14.25" x14ac:dyDescent="0.2">
      <c r="B218" s="361" t="s">
        <v>456</v>
      </c>
      <c r="C218" s="362">
        <f>SUM(M218:S218)</f>
        <v>0</v>
      </c>
      <c r="D218" s="250"/>
      <c r="E218" s="250"/>
      <c r="F218" s="250"/>
      <c r="G218" s="250"/>
      <c r="H218" s="250"/>
      <c r="I218" s="250"/>
      <c r="J218" s="250"/>
      <c r="K218" s="250"/>
      <c r="L218" s="250"/>
      <c r="M218" s="228">
        <f t="shared" ref="M218:S218" si="89">SUM(M216)-M62</f>
        <v>0</v>
      </c>
      <c r="N218" s="228">
        <f t="shared" si="89"/>
        <v>0</v>
      </c>
      <c r="O218" s="228">
        <f t="shared" si="89"/>
        <v>0</v>
      </c>
      <c r="P218" s="228">
        <f t="shared" si="89"/>
        <v>0</v>
      </c>
      <c r="Q218" s="228">
        <f t="shared" si="89"/>
        <v>0</v>
      </c>
      <c r="R218" s="228">
        <f t="shared" si="89"/>
        <v>0</v>
      </c>
      <c r="S218" s="228">
        <f t="shared" si="89"/>
        <v>0</v>
      </c>
    </row>
    <row r="219" spans="2:19" s="265" customFormat="1" ht="14.25" x14ac:dyDescent="0.2">
      <c r="B219" s="361"/>
      <c r="C219" s="355"/>
      <c r="D219" s="250"/>
      <c r="E219" s="250"/>
      <c r="F219" s="250"/>
      <c r="G219" s="250"/>
      <c r="H219" s="250"/>
      <c r="I219" s="250"/>
      <c r="J219" s="250"/>
      <c r="K219" s="250"/>
      <c r="L219" s="250"/>
      <c r="M219" s="228"/>
      <c r="N219" s="228"/>
      <c r="O219" s="228"/>
      <c r="P219" s="228"/>
      <c r="Q219" s="228"/>
      <c r="R219" s="228"/>
      <c r="S219" s="228"/>
    </row>
    <row r="220" spans="2:19" s="265" customFormat="1" ht="14.25" x14ac:dyDescent="0.2">
      <c r="B220" s="354" t="str">
        <f>B23</f>
        <v>Reliability, safety and environment (RSE)</v>
      </c>
      <c r="C220" s="355"/>
      <c r="D220" s="250"/>
      <c r="E220" s="250"/>
      <c r="F220" s="250"/>
      <c r="G220" s="250"/>
      <c r="H220" s="250"/>
      <c r="I220" s="250"/>
      <c r="J220" s="250"/>
      <c r="K220" s="250"/>
      <c r="L220" s="250"/>
      <c r="M220" s="250"/>
      <c r="N220" s="250"/>
      <c r="O220" s="250"/>
      <c r="P220" s="250"/>
      <c r="Q220" s="250"/>
      <c r="R220" s="250"/>
      <c r="S220" s="250"/>
    </row>
    <row r="221" spans="2:19" s="265" customFormat="1" ht="14.25" x14ac:dyDescent="0.2">
      <c r="B221" s="250"/>
      <c r="C221" s="355"/>
      <c r="D221" s="250"/>
      <c r="E221" s="250"/>
      <c r="F221" s="250"/>
      <c r="G221" s="250"/>
      <c r="H221" s="250"/>
      <c r="I221" s="250"/>
      <c r="J221" s="250"/>
      <c r="K221" s="250"/>
      <c r="L221" s="250"/>
      <c r="M221" s="250"/>
      <c r="N221" s="250"/>
      <c r="O221" s="250"/>
      <c r="P221" s="250"/>
      <c r="Q221" s="250"/>
      <c r="R221" s="250"/>
      <c r="S221" s="250"/>
    </row>
    <row r="222" spans="2:19" s="265" customFormat="1" ht="14.25" x14ac:dyDescent="0.2">
      <c r="B222" s="291" t="s">
        <v>481</v>
      </c>
      <c r="C222" s="358"/>
      <c r="D222" s="250"/>
      <c r="E222" s="250"/>
      <c r="F222" s="250"/>
      <c r="G222" s="250"/>
      <c r="H222" s="250"/>
      <c r="I222" s="250"/>
      <c r="J222" s="250"/>
      <c r="K222" s="250"/>
      <c r="L222" s="250"/>
      <c r="M222" s="250"/>
      <c r="N222" s="250"/>
      <c r="O222" s="250"/>
      <c r="P222" s="250"/>
      <c r="Q222" s="250"/>
      <c r="R222" s="250"/>
      <c r="S222" s="250"/>
    </row>
    <row r="223" spans="2:19" s="265" customFormat="1" ht="14.25" x14ac:dyDescent="0.2">
      <c r="B223" s="364" t="str">
        <f>'Sch E table 4 '!E75</f>
        <v>12 Future Networks</v>
      </c>
      <c r="C223" s="356" t="s">
        <v>69</v>
      </c>
      <c r="D223" s="250"/>
      <c r="E223" s="250"/>
      <c r="F223" s="250"/>
      <c r="G223" s="250"/>
      <c r="H223" s="250"/>
      <c r="I223" s="250"/>
      <c r="J223" s="250"/>
      <c r="K223" s="250"/>
      <c r="L223" s="250"/>
      <c r="M223" s="360">
        <f>SUMIFS('Forecast capex'!$Q$9:$Q$1883,'Forecast capex'!$F$9:$F$1883,'Schedule E calculations'!$B223,'Forecast capex'!$J$9:$J$1883,'Schedule E calculations'!M$9)/'Capex summary'!M$26</f>
        <v>0</v>
      </c>
      <c r="N223" s="360">
        <f>SUMIFS('Forecast capex'!$Q$9:$Q$1883,'Forecast capex'!$F$9:$F$1883,'Schedule E calculations'!$B223,'Forecast capex'!$J$9:$J$1883,'Schedule E calculations'!N$9)/'Capex summary'!N$26</f>
        <v>1</v>
      </c>
      <c r="O223" s="360">
        <f>SUMIFS('Forecast capex'!$Q$9:$Q$1883,'Forecast capex'!$F$9:$F$1883,'Schedule E calculations'!$B223,'Forecast capex'!$J$9:$J$1883,'Schedule E calculations'!O$9)/'Capex summary'!O$26</f>
        <v>1</v>
      </c>
      <c r="P223" s="360">
        <f>SUMIFS('Forecast capex'!$Q$9:$Q$1883,'Forecast capex'!$F$9:$F$1883,'Schedule E calculations'!$B223,'Forecast capex'!$J$9:$J$1883,'Schedule E calculations'!P$9)/'Capex summary'!P$26</f>
        <v>1</v>
      </c>
      <c r="Q223" s="360">
        <f>SUMIFS('Forecast capex'!$Q$9:$Q$1883,'Forecast capex'!$F$9:$F$1883,'Schedule E calculations'!$B223,'Forecast capex'!$J$9:$J$1883,'Schedule E calculations'!Q$9)/'Capex summary'!Q$26</f>
        <v>1</v>
      </c>
      <c r="R223" s="360">
        <f>SUMIFS('Forecast capex'!$Q$9:$Q$1883,'Forecast capex'!$F$9:$F$1883,'Schedule E calculations'!$B223,'Forecast capex'!$J$9:$J$1883,'Schedule E calculations'!R$9)/'Capex summary'!R$26</f>
        <v>0.24958513109857286</v>
      </c>
      <c r="S223" s="360">
        <f>SUMIFS('Forecast capex'!$Q$9:$Q$1883,'Forecast capex'!$F$9:$F$1883,'Schedule E calculations'!$B223,'Forecast capex'!$J$9:$J$1883,'Schedule E calculations'!S$9)/'Capex summary'!S$26</f>
        <v>0</v>
      </c>
    </row>
    <row r="224" spans="2:19" s="265" customFormat="1" ht="14.25" x14ac:dyDescent="0.2">
      <c r="B224" s="364" t="str">
        <f>'Sch E table 4 '!E76</f>
        <v>13 RSE</v>
      </c>
      <c r="C224" s="356" t="s">
        <v>69</v>
      </c>
      <c r="D224" s="250"/>
      <c r="E224" s="250"/>
      <c r="F224" s="250"/>
      <c r="G224" s="250"/>
      <c r="H224" s="250"/>
      <c r="I224" s="250"/>
      <c r="J224" s="250"/>
      <c r="K224" s="250"/>
      <c r="L224" s="250"/>
      <c r="M224" s="360">
        <f>SUMIFS('Forecast capex'!$Q$9:$Q$1883,'Forecast capex'!$F$9:$F$1883,'Schedule E calculations'!$B224,'Forecast capex'!$J$9:$J$1883,'Schedule E calculations'!M$9)/'Capex summary'!M$26</f>
        <v>1</v>
      </c>
      <c r="N224" s="360">
        <f>SUMIFS('Forecast capex'!$Q$9:$Q$1883,'Forecast capex'!$F$9:$F$1883,'Schedule E calculations'!$B224,'Forecast capex'!$J$9:$J$1883,'Schedule E calculations'!N$9)/'Capex summary'!N$26</f>
        <v>0</v>
      </c>
      <c r="O224" s="360">
        <f>SUMIFS('Forecast capex'!$Q$9:$Q$1883,'Forecast capex'!$F$9:$F$1883,'Schedule E calculations'!$B224,'Forecast capex'!$J$9:$J$1883,'Schedule E calculations'!O$9)/'Capex summary'!O$26</f>
        <v>0</v>
      </c>
      <c r="P224" s="360">
        <f>SUMIFS('Forecast capex'!$Q$9:$Q$1883,'Forecast capex'!$F$9:$F$1883,'Schedule E calculations'!$B224,'Forecast capex'!$J$9:$J$1883,'Schedule E calculations'!P$9)/'Capex summary'!P$26</f>
        <v>0</v>
      </c>
      <c r="Q224" s="360">
        <f>SUMIFS('Forecast capex'!$Q$9:$Q$1883,'Forecast capex'!$F$9:$F$1883,'Schedule E calculations'!$B224,'Forecast capex'!$J$9:$J$1883,'Schedule E calculations'!Q$9)/'Capex summary'!Q$26</f>
        <v>0</v>
      </c>
      <c r="R224" s="360">
        <f>SUMIFS('Forecast capex'!$Q$9:$Q$1883,'Forecast capex'!$F$9:$F$1883,'Schedule E calculations'!$B224,'Forecast capex'!$J$9:$J$1883,'Schedule E calculations'!R$9)/'Capex summary'!R$26</f>
        <v>0.75041486890142717</v>
      </c>
      <c r="S224" s="360">
        <f>SUMIFS('Forecast capex'!$Q$9:$Q$1883,'Forecast capex'!$F$9:$F$1883,'Schedule E calculations'!$B224,'Forecast capex'!$J$9:$J$1883,'Schedule E calculations'!S$9)/'Capex summary'!S$26</f>
        <v>1</v>
      </c>
    </row>
    <row r="225" spans="2:19" s="265" customFormat="1" ht="14.25" x14ac:dyDescent="0.2">
      <c r="B225" s="366"/>
      <c r="C225" s="355"/>
      <c r="D225" s="250"/>
      <c r="E225" s="250"/>
      <c r="F225" s="250"/>
      <c r="G225" s="250"/>
      <c r="H225" s="250"/>
      <c r="I225" s="250"/>
      <c r="J225" s="250"/>
      <c r="K225" s="250"/>
      <c r="L225" s="250"/>
      <c r="M225" s="267"/>
      <c r="N225" s="250"/>
      <c r="O225" s="250"/>
      <c r="P225" s="250"/>
      <c r="Q225" s="250"/>
      <c r="R225" s="250"/>
      <c r="S225" s="250"/>
    </row>
    <row r="226" spans="2:19" s="265" customFormat="1" ht="14.25" x14ac:dyDescent="0.2">
      <c r="B226" s="361" t="s">
        <v>457</v>
      </c>
      <c r="C226" s="362">
        <f>SUM(M226:S226)</f>
        <v>0</v>
      </c>
      <c r="D226" s="250"/>
      <c r="E226" s="250"/>
      <c r="F226" s="250"/>
      <c r="G226" s="250"/>
      <c r="H226" s="250"/>
      <c r="I226" s="250"/>
      <c r="J226" s="250"/>
      <c r="K226" s="250"/>
      <c r="L226" s="250"/>
      <c r="M226" s="228">
        <f t="shared" ref="M226:S226" si="90">1-SUM(M223:M224)</f>
        <v>0</v>
      </c>
      <c r="N226" s="228">
        <f t="shared" si="90"/>
        <v>0</v>
      </c>
      <c r="O226" s="228">
        <f t="shared" si="90"/>
        <v>0</v>
      </c>
      <c r="P226" s="228">
        <f t="shared" si="90"/>
        <v>0</v>
      </c>
      <c r="Q226" s="228">
        <f t="shared" si="90"/>
        <v>0</v>
      </c>
      <c r="R226" s="228">
        <f t="shared" si="90"/>
        <v>0</v>
      </c>
      <c r="S226" s="228">
        <f t="shared" si="90"/>
        <v>0</v>
      </c>
    </row>
    <row r="227" spans="2:19" s="265" customFormat="1" ht="14.25" x14ac:dyDescent="0.2">
      <c r="B227" s="361"/>
      <c r="C227" s="355"/>
      <c r="D227" s="250"/>
      <c r="E227" s="250"/>
      <c r="F227" s="250"/>
      <c r="G227" s="250"/>
      <c r="H227" s="250"/>
      <c r="I227" s="250"/>
      <c r="J227" s="250"/>
      <c r="K227" s="250"/>
      <c r="L227" s="250"/>
      <c r="M227" s="228"/>
      <c r="N227" s="228"/>
      <c r="O227" s="228"/>
      <c r="P227" s="228"/>
      <c r="Q227" s="228"/>
      <c r="R227" s="228"/>
      <c r="S227" s="228"/>
    </row>
    <row r="228" spans="2:19" s="265" customFormat="1" ht="14.25" x14ac:dyDescent="0.2">
      <c r="B228" s="291" t="s">
        <v>482</v>
      </c>
      <c r="C228" s="358"/>
      <c r="D228" s="250"/>
      <c r="E228" s="250"/>
      <c r="F228" s="250"/>
      <c r="G228" s="250"/>
      <c r="H228" s="250"/>
      <c r="I228" s="250"/>
      <c r="J228" s="250"/>
      <c r="K228" s="250"/>
      <c r="L228" s="250"/>
      <c r="M228" s="250"/>
      <c r="N228" s="250"/>
      <c r="O228" s="250"/>
      <c r="P228" s="250"/>
      <c r="Q228" s="250"/>
      <c r="R228" s="250"/>
      <c r="S228" s="250"/>
    </row>
    <row r="229" spans="2:19" s="265" customFormat="1" ht="14.25" x14ac:dyDescent="0.2">
      <c r="B229" s="366" t="str">
        <f>B223</f>
        <v>12 Future Networks</v>
      </c>
      <c r="C229" s="356" t="s">
        <v>250</v>
      </c>
      <c r="D229" s="250"/>
      <c r="E229" s="250"/>
      <c r="F229" s="250"/>
      <c r="G229" s="250"/>
      <c r="H229" s="250"/>
      <c r="I229" s="250"/>
      <c r="J229" s="250"/>
      <c r="K229" s="250"/>
      <c r="L229" s="250"/>
      <c r="M229" s="363">
        <f t="shared" ref="M229:S230" si="91">M223*M$53</f>
        <v>0</v>
      </c>
      <c r="N229" s="363">
        <f t="shared" si="91"/>
        <v>1811.0990437309124</v>
      </c>
      <c r="O229" s="363">
        <f t="shared" si="91"/>
        <v>2816.4432046154593</v>
      </c>
      <c r="P229" s="363">
        <f t="shared" si="91"/>
        <v>2844.4640039328078</v>
      </c>
      <c r="Q229" s="363">
        <f t="shared" si="91"/>
        <v>1368.5806326030827</v>
      </c>
      <c r="R229" s="363">
        <f t="shared" si="91"/>
        <v>1364.4719384507946</v>
      </c>
      <c r="S229" s="363">
        <f t="shared" si="91"/>
        <v>0</v>
      </c>
    </row>
    <row r="230" spans="2:19" s="265" customFormat="1" ht="14.25" x14ac:dyDescent="0.2">
      <c r="B230" s="366" t="str">
        <f>B224</f>
        <v>13 RSE</v>
      </c>
      <c r="C230" s="356" t="s">
        <v>250</v>
      </c>
      <c r="D230" s="250"/>
      <c r="E230" s="250"/>
      <c r="F230" s="250"/>
      <c r="G230" s="250"/>
      <c r="H230" s="250"/>
      <c r="I230" s="250"/>
      <c r="J230" s="250"/>
      <c r="K230" s="250"/>
      <c r="L230" s="250"/>
      <c r="M230" s="363">
        <f t="shared" si="91"/>
        <v>9391.2106864539983</v>
      </c>
      <c r="N230" s="363">
        <f t="shared" si="91"/>
        <v>0</v>
      </c>
      <c r="O230" s="363">
        <f t="shared" si="91"/>
        <v>0</v>
      </c>
      <c r="P230" s="363">
        <f t="shared" si="91"/>
        <v>0</v>
      </c>
      <c r="Q230" s="363">
        <f t="shared" si="91"/>
        <v>0</v>
      </c>
      <c r="R230" s="363">
        <f t="shared" si="91"/>
        <v>4102.4881021771898</v>
      </c>
      <c r="S230" s="363">
        <f t="shared" si="91"/>
        <v>4165.1151208527481</v>
      </c>
    </row>
    <row r="231" spans="2:19" s="265" customFormat="1" ht="14.25" x14ac:dyDescent="0.2">
      <c r="B231" s="366"/>
      <c r="C231" s="355"/>
      <c r="D231" s="250"/>
      <c r="E231" s="250"/>
      <c r="F231" s="250"/>
      <c r="G231" s="250"/>
      <c r="H231" s="250"/>
      <c r="I231" s="250"/>
      <c r="J231" s="250"/>
      <c r="K231" s="250"/>
      <c r="L231" s="250"/>
      <c r="M231" s="250"/>
      <c r="N231" s="250"/>
      <c r="O231" s="250"/>
      <c r="P231" s="250"/>
      <c r="Q231" s="250"/>
      <c r="R231" s="250"/>
      <c r="S231" s="250"/>
    </row>
    <row r="232" spans="2:19" s="265" customFormat="1" ht="14.25" x14ac:dyDescent="0.2">
      <c r="B232" s="361" t="s">
        <v>458</v>
      </c>
      <c r="C232" s="362">
        <f>SUM(M232:S232)</f>
        <v>0</v>
      </c>
      <c r="D232" s="250"/>
      <c r="E232" s="250"/>
      <c r="F232" s="250"/>
      <c r="G232" s="250"/>
      <c r="H232" s="250"/>
      <c r="I232" s="250"/>
      <c r="J232" s="250"/>
      <c r="K232" s="250"/>
      <c r="L232" s="250"/>
      <c r="M232" s="228">
        <f t="shared" ref="M232:S232" si="92">SUM(M229:M230)-M53</f>
        <v>0</v>
      </c>
      <c r="N232" s="228">
        <f t="shared" si="92"/>
        <v>0</v>
      </c>
      <c r="O232" s="228">
        <f t="shared" si="92"/>
        <v>0</v>
      </c>
      <c r="P232" s="228">
        <f t="shared" si="92"/>
        <v>0</v>
      </c>
      <c r="Q232" s="228">
        <f t="shared" si="92"/>
        <v>0</v>
      </c>
      <c r="R232" s="228">
        <f t="shared" si="92"/>
        <v>0</v>
      </c>
      <c r="S232" s="228">
        <f t="shared" si="92"/>
        <v>0</v>
      </c>
    </row>
    <row r="233" spans="2:19" s="265" customFormat="1" ht="14.25" x14ac:dyDescent="0.2">
      <c r="B233" s="361"/>
      <c r="C233" s="355"/>
      <c r="D233" s="250"/>
      <c r="E233" s="250"/>
      <c r="F233" s="250"/>
      <c r="G233" s="250"/>
      <c r="H233" s="250"/>
      <c r="I233" s="250"/>
      <c r="J233" s="250"/>
      <c r="K233" s="250"/>
      <c r="L233" s="250"/>
      <c r="M233" s="228"/>
      <c r="N233" s="228"/>
      <c r="O233" s="228"/>
      <c r="P233" s="228"/>
      <c r="Q233" s="228"/>
      <c r="R233" s="228"/>
      <c r="S233" s="228"/>
    </row>
    <row r="234" spans="2:19" s="265" customFormat="1" ht="14.25" x14ac:dyDescent="0.2">
      <c r="B234" s="291" t="s">
        <v>483</v>
      </c>
      <c r="C234" s="358"/>
      <c r="D234" s="250"/>
      <c r="E234" s="250"/>
      <c r="F234" s="250"/>
      <c r="G234" s="250"/>
      <c r="H234" s="250"/>
      <c r="I234" s="250"/>
      <c r="J234" s="250"/>
      <c r="K234" s="250"/>
      <c r="L234" s="250"/>
      <c r="M234" s="250"/>
      <c r="N234" s="250"/>
      <c r="O234" s="250"/>
      <c r="P234" s="250"/>
      <c r="Q234" s="250"/>
      <c r="R234" s="250"/>
      <c r="S234" s="250"/>
    </row>
    <row r="235" spans="2:19" s="265" customFormat="1" ht="14.25" x14ac:dyDescent="0.2">
      <c r="B235" s="366" t="str">
        <f>B229</f>
        <v>12 Future Networks</v>
      </c>
      <c r="C235" s="356" t="s">
        <v>467</v>
      </c>
      <c r="D235" s="250"/>
      <c r="E235" s="250"/>
      <c r="F235" s="250"/>
      <c r="G235" s="250"/>
      <c r="H235" s="250"/>
      <c r="I235" s="250"/>
      <c r="J235" s="250"/>
      <c r="K235" s="250"/>
      <c r="L235" s="250"/>
      <c r="M235" s="363">
        <f t="shared" ref="M235:S236" si="93">M223*M$63</f>
        <v>0</v>
      </c>
      <c r="N235" s="363">
        <f t="shared" si="93"/>
        <v>1783.926918740872</v>
      </c>
      <c r="O235" s="363">
        <f t="shared" si="93"/>
        <v>2735.6417866668362</v>
      </c>
      <c r="P235" s="363">
        <f t="shared" si="93"/>
        <v>2709.7659487767696</v>
      </c>
      <c r="Q235" s="363">
        <f t="shared" si="93"/>
        <v>1283.8717977708359</v>
      </c>
      <c r="R235" s="363">
        <f t="shared" si="93"/>
        <v>1255.0089609314175</v>
      </c>
      <c r="S235" s="363">
        <f t="shared" si="93"/>
        <v>0</v>
      </c>
    </row>
    <row r="236" spans="2:19" s="265" customFormat="1" ht="14.25" x14ac:dyDescent="0.2">
      <c r="B236" s="366" t="str">
        <f>B230</f>
        <v>13 RSE</v>
      </c>
      <c r="C236" s="356" t="s">
        <v>467</v>
      </c>
      <c r="D236" s="250"/>
      <c r="E236" s="250"/>
      <c r="F236" s="250"/>
      <c r="G236" s="250"/>
      <c r="H236" s="250"/>
      <c r="I236" s="250"/>
      <c r="J236" s="250"/>
      <c r="K236" s="250"/>
      <c r="L236" s="250"/>
      <c r="M236" s="363">
        <f t="shared" si="93"/>
        <v>9391.2106864539983</v>
      </c>
      <c r="N236" s="363">
        <f t="shared" si="93"/>
        <v>0</v>
      </c>
      <c r="O236" s="363">
        <f t="shared" si="93"/>
        <v>0</v>
      </c>
      <c r="P236" s="363">
        <f t="shared" si="93"/>
        <v>0</v>
      </c>
      <c r="Q236" s="363">
        <f t="shared" si="93"/>
        <v>0</v>
      </c>
      <c r="R236" s="363">
        <f t="shared" si="93"/>
        <v>3773.371357268531</v>
      </c>
      <c r="S236" s="363">
        <f t="shared" si="93"/>
        <v>3753.0942703027536</v>
      </c>
    </row>
    <row r="237" spans="2:19" s="265" customFormat="1" ht="14.25" x14ac:dyDescent="0.2">
      <c r="B237" s="250"/>
      <c r="C237" s="355"/>
      <c r="D237" s="250"/>
      <c r="E237" s="250"/>
      <c r="F237" s="250"/>
      <c r="G237" s="250"/>
      <c r="H237" s="250"/>
      <c r="I237" s="250"/>
      <c r="J237" s="250"/>
      <c r="K237" s="250"/>
      <c r="L237" s="250"/>
      <c r="M237" s="250"/>
      <c r="N237" s="250"/>
      <c r="O237" s="250"/>
      <c r="P237" s="250"/>
      <c r="Q237" s="250"/>
      <c r="R237" s="250"/>
      <c r="S237" s="250"/>
    </row>
    <row r="238" spans="2:19" s="265" customFormat="1" ht="14.25" x14ac:dyDescent="0.2">
      <c r="B238" s="361" t="s">
        <v>459</v>
      </c>
      <c r="C238" s="362">
        <f>SUM(M238:S238)</f>
        <v>0</v>
      </c>
      <c r="D238" s="250"/>
      <c r="E238" s="250"/>
      <c r="F238" s="250"/>
      <c r="G238" s="250"/>
      <c r="H238" s="250"/>
      <c r="I238" s="250"/>
      <c r="J238" s="250"/>
      <c r="K238" s="250"/>
      <c r="L238" s="250"/>
      <c r="M238" s="228">
        <f t="shared" ref="M238:S238" si="94">SUM(M235:M236)-M63</f>
        <v>0</v>
      </c>
      <c r="N238" s="228">
        <f t="shared" si="94"/>
        <v>0</v>
      </c>
      <c r="O238" s="228">
        <f t="shared" si="94"/>
        <v>0</v>
      </c>
      <c r="P238" s="228">
        <f t="shared" si="94"/>
        <v>0</v>
      </c>
      <c r="Q238" s="228">
        <f t="shared" si="94"/>
        <v>0</v>
      </c>
      <c r="R238" s="228">
        <f t="shared" si="94"/>
        <v>0</v>
      </c>
      <c r="S238" s="228">
        <f t="shared" si="94"/>
        <v>0</v>
      </c>
    </row>
    <row r="239" spans="2:19" s="265" customFormat="1" ht="14.25" x14ac:dyDescent="0.2">
      <c r="B239" s="361"/>
      <c r="C239" s="355"/>
      <c r="D239" s="250"/>
      <c r="E239" s="250"/>
      <c r="F239" s="250"/>
      <c r="G239" s="250"/>
      <c r="H239" s="250"/>
      <c r="I239" s="250"/>
      <c r="J239" s="250"/>
      <c r="K239" s="250"/>
      <c r="L239" s="250"/>
      <c r="M239" s="228"/>
      <c r="N239" s="228"/>
      <c r="O239" s="228"/>
      <c r="P239" s="228"/>
      <c r="Q239" s="228"/>
      <c r="R239" s="228"/>
      <c r="S239" s="228"/>
    </row>
    <row r="240" spans="2:19" s="265" customFormat="1" ht="14.25" x14ac:dyDescent="0.2">
      <c r="B240" s="354" t="str">
        <f>B24</f>
        <v>Non-network capex</v>
      </c>
      <c r="C240" s="355"/>
      <c r="D240" s="250"/>
      <c r="E240" s="250"/>
      <c r="F240" s="250"/>
      <c r="G240" s="250"/>
      <c r="H240" s="250"/>
      <c r="I240" s="250"/>
      <c r="J240" s="250"/>
      <c r="K240" s="250"/>
      <c r="L240" s="250"/>
      <c r="M240" s="250"/>
      <c r="N240" s="250"/>
      <c r="O240" s="250"/>
      <c r="P240" s="250"/>
      <c r="Q240" s="250"/>
      <c r="R240" s="250"/>
      <c r="S240" s="250"/>
    </row>
    <row r="241" spans="2:19" s="265" customFormat="1" ht="14.25" x14ac:dyDescent="0.2">
      <c r="B241" s="250"/>
      <c r="C241" s="355"/>
      <c r="D241" s="250"/>
      <c r="E241" s="250"/>
      <c r="F241" s="250"/>
      <c r="G241" s="250"/>
      <c r="H241" s="250"/>
      <c r="I241" s="250"/>
      <c r="J241" s="250"/>
      <c r="K241" s="250"/>
      <c r="L241" s="250"/>
      <c r="M241" s="250"/>
      <c r="N241" s="250"/>
      <c r="O241" s="250"/>
      <c r="P241" s="250"/>
      <c r="Q241" s="250"/>
      <c r="R241" s="250"/>
      <c r="S241" s="250"/>
    </row>
    <row r="242" spans="2:19" s="265" customFormat="1" ht="14.25" x14ac:dyDescent="0.2">
      <c r="B242" s="291" t="s">
        <v>484</v>
      </c>
      <c r="C242" s="358"/>
      <c r="D242" s="250"/>
      <c r="E242" s="250"/>
      <c r="F242" s="250"/>
      <c r="G242" s="250"/>
      <c r="H242" s="250"/>
      <c r="I242" s="250"/>
      <c r="J242" s="250"/>
      <c r="K242" s="250"/>
      <c r="L242" s="250"/>
      <c r="M242" s="250"/>
      <c r="N242" s="250"/>
      <c r="O242" s="250"/>
      <c r="P242" s="250"/>
      <c r="Q242" s="250"/>
      <c r="R242" s="250"/>
      <c r="S242" s="250"/>
    </row>
    <row r="243" spans="2:19" s="265" customFormat="1" ht="14.25" x14ac:dyDescent="0.2">
      <c r="B243" s="364" t="str">
        <f>'Sch E table 4 '!E103</f>
        <v>14 IT</v>
      </c>
      <c r="C243" s="356" t="s">
        <v>69</v>
      </c>
      <c r="D243" s="250"/>
      <c r="E243" s="250"/>
      <c r="F243" s="250"/>
      <c r="G243" s="250"/>
      <c r="H243" s="250"/>
      <c r="I243" s="250"/>
      <c r="J243" s="250"/>
      <c r="K243" s="250"/>
      <c r="L243" s="250"/>
      <c r="M243" s="360">
        <f>SUMIFS('Forecast capex'!$Q$9:$Q$1883,'Forecast capex'!$F$9:$F$1883,'Schedule E calculations'!$B243,'Forecast capex'!$J$9:$J$1883,'Schedule E calculations'!M$9)/'Capex summary'!M$30</f>
        <v>0.5210905605402868</v>
      </c>
      <c r="N243" s="360">
        <f>SUMIFS('Forecast capex'!$Q$9:$Q$1883,'Forecast capex'!$F$9:$F$1883,'Schedule E calculations'!$B243,'Forecast capex'!$J$9:$J$1883,'Schedule E calculations'!N$9)/'Capex summary'!N$30</f>
        <v>0.80247551950266627</v>
      </c>
      <c r="O243" s="360">
        <f>SUMIFS('Forecast capex'!$Q$9:$Q$1883,'Forecast capex'!$F$9:$F$1883,'Schedule E calculations'!$B243,'Forecast capex'!$J$9:$J$1883,'Schedule E calculations'!O$9)/'Capex summary'!O$30</f>
        <v>0.84021946208867904</v>
      </c>
      <c r="P243" s="360">
        <f>SUMIFS('Forecast capex'!$Q$9:$Q$1883,'Forecast capex'!$F$9:$F$1883,'Schedule E calculations'!$B243,'Forecast capex'!$J$9:$J$1883,'Schedule E calculations'!P$9)/'Capex summary'!P$30</f>
        <v>0.71995850991293175</v>
      </c>
      <c r="Q243" s="360">
        <f>SUMIFS('Forecast capex'!$Q$9:$Q$1883,'Forecast capex'!$F$9:$F$1883,'Schedule E calculations'!$B243,'Forecast capex'!$J$9:$J$1883,'Schedule E calculations'!Q$9)/'Capex summary'!Q$30</f>
        <v>0.68430197661078951</v>
      </c>
      <c r="R243" s="360">
        <f>SUMIFS('Forecast capex'!$Q$9:$Q$1883,'Forecast capex'!$F$9:$F$1883,'Schedule E calculations'!$B243,'Forecast capex'!$J$9:$J$1883,'Schedule E calculations'!R$9)/'Capex summary'!R$30</f>
        <v>0.74947992649924278</v>
      </c>
      <c r="S243" s="360">
        <f>SUMIFS('Forecast capex'!$Q$9:$Q$1883,'Forecast capex'!$F$9:$F$1883,'Schedule E calculations'!$B243,'Forecast capex'!$J$9:$J$1883,'Schedule E calculations'!S$9)/'Capex summary'!S$30</f>
        <v>0.72821165248361197</v>
      </c>
    </row>
    <row r="244" spans="2:19" s="265" customFormat="1" ht="14.25" x14ac:dyDescent="0.2">
      <c r="B244" s="364" t="str">
        <f>'Sch E table 4 '!E104</f>
        <v>15 Facilities</v>
      </c>
      <c r="C244" s="356" t="s">
        <v>69</v>
      </c>
      <c r="D244" s="250"/>
      <c r="E244" s="250"/>
      <c r="F244" s="250"/>
      <c r="G244" s="250"/>
      <c r="H244" s="250"/>
      <c r="I244" s="250"/>
      <c r="J244" s="250"/>
      <c r="K244" s="250"/>
      <c r="L244" s="250"/>
      <c r="M244" s="360">
        <f>SUMIFS('Forecast capex'!$Q$9:$Q$1883,'Forecast capex'!$F$9:$F$1883,'Schedule E calculations'!$B244,'Forecast capex'!$J$9:$J$1883,'Schedule E calculations'!M$9)/'Capex summary'!M$30</f>
        <v>0.47890943945971326</v>
      </c>
      <c r="N244" s="360">
        <f>SUMIFS('Forecast capex'!$Q$9:$Q$1883,'Forecast capex'!$F$9:$F$1883,'Schedule E calculations'!$B244,'Forecast capex'!$J$9:$J$1883,'Schedule E calculations'!N$9)/'Capex summary'!N$30</f>
        <v>0.19752448049733382</v>
      </c>
      <c r="O244" s="360">
        <f>SUMIFS('Forecast capex'!$Q$9:$Q$1883,'Forecast capex'!$F$9:$F$1883,'Schedule E calculations'!$B244,'Forecast capex'!$J$9:$J$1883,'Schedule E calculations'!O$9)/'Capex summary'!O$30</f>
        <v>0.15978053791132107</v>
      </c>
      <c r="P244" s="360">
        <f>SUMIFS('Forecast capex'!$Q$9:$Q$1883,'Forecast capex'!$F$9:$F$1883,'Schedule E calculations'!$B244,'Forecast capex'!$J$9:$J$1883,'Schedule E calculations'!P$9)/'Capex summary'!P$30</f>
        <v>0.28004149008706825</v>
      </c>
      <c r="Q244" s="360">
        <f>SUMIFS('Forecast capex'!$Q$9:$Q$1883,'Forecast capex'!$F$9:$F$1883,'Schedule E calculations'!$B244,'Forecast capex'!$J$9:$J$1883,'Schedule E calculations'!Q$9)/'Capex summary'!Q$30</f>
        <v>0.31569802338921027</v>
      </c>
      <c r="R244" s="360">
        <f>SUMIFS('Forecast capex'!$Q$9:$Q$1883,'Forecast capex'!$F$9:$F$1883,'Schedule E calculations'!$B244,'Forecast capex'!$J$9:$J$1883,'Schedule E calculations'!R$9)/'Capex summary'!R$30</f>
        <v>0.25052007350075717</v>
      </c>
      <c r="S244" s="360">
        <f>SUMIFS('Forecast capex'!$Q$9:$Q$1883,'Forecast capex'!$F$9:$F$1883,'Schedule E calculations'!$B244,'Forecast capex'!$J$9:$J$1883,'Schedule E calculations'!S$9)/'Capex summary'!S$30</f>
        <v>0.27178834751638803</v>
      </c>
    </row>
    <row r="245" spans="2:19" s="265" customFormat="1" ht="14.25" x14ac:dyDescent="0.2">
      <c r="B245" s="366"/>
      <c r="C245" s="355"/>
      <c r="D245" s="250"/>
      <c r="E245" s="250"/>
      <c r="F245" s="250"/>
      <c r="G245" s="250"/>
      <c r="H245" s="250"/>
      <c r="I245" s="250"/>
      <c r="J245" s="250"/>
      <c r="K245" s="250"/>
      <c r="L245" s="250"/>
      <c r="M245" s="250"/>
      <c r="N245" s="250"/>
      <c r="O245" s="250"/>
      <c r="P245" s="250"/>
      <c r="Q245" s="250"/>
      <c r="R245" s="250"/>
      <c r="S245" s="250"/>
    </row>
    <row r="246" spans="2:19" s="265" customFormat="1" ht="14.25" x14ac:dyDescent="0.2">
      <c r="B246" s="361" t="s">
        <v>460</v>
      </c>
      <c r="C246" s="362">
        <f>SUM(M246:S246)</f>
        <v>0</v>
      </c>
      <c r="D246" s="250"/>
      <c r="E246" s="250"/>
      <c r="F246" s="250"/>
      <c r="G246" s="250"/>
      <c r="H246" s="250"/>
      <c r="I246" s="250"/>
      <c r="J246" s="250"/>
      <c r="K246" s="250"/>
      <c r="L246" s="250"/>
      <c r="M246" s="228">
        <f t="shared" ref="M246:S246" si="95">1-SUM(M243:M244)</f>
        <v>0</v>
      </c>
      <c r="N246" s="228">
        <f t="shared" si="95"/>
        <v>0</v>
      </c>
      <c r="O246" s="228">
        <f t="shared" si="95"/>
        <v>0</v>
      </c>
      <c r="P246" s="228">
        <f t="shared" si="95"/>
        <v>0</v>
      </c>
      <c r="Q246" s="228">
        <f t="shared" si="95"/>
        <v>0</v>
      </c>
      <c r="R246" s="228">
        <f t="shared" si="95"/>
        <v>0</v>
      </c>
      <c r="S246" s="228">
        <f t="shared" si="95"/>
        <v>0</v>
      </c>
    </row>
    <row r="247" spans="2:19" s="265" customFormat="1" ht="14.25" x14ac:dyDescent="0.2">
      <c r="B247" s="361"/>
      <c r="C247" s="355"/>
      <c r="D247" s="250"/>
      <c r="E247" s="250"/>
      <c r="F247" s="250"/>
      <c r="G247" s="250"/>
      <c r="H247" s="250"/>
      <c r="I247" s="250"/>
      <c r="J247" s="250"/>
      <c r="K247" s="250"/>
      <c r="L247" s="250"/>
      <c r="M247" s="228"/>
      <c r="N247" s="228"/>
      <c r="O247" s="228"/>
      <c r="P247" s="228"/>
      <c r="Q247" s="228"/>
      <c r="R247" s="228"/>
      <c r="S247" s="228"/>
    </row>
    <row r="248" spans="2:19" s="265" customFormat="1" ht="14.25" x14ac:dyDescent="0.2">
      <c r="B248" s="291" t="s">
        <v>485</v>
      </c>
      <c r="C248" s="358"/>
      <c r="D248" s="250"/>
      <c r="E248" s="250"/>
      <c r="F248" s="250"/>
      <c r="G248" s="250"/>
      <c r="H248" s="250"/>
      <c r="I248" s="250"/>
      <c r="J248" s="250"/>
      <c r="K248" s="250"/>
      <c r="L248" s="250"/>
      <c r="M248" s="250"/>
      <c r="N248" s="250"/>
      <c r="O248" s="250"/>
      <c r="P248" s="250"/>
      <c r="Q248" s="250"/>
      <c r="R248" s="250"/>
      <c r="S248" s="250"/>
    </row>
    <row r="249" spans="2:19" s="265" customFormat="1" ht="14.25" x14ac:dyDescent="0.2">
      <c r="B249" s="366" t="str">
        <f>B243</f>
        <v>14 IT</v>
      </c>
      <c r="C249" s="356" t="s">
        <v>250</v>
      </c>
      <c r="D249" s="250"/>
      <c r="E249" s="250"/>
      <c r="F249" s="250"/>
      <c r="G249" s="250"/>
      <c r="H249" s="250"/>
      <c r="I249" s="250"/>
      <c r="J249" s="250"/>
      <c r="K249" s="250"/>
      <c r="L249" s="250"/>
      <c r="M249" s="363">
        <f t="shared" ref="M249:S250" si="96">M243*M$54</f>
        <v>36422.154729110007</v>
      </c>
      <c r="N249" s="363">
        <f t="shared" si="96"/>
        <v>38335.474429936359</v>
      </c>
      <c r="O249" s="363">
        <f t="shared" si="96"/>
        <v>34686.614784845588</v>
      </c>
      <c r="P249" s="363">
        <f t="shared" si="96"/>
        <v>13661.027717935094</v>
      </c>
      <c r="Q249" s="363">
        <f t="shared" si="96"/>
        <v>11977.80230615666</v>
      </c>
      <c r="R249" s="363">
        <f t="shared" si="96"/>
        <v>10663.101889059511</v>
      </c>
      <c r="S249" s="363">
        <f t="shared" si="96"/>
        <v>9695.558837153445</v>
      </c>
    </row>
    <row r="250" spans="2:19" s="265" customFormat="1" ht="14.25" x14ac:dyDescent="0.2">
      <c r="B250" s="366" t="str">
        <f>B244</f>
        <v>15 Facilities</v>
      </c>
      <c r="C250" s="356" t="s">
        <v>250</v>
      </c>
      <c r="D250" s="250"/>
      <c r="E250" s="250"/>
      <c r="F250" s="250"/>
      <c r="G250" s="250"/>
      <c r="H250" s="250"/>
      <c r="I250" s="250"/>
      <c r="J250" s="250"/>
      <c r="K250" s="250"/>
      <c r="L250" s="250"/>
      <c r="M250" s="363">
        <f t="shared" si="96"/>
        <v>33473.862368851071</v>
      </c>
      <c r="N250" s="363">
        <f t="shared" si="96"/>
        <v>9436.0444491625949</v>
      </c>
      <c r="O250" s="363">
        <f t="shared" si="96"/>
        <v>6596.1885182569922</v>
      </c>
      <c r="P250" s="363">
        <f t="shared" si="96"/>
        <v>5313.715312169782</v>
      </c>
      <c r="Q250" s="363">
        <f t="shared" si="96"/>
        <v>5525.8769400736528</v>
      </c>
      <c r="R250" s="363">
        <f t="shared" si="96"/>
        <v>3564.2329761528986</v>
      </c>
      <c r="S250" s="363">
        <f t="shared" si="96"/>
        <v>3618.6456308554466</v>
      </c>
    </row>
    <row r="251" spans="2:19" s="265" customFormat="1" ht="14.25" x14ac:dyDescent="0.2">
      <c r="B251" s="366"/>
      <c r="C251" s="355"/>
      <c r="D251" s="250"/>
      <c r="E251" s="250"/>
      <c r="F251" s="250"/>
      <c r="G251" s="250"/>
      <c r="H251" s="250"/>
      <c r="I251" s="250"/>
      <c r="J251" s="250"/>
      <c r="K251" s="250"/>
      <c r="L251" s="250"/>
      <c r="M251" s="250"/>
      <c r="N251" s="250"/>
      <c r="O251" s="250"/>
      <c r="P251" s="250"/>
      <c r="Q251" s="250"/>
      <c r="R251" s="250"/>
      <c r="S251" s="250"/>
    </row>
    <row r="252" spans="2:19" s="265" customFormat="1" ht="14.25" x14ac:dyDescent="0.2">
      <c r="B252" s="361" t="s">
        <v>461</v>
      </c>
      <c r="C252" s="362">
        <f>SUM(M252:S252)</f>
        <v>0</v>
      </c>
      <c r="D252" s="250"/>
      <c r="E252" s="250"/>
      <c r="F252" s="250"/>
      <c r="G252" s="250"/>
      <c r="H252" s="250"/>
      <c r="I252" s="250"/>
      <c r="J252" s="250"/>
      <c r="K252" s="250"/>
      <c r="L252" s="250"/>
      <c r="M252" s="228">
        <f t="shared" ref="M252:S252" si="97">SUM(M249:M250)-M54</f>
        <v>0</v>
      </c>
      <c r="N252" s="228">
        <f t="shared" si="97"/>
        <v>0</v>
      </c>
      <c r="O252" s="228">
        <f t="shared" si="97"/>
        <v>0</v>
      </c>
      <c r="P252" s="228">
        <f t="shared" si="97"/>
        <v>0</v>
      </c>
      <c r="Q252" s="228">
        <f t="shared" si="97"/>
        <v>0</v>
      </c>
      <c r="R252" s="228">
        <f t="shared" si="97"/>
        <v>0</v>
      </c>
      <c r="S252" s="228">
        <f t="shared" si="97"/>
        <v>0</v>
      </c>
    </row>
    <row r="253" spans="2:19" s="265" customFormat="1" ht="14.25" x14ac:dyDescent="0.2">
      <c r="B253" s="361"/>
      <c r="C253" s="355"/>
      <c r="D253" s="250"/>
      <c r="E253" s="250"/>
      <c r="F253" s="250"/>
      <c r="G253" s="250"/>
      <c r="H253" s="250"/>
      <c r="I253" s="250"/>
      <c r="J253" s="250"/>
      <c r="K253" s="250"/>
      <c r="L253" s="250"/>
      <c r="M253" s="228"/>
      <c r="N253" s="228"/>
      <c r="O253" s="228"/>
      <c r="P253" s="228"/>
      <c r="Q253" s="228"/>
      <c r="R253" s="228"/>
      <c r="S253" s="228"/>
    </row>
    <row r="254" spans="2:19" s="265" customFormat="1" ht="14.25" x14ac:dyDescent="0.2">
      <c r="B254" s="291" t="s">
        <v>486</v>
      </c>
      <c r="C254" s="358"/>
      <c r="D254" s="250"/>
      <c r="E254" s="250"/>
      <c r="F254" s="250"/>
      <c r="G254" s="250"/>
      <c r="H254" s="250"/>
      <c r="I254" s="250"/>
      <c r="J254" s="250"/>
      <c r="K254" s="250"/>
      <c r="L254" s="250"/>
      <c r="M254" s="250"/>
      <c r="N254" s="250"/>
      <c r="O254" s="250"/>
      <c r="P254" s="250"/>
      <c r="Q254" s="250"/>
      <c r="R254" s="250"/>
      <c r="S254" s="250"/>
    </row>
    <row r="255" spans="2:19" s="265" customFormat="1" ht="14.25" x14ac:dyDescent="0.2">
      <c r="B255" s="366" t="str">
        <f>B249</f>
        <v>14 IT</v>
      </c>
      <c r="C255" s="356" t="s">
        <v>467</v>
      </c>
      <c r="D255" s="250"/>
      <c r="E255" s="250"/>
      <c r="F255" s="250"/>
      <c r="G255" s="250"/>
      <c r="H255" s="250"/>
      <c r="I255" s="250"/>
      <c r="J255" s="250"/>
      <c r="K255" s="250"/>
      <c r="L255" s="250"/>
      <c r="M255" s="363">
        <f t="shared" ref="M255:S256" si="98">M243*M$64</f>
        <v>36422.154729110007</v>
      </c>
      <c r="N255" s="363">
        <f t="shared" si="98"/>
        <v>37760.322945886706</v>
      </c>
      <c r="O255" s="363">
        <f t="shared" si="98"/>
        <v>33691.484595868154</v>
      </c>
      <c r="P255" s="363">
        <f t="shared" si="98"/>
        <v>13014.117135662156</v>
      </c>
      <c r="Q255" s="363">
        <f t="shared" si="98"/>
        <v>11236.431536298782</v>
      </c>
      <c r="R255" s="363">
        <f t="shared" si="98"/>
        <v>9807.6684796379959</v>
      </c>
      <c r="S255" s="363">
        <f t="shared" si="98"/>
        <v>8736.4563195203664</v>
      </c>
    </row>
    <row r="256" spans="2:19" s="265" customFormat="1" ht="14.25" x14ac:dyDescent="0.2">
      <c r="B256" s="366" t="str">
        <f>B250</f>
        <v>15 Facilities</v>
      </c>
      <c r="C256" s="356" t="s">
        <v>467</v>
      </c>
      <c r="D256" s="250"/>
      <c r="E256" s="250"/>
      <c r="F256" s="250"/>
      <c r="G256" s="250"/>
      <c r="H256" s="250"/>
      <c r="I256" s="250"/>
      <c r="J256" s="250"/>
      <c r="K256" s="250"/>
      <c r="L256" s="250"/>
      <c r="M256" s="363">
        <f t="shared" si="98"/>
        <v>33473.862368851071</v>
      </c>
      <c r="N256" s="363">
        <f t="shared" si="98"/>
        <v>9294.4744008144717</v>
      </c>
      <c r="O256" s="363">
        <f t="shared" si="98"/>
        <v>6406.9493443733627</v>
      </c>
      <c r="P256" s="363">
        <f t="shared" si="98"/>
        <v>5062.0871962180508</v>
      </c>
      <c r="Q256" s="363">
        <f t="shared" si="98"/>
        <v>5183.850620345821</v>
      </c>
      <c r="R256" s="363">
        <f t="shared" si="98"/>
        <v>3278.2970450809703</v>
      </c>
      <c r="S256" s="363">
        <f t="shared" si="98"/>
        <v>3260.6825476264698</v>
      </c>
    </row>
    <row r="257" spans="1:20" s="265" customFormat="1" ht="14.25" x14ac:dyDescent="0.2">
      <c r="B257" s="250"/>
      <c r="C257" s="250"/>
      <c r="D257" s="250"/>
      <c r="E257" s="250"/>
      <c r="F257" s="250"/>
      <c r="G257" s="250"/>
      <c r="H257" s="250"/>
      <c r="I257" s="250"/>
      <c r="J257" s="250"/>
      <c r="K257" s="250"/>
      <c r="L257" s="250"/>
      <c r="M257" s="250"/>
      <c r="N257" s="250"/>
      <c r="O257" s="250"/>
      <c r="P257" s="250"/>
      <c r="Q257" s="250"/>
      <c r="R257" s="250"/>
      <c r="S257" s="250"/>
    </row>
    <row r="258" spans="1:20" s="265" customFormat="1" ht="14.25" x14ac:dyDescent="0.2">
      <c r="B258" s="361" t="s">
        <v>462</v>
      </c>
      <c r="C258" s="362">
        <f>SUM(M258:S258)</f>
        <v>0</v>
      </c>
      <c r="D258" s="250"/>
      <c r="E258" s="250"/>
      <c r="F258" s="250"/>
      <c r="G258" s="250"/>
      <c r="H258" s="250"/>
      <c r="I258" s="250"/>
      <c r="J258" s="250"/>
      <c r="K258" s="250"/>
      <c r="L258" s="250"/>
      <c r="M258" s="228">
        <f t="shared" ref="M258:S258" si="99">SUM(M255:M256)-M64</f>
        <v>0</v>
      </c>
      <c r="N258" s="228">
        <f t="shared" si="99"/>
        <v>0</v>
      </c>
      <c r="O258" s="228">
        <f t="shared" si="99"/>
        <v>0</v>
      </c>
      <c r="P258" s="228">
        <f t="shared" si="99"/>
        <v>0</v>
      </c>
      <c r="Q258" s="228">
        <f t="shared" si="99"/>
        <v>0</v>
      </c>
      <c r="R258" s="228">
        <f t="shared" si="99"/>
        <v>0</v>
      </c>
      <c r="S258" s="228">
        <f t="shared" si="99"/>
        <v>0</v>
      </c>
    </row>
    <row r="259" spans="1:20" s="265" customFormat="1" ht="14.25" x14ac:dyDescent="0.2">
      <c r="B259" s="368"/>
      <c r="M259" s="228"/>
      <c r="N259" s="228"/>
      <c r="O259" s="228"/>
      <c r="P259" s="228"/>
      <c r="Q259" s="228"/>
      <c r="R259" s="228"/>
      <c r="S259" s="228"/>
    </row>
    <row r="260" spans="1:20" s="229" customFormat="1" ht="12" customHeight="1" x14ac:dyDescent="0.2">
      <c r="A260" s="232"/>
      <c r="B260" s="283" t="s">
        <v>487</v>
      </c>
      <c r="C260" s="284" t="s">
        <v>51</v>
      </c>
      <c r="D260" s="285" t="s">
        <v>52</v>
      </c>
      <c r="E260" s="284" t="s">
        <v>53</v>
      </c>
      <c r="F260" s="242"/>
      <c r="G260" s="302"/>
      <c r="H260" s="302"/>
      <c r="I260" s="302"/>
      <c r="J260" s="302"/>
      <c r="K260" s="242"/>
      <c r="L260" s="242"/>
      <c r="M260" s="242"/>
      <c r="N260" s="242"/>
      <c r="O260" s="242"/>
      <c r="P260" s="242"/>
      <c r="Q260" s="242"/>
      <c r="R260" s="242"/>
      <c r="S260" s="242"/>
      <c r="T260" s="242"/>
    </row>
    <row r="261" spans="1:20" s="229" customFormat="1" ht="12" customHeight="1" x14ac:dyDescent="0.2">
      <c r="B261" s="313"/>
      <c r="C261" s="314"/>
      <c r="D261" s="347"/>
      <c r="E261" s="314"/>
      <c r="F261" s="242"/>
      <c r="G261" s="302"/>
      <c r="H261" s="302"/>
      <c r="I261" s="302"/>
      <c r="J261" s="302"/>
      <c r="K261" s="242"/>
      <c r="L261" s="242"/>
      <c r="M261" s="242"/>
      <c r="N261" s="242"/>
      <c r="O261" s="242"/>
      <c r="P261" s="242"/>
      <c r="Q261" s="242"/>
      <c r="R261" s="242"/>
      <c r="S261" s="242"/>
      <c r="T261" s="242"/>
    </row>
    <row r="262" spans="1:20" s="229" customFormat="1" ht="12" customHeight="1" x14ac:dyDescent="0.2">
      <c r="B262" s="304" t="s">
        <v>488</v>
      </c>
      <c r="C262" s="314"/>
      <c r="D262" s="369" t="s">
        <v>384</v>
      </c>
      <c r="E262" s="314"/>
      <c r="F262" s="242"/>
      <c r="G262" s="302"/>
      <c r="H262" s="302"/>
      <c r="I262" s="302"/>
      <c r="J262" s="302"/>
      <c r="K262" s="242"/>
      <c r="L262" s="242"/>
      <c r="M262" s="242"/>
      <c r="N262" s="242"/>
      <c r="O262" s="242"/>
      <c r="P262" s="242"/>
      <c r="Q262" s="242"/>
      <c r="R262" s="242"/>
      <c r="S262" s="242"/>
      <c r="T262" s="242"/>
    </row>
    <row r="263" spans="1:20" s="229" customFormat="1" ht="12" customHeight="1" x14ac:dyDescent="0.2">
      <c r="B263" s="313"/>
      <c r="C263" s="314"/>
      <c r="D263" s="347"/>
      <c r="E263" s="314"/>
      <c r="F263" s="242"/>
      <c r="G263" s="302"/>
      <c r="H263" s="302"/>
      <c r="I263" s="302"/>
      <c r="J263" s="302"/>
      <c r="K263" s="242"/>
      <c r="L263" s="242"/>
      <c r="M263" s="242"/>
      <c r="N263" s="242"/>
      <c r="O263" s="242"/>
      <c r="P263" s="242"/>
      <c r="Q263" s="242"/>
      <c r="R263" s="242"/>
      <c r="S263" s="242"/>
      <c r="T263" s="242"/>
    </row>
    <row r="264" spans="1:20" s="229" customFormat="1" ht="11.45" customHeight="1" x14ac:dyDescent="0.2">
      <c r="B264" s="304" t="s">
        <v>95</v>
      </c>
      <c r="C264" s="314"/>
      <c r="D264" s="347"/>
      <c r="E264" s="314"/>
      <c r="F264" s="242"/>
      <c r="G264" s="302"/>
      <c r="H264" s="302"/>
      <c r="I264" s="302"/>
      <c r="J264" s="302"/>
      <c r="K264" s="242"/>
      <c r="L264" s="242"/>
      <c r="M264" s="242"/>
      <c r="N264" s="242"/>
      <c r="O264" s="242"/>
      <c r="P264" s="242"/>
      <c r="Q264" s="242"/>
      <c r="R264" s="242"/>
      <c r="S264" s="242"/>
      <c r="T264" s="242"/>
    </row>
    <row r="265" spans="1:20" s="229" customFormat="1" ht="11.45" customHeight="1" x14ac:dyDescent="0.2">
      <c r="B265" s="313"/>
      <c r="C265" s="314"/>
      <c r="D265" s="347"/>
      <c r="E265" s="314"/>
      <c r="F265" s="242"/>
      <c r="G265" s="302"/>
      <c r="H265" s="302"/>
      <c r="I265" s="302"/>
      <c r="J265" s="302"/>
      <c r="K265" s="242"/>
      <c r="L265" s="242"/>
      <c r="M265" s="242"/>
      <c r="N265" s="242"/>
      <c r="O265" s="242"/>
      <c r="P265" s="242"/>
      <c r="Q265" s="242"/>
      <c r="R265" s="242"/>
      <c r="S265" s="242"/>
      <c r="T265" s="242"/>
    </row>
    <row r="266" spans="1:20" ht="12" customHeight="1" x14ac:dyDescent="0.2">
      <c r="A266" s="230"/>
      <c r="B266" s="230" t="s">
        <v>94</v>
      </c>
      <c r="C266" s="280" t="s">
        <v>250</v>
      </c>
      <c r="H266" s="265"/>
      <c r="I266" s="232"/>
      <c r="M266" s="290">
        <f>SUMIFS('Forecast capex'!$X$9:$X$1883,'Forecast capex'!$F$9:$F$1883,$B266,'Forecast capex'!$J$9:$J$1883,M$9,'Forecast capex'!$L$9:$L$1883,$D$262)+M76</f>
        <v>14467533.177881457</v>
      </c>
      <c r="N266" s="290">
        <f>SUMIFS('Forecast capex'!$X$9:$X$1883,'Forecast capex'!$F$9:$F$1883,$B266,'Forecast capex'!$J$9:$J$1883,N$9,'Forecast capex'!$L$9:$L$1883,$D$262)+N76</f>
        <v>9280550.9577665087</v>
      </c>
      <c r="O266" s="290">
        <f>SUMIFS('Forecast capex'!$X$9:$X$1883,'Forecast capex'!$F$9:$F$1883,$B266,'Forecast capex'!$J$9:$J$1883,O$9,'Forecast capex'!$L$9:$L$1883,$D$262)+O76</f>
        <v>7319180.9405135438</v>
      </c>
      <c r="P266" s="290">
        <f>SUMIFS('Forecast capex'!$X$9:$X$1883,'Forecast capex'!$F$9:$F$1883,$B266,'Forecast capex'!$J$9:$J$1883,P$9,'Forecast capex'!$L$9:$L$1883,$D$262)+P76</f>
        <v>7467825.663384106</v>
      </c>
      <c r="Q266" s="290">
        <f>SUMIFS('Forecast capex'!$X$9:$X$1883,'Forecast capex'!$F$9:$F$1883,$B266,'Forecast capex'!$J$9:$J$1883,Q$9,'Forecast capex'!$L$9:$L$1883,$D$262)+Q76</f>
        <v>10480011.843056487</v>
      </c>
      <c r="R266" s="290">
        <f>SUMIFS('Forecast capex'!$X$9:$X$1883,'Forecast capex'!$F$9:$F$1883,$B266,'Forecast capex'!$J$9:$J$1883,R$9,'Forecast capex'!$L$9:$L$1883,$D$262)+R76</f>
        <v>12325554.190993613</v>
      </c>
      <c r="S266" s="290">
        <f>SUMIFS('Forecast capex'!$X$9:$X$1883,'Forecast capex'!$F$9:$F$1883,$B266,'Forecast capex'!$J$9:$J$1883,S$9,'Forecast capex'!$L$9:$L$1883,$D$262)+S76</f>
        <v>14799102.750355931</v>
      </c>
    </row>
    <row r="267" spans="1:20" ht="11.45" customHeight="1" x14ac:dyDescent="0.2">
      <c r="A267" s="230"/>
      <c r="B267" s="229"/>
      <c r="C267" s="231"/>
      <c r="H267" s="265"/>
      <c r="I267" s="232"/>
    </row>
    <row r="268" spans="1:20" s="229" customFormat="1" ht="12" customHeight="1" x14ac:dyDescent="0.2">
      <c r="B268" s="304" t="s">
        <v>77</v>
      </c>
      <c r="C268" s="314"/>
      <c r="E268" s="314"/>
      <c r="F268" s="242"/>
      <c r="G268" s="302"/>
      <c r="H268" s="302"/>
      <c r="I268" s="302"/>
      <c r="J268" s="302"/>
      <c r="K268" s="242"/>
      <c r="L268" s="242"/>
      <c r="M268" s="242"/>
      <c r="N268" s="242"/>
      <c r="O268" s="242"/>
      <c r="P268" s="242"/>
      <c r="Q268" s="242"/>
      <c r="R268" s="242"/>
      <c r="S268" s="242"/>
      <c r="T268" s="242"/>
    </row>
    <row r="269" spans="1:20" s="229" customFormat="1" ht="12" customHeight="1" x14ac:dyDescent="0.2">
      <c r="B269" s="313"/>
      <c r="C269" s="314"/>
      <c r="D269" s="347"/>
      <c r="E269" s="314"/>
      <c r="F269" s="242"/>
      <c r="G269" s="302"/>
      <c r="H269" s="302"/>
      <c r="I269" s="302"/>
      <c r="J269" s="302"/>
      <c r="K269" s="242"/>
      <c r="L269" s="242"/>
      <c r="M269" s="242"/>
      <c r="N269" s="242"/>
      <c r="O269" s="242"/>
      <c r="P269" s="242"/>
      <c r="Q269" s="242"/>
      <c r="R269" s="242"/>
      <c r="S269" s="242"/>
      <c r="T269" s="242"/>
    </row>
    <row r="270" spans="1:20" ht="12" customHeight="1" x14ac:dyDescent="0.2">
      <c r="A270" s="230"/>
      <c r="B270" s="229" t="str">
        <f t="shared" ref="B270:B279" si="100">B88</f>
        <v>8.1 Arrowtown 33kV Ring Upgrade</v>
      </c>
      <c r="C270" s="280" t="s">
        <v>250</v>
      </c>
      <c r="I270" s="232"/>
      <c r="M270" s="290">
        <f>SUMIFS('Forecast capex'!$X$9:$X$1883,'Forecast capex'!$F$9:$F$1883,$B270,'Forecast capex'!$J$9:$J$1883,M$9,'Forecast capex'!$L$9:$L$1883,$D$262)+M102</f>
        <v>0</v>
      </c>
      <c r="N270" s="290">
        <f>SUMIFS('Forecast capex'!$X$9:$X$1883,'Forecast capex'!$F$9:$F$1883,$B270,'Forecast capex'!$J$9:$J$1883,N$9,'Forecast capex'!$L$9:$L$1883,$D$262)+N102</f>
        <v>4902.0386883435085</v>
      </c>
      <c r="O270" s="290">
        <f>SUMIFS('Forecast capex'!$X$9:$X$1883,'Forecast capex'!$F$9:$F$1883,$B270,'Forecast capex'!$J$9:$J$1883,O$9,'Forecast capex'!$L$9:$L$1883,$D$262)+O102</f>
        <v>0</v>
      </c>
      <c r="P270" s="290">
        <f>SUMIFS('Forecast capex'!$X$9:$X$1883,'Forecast capex'!$F$9:$F$1883,$B270,'Forecast capex'!$J$9:$J$1883,P$9,'Forecast capex'!$L$9:$L$1883,$D$262)+P102</f>
        <v>0</v>
      </c>
      <c r="Q270" s="290">
        <f>SUMIFS('Forecast capex'!$X$9:$X$1883,'Forecast capex'!$F$9:$F$1883,$B270,'Forecast capex'!$J$9:$J$1883,Q$9,'Forecast capex'!$L$9:$L$1883,$D$262)+Q102</f>
        <v>0</v>
      </c>
      <c r="R270" s="290">
        <f>SUMIFS('Forecast capex'!$X$9:$X$1883,'Forecast capex'!$F$9:$F$1883,$B270,'Forecast capex'!$J$9:$J$1883,R$9,'Forecast capex'!$L$9:$L$1883,$D$262)+R102</f>
        <v>0</v>
      </c>
      <c r="S270" s="290">
        <f>SUMIFS('Forecast capex'!$X$9:$X$1883,'Forecast capex'!$F$9:$F$1883,$B270,'Forecast capex'!$J$9:$J$1883,S$9,'Forecast capex'!$L$9:$L$1883,$D$262)+S102</f>
        <v>0</v>
      </c>
    </row>
    <row r="271" spans="1:20" ht="12" customHeight="1" x14ac:dyDescent="0.2">
      <c r="A271" s="230"/>
      <c r="B271" s="229" t="str">
        <f t="shared" si="100"/>
        <v>8.2 Arrowtown Zone Substation 33kV Indoor Switchboard</v>
      </c>
      <c r="C271" s="280" t="s">
        <v>250</v>
      </c>
      <c r="I271" s="232"/>
      <c r="M271" s="290">
        <f>SUMIFS('Forecast capex'!$X$9:$X$1883,'Forecast capex'!$F$9:$F$1883,$B271,'Forecast capex'!$J$9:$J$1883,M$9,'Forecast capex'!$L$9:$L$1883,$D$262)+M103</f>
        <v>0</v>
      </c>
      <c r="N271" s="290">
        <f>SUMIFS('Forecast capex'!$X$9:$X$1883,'Forecast capex'!$F$9:$F$1883,$B271,'Forecast capex'!$J$9:$J$1883,N$9,'Forecast capex'!$L$9:$L$1883,$D$262)+N103</f>
        <v>0</v>
      </c>
      <c r="O271" s="290">
        <f>SUMIFS('Forecast capex'!$X$9:$X$1883,'Forecast capex'!$F$9:$F$1883,$B271,'Forecast capex'!$J$9:$J$1883,O$9,'Forecast capex'!$L$9:$L$1883,$D$262)+O103</f>
        <v>0</v>
      </c>
      <c r="P271" s="290">
        <f>SUMIFS('Forecast capex'!$X$9:$X$1883,'Forecast capex'!$F$9:$F$1883,$B271,'Forecast capex'!$J$9:$J$1883,P$9,'Forecast capex'!$L$9:$L$1883,$D$262)+P103</f>
        <v>0</v>
      </c>
      <c r="Q271" s="290">
        <f>SUMIFS('Forecast capex'!$X$9:$X$1883,'Forecast capex'!$F$9:$F$1883,$B271,'Forecast capex'!$J$9:$J$1883,Q$9,'Forecast capex'!$L$9:$L$1883,$D$262)+Q103</f>
        <v>0</v>
      </c>
      <c r="R271" s="290">
        <f>SUMIFS('Forecast capex'!$X$9:$X$1883,'Forecast capex'!$F$9:$F$1883,$B271,'Forecast capex'!$J$9:$J$1883,R$9,'Forecast capex'!$L$9:$L$1883,$D$262)+R103</f>
        <v>0</v>
      </c>
      <c r="S271" s="290">
        <f>SUMIFS('Forecast capex'!$X$9:$X$1883,'Forecast capex'!$F$9:$F$1883,$B271,'Forecast capex'!$J$9:$J$1883,S$9,'Forecast capex'!$L$9:$L$1883,$D$262)+S103</f>
        <v>0</v>
      </c>
    </row>
    <row r="272" spans="1:20" ht="12" customHeight="1" x14ac:dyDescent="0.2">
      <c r="A272" s="230"/>
      <c r="B272" s="229" t="str">
        <f t="shared" si="100"/>
        <v>8.3 Omakau New Zone Substation</v>
      </c>
      <c r="C272" s="280" t="s">
        <v>250</v>
      </c>
      <c r="I272" s="232"/>
      <c r="M272" s="290">
        <f>SUMIFS('Forecast capex'!$X$9:$X$1883,'Forecast capex'!$F$9:$F$1883,$B272,'Forecast capex'!$J$9:$J$1883,M$9,'Forecast capex'!$L$9:$L$1883,$D$262)+M104</f>
        <v>0</v>
      </c>
      <c r="N272" s="290">
        <f>SUMIFS('Forecast capex'!$X$9:$X$1883,'Forecast capex'!$F$9:$F$1883,$B272,'Forecast capex'!$J$9:$J$1883,N$9,'Forecast capex'!$L$9:$L$1883,$D$262)+N104</f>
        <v>765.94354505367323</v>
      </c>
      <c r="O272" s="290">
        <f>SUMIFS('Forecast capex'!$X$9:$X$1883,'Forecast capex'!$F$9:$F$1883,$B272,'Forecast capex'!$J$9:$J$1883,O$9,'Forecast capex'!$L$9:$L$1883,$D$262)+O104</f>
        <v>5507.1969683036705</v>
      </c>
      <c r="P272" s="290">
        <f>SUMIFS('Forecast capex'!$X$9:$X$1883,'Forecast capex'!$F$9:$F$1883,$B272,'Forecast capex'!$J$9:$J$1883,P$9,'Forecast capex'!$L$9:$L$1883,$D$262)+P104</f>
        <v>0</v>
      </c>
      <c r="Q272" s="290">
        <f>SUMIFS('Forecast capex'!$X$9:$X$1883,'Forecast capex'!$F$9:$F$1883,$B272,'Forecast capex'!$J$9:$J$1883,Q$9,'Forecast capex'!$L$9:$L$1883,$D$262)+Q104</f>
        <v>2149728.1983264643</v>
      </c>
      <c r="R272" s="290">
        <f>SUMIFS('Forecast capex'!$X$9:$X$1883,'Forecast capex'!$F$9:$F$1883,$B272,'Forecast capex'!$J$9:$J$1883,R$9,'Forecast capex'!$L$9:$L$1883,$D$262)+R104</f>
        <v>0</v>
      </c>
      <c r="S272" s="290">
        <f>SUMIFS('Forecast capex'!$X$9:$X$1883,'Forecast capex'!$F$9:$F$1883,$B272,'Forecast capex'!$J$9:$J$1883,S$9,'Forecast capex'!$L$9:$L$1883,$D$262)+S104</f>
        <v>0</v>
      </c>
    </row>
    <row r="273" spans="1:20" ht="12" customHeight="1" x14ac:dyDescent="0.2">
      <c r="A273" s="230"/>
      <c r="B273" s="229" t="str">
        <f t="shared" si="100"/>
        <v>8.5 Lindis Crossing Second Transformer</v>
      </c>
      <c r="C273" s="280" t="s">
        <v>250</v>
      </c>
      <c r="I273" s="232"/>
      <c r="M273" s="290">
        <f>SUMIFS('Forecast capex'!$X$9:$X$1883,'Forecast capex'!$F$9:$F$1883,$B273,'Forecast capex'!$J$9:$J$1883,M$9,'Forecast capex'!$L$9:$L$1883,$D$262)+M105</f>
        <v>0</v>
      </c>
      <c r="N273" s="290">
        <f>SUMIFS('Forecast capex'!$X$9:$X$1883,'Forecast capex'!$F$9:$F$1883,$B273,'Forecast capex'!$J$9:$J$1883,N$9,'Forecast capex'!$L$9:$L$1883,$D$262)+N105</f>
        <v>0</v>
      </c>
      <c r="O273" s="290">
        <f>SUMIFS('Forecast capex'!$X$9:$X$1883,'Forecast capex'!$F$9:$F$1883,$B273,'Forecast capex'!$J$9:$J$1883,O$9,'Forecast capex'!$L$9:$L$1883,$D$262)+O105</f>
        <v>0</v>
      </c>
      <c r="P273" s="290">
        <f>SUMIFS('Forecast capex'!$X$9:$X$1883,'Forecast capex'!$F$9:$F$1883,$B273,'Forecast capex'!$J$9:$J$1883,P$9,'Forecast capex'!$L$9:$L$1883,$D$262)+P105</f>
        <v>0</v>
      </c>
      <c r="Q273" s="290">
        <f>SUMIFS('Forecast capex'!$X$9:$X$1883,'Forecast capex'!$F$9:$F$1883,$B273,'Forecast capex'!$J$9:$J$1883,Q$9,'Forecast capex'!$L$9:$L$1883,$D$262)+Q105</f>
        <v>0</v>
      </c>
      <c r="R273" s="290">
        <f>SUMIFS('Forecast capex'!$X$9:$X$1883,'Forecast capex'!$F$9:$F$1883,$B273,'Forecast capex'!$J$9:$J$1883,R$9,'Forecast capex'!$L$9:$L$1883,$D$262)+R105</f>
        <v>0</v>
      </c>
      <c r="S273" s="290">
        <f>SUMIFS('Forecast capex'!$X$9:$X$1883,'Forecast capex'!$F$9:$F$1883,$B273,'Forecast capex'!$J$9:$J$1883,S$9,'Forecast capex'!$L$9:$L$1883,$D$262)+S105</f>
        <v>0</v>
      </c>
    </row>
    <row r="274" spans="1:20" ht="12" customHeight="1" x14ac:dyDescent="0.2">
      <c r="A274" s="230"/>
      <c r="B274" s="229" t="str">
        <f t="shared" si="100"/>
        <v>8.7 Upper Clutha Voltage Support</v>
      </c>
      <c r="C274" s="280" t="s">
        <v>250</v>
      </c>
      <c r="I274" s="232"/>
      <c r="M274" s="290">
        <f>SUMIFS('Forecast capex'!$X$9:$X$1883,'Forecast capex'!$F$9:$F$1883,$B274,'Forecast capex'!$J$9:$J$1883,M$9,'Forecast capex'!$L$9:$L$1883,$D$262)+M106</f>
        <v>0</v>
      </c>
      <c r="N274" s="290">
        <f>SUMIFS('Forecast capex'!$X$9:$X$1883,'Forecast capex'!$F$9:$F$1883,$B274,'Forecast capex'!$J$9:$J$1883,N$9,'Forecast capex'!$L$9:$L$1883,$D$262)+N106</f>
        <v>944139.2454535896</v>
      </c>
      <c r="O274" s="290">
        <f>SUMIFS('Forecast capex'!$X$9:$X$1883,'Forecast capex'!$F$9:$F$1883,$B274,'Forecast capex'!$J$9:$J$1883,O$9,'Forecast capex'!$L$9:$L$1883,$D$262)+O106</f>
        <v>0</v>
      </c>
      <c r="P274" s="290">
        <f>SUMIFS('Forecast capex'!$X$9:$X$1883,'Forecast capex'!$F$9:$F$1883,$B274,'Forecast capex'!$J$9:$J$1883,P$9,'Forecast capex'!$L$9:$L$1883,$D$262)+P106</f>
        <v>0</v>
      </c>
      <c r="Q274" s="290">
        <f>SUMIFS('Forecast capex'!$X$9:$X$1883,'Forecast capex'!$F$9:$F$1883,$B274,'Forecast capex'!$J$9:$J$1883,Q$9,'Forecast capex'!$L$9:$L$1883,$D$262)+Q106</f>
        <v>0</v>
      </c>
      <c r="R274" s="290">
        <f>SUMIFS('Forecast capex'!$X$9:$X$1883,'Forecast capex'!$F$9:$F$1883,$B274,'Forecast capex'!$J$9:$J$1883,R$9,'Forecast capex'!$L$9:$L$1883,$D$262)+R106</f>
        <v>0</v>
      </c>
      <c r="S274" s="290">
        <f>SUMIFS('Forecast capex'!$X$9:$X$1883,'Forecast capex'!$F$9:$F$1883,$B274,'Forecast capex'!$J$9:$J$1883,S$9,'Forecast capex'!$L$9:$L$1883,$D$262)+S106</f>
        <v>0</v>
      </c>
    </row>
    <row r="275" spans="1:20" ht="12" customHeight="1" x14ac:dyDescent="0.2">
      <c r="A275" s="230"/>
      <c r="B275" s="229" t="str">
        <f t="shared" si="100"/>
        <v>8.16 Smith Street to Willowbank Inter-tie</v>
      </c>
      <c r="C275" s="280" t="s">
        <v>250</v>
      </c>
      <c r="I275" s="232"/>
      <c r="M275" s="290">
        <f>SUMIFS('Forecast capex'!$X$9:$X$1883,'Forecast capex'!$F$9:$F$1883,$B275,'Forecast capex'!$J$9:$J$1883,M$9,'Forecast capex'!$L$9:$L$1883,$D$262)+M107</f>
        <v>0</v>
      </c>
      <c r="N275" s="290">
        <f>SUMIFS('Forecast capex'!$X$9:$X$1883,'Forecast capex'!$F$9:$F$1883,$B275,'Forecast capex'!$J$9:$J$1883,N$9,'Forecast capex'!$L$9:$L$1883,$D$262)+N107</f>
        <v>3599.9346617522647</v>
      </c>
      <c r="O275" s="290">
        <f>SUMIFS('Forecast capex'!$X$9:$X$1883,'Forecast capex'!$F$9:$F$1883,$B275,'Forecast capex'!$J$9:$J$1883,O$9,'Forecast capex'!$L$9:$L$1883,$D$262)+O107</f>
        <v>0</v>
      </c>
      <c r="P275" s="290">
        <f>SUMIFS('Forecast capex'!$X$9:$X$1883,'Forecast capex'!$F$9:$F$1883,$B275,'Forecast capex'!$J$9:$J$1883,P$9,'Forecast capex'!$L$9:$L$1883,$D$262)+P107</f>
        <v>0</v>
      </c>
      <c r="Q275" s="290">
        <f>SUMIFS('Forecast capex'!$X$9:$X$1883,'Forecast capex'!$F$9:$F$1883,$B275,'Forecast capex'!$J$9:$J$1883,Q$9,'Forecast capex'!$L$9:$L$1883,$D$262)+Q107</f>
        <v>0</v>
      </c>
      <c r="R275" s="290">
        <f>SUMIFS('Forecast capex'!$X$9:$X$1883,'Forecast capex'!$F$9:$F$1883,$B275,'Forecast capex'!$J$9:$J$1883,R$9,'Forecast capex'!$L$9:$L$1883,$D$262)+R107</f>
        <v>0</v>
      </c>
      <c r="S275" s="290">
        <f>SUMIFS('Forecast capex'!$X$9:$X$1883,'Forecast capex'!$F$9:$F$1883,$B275,'Forecast capex'!$J$9:$J$1883,S$9,'Forecast capex'!$L$9:$L$1883,$D$262)+S107</f>
        <v>0</v>
      </c>
    </row>
    <row r="276" spans="1:20" ht="12" customHeight="1" x14ac:dyDescent="0.2">
      <c r="A276" s="230"/>
      <c r="B276" s="229" t="str">
        <f t="shared" si="100"/>
        <v>8.17 North City to Ward Inter-tie</v>
      </c>
      <c r="C276" s="280" t="s">
        <v>250</v>
      </c>
      <c r="H276" s="265"/>
      <c r="I276" s="232"/>
      <c r="M276" s="290">
        <f>SUMIFS('Forecast capex'!$X$9:$X$1883,'Forecast capex'!$F$9:$F$1883,$B276,'Forecast capex'!$J$9:$J$1883,M$9,'Forecast capex'!$L$9:$L$1883,$D$262)+M108</f>
        <v>0</v>
      </c>
      <c r="N276" s="290">
        <f>SUMIFS('Forecast capex'!$X$9:$X$1883,'Forecast capex'!$F$9:$F$1883,$B276,'Forecast capex'!$J$9:$J$1883,N$9,'Forecast capex'!$L$9:$L$1883,$D$262)+N108</f>
        <v>0</v>
      </c>
      <c r="O276" s="290">
        <f>SUMIFS('Forecast capex'!$X$9:$X$1883,'Forecast capex'!$F$9:$F$1883,$B276,'Forecast capex'!$J$9:$J$1883,O$9,'Forecast capex'!$L$9:$L$1883,$D$262)+O108</f>
        <v>0</v>
      </c>
      <c r="P276" s="290">
        <f>SUMIFS('Forecast capex'!$X$9:$X$1883,'Forecast capex'!$F$9:$F$1883,$B276,'Forecast capex'!$J$9:$J$1883,P$9,'Forecast capex'!$L$9:$L$1883,$D$262)+P108</f>
        <v>0</v>
      </c>
      <c r="Q276" s="290">
        <f>SUMIFS('Forecast capex'!$X$9:$X$1883,'Forecast capex'!$F$9:$F$1883,$B276,'Forecast capex'!$J$9:$J$1883,Q$9,'Forecast capex'!$L$9:$L$1883,$D$262)+Q108</f>
        <v>0</v>
      </c>
      <c r="R276" s="290">
        <f>SUMIFS('Forecast capex'!$X$9:$X$1883,'Forecast capex'!$F$9:$F$1883,$B276,'Forecast capex'!$J$9:$J$1883,R$9,'Forecast capex'!$L$9:$L$1883,$D$262)+R108</f>
        <v>0</v>
      </c>
      <c r="S276" s="290">
        <f>SUMIFS('Forecast capex'!$X$9:$X$1883,'Forecast capex'!$F$9:$F$1883,$B276,'Forecast capex'!$J$9:$J$1883,S$9,'Forecast capex'!$L$9:$L$1883,$D$262)+S108</f>
        <v>0</v>
      </c>
    </row>
    <row r="277" spans="1:20" ht="12" customHeight="1" x14ac:dyDescent="0.2">
      <c r="A277" s="230"/>
      <c r="B277" s="229" t="str">
        <f t="shared" si="100"/>
        <v>9 Distribution and LV Reinforcement</v>
      </c>
      <c r="C277" s="280" t="s">
        <v>250</v>
      </c>
      <c r="H277" s="265"/>
      <c r="I277" s="232"/>
      <c r="M277" s="290">
        <f>SUMIFS('Forecast capex'!$X$9:$X$1883,'Forecast capex'!$F$9:$F$1883,$B277,'Forecast capex'!$J$9:$J$1883,M$9,'Forecast capex'!$L$9:$L$1883,$D$262)+M109</f>
        <v>3952798.0546388999</v>
      </c>
      <c r="N277" s="290">
        <f>SUMIFS('Forecast capex'!$X$9:$X$1883,'Forecast capex'!$F$9:$F$1883,$B277,'Forecast capex'!$J$9:$J$1883,N$9,'Forecast capex'!$L$9:$L$1883,$D$262)+N109</f>
        <v>2970239.8293331414</v>
      </c>
      <c r="O277" s="290">
        <f>SUMIFS('Forecast capex'!$X$9:$X$1883,'Forecast capex'!$F$9:$F$1883,$B277,'Forecast capex'!$J$9:$J$1883,O$9,'Forecast capex'!$L$9:$L$1883,$D$262)+O109</f>
        <v>2934408.8495722748</v>
      </c>
      <c r="P277" s="290">
        <f>SUMIFS('Forecast capex'!$X$9:$X$1883,'Forecast capex'!$F$9:$F$1883,$B277,'Forecast capex'!$J$9:$J$1883,P$9,'Forecast capex'!$L$9:$L$1883,$D$262)+P109</f>
        <v>2364865.0485301982</v>
      </c>
      <c r="Q277" s="290">
        <f>SUMIFS('Forecast capex'!$X$9:$X$1883,'Forecast capex'!$F$9:$F$1883,$B277,'Forecast capex'!$J$9:$J$1883,Q$9,'Forecast capex'!$L$9:$L$1883,$D$262)+Q109</f>
        <v>2465161.9511442664</v>
      </c>
      <c r="R277" s="290">
        <f>SUMIFS('Forecast capex'!$X$9:$X$1883,'Forecast capex'!$F$9:$F$1883,$B277,'Forecast capex'!$J$9:$J$1883,R$9,'Forecast capex'!$L$9:$L$1883,$D$262)+R109</f>
        <v>3222185.2814589962</v>
      </c>
      <c r="S277" s="290">
        <f>SUMIFS('Forecast capex'!$X$9:$X$1883,'Forecast capex'!$F$9:$F$1883,$B277,'Forecast capex'!$J$9:$J$1883,S$9,'Forecast capex'!$L$9:$L$1883,$D$262)+S109</f>
        <v>3367858.6862303312</v>
      </c>
    </row>
    <row r="278" spans="1:20" ht="12" customHeight="1" x14ac:dyDescent="0.2">
      <c r="A278" s="230"/>
      <c r="B278" s="229" t="str">
        <f t="shared" si="100"/>
        <v>Install two new 24MVA transformers at Cromwell substation</v>
      </c>
      <c r="C278" s="280" t="s">
        <v>250</v>
      </c>
      <c r="H278" s="265"/>
      <c r="I278" s="232"/>
      <c r="M278" s="290">
        <f>SUMIFS('Forecast capex'!$X$9:$X$1883,'Forecast capex'!$F$9:$F$1883,$B278,'Forecast capex'!$J$9:$J$1883,M$9,'Forecast capex'!$L$9:$L$1883,$D$262)+M110</f>
        <v>26750.058311749039</v>
      </c>
      <c r="N278" s="290">
        <f>SUMIFS('Forecast capex'!$X$9:$X$1883,'Forecast capex'!$F$9:$F$1883,$B278,'Forecast capex'!$J$9:$J$1883,N$9,'Forecast capex'!$L$9:$L$1883,$D$262)+N110</f>
        <v>203263.02473003906</v>
      </c>
      <c r="O278" s="290">
        <f>SUMIFS('Forecast capex'!$X$9:$X$1883,'Forecast capex'!$F$9:$F$1883,$B278,'Forecast capex'!$J$9:$J$1883,O$9,'Forecast capex'!$L$9:$L$1883,$D$262)+O110</f>
        <v>0</v>
      </c>
      <c r="P278" s="290">
        <f>SUMIFS('Forecast capex'!$X$9:$X$1883,'Forecast capex'!$F$9:$F$1883,$B278,'Forecast capex'!$J$9:$J$1883,P$9,'Forecast capex'!$L$9:$L$1883,$D$262)+P110</f>
        <v>0</v>
      </c>
      <c r="Q278" s="290">
        <f>SUMIFS('Forecast capex'!$X$9:$X$1883,'Forecast capex'!$F$9:$F$1883,$B278,'Forecast capex'!$J$9:$J$1883,Q$9,'Forecast capex'!$L$9:$L$1883,$D$262)+Q110</f>
        <v>0</v>
      </c>
      <c r="R278" s="290">
        <f>SUMIFS('Forecast capex'!$X$9:$X$1883,'Forecast capex'!$F$9:$F$1883,$B278,'Forecast capex'!$J$9:$J$1883,R$9,'Forecast capex'!$L$9:$L$1883,$D$262)+R110</f>
        <v>0</v>
      </c>
      <c r="S278" s="290">
        <f>SUMIFS('Forecast capex'!$X$9:$X$1883,'Forecast capex'!$F$9:$F$1883,$B278,'Forecast capex'!$J$9:$J$1883,S$9,'Forecast capex'!$L$9:$L$1883,$D$262)+S110</f>
        <v>0</v>
      </c>
    </row>
    <row r="279" spans="1:20" ht="12" customHeight="1" x14ac:dyDescent="0.2">
      <c r="A279" s="230"/>
      <c r="B279" s="229" t="str">
        <f t="shared" si="100"/>
        <v>Riverbank Road Switching Station</v>
      </c>
      <c r="C279" s="280" t="s">
        <v>250</v>
      </c>
      <c r="H279" s="265"/>
      <c r="I279" s="232"/>
      <c r="M279" s="290">
        <f>SUMIFS('Forecast capex'!$X$9:$X$1883,'Forecast capex'!$F$9:$F$1883,$B279,'Forecast capex'!$J$9:$J$1883,M$9,'Forecast capex'!$L$9:$L$1883,$D$262)+M111</f>
        <v>32678.730260129094</v>
      </c>
      <c r="N279" s="290">
        <f>SUMIFS('Forecast capex'!$X$9:$X$1883,'Forecast capex'!$F$9:$F$1883,$B279,'Forecast capex'!$J$9:$J$1883,N$9,'Forecast capex'!$L$9:$L$1883,$D$262)+N111</f>
        <v>0</v>
      </c>
      <c r="O279" s="290">
        <f>SUMIFS('Forecast capex'!$X$9:$X$1883,'Forecast capex'!$F$9:$F$1883,$B279,'Forecast capex'!$J$9:$J$1883,O$9,'Forecast capex'!$L$9:$L$1883,$D$262)+O111</f>
        <v>0</v>
      </c>
      <c r="P279" s="290">
        <f>SUMIFS('Forecast capex'!$X$9:$X$1883,'Forecast capex'!$F$9:$F$1883,$B279,'Forecast capex'!$J$9:$J$1883,P$9,'Forecast capex'!$L$9:$L$1883,$D$262)+P111</f>
        <v>0</v>
      </c>
      <c r="Q279" s="290">
        <f>SUMIFS('Forecast capex'!$X$9:$X$1883,'Forecast capex'!$F$9:$F$1883,$B279,'Forecast capex'!$J$9:$J$1883,Q$9,'Forecast capex'!$L$9:$L$1883,$D$262)+Q111</f>
        <v>0</v>
      </c>
      <c r="R279" s="290">
        <f>SUMIFS('Forecast capex'!$X$9:$X$1883,'Forecast capex'!$F$9:$F$1883,$B279,'Forecast capex'!$J$9:$J$1883,R$9,'Forecast capex'!$L$9:$L$1883,$D$262)+R111</f>
        <v>0</v>
      </c>
      <c r="S279" s="290">
        <f>SUMIFS('Forecast capex'!$X$9:$X$1883,'Forecast capex'!$F$9:$F$1883,$B279,'Forecast capex'!$J$9:$J$1883,S$9,'Forecast capex'!$L$9:$L$1883,$D$262)+S111</f>
        <v>0</v>
      </c>
    </row>
    <row r="280" spans="1:20" ht="11.45" customHeight="1" x14ac:dyDescent="0.2">
      <c r="A280" s="230"/>
      <c r="B280" s="229"/>
      <c r="C280" s="231"/>
      <c r="H280" s="265"/>
      <c r="I280" s="232"/>
    </row>
    <row r="281" spans="1:20" s="229" customFormat="1" ht="11.45" customHeight="1" x14ac:dyDescent="0.2">
      <c r="B281" s="304" t="s">
        <v>100</v>
      </c>
      <c r="C281" s="314"/>
      <c r="D281" s="347"/>
      <c r="E281" s="314"/>
      <c r="F281" s="242"/>
      <c r="G281" s="302"/>
      <c r="H281" s="302"/>
      <c r="I281" s="302"/>
      <c r="J281" s="302"/>
      <c r="K281" s="242"/>
      <c r="L281" s="242"/>
      <c r="M281" s="242"/>
      <c r="N281" s="242"/>
      <c r="O281" s="242"/>
      <c r="P281" s="242"/>
      <c r="Q281" s="242"/>
      <c r="R281" s="242"/>
      <c r="S281" s="242"/>
      <c r="T281" s="242"/>
    </row>
    <row r="282" spans="1:20" s="229" customFormat="1" ht="11.45" customHeight="1" x14ac:dyDescent="0.2">
      <c r="B282" s="313"/>
      <c r="C282" s="314"/>
      <c r="D282" s="347"/>
      <c r="E282" s="314"/>
      <c r="F282" s="242"/>
      <c r="G282" s="302"/>
      <c r="H282" s="302"/>
      <c r="I282" s="302"/>
      <c r="J282" s="302"/>
      <c r="K282" s="242"/>
      <c r="L282" s="242"/>
      <c r="M282" s="242"/>
      <c r="N282" s="242"/>
      <c r="O282" s="242"/>
      <c r="P282" s="242"/>
      <c r="Q282" s="242"/>
      <c r="R282" s="242"/>
      <c r="S282" s="242"/>
      <c r="T282" s="242"/>
    </row>
    <row r="283" spans="1:20" ht="12" customHeight="1" x14ac:dyDescent="0.2">
      <c r="A283" s="230"/>
      <c r="B283" s="230" t="str">
        <f>B132</f>
        <v>1.1 Poles</v>
      </c>
      <c r="C283" s="280" t="s">
        <v>250</v>
      </c>
      <c r="H283" s="265"/>
      <c r="I283" s="232"/>
      <c r="M283" s="290">
        <f>SUMIFS('Forecast capex'!$X$9:$X$1883,'Forecast capex'!$F$9:$F$1883,$B283,'Forecast capex'!$J$9:$J$1883,M$9,'Forecast capex'!$L$9:$L$1883,$D$262)+M156</f>
        <v>14312693.434067488</v>
      </c>
      <c r="N283" s="290">
        <f>SUMIFS('Forecast capex'!$X$9:$X$1883,'Forecast capex'!$F$9:$F$1883,$B283,'Forecast capex'!$J$9:$J$1883,N$9,'Forecast capex'!$L$9:$L$1883,$D$262)+N156</f>
        <v>14696623.048535703</v>
      </c>
      <c r="O283" s="290">
        <f>SUMIFS('Forecast capex'!$X$9:$X$1883,'Forecast capex'!$F$9:$F$1883,$B283,'Forecast capex'!$J$9:$J$1883,O$9,'Forecast capex'!$L$9:$L$1883,$D$262)+O156</f>
        <v>11964157.547616584</v>
      </c>
      <c r="P283" s="290">
        <f>SUMIFS('Forecast capex'!$X$9:$X$1883,'Forecast capex'!$F$9:$F$1883,$B283,'Forecast capex'!$J$9:$J$1883,P$9,'Forecast capex'!$L$9:$L$1883,$D$262)+P156</f>
        <v>10872835.208679469</v>
      </c>
      <c r="Q283" s="290">
        <f>SUMIFS('Forecast capex'!$X$9:$X$1883,'Forecast capex'!$F$9:$F$1883,$B283,'Forecast capex'!$J$9:$J$1883,Q$9,'Forecast capex'!$L$9:$L$1883,$D$262)+Q156</f>
        <v>10470962.534837343</v>
      </c>
      <c r="R283" s="290">
        <f>SUMIFS('Forecast capex'!$X$9:$X$1883,'Forecast capex'!$F$9:$F$1883,$B283,'Forecast capex'!$J$9:$J$1883,R$9,'Forecast capex'!$L$9:$L$1883,$D$262)+R156</f>
        <v>6245681.8490702761</v>
      </c>
      <c r="S283" s="290">
        <f>SUMIFS('Forecast capex'!$X$9:$X$1883,'Forecast capex'!$F$9:$F$1883,$B283,'Forecast capex'!$J$9:$J$1883,S$9,'Forecast capex'!$L$9:$L$1883,$D$262)+S156</f>
        <v>5714583.5460801376</v>
      </c>
    </row>
    <row r="284" spans="1:20" ht="12" customHeight="1" x14ac:dyDescent="0.2">
      <c r="A284" s="230"/>
      <c r="B284" s="230" t="str">
        <f t="shared" ref="B284:B302" si="101">B133</f>
        <v>1.2 Crossarms</v>
      </c>
      <c r="C284" s="280" t="s">
        <v>250</v>
      </c>
      <c r="H284" s="265"/>
      <c r="I284" s="232"/>
      <c r="M284" s="290">
        <f>SUMIFS('Forecast capex'!$X$9:$X$1883,'Forecast capex'!$F$9:$F$1883,$B284,'Forecast capex'!$J$9:$J$1883,M$9,'Forecast capex'!$L$9:$L$1883,$D$262)+M157</f>
        <v>1150509.6940749795</v>
      </c>
      <c r="N284" s="290">
        <f>SUMIFS('Forecast capex'!$X$9:$X$1883,'Forecast capex'!$F$9:$F$1883,$B284,'Forecast capex'!$J$9:$J$1883,N$9,'Forecast capex'!$L$9:$L$1883,$D$262)+N157</f>
        <v>3748703.8500612807</v>
      </c>
      <c r="O284" s="290">
        <f>SUMIFS('Forecast capex'!$X$9:$X$1883,'Forecast capex'!$F$9:$F$1883,$B284,'Forecast capex'!$J$9:$J$1883,O$9,'Forecast capex'!$L$9:$L$1883,$D$262)+O157</f>
        <v>6819443.5519119911</v>
      </c>
      <c r="P284" s="290">
        <f>SUMIFS('Forecast capex'!$X$9:$X$1883,'Forecast capex'!$F$9:$F$1883,$B284,'Forecast capex'!$J$9:$J$1883,P$9,'Forecast capex'!$L$9:$L$1883,$D$262)+P157</f>
        <v>8732147.728373507</v>
      </c>
      <c r="Q284" s="290">
        <f>SUMIFS('Forecast capex'!$X$9:$X$1883,'Forecast capex'!$F$9:$F$1883,$B284,'Forecast capex'!$J$9:$J$1883,Q$9,'Forecast capex'!$L$9:$L$1883,$D$262)+Q157</f>
        <v>8693699.5927724577</v>
      </c>
      <c r="R284" s="290">
        <f>SUMIFS('Forecast capex'!$X$9:$X$1883,'Forecast capex'!$F$9:$F$1883,$B284,'Forecast capex'!$J$9:$J$1883,R$9,'Forecast capex'!$L$9:$L$1883,$D$262)+R157</f>
        <v>8577959.1575544775</v>
      </c>
      <c r="S284" s="290">
        <f>SUMIFS('Forecast capex'!$X$9:$X$1883,'Forecast capex'!$F$9:$F$1883,$B284,'Forecast capex'!$J$9:$J$1883,S$9,'Forecast capex'!$L$9:$L$1883,$D$262)+S157</f>
        <v>8464990.0771527495</v>
      </c>
    </row>
    <row r="285" spans="1:20" ht="12" customHeight="1" x14ac:dyDescent="0.2">
      <c r="A285" s="230"/>
      <c r="B285" s="230" t="str">
        <f t="shared" si="101"/>
        <v>2.1 Subtransmission Conductor</v>
      </c>
      <c r="C285" s="280" t="s">
        <v>250</v>
      </c>
      <c r="H285" s="265"/>
      <c r="I285" s="232"/>
      <c r="M285" s="290">
        <f>SUMIFS('Forecast capex'!$X$9:$X$1883,'Forecast capex'!$F$9:$F$1883,$B285,'Forecast capex'!$J$9:$J$1883,M$9,'Forecast capex'!$L$9:$L$1883,$D$262)+M158</f>
        <v>946943.54642010538</v>
      </c>
      <c r="N285" s="290">
        <f>SUMIFS('Forecast capex'!$X$9:$X$1883,'Forecast capex'!$F$9:$F$1883,$B285,'Forecast capex'!$J$9:$J$1883,N$9,'Forecast capex'!$L$9:$L$1883,$D$262)+N158</f>
        <v>6918938.756935888</v>
      </c>
      <c r="O285" s="290">
        <f>SUMIFS('Forecast capex'!$X$9:$X$1883,'Forecast capex'!$F$9:$F$1883,$B285,'Forecast capex'!$J$9:$J$1883,O$9,'Forecast capex'!$L$9:$L$1883,$D$262)+O158</f>
        <v>6518238.3531551939</v>
      </c>
      <c r="P285" s="290">
        <f>SUMIFS('Forecast capex'!$X$9:$X$1883,'Forecast capex'!$F$9:$F$1883,$B285,'Forecast capex'!$J$9:$J$1883,P$9,'Forecast capex'!$L$9:$L$1883,$D$262)+P158</f>
        <v>7926264.7059234111</v>
      </c>
      <c r="Q285" s="290">
        <f>SUMIFS('Forecast capex'!$X$9:$X$1883,'Forecast capex'!$F$9:$F$1883,$B285,'Forecast capex'!$J$9:$J$1883,Q$9,'Forecast capex'!$L$9:$L$1883,$D$262)+Q158</f>
        <v>981796.80073311855</v>
      </c>
      <c r="R285" s="290">
        <f>SUMIFS('Forecast capex'!$X$9:$X$1883,'Forecast capex'!$F$9:$F$1883,$B285,'Forecast capex'!$J$9:$J$1883,R$9,'Forecast capex'!$L$9:$L$1883,$D$262)+R158</f>
        <v>416978.70575013349</v>
      </c>
      <c r="S285" s="290">
        <f>SUMIFS('Forecast capex'!$X$9:$X$1883,'Forecast capex'!$F$9:$F$1883,$B285,'Forecast capex'!$J$9:$J$1883,S$9,'Forecast capex'!$L$9:$L$1883,$D$262)+S158</f>
        <v>436985.71459829935</v>
      </c>
    </row>
    <row r="286" spans="1:20" ht="12" customHeight="1" x14ac:dyDescent="0.2">
      <c r="A286" s="230"/>
      <c r="B286" s="230" t="str">
        <f t="shared" si="101"/>
        <v>2.2 Distribution Conductor</v>
      </c>
      <c r="C286" s="280" t="s">
        <v>250</v>
      </c>
      <c r="H286" s="265"/>
      <c r="I286" s="232"/>
      <c r="M286" s="290">
        <f>SUMIFS('Forecast capex'!$X$9:$X$1883,'Forecast capex'!$F$9:$F$1883,$B286,'Forecast capex'!$J$9:$J$1883,M$9,'Forecast capex'!$L$9:$L$1883,$D$262)+M159</f>
        <v>4205346.0581237916</v>
      </c>
      <c r="N286" s="290">
        <f>SUMIFS('Forecast capex'!$X$9:$X$1883,'Forecast capex'!$F$9:$F$1883,$B286,'Forecast capex'!$J$9:$J$1883,N$9,'Forecast capex'!$L$9:$L$1883,$D$262)+N159</f>
        <v>4275505.9180734446</v>
      </c>
      <c r="O286" s="290">
        <f>SUMIFS('Forecast capex'!$X$9:$X$1883,'Forecast capex'!$F$9:$F$1883,$B286,'Forecast capex'!$J$9:$J$1883,O$9,'Forecast capex'!$L$9:$L$1883,$D$262)+O159</f>
        <v>4618304.2193205832</v>
      </c>
      <c r="P286" s="290">
        <f>SUMIFS('Forecast capex'!$X$9:$X$1883,'Forecast capex'!$F$9:$F$1883,$B286,'Forecast capex'!$J$9:$J$1883,P$9,'Forecast capex'!$L$9:$L$1883,$D$262)+P159</f>
        <v>5574048.4628838096</v>
      </c>
      <c r="Q286" s="290">
        <f>SUMIFS('Forecast capex'!$X$9:$X$1883,'Forecast capex'!$F$9:$F$1883,$B286,'Forecast capex'!$J$9:$J$1883,Q$9,'Forecast capex'!$L$9:$L$1883,$D$262)+Q159</f>
        <v>6114103.067118681</v>
      </c>
      <c r="R286" s="290">
        <f>SUMIFS('Forecast capex'!$X$9:$X$1883,'Forecast capex'!$F$9:$F$1883,$B286,'Forecast capex'!$J$9:$J$1883,R$9,'Forecast capex'!$L$9:$L$1883,$D$262)+R159</f>
        <v>6423846.5928848814</v>
      </c>
      <c r="S286" s="290">
        <f>SUMIFS('Forecast capex'!$X$9:$X$1883,'Forecast capex'!$F$9:$F$1883,$B286,'Forecast capex'!$J$9:$J$1883,S$9,'Forecast capex'!$L$9:$L$1883,$D$262)+S159</f>
        <v>6133204.2316624196</v>
      </c>
    </row>
    <row r="287" spans="1:20" ht="12" customHeight="1" x14ac:dyDescent="0.2">
      <c r="A287" s="230"/>
      <c r="B287" s="230" t="str">
        <f t="shared" si="101"/>
        <v>2.3 Low Voltage Conductor</v>
      </c>
      <c r="C287" s="280" t="s">
        <v>250</v>
      </c>
      <c r="H287" s="265"/>
      <c r="I287" s="232"/>
      <c r="M287" s="290">
        <f>SUMIFS('Forecast capex'!$X$9:$X$1883,'Forecast capex'!$F$9:$F$1883,$B287,'Forecast capex'!$J$9:$J$1883,M$9,'Forecast capex'!$L$9:$L$1883,$D$262)+M160</f>
        <v>0</v>
      </c>
      <c r="N287" s="290">
        <f>SUMIFS('Forecast capex'!$X$9:$X$1883,'Forecast capex'!$F$9:$F$1883,$B287,'Forecast capex'!$J$9:$J$1883,N$9,'Forecast capex'!$L$9:$L$1883,$D$262)+N160</f>
        <v>0</v>
      </c>
      <c r="O287" s="290">
        <f>SUMIFS('Forecast capex'!$X$9:$X$1883,'Forecast capex'!$F$9:$F$1883,$B287,'Forecast capex'!$J$9:$J$1883,O$9,'Forecast capex'!$L$9:$L$1883,$D$262)+O160</f>
        <v>2232377.2313339906</v>
      </c>
      <c r="P287" s="290">
        <f>SUMIFS('Forecast capex'!$X$9:$X$1883,'Forecast capex'!$F$9:$F$1883,$B287,'Forecast capex'!$J$9:$J$1883,P$9,'Forecast capex'!$L$9:$L$1883,$D$262)+P160</f>
        <v>4134337.5706286626</v>
      </c>
      <c r="Q287" s="290">
        <f>SUMIFS('Forecast capex'!$X$9:$X$1883,'Forecast capex'!$F$9:$F$1883,$B287,'Forecast capex'!$J$9:$J$1883,Q$9,'Forecast capex'!$L$9:$L$1883,$D$262)+Q160</f>
        <v>4375601.8833694784</v>
      </c>
      <c r="R287" s="290">
        <f>SUMIFS('Forecast capex'!$X$9:$X$1883,'Forecast capex'!$F$9:$F$1883,$B287,'Forecast capex'!$J$9:$J$1883,R$9,'Forecast capex'!$L$9:$L$1883,$D$262)+R160</f>
        <v>4737527.9494995466</v>
      </c>
      <c r="S287" s="290">
        <f>SUMIFS('Forecast capex'!$X$9:$X$1883,'Forecast capex'!$F$9:$F$1883,$B287,'Forecast capex'!$J$9:$J$1883,S$9,'Forecast capex'!$L$9:$L$1883,$D$262)+S160</f>
        <v>4776766.9207101548</v>
      </c>
    </row>
    <row r="288" spans="1:20" ht="12" customHeight="1" x14ac:dyDescent="0.2">
      <c r="A288" s="230"/>
      <c r="B288" s="230" t="str">
        <f t="shared" si="101"/>
        <v>3.1 Subtransmission Cables</v>
      </c>
      <c r="C288" s="280" t="s">
        <v>250</v>
      </c>
      <c r="H288" s="265"/>
      <c r="I288" s="232"/>
      <c r="M288" s="290">
        <f>SUMIFS('Forecast capex'!$X$9:$X$1883,'Forecast capex'!$F$9:$F$1883,$B288,'Forecast capex'!$J$9:$J$1883,M$9,'Forecast capex'!$L$9:$L$1883,$D$262)+M161</f>
        <v>21928.296467764612</v>
      </c>
      <c r="N288" s="290">
        <f>SUMIFS('Forecast capex'!$X$9:$X$1883,'Forecast capex'!$F$9:$F$1883,$B288,'Forecast capex'!$J$9:$J$1883,N$9,'Forecast capex'!$L$9:$L$1883,$D$262)+N161</f>
        <v>204663.82864021766</v>
      </c>
      <c r="O288" s="290">
        <f>SUMIFS('Forecast capex'!$X$9:$X$1883,'Forecast capex'!$F$9:$F$1883,$B288,'Forecast capex'!$J$9:$J$1883,O$9,'Forecast capex'!$L$9:$L$1883,$D$262)+O161</f>
        <v>0</v>
      </c>
      <c r="P288" s="290">
        <f>SUMIFS('Forecast capex'!$X$9:$X$1883,'Forecast capex'!$F$9:$F$1883,$B288,'Forecast capex'!$J$9:$J$1883,P$9,'Forecast capex'!$L$9:$L$1883,$D$262)+P161</f>
        <v>0</v>
      </c>
      <c r="Q288" s="290">
        <f>SUMIFS('Forecast capex'!$X$9:$X$1883,'Forecast capex'!$F$9:$F$1883,$B288,'Forecast capex'!$J$9:$J$1883,Q$9,'Forecast capex'!$L$9:$L$1883,$D$262)+Q161</f>
        <v>2051032.5259108637</v>
      </c>
      <c r="R288" s="290">
        <f>SUMIFS('Forecast capex'!$X$9:$X$1883,'Forecast capex'!$F$9:$F$1883,$B288,'Forecast capex'!$J$9:$J$1883,R$9,'Forecast capex'!$L$9:$L$1883,$D$262)+R161</f>
        <v>18106.832936420436</v>
      </c>
      <c r="S288" s="290">
        <f>SUMIFS('Forecast capex'!$X$9:$X$1883,'Forecast capex'!$F$9:$F$1883,$B288,'Forecast capex'!$J$9:$J$1883,S$9,'Forecast capex'!$L$9:$L$1883,$D$262)+S161</f>
        <v>3069313.7243115241</v>
      </c>
    </row>
    <row r="289" spans="1:20" ht="12" customHeight="1" x14ac:dyDescent="0.2">
      <c r="A289" s="230"/>
      <c r="B289" s="230" t="str">
        <f t="shared" si="101"/>
        <v>3.2 Distribution Cables</v>
      </c>
      <c r="C289" s="280" t="s">
        <v>250</v>
      </c>
      <c r="H289" s="265"/>
      <c r="I289" s="232"/>
      <c r="M289" s="290">
        <f>SUMIFS('Forecast capex'!$X$9:$X$1883,'Forecast capex'!$F$9:$F$1883,$B289,'Forecast capex'!$J$9:$J$1883,M$9,'Forecast capex'!$L$9:$L$1883,$D$262)+M162</f>
        <v>1043165.8542482781</v>
      </c>
      <c r="N289" s="290">
        <f>SUMIFS('Forecast capex'!$X$9:$X$1883,'Forecast capex'!$F$9:$F$1883,$B289,'Forecast capex'!$J$9:$J$1883,N$9,'Forecast capex'!$L$9:$L$1883,$D$262)+N162</f>
        <v>862822.07379336713</v>
      </c>
      <c r="O289" s="290">
        <f>SUMIFS('Forecast capex'!$X$9:$X$1883,'Forecast capex'!$F$9:$F$1883,$B289,'Forecast capex'!$J$9:$J$1883,O$9,'Forecast capex'!$L$9:$L$1883,$D$262)+O162</f>
        <v>1607277.8305349154</v>
      </c>
      <c r="P289" s="290">
        <f>SUMIFS('Forecast capex'!$X$9:$X$1883,'Forecast capex'!$F$9:$F$1883,$B289,'Forecast capex'!$J$9:$J$1883,P$9,'Forecast capex'!$L$9:$L$1883,$D$262)+P162</f>
        <v>1744763.7243296655</v>
      </c>
      <c r="Q289" s="290">
        <f>SUMIFS('Forecast capex'!$X$9:$X$1883,'Forecast capex'!$F$9:$F$1883,$B289,'Forecast capex'!$J$9:$J$1883,Q$9,'Forecast capex'!$L$9:$L$1883,$D$262)+Q162</f>
        <v>1880717.8314264764</v>
      </c>
      <c r="R289" s="290">
        <f>SUMIFS('Forecast capex'!$X$9:$X$1883,'Forecast capex'!$F$9:$F$1883,$B289,'Forecast capex'!$J$9:$J$1883,R$9,'Forecast capex'!$L$9:$L$1883,$D$262)+R162</f>
        <v>1958327.1396142445</v>
      </c>
      <c r="S289" s="290">
        <f>SUMIFS('Forecast capex'!$X$9:$X$1883,'Forecast capex'!$F$9:$F$1883,$B289,'Forecast capex'!$J$9:$J$1883,S$9,'Forecast capex'!$L$9:$L$1883,$D$262)+S162</f>
        <v>1282034.421429269</v>
      </c>
    </row>
    <row r="290" spans="1:20" ht="12" customHeight="1" x14ac:dyDescent="0.2">
      <c r="A290" s="230"/>
      <c r="B290" s="230" t="str">
        <f t="shared" si="101"/>
        <v>3.3 Low Voltage Cables</v>
      </c>
      <c r="C290" s="280" t="s">
        <v>250</v>
      </c>
      <c r="H290" s="265"/>
      <c r="I290" s="232"/>
      <c r="M290" s="290">
        <f>SUMIFS('Forecast capex'!$X$9:$X$1883,'Forecast capex'!$F$9:$F$1883,$B290,'Forecast capex'!$J$9:$J$1883,M$9,'Forecast capex'!$L$9:$L$1883,$D$262)+M163</f>
        <v>254044.63781546097</v>
      </c>
      <c r="N290" s="290">
        <f>SUMIFS('Forecast capex'!$X$9:$X$1883,'Forecast capex'!$F$9:$F$1883,$B290,'Forecast capex'!$J$9:$J$1883,N$9,'Forecast capex'!$L$9:$L$1883,$D$262)+N163</f>
        <v>406709.69649644138</v>
      </c>
      <c r="O290" s="290">
        <f>SUMIFS('Forecast capex'!$X$9:$X$1883,'Forecast capex'!$F$9:$F$1883,$B290,'Forecast capex'!$J$9:$J$1883,O$9,'Forecast capex'!$L$9:$L$1883,$D$262)+O163</f>
        <v>295552.00350070425</v>
      </c>
      <c r="P290" s="290">
        <f>SUMIFS('Forecast capex'!$X$9:$X$1883,'Forecast capex'!$F$9:$F$1883,$B290,'Forecast capex'!$J$9:$J$1883,P$9,'Forecast capex'!$L$9:$L$1883,$D$262)+P163</f>
        <v>302727.92264277546</v>
      </c>
      <c r="Q290" s="290">
        <f>SUMIFS('Forecast capex'!$X$9:$X$1883,'Forecast capex'!$F$9:$F$1883,$B290,'Forecast capex'!$J$9:$J$1883,Q$9,'Forecast capex'!$L$9:$L$1883,$D$262)+Q163</f>
        <v>308782.24224698026</v>
      </c>
      <c r="R290" s="290">
        <f>SUMIFS('Forecast capex'!$X$9:$X$1883,'Forecast capex'!$F$9:$F$1883,$B290,'Forecast capex'!$J$9:$J$1883,R$9,'Forecast capex'!$L$9:$L$1883,$D$262)+R163</f>
        <v>316342.22619324643</v>
      </c>
      <c r="S290" s="290">
        <f>SUMIFS('Forecast capex'!$X$9:$X$1883,'Forecast capex'!$F$9:$F$1883,$B290,'Forecast capex'!$J$9:$J$1883,S$9,'Forecast capex'!$L$9:$L$1883,$D$262)+S163</f>
        <v>324130.34432303032</v>
      </c>
    </row>
    <row r="291" spans="1:20" ht="12" customHeight="1" x14ac:dyDescent="0.2">
      <c r="A291" s="230"/>
      <c r="B291" s="230" t="str">
        <f t="shared" si="101"/>
        <v>4.1 Zone Substations</v>
      </c>
      <c r="C291" s="280" t="s">
        <v>250</v>
      </c>
      <c r="H291" s="265"/>
      <c r="I291" s="232"/>
      <c r="M291" s="290">
        <f>SUMIFS('Forecast capex'!$X$9:$X$1883,'Forecast capex'!$F$9:$F$1883,$B291,'Forecast capex'!$J$9:$J$1883,M$9,'Forecast capex'!$L$9:$L$1883,$D$262)+M164</f>
        <v>6216461.3881677426</v>
      </c>
      <c r="N291" s="290">
        <f>SUMIFS('Forecast capex'!$X$9:$X$1883,'Forecast capex'!$F$9:$F$1883,$B291,'Forecast capex'!$J$9:$J$1883,N$9,'Forecast capex'!$L$9:$L$1883,$D$262)+N164</f>
        <v>4952011.921737547</v>
      </c>
      <c r="O291" s="290">
        <f>SUMIFS('Forecast capex'!$X$9:$X$1883,'Forecast capex'!$F$9:$F$1883,$B291,'Forecast capex'!$J$9:$J$1883,O$9,'Forecast capex'!$L$9:$L$1883,$D$262)+O164</f>
        <v>9009898.5861819461</v>
      </c>
      <c r="P291" s="290">
        <f>SUMIFS('Forecast capex'!$X$9:$X$1883,'Forecast capex'!$F$9:$F$1883,$B291,'Forecast capex'!$J$9:$J$1883,P$9,'Forecast capex'!$L$9:$L$1883,$D$262)+P164</f>
        <v>3100559.3344851262</v>
      </c>
      <c r="Q291" s="290">
        <f>SUMIFS('Forecast capex'!$X$9:$X$1883,'Forecast capex'!$F$9:$F$1883,$B291,'Forecast capex'!$J$9:$J$1883,Q$9,'Forecast capex'!$L$9:$L$1883,$D$262)+Q164</f>
        <v>6407120.2675836263</v>
      </c>
      <c r="R291" s="290">
        <f>SUMIFS('Forecast capex'!$X$9:$X$1883,'Forecast capex'!$F$9:$F$1883,$B291,'Forecast capex'!$J$9:$J$1883,R$9,'Forecast capex'!$L$9:$L$1883,$D$262)+R164</f>
        <v>9548899.8294628654</v>
      </c>
      <c r="S291" s="290">
        <f>SUMIFS('Forecast capex'!$X$9:$X$1883,'Forecast capex'!$F$9:$F$1883,$B291,'Forecast capex'!$J$9:$J$1883,S$9,'Forecast capex'!$L$9:$L$1883,$D$262)+S164</f>
        <v>2947822.4062409932</v>
      </c>
    </row>
    <row r="292" spans="1:20" ht="12" customHeight="1" x14ac:dyDescent="0.2">
      <c r="A292" s="230"/>
      <c r="B292" s="230" t="str">
        <f t="shared" si="101"/>
        <v>5.1 Ground Mounted Switchgear</v>
      </c>
      <c r="C292" s="280" t="s">
        <v>250</v>
      </c>
      <c r="H292" s="265"/>
      <c r="I292" s="232"/>
      <c r="M292" s="290">
        <f>SUMIFS('Forecast capex'!$X$9:$X$1883,'Forecast capex'!$F$9:$F$1883,$B292,'Forecast capex'!$J$9:$J$1883,M$9,'Forecast capex'!$L$9:$L$1883,$D$262)+M165</f>
        <v>1232494.5360207825</v>
      </c>
      <c r="N292" s="290">
        <f>SUMIFS('Forecast capex'!$X$9:$X$1883,'Forecast capex'!$F$9:$F$1883,$B292,'Forecast capex'!$J$9:$J$1883,N$9,'Forecast capex'!$L$9:$L$1883,$D$262)+N165</f>
        <v>3178229.1750478204</v>
      </c>
      <c r="O292" s="290">
        <f>SUMIFS('Forecast capex'!$X$9:$X$1883,'Forecast capex'!$F$9:$F$1883,$B292,'Forecast capex'!$J$9:$J$1883,O$9,'Forecast capex'!$L$9:$L$1883,$D$262)+O165</f>
        <v>3040902.0316483686</v>
      </c>
      <c r="P292" s="290">
        <f>SUMIFS('Forecast capex'!$X$9:$X$1883,'Forecast capex'!$F$9:$F$1883,$B292,'Forecast capex'!$J$9:$J$1883,P$9,'Forecast capex'!$L$9:$L$1883,$D$262)+P165</f>
        <v>3232155.587566894</v>
      </c>
      <c r="Q292" s="290">
        <f>SUMIFS('Forecast capex'!$X$9:$X$1883,'Forecast capex'!$F$9:$F$1883,$B292,'Forecast capex'!$J$9:$J$1883,Q$9,'Forecast capex'!$L$9:$L$1883,$D$262)+Q165</f>
        <v>3182169.5095002707</v>
      </c>
      <c r="R292" s="290">
        <f>SUMIFS('Forecast capex'!$X$9:$X$1883,'Forecast capex'!$F$9:$F$1883,$B292,'Forecast capex'!$J$9:$J$1883,R$9,'Forecast capex'!$L$9:$L$1883,$D$262)+R165</f>
        <v>3282502.3706007097</v>
      </c>
      <c r="S292" s="290">
        <f>SUMIFS('Forecast capex'!$X$9:$X$1883,'Forecast capex'!$F$9:$F$1883,$B292,'Forecast capex'!$J$9:$J$1883,S$9,'Forecast capex'!$L$9:$L$1883,$D$262)+S165</f>
        <v>1996642.5046096251</v>
      </c>
    </row>
    <row r="293" spans="1:20" ht="12" customHeight="1" x14ac:dyDescent="0.2">
      <c r="A293" s="230"/>
      <c r="B293" s="230" t="str">
        <f t="shared" si="101"/>
        <v>5.2 Pole Mounted Fuses</v>
      </c>
      <c r="C293" s="280" t="s">
        <v>250</v>
      </c>
      <c r="H293" s="265"/>
      <c r="I293" s="232"/>
      <c r="M293" s="290">
        <f>SUMIFS('Forecast capex'!$X$9:$X$1883,'Forecast capex'!$F$9:$F$1883,$B293,'Forecast capex'!$J$9:$J$1883,M$9,'Forecast capex'!$L$9:$L$1883,$D$262)+M166</f>
        <v>75608.52315936338</v>
      </c>
      <c r="N293" s="290">
        <f>SUMIFS('Forecast capex'!$X$9:$X$1883,'Forecast capex'!$F$9:$F$1883,$B293,'Forecast capex'!$J$9:$J$1883,N$9,'Forecast capex'!$L$9:$L$1883,$D$262)+N166</f>
        <v>220162.62231293033</v>
      </c>
      <c r="O293" s="290">
        <f>SUMIFS('Forecast capex'!$X$9:$X$1883,'Forecast capex'!$F$9:$F$1883,$B293,'Forecast capex'!$J$9:$J$1883,O$9,'Forecast capex'!$L$9:$L$1883,$D$262)+O166</f>
        <v>177685.50813291955</v>
      </c>
      <c r="P293" s="290">
        <f>SUMIFS('Forecast capex'!$X$9:$X$1883,'Forecast capex'!$F$9:$F$1883,$B293,'Forecast capex'!$J$9:$J$1883,P$9,'Forecast capex'!$L$9:$L$1883,$D$262)+P166</f>
        <v>206153.46076390042</v>
      </c>
      <c r="Q293" s="290">
        <f>SUMIFS('Forecast capex'!$X$9:$X$1883,'Forecast capex'!$F$9:$F$1883,$B293,'Forecast capex'!$J$9:$J$1883,Q$9,'Forecast capex'!$L$9:$L$1883,$D$262)+Q166</f>
        <v>224786.47127870953</v>
      </c>
      <c r="R293" s="290">
        <f>SUMIFS('Forecast capex'!$X$9:$X$1883,'Forecast capex'!$F$9:$F$1883,$B293,'Forecast capex'!$J$9:$J$1883,R$9,'Forecast capex'!$L$9:$L$1883,$D$262)+R166</f>
        <v>244622.53908858582</v>
      </c>
      <c r="S293" s="290">
        <f>SUMIFS('Forecast capex'!$X$9:$X$1883,'Forecast capex'!$F$9:$F$1883,$B293,'Forecast capex'!$J$9:$J$1883,S$9,'Forecast capex'!$L$9:$L$1883,$D$262)+S166</f>
        <v>259850.21692457938</v>
      </c>
    </row>
    <row r="294" spans="1:20" ht="12" customHeight="1" x14ac:dyDescent="0.2">
      <c r="A294" s="230"/>
      <c r="B294" s="230" t="str">
        <f t="shared" si="101"/>
        <v>5.3 Pole Mounted Switches</v>
      </c>
      <c r="C294" s="280" t="s">
        <v>250</v>
      </c>
      <c r="H294" s="265"/>
      <c r="I294" s="232"/>
      <c r="M294" s="290">
        <f>SUMIFS('Forecast capex'!$X$9:$X$1883,'Forecast capex'!$F$9:$F$1883,$B294,'Forecast capex'!$J$9:$J$1883,M$9,'Forecast capex'!$L$9:$L$1883,$D$262)+M167</f>
        <v>303431.60093483102</v>
      </c>
      <c r="N294" s="290">
        <f>SUMIFS('Forecast capex'!$X$9:$X$1883,'Forecast capex'!$F$9:$F$1883,$B294,'Forecast capex'!$J$9:$J$1883,N$9,'Forecast capex'!$L$9:$L$1883,$D$262)+N167</f>
        <v>392354.98302359675</v>
      </c>
      <c r="O294" s="290">
        <f>SUMIFS('Forecast capex'!$X$9:$X$1883,'Forecast capex'!$F$9:$F$1883,$B294,'Forecast capex'!$J$9:$J$1883,O$9,'Forecast capex'!$L$9:$L$1883,$D$262)+O167</f>
        <v>535695.68385498866</v>
      </c>
      <c r="P294" s="290">
        <f>SUMIFS('Forecast capex'!$X$9:$X$1883,'Forecast capex'!$F$9:$F$1883,$B294,'Forecast capex'!$J$9:$J$1883,P$9,'Forecast capex'!$L$9:$L$1883,$D$262)+P167</f>
        <v>545073.59478945471</v>
      </c>
      <c r="Q294" s="290">
        <f>SUMIFS('Forecast capex'!$X$9:$X$1883,'Forecast capex'!$F$9:$F$1883,$B294,'Forecast capex'!$J$9:$J$1883,Q$9,'Forecast capex'!$L$9:$L$1883,$D$262)+Q167</f>
        <v>554010.17223877681</v>
      </c>
      <c r="R294" s="290">
        <f>SUMIFS('Forecast capex'!$X$9:$X$1883,'Forecast capex'!$F$9:$F$1883,$B294,'Forecast capex'!$J$9:$J$1883,R$9,'Forecast capex'!$L$9:$L$1883,$D$262)+R167</f>
        <v>563946.05304872221</v>
      </c>
      <c r="S294" s="290">
        <f>SUMIFS('Forecast capex'!$X$9:$X$1883,'Forecast capex'!$F$9:$F$1883,$B294,'Forecast capex'!$J$9:$J$1883,S$9,'Forecast capex'!$L$9:$L$1883,$D$262)+S167</f>
        <v>574122.06090268039</v>
      </c>
    </row>
    <row r="295" spans="1:20" ht="12" customHeight="1" x14ac:dyDescent="0.2">
      <c r="A295" s="230"/>
      <c r="B295" s="230" t="str">
        <f t="shared" si="101"/>
        <v>5.4 Low Voltage Enclosures</v>
      </c>
      <c r="C295" s="280" t="s">
        <v>250</v>
      </c>
      <c r="H295" s="265"/>
      <c r="I295" s="232"/>
      <c r="M295" s="290">
        <f>SUMIFS('Forecast capex'!$X$9:$X$1883,'Forecast capex'!$F$9:$F$1883,$B295,'Forecast capex'!$J$9:$J$1883,M$9,'Forecast capex'!$L$9:$L$1883,$D$262)+M168</f>
        <v>579665.3442217859</v>
      </c>
      <c r="N295" s="290">
        <f>SUMIFS('Forecast capex'!$X$9:$X$1883,'Forecast capex'!$F$9:$F$1883,$B295,'Forecast capex'!$J$9:$J$1883,N$9,'Forecast capex'!$L$9:$L$1883,$D$262)+N168</f>
        <v>1448977.258478123</v>
      </c>
      <c r="O295" s="290">
        <f>SUMIFS('Forecast capex'!$X$9:$X$1883,'Forecast capex'!$F$9:$F$1883,$B295,'Forecast capex'!$J$9:$J$1883,O$9,'Forecast capex'!$L$9:$L$1883,$D$262)+O168</f>
        <v>1969971.1730631315</v>
      </c>
      <c r="P295" s="290">
        <f>SUMIFS('Forecast capex'!$X$9:$X$1883,'Forecast capex'!$F$9:$F$1883,$B295,'Forecast capex'!$J$9:$J$1883,P$9,'Forecast capex'!$L$9:$L$1883,$D$262)+P168</f>
        <v>2079953.4534274093</v>
      </c>
      <c r="Q295" s="290">
        <f>SUMIFS('Forecast capex'!$X$9:$X$1883,'Forecast capex'!$F$9:$F$1883,$B295,'Forecast capex'!$J$9:$J$1883,Q$9,'Forecast capex'!$L$9:$L$1883,$D$262)+Q168</f>
        <v>2101161.9631104642</v>
      </c>
      <c r="R295" s="290">
        <f>SUMIFS('Forecast capex'!$X$9:$X$1883,'Forecast capex'!$F$9:$F$1883,$B295,'Forecast capex'!$J$9:$J$1883,R$9,'Forecast capex'!$L$9:$L$1883,$D$262)+R168</f>
        <v>1920875.8886864292</v>
      </c>
      <c r="S295" s="290">
        <f>SUMIFS('Forecast capex'!$X$9:$X$1883,'Forecast capex'!$F$9:$F$1883,$B295,'Forecast capex'!$J$9:$J$1883,S$9,'Forecast capex'!$L$9:$L$1883,$D$262)+S168</f>
        <v>1632786.0032317825</v>
      </c>
    </row>
    <row r="296" spans="1:20" ht="12" customHeight="1" x14ac:dyDescent="0.2">
      <c r="A296" s="230"/>
      <c r="B296" s="230" t="str">
        <f t="shared" si="101"/>
        <v>5.6 Ancillary Distribution Substation Equipment</v>
      </c>
      <c r="C296" s="280" t="s">
        <v>250</v>
      </c>
      <c r="H296" s="265"/>
      <c r="I296" s="232"/>
      <c r="M296" s="290">
        <f>SUMIFS('Forecast capex'!$X$9:$X$1883,'Forecast capex'!$F$9:$F$1883,$B296,'Forecast capex'!$J$9:$J$1883,M$9,'Forecast capex'!$L$9:$L$1883,$D$262)+M169</f>
        <v>883609.59109514242</v>
      </c>
      <c r="N296" s="290">
        <f>SUMIFS('Forecast capex'!$X$9:$X$1883,'Forecast capex'!$F$9:$F$1883,$B296,'Forecast capex'!$J$9:$J$1883,N$9,'Forecast capex'!$L$9:$L$1883,$D$262)+N169</f>
        <v>790769.86670161504</v>
      </c>
      <c r="O296" s="290">
        <f>SUMIFS('Forecast capex'!$X$9:$X$1883,'Forecast capex'!$F$9:$F$1883,$B296,'Forecast capex'!$J$9:$J$1883,O$9,'Forecast capex'!$L$9:$L$1883,$D$262)+O169</f>
        <v>762297.48271644476</v>
      </c>
      <c r="P296" s="290">
        <f>SUMIFS('Forecast capex'!$X$9:$X$1883,'Forecast capex'!$F$9:$F$1883,$B296,'Forecast capex'!$J$9:$J$1883,P$9,'Forecast capex'!$L$9:$L$1883,$D$262)+P169</f>
        <v>1295022.8548397725</v>
      </c>
      <c r="Q296" s="290">
        <f>SUMIFS('Forecast capex'!$X$9:$X$1883,'Forecast capex'!$F$9:$F$1883,$B296,'Forecast capex'!$J$9:$J$1883,Q$9,'Forecast capex'!$L$9:$L$1883,$D$262)+Q169</f>
        <v>1111443.4244006402</v>
      </c>
      <c r="R296" s="290">
        <f>SUMIFS('Forecast capex'!$X$9:$X$1883,'Forecast capex'!$F$9:$F$1883,$B296,'Forecast capex'!$J$9:$J$1883,R$9,'Forecast capex'!$L$9:$L$1883,$D$262)+R169</f>
        <v>1132318.1774560192</v>
      </c>
      <c r="S296" s="290">
        <f>SUMIFS('Forecast capex'!$X$9:$X$1883,'Forecast capex'!$F$9:$F$1883,$B296,'Forecast capex'!$J$9:$J$1883,S$9,'Forecast capex'!$L$9:$L$1883,$D$262)+S169</f>
        <v>1153710.5690431355</v>
      </c>
    </row>
    <row r="297" spans="1:20" ht="12" customHeight="1" x14ac:dyDescent="0.2">
      <c r="A297" s="230"/>
      <c r="B297" s="230" t="str">
        <f t="shared" si="101"/>
        <v>6.1 Ground Mounted Distribution Transformers</v>
      </c>
      <c r="C297" s="280" t="s">
        <v>250</v>
      </c>
      <c r="H297" s="265"/>
      <c r="I297" s="232"/>
      <c r="M297" s="290">
        <f>SUMIFS('Forecast capex'!$X$9:$X$1883,'Forecast capex'!$F$9:$F$1883,$B297,'Forecast capex'!$J$9:$J$1883,M$9,'Forecast capex'!$L$9:$L$1883,$D$262)+M170</f>
        <v>101735.36086600096</v>
      </c>
      <c r="N297" s="290">
        <f>SUMIFS('Forecast capex'!$X$9:$X$1883,'Forecast capex'!$F$9:$F$1883,$B297,'Forecast capex'!$J$9:$J$1883,N$9,'Forecast capex'!$L$9:$L$1883,$D$262)+N170</f>
        <v>220752.59642261811</v>
      </c>
      <c r="O297" s="290">
        <f>SUMIFS('Forecast capex'!$X$9:$X$1883,'Forecast capex'!$F$9:$F$1883,$B297,'Forecast capex'!$J$9:$J$1883,O$9,'Forecast capex'!$L$9:$L$1883,$D$262)+O170</f>
        <v>315935.21765920741</v>
      </c>
      <c r="P297" s="290">
        <f>SUMIFS('Forecast capex'!$X$9:$X$1883,'Forecast capex'!$F$9:$F$1883,$B297,'Forecast capex'!$J$9:$J$1883,P$9,'Forecast capex'!$L$9:$L$1883,$D$262)+P170</f>
        <v>321450.0534373144</v>
      </c>
      <c r="Q297" s="290">
        <f>SUMIFS('Forecast capex'!$X$9:$X$1883,'Forecast capex'!$F$9:$F$1883,$B297,'Forecast capex'!$J$9:$J$1883,Q$9,'Forecast capex'!$L$9:$L$1883,$D$262)+Q170</f>
        <v>326041.46205548686</v>
      </c>
      <c r="R297" s="290">
        <f>SUMIFS('Forecast capex'!$X$9:$X$1883,'Forecast capex'!$F$9:$F$1883,$B297,'Forecast capex'!$J$9:$J$1883,R$9,'Forecast capex'!$L$9:$L$1883,$D$262)+R170</f>
        <v>332001.74434958433</v>
      </c>
      <c r="S297" s="290">
        <f>SUMIFS('Forecast capex'!$X$9:$X$1883,'Forecast capex'!$F$9:$F$1883,$B297,'Forecast capex'!$J$9:$J$1883,S$9,'Forecast capex'!$L$9:$L$1883,$D$262)+S170</f>
        <v>394466.71117176441</v>
      </c>
    </row>
    <row r="298" spans="1:20" ht="12" customHeight="1" x14ac:dyDescent="0.2">
      <c r="A298" s="230"/>
      <c r="B298" s="230" t="str">
        <f t="shared" si="101"/>
        <v>6.2 Pole Mounted Distribution Transformers</v>
      </c>
      <c r="C298" s="280" t="s">
        <v>250</v>
      </c>
      <c r="H298" s="265"/>
      <c r="I298" s="232"/>
      <c r="M298" s="290">
        <f>SUMIFS('Forecast capex'!$X$9:$X$1883,'Forecast capex'!$F$9:$F$1883,$B298,'Forecast capex'!$J$9:$J$1883,M$9,'Forecast capex'!$L$9:$L$1883,$D$262)+M171</f>
        <v>1369976.0339655583</v>
      </c>
      <c r="N298" s="290">
        <f>SUMIFS('Forecast capex'!$X$9:$X$1883,'Forecast capex'!$F$9:$F$1883,$B298,'Forecast capex'!$J$9:$J$1883,N$9,'Forecast capex'!$L$9:$L$1883,$D$262)+N171</f>
        <v>1492768.4191455026</v>
      </c>
      <c r="O298" s="290">
        <f>SUMIFS('Forecast capex'!$X$9:$X$1883,'Forecast capex'!$F$9:$F$1883,$B298,'Forecast capex'!$J$9:$J$1883,O$9,'Forecast capex'!$L$9:$L$1883,$D$262)+O171</f>
        <v>1048543.8814637804</v>
      </c>
      <c r="P298" s="290">
        <f>SUMIFS('Forecast capex'!$X$9:$X$1883,'Forecast capex'!$F$9:$F$1883,$B298,'Forecast capex'!$J$9:$J$1883,P$9,'Forecast capex'!$L$9:$L$1883,$D$262)+P171</f>
        <v>2292119.1057622768</v>
      </c>
      <c r="Q298" s="290">
        <f>SUMIFS('Forecast capex'!$X$9:$X$1883,'Forecast capex'!$F$9:$F$1883,$B298,'Forecast capex'!$J$9:$J$1883,Q$9,'Forecast capex'!$L$9:$L$1883,$D$262)+Q171</f>
        <v>3596295.2627612334</v>
      </c>
      <c r="R298" s="290">
        <f>SUMIFS('Forecast capex'!$X$9:$X$1883,'Forecast capex'!$F$9:$F$1883,$B298,'Forecast capex'!$J$9:$J$1883,R$9,'Forecast capex'!$L$9:$L$1883,$D$262)+R171</f>
        <v>3966780.0327871521</v>
      </c>
      <c r="S298" s="290">
        <f>SUMIFS('Forecast capex'!$X$9:$X$1883,'Forecast capex'!$F$9:$F$1883,$B298,'Forecast capex'!$J$9:$J$1883,S$9,'Forecast capex'!$L$9:$L$1883,$D$262)+S171</f>
        <v>4173805.8630600669</v>
      </c>
    </row>
    <row r="299" spans="1:20" ht="12" customHeight="1" x14ac:dyDescent="0.2">
      <c r="A299" s="230"/>
      <c r="B299" s="230" t="str">
        <f t="shared" si="101"/>
        <v>6.4 Mobile Distribution Substations and Generators</v>
      </c>
      <c r="C299" s="280" t="s">
        <v>250</v>
      </c>
      <c r="H299" s="265"/>
      <c r="I299" s="232"/>
      <c r="M299" s="290">
        <f>SUMIFS('Forecast capex'!$X$9:$X$1883,'Forecast capex'!$F$9:$F$1883,$B299,'Forecast capex'!$J$9:$J$1883,M$9,'Forecast capex'!$L$9:$L$1883,$D$262)+M172</f>
        <v>38067.379240276277</v>
      </c>
      <c r="N299" s="290">
        <f>SUMIFS('Forecast capex'!$X$9:$X$1883,'Forecast capex'!$F$9:$F$1883,$B299,'Forecast capex'!$J$9:$J$1883,N$9,'Forecast capex'!$L$9:$L$1883,$D$262)+N172</f>
        <v>0</v>
      </c>
      <c r="O299" s="290">
        <f>SUMIFS('Forecast capex'!$X$9:$X$1883,'Forecast capex'!$F$9:$F$1883,$B299,'Forecast capex'!$J$9:$J$1883,O$9,'Forecast capex'!$L$9:$L$1883,$D$262)+O172</f>
        <v>0</v>
      </c>
      <c r="P299" s="290">
        <f>SUMIFS('Forecast capex'!$X$9:$X$1883,'Forecast capex'!$F$9:$F$1883,$B299,'Forecast capex'!$J$9:$J$1883,P$9,'Forecast capex'!$L$9:$L$1883,$D$262)+P172</f>
        <v>0</v>
      </c>
      <c r="Q299" s="290">
        <f>SUMIFS('Forecast capex'!$X$9:$X$1883,'Forecast capex'!$F$9:$F$1883,$B299,'Forecast capex'!$J$9:$J$1883,Q$9,'Forecast capex'!$L$9:$L$1883,$D$262)+Q172</f>
        <v>0</v>
      </c>
      <c r="R299" s="290">
        <f>SUMIFS('Forecast capex'!$X$9:$X$1883,'Forecast capex'!$F$9:$F$1883,$B299,'Forecast capex'!$J$9:$J$1883,R$9,'Forecast capex'!$L$9:$L$1883,$D$262)+R172</f>
        <v>0</v>
      </c>
      <c r="S299" s="290">
        <f>SUMIFS('Forecast capex'!$X$9:$X$1883,'Forecast capex'!$F$9:$F$1883,$B299,'Forecast capex'!$J$9:$J$1883,S$9,'Forecast capex'!$L$9:$L$1883,$D$262)+S172</f>
        <v>0</v>
      </c>
    </row>
    <row r="300" spans="1:20" ht="12" customHeight="1" x14ac:dyDescent="0.2">
      <c r="A300" s="230"/>
      <c r="B300" s="230" t="str">
        <f t="shared" si="101"/>
        <v>7.1 Protection</v>
      </c>
      <c r="C300" s="280" t="s">
        <v>250</v>
      </c>
      <c r="H300" s="265"/>
      <c r="I300" s="232"/>
      <c r="M300" s="290">
        <f>SUMIFS('Forecast capex'!$X$9:$X$1883,'Forecast capex'!$F$9:$F$1883,$B300,'Forecast capex'!$J$9:$J$1883,M$9,'Forecast capex'!$L$9:$L$1883,$D$262)+M173</f>
        <v>1270223.1890773049</v>
      </c>
      <c r="N300" s="290">
        <f>SUMIFS('Forecast capex'!$X$9:$X$1883,'Forecast capex'!$F$9:$F$1883,$B300,'Forecast capex'!$J$9:$J$1883,N$9,'Forecast capex'!$L$9:$L$1883,$D$262)+N173</f>
        <v>2410632.8071799292</v>
      </c>
      <c r="O300" s="290">
        <f>SUMIFS('Forecast capex'!$X$9:$X$1883,'Forecast capex'!$F$9:$F$1883,$B300,'Forecast capex'!$J$9:$J$1883,O$9,'Forecast capex'!$L$9:$L$1883,$D$262)+O173</f>
        <v>2322447.8560892749</v>
      </c>
      <c r="P300" s="290">
        <f>SUMIFS('Forecast capex'!$X$9:$X$1883,'Forecast capex'!$F$9:$F$1883,$B300,'Forecast capex'!$J$9:$J$1883,P$9,'Forecast capex'!$L$9:$L$1883,$D$262)+P173</f>
        <v>2368787.5205869605</v>
      </c>
      <c r="Q300" s="290">
        <f>SUMIFS('Forecast capex'!$X$9:$X$1883,'Forecast capex'!$F$9:$F$1883,$B300,'Forecast capex'!$J$9:$J$1883,Q$9,'Forecast capex'!$L$9:$L$1883,$D$262)+Q173</f>
        <v>1967567.445638495</v>
      </c>
      <c r="R300" s="290">
        <f>SUMIFS('Forecast capex'!$X$9:$X$1883,'Forecast capex'!$F$9:$F$1883,$B300,'Forecast capex'!$J$9:$J$1883,R$9,'Forecast capex'!$L$9:$L$1883,$D$262)+R173</f>
        <v>1372113.3407178835</v>
      </c>
      <c r="S300" s="290">
        <f>SUMIFS('Forecast capex'!$X$9:$X$1883,'Forecast capex'!$F$9:$F$1883,$B300,'Forecast capex'!$J$9:$J$1883,S$9,'Forecast capex'!$L$9:$L$1883,$D$262)+S173</f>
        <v>1399203.2843519894</v>
      </c>
    </row>
    <row r="301" spans="1:20" ht="12" customHeight="1" x14ac:dyDescent="0.2">
      <c r="A301" s="230"/>
      <c r="B301" s="230" t="str">
        <f t="shared" si="101"/>
        <v>7.2 DC Systems</v>
      </c>
      <c r="C301" s="280" t="s">
        <v>250</v>
      </c>
      <c r="H301" s="265"/>
      <c r="I301" s="232"/>
      <c r="M301" s="290">
        <f>SUMIFS('Forecast capex'!$X$9:$X$1883,'Forecast capex'!$F$9:$F$1883,$B301,'Forecast capex'!$J$9:$J$1883,M$9,'Forecast capex'!$L$9:$L$1883,$D$262)+M174</f>
        <v>302671.20096300478</v>
      </c>
      <c r="N301" s="290">
        <f>SUMIFS('Forecast capex'!$X$9:$X$1883,'Forecast capex'!$F$9:$F$1883,$B301,'Forecast capex'!$J$9:$J$1883,N$9,'Forecast capex'!$L$9:$L$1883,$D$262)+N174</f>
        <v>693391.9691662445</v>
      </c>
      <c r="O301" s="290">
        <f>SUMIFS('Forecast capex'!$X$9:$X$1883,'Forecast capex'!$F$9:$F$1883,$B301,'Forecast capex'!$J$9:$J$1883,O$9,'Forecast capex'!$L$9:$L$1883,$D$262)+O174</f>
        <v>668026.53951413988</v>
      </c>
      <c r="P301" s="290">
        <f>SUMIFS('Forecast capex'!$X$9:$X$1883,'Forecast capex'!$F$9:$F$1883,$B301,'Forecast capex'!$J$9:$J$1883,P$9,'Forecast capex'!$L$9:$L$1883,$D$262)+P174</f>
        <v>760638.24919274927</v>
      </c>
      <c r="Q301" s="290">
        <f>SUMIFS('Forecast capex'!$X$9:$X$1883,'Forecast capex'!$F$9:$F$1883,$B301,'Forecast capex'!$J$9:$J$1883,Q$9,'Forecast capex'!$L$9:$L$1883,$D$262)+Q174</f>
        <v>772567.39645994944</v>
      </c>
      <c r="R301" s="290">
        <f>SUMIFS('Forecast capex'!$X$9:$X$1883,'Forecast capex'!$F$9:$F$1883,$B301,'Forecast capex'!$J$9:$J$1883,R$9,'Forecast capex'!$L$9:$L$1883,$D$262)+R174</f>
        <v>855779.29450721713</v>
      </c>
      <c r="S301" s="290">
        <f>SUMIFS('Forecast capex'!$X$9:$X$1883,'Forecast capex'!$F$9:$F$1883,$B301,'Forecast capex'!$J$9:$J$1883,S$9,'Forecast capex'!$L$9:$L$1883,$D$262)+S174</f>
        <v>872674.60843043064</v>
      </c>
    </row>
    <row r="302" spans="1:20" ht="12" customHeight="1" x14ac:dyDescent="0.2">
      <c r="A302" s="230"/>
      <c r="B302" s="230" t="str">
        <f t="shared" si="101"/>
        <v>7.3 Remote Terminal Units</v>
      </c>
      <c r="C302" s="280" t="s">
        <v>250</v>
      </c>
      <c r="H302" s="265"/>
      <c r="I302" s="232"/>
      <c r="M302" s="290">
        <f>SUMIFS('Forecast capex'!$X$9:$X$1883,'Forecast capex'!$F$9:$F$1883,$B302,'Forecast capex'!$J$9:$J$1883,M$9,'Forecast capex'!$L$9:$L$1883,$D$262)+M175</f>
        <v>0</v>
      </c>
      <c r="N302" s="290">
        <f>SUMIFS('Forecast capex'!$X$9:$X$1883,'Forecast capex'!$F$9:$F$1883,$B302,'Forecast capex'!$J$9:$J$1883,N$9,'Forecast capex'!$L$9:$L$1883,$D$262)+N175</f>
        <v>0</v>
      </c>
      <c r="O302" s="290">
        <f>SUMIFS('Forecast capex'!$X$9:$X$1883,'Forecast capex'!$F$9:$F$1883,$B302,'Forecast capex'!$J$9:$J$1883,O$9,'Forecast capex'!$L$9:$L$1883,$D$262)+O175</f>
        <v>82663.398267584358</v>
      </c>
      <c r="P302" s="290">
        <f>SUMIFS('Forecast capex'!$X$9:$X$1883,'Forecast capex'!$F$9:$F$1883,$B302,'Forecast capex'!$J$9:$J$1883,P$9,'Forecast capex'!$L$9:$L$1883,$D$262)+P175</f>
        <v>84312.776156485023</v>
      </c>
      <c r="Q302" s="290">
        <f>SUMIFS('Forecast capex'!$X$9:$X$1883,'Forecast capex'!$F$9:$F$1883,$B302,'Forecast capex'!$J$9:$J$1883,Q$9,'Forecast capex'!$L$9:$L$1883,$D$262)+Q175</f>
        <v>235496.41447797499</v>
      </c>
      <c r="R302" s="290">
        <f>SUMIFS('Forecast capex'!$X$9:$X$1883,'Forecast capex'!$F$9:$F$1883,$B302,'Forecast capex'!$J$9:$J$1883,R$9,'Forecast capex'!$L$9:$L$1883,$D$262)+R175</f>
        <v>152803.53112540068</v>
      </c>
      <c r="S302" s="290">
        <f>SUMIFS('Forecast capex'!$X$9:$X$1883,'Forecast capex'!$F$9:$F$1883,$B302,'Forecast capex'!$J$9:$J$1883,S$9,'Forecast capex'!$L$9:$L$1883,$D$262)+S175</f>
        <v>244860.57476159817</v>
      </c>
    </row>
    <row r="303" spans="1:20" ht="12" customHeight="1" x14ac:dyDescent="0.2">
      <c r="C303" s="286"/>
      <c r="H303" s="265"/>
      <c r="I303" s="232"/>
      <c r="L303" s="265"/>
      <c r="M303" s="229"/>
    </row>
    <row r="304" spans="1:20" s="229" customFormat="1" ht="11.45" customHeight="1" x14ac:dyDescent="0.2">
      <c r="B304" s="304" t="s">
        <v>93</v>
      </c>
      <c r="C304" s="314"/>
      <c r="D304" s="347"/>
      <c r="E304" s="314"/>
      <c r="F304" s="242"/>
      <c r="G304" s="302"/>
      <c r="H304" s="302"/>
      <c r="I304" s="302"/>
      <c r="J304" s="302"/>
      <c r="K304" s="242"/>
      <c r="L304" s="242"/>
      <c r="M304" s="242"/>
      <c r="N304" s="242"/>
      <c r="O304" s="242"/>
      <c r="P304" s="242"/>
      <c r="Q304" s="242"/>
      <c r="R304" s="242"/>
      <c r="S304" s="242"/>
      <c r="T304" s="242"/>
    </row>
    <row r="305" spans="1:24" s="229" customFormat="1" ht="11.45" customHeight="1" x14ac:dyDescent="0.2">
      <c r="B305" s="313"/>
      <c r="C305" s="314"/>
      <c r="D305" s="347"/>
      <c r="E305" s="314"/>
      <c r="F305" s="242"/>
      <c r="G305" s="302"/>
      <c r="H305" s="302"/>
      <c r="I305" s="302"/>
      <c r="J305" s="302"/>
      <c r="K305" s="242"/>
      <c r="L305" s="242"/>
      <c r="M305" s="242"/>
      <c r="N305" s="242"/>
      <c r="O305" s="242"/>
      <c r="P305" s="242"/>
      <c r="Q305" s="242"/>
      <c r="R305" s="242"/>
      <c r="S305" s="242"/>
      <c r="T305" s="242"/>
    </row>
    <row r="306" spans="1:24" ht="12" customHeight="1" x14ac:dyDescent="0.2">
      <c r="A306" s="230"/>
      <c r="B306" s="230" t="str">
        <f>B206</f>
        <v>11 Asset relocations (net)</v>
      </c>
      <c r="C306" s="280" t="s">
        <v>250</v>
      </c>
      <c r="H306" s="265"/>
      <c r="I306" s="232"/>
      <c r="M306" s="290">
        <f>SUMIFS('Forecast capex'!$X$9:$X$1883,'Forecast capex'!$F$9:$F$1883,$B306,'Forecast capex'!$J$9:$J$1883,M$9,'Forecast capex'!$L$9:$L$1883,$D$262)+M211</f>
        <v>1252309.0741230561</v>
      </c>
      <c r="N306" s="290">
        <f>SUMIFS('Forecast capex'!$X$9:$X$1883,'Forecast capex'!$F$9:$F$1883,$B306,'Forecast capex'!$J$9:$J$1883,N$9,'Forecast capex'!$L$9:$L$1883,$D$262)+N211</f>
        <v>1961955.5449661762</v>
      </c>
      <c r="O306" s="290">
        <f>SUMIFS('Forecast capex'!$X$9:$X$1883,'Forecast capex'!$F$9:$F$1883,$B306,'Forecast capex'!$J$9:$J$1883,O$9,'Forecast capex'!$L$9:$L$1883,$D$262)+O211</f>
        <v>1889162.128563852</v>
      </c>
      <c r="P306" s="290">
        <f>SUMIFS('Forecast capex'!$X$9:$X$1883,'Forecast capex'!$F$9:$F$1883,$B306,'Forecast capex'!$J$9:$J$1883,P$9,'Forecast capex'!$L$9:$L$1883,$D$262)+P211</f>
        <v>1929199.0304866058</v>
      </c>
      <c r="Q306" s="290">
        <f>SUMIFS('Forecast capex'!$X$9:$X$1883,'Forecast capex'!$F$9:$F$1883,$B306,'Forecast capex'!$J$9:$J$1883,Q$9,'Forecast capex'!$L$9:$L$1883,$D$262)+Q211</f>
        <v>1963116.8272179489</v>
      </c>
      <c r="R306" s="290">
        <f>SUMIFS('Forecast capex'!$X$9:$X$1883,'Forecast capex'!$F$9:$F$1883,$B306,'Forecast capex'!$J$9:$J$1883,R$9,'Forecast capex'!$L$9:$L$1883,$D$262)+R211</f>
        <v>2004975.6433849081</v>
      </c>
      <c r="S306" s="290">
        <f>SUMIFS('Forecast capex'!$X$9:$X$1883,'Forecast capex'!$F$9:$F$1883,$B306,'Forecast capex'!$J$9:$J$1883,S$9,'Forecast capex'!$L$9:$L$1883,$D$262)+S211</f>
        <v>2047991.7682119815</v>
      </c>
    </row>
    <row r="307" spans="1:24" ht="11.45" customHeight="1" x14ac:dyDescent="0.2">
      <c r="A307" s="230"/>
      <c r="B307" s="229"/>
      <c r="C307" s="231"/>
      <c r="H307" s="265"/>
      <c r="I307" s="232"/>
    </row>
    <row r="308" spans="1:24" s="229" customFormat="1" ht="11.45" customHeight="1" x14ac:dyDescent="0.2">
      <c r="B308" s="304" t="s">
        <v>270</v>
      </c>
      <c r="C308" s="314"/>
      <c r="D308" s="347"/>
      <c r="E308" s="314"/>
      <c r="F308" s="242"/>
      <c r="G308" s="302"/>
      <c r="H308" s="302"/>
      <c r="I308" s="302"/>
      <c r="J308" s="302"/>
      <c r="K308" s="242"/>
      <c r="L308" s="242"/>
      <c r="M308" s="242"/>
      <c r="N308" s="242"/>
      <c r="O308" s="242"/>
      <c r="P308" s="242"/>
      <c r="Q308" s="242"/>
      <c r="R308" s="242"/>
      <c r="S308" s="242"/>
      <c r="T308" s="242"/>
    </row>
    <row r="309" spans="1:24" s="229" customFormat="1" ht="11.45" customHeight="1" x14ac:dyDescent="0.2">
      <c r="B309" s="313"/>
      <c r="C309" s="314"/>
      <c r="D309" s="347"/>
      <c r="E309" s="314"/>
      <c r="F309" s="242"/>
      <c r="G309" s="302"/>
      <c r="H309" s="302"/>
      <c r="I309" s="302"/>
      <c r="J309" s="302"/>
      <c r="K309" s="242"/>
      <c r="L309" s="242"/>
      <c r="M309" s="242"/>
      <c r="N309" s="242"/>
      <c r="O309" s="242"/>
      <c r="P309" s="242"/>
      <c r="Q309" s="242"/>
      <c r="R309" s="242"/>
      <c r="S309" s="242"/>
      <c r="T309" s="242"/>
    </row>
    <row r="310" spans="1:24" ht="12" customHeight="1" x14ac:dyDescent="0.2">
      <c r="A310" s="230"/>
      <c r="B310" s="230" t="str">
        <f>B223</f>
        <v>12 Future Networks</v>
      </c>
      <c r="C310" s="280" t="s">
        <v>250</v>
      </c>
      <c r="H310" s="265"/>
      <c r="I310" s="232"/>
      <c r="M310" s="290">
        <f>SUMIFS('Forecast capex'!$X$9:$X$1883,'Forecast capex'!$F$9:$F$1883,$B310,'Forecast capex'!$J$9:$J$1883,M$9,'Forecast capex'!$L$9:$L$1883,$D$262)+M229</f>
        <v>0</v>
      </c>
      <c r="N310" s="290">
        <f>SUMIFS('Forecast capex'!$X$9:$X$1883,'Forecast capex'!$F$9:$F$1883,$B310,'Forecast capex'!$J$9:$J$1883,N$9,'Forecast capex'!$L$9:$L$1883,$D$262)+N229</f>
        <v>243139.02594352371</v>
      </c>
      <c r="O310" s="290">
        <f>SUMIFS('Forecast capex'!$X$9:$X$1883,'Forecast capex'!$F$9:$F$1883,$B310,'Forecast capex'!$J$9:$J$1883,O$9,'Forecast capex'!$L$9:$L$1883,$D$262)+O229</f>
        <v>454519.57188689208</v>
      </c>
      <c r="P310" s="290">
        <f>SUMIFS('Forecast capex'!$X$9:$X$1883,'Forecast capex'!$F$9:$F$1883,$B310,'Forecast capex'!$J$9:$J$1883,P$9,'Forecast capex'!$L$9:$L$1883,$D$262)+P229</f>
        <v>462108.73167371342</v>
      </c>
      <c r="Q310" s="290">
        <f>SUMIFS('Forecast capex'!$X$9:$X$1883,'Forecast capex'!$F$9:$F$1883,$B310,'Forecast capex'!$J$9:$J$1883,Q$9,'Forecast capex'!$L$9:$L$1883,$D$262)+Q229</f>
        <v>231369.98412821061</v>
      </c>
      <c r="R310" s="290">
        <f>SUMIFS('Forecast capex'!$X$9:$X$1883,'Forecast capex'!$F$9:$F$1883,$B310,'Forecast capex'!$J$9:$J$1883,R$9,'Forecast capex'!$L$9:$L$1883,$D$262)+R229</f>
        <v>235389.29392289766</v>
      </c>
      <c r="S310" s="290">
        <f>SUMIFS('Forecast capex'!$X$9:$X$1883,'Forecast capex'!$F$9:$F$1883,$B310,'Forecast capex'!$J$9:$J$1883,S$9,'Forecast capex'!$L$9:$L$1883,$D$262)+S229</f>
        <v>0</v>
      </c>
    </row>
    <row r="311" spans="1:24" ht="12" customHeight="1" x14ac:dyDescent="0.2">
      <c r="A311" s="230"/>
      <c r="B311" s="230" t="str">
        <f>B224</f>
        <v>13 RSE</v>
      </c>
      <c r="C311" s="280" t="s">
        <v>250</v>
      </c>
      <c r="H311" s="265"/>
      <c r="I311" s="232"/>
      <c r="M311" s="290">
        <f>SUMIFS('Forecast capex'!$X$9:$X$1883,'Forecast capex'!$F$9:$F$1883,$B311,'Forecast capex'!$J$9:$J$1883,M$9,'Forecast capex'!$L$9:$L$1883,$D$262)+M230</f>
        <v>1166850.5294425576</v>
      </c>
      <c r="N311" s="290">
        <f>SUMIFS('Forecast capex'!$X$9:$X$1883,'Forecast capex'!$F$9:$F$1883,$B311,'Forecast capex'!$J$9:$J$1883,N$9,'Forecast capex'!$L$9:$L$1883,$D$262)+N230</f>
        <v>0</v>
      </c>
      <c r="O311" s="290">
        <f>SUMIFS('Forecast capex'!$X$9:$X$1883,'Forecast capex'!$F$9:$F$1883,$B311,'Forecast capex'!$J$9:$J$1883,O$9,'Forecast capex'!$L$9:$L$1883,$D$262)+O230</f>
        <v>0</v>
      </c>
      <c r="P311" s="290">
        <f>SUMIFS('Forecast capex'!$X$9:$X$1883,'Forecast capex'!$F$9:$F$1883,$B311,'Forecast capex'!$J$9:$J$1883,P$9,'Forecast capex'!$L$9:$L$1883,$D$262)+P230</f>
        <v>0</v>
      </c>
      <c r="Q311" s="290">
        <f>SUMIFS('Forecast capex'!$X$9:$X$1883,'Forecast capex'!$F$9:$F$1883,$B311,'Forecast capex'!$J$9:$J$1883,Q$9,'Forecast capex'!$L$9:$L$1883,$D$262)+Q230</f>
        <v>0</v>
      </c>
      <c r="R311" s="290">
        <f>SUMIFS('Forecast capex'!$X$9:$X$1883,'Forecast capex'!$F$9:$F$1883,$B311,'Forecast capex'!$J$9:$J$1883,R$9,'Forecast capex'!$L$9:$L$1883,$D$262)+R230</f>
        <v>706406.06046174327</v>
      </c>
      <c r="S311" s="290">
        <f>SUMIFS('Forecast capex'!$X$9:$X$1883,'Forecast capex'!$F$9:$F$1883,$B311,'Forecast capex'!$J$9:$J$1883,S$9,'Forecast capex'!$L$9:$L$1883,$D$262)+S230</f>
        <v>719551.95247761905</v>
      </c>
    </row>
    <row r="312" spans="1:24" ht="11.45" customHeight="1" x14ac:dyDescent="0.2">
      <c r="A312" s="230"/>
      <c r="B312" s="229"/>
      <c r="C312" s="231"/>
      <c r="H312" s="265"/>
      <c r="I312" s="232"/>
    </row>
    <row r="313" spans="1:24" s="229" customFormat="1" ht="11.45" customHeight="1" x14ac:dyDescent="0.2">
      <c r="B313" s="304" t="s">
        <v>90</v>
      </c>
      <c r="C313" s="314"/>
      <c r="D313" s="347"/>
      <c r="E313" s="314"/>
      <c r="F313" s="242"/>
      <c r="G313" s="302"/>
      <c r="H313" s="302"/>
      <c r="I313" s="302"/>
      <c r="J313" s="302"/>
      <c r="K313" s="242"/>
      <c r="L313" s="242"/>
      <c r="M313" s="242"/>
      <c r="N313" s="242"/>
      <c r="O313" s="242"/>
      <c r="P313" s="242"/>
      <c r="Q313" s="242"/>
      <c r="R313" s="242"/>
      <c r="S313" s="242"/>
      <c r="T313" s="242"/>
    </row>
    <row r="314" spans="1:24" s="229" customFormat="1" ht="11.45" customHeight="1" x14ac:dyDescent="0.2">
      <c r="B314" s="313"/>
      <c r="C314" s="314"/>
      <c r="D314" s="347"/>
      <c r="E314" s="314"/>
      <c r="F314" s="242"/>
      <c r="G314" s="302"/>
      <c r="H314" s="302"/>
      <c r="I314" s="302"/>
      <c r="J314" s="302"/>
      <c r="K314" s="242"/>
      <c r="L314" s="242"/>
      <c r="M314" s="242"/>
      <c r="N314" s="242"/>
      <c r="O314" s="242"/>
      <c r="P314" s="242"/>
      <c r="Q314" s="242"/>
      <c r="R314" s="242"/>
      <c r="S314" s="242"/>
      <c r="T314" s="242"/>
    </row>
    <row r="315" spans="1:24" ht="11.45" customHeight="1" x14ac:dyDescent="0.2">
      <c r="A315" s="230"/>
      <c r="B315" s="230" t="str">
        <f>B243</f>
        <v>14 IT</v>
      </c>
      <c r="C315" s="280" t="s">
        <v>250</v>
      </c>
      <c r="H315" s="265"/>
      <c r="I315" s="232"/>
      <c r="M315" s="290">
        <f>SUMIFS('Forecast capex'!$X$9:$X$1883,'Forecast capex'!$F$9:$F$1883,$B315,'Forecast capex'!$J$9:$J$1883,M$9,'Forecast capex'!$L$9:$L$1883,$D$262)+M249</f>
        <v>4525424.0318984818</v>
      </c>
      <c r="N315" s="290">
        <f>SUMIFS('Forecast capex'!$X$9:$X$1883,'Forecast capex'!$F$9:$F$1883,$B315,'Forecast capex'!$J$9:$J$1883,N$9,'Forecast capex'!$L$9:$L$1883,$D$262)+N249</f>
        <v>3309408.0146655119</v>
      </c>
      <c r="O315" s="290">
        <f>SUMIFS('Forecast capex'!$X$9:$X$1883,'Forecast capex'!$F$9:$F$1883,$B315,'Forecast capex'!$J$9:$J$1883,O$9,'Forecast capex'!$L$9:$L$1883,$D$262)+O249</f>
        <v>5597750.1255403878</v>
      </c>
      <c r="P315" s="290">
        <f>SUMIFS('Forecast capex'!$X$9:$X$1883,'Forecast capex'!$F$9:$F$1883,$B315,'Forecast capex'!$J$9:$J$1883,P$9,'Forecast capex'!$L$9:$L$1883,$D$262)+P249</f>
        <v>2219356.6813874692</v>
      </c>
      <c r="Q315" s="290">
        <f>SUMIFS('Forecast capex'!$X$9:$X$1883,'Forecast capex'!$F$9:$F$1883,$B315,'Forecast capex'!$J$9:$J$1883,Q$9,'Forecast capex'!$L$9:$L$1883,$D$262)+Q249</f>
        <v>2024947.4992169118</v>
      </c>
      <c r="R315" s="290">
        <f>SUMIFS('Forecast capex'!$X$9:$X$1883,'Forecast capex'!$F$9:$F$1883,$B315,'Forecast capex'!$J$9:$J$1883,R$9,'Forecast capex'!$L$9:$L$1883,$D$262)+R249</f>
        <v>1839524.8403154677</v>
      </c>
      <c r="S315" s="290">
        <f>SUMIFS('Forecast capex'!$X$9:$X$1883,'Forecast capex'!$F$9:$F$1883,$B315,'Forecast capex'!$J$9:$J$1883,S$9,'Forecast capex'!$L$9:$L$1883,$D$262)+S249</f>
        <v>1676259.2640568491</v>
      </c>
    </row>
    <row r="316" spans="1:24" ht="12" customHeight="1" x14ac:dyDescent="0.2">
      <c r="A316" s="230"/>
      <c r="B316" s="230" t="str">
        <f>B244</f>
        <v>15 Facilities</v>
      </c>
      <c r="C316" s="280" t="s">
        <v>250</v>
      </c>
      <c r="H316" s="265"/>
      <c r="I316" s="232"/>
      <c r="M316" s="290">
        <f>SUMIFS('Forecast capex'!$X$9:$X$1883,'Forecast capex'!$F$9:$F$1883,$B316,'Forecast capex'!$J$9:$J$1883,M$9,'Forecast capex'!$L$9:$L$1883,$D$262)+M250</f>
        <v>4159101.0287864548</v>
      </c>
      <c r="N316" s="290">
        <f>SUMIFS('Forecast capex'!$X$9:$X$1883,'Forecast capex'!$F$9:$F$1883,$B316,'Forecast capex'!$J$9:$J$1883,N$9,'Forecast capex'!$L$9:$L$1883,$D$262)+N250</f>
        <v>1266783.6494479773</v>
      </c>
      <c r="O316" s="290">
        <f>SUMIFS('Forecast capex'!$X$9:$X$1883,'Forecast capex'!$F$9:$F$1883,$B316,'Forecast capex'!$J$9:$J$1883,O$9,'Forecast capex'!$L$9:$L$1883,$D$262)+O250</f>
        <v>1064497.5110771828</v>
      </c>
      <c r="P316" s="290">
        <f>SUMIFS('Forecast capex'!$X$9:$X$1883,'Forecast capex'!$F$9:$F$1883,$B316,'Forecast capex'!$J$9:$J$1883,P$9,'Forecast capex'!$L$9:$L$1883,$D$262)+P250</f>
        <v>863260.79007747315</v>
      </c>
      <c r="Q316" s="290">
        <f>SUMIFS('Forecast capex'!$X$9:$X$1883,'Forecast capex'!$F$9:$F$1883,$B316,'Forecast capex'!$J$9:$J$1883,Q$9,'Forecast capex'!$L$9:$L$1883,$D$262)+Q250</f>
        <v>934195.63996569067</v>
      </c>
      <c r="R316" s="290">
        <f>SUMIFS('Forecast capex'!$X$9:$X$1883,'Forecast capex'!$F$9:$F$1883,$B316,'Forecast capex'!$J$9:$J$1883,R$9,'Forecast capex'!$L$9:$L$1883,$D$262)+R250</f>
        <v>614876.90584967949</v>
      </c>
      <c r="S316" s="290">
        <f>SUMIFS('Forecast capex'!$X$9:$X$1883,'Forecast capex'!$F$9:$F$1883,$B316,'Forecast capex'!$J$9:$J$1883,S$9,'Forecast capex'!$L$9:$L$1883,$D$262)+S250</f>
        <v>625625.43984738074</v>
      </c>
    </row>
    <row r="317" spans="1:24" ht="11.45" customHeight="1" x14ac:dyDescent="0.2">
      <c r="A317" s="230"/>
      <c r="B317" s="229"/>
      <c r="C317" s="231"/>
      <c r="H317" s="265"/>
      <c r="I317" s="232"/>
    </row>
    <row r="318" spans="1:24" s="229" customFormat="1" ht="12" customHeight="1" x14ac:dyDescent="0.2">
      <c r="A318" s="232"/>
      <c r="B318" s="283" t="s">
        <v>489</v>
      </c>
      <c r="C318" s="284" t="s">
        <v>51</v>
      </c>
      <c r="D318" s="285" t="s">
        <v>52</v>
      </c>
      <c r="E318" s="284" t="s">
        <v>53</v>
      </c>
      <c r="F318" s="242"/>
      <c r="G318" s="302"/>
      <c r="H318" s="302"/>
      <c r="I318" s="302"/>
      <c r="J318" s="302"/>
      <c r="K318" s="242"/>
      <c r="L318" s="242"/>
      <c r="M318" s="242"/>
      <c r="N318" s="242"/>
      <c r="O318" s="242"/>
      <c r="P318" s="242"/>
      <c r="Q318" s="242"/>
      <c r="R318" s="242"/>
      <c r="S318" s="242"/>
      <c r="T318" s="242"/>
    </row>
    <row r="319" spans="1:24" x14ac:dyDescent="0.2">
      <c r="K319" s="289"/>
      <c r="L319" s="289"/>
      <c r="M319" s="290"/>
      <c r="N319" s="290"/>
      <c r="O319" s="290"/>
      <c r="P319" s="290"/>
      <c r="Q319" s="290"/>
      <c r="R319" s="290"/>
      <c r="S319" s="290"/>
      <c r="T319" s="242"/>
      <c r="U319" s="229"/>
      <c r="V319" s="229"/>
      <c r="W319" s="229"/>
      <c r="X319" s="229"/>
    </row>
    <row r="320" spans="1:24" x14ac:dyDescent="0.2">
      <c r="B320" s="304" t="s">
        <v>488</v>
      </c>
      <c r="D320" s="370" t="s">
        <v>384</v>
      </c>
      <c r="M320" s="229"/>
      <c r="N320" s="229"/>
      <c r="O320" s="229"/>
      <c r="P320" s="229"/>
      <c r="Q320" s="229"/>
      <c r="R320" s="229"/>
      <c r="S320" s="229"/>
      <c r="T320" s="229"/>
      <c r="U320" s="229"/>
      <c r="V320" s="229"/>
      <c r="W320" s="229"/>
      <c r="X320" s="229"/>
    </row>
    <row r="321" spans="2:24" x14ac:dyDescent="0.2">
      <c r="C321" s="280"/>
      <c r="L321" s="229"/>
      <c r="M321" s="238"/>
      <c r="N321" s="238"/>
      <c r="O321" s="238"/>
      <c r="P321" s="238"/>
      <c r="Q321" s="238"/>
      <c r="R321" s="238"/>
      <c r="S321" s="238"/>
      <c r="T321" s="229"/>
      <c r="U321" s="229"/>
      <c r="V321" s="229"/>
      <c r="W321" s="229"/>
      <c r="X321" s="229"/>
    </row>
    <row r="322" spans="2:24" x14ac:dyDescent="0.2">
      <c r="B322" s="304" t="s">
        <v>490</v>
      </c>
      <c r="C322" s="338"/>
      <c r="D322" s="229"/>
      <c r="E322" s="229"/>
      <c r="F322" s="229"/>
      <c r="G322" s="229"/>
      <c r="H322" s="229"/>
      <c r="I322" s="230"/>
      <c r="J322" s="229"/>
      <c r="K322" s="229"/>
      <c r="L322" s="229"/>
      <c r="M322" s="229"/>
      <c r="N322" s="229"/>
      <c r="O322" s="229"/>
      <c r="P322" s="229"/>
      <c r="Q322" s="229"/>
      <c r="R322" s="229"/>
      <c r="S322" s="229"/>
      <c r="T322" s="229"/>
      <c r="U322" s="229"/>
      <c r="V322" s="229"/>
      <c r="W322" s="229"/>
      <c r="X322" s="229"/>
    </row>
    <row r="324" spans="2:24" x14ac:dyDescent="0.2">
      <c r="B324" s="229" t="s">
        <v>95</v>
      </c>
      <c r="C324" s="280" t="s">
        <v>250</v>
      </c>
      <c r="I324" s="232"/>
      <c r="L324" s="229"/>
      <c r="M324" s="238">
        <f>SUMIFS('Forecast capex'!$X$9:$X$1940,'Forecast capex'!$AD$9:$AD$1940,$B324,'Forecast capex'!$J$9:$J$1940,M$9,'Forecast capex'!$L$9:$L$1940,$D$320)+M49</f>
        <v>14467533.177881457</v>
      </c>
      <c r="N324" s="238">
        <f>SUMIFS('Forecast capex'!$X$9:$X$1940,'Forecast capex'!$AD$9:$AD$1940,$B324,'Forecast capex'!$J$9:$J$1940,N$9,'Forecast capex'!$L$9:$L$1940,$D$320)+N49</f>
        <v>9280550.9577665087</v>
      </c>
      <c r="O324" s="238">
        <f>SUMIFS('Forecast capex'!$X$9:$X$1940,'Forecast capex'!$AD$9:$AD$1940,$B324,'Forecast capex'!$J$9:$J$1940,O$9,'Forecast capex'!$L$9:$L$1940,$D$320)+O49</f>
        <v>7319180.9405135438</v>
      </c>
      <c r="P324" s="238">
        <f>SUMIFS('Forecast capex'!$X$9:$X$1940,'Forecast capex'!$AD$9:$AD$1940,$B324,'Forecast capex'!$J$9:$J$1940,P$9,'Forecast capex'!$L$9:$L$1940,$D$320)+P49</f>
        <v>7467825.663384106</v>
      </c>
      <c r="Q324" s="238">
        <f>SUMIFS('Forecast capex'!$X$9:$X$1940,'Forecast capex'!$AD$9:$AD$1940,$B324,'Forecast capex'!$J$9:$J$1940,Q$9,'Forecast capex'!$L$9:$L$1940,$D$320)+Q49</f>
        <v>10480011.843056487</v>
      </c>
      <c r="R324" s="238">
        <f>SUMIFS('Forecast capex'!$X$9:$X$1940,'Forecast capex'!$AD$9:$AD$1940,$B324,'Forecast capex'!$J$9:$J$1940,R$9,'Forecast capex'!$L$9:$L$1940,$D$320)+R49</f>
        <v>12325554.190993613</v>
      </c>
      <c r="S324" s="238">
        <f>SUMIFS('Forecast capex'!$X$9:$X$1940,'Forecast capex'!$AD$9:$AD$1940,$B324,'Forecast capex'!$J$9:$J$1940,S$9,'Forecast capex'!$L$9:$L$1940,$D$320)+S49</f>
        <v>14799102.750355931</v>
      </c>
      <c r="T324" s="229"/>
      <c r="U324" s="229"/>
      <c r="V324" s="229"/>
      <c r="W324" s="229"/>
      <c r="X324" s="229"/>
    </row>
    <row r="325" spans="2:24" x14ac:dyDescent="0.2">
      <c r="B325" s="229" t="s">
        <v>77</v>
      </c>
      <c r="C325" s="280" t="s">
        <v>250</v>
      </c>
      <c r="I325" s="232"/>
      <c r="L325" s="229"/>
      <c r="M325" s="238">
        <f>SUMIFS('Forecast capex'!$X$9:$X$1940,'Forecast capex'!$AD$9:$AD$1940,$B325,'Forecast capex'!$J$9:$J$1940,M$9,'Forecast capex'!$L$9:$L$1940,$D$320)+M50</f>
        <v>4012226.8432107787</v>
      </c>
      <c r="N325" s="238">
        <f>SUMIFS('Forecast capex'!$X$9:$X$1940,'Forecast capex'!$AD$9:$AD$1940,$B325,'Forecast capex'!$J$9:$J$1940,N$9,'Forecast capex'!$L$9:$L$1940,$D$320)+N50</f>
        <v>4126910.0164119196</v>
      </c>
      <c r="O325" s="238">
        <f>SUMIFS('Forecast capex'!$X$9:$X$1940,'Forecast capex'!$AD$9:$AD$1940,$B325,'Forecast capex'!$J$9:$J$1940,O$9,'Forecast capex'!$L$9:$L$1940,$D$320)+O50</f>
        <v>2939916.0465405788</v>
      </c>
      <c r="P325" s="238">
        <f>SUMIFS('Forecast capex'!$X$9:$X$1940,'Forecast capex'!$AD$9:$AD$1940,$B325,'Forecast capex'!$J$9:$J$1940,P$9,'Forecast capex'!$L$9:$L$1940,$D$320)+P50</f>
        <v>2364865.0485301982</v>
      </c>
      <c r="Q325" s="238">
        <f>SUMIFS('Forecast capex'!$X$9:$X$1940,'Forecast capex'!$AD$9:$AD$1940,$B325,'Forecast capex'!$J$9:$J$1940,Q$9,'Forecast capex'!$L$9:$L$1940,$D$320)+Q50</f>
        <v>4614890.1494707316</v>
      </c>
      <c r="R325" s="238">
        <f>SUMIFS('Forecast capex'!$X$9:$X$1940,'Forecast capex'!$AD$9:$AD$1940,$B325,'Forecast capex'!$J$9:$J$1940,R$9,'Forecast capex'!$L$9:$L$1940,$D$320)+R50</f>
        <v>3222185.2814589962</v>
      </c>
      <c r="S325" s="238">
        <f>SUMIFS('Forecast capex'!$X$9:$X$1940,'Forecast capex'!$AD$9:$AD$1940,$B325,'Forecast capex'!$J$9:$J$1940,S$9,'Forecast capex'!$L$9:$L$1940,$D$320)+S50</f>
        <v>3367858.6862303312</v>
      </c>
      <c r="T325" s="229"/>
      <c r="U325" s="229"/>
      <c r="V325" s="229"/>
      <c r="W325" s="229"/>
      <c r="X325" s="229"/>
    </row>
    <row r="326" spans="2:24" x14ac:dyDescent="0.2">
      <c r="B326" s="232" t="s">
        <v>100</v>
      </c>
      <c r="C326" s="280" t="s">
        <v>250</v>
      </c>
      <c r="I326" s="232"/>
      <c r="L326" s="229"/>
      <c r="M326" s="238">
        <f>SUMIFS('Forecast capex'!$X$9:$X$1940,'Forecast capex'!$AD$9:$AD$1940,$B326,'Forecast capex'!$J$9:$J$1940,M$9,'Forecast capex'!$L$9:$L$1940,$D$320)+M51</f>
        <v>34308575.668929659</v>
      </c>
      <c r="N326" s="238">
        <f>SUMIFS('Forecast capex'!$X$9:$X$1940,'Forecast capex'!$AD$9:$AD$1940,$B326,'Forecast capex'!$J$9:$J$1940,N$9,'Forecast capex'!$L$9:$L$1940,$D$320)+N51</f>
        <v>46914018.791752264</v>
      </c>
      <c r="O326" s="238">
        <f>SUMIFS('Forecast capex'!$X$9:$X$1940,'Forecast capex'!$AD$9:$AD$1940,$B326,'Forecast capex'!$J$9:$J$1940,O$9,'Forecast capex'!$L$9:$L$1940,$D$320)+O51</f>
        <v>53989418.095965751</v>
      </c>
      <c r="P326" s="238">
        <f>SUMIFS('Forecast capex'!$X$9:$X$1940,'Forecast capex'!$AD$9:$AD$1940,$B326,'Forecast capex'!$J$9:$J$1940,P$9,'Forecast capex'!$L$9:$L$1940,$D$320)+P51</f>
        <v>55573351.314469635</v>
      </c>
      <c r="Q326" s="238">
        <f>SUMIFS('Forecast capex'!$X$9:$X$1940,'Forecast capex'!$AD$9:$AD$1940,$B326,'Forecast capex'!$J$9:$J$1940,Q$9,'Forecast capex'!$L$9:$L$1940,$D$320)+Q51</f>
        <v>55355356.267921008</v>
      </c>
      <c r="R326" s="238">
        <f>SUMIFS('Forecast capex'!$X$9:$X$1940,'Forecast capex'!$AD$9:$AD$1940,$B326,'Forecast capex'!$J$9:$J$1940,R$9,'Forecast capex'!$L$9:$L$1940,$D$320)+R51</f>
        <v>52067413.255333759</v>
      </c>
      <c r="S326" s="238">
        <f>SUMIFS('Forecast capex'!$X$9:$X$1940,'Forecast capex'!$AD$9:$AD$1940,$B326,'Forecast capex'!$J$9:$J$1940,S$9,'Forecast capex'!$L$9:$L$1940,$D$320)+S51</f>
        <v>45851953.782996222</v>
      </c>
      <c r="T326" s="229"/>
      <c r="U326" s="229"/>
      <c r="V326" s="229"/>
      <c r="W326" s="229"/>
      <c r="X326" s="229"/>
    </row>
    <row r="327" spans="2:24" x14ac:dyDescent="0.2">
      <c r="B327" s="229" t="s">
        <v>93</v>
      </c>
      <c r="C327" s="280" t="s">
        <v>250</v>
      </c>
      <c r="I327" s="232"/>
      <c r="L327" s="229"/>
      <c r="M327" s="238">
        <f>SUMIFS('Forecast capex'!$X$9:$X$1940,'Forecast capex'!$AD$9:$AD$1940,$B327,'Forecast capex'!$J$9:$J$1940,M$9,'Forecast capex'!$L$9:$L$1940,$D$320)+M52</f>
        <v>1252309.0741230561</v>
      </c>
      <c r="N327" s="238">
        <f>SUMIFS('Forecast capex'!$X$9:$X$1940,'Forecast capex'!$AD$9:$AD$1940,$B327,'Forecast capex'!$J$9:$J$1940,N$9,'Forecast capex'!$L$9:$L$1940,$D$320)+N52</f>
        <v>1961955.5449661762</v>
      </c>
      <c r="O327" s="238">
        <f>SUMIFS('Forecast capex'!$X$9:$X$1940,'Forecast capex'!$AD$9:$AD$1940,$B327,'Forecast capex'!$J$9:$J$1940,O$9,'Forecast capex'!$L$9:$L$1940,$D$320)+O52</f>
        <v>1889162.128563852</v>
      </c>
      <c r="P327" s="238">
        <f>SUMIFS('Forecast capex'!$X$9:$X$1940,'Forecast capex'!$AD$9:$AD$1940,$B327,'Forecast capex'!$J$9:$J$1940,P$9,'Forecast capex'!$L$9:$L$1940,$D$320)+P52</f>
        <v>1929199.0304866058</v>
      </c>
      <c r="Q327" s="238">
        <f>SUMIFS('Forecast capex'!$X$9:$X$1940,'Forecast capex'!$AD$9:$AD$1940,$B327,'Forecast capex'!$J$9:$J$1940,Q$9,'Forecast capex'!$L$9:$L$1940,$D$320)+Q52</f>
        <v>1963116.8272179489</v>
      </c>
      <c r="R327" s="238">
        <f>SUMIFS('Forecast capex'!$X$9:$X$1940,'Forecast capex'!$AD$9:$AD$1940,$B327,'Forecast capex'!$J$9:$J$1940,R$9,'Forecast capex'!$L$9:$L$1940,$D$320)+R52</f>
        <v>2004975.6433849081</v>
      </c>
      <c r="S327" s="238">
        <f>SUMIFS('Forecast capex'!$X$9:$X$1940,'Forecast capex'!$AD$9:$AD$1940,$B327,'Forecast capex'!$J$9:$J$1940,S$9,'Forecast capex'!$L$9:$L$1940,$D$320)+S52</f>
        <v>2047991.7682119815</v>
      </c>
      <c r="T327" s="229"/>
      <c r="U327" s="229"/>
      <c r="V327" s="229"/>
      <c r="W327" s="229"/>
      <c r="X327" s="229"/>
    </row>
    <row r="328" spans="2:24" outlineLevel="1" x14ac:dyDescent="0.2">
      <c r="B328" s="232" t="s">
        <v>97</v>
      </c>
      <c r="C328" s="280" t="s">
        <v>250</v>
      </c>
      <c r="I328" s="232"/>
      <c r="L328" s="229"/>
      <c r="M328" s="238">
        <f>SUMIFS('Forecast capex'!$X$9:$X$1940,'Forecast capex'!$AD$9:$AD$1940,$B328,'Forecast capex'!$J$9:$J$1940,M$9,'Forecast capex'!$L$9:$L$1940,$D$320)</f>
        <v>1157459.3187561035</v>
      </c>
      <c r="N328" s="238">
        <f>SUMIFS('Forecast capex'!$X$9:$X$1940,'Forecast capex'!$AD$9:$AD$1940,$B328,'Forecast capex'!$J$9:$J$1940,N$9,'Forecast capex'!$L$9:$L$1940,$D$320)</f>
        <v>241327.9268997928</v>
      </c>
      <c r="O328" s="238">
        <f>SUMIFS('Forecast capex'!$X$9:$X$1940,'Forecast capex'!$AD$9:$AD$1940,$B328,'Forecast capex'!$J$9:$J$1940,O$9,'Forecast capex'!$L$9:$L$1940,$D$320)</f>
        <v>451703.12868227664</v>
      </c>
      <c r="P328" s="238">
        <f>SUMIFS('Forecast capex'!$X$9:$X$1940,'Forecast capex'!$AD$9:$AD$1940,$B328,'Forecast capex'!$J$9:$J$1940,P$9,'Forecast capex'!$L$9:$L$1940,$D$320)</f>
        <v>459264.26766978065</v>
      </c>
      <c r="Q328" s="238">
        <f>SUMIFS('Forecast capex'!$X$9:$X$1940,'Forecast capex'!$AD$9:$AD$1940,$B328,'Forecast capex'!$J$9:$J$1940,Q$9,'Forecast capex'!$L$9:$L$1940,$D$320)</f>
        <v>230001.40349560752</v>
      </c>
      <c r="R328" s="238">
        <f>SUMIFS('Forecast capex'!$X$9:$X$1940,'Forecast capex'!$AD$9:$AD$1940,$B328,'Forecast capex'!$J$9:$J$1940,R$9,'Forecast capex'!$L$9:$L$1940,$D$320)</f>
        <v>936328.39434401295</v>
      </c>
      <c r="S328" s="238">
        <f>SUMIFS('Forecast capex'!$X$9:$X$1940,'Forecast capex'!$AD$9:$AD$1940,$B328,'Forecast capex'!$J$9:$J$1940,S$9,'Forecast capex'!$L$9:$L$1940,$D$320)</f>
        <v>715386.83735676634</v>
      </c>
      <c r="T328" s="229"/>
      <c r="U328" s="229"/>
      <c r="V328" s="229"/>
      <c r="W328" s="229"/>
      <c r="X328" s="229"/>
    </row>
    <row r="329" spans="2:24" outlineLevel="1" x14ac:dyDescent="0.2">
      <c r="B329" s="232" t="s">
        <v>121</v>
      </c>
      <c r="C329" s="280" t="s">
        <v>250</v>
      </c>
      <c r="I329" s="232"/>
      <c r="L329" s="229"/>
      <c r="M329" s="238">
        <f>SUMIFS('Forecast capex'!$X$9:$X$1940,'Forecast capex'!$AD$9:$AD$1940,$B329,'Forecast capex'!$J$9:$J$1940,M$9,'Forecast capex'!$L$9:$L$1940,$D$320)</f>
        <v>0</v>
      </c>
      <c r="N329" s="238">
        <f>SUMIFS('Forecast capex'!$X$9:$X$1940,'Forecast capex'!$AD$9:$AD$1940,$B329,'Forecast capex'!$J$9:$J$1940,N$9,'Forecast capex'!$L$9:$L$1940,$D$320)</f>
        <v>0</v>
      </c>
      <c r="O329" s="238">
        <f>SUMIFS('Forecast capex'!$X$9:$X$1940,'Forecast capex'!$AD$9:$AD$1940,$B329,'Forecast capex'!$J$9:$J$1940,O$9,'Forecast capex'!$L$9:$L$1940,$D$320)</f>
        <v>0</v>
      </c>
      <c r="P329" s="238">
        <f>SUMIFS('Forecast capex'!$X$9:$X$1940,'Forecast capex'!$AD$9:$AD$1940,$B329,'Forecast capex'!$J$9:$J$1940,P$9,'Forecast capex'!$L$9:$L$1940,$D$320)</f>
        <v>0</v>
      </c>
      <c r="Q329" s="238">
        <f>SUMIFS('Forecast capex'!$X$9:$X$1940,'Forecast capex'!$AD$9:$AD$1940,$B329,'Forecast capex'!$J$9:$J$1940,Q$9,'Forecast capex'!$L$9:$L$1940,$D$320)</f>
        <v>0</v>
      </c>
      <c r="R329" s="238">
        <f>SUMIFS('Forecast capex'!$X$9:$X$1940,'Forecast capex'!$AD$9:$AD$1940,$B329,'Forecast capex'!$J$9:$J$1940,R$9,'Forecast capex'!$L$9:$L$1940,$D$320)</f>
        <v>0</v>
      </c>
      <c r="S329" s="238">
        <f>SUMIFS('Forecast capex'!$X$9:$X$1940,'Forecast capex'!$AD$9:$AD$1940,$B329,'Forecast capex'!$J$9:$J$1940,S$9,'Forecast capex'!$L$9:$L$1940,$D$320)</f>
        <v>0</v>
      </c>
      <c r="T329" s="229"/>
      <c r="U329" s="229"/>
      <c r="V329" s="229"/>
      <c r="W329" s="229"/>
      <c r="X329" s="229"/>
    </row>
    <row r="330" spans="2:24" outlineLevel="1" x14ac:dyDescent="0.2">
      <c r="B330" s="232" t="s">
        <v>122</v>
      </c>
      <c r="C330" s="280" t="s">
        <v>250</v>
      </c>
      <c r="D330" s="243"/>
      <c r="E330" s="243"/>
      <c r="F330" s="243"/>
      <c r="G330" s="243"/>
      <c r="H330" s="243"/>
      <c r="I330" s="243"/>
      <c r="J330" s="243"/>
      <c r="K330" s="243"/>
      <c r="L330" s="288"/>
      <c r="M330" s="238">
        <f>SUMIFS('Forecast capex'!$X$9:$X$1940,'Forecast capex'!$AD$9:$AD$1940,$B330,'Forecast capex'!$J$9:$J$1940,M$9,'Forecast capex'!$L$9:$L$1940,$D$320)</f>
        <v>0</v>
      </c>
      <c r="N330" s="238">
        <f>SUMIFS('Forecast capex'!$X$9:$X$1940,'Forecast capex'!$AD$9:$AD$1940,$B330,'Forecast capex'!$J$9:$J$1940,N$9,'Forecast capex'!$L$9:$L$1940,$D$320)</f>
        <v>0</v>
      </c>
      <c r="O330" s="238">
        <f>SUMIFS('Forecast capex'!$X$9:$X$1940,'Forecast capex'!$AD$9:$AD$1940,$B330,'Forecast capex'!$J$9:$J$1940,O$9,'Forecast capex'!$L$9:$L$1940,$D$320)</f>
        <v>0</v>
      </c>
      <c r="P330" s="238">
        <f>SUMIFS('Forecast capex'!$X$9:$X$1940,'Forecast capex'!$AD$9:$AD$1940,$B330,'Forecast capex'!$J$9:$J$1940,P$9,'Forecast capex'!$L$9:$L$1940,$D$320)</f>
        <v>0</v>
      </c>
      <c r="Q330" s="238">
        <f>SUMIFS('Forecast capex'!$X$9:$X$1940,'Forecast capex'!$AD$9:$AD$1940,$B330,'Forecast capex'!$J$9:$J$1940,Q$9,'Forecast capex'!$L$9:$L$1940,$D$320)</f>
        <v>0</v>
      </c>
      <c r="R330" s="238">
        <f>SUMIFS('Forecast capex'!$X$9:$X$1940,'Forecast capex'!$AD$9:$AD$1940,$B330,'Forecast capex'!$J$9:$J$1940,R$9,'Forecast capex'!$L$9:$L$1940,$D$320)</f>
        <v>0</v>
      </c>
      <c r="S330" s="238">
        <f>SUMIFS('Forecast capex'!$X$9:$X$1940,'Forecast capex'!$AD$9:$AD$1940,$B330,'Forecast capex'!$J$9:$J$1940,S$9,'Forecast capex'!$L$9:$L$1940,$D$320)</f>
        <v>0</v>
      </c>
      <c r="T330" s="229"/>
      <c r="U330" s="229"/>
      <c r="V330" s="229"/>
      <c r="W330" s="229"/>
      <c r="X330" s="229"/>
    </row>
    <row r="331" spans="2:24" outlineLevel="1" x14ac:dyDescent="0.2">
      <c r="B331" s="232" t="s">
        <v>491</v>
      </c>
      <c r="C331" s="280" t="s">
        <v>250</v>
      </c>
      <c r="D331" s="243"/>
      <c r="E331" s="243"/>
      <c r="F331" s="243"/>
      <c r="G331" s="243"/>
      <c r="H331" s="243"/>
      <c r="I331" s="243"/>
      <c r="J331" s="243"/>
      <c r="K331" s="243"/>
      <c r="L331" s="288"/>
      <c r="M331" s="238">
        <f t="shared" ref="M331:S331" si="102">SUM(M229:M230)</f>
        <v>9391.2106864539983</v>
      </c>
      <c r="N331" s="238">
        <f t="shared" si="102"/>
        <v>1811.0990437309124</v>
      </c>
      <c r="O331" s="238">
        <f t="shared" si="102"/>
        <v>2816.4432046154593</v>
      </c>
      <c r="P331" s="238">
        <f t="shared" si="102"/>
        <v>2844.4640039328078</v>
      </c>
      <c r="Q331" s="238">
        <f t="shared" si="102"/>
        <v>1368.5806326030827</v>
      </c>
      <c r="R331" s="238">
        <f t="shared" si="102"/>
        <v>5466.9600406279842</v>
      </c>
      <c r="S331" s="238">
        <f t="shared" si="102"/>
        <v>4165.1151208527481</v>
      </c>
      <c r="T331" s="229"/>
      <c r="U331" s="229"/>
      <c r="V331" s="229"/>
      <c r="W331" s="229"/>
      <c r="X331" s="229"/>
    </row>
    <row r="332" spans="2:24" s="243" customFormat="1" x14ac:dyDescent="0.2">
      <c r="B332" s="232" t="s">
        <v>270</v>
      </c>
      <c r="C332" s="280" t="s">
        <v>250</v>
      </c>
      <c r="L332" s="288"/>
      <c r="M332" s="238">
        <f t="shared" ref="M332:S332" si="103">SUM(M328:M331)</f>
        <v>1166850.5294425576</v>
      </c>
      <c r="N332" s="238">
        <f t="shared" si="103"/>
        <v>243139.02594352371</v>
      </c>
      <c r="O332" s="238">
        <f t="shared" si="103"/>
        <v>454519.57188689208</v>
      </c>
      <c r="P332" s="238">
        <f t="shared" si="103"/>
        <v>462108.73167371342</v>
      </c>
      <c r="Q332" s="238">
        <f t="shared" si="103"/>
        <v>231369.98412821061</v>
      </c>
      <c r="R332" s="238">
        <f t="shared" si="103"/>
        <v>941795.35438464093</v>
      </c>
      <c r="S332" s="238">
        <f t="shared" si="103"/>
        <v>719551.95247761905</v>
      </c>
      <c r="T332" s="288"/>
      <c r="U332" s="288"/>
      <c r="V332" s="288"/>
      <c r="W332" s="288"/>
      <c r="X332" s="288"/>
    </row>
    <row r="333" spans="2:24" x14ac:dyDescent="0.2">
      <c r="B333" s="232" t="s">
        <v>274</v>
      </c>
      <c r="C333" s="280" t="s">
        <v>250</v>
      </c>
      <c r="L333" s="229"/>
      <c r="M333" s="238">
        <f>SUMIFS('Forecast capex'!$X$9:$X$1940,'Forecast capex'!$AD$9:$AD$1940,$B333,'Forecast capex'!$J$9:$J$1940,M$9,'Forecast capex'!$L$9:$L$1940,$D$320)+SUM(M249:M250)</f>
        <v>8684525.0606849361</v>
      </c>
      <c r="N333" s="238">
        <f>SUMIFS('Forecast capex'!$X$9:$X$1940,'Forecast capex'!$AD$9:$AD$1940,$B333,'Forecast capex'!$J$9:$J$1940,N$9,'Forecast capex'!$L$9:$L$1940,$D$320)+SUM(N249:N250)</f>
        <v>4576191.664113489</v>
      </c>
      <c r="O333" s="238">
        <f>SUMIFS('Forecast capex'!$X$9:$X$1940,'Forecast capex'!$AD$9:$AD$1940,$B333,'Forecast capex'!$J$9:$J$1940,O$9,'Forecast capex'!$L$9:$L$1940,$D$320)+SUM(O249:O250)</f>
        <v>6662247.6366175711</v>
      </c>
      <c r="P333" s="238">
        <f>SUMIFS('Forecast capex'!$X$9:$X$1940,'Forecast capex'!$AD$9:$AD$1940,$B333,'Forecast capex'!$J$9:$J$1940,P$9,'Forecast capex'!$L$9:$L$1940,$D$320)+SUM(P249:P250)</f>
        <v>3082617.4714649422</v>
      </c>
      <c r="Q333" s="238">
        <f>SUMIFS('Forecast capex'!$X$9:$X$1940,'Forecast capex'!$AD$9:$AD$1940,$B333,'Forecast capex'!$J$9:$J$1940,Q$9,'Forecast capex'!$L$9:$L$1940,$D$320)+SUM(Q249:Q250)</f>
        <v>2959143.139182603</v>
      </c>
      <c r="R333" s="238">
        <f>SUMIFS('Forecast capex'!$X$9:$X$1940,'Forecast capex'!$AD$9:$AD$1940,$B333,'Forecast capex'!$J$9:$J$1940,R$9,'Forecast capex'!$L$9:$L$1940,$D$320)+SUM(R249:R250)</f>
        <v>2454401.7461651475</v>
      </c>
      <c r="S333" s="238">
        <f>SUMIFS('Forecast capex'!$X$9:$X$1940,'Forecast capex'!$AD$9:$AD$1940,$B333,'Forecast capex'!$J$9:$J$1940,S$9,'Forecast capex'!$L$9:$L$1940,$D$320)+SUM(S249:S250)</f>
        <v>2301884.7039042301</v>
      </c>
      <c r="T333" s="229"/>
      <c r="U333" s="229"/>
      <c r="V333" s="229"/>
      <c r="W333" s="229"/>
      <c r="X333" s="229"/>
    </row>
    <row r="334" spans="2:24" x14ac:dyDescent="0.2">
      <c r="C334" s="280"/>
      <c r="L334" s="229"/>
      <c r="M334" s="238"/>
      <c r="N334" s="238"/>
      <c r="O334" s="238"/>
      <c r="P334" s="238"/>
      <c r="Q334" s="238"/>
      <c r="R334" s="238"/>
      <c r="S334" s="238"/>
      <c r="T334" s="229"/>
      <c r="U334" s="229"/>
      <c r="V334" s="229"/>
      <c r="W334" s="229"/>
      <c r="X334" s="229"/>
    </row>
    <row r="335" spans="2:24" x14ac:dyDescent="0.2">
      <c r="B335" s="304" t="s">
        <v>492</v>
      </c>
      <c r="D335" s="230"/>
      <c r="M335" s="229"/>
      <c r="N335" s="229"/>
      <c r="O335" s="229"/>
      <c r="P335" s="229"/>
      <c r="Q335" s="229"/>
      <c r="R335" s="229"/>
      <c r="S335" s="229"/>
    </row>
    <row r="336" spans="2:24" x14ac:dyDescent="0.2">
      <c r="M336" s="229"/>
      <c r="N336" s="229"/>
      <c r="O336" s="229"/>
      <c r="P336" s="229"/>
      <c r="Q336" s="229"/>
      <c r="R336" s="229"/>
      <c r="S336" s="229"/>
    </row>
    <row r="337" spans="2:19" x14ac:dyDescent="0.2">
      <c r="B337" s="229" t="s">
        <v>95</v>
      </c>
      <c r="C337" s="280" t="s">
        <v>250</v>
      </c>
      <c r="I337" s="232"/>
      <c r="L337" s="229"/>
      <c r="M337" s="345">
        <f>('Commissioned assets summary'!M162+'Commissioned assets summary'!M370)+('Commissioned assets summary'!M182+'Commissioned assets summary'!M390)</f>
        <v>10274370.218743157</v>
      </c>
      <c r="N337" s="345">
        <f>('Commissioned assets summary'!N162+'Commissioned assets summary'!N370)+('Commissioned assets summary'!N182+'Commissioned assets summary'!N390)</f>
        <v>11606470.837634368</v>
      </c>
      <c r="O337" s="345">
        <f>('Commissioned assets summary'!O162+'Commissioned assets summary'!O370)+('Commissioned assets summary'!O182+'Commissioned assets summary'!O390)</f>
        <v>8567979.2880920023</v>
      </c>
      <c r="P337" s="345">
        <f>('Commissioned assets summary'!P162+'Commissioned assets summary'!P370)+('Commissioned assets summary'!P182+'Commissioned assets summary'!P390)</f>
        <v>7448365.548491803</v>
      </c>
      <c r="Q337" s="345">
        <f>('Commissioned assets summary'!Q162+'Commissioned assets summary'!Q370)+('Commissioned assets summary'!Q182+'Commissioned assets summary'!Q390)</f>
        <v>9767898.2754648961</v>
      </c>
      <c r="R337" s="345">
        <f>('Commissioned assets summary'!R162+'Commissioned assets summary'!R370)+('Commissioned assets summary'!R182+'Commissioned assets summary'!R390)</f>
        <v>12003540.348220523</v>
      </c>
      <c r="S337" s="345">
        <f>('Commissioned assets summary'!S162+'Commissioned assets summary'!S370)+('Commissioned assets summary'!S182+'Commissioned assets summary'!S390)</f>
        <v>14439740.647106592</v>
      </c>
    </row>
    <row r="338" spans="2:19" x14ac:dyDescent="0.2">
      <c r="B338" s="229" t="s">
        <v>77</v>
      </c>
      <c r="C338" s="280" t="s">
        <v>250</v>
      </c>
      <c r="I338" s="232"/>
      <c r="L338" s="229"/>
      <c r="M338" s="345">
        <f>('Commissioned assets summary'!M163+'Commissioned assets summary'!M371)+('Commissioned assets summary'!M183+'Commissioned assets summary'!M391)</f>
        <v>3626495.9399787439</v>
      </c>
      <c r="N338" s="345">
        <f>('Commissioned assets summary'!N163+'Commissioned assets summary'!N371)+('Commissioned assets summary'!N183+'Commissioned assets summary'!N391)</f>
        <v>4158033.8030176382</v>
      </c>
      <c r="O338" s="345">
        <f>('Commissioned assets summary'!O163+'Commissioned assets summary'!O371)+('Commissioned assets summary'!O183+'Commissioned assets summary'!O391)</f>
        <v>3149518.7928277878</v>
      </c>
      <c r="P338" s="345">
        <f>('Commissioned assets summary'!P163+'Commissioned assets summary'!P371)+('Commissioned assets summary'!P183+'Commissioned assets summary'!P391)</f>
        <v>2399978.782722726</v>
      </c>
      <c r="Q338" s="345">
        <f>('Commissioned assets summary'!Q163+'Commissioned assets summary'!Q371)+('Commissioned assets summary'!Q183+'Commissioned assets summary'!Q391)</f>
        <v>4546695.3610023046</v>
      </c>
      <c r="R338" s="345">
        <f>('Commissioned assets summary'!R163+'Commissioned assets summary'!R371)+('Commissioned assets summary'!R183+'Commissioned assets summary'!R391)</f>
        <v>3293388.1894424241</v>
      </c>
      <c r="S338" s="345">
        <f>('Commissioned assets summary'!S163+'Commissioned assets summary'!S371)+('Commissioned assets summary'!S183+'Commissioned assets summary'!S391)</f>
        <v>3492959.3870543083</v>
      </c>
    </row>
    <row r="339" spans="2:19" x14ac:dyDescent="0.2">
      <c r="B339" s="232" t="s">
        <v>100</v>
      </c>
      <c r="C339" s="280" t="s">
        <v>250</v>
      </c>
      <c r="I339" s="232"/>
      <c r="L339" s="229"/>
      <c r="M339" s="345">
        <f>('Commissioned assets summary'!M164+'Commissioned assets summary'!M372)+('Commissioned assets summary'!M184+'Commissioned assets summary'!M392)</f>
        <v>31198372.03991292</v>
      </c>
      <c r="N339" s="345">
        <f>('Commissioned assets summary'!N164+'Commissioned assets summary'!N372)+('Commissioned assets summary'!N184+'Commissioned assets summary'!N392)</f>
        <v>47343934.855393395</v>
      </c>
      <c r="O339" s="345">
        <f>('Commissioned assets summary'!O164+'Commissioned assets summary'!O372)+('Commissioned assets summary'!O184+'Commissioned assets summary'!O392)</f>
        <v>57938569.173604295</v>
      </c>
      <c r="P339" s="345">
        <f>('Commissioned assets summary'!P164+'Commissioned assets summary'!P372)+('Commissioned assets summary'!P184+'Commissioned assets summary'!P392)</f>
        <v>56381470.464580446</v>
      </c>
      <c r="Q339" s="345">
        <f>('Commissioned assets summary'!Q164+'Commissioned assets summary'!Q372)+('Commissioned assets summary'!Q184+'Commissioned assets summary'!Q392)</f>
        <v>54513207.668103248</v>
      </c>
      <c r="R339" s="345">
        <f>('Commissioned assets summary'!R164+'Commissioned assets summary'!R372)+('Commissioned assets summary'!R184+'Commissioned assets summary'!R392)</f>
        <v>53190843.595507227</v>
      </c>
      <c r="S339" s="345">
        <f>('Commissioned assets summary'!S164+'Commissioned assets summary'!S372)+('Commissioned assets summary'!S184+'Commissioned assets summary'!S392)</f>
        <v>47540303.939542942</v>
      </c>
    </row>
    <row r="340" spans="2:19" x14ac:dyDescent="0.2">
      <c r="B340" s="229" t="s">
        <v>93</v>
      </c>
      <c r="C340" s="280" t="s">
        <v>250</v>
      </c>
      <c r="I340" s="232"/>
      <c r="L340" s="229"/>
      <c r="M340" s="345">
        <f>('Commissioned assets summary'!M165+'Commissioned assets summary'!M373)+('Commissioned assets summary'!M185+'Commissioned assets summary'!M393)</f>
        <v>1014429.9224545344</v>
      </c>
      <c r="N340" s="345">
        <f>('Commissioned assets summary'!N165+'Commissioned assets summary'!N373)+('Commissioned assets summary'!N185+'Commissioned assets summary'!N393)</f>
        <v>2453715.3538034735</v>
      </c>
      <c r="O340" s="345">
        <f>('Commissioned assets summary'!O165+'Commissioned assets summary'!O373)+('Commissioned assets summary'!O185+'Commissioned assets summary'!O393)</f>
        <v>2211577.8422729354</v>
      </c>
      <c r="P340" s="345">
        <f>('Commissioned assets summary'!P165+'Commissioned assets summary'!P373)+('Commissioned assets summary'!P185+'Commissioned assets summary'!P393)</f>
        <v>1924257.0383221842</v>
      </c>
      <c r="Q340" s="345">
        <f>('Commissioned assets summary'!Q165+'Commissioned assets summary'!Q373)+('Commissioned assets summary'!Q185+'Commissioned assets summary'!Q393)</f>
        <v>1829809.8241087142</v>
      </c>
      <c r="R340" s="345">
        <f>('Commissioned assets summary'!R165+'Commissioned assets summary'!R373)+('Commissioned assets summary'!R185+'Commissioned assets summary'!R393)</f>
        <v>1952690.3113857401</v>
      </c>
      <c r="S340" s="345">
        <f>('Commissioned assets summary'!S165+'Commissioned assets summary'!S373)+('Commissioned assets summary'!S185+'Commissioned assets summary'!S393)</f>
        <v>1998365.0957650365</v>
      </c>
    </row>
    <row r="341" spans="2:19" x14ac:dyDescent="0.2">
      <c r="B341" s="232" t="s">
        <v>270</v>
      </c>
      <c r="C341" s="280" t="s">
        <v>250</v>
      </c>
      <c r="D341" s="243"/>
      <c r="E341" s="243"/>
      <c r="F341" s="243"/>
      <c r="G341" s="243"/>
      <c r="H341" s="243"/>
      <c r="I341" s="243"/>
      <c r="J341" s="243"/>
      <c r="K341" s="243"/>
      <c r="L341" s="288"/>
      <c r="M341" s="345">
        <f>('Commissioned assets summary'!M171+'Commissioned assets summary'!M379)+('Commissioned assets summary'!M191+'Commissioned assets summary'!M399)</f>
        <v>1061749.6816488639</v>
      </c>
      <c r="N341" s="345">
        <f>('Commissioned assets summary'!N171+'Commissioned assets summary'!N379)+('Commissioned assets summary'!N191+'Commissioned assets summary'!N399)</f>
        <v>245534.82592797495</v>
      </c>
      <c r="O341" s="345">
        <f>('Commissioned assets summary'!O171+'Commissioned assets summary'!O379)+('Commissioned assets summary'!O191+'Commissioned assets summary'!O399)</f>
        <v>487865.31268445903</v>
      </c>
      <c r="P341" s="345">
        <f>('Commissioned assets summary'!P171+'Commissioned assets summary'!P379)+('Commissioned assets summary'!P191+'Commissioned assets summary'!P399)</f>
        <v>468984.29857260309</v>
      </c>
      <c r="Q341" s="345">
        <f>('Commissioned assets summary'!Q171+'Commissioned assets summary'!Q379)+('Commissioned assets summary'!Q191+'Commissioned assets summary'!Q399)</f>
        <v>227957.71529116973</v>
      </c>
      <c r="R341" s="345">
        <f>('Commissioned assets summary'!R171+'Commissioned assets summary'!R379)+('Commissioned assets summary'!R191+'Commissioned assets summary'!R399)</f>
        <v>962605.51419546211</v>
      </c>
      <c r="S341" s="345">
        <f>('Commissioned assets summary'!S171+'Commissioned assets summary'!S379)+('Commissioned assets summary'!S191+'Commissioned assets summary'!S399)</f>
        <v>746267.2134033005</v>
      </c>
    </row>
    <row r="342" spans="2:19" x14ac:dyDescent="0.2">
      <c r="B342" s="232" t="s">
        <v>274</v>
      </c>
      <c r="C342" s="280" t="s">
        <v>250</v>
      </c>
      <c r="L342" s="229"/>
      <c r="M342" s="345">
        <f>('Commissioned assets summary'!M175+'Commissioned assets summary'!M383)+('Commissioned assets summary'!M195+'Commissioned assets summary'!M403)</f>
        <v>8309232.051727837</v>
      </c>
      <c r="N342" s="345">
        <f>('Commissioned assets summary'!N175+'Commissioned assets summary'!N383)+('Commissioned assets summary'!N195+'Commissioned assets summary'!N403)</f>
        <v>4604823.0016299654</v>
      </c>
      <c r="O342" s="345">
        <f>('Commissioned assets summary'!O175+'Commissioned assets summary'!O383)+('Commissioned assets summary'!O195+'Commissioned assets summary'!O403)</f>
        <v>7112850.9960859362</v>
      </c>
      <c r="P342" s="345">
        <f>('Commissioned assets summary'!P175+'Commissioned assets summary'!P383)+('Commissioned assets summary'!P195+'Commissioned assets summary'!P403)</f>
        <v>3122829.4104769421</v>
      </c>
      <c r="Q342" s="345">
        <f>('Commissioned assets summary'!Q175+'Commissioned assets summary'!Q383)+('Commissioned assets summary'!Q195+'Commissioned assets summary'!Q403)</f>
        <v>2919899.6186841857</v>
      </c>
      <c r="R342" s="345">
        <f>('Commissioned assets summary'!R175+'Commissioned assets summary'!R383)+('Commissioned assets summary'!R195+'Commissioned assets summary'!R403)</f>
        <v>2504828.855040811</v>
      </c>
      <c r="S342" s="345">
        <f>('Commissioned assets summary'!S175+'Commissioned assets summary'!S383)+('Commissioned assets summary'!S195+'Commissioned assets summary'!S403)</f>
        <v>2387358.8946668571</v>
      </c>
    </row>
    <row r="343" spans="2:19" x14ac:dyDescent="0.2">
      <c r="C343" s="280"/>
      <c r="L343" s="229"/>
      <c r="M343" s="238"/>
      <c r="N343" s="238"/>
      <c r="O343" s="238"/>
      <c r="P343" s="238"/>
      <c r="Q343" s="238"/>
      <c r="R343" s="238"/>
      <c r="S343" s="238"/>
    </row>
    <row r="344" spans="2:19" x14ac:dyDescent="0.2">
      <c r="B344" s="304" t="s">
        <v>493</v>
      </c>
      <c r="C344" s="338"/>
      <c r="D344" s="229"/>
      <c r="E344" s="229"/>
      <c r="F344" s="229"/>
      <c r="G344" s="229"/>
      <c r="H344" s="229"/>
      <c r="I344" s="230"/>
      <c r="J344" s="229"/>
      <c r="K344" s="229"/>
      <c r="L344" s="229"/>
      <c r="M344" s="229"/>
      <c r="N344" s="229"/>
      <c r="O344" s="229"/>
      <c r="P344" s="229"/>
      <c r="Q344" s="229"/>
      <c r="R344" s="229"/>
      <c r="S344" s="229"/>
    </row>
    <row r="346" spans="2:19" x14ac:dyDescent="0.2">
      <c r="B346" s="229" t="s">
        <v>95</v>
      </c>
      <c r="C346" s="280" t="s">
        <v>69</v>
      </c>
      <c r="I346" s="232"/>
      <c r="L346" s="229"/>
      <c r="M346" s="295">
        <f t="shared" ref="M346:S349" si="104">M337/M324</f>
        <v>0.71016738599577045</v>
      </c>
      <c r="N346" s="295">
        <f t="shared" si="104"/>
        <v>1.2506230384868899</v>
      </c>
      <c r="O346" s="295">
        <f t="shared" si="104"/>
        <v>1.1706199583980823</v>
      </c>
      <c r="P346" s="295">
        <f t="shared" si="104"/>
        <v>0.99739413910159702</v>
      </c>
      <c r="Q346" s="295">
        <f t="shared" si="104"/>
        <v>0.93205030888744644</v>
      </c>
      <c r="R346" s="295">
        <f t="shared" si="104"/>
        <v>0.9738742909419531</v>
      </c>
      <c r="S346" s="295">
        <f t="shared" si="104"/>
        <v>0.97571730466965667</v>
      </c>
    </row>
    <row r="347" spans="2:19" x14ac:dyDescent="0.2">
      <c r="B347" s="229" t="s">
        <v>77</v>
      </c>
      <c r="C347" s="280" t="s">
        <v>69</v>
      </c>
      <c r="I347" s="232"/>
      <c r="L347" s="229"/>
      <c r="M347" s="295">
        <f t="shared" si="104"/>
        <v>0.90386114287512365</v>
      </c>
      <c r="N347" s="295">
        <f t="shared" si="104"/>
        <v>1.0075416683382834</v>
      </c>
      <c r="O347" s="295">
        <f t="shared" si="104"/>
        <v>1.0712954870033959</v>
      </c>
      <c r="P347" s="295">
        <f t="shared" si="104"/>
        <v>1.0148480921625322</v>
      </c>
      <c r="Q347" s="295">
        <f t="shared" si="104"/>
        <v>0.98522287936230768</v>
      </c>
      <c r="R347" s="295">
        <f t="shared" si="104"/>
        <v>1.0220977075381548</v>
      </c>
      <c r="S347" s="295">
        <f t="shared" si="104"/>
        <v>1.0371454720874893</v>
      </c>
    </row>
    <row r="348" spans="2:19" x14ac:dyDescent="0.2">
      <c r="B348" s="232" t="s">
        <v>100</v>
      </c>
      <c r="C348" s="280" t="s">
        <v>69</v>
      </c>
      <c r="I348" s="232"/>
      <c r="L348" s="229"/>
      <c r="M348" s="295">
        <f t="shared" si="104"/>
        <v>0.90934617458242706</v>
      </c>
      <c r="N348" s="295">
        <f t="shared" si="104"/>
        <v>1.0091639146403018</v>
      </c>
      <c r="O348" s="295">
        <f t="shared" si="104"/>
        <v>1.0731467612897578</v>
      </c>
      <c r="P348" s="295">
        <f t="shared" si="104"/>
        <v>1.0145414867197402</v>
      </c>
      <c r="Q348" s="295">
        <f t="shared" si="104"/>
        <v>0.9847865020370975</v>
      </c>
      <c r="R348" s="295">
        <f t="shared" si="104"/>
        <v>1.0215764577100128</v>
      </c>
      <c r="S348" s="295">
        <f t="shared" si="104"/>
        <v>1.0368217713150716</v>
      </c>
    </row>
    <row r="349" spans="2:19" x14ac:dyDescent="0.2">
      <c r="B349" s="229" t="s">
        <v>93</v>
      </c>
      <c r="C349" s="280" t="s">
        <v>69</v>
      </c>
      <c r="I349" s="232"/>
      <c r="L349" s="229"/>
      <c r="M349" s="295">
        <f t="shared" si="104"/>
        <v>0.81004757005765582</v>
      </c>
      <c r="N349" s="295">
        <f t="shared" si="104"/>
        <v>1.2506477835846048</v>
      </c>
      <c r="O349" s="295">
        <f t="shared" si="104"/>
        <v>1.1706659840540976</v>
      </c>
      <c r="P349" s="295">
        <f t="shared" si="104"/>
        <v>0.99743831917478465</v>
      </c>
      <c r="Q349" s="295">
        <f t="shared" si="104"/>
        <v>0.93209420791418107</v>
      </c>
      <c r="R349" s="295">
        <f t="shared" si="104"/>
        <v>0.97392221088985542</v>
      </c>
      <c r="S349" s="295">
        <f t="shared" si="104"/>
        <v>0.97576812894601039</v>
      </c>
    </row>
    <row r="350" spans="2:19" x14ac:dyDescent="0.2">
      <c r="B350" s="232" t="s">
        <v>270</v>
      </c>
      <c r="C350" s="280" t="s">
        <v>69</v>
      </c>
      <c r="D350" s="243"/>
      <c r="E350" s="243"/>
      <c r="F350" s="243"/>
      <c r="G350" s="243"/>
      <c r="H350" s="243"/>
      <c r="I350" s="243"/>
      <c r="J350" s="243"/>
      <c r="K350" s="243"/>
      <c r="L350" s="288"/>
      <c r="M350" s="295">
        <f t="shared" ref="M350:S351" si="105">M341/M332</f>
        <v>0.90992775411954119</v>
      </c>
      <c r="N350" s="295">
        <f t="shared" si="105"/>
        <v>1.0098536217094485</v>
      </c>
      <c r="O350" s="295">
        <f t="shared" si="105"/>
        <v>1.0733648072824136</v>
      </c>
      <c r="P350" s="295">
        <f t="shared" si="105"/>
        <v>1.0148786777388668</v>
      </c>
      <c r="Q350" s="295">
        <f t="shared" si="105"/>
        <v>0.98525189492535903</v>
      </c>
      <c r="R350" s="295">
        <f t="shared" si="105"/>
        <v>1.0220962650897958</v>
      </c>
      <c r="S350" s="295">
        <f t="shared" si="105"/>
        <v>1.0371276331523989</v>
      </c>
    </row>
    <row r="351" spans="2:19" x14ac:dyDescent="0.2">
      <c r="B351" s="232" t="s">
        <v>274</v>
      </c>
      <c r="C351" s="280" t="s">
        <v>69</v>
      </c>
      <c r="L351" s="229"/>
      <c r="M351" s="295">
        <f t="shared" si="105"/>
        <v>0.95678600656516499</v>
      </c>
      <c r="N351" s="295">
        <f t="shared" si="105"/>
        <v>1.0062565861786348</v>
      </c>
      <c r="O351" s="295">
        <f t="shared" si="105"/>
        <v>1.0676353363077835</v>
      </c>
      <c r="P351" s="295">
        <f t="shared" si="105"/>
        <v>1.0130447385652719</v>
      </c>
      <c r="Q351" s="295">
        <f t="shared" si="105"/>
        <v>0.98673821486403068</v>
      </c>
      <c r="R351" s="295">
        <f t="shared" si="105"/>
        <v>1.0205455805898334</v>
      </c>
      <c r="S351" s="295">
        <f t="shared" si="105"/>
        <v>1.0371322641041292</v>
      </c>
    </row>
  </sheetData>
  <sheetProtection algorithmName="SHA-512" hashValue="Fd5//OwvNdKGYetIrnNKGbzEmtUtK0GfGf6zzvr4qH2PAbBdgE1Aod66ljeSa2BwJT+xp7PHdtwEFd/VZPoMHg==" saltValue="TdXkn6x1kmQZNpqmre8TOg==" spinCount="100000" sheet="1" objects="1" scenarios="1"/>
  <conditionalFormatting sqref="C2">
    <cfRule type="expression" dxfId="129" priority="127">
      <formula>Model_check&lt;&gt;0</formula>
    </cfRule>
    <cfRule type="expression" dxfId="128" priority="128">
      <formula>Model_check=0</formula>
    </cfRule>
  </conditionalFormatting>
  <conditionalFormatting sqref="M26:S27">
    <cfRule type="cellIs" dxfId="127" priority="93" stopIfTrue="1" operator="equal">
      <formula>0</formula>
    </cfRule>
    <cfRule type="cellIs" dxfId="126" priority="94" stopIfTrue="1" operator="notEqual">
      <formula>0</formula>
    </cfRule>
  </conditionalFormatting>
  <conditionalFormatting sqref="M56:S57">
    <cfRule type="cellIs" dxfId="125" priority="91" stopIfTrue="1" operator="equal">
      <formula>0</formula>
    </cfRule>
    <cfRule type="cellIs" dxfId="124" priority="92" stopIfTrue="1" operator="notEqual">
      <formula>0</formula>
    </cfRule>
  </conditionalFormatting>
  <conditionalFormatting sqref="M66:S67">
    <cfRule type="cellIs" dxfId="123" priority="89" stopIfTrue="1" operator="equal">
      <formula>0</formula>
    </cfRule>
    <cfRule type="cellIs" dxfId="122" priority="90" stopIfTrue="1" operator="notEqual">
      <formula>0</formula>
    </cfRule>
  </conditionalFormatting>
  <conditionalFormatting sqref="M78:S79">
    <cfRule type="cellIs" dxfId="121" priority="87" stopIfTrue="1" operator="equal">
      <formula>0</formula>
    </cfRule>
    <cfRule type="cellIs" dxfId="120" priority="88" stopIfTrue="1" operator="notEqual">
      <formula>0</formula>
    </cfRule>
  </conditionalFormatting>
  <conditionalFormatting sqref="M73:S74">
    <cfRule type="cellIs" dxfId="119" priority="85" stopIfTrue="1" operator="equal">
      <formula>0</formula>
    </cfRule>
    <cfRule type="cellIs" dxfId="118" priority="86" stopIfTrue="1" operator="notEqual">
      <formula>0</formula>
    </cfRule>
  </conditionalFormatting>
  <conditionalFormatting sqref="M83:S84">
    <cfRule type="cellIs" dxfId="117" priority="83" stopIfTrue="1" operator="equal">
      <formula>0</formula>
    </cfRule>
    <cfRule type="cellIs" dxfId="116" priority="84" stopIfTrue="1" operator="notEqual">
      <formula>0</formula>
    </cfRule>
  </conditionalFormatting>
  <conditionalFormatting sqref="M99:S100">
    <cfRule type="cellIs" dxfId="115" priority="81" stopIfTrue="1" operator="equal">
      <formula>0</formula>
    </cfRule>
    <cfRule type="cellIs" dxfId="114" priority="82" stopIfTrue="1" operator="notEqual">
      <formula>0</formula>
    </cfRule>
  </conditionalFormatting>
  <conditionalFormatting sqref="M113:S114">
    <cfRule type="cellIs" dxfId="113" priority="79" stopIfTrue="1" operator="equal">
      <formula>0</formula>
    </cfRule>
    <cfRule type="cellIs" dxfId="112" priority="80" stopIfTrue="1" operator="notEqual">
      <formula>0</formula>
    </cfRule>
  </conditionalFormatting>
  <conditionalFormatting sqref="M127:S128">
    <cfRule type="cellIs" dxfId="111" priority="77" stopIfTrue="1" operator="equal">
      <formula>0</formula>
    </cfRule>
    <cfRule type="cellIs" dxfId="110" priority="78" stopIfTrue="1" operator="notEqual">
      <formula>0</formula>
    </cfRule>
  </conditionalFormatting>
  <conditionalFormatting sqref="M153:S154">
    <cfRule type="cellIs" dxfId="109" priority="75" stopIfTrue="1" operator="equal">
      <formula>0</formula>
    </cfRule>
    <cfRule type="cellIs" dxfId="108" priority="76" stopIfTrue="1" operator="notEqual">
      <formula>0</formula>
    </cfRule>
  </conditionalFormatting>
  <conditionalFormatting sqref="M177:S178">
    <cfRule type="cellIs" dxfId="107" priority="73" stopIfTrue="1" operator="equal">
      <formula>0</formula>
    </cfRule>
    <cfRule type="cellIs" dxfId="106" priority="74" stopIfTrue="1" operator="notEqual">
      <formula>0</formula>
    </cfRule>
  </conditionalFormatting>
  <conditionalFormatting sqref="M201:S202">
    <cfRule type="cellIs" dxfId="105" priority="71" stopIfTrue="1" operator="equal">
      <formula>0</formula>
    </cfRule>
    <cfRule type="cellIs" dxfId="104" priority="72" stopIfTrue="1" operator="notEqual">
      <formula>0</formula>
    </cfRule>
  </conditionalFormatting>
  <conditionalFormatting sqref="M208:S209">
    <cfRule type="cellIs" dxfId="103" priority="69" stopIfTrue="1" operator="equal">
      <formula>0</formula>
    </cfRule>
    <cfRule type="cellIs" dxfId="102" priority="70" stopIfTrue="1" operator="notEqual">
      <formula>0</formula>
    </cfRule>
  </conditionalFormatting>
  <conditionalFormatting sqref="M213:S214">
    <cfRule type="cellIs" dxfId="101" priority="67" stopIfTrue="1" operator="equal">
      <formula>0</formula>
    </cfRule>
    <cfRule type="cellIs" dxfId="100" priority="68" stopIfTrue="1" operator="notEqual">
      <formula>0</formula>
    </cfRule>
  </conditionalFormatting>
  <conditionalFormatting sqref="M219:S219 N218:S218">
    <cfRule type="cellIs" dxfId="99" priority="65" stopIfTrue="1" operator="equal">
      <formula>0</formula>
    </cfRule>
    <cfRule type="cellIs" dxfId="98" priority="66" stopIfTrue="1" operator="notEqual">
      <formula>0</formula>
    </cfRule>
  </conditionalFormatting>
  <conditionalFormatting sqref="M218:S218">
    <cfRule type="cellIs" dxfId="97" priority="63" stopIfTrue="1" operator="equal">
      <formula>0</formula>
    </cfRule>
    <cfRule type="cellIs" dxfId="96" priority="64" stopIfTrue="1" operator="notEqual">
      <formula>0</formula>
    </cfRule>
  </conditionalFormatting>
  <conditionalFormatting sqref="M226:S227">
    <cfRule type="cellIs" dxfId="95" priority="61" stopIfTrue="1" operator="equal">
      <formula>0</formula>
    </cfRule>
    <cfRule type="cellIs" dxfId="94" priority="62" stopIfTrue="1" operator="notEqual">
      <formula>0</formula>
    </cfRule>
  </conditionalFormatting>
  <conditionalFormatting sqref="M232:S233">
    <cfRule type="cellIs" dxfId="93" priority="59" stopIfTrue="1" operator="equal">
      <formula>0</formula>
    </cfRule>
    <cfRule type="cellIs" dxfId="92" priority="60" stopIfTrue="1" operator="notEqual">
      <formula>0</formula>
    </cfRule>
  </conditionalFormatting>
  <conditionalFormatting sqref="M238:S239">
    <cfRule type="cellIs" dxfId="91" priority="57" stopIfTrue="1" operator="equal">
      <formula>0</formula>
    </cfRule>
    <cfRule type="cellIs" dxfId="90" priority="58" stopIfTrue="1" operator="notEqual">
      <formula>0</formula>
    </cfRule>
  </conditionalFormatting>
  <conditionalFormatting sqref="M246:S247">
    <cfRule type="cellIs" dxfId="89" priority="55" stopIfTrue="1" operator="equal">
      <formula>0</formula>
    </cfRule>
    <cfRule type="cellIs" dxfId="88" priority="56" stopIfTrue="1" operator="notEqual">
      <formula>0</formula>
    </cfRule>
  </conditionalFormatting>
  <conditionalFormatting sqref="M252:S253">
    <cfRule type="cellIs" dxfId="87" priority="53" stopIfTrue="1" operator="equal">
      <formula>0</formula>
    </cfRule>
    <cfRule type="cellIs" dxfId="86" priority="54" stopIfTrue="1" operator="notEqual">
      <formula>0</formula>
    </cfRule>
  </conditionalFormatting>
  <conditionalFormatting sqref="M258:S259">
    <cfRule type="cellIs" dxfId="85" priority="51" stopIfTrue="1" operator="equal">
      <formula>0</formula>
    </cfRule>
    <cfRule type="cellIs" dxfId="84" priority="52" stopIfTrue="1" operator="notEqual">
      <formula>0</formula>
    </cfRule>
  </conditionalFormatting>
  <conditionalFormatting sqref="M36:S37">
    <cfRule type="cellIs" dxfId="83" priority="49" stopIfTrue="1" operator="equal">
      <formula>0</formula>
    </cfRule>
    <cfRule type="cellIs" dxfId="82" priority="50" stopIfTrue="1" operator="notEqual">
      <formula>0</formula>
    </cfRule>
  </conditionalFormatting>
  <conditionalFormatting sqref="M46:S47">
    <cfRule type="cellIs" dxfId="81" priority="47" stopIfTrue="1" operator="equal">
      <formula>0</formula>
    </cfRule>
    <cfRule type="cellIs" dxfId="80" priority="48" stopIfTrue="1" operator="notEqual">
      <formula>0</formula>
    </cfRule>
  </conditionalFormatting>
  <conditionalFormatting sqref="C26">
    <cfRule type="cellIs" dxfId="79" priority="45" stopIfTrue="1" operator="equal">
      <formula>0</formula>
    </cfRule>
    <cfRule type="cellIs" dxfId="78" priority="46" stopIfTrue="1" operator="notEqual">
      <formula>0</formula>
    </cfRule>
  </conditionalFormatting>
  <conditionalFormatting sqref="C36">
    <cfRule type="cellIs" dxfId="77" priority="43" stopIfTrue="1" operator="equal">
      <formula>0</formula>
    </cfRule>
    <cfRule type="cellIs" dxfId="76" priority="44" stopIfTrue="1" operator="notEqual">
      <formula>0</formula>
    </cfRule>
  </conditionalFormatting>
  <conditionalFormatting sqref="C46">
    <cfRule type="cellIs" dxfId="75" priority="41" stopIfTrue="1" operator="equal">
      <formula>0</formula>
    </cfRule>
    <cfRule type="cellIs" dxfId="74" priority="42" stopIfTrue="1" operator="notEqual">
      <formula>0</formula>
    </cfRule>
  </conditionalFormatting>
  <conditionalFormatting sqref="C56">
    <cfRule type="cellIs" dxfId="73" priority="39" stopIfTrue="1" operator="equal">
      <formula>0</formula>
    </cfRule>
    <cfRule type="cellIs" dxfId="72" priority="40" stopIfTrue="1" operator="notEqual">
      <formula>0</formula>
    </cfRule>
  </conditionalFormatting>
  <conditionalFormatting sqref="C66">
    <cfRule type="cellIs" dxfId="71" priority="37" stopIfTrue="1" operator="equal">
      <formula>0</formula>
    </cfRule>
    <cfRule type="cellIs" dxfId="70" priority="38" stopIfTrue="1" operator="notEqual">
      <formula>0</formula>
    </cfRule>
  </conditionalFormatting>
  <conditionalFormatting sqref="C73">
    <cfRule type="cellIs" dxfId="69" priority="35" stopIfTrue="1" operator="equal">
      <formula>0</formula>
    </cfRule>
    <cfRule type="cellIs" dxfId="68" priority="36" stopIfTrue="1" operator="notEqual">
      <formula>0</formula>
    </cfRule>
  </conditionalFormatting>
  <conditionalFormatting sqref="C78">
    <cfRule type="cellIs" dxfId="67" priority="33" stopIfTrue="1" operator="equal">
      <formula>0</formula>
    </cfRule>
    <cfRule type="cellIs" dxfId="66" priority="34" stopIfTrue="1" operator="notEqual">
      <formula>0</formula>
    </cfRule>
  </conditionalFormatting>
  <conditionalFormatting sqref="C83">
    <cfRule type="cellIs" dxfId="65" priority="31" stopIfTrue="1" operator="equal">
      <formula>0</formula>
    </cfRule>
    <cfRule type="cellIs" dxfId="64" priority="32" stopIfTrue="1" operator="notEqual">
      <formula>0</formula>
    </cfRule>
  </conditionalFormatting>
  <conditionalFormatting sqref="C99">
    <cfRule type="cellIs" dxfId="63" priority="29" stopIfTrue="1" operator="equal">
      <formula>0</formula>
    </cfRule>
    <cfRule type="cellIs" dxfId="62" priority="30" stopIfTrue="1" operator="notEqual">
      <formula>0</formula>
    </cfRule>
  </conditionalFormatting>
  <conditionalFormatting sqref="C113">
    <cfRule type="cellIs" dxfId="61" priority="27" stopIfTrue="1" operator="equal">
      <formula>0</formula>
    </cfRule>
    <cfRule type="cellIs" dxfId="60" priority="28" stopIfTrue="1" operator="notEqual">
      <formula>0</formula>
    </cfRule>
  </conditionalFormatting>
  <conditionalFormatting sqref="C127">
    <cfRule type="cellIs" dxfId="59" priority="25" stopIfTrue="1" operator="equal">
      <formula>0</formula>
    </cfRule>
    <cfRule type="cellIs" dxfId="58" priority="26" stopIfTrue="1" operator="notEqual">
      <formula>0</formula>
    </cfRule>
  </conditionalFormatting>
  <conditionalFormatting sqref="C153">
    <cfRule type="cellIs" dxfId="57" priority="23" stopIfTrue="1" operator="equal">
      <formula>0</formula>
    </cfRule>
    <cfRule type="cellIs" dxfId="56" priority="24" stopIfTrue="1" operator="notEqual">
      <formula>0</formula>
    </cfRule>
  </conditionalFormatting>
  <conditionalFormatting sqref="C177">
    <cfRule type="cellIs" dxfId="55" priority="21" stopIfTrue="1" operator="equal">
      <formula>0</formula>
    </cfRule>
    <cfRule type="cellIs" dxfId="54" priority="22" stopIfTrue="1" operator="notEqual">
      <formula>0</formula>
    </cfRule>
  </conditionalFormatting>
  <conditionalFormatting sqref="C201">
    <cfRule type="cellIs" dxfId="53" priority="19" stopIfTrue="1" operator="equal">
      <formula>0</formula>
    </cfRule>
    <cfRule type="cellIs" dxfId="52" priority="20" stopIfTrue="1" operator="notEqual">
      <formula>0</formula>
    </cfRule>
  </conditionalFormatting>
  <conditionalFormatting sqref="C208">
    <cfRule type="cellIs" dxfId="51" priority="17" stopIfTrue="1" operator="equal">
      <formula>0</formula>
    </cfRule>
    <cfRule type="cellIs" dxfId="50" priority="18" stopIfTrue="1" operator="notEqual">
      <formula>0</formula>
    </cfRule>
  </conditionalFormatting>
  <conditionalFormatting sqref="C213">
    <cfRule type="cellIs" dxfId="49" priority="15" stopIfTrue="1" operator="equal">
      <formula>0</formula>
    </cfRule>
    <cfRule type="cellIs" dxfId="48" priority="16" stopIfTrue="1" operator="notEqual">
      <formula>0</formula>
    </cfRule>
  </conditionalFormatting>
  <conditionalFormatting sqref="C218">
    <cfRule type="cellIs" dxfId="47" priority="13" stopIfTrue="1" operator="equal">
      <formula>0</formula>
    </cfRule>
    <cfRule type="cellIs" dxfId="46" priority="14" stopIfTrue="1" operator="notEqual">
      <formula>0</formula>
    </cfRule>
  </conditionalFormatting>
  <conditionalFormatting sqref="C226">
    <cfRule type="cellIs" dxfId="45" priority="11" stopIfTrue="1" operator="equal">
      <formula>0</formula>
    </cfRule>
    <cfRule type="cellIs" dxfId="44" priority="12" stopIfTrue="1" operator="notEqual">
      <formula>0</formula>
    </cfRule>
  </conditionalFormatting>
  <conditionalFormatting sqref="C232">
    <cfRule type="cellIs" dxfId="43" priority="9" stopIfTrue="1" operator="equal">
      <formula>0</formula>
    </cfRule>
    <cfRule type="cellIs" dxfId="42" priority="10" stopIfTrue="1" operator="notEqual">
      <formula>0</formula>
    </cfRule>
  </conditionalFormatting>
  <conditionalFormatting sqref="C238">
    <cfRule type="cellIs" dxfId="41" priority="7" stopIfTrue="1" operator="equal">
      <formula>0</formula>
    </cfRule>
    <cfRule type="cellIs" dxfId="40" priority="8" stopIfTrue="1" operator="notEqual">
      <formula>0</formula>
    </cfRule>
  </conditionalFormatting>
  <conditionalFormatting sqref="C246">
    <cfRule type="cellIs" dxfId="39" priority="5" stopIfTrue="1" operator="equal">
      <formula>0</formula>
    </cfRule>
    <cfRule type="cellIs" dxfId="38" priority="6" stopIfTrue="1" operator="notEqual">
      <formula>0</formula>
    </cfRule>
  </conditionalFormatting>
  <conditionalFormatting sqref="C252">
    <cfRule type="cellIs" dxfId="37" priority="3" stopIfTrue="1" operator="equal">
      <formula>0</formula>
    </cfRule>
    <cfRule type="cellIs" dxfId="36" priority="4" stopIfTrue="1" operator="notEqual">
      <formula>0</formula>
    </cfRule>
  </conditionalFormatting>
  <conditionalFormatting sqref="C258">
    <cfRule type="cellIs" dxfId="35" priority="1" stopIfTrue="1" operator="equal">
      <formula>0</formula>
    </cfRule>
    <cfRule type="cellIs" dxfId="34" priority="2" stopIfTrue="1" operator="notEqual">
      <formula>0</formula>
    </cfRule>
  </conditionalFormatting>
  <pageMargins left="0.70866141732283472" right="0.70866141732283472" top="0.74803149606299213" bottom="0.74803149606299213" header="0.31496062992125984" footer="0.31496062992125984"/>
  <pageSetup paperSize="9" scale="55" orientation="landscape" r:id="rId1"/>
  <headerFooter>
    <oddFooter>&amp;A</oddFooter>
  </headerFooter>
  <rowBreaks count="3" manualBreakCount="3">
    <brk id="178" min="1" max="19" man="1"/>
    <brk id="237" min="1" max="19" man="1"/>
    <brk id="302" min="1" max="19" man="1"/>
  </rowBreaks>
  <extLst>
    <ext xmlns:x14="http://schemas.microsoft.com/office/spreadsheetml/2009/9/main" uri="{78C0D931-6437-407d-A8EE-F0AAD7539E65}">
      <x14:conditionalFormattings>
        <x14:conditionalFormatting xmlns:xm="http://schemas.microsoft.com/office/excel/2006/main">
          <x14:cfRule type="expression" priority="129" id="{61BF24D2-FDC0-46FC-9AB8-84522EF54A44}">
            <xm:f>'Global inputs'!$A1="MODEL ERROR"</xm:f>
            <x14:dxf>
              <fill>
                <patternFill>
                  <bgColor theme="1"/>
                </patternFill>
              </fill>
            </x14:dxf>
          </x14:cfRule>
          <xm:sqref>A1:XFD1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7941E"/>
  </sheetPr>
  <dimension ref="A1:AA2"/>
  <sheetViews>
    <sheetView showGridLines="0" zoomScale="85" zoomScaleNormal="85" workbookViewId="0"/>
  </sheetViews>
  <sheetFormatPr defaultColWidth="0" defaultRowHeight="12.75" x14ac:dyDescent="0.2"/>
  <cols>
    <col min="1" max="1" width="2.75" style="27" customWidth="1"/>
    <col min="2" max="2" width="35.75" style="27" customWidth="1"/>
    <col min="3" max="4" width="15.75" style="27" customWidth="1"/>
    <col min="5" max="6" width="2.75" style="27" customWidth="1"/>
    <col min="7" max="19" width="10.75" style="27" customWidth="1"/>
    <col min="20" max="20" width="2.75" style="27" customWidth="1"/>
    <col min="21" max="24" width="10.75" style="27" customWidth="1"/>
    <col min="25" max="25" width="2.75" style="27" customWidth="1"/>
    <col min="26" max="16384" width="0" style="27" hidden="1"/>
  </cols>
  <sheetData>
    <row r="1" spans="1:27" s="15" customFormat="1" ht="12" customHeight="1" x14ac:dyDescent="0.2">
      <c r="A1" s="13"/>
      <c r="B1" s="13"/>
      <c r="C1" s="14"/>
      <c r="D1" s="13"/>
      <c r="E1" s="13"/>
      <c r="F1" s="13"/>
      <c r="G1" s="13"/>
      <c r="H1" s="13"/>
      <c r="I1" s="13"/>
      <c r="J1" s="13"/>
      <c r="K1" s="13"/>
      <c r="L1" s="13"/>
      <c r="M1" s="13"/>
      <c r="N1" s="13"/>
      <c r="O1" s="13"/>
      <c r="P1" s="13"/>
      <c r="Q1" s="13"/>
      <c r="R1" s="13"/>
      <c r="S1" s="13"/>
      <c r="T1" s="13"/>
      <c r="U1" s="13"/>
      <c r="V1" s="13"/>
      <c r="W1" s="13"/>
      <c r="X1" s="13"/>
      <c r="Y1" s="13"/>
      <c r="Z1" s="13"/>
      <c r="AA1" s="13"/>
    </row>
    <row r="2" spans="1:27" x14ac:dyDescent="0.2">
      <c r="B2" s="32" t="s">
        <v>41</v>
      </c>
    </row>
  </sheetData>
  <sheetProtection algorithmName="SHA-512" hashValue="eIsV9UOcZCM2/BTdZjzP7FeMN+zbMPXt8P/gctYUO03tLks7CEKQWahajuHMMewK/+AiXCU742huTbD2xWw08g==" saltValue="xsJHNHrmnaRxUXxB7Y9DpA==" spinCount="100000" sheet="1" objects="1" scenarios="1"/>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U69"/>
  <sheetViews>
    <sheetView showGridLines="0" tabSelected="1" zoomScale="85" zoomScaleNormal="85" workbookViewId="0">
      <pane xSplit="6" ySplit="7" topLeftCell="I9" activePane="bottomRight" state="frozen"/>
      <selection pane="topRight" activeCell="B116" sqref="B116"/>
      <selection pane="bottomLeft" activeCell="B116" sqref="B116"/>
      <selection pane="bottomRight" activeCell="Q42" sqref="Q42"/>
    </sheetView>
  </sheetViews>
  <sheetFormatPr defaultColWidth="0" defaultRowHeight="12.75" x14ac:dyDescent="0.2"/>
  <cols>
    <col min="1" max="1" width="2.75" style="15" customWidth="1"/>
    <col min="2" max="2" width="35.75" style="15" customWidth="1"/>
    <col min="3" max="5" width="15.75" style="15" customWidth="1"/>
    <col min="6" max="7" width="2.625" style="15" customWidth="1"/>
    <col min="8" max="8" width="10.75" style="15" customWidth="1"/>
    <col min="9" max="9" width="10.75" style="30" customWidth="1"/>
    <col min="10" max="20" width="10.75" style="15" customWidth="1"/>
    <col min="21" max="21" width="2.625" style="15" customWidth="1"/>
    <col min="22" max="16384" width="8.25" style="15" hidden="1"/>
  </cols>
  <sheetData>
    <row r="1" spans="1:20" ht="12" customHeight="1" x14ac:dyDescent="0.2">
      <c r="A1" s="13"/>
      <c r="B1" s="13"/>
      <c r="C1" s="14"/>
      <c r="D1" s="13"/>
      <c r="E1" s="13"/>
      <c r="F1" s="13"/>
      <c r="G1" s="13"/>
      <c r="H1" s="13"/>
      <c r="I1" s="13"/>
      <c r="J1" s="13"/>
      <c r="K1" s="13"/>
      <c r="L1" s="13"/>
      <c r="M1" s="13"/>
      <c r="N1" s="13"/>
      <c r="O1" s="13"/>
      <c r="P1" s="13"/>
      <c r="Q1" s="13"/>
      <c r="R1" s="13"/>
      <c r="S1" s="13"/>
      <c r="T1" s="13"/>
    </row>
    <row r="2" spans="1:20" s="13" customFormat="1" ht="15" customHeight="1" x14ac:dyDescent="0.25">
      <c r="B2" s="42" t="str">
        <f ca="1">MID(CELL("filename",B2),FIND("]",CELL("filename",B2))+1,255)</f>
        <v>CPP model output</v>
      </c>
      <c r="C2" s="41" t="str">
        <f>'Global inputs'!$C$2</f>
        <v>Model: Ok</v>
      </c>
      <c r="D2" s="17"/>
      <c r="E2" s="17"/>
      <c r="F2" s="18"/>
      <c r="G2" s="18"/>
      <c r="H2" s="18"/>
      <c r="I2" s="18"/>
      <c r="J2" s="18"/>
      <c r="K2" s="18"/>
      <c r="L2" s="18"/>
      <c r="M2" s="18"/>
      <c r="N2" s="18"/>
      <c r="O2" s="18"/>
      <c r="P2" s="18"/>
      <c r="Q2" s="18"/>
      <c r="R2" s="18"/>
      <c r="S2" s="18"/>
      <c r="T2" s="18"/>
    </row>
    <row r="3" spans="1:20" s="12" customFormat="1" ht="12" customHeight="1" x14ac:dyDescent="0.2">
      <c r="B3" s="96" t="s">
        <v>42</v>
      </c>
      <c r="C3" s="44"/>
      <c r="D3" s="45"/>
      <c r="E3" s="45"/>
      <c r="F3" s="43"/>
      <c r="G3" s="46"/>
      <c r="H3" s="38">
        <f>'Global inputs'!H3</f>
        <v>41730</v>
      </c>
      <c r="I3" s="38">
        <f>'Global inputs'!I3</f>
        <v>42095</v>
      </c>
      <c r="J3" s="38">
        <f>'Global inputs'!J3</f>
        <v>42461</v>
      </c>
      <c r="K3" s="38">
        <f>'Global inputs'!K3</f>
        <v>42826</v>
      </c>
      <c r="L3" s="38">
        <f>'Global inputs'!L3</f>
        <v>43191</v>
      </c>
      <c r="M3" s="38">
        <f>'Global inputs'!M3</f>
        <v>43556</v>
      </c>
      <c r="N3" s="38">
        <f>'Global inputs'!N3</f>
        <v>43922</v>
      </c>
      <c r="O3" s="38">
        <f>'Global inputs'!O3</f>
        <v>44287</v>
      </c>
      <c r="P3" s="38">
        <f>'Global inputs'!P3</f>
        <v>44652</v>
      </c>
      <c r="Q3" s="38">
        <f>'Global inputs'!Q3</f>
        <v>45017</v>
      </c>
      <c r="R3" s="38">
        <f>'Global inputs'!R3</f>
        <v>45383</v>
      </c>
      <c r="S3" s="38">
        <f>Escalators!T3</f>
        <v>45748</v>
      </c>
      <c r="T3" s="38"/>
    </row>
    <row r="4" spans="1:20" s="12" customFormat="1" ht="12" customHeight="1" x14ac:dyDescent="0.2">
      <c r="B4" s="96" t="s">
        <v>43</v>
      </c>
      <c r="C4" s="44"/>
      <c r="D4" s="47"/>
      <c r="E4" s="47"/>
      <c r="F4" s="43"/>
      <c r="G4" s="46"/>
      <c r="H4" s="38">
        <f>'Global inputs'!H4</f>
        <v>42094</v>
      </c>
      <c r="I4" s="38">
        <f>'Global inputs'!I4</f>
        <v>42460</v>
      </c>
      <c r="J4" s="38">
        <f>'Global inputs'!J4</f>
        <v>42825</v>
      </c>
      <c r="K4" s="38">
        <f>'Global inputs'!K4</f>
        <v>43190</v>
      </c>
      <c r="L4" s="38">
        <f>'Global inputs'!L4</f>
        <v>43555</v>
      </c>
      <c r="M4" s="38">
        <f>'Global inputs'!M4</f>
        <v>43921</v>
      </c>
      <c r="N4" s="38">
        <f>'Global inputs'!N4</f>
        <v>44286</v>
      </c>
      <c r="O4" s="38">
        <f>'Global inputs'!O4</f>
        <v>44651</v>
      </c>
      <c r="P4" s="38">
        <f>'Global inputs'!P4</f>
        <v>45016</v>
      </c>
      <c r="Q4" s="38">
        <f>'Global inputs'!Q4</f>
        <v>45382</v>
      </c>
      <c r="R4" s="38">
        <f>'Global inputs'!R4</f>
        <v>45747</v>
      </c>
      <c r="S4" s="38">
        <f>Escalators!T4</f>
        <v>46112</v>
      </c>
      <c r="T4" s="38"/>
    </row>
    <row r="5" spans="1:20" s="12" customFormat="1" ht="12" customHeight="1" x14ac:dyDescent="0.2">
      <c r="B5" s="96" t="s">
        <v>44</v>
      </c>
      <c r="C5" s="44"/>
      <c r="D5" s="47"/>
      <c r="E5" s="47"/>
      <c r="F5" s="43"/>
      <c r="G5" s="46"/>
      <c r="H5" s="39" t="str">
        <f>'Global inputs'!H5</f>
        <v>RY15</v>
      </c>
      <c r="I5" s="39" t="str">
        <f>'Global inputs'!I5</f>
        <v>RY16</v>
      </c>
      <c r="J5" s="39" t="str">
        <f>'Global inputs'!J5</f>
        <v>RY17</v>
      </c>
      <c r="K5" s="39" t="str">
        <f>'Global inputs'!K5</f>
        <v>RY18</v>
      </c>
      <c r="L5" s="39" t="str">
        <f>'Global inputs'!L5</f>
        <v>RY19</v>
      </c>
      <c r="M5" s="39" t="str">
        <f>'Global inputs'!M5</f>
        <v>RY20</v>
      </c>
      <c r="N5" s="39" t="str">
        <f>'Global inputs'!N5</f>
        <v>RY21</v>
      </c>
      <c r="O5" s="39" t="str">
        <f>'Global inputs'!O5</f>
        <v>RY22</v>
      </c>
      <c r="P5" s="39" t="str">
        <f>'Global inputs'!P5</f>
        <v>RY23</v>
      </c>
      <c r="Q5" s="39" t="str">
        <f>'Global inputs'!Q5</f>
        <v>RY24</v>
      </c>
      <c r="R5" s="39" t="str">
        <f>'Global inputs'!R5</f>
        <v>RY25</v>
      </c>
      <c r="S5" s="39" t="str">
        <f>Escalators!T5</f>
        <v>RY26</v>
      </c>
      <c r="T5" s="39"/>
    </row>
    <row r="6" spans="1:20" s="12" customFormat="1" ht="12" customHeight="1" x14ac:dyDescent="0.2">
      <c r="B6" s="96" t="s">
        <v>45</v>
      </c>
      <c r="C6" s="44"/>
      <c r="D6" s="47"/>
      <c r="E6" s="47"/>
      <c r="F6" s="43"/>
      <c r="G6" s="46"/>
      <c r="H6" s="40" t="s">
        <v>46</v>
      </c>
      <c r="I6" s="48"/>
      <c r="J6" s="48"/>
      <c r="K6" s="48"/>
      <c r="L6" s="48"/>
      <c r="M6" s="40" t="s">
        <v>47</v>
      </c>
      <c r="N6" s="48"/>
      <c r="O6" s="40" t="s">
        <v>48</v>
      </c>
      <c r="P6" s="48"/>
      <c r="Q6" s="48"/>
      <c r="R6" s="48"/>
      <c r="S6" s="48"/>
      <c r="T6" s="40" t="s">
        <v>49</v>
      </c>
    </row>
    <row r="7" spans="1:20" ht="12" customHeight="1" x14ac:dyDescent="0.2">
      <c r="B7" s="18"/>
      <c r="C7" s="16"/>
      <c r="D7" s="19"/>
      <c r="E7" s="19"/>
      <c r="F7" s="18"/>
      <c r="G7" s="18"/>
      <c r="H7" s="18"/>
      <c r="I7" s="18"/>
      <c r="J7" s="18"/>
      <c r="K7" s="18"/>
      <c r="L7" s="18"/>
      <c r="M7" s="18"/>
      <c r="N7" s="18"/>
      <c r="O7" s="18"/>
      <c r="P7" s="18"/>
      <c r="Q7" s="18"/>
      <c r="R7" s="18"/>
      <c r="S7" s="18"/>
      <c r="T7" s="18"/>
    </row>
    <row r="8" spans="1:20" ht="12" customHeight="1" x14ac:dyDescent="0.2">
      <c r="B8" s="18"/>
      <c r="C8" s="16"/>
      <c r="D8" s="19"/>
      <c r="E8" s="19"/>
      <c r="F8" s="18"/>
      <c r="G8" s="18"/>
      <c r="H8" s="18"/>
      <c r="I8" s="18"/>
      <c r="J8" s="18"/>
      <c r="K8" s="18"/>
      <c r="L8" s="18"/>
      <c r="M8" s="18"/>
      <c r="N8" s="18"/>
      <c r="O8" s="18"/>
      <c r="P8" s="18"/>
      <c r="Q8" s="18"/>
      <c r="R8" s="18"/>
      <c r="S8" s="18"/>
      <c r="T8" s="18"/>
    </row>
    <row r="9" spans="1:20" s="13" customFormat="1" ht="12" customHeight="1" x14ac:dyDescent="0.2">
      <c r="A9" s="15"/>
      <c r="B9" s="49" t="s">
        <v>494</v>
      </c>
      <c r="C9" s="50" t="s">
        <v>51</v>
      </c>
      <c r="D9" s="51" t="s">
        <v>52</v>
      </c>
      <c r="E9" s="50" t="s">
        <v>53</v>
      </c>
      <c r="F9" s="18"/>
      <c r="G9" s="20"/>
      <c r="H9" s="20"/>
      <c r="I9" s="20"/>
      <c r="J9" s="20"/>
      <c r="K9" s="18"/>
      <c r="L9" s="18"/>
      <c r="M9" s="18"/>
      <c r="N9" s="18"/>
      <c r="O9" s="18"/>
      <c r="P9" s="18"/>
      <c r="Q9" s="18"/>
      <c r="R9" s="18"/>
      <c r="S9" s="18"/>
      <c r="T9" s="18"/>
    </row>
    <row r="10" spans="1:20" x14ac:dyDescent="0.2">
      <c r="K10" s="31"/>
      <c r="L10" s="31"/>
      <c r="M10" s="31"/>
      <c r="N10" s="31"/>
      <c r="O10" s="31"/>
      <c r="P10" s="31"/>
      <c r="Q10" s="31"/>
      <c r="R10" s="31"/>
      <c r="S10" s="31"/>
      <c r="T10" s="18"/>
    </row>
    <row r="11" spans="1:20" x14ac:dyDescent="0.2">
      <c r="B11" s="12" t="s">
        <v>495</v>
      </c>
      <c r="C11" s="25"/>
      <c r="I11" s="15"/>
      <c r="T11" s="18"/>
    </row>
    <row r="12" spans="1:20" x14ac:dyDescent="0.2">
      <c r="B12" s="65" t="s">
        <v>308</v>
      </c>
      <c r="C12" s="16" t="s">
        <v>250</v>
      </c>
      <c r="I12" s="15"/>
      <c r="M12" s="71">
        <f>'Commissioned assets summary'!M24</f>
        <v>1042399.4894063649</v>
      </c>
      <c r="N12" s="71">
        <f>'Commissioned assets summary'!N24</f>
        <v>7038132.3661190597</v>
      </c>
      <c r="O12" s="71">
        <f>'Commissioned assets summary'!O24</f>
        <v>7048271.847877969</v>
      </c>
      <c r="P12" s="71">
        <f>'Commissioned assets summary'!P24</f>
        <v>8094396.2125189947</v>
      </c>
      <c r="Q12" s="71">
        <f>'Commissioned assets summary'!Q24</f>
        <v>1616026.6499209735</v>
      </c>
      <c r="R12" s="71">
        <f>'Commissioned assets summary'!R24</f>
        <v>479867.97255867155</v>
      </c>
      <c r="S12" s="71">
        <f>'Commissioned assets summary'!S24</f>
        <v>509327.92951859569</v>
      </c>
      <c r="T12" s="18"/>
    </row>
    <row r="13" spans="1:20" x14ac:dyDescent="0.2">
      <c r="B13" s="65" t="s">
        <v>309</v>
      </c>
      <c r="C13" s="16" t="s">
        <v>250</v>
      </c>
      <c r="I13" s="15"/>
      <c r="M13" s="71">
        <f>'Commissioned assets summary'!M25</f>
        <v>46084.956475972111</v>
      </c>
      <c r="N13" s="71">
        <f>'Commissioned assets summary'!N25</f>
        <v>6827326.9512986513</v>
      </c>
      <c r="O13" s="71">
        <f>'Commissioned assets summary'!O25</f>
        <v>542090.29699175723</v>
      </c>
      <c r="P13" s="71">
        <f>'Commissioned assets summary'!P25</f>
        <v>343448.16571380745</v>
      </c>
      <c r="Q13" s="71">
        <f>'Commissioned assets summary'!Q25</f>
        <v>2651643.3560275319</v>
      </c>
      <c r="R13" s="71">
        <f>'Commissioned assets summary'!R25</f>
        <v>378279.71284800104</v>
      </c>
      <c r="S13" s="71">
        <f>'Commissioned assets summary'!S25</f>
        <v>6592977.1287385672</v>
      </c>
      <c r="T13" s="18"/>
    </row>
    <row r="14" spans="1:20" x14ac:dyDescent="0.2">
      <c r="B14" s="65" t="s">
        <v>310</v>
      </c>
      <c r="C14" s="16" t="s">
        <v>250</v>
      </c>
      <c r="I14" s="15"/>
      <c r="M14" s="71">
        <f>'Commissioned assets summary'!M26</f>
        <v>7269303.9341696938</v>
      </c>
      <c r="N14" s="71">
        <f>'Commissioned assets summary'!N26</f>
        <v>12484371.951886911</v>
      </c>
      <c r="O14" s="71">
        <f>'Commissioned assets summary'!O26</f>
        <v>16022293.585000418</v>
      </c>
      <c r="P14" s="71">
        <f>'Commissioned assets summary'!P26</f>
        <v>7739021.0099818856</v>
      </c>
      <c r="Q14" s="71">
        <f>'Commissioned assets summary'!Q26</f>
        <v>14372296.933541708</v>
      </c>
      <c r="R14" s="71">
        <f>'Commissioned assets summary'!R26</f>
        <v>14983100.447833791</v>
      </c>
      <c r="S14" s="71">
        <f>'Commissioned assets summary'!S26</f>
        <v>6637116.2029965306</v>
      </c>
      <c r="T14" s="18"/>
    </row>
    <row r="15" spans="1:20" x14ac:dyDescent="0.2">
      <c r="B15" s="65" t="s">
        <v>311</v>
      </c>
      <c r="C15" s="16" t="s">
        <v>250</v>
      </c>
      <c r="I15" s="15"/>
      <c r="M15" s="71">
        <f>'Commissioned assets summary'!M27</f>
        <v>23024095.249756038</v>
      </c>
      <c r="N15" s="71">
        <f>'Commissioned assets summary'!N27</f>
        <v>25664806.990201958</v>
      </c>
      <c r="O15" s="71">
        <f>'Commissioned assets summary'!O27</f>
        <v>29242009.546937533</v>
      </c>
      <c r="P15" s="71">
        <f>'Commissioned assets summary'!P27</f>
        <v>31153287.06881123</v>
      </c>
      <c r="Q15" s="71">
        <f>'Commissioned assets summary'!Q27</f>
        <v>30707486.028760564</v>
      </c>
      <c r="R15" s="71">
        <f>'Commissioned assets summary'!R27</f>
        <v>28480730.698377073</v>
      </c>
      <c r="S15" s="71">
        <f>'Commissioned assets summary'!S27</f>
        <v>28109153.7391643</v>
      </c>
      <c r="T15" s="18"/>
    </row>
    <row r="16" spans="1:20" x14ac:dyDescent="0.2">
      <c r="B16" s="65" t="s">
        <v>312</v>
      </c>
      <c r="C16" s="16" t="s">
        <v>250</v>
      </c>
      <c r="I16" s="15"/>
      <c r="M16" s="71">
        <f>'Commissioned assets summary'!M28</f>
        <v>3965373.1121869283</v>
      </c>
      <c r="N16" s="71">
        <f>'Commissioned assets summary'!N28</f>
        <v>4619216.8687629486</v>
      </c>
      <c r="O16" s="71">
        <f>'Commissioned assets summary'!O28</f>
        <v>5173008.0858924361</v>
      </c>
      <c r="P16" s="71">
        <f>'Commissioned assets summary'!P28</f>
        <v>4678736.2358364342</v>
      </c>
      <c r="Q16" s="71">
        <f>'Commissioned assets summary'!Q28</f>
        <v>5256745.7340931473</v>
      </c>
      <c r="R16" s="71">
        <f>'Commissioned assets summary'!R28</f>
        <v>6014777.1672850884</v>
      </c>
      <c r="S16" s="71">
        <f>'Commissioned assets summary'!S28</f>
        <v>5956723.5038831122</v>
      </c>
      <c r="T16" s="18"/>
    </row>
    <row r="17" spans="2:20" x14ac:dyDescent="0.2">
      <c r="B17" s="65" t="s">
        <v>313</v>
      </c>
      <c r="C17" s="16" t="s">
        <v>250</v>
      </c>
      <c r="I17" s="15"/>
      <c r="M17" s="71">
        <f>'Commissioned assets summary'!M29</f>
        <v>5348627.303303279</v>
      </c>
      <c r="N17" s="71">
        <f>'Commissioned assets summary'!N29</f>
        <v>4961121.1142285559</v>
      </c>
      <c r="O17" s="71">
        <f>'Commissioned assets summary'!O29</f>
        <v>5434214.1822820399</v>
      </c>
      <c r="P17" s="71">
        <f>'Commissioned assets summary'!P29</f>
        <v>6881733.6633304963</v>
      </c>
      <c r="Q17" s="71">
        <f>'Commissioned assets summary'!Q29</f>
        <v>8651425.8710586261</v>
      </c>
      <c r="R17" s="71">
        <f>'Commissioned assets summary'!R29</f>
        <v>9968759.2261246052</v>
      </c>
      <c r="S17" s="71">
        <f>'Commissioned assets summary'!S29</f>
        <v>9908169.5882995818</v>
      </c>
      <c r="T17" s="18"/>
    </row>
    <row r="18" spans="2:20" x14ac:dyDescent="0.2">
      <c r="B18" s="65" t="s">
        <v>314</v>
      </c>
      <c r="C18" s="16" t="s">
        <v>250</v>
      </c>
      <c r="I18" s="15"/>
      <c r="M18" s="71">
        <f>'Commissioned assets summary'!M30</f>
        <v>3829110.215184629</v>
      </c>
      <c r="N18" s="71">
        <f>'Commissioned assets summary'!N30</f>
        <v>5027250.0505451625</v>
      </c>
      <c r="O18" s="71">
        <f>'Commissioned assets summary'!O30</f>
        <v>5292915.6396526555</v>
      </c>
      <c r="P18" s="71">
        <f>'Commissioned assets summary'!P30</f>
        <v>4938507.4857026702</v>
      </c>
      <c r="Q18" s="71">
        <f>'Commissioned assets summary'!Q30</f>
        <v>5115330.8601328488</v>
      </c>
      <c r="R18" s="71">
        <f>'Commissioned assets summary'!R30</f>
        <v>6467023.4685311057</v>
      </c>
      <c r="S18" s="71">
        <f>'Commissioned assets summary'!S30</f>
        <v>5200280.4734186437</v>
      </c>
      <c r="T18" s="18"/>
    </row>
    <row r="19" spans="2:20" x14ac:dyDescent="0.2">
      <c r="B19" s="65" t="s">
        <v>315</v>
      </c>
      <c r="C19" s="16" t="s">
        <v>250</v>
      </c>
      <c r="I19" s="15"/>
      <c r="M19" s="71">
        <f>'Commissioned assets summary'!M31</f>
        <v>7858741.8907693792</v>
      </c>
      <c r="N19" s="71">
        <f>'Commissioned assets summary'!N31</f>
        <v>368935.82725983835</v>
      </c>
      <c r="O19" s="71">
        <f>'Commissioned assets summary'!O31</f>
        <v>904233.22196245776</v>
      </c>
      <c r="P19" s="71">
        <f>'Commissioned assets summary'!P31</f>
        <v>568391.81496076239</v>
      </c>
      <c r="Q19" s="71">
        <f>'Commissioned assets summary'!Q31</f>
        <v>895964.542054752</v>
      </c>
      <c r="R19" s="71">
        <f>'Commissioned assets summary'!R31</f>
        <v>660772.95377654815</v>
      </c>
      <c r="S19" s="71">
        <f>'Commissioned assets summary'!S31</f>
        <v>366672.09822443803</v>
      </c>
      <c r="T19" s="18"/>
    </row>
    <row r="20" spans="2:20" x14ac:dyDescent="0.2">
      <c r="B20" s="65" t="s">
        <v>316</v>
      </c>
      <c r="C20" s="16" t="s">
        <v>250</v>
      </c>
      <c r="I20" s="15"/>
      <c r="M20" s="71">
        <f>'Commissioned assets summary'!M32</f>
        <v>8309232.051727837</v>
      </c>
      <c r="N20" s="71">
        <f>'Commissioned assets summary'!N32</f>
        <v>4604823.0016299654</v>
      </c>
      <c r="O20" s="71">
        <f>'Commissioned assets summary'!O32</f>
        <v>9015299.1464892384</v>
      </c>
      <c r="P20" s="71">
        <f>'Commissioned assets summary'!P32</f>
        <v>3122829.4104769411</v>
      </c>
      <c r="Q20" s="71">
        <f>'Commissioned assets summary'!Q32</f>
        <v>2919899.6186841843</v>
      </c>
      <c r="R20" s="71">
        <f>'Commissioned assets summary'!R32</f>
        <v>2504828.8550408101</v>
      </c>
      <c r="S20" s="71">
        <f>'Commissioned assets summary'!S32</f>
        <v>2387358.8946668576</v>
      </c>
      <c r="T20" s="18"/>
    </row>
    <row r="21" spans="2:20" s="12" customFormat="1" x14ac:dyDescent="0.2">
      <c r="B21" s="12" t="s">
        <v>49</v>
      </c>
      <c r="C21" s="66" t="s">
        <v>250</v>
      </c>
      <c r="M21" s="91">
        <f t="shared" ref="M21:S21" si="0">SUM(M12:M20)</f>
        <v>60692968.202980123</v>
      </c>
      <c r="N21" s="91">
        <f t="shared" si="0"/>
        <v>71595985.121933058</v>
      </c>
      <c r="O21" s="91">
        <f t="shared" si="0"/>
        <v>78674335.553086504</v>
      </c>
      <c r="P21" s="91">
        <f t="shared" si="0"/>
        <v>67520351.067333221</v>
      </c>
      <c r="Q21" s="91">
        <f t="shared" si="0"/>
        <v>72186819.594274342</v>
      </c>
      <c r="R21" s="91">
        <f t="shared" si="0"/>
        <v>69938140.502375692</v>
      </c>
      <c r="S21" s="91">
        <f t="shared" si="0"/>
        <v>65667779.558910623</v>
      </c>
      <c r="T21" s="72"/>
    </row>
    <row r="22" spans="2:20" x14ac:dyDescent="0.2">
      <c r="B22" s="68"/>
      <c r="C22" s="66"/>
      <c r="D22" s="12"/>
      <c r="E22" s="12"/>
      <c r="F22" s="12"/>
      <c r="G22" s="12"/>
      <c r="H22" s="12"/>
      <c r="I22" s="12"/>
      <c r="J22" s="12"/>
      <c r="K22" s="12"/>
      <c r="L22" s="12"/>
      <c r="M22" s="67"/>
      <c r="N22" s="67"/>
      <c r="O22" s="67"/>
      <c r="P22" s="67"/>
      <c r="Q22" s="67"/>
      <c r="R22" s="67"/>
      <c r="S22" s="67"/>
      <c r="T22" s="18"/>
    </row>
    <row r="23" spans="2:20" x14ac:dyDescent="0.2">
      <c r="B23" s="12" t="s">
        <v>293</v>
      </c>
      <c r="C23" s="25"/>
      <c r="I23" s="15"/>
      <c r="T23" s="18"/>
    </row>
    <row r="24" spans="2:20" x14ac:dyDescent="0.2">
      <c r="B24" s="136">
        <f>'Commissioned assets summary'!B41</f>
        <v>0</v>
      </c>
      <c r="C24" s="16" t="s">
        <v>250</v>
      </c>
      <c r="I24" s="15"/>
      <c r="M24" s="71">
        <f>'Commissioned assets summary'!M41</f>
        <v>2455027.6564975409</v>
      </c>
      <c r="N24" s="71">
        <f>'Commissioned assets summary'!N41</f>
        <v>2404041.7280172459</v>
      </c>
      <c r="O24" s="71">
        <f>'Commissioned assets summary'!O41</f>
        <v>4762803.1578215277</v>
      </c>
      <c r="P24" s="71">
        <f>'Commissioned assets summary'!P41</f>
        <v>65420.588737839542</v>
      </c>
      <c r="Q24" s="71">
        <f>'Commissioned assets summary'!Q41</f>
        <v>3745184.9379667272</v>
      </c>
      <c r="R24" s="71">
        <f>'Commissioned assets summary'!R41</f>
        <v>2039588.4012129444</v>
      </c>
      <c r="S24" s="71">
        <f>'Commissioned assets summary'!S41</f>
        <v>1462116.5186206147</v>
      </c>
      <c r="T24" s="18"/>
    </row>
    <row r="25" spans="2:20" x14ac:dyDescent="0.2">
      <c r="B25" s="136">
        <f>'Commissioned assets summary'!B42</f>
        <v>0.08</v>
      </c>
      <c r="C25" s="16" t="s">
        <v>250</v>
      </c>
      <c r="I25" s="15"/>
      <c r="M25" s="71">
        <f>'Commissioned assets summary'!M42</f>
        <v>53312665.357382774</v>
      </c>
      <c r="N25" s="71">
        <f>'Commissioned assets summary'!N42</f>
        <v>71533046.197779715</v>
      </c>
      <c r="O25" s="71">
        <f>'Commissioned assets summary'!O42</f>
        <v>68660491.846931398</v>
      </c>
      <c r="P25" s="71">
        <f>'Commissioned assets summary'!P42</f>
        <v>67216786.004570618</v>
      </c>
      <c r="Q25" s="71">
        <f>'Commissioned assets summary'!Q42</f>
        <v>68823415.062805623</v>
      </c>
      <c r="R25" s="71">
        <f>'Commissioned assets summary'!R42</f>
        <v>70246749.916973293</v>
      </c>
      <c r="S25" s="71">
        <f>'Commissioned assets summary'!S42</f>
        <v>68062480.084749296</v>
      </c>
      <c r="T25" s="18"/>
    </row>
    <row r="26" spans="2:20" x14ac:dyDescent="0.2">
      <c r="B26" s="136">
        <f>'Commissioned assets summary'!B43</f>
        <v>0.1</v>
      </c>
      <c r="C26" s="16" t="s">
        <v>250</v>
      </c>
      <c r="I26" s="15"/>
      <c r="M26" s="71">
        <f>'Commissioned assets summary'!M43</f>
        <v>2135125.3565935167</v>
      </c>
      <c r="N26" s="71">
        <f>'Commissioned assets summary'!N43</f>
        <v>2005265.4417258252</v>
      </c>
      <c r="O26" s="71">
        <f>'Commissioned assets summary'!O43</f>
        <v>2503007.4768152591</v>
      </c>
      <c r="P26" s="71">
        <f>'Commissioned assets summary'!P43</f>
        <v>2498036.9709816594</v>
      </c>
      <c r="Q26" s="71">
        <f>'Commissioned assets summary'!Q43</f>
        <v>3214278.7972830636</v>
      </c>
      <c r="R26" s="71">
        <f>'Commissioned assets summary'!R43</f>
        <v>3023019.7778552053</v>
      </c>
      <c r="S26" s="71">
        <f>'Commissioned assets summary'!S43</f>
        <v>2910975.7309174039</v>
      </c>
      <c r="T26" s="18"/>
    </row>
    <row r="27" spans="2:20" x14ac:dyDescent="0.2">
      <c r="B27" s="136">
        <f>'Commissioned assets summary'!B44</f>
        <v>0.13</v>
      </c>
      <c r="C27" s="16" t="s">
        <v>250</v>
      </c>
      <c r="I27" s="15"/>
      <c r="M27" s="71">
        <f>'Commissioned assets summary'!M44</f>
        <v>403418.07629322907</v>
      </c>
      <c r="N27" s="71">
        <f>'Commissioned assets summary'!N44</f>
        <v>654195.69251841388</v>
      </c>
      <c r="O27" s="71">
        <f>'Commissioned assets summary'!O44</f>
        <v>343497.19463446789</v>
      </c>
      <c r="P27" s="71">
        <f>'Commissioned assets summary'!P44</f>
        <v>327102.94368919771</v>
      </c>
      <c r="Q27" s="71">
        <f>'Commissioned assets summary'!Q44</f>
        <v>327650.48843669292</v>
      </c>
      <c r="R27" s="71">
        <f>'Commissioned assets summary'!R44</f>
        <v>352978.7245623073</v>
      </c>
      <c r="S27" s="71">
        <f>'Commissioned assets summary'!S44</f>
        <v>374555.08959370939</v>
      </c>
      <c r="T27" s="18"/>
    </row>
    <row r="28" spans="2:20" x14ac:dyDescent="0.2">
      <c r="B28" s="136">
        <f>'Commissioned assets summary'!B45</f>
        <v>0.2</v>
      </c>
      <c r="C28" s="16" t="s">
        <v>250</v>
      </c>
      <c r="I28" s="15"/>
      <c r="M28" s="71">
        <f>'Commissioned assets summary'!M45</f>
        <v>322734.46103458328</v>
      </c>
      <c r="N28" s="71">
        <f>'Commissioned assets summary'!N45</f>
        <v>523356.55401473108</v>
      </c>
      <c r="O28" s="71">
        <f>'Commissioned assets summary'!O45</f>
        <v>274797.75570757431</v>
      </c>
      <c r="P28" s="71">
        <f>'Commissioned assets summary'!P45</f>
        <v>261682.35495135817</v>
      </c>
      <c r="Q28" s="71">
        <f>'Commissioned assets summary'!Q45</f>
        <v>262120.39074935435</v>
      </c>
      <c r="R28" s="71">
        <f>'Commissioned assets summary'!R45</f>
        <v>282382.97964984586</v>
      </c>
      <c r="S28" s="71">
        <f>'Commissioned assets summary'!S45</f>
        <v>299643.56320556166</v>
      </c>
      <c r="T28" s="18"/>
    </row>
    <row r="29" spans="2:20" x14ac:dyDescent="0.2">
      <c r="B29" s="136">
        <f>'Commissioned assets summary'!B46</f>
        <v>0.5</v>
      </c>
      <c r="C29" s="16" t="s">
        <v>250</v>
      </c>
      <c r="I29" s="15"/>
      <c r="M29" s="71">
        <f>'Commissioned assets summary'!M46</f>
        <v>3027288.7930774377</v>
      </c>
      <c r="N29" s="71">
        <f>'Commissioned assets summary'!N46</f>
        <v>3849603.2470598882</v>
      </c>
      <c r="O29" s="71">
        <f>'Commissioned assets summary'!O46</f>
        <v>8479227.7688686773</v>
      </c>
      <c r="P29" s="71">
        <f>'Commissioned assets summary'!P46</f>
        <v>2442286.2148207258</v>
      </c>
      <c r="Q29" s="71">
        <f>'Commissioned assets summary'!Q46</f>
        <v>2013284.2042281548</v>
      </c>
      <c r="R29" s="71">
        <f>'Commissioned assets summary'!R46</f>
        <v>1954546.6808703814</v>
      </c>
      <c r="S29" s="71">
        <f>'Commissioned assets summary'!S46</f>
        <v>2007116.075664253</v>
      </c>
      <c r="T29" s="18"/>
    </row>
    <row r="30" spans="2:20" x14ac:dyDescent="0.2">
      <c r="B30" s="136">
        <f>'Commissioned assets summary'!B47</f>
        <v>1</v>
      </c>
      <c r="C30" s="16" t="s">
        <v>250</v>
      </c>
      <c r="I30" s="15"/>
      <c r="M30" s="71">
        <f>'Commissioned assets summary'!M47</f>
        <v>0</v>
      </c>
      <c r="N30" s="71">
        <f>'Commissioned assets summary'!N47</f>
        <v>0</v>
      </c>
      <c r="O30" s="71">
        <f>'Commissioned assets summary'!O47</f>
        <v>0</v>
      </c>
      <c r="P30" s="71">
        <f>'Commissioned assets summary'!P47</f>
        <v>0</v>
      </c>
      <c r="Q30" s="71">
        <f>'Commissioned assets summary'!Q47</f>
        <v>0</v>
      </c>
      <c r="R30" s="71">
        <f>'Commissioned assets summary'!R47</f>
        <v>0</v>
      </c>
      <c r="S30" s="71">
        <f>'Commissioned assets summary'!S47</f>
        <v>0</v>
      </c>
      <c r="T30" s="18"/>
    </row>
    <row r="31" spans="2:20" s="12" customFormat="1" x14ac:dyDescent="0.2">
      <c r="B31" s="12" t="s">
        <v>49</v>
      </c>
      <c r="C31" s="66" t="s">
        <v>250</v>
      </c>
      <c r="M31" s="91">
        <f t="shared" ref="M31:S31" si="1">SUM(M24:M30)</f>
        <v>61656259.700879082</v>
      </c>
      <c r="N31" s="91">
        <f t="shared" si="1"/>
        <v>80969508.861115798</v>
      </c>
      <c r="O31" s="91">
        <f t="shared" si="1"/>
        <v>85023825.200778902</v>
      </c>
      <c r="P31" s="91">
        <f t="shared" si="1"/>
        <v>72811315.077751398</v>
      </c>
      <c r="Q31" s="91">
        <f t="shared" si="1"/>
        <v>78385933.881469622</v>
      </c>
      <c r="R31" s="91">
        <f t="shared" si="1"/>
        <v>77899266.481123969</v>
      </c>
      <c r="S31" s="91">
        <f t="shared" si="1"/>
        <v>75116887.062750831</v>
      </c>
      <c r="T31" s="72"/>
    </row>
    <row r="32" spans="2:20" x14ac:dyDescent="0.2">
      <c r="B32" s="68"/>
      <c r="C32" s="66"/>
      <c r="D32" s="12"/>
      <c r="E32" s="12"/>
      <c r="F32" s="12"/>
      <c r="G32" s="12"/>
      <c r="H32" s="12"/>
      <c r="I32" s="12"/>
      <c r="J32" s="12"/>
      <c r="K32" s="12"/>
      <c r="L32" s="12"/>
      <c r="M32" s="67"/>
      <c r="N32" s="67"/>
      <c r="O32" s="67"/>
      <c r="P32" s="67"/>
      <c r="Q32" s="67"/>
      <c r="R32" s="67"/>
      <c r="S32" s="67"/>
      <c r="T32" s="18"/>
    </row>
    <row r="33" spans="1:21" x14ac:dyDescent="0.2">
      <c r="B33" s="12" t="s">
        <v>445</v>
      </c>
      <c r="C33" s="25"/>
      <c r="I33" s="15"/>
      <c r="T33" s="18"/>
    </row>
    <row r="34" spans="1:21" x14ac:dyDescent="0.2">
      <c r="B34" s="65" t="s">
        <v>89</v>
      </c>
      <c r="C34" s="22" t="s">
        <v>250</v>
      </c>
      <c r="I34" s="15"/>
      <c r="M34" s="345">
        <f>SUMIFS('Forecast capex'!$S$9:$S$1940,'Forecast capex'!$K$9:$K$1940,YEAR(M$4),'Forecast capex'!$H$9:$H$1940,$B34)</f>
        <v>1572901.8771693718</v>
      </c>
      <c r="N34" s="345">
        <f>SUMIFS('Forecast capex'!$S$9:$S$1940,'Forecast capex'!$K$9:$K$1940,YEAR(N$4),'Forecast capex'!$H$9:$H$1940,$B34)</f>
        <v>0</v>
      </c>
      <c r="O34" s="345">
        <f>SUMIFS('Forecast capex'!$S$9:$S$1940,'Forecast capex'!$K$9:$K$1940,YEAR(O$4),'Forecast capex'!$H$9:$H$1940,$B34)</f>
        <v>0</v>
      </c>
      <c r="P34" s="345">
        <f>SUMIFS('Forecast capex'!$S$9:$S$1940,'Forecast capex'!$K$9:$K$1940,YEAR(P$4),'Forecast capex'!$H$9:$H$1940,$B34)</f>
        <v>0</v>
      </c>
      <c r="Q34" s="345">
        <f>SUMIFS('Forecast capex'!$S$9:$S$1940,'Forecast capex'!$K$9:$K$1940,YEAR(Q$4),'Forecast capex'!$H$9:$H$1940,$B34)</f>
        <v>167120.43406806709</v>
      </c>
      <c r="R34" s="345">
        <f>SUMIFS('Forecast capex'!$S$9:$S$1940,'Forecast capex'!$K$9:$K$1940,YEAR(R$4),'Forecast capex'!$H$9:$H$1940,$B34)</f>
        <v>136352.99413799553</v>
      </c>
      <c r="S34" s="345">
        <f>SUMIFS('Forecast capex'!$S$9:$S$1940,'Forecast capex'!$K$9:$K$1940,YEAR(S$4),'Forecast capex'!$H$9:$H$1940,$B34)</f>
        <v>0</v>
      </c>
      <c r="T34" s="242"/>
      <c r="U34" s="232"/>
    </row>
    <row r="35" spans="1:21" x14ac:dyDescent="0.2">
      <c r="B35" s="65" t="s">
        <v>91</v>
      </c>
      <c r="C35" s="22" t="s">
        <v>250</v>
      </c>
      <c r="I35" s="15"/>
      <c r="M35" s="345">
        <f>SUMIFS('Forecast capex'!$S$9:$S$1940,'Forecast capex'!$K$9:$K$1940,YEAR(M$4),'Forecast capex'!$H$9:$H$1940,$B35)</f>
        <v>3348425.1664176038</v>
      </c>
      <c r="N35" s="345">
        <f>SUMIFS('Forecast capex'!$S$9:$S$1940,'Forecast capex'!$K$9:$K$1940,YEAR(N$4),'Forecast capex'!$H$9:$H$1940,$B35)</f>
        <v>145585.46827902034</v>
      </c>
      <c r="O35" s="345">
        <f>SUMIFS('Forecast capex'!$S$9:$S$1940,'Forecast capex'!$K$9:$K$1940,YEAR(O$4),'Forecast capex'!$H$9:$H$1940,$B35)</f>
        <v>476797.25023977744</v>
      </c>
      <c r="P35" s="345">
        <f>SUMIFS('Forecast capex'!$S$9:$S$1940,'Forecast capex'!$K$9:$K$1940,YEAR(P$4),'Forecast capex'!$H$9:$H$1940,$B35)</f>
        <v>267115.7980545726</v>
      </c>
      <c r="Q35" s="345">
        <f>SUMIFS('Forecast capex'!$S$9:$S$1940,'Forecast capex'!$K$9:$K$1940,YEAR(Q$4),'Forecast capex'!$H$9:$H$1940,$B35)</f>
        <v>327866.94414811058</v>
      </c>
      <c r="R35" s="345">
        <f>SUMIFS('Forecast capex'!$S$9:$S$1940,'Forecast capex'!$K$9:$K$1940,YEAR(R$4),'Forecast capex'!$H$9:$H$1940,$B35)</f>
        <v>0</v>
      </c>
      <c r="S35" s="345">
        <f>SUMIFS('Forecast capex'!$S$9:$S$1940,'Forecast capex'!$K$9:$K$1940,YEAR(S$4),'Forecast capex'!$H$9:$H$1940,$B35)</f>
        <v>0</v>
      </c>
      <c r="T35" s="242"/>
      <c r="U35" s="232"/>
    </row>
    <row r="36" spans="1:21" s="12" customFormat="1" x14ac:dyDescent="0.2">
      <c r="B36" s="12" t="s">
        <v>49</v>
      </c>
      <c r="C36" s="66" t="s">
        <v>250</v>
      </c>
      <c r="M36" s="91">
        <f>SUM(M34:M35)</f>
        <v>4921327.0435869759</v>
      </c>
      <c r="N36" s="91">
        <f t="shared" ref="N36:S36" si="2">SUM(N34:N35)</f>
        <v>145585.46827902034</v>
      </c>
      <c r="O36" s="91">
        <f t="shared" si="2"/>
        <v>476797.25023977744</v>
      </c>
      <c r="P36" s="91">
        <f t="shared" si="2"/>
        <v>267115.7980545726</v>
      </c>
      <c r="Q36" s="91">
        <f t="shared" si="2"/>
        <v>494987.37821617769</v>
      </c>
      <c r="R36" s="91">
        <f t="shared" si="2"/>
        <v>136352.99413799553</v>
      </c>
      <c r="S36" s="91">
        <f t="shared" si="2"/>
        <v>0</v>
      </c>
      <c r="T36" s="72"/>
    </row>
    <row r="37" spans="1:21" x14ac:dyDescent="0.2">
      <c r="C37" s="22"/>
      <c r="I37" s="15"/>
      <c r="T37" s="18"/>
    </row>
    <row r="38" spans="1:21" s="13" customFormat="1" ht="12" customHeight="1" x14ac:dyDescent="0.2">
      <c r="A38" s="15"/>
      <c r="B38" s="49" t="s">
        <v>496</v>
      </c>
      <c r="C38" s="50" t="s">
        <v>51</v>
      </c>
      <c r="D38" s="51" t="s">
        <v>52</v>
      </c>
      <c r="E38" s="50" t="s">
        <v>53</v>
      </c>
      <c r="F38" s="18"/>
      <c r="G38" s="20"/>
      <c r="H38" s="20"/>
      <c r="I38" s="20"/>
      <c r="J38" s="20"/>
      <c r="K38" s="18"/>
      <c r="L38" s="18"/>
      <c r="M38" s="18"/>
      <c r="N38" s="18"/>
      <c r="O38" s="18"/>
      <c r="P38" s="18"/>
      <c r="Q38" s="18"/>
      <c r="R38" s="18"/>
      <c r="S38" s="18"/>
      <c r="T38" s="18"/>
    </row>
    <row r="39" spans="1:21" x14ac:dyDescent="0.2">
      <c r="K39" s="31"/>
      <c r="L39" s="31"/>
      <c r="M39" s="31"/>
      <c r="N39" s="31"/>
      <c r="O39" s="31"/>
      <c r="P39" s="31"/>
      <c r="Q39" s="31"/>
      <c r="R39" s="31"/>
      <c r="S39" s="31"/>
      <c r="T39" s="18"/>
    </row>
    <row r="40" spans="1:21" x14ac:dyDescent="0.2">
      <c r="B40" s="15" t="s">
        <v>241</v>
      </c>
      <c r="C40" s="25" t="s">
        <v>250</v>
      </c>
      <c r="I40" s="15"/>
      <c r="M40" s="62">
        <f>'Opex summary'!M35</f>
        <v>3950943.5</v>
      </c>
      <c r="N40" s="62">
        <f>'Opex summary'!N35</f>
        <v>4746544.415740639</v>
      </c>
      <c r="O40" s="62">
        <f>'Opex summary'!O35</f>
        <v>4756573.9635536158</v>
      </c>
      <c r="P40" s="62">
        <f>'Opex summary'!P35</f>
        <v>4784987.0139170717</v>
      </c>
      <c r="Q40" s="62">
        <f>'Opex summary'!Q35</f>
        <v>4781591.7791276155</v>
      </c>
      <c r="R40" s="62">
        <f>'Opex summary'!R35</f>
        <v>4801654.4301383216</v>
      </c>
      <c r="S40" s="62">
        <f>'Opex summary'!S35</f>
        <v>4787062.3837759988</v>
      </c>
      <c r="T40" s="18"/>
    </row>
    <row r="41" spans="1:21" x14ac:dyDescent="0.2">
      <c r="B41" s="15" t="s">
        <v>243</v>
      </c>
      <c r="C41" s="25" t="s">
        <v>250</v>
      </c>
      <c r="I41" s="15"/>
      <c r="M41" s="62">
        <f>'Opex summary'!M36</f>
        <v>5579509.060934145</v>
      </c>
      <c r="N41" s="62">
        <f>'Opex summary'!N36</f>
        <v>4074967.7328326218</v>
      </c>
      <c r="O41" s="62">
        <f>'Opex summary'!O36</f>
        <v>4209890.2928499542</v>
      </c>
      <c r="P41" s="62">
        <f>'Opex summary'!P36</f>
        <v>3962358.4991510026</v>
      </c>
      <c r="Q41" s="62">
        <f>'Opex summary'!Q36</f>
        <v>2952901.0354271326</v>
      </c>
      <c r="R41" s="62">
        <f>'Opex summary'!R36</f>
        <v>2951949.1581603275</v>
      </c>
      <c r="S41" s="62">
        <f>'Opex summary'!S36</f>
        <v>2930863.1073921518</v>
      </c>
    </row>
    <row r="42" spans="1:21" x14ac:dyDescent="0.2">
      <c r="B42" s="15" t="s">
        <v>244</v>
      </c>
      <c r="C42" s="25" t="s">
        <v>250</v>
      </c>
      <c r="I42" s="15"/>
      <c r="M42" s="62">
        <f>'Opex summary'!M37</f>
        <v>7575601</v>
      </c>
      <c r="N42" s="62">
        <f>'Opex summary'!N37</f>
        <v>8952539.9195158817</v>
      </c>
      <c r="O42" s="62">
        <f>'Opex summary'!O37</f>
        <v>10441311.745797276</v>
      </c>
      <c r="P42" s="62">
        <f>'Opex summary'!P37</f>
        <v>10015112.805274285</v>
      </c>
      <c r="Q42" s="62">
        <f>'Opex summary'!Q37</f>
        <v>10268846.21193628</v>
      </c>
      <c r="R42" s="62">
        <f>'Opex summary'!R37</f>
        <v>9424517.0285123158</v>
      </c>
      <c r="S42" s="62">
        <f>'Opex summary'!S37</f>
        <v>9584903.4719508532</v>
      </c>
    </row>
    <row r="43" spans="1:21" x14ac:dyDescent="0.2">
      <c r="B43" s="15" t="s">
        <v>100</v>
      </c>
      <c r="C43" s="25" t="s">
        <v>250</v>
      </c>
      <c r="I43" s="15"/>
      <c r="M43" s="62">
        <f>'Opex summary'!M38</f>
        <v>0</v>
      </c>
      <c r="N43" s="62">
        <f>'Opex summary'!N38</f>
        <v>0</v>
      </c>
      <c r="O43" s="62">
        <f>'Opex summary'!O38</f>
        <v>0</v>
      </c>
      <c r="P43" s="62">
        <f>'Opex summary'!P38</f>
        <v>0</v>
      </c>
      <c r="Q43" s="62">
        <f>'Opex summary'!Q38</f>
        <v>0</v>
      </c>
      <c r="R43" s="62">
        <f>'Opex summary'!R38</f>
        <v>0</v>
      </c>
      <c r="S43" s="62">
        <f>'Opex summary'!S38</f>
        <v>0</v>
      </c>
    </row>
    <row r="44" spans="1:21" x14ac:dyDescent="0.2">
      <c r="B44" s="12" t="s">
        <v>245</v>
      </c>
      <c r="C44" s="69" t="s">
        <v>250</v>
      </c>
      <c r="D44" s="12"/>
      <c r="E44" s="12"/>
      <c r="F44" s="12"/>
      <c r="G44" s="12"/>
      <c r="H44" s="12"/>
      <c r="I44" s="12"/>
      <c r="J44" s="12"/>
      <c r="K44" s="12"/>
      <c r="L44" s="12"/>
      <c r="M44" s="67">
        <f t="shared" ref="M44:S44" si="3">SUM(M40:M43)</f>
        <v>17106053.560934145</v>
      </c>
      <c r="N44" s="70">
        <f t="shared" si="3"/>
        <v>17774052.068089142</v>
      </c>
      <c r="O44" s="70">
        <f t="shared" si="3"/>
        <v>19407776.002200846</v>
      </c>
      <c r="P44" s="70">
        <f t="shared" si="3"/>
        <v>18762458.318342358</v>
      </c>
      <c r="Q44" s="70">
        <f t="shared" si="3"/>
        <v>18003339.026491027</v>
      </c>
      <c r="R44" s="70">
        <f t="shared" si="3"/>
        <v>17178120.616810963</v>
      </c>
      <c r="S44" s="70">
        <f t="shared" si="3"/>
        <v>17302828.963119004</v>
      </c>
    </row>
    <row r="45" spans="1:21" x14ac:dyDescent="0.2">
      <c r="C45" s="25"/>
      <c r="I45" s="15"/>
    </row>
    <row r="46" spans="1:21" x14ac:dyDescent="0.2">
      <c r="B46" s="15" t="s">
        <v>246</v>
      </c>
      <c r="C46" s="25" t="s">
        <v>250</v>
      </c>
      <c r="I46" s="15"/>
      <c r="M46" s="62">
        <f>'Opex summary'!M41</f>
        <v>15037203.627220649</v>
      </c>
      <c r="N46" s="62">
        <f>'Opex summary'!N41</f>
        <v>15972139.048512053</v>
      </c>
      <c r="O46" s="62">
        <f>'Opex summary'!O41</f>
        <v>11430567.257698415</v>
      </c>
      <c r="P46" s="62">
        <f>'Opex summary'!P41</f>
        <v>13132992.437478419</v>
      </c>
      <c r="Q46" s="62">
        <f>'Opex summary'!Q41</f>
        <v>11958143.888746528</v>
      </c>
      <c r="R46" s="62">
        <f>'Opex summary'!R41</f>
        <v>11797958.922470275</v>
      </c>
      <c r="S46" s="62">
        <f>'Opex summary'!S41</f>
        <v>11606690.420728896</v>
      </c>
    </row>
    <row r="47" spans="1:21" x14ac:dyDescent="0.2">
      <c r="B47" s="15" t="s">
        <v>497</v>
      </c>
      <c r="C47" s="25" t="s">
        <v>250</v>
      </c>
      <c r="I47" s="15"/>
      <c r="M47" s="62">
        <f>'Opex summary'!M42</f>
        <v>15095413.912937853</v>
      </c>
      <c r="N47" s="62">
        <f>'Opex summary'!N42</f>
        <v>14799267.432969997</v>
      </c>
      <c r="O47" s="62">
        <f>'Opex summary'!O42</f>
        <v>12193081.971134793</v>
      </c>
      <c r="P47" s="62">
        <f>'Opex summary'!P42</f>
        <v>13387160.684956057</v>
      </c>
      <c r="Q47" s="62">
        <f>'Opex summary'!Q42</f>
        <v>12909493.327657375</v>
      </c>
      <c r="R47" s="62">
        <f>'Opex summary'!R42</f>
        <v>12812838.428646034</v>
      </c>
      <c r="S47" s="62">
        <f>'Opex summary'!S42</f>
        <v>13043085.299960708</v>
      </c>
    </row>
    <row r="48" spans="1:21" x14ac:dyDescent="0.2">
      <c r="B48" s="12" t="s">
        <v>247</v>
      </c>
      <c r="C48" s="69" t="s">
        <v>250</v>
      </c>
      <c r="D48" s="12"/>
      <c r="E48" s="12"/>
      <c r="F48" s="12"/>
      <c r="G48" s="12"/>
      <c r="H48" s="12"/>
      <c r="I48" s="12"/>
      <c r="J48" s="12"/>
      <c r="K48" s="12"/>
      <c r="L48" s="12"/>
      <c r="M48" s="67">
        <f t="shared" ref="M48:S48" si="4">SUM(M46:M47)</f>
        <v>30132617.540158503</v>
      </c>
      <c r="N48" s="67">
        <f t="shared" si="4"/>
        <v>30771406.481482051</v>
      </c>
      <c r="O48" s="70">
        <f t="shared" si="4"/>
        <v>23623649.228833206</v>
      </c>
      <c r="P48" s="70">
        <f t="shared" si="4"/>
        <v>26520153.122434475</v>
      </c>
      <c r="Q48" s="70">
        <f t="shared" si="4"/>
        <v>24867637.216403902</v>
      </c>
      <c r="R48" s="70">
        <f t="shared" si="4"/>
        <v>24610797.351116307</v>
      </c>
      <c r="S48" s="70">
        <f t="shared" si="4"/>
        <v>24649775.720689602</v>
      </c>
    </row>
    <row r="49" spans="1:20" x14ac:dyDescent="0.2">
      <c r="C49" s="25"/>
      <c r="I49" s="15"/>
    </row>
    <row r="50" spans="1:20" x14ac:dyDescent="0.2">
      <c r="B50" s="12" t="s">
        <v>248</v>
      </c>
      <c r="C50" s="69" t="s">
        <v>250</v>
      </c>
      <c r="D50" s="12"/>
      <c r="E50" s="12"/>
      <c r="F50" s="12"/>
      <c r="G50" s="12"/>
      <c r="H50" s="12"/>
      <c r="I50" s="12"/>
      <c r="J50" s="12"/>
      <c r="K50" s="12"/>
      <c r="L50" s="12"/>
      <c r="M50" s="67">
        <f t="shared" ref="M50:S50" si="5">M44+M48</f>
        <v>47238671.101092651</v>
      </c>
      <c r="N50" s="67">
        <f t="shared" si="5"/>
        <v>48545458.549571194</v>
      </c>
      <c r="O50" s="70">
        <f t="shared" si="5"/>
        <v>43031425.231034055</v>
      </c>
      <c r="P50" s="67">
        <f t="shared" si="5"/>
        <v>45282611.440776832</v>
      </c>
      <c r="Q50" s="70">
        <f t="shared" si="5"/>
        <v>42870976.242894933</v>
      </c>
      <c r="R50" s="70">
        <f t="shared" si="5"/>
        <v>41788917.96792727</v>
      </c>
      <c r="S50" s="70">
        <f t="shared" si="5"/>
        <v>41952604.68380861</v>
      </c>
    </row>
    <row r="52" spans="1:20" x14ac:dyDescent="0.2">
      <c r="B52" s="12" t="s">
        <v>341</v>
      </c>
      <c r="C52" s="25"/>
      <c r="I52" s="15"/>
      <c r="T52" s="18"/>
    </row>
    <row r="53" spans="1:20" x14ac:dyDescent="0.2">
      <c r="B53" s="15" t="s">
        <v>263</v>
      </c>
      <c r="C53" s="25"/>
      <c r="I53" s="15"/>
      <c r="M53" s="238">
        <f>SUMIFS('Forecast opex'!$Q$9:$Q$218,'Forecast opex'!$I$9:$I$218,YEAR(M$4),'Forecast opex'!$G$9:$G$218,$B53)</f>
        <v>656503.92800000007</v>
      </c>
      <c r="N53" s="238">
        <f>SUMIFS('Forecast opex'!$Q$9:$Q$218,'Forecast opex'!$I$9:$I$218,YEAR(N$4),'Forecast opex'!$G$9:$G$218,$B53)</f>
        <v>653693.18772721873</v>
      </c>
      <c r="O53" s="238">
        <f>SUMIFS('Forecast opex'!$Q$9:$Q$218,'Forecast opex'!$I$9:$I$218,YEAR(O$4),'Forecast opex'!$G$9:$G$218,$B53)</f>
        <v>637399.21770516504</v>
      </c>
      <c r="P53" s="238">
        <f>SUMIFS('Forecast opex'!$Q$9:$Q$218,'Forecast opex'!$I$9:$I$218,YEAR(P$4),'Forecast opex'!$G$9:$G$218,$B53)</f>
        <v>633316.08245767176</v>
      </c>
      <c r="Q53" s="238">
        <f>SUMIFS('Forecast opex'!$Q$9:$Q$218,'Forecast opex'!$I$9:$I$218,YEAR(Q$4),'Forecast opex'!$G$9:$G$218,$B53)</f>
        <v>391550.0548394348</v>
      </c>
      <c r="R53" s="238">
        <f>SUMIFS('Forecast opex'!$Q$9:$Q$218,'Forecast opex'!$I$9:$I$218,YEAR(R$4),'Forecast opex'!$G$9:$G$218,$B53)</f>
        <v>295094.45941426657</v>
      </c>
      <c r="S53" s="238">
        <f>SUMIFS('Forecast opex'!$Q$9:$Q$218,'Forecast opex'!$I$9:$I$218,YEAR(S$4),'Forecast opex'!$G$9:$G$218,$B53)</f>
        <v>290826.06279913563</v>
      </c>
      <c r="T53" s="18"/>
    </row>
    <row r="54" spans="1:20" x14ac:dyDescent="0.2">
      <c r="B54" s="15" t="s">
        <v>322</v>
      </c>
      <c r="C54" s="22" t="s">
        <v>250</v>
      </c>
      <c r="I54" s="15"/>
      <c r="M54" s="238">
        <f>SUMIFS('Forecast opex'!$Q$9:$Q$218,'Forecast opex'!$I$9:$I$218,YEAR(M$4),'Forecast opex'!$G$9:$G$218,$B54)</f>
        <v>868995.18460273964</v>
      </c>
      <c r="N54" s="238">
        <f>SUMIFS('Forecast opex'!$Q$9:$Q$218,'Forecast opex'!$I$9:$I$218,YEAR(N$4),'Forecast opex'!$G$9:$G$218,$B54)</f>
        <v>775107.89701532433</v>
      </c>
      <c r="O54" s="238">
        <f>SUMIFS('Forecast opex'!$Q$9:$Q$218,'Forecast opex'!$I$9:$I$218,YEAR(O$4),'Forecast opex'!$G$9:$G$218,$B54)</f>
        <v>758228.77128174913</v>
      </c>
      <c r="P54" s="238">
        <f>SUMIFS('Forecast opex'!$Q$9:$Q$218,'Forecast opex'!$I$9:$I$218,YEAR(P$4),'Forecast opex'!$G$9:$G$218,$B54)</f>
        <v>753371.6102817239</v>
      </c>
      <c r="Q54" s="238">
        <f>SUMIFS('Forecast opex'!$Q$9:$Q$218,'Forecast opex'!$I$9:$I$218,YEAR(Q$4),'Forecast opex'!$G$9:$G$218,$B54)</f>
        <v>753147.97459779296</v>
      </c>
      <c r="R54" s="238">
        <f>SUMIFS('Forecast opex'!$Q$9:$Q$218,'Forecast opex'!$I$9:$I$218,YEAR(R$4),'Forecast opex'!$G$9:$G$218,$B54)</f>
        <v>556963.91156175768</v>
      </c>
      <c r="S54" s="238">
        <f>SUMIFS('Forecast opex'!$Q$9:$Q$218,'Forecast opex'!$I$9:$I$218,YEAR(S$4),'Forecast opex'!$G$9:$G$218,$B54)</f>
        <v>556611.80763509753</v>
      </c>
      <c r="T54" s="18"/>
    </row>
    <row r="55" spans="1:20" s="12" customFormat="1" x14ac:dyDescent="0.2">
      <c r="B55" s="12" t="s">
        <v>49</v>
      </c>
      <c r="C55" s="66" t="s">
        <v>250</v>
      </c>
      <c r="M55" s="91">
        <f>SUM(M53:M54)</f>
        <v>1525499.1126027396</v>
      </c>
      <c r="N55" s="91">
        <f t="shared" ref="N55" si="6">SUM(N53:N54)</f>
        <v>1428801.0847425431</v>
      </c>
      <c r="O55" s="91">
        <f t="shared" ref="O55" si="7">SUM(O53:O54)</f>
        <v>1395627.988986914</v>
      </c>
      <c r="P55" s="91">
        <f t="shared" ref="P55" si="8">SUM(P53:P54)</f>
        <v>1386687.6927393957</v>
      </c>
      <c r="Q55" s="91">
        <f t="shared" ref="Q55" si="9">SUM(Q53:Q54)</f>
        <v>1144698.0294372276</v>
      </c>
      <c r="R55" s="91">
        <f t="shared" ref="R55" si="10">SUM(R53:R54)</f>
        <v>852058.37097602431</v>
      </c>
      <c r="S55" s="91">
        <f t="shared" ref="S55" si="11">SUM(S53:S54)</f>
        <v>847437.87043423322</v>
      </c>
      <c r="T55" s="72"/>
    </row>
    <row r="56" spans="1:20" x14ac:dyDescent="0.2">
      <c r="B56" s="12"/>
      <c r="C56" s="25"/>
      <c r="I56" s="15"/>
      <c r="T56" s="18"/>
    </row>
    <row r="57" spans="1:20" s="13" customFormat="1" ht="12" customHeight="1" x14ac:dyDescent="0.2">
      <c r="A57" s="15"/>
      <c r="B57" s="49" t="s">
        <v>498</v>
      </c>
      <c r="C57" s="50" t="s">
        <v>51</v>
      </c>
      <c r="D57" s="51" t="s">
        <v>52</v>
      </c>
      <c r="E57" s="50" t="s">
        <v>53</v>
      </c>
      <c r="F57" s="18"/>
      <c r="G57" s="20"/>
      <c r="H57" s="20"/>
      <c r="I57" s="20"/>
      <c r="J57" s="20"/>
      <c r="K57" s="18"/>
      <c r="L57" s="18"/>
      <c r="M57" s="18"/>
      <c r="N57" s="18"/>
      <c r="O57" s="18"/>
      <c r="P57" s="18"/>
      <c r="Q57" s="18"/>
      <c r="R57" s="18"/>
      <c r="S57" s="18"/>
      <c r="T57" s="18"/>
    </row>
    <row r="58" spans="1:20" x14ac:dyDescent="0.2">
      <c r="K58" s="31"/>
      <c r="L58" s="31"/>
      <c r="M58" s="31"/>
      <c r="N58" s="31"/>
      <c r="O58" s="31"/>
      <c r="P58" s="31"/>
      <c r="Q58" s="31"/>
      <c r="R58" s="31"/>
      <c r="S58" s="31"/>
      <c r="T58" s="18"/>
    </row>
    <row r="59" spans="1:20" x14ac:dyDescent="0.2">
      <c r="B59" s="12" t="s">
        <v>499</v>
      </c>
      <c r="C59" s="25"/>
      <c r="I59" s="15"/>
      <c r="T59" s="18"/>
    </row>
    <row r="60" spans="1:20" x14ac:dyDescent="0.2">
      <c r="B60" s="65" t="s">
        <v>49</v>
      </c>
      <c r="C60" s="16" t="s">
        <v>250</v>
      </c>
      <c r="E60" s="15" t="s">
        <v>500</v>
      </c>
      <c r="I60" s="15"/>
      <c r="M60" s="71">
        <f>'Operating leases'!M63</f>
        <v>-1377971.5722043533</v>
      </c>
      <c r="N60" s="71">
        <f>'Operating leases'!N63</f>
        <v>0</v>
      </c>
      <c r="O60" s="71">
        <f>'Operating leases'!O63</f>
        <v>0</v>
      </c>
      <c r="P60" s="71">
        <f>'Operating leases'!P63</f>
        <v>0</v>
      </c>
      <c r="Q60" s="71">
        <f>'Operating leases'!Q63</f>
        <v>0</v>
      </c>
      <c r="R60" s="71">
        <f>'Operating leases'!R63</f>
        <v>0</v>
      </c>
      <c r="S60" s="71">
        <f>'Operating leases'!S63</f>
        <v>0</v>
      </c>
      <c r="T60" s="18"/>
    </row>
    <row r="69" spans="20:20" x14ac:dyDescent="0.2">
      <c r="T69" s="13"/>
    </row>
  </sheetData>
  <sheetProtection algorithmName="SHA-512" hashValue="z1N+m0sifVDrOQzPLU7pChJN7xzuj0dUBLAXzgtL0JLPW3F5Y0/hQWoEYVtECAMGPvXaz0qv+lEBe/0euqcdbQ==" saltValue="XvVME6ypBtIyyEyDa9vQkg==" spinCount="100000" sheet="1" objects="1" scenarios="1"/>
  <conditionalFormatting sqref="C2">
    <cfRule type="expression" dxfId="32" priority="1">
      <formula>Model_check&lt;&gt;0</formula>
    </cfRule>
    <cfRule type="expression" dxfId="31" priority="2">
      <formula>Model_check=0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extLst>
    <ext xmlns:x14="http://schemas.microsoft.com/office/spreadsheetml/2009/9/main" uri="{78C0D931-6437-407d-A8EE-F0AAD7539E65}">
      <x14:conditionalFormattings>
        <x14:conditionalFormatting xmlns:xm="http://schemas.microsoft.com/office/excel/2006/main">
          <x14:cfRule type="expression" priority="8" id="{24276009-F474-48A5-BA30-967415D97B85}">
            <xm:f>'Global inputs'!$A1="MODEL ERROR"</xm:f>
            <x14:dxf>
              <fill>
                <patternFill>
                  <bgColor theme="1"/>
                </patternFill>
              </fill>
            </x14:dxf>
          </x14:cfRule>
          <xm:sqref>A1:XFD1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7941E"/>
  </sheetPr>
  <dimension ref="A1:AA2"/>
  <sheetViews>
    <sheetView showGridLines="0" zoomScale="85" zoomScaleNormal="85" workbookViewId="0"/>
  </sheetViews>
  <sheetFormatPr defaultColWidth="0" defaultRowHeight="12.75" x14ac:dyDescent="0.2"/>
  <cols>
    <col min="1" max="1" width="2.75" style="27" customWidth="1"/>
    <col min="2" max="2" width="35.75" style="27" customWidth="1"/>
    <col min="3" max="4" width="15.75" style="27" customWidth="1"/>
    <col min="5" max="6" width="2.75" style="27" customWidth="1"/>
    <col min="7" max="19" width="10.75" style="27" customWidth="1"/>
    <col min="20" max="20" width="2.75" style="27" customWidth="1"/>
    <col min="21" max="24" width="10.75" style="27" customWidth="1"/>
    <col min="25" max="25" width="2.75" style="27" customWidth="1"/>
    <col min="26" max="16384" width="0" style="27" hidden="1"/>
  </cols>
  <sheetData>
    <row r="1" spans="1:27" s="15" customFormat="1" ht="12" customHeight="1" x14ac:dyDescent="0.2">
      <c r="A1" s="13"/>
      <c r="B1" s="13"/>
      <c r="C1" s="14"/>
      <c r="D1" s="13"/>
      <c r="E1" s="13"/>
      <c r="F1" s="13"/>
      <c r="G1" s="13"/>
      <c r="H1" s="13"/>
      <c r="I1" s="13"/>
      <c r="J1" s="13"/>
      <c r="K1" s="13"/>
      <c r="L1" s="13"/>
      <c r="M1" s="13"/>
      <c r="N1" s="13"/>
      <c r="O1" s="13"/>
      <c r="P1" s="13"/>
      <c r="Q1" s="13"/>
      <c r="R1" s="13"/>
      <c r="S1" s="13"/>
      <c r="T1" s="13"/>
      <c r="U1" s="13"/>
      <c r="V1" s="13"/>
      <c r="W1" s="13"/>
      <c r="X1" s="13"/>
      <c r="Y1" s="13"/>
      <c r="Z1" s="13"/>
      <c r="AA1" s="13"/>
    </row>
    <row r="2" spans="1:27" x14ac:dyDescent="0.2">
      <c r="B2" s="32" t="s">
        <v>41</v>
      </c>
    </row>
  </sheetData>
  <sheetProtection algorithmName="SHA-512" hashValue="2+wsjFZ4uodm3+KXruz0VbPF+tmNaLG5tcQcXCDCJT9tHbdKnytxDUL8/z98f2pq4cOAb0wtt6lw8ZfOdNaDgw==" saltValue="g4UbmcB3odleatLPLwkFIg==" spinCount="100000" sheet="1" objects="1" scenarios="1"/>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58"/>
  <sheetViews>
    <sheetView showGridLines="0" zoomScaleNormal="100" workbookViewId="0"/>
  </sheetViews>
  <sheetFormatPr defaultColWidth="0" defaultRowHeight="14.25" x14ac:dyDescent="0.2"/>
  <cols>
    <col min="1" max="1" width="2.375" style="371" customWidth="1"/>
    <col min="2" max="2" width="8.75" style="371" customWidth="1"/>
    <col min="3" max="3" width="11" style="371" customWidth="1"/>
    <col min="4" max="4" width="43.75" style="371" bestFit="1" customWidth="1"/>
    <col min="5" max="5" width="38.875" style="396" bestFit="1" customWidth="1"/>
    <col min="6" max="6" width="47.625" style="371" bestFit="1" customWidth="1"/>
    <col min="7" max="7" width="19.25" style="371" customWidth="1"/>
    <col min="8" max="8" width="40.375" style="371" bestFit="1" customWidth="1"/>
    <col min="9" max="9" width="11" style="371" customWidth="1"/>
    <col min="10" max="10" width="2.75" style="371" customWidth="1"/>
    <col min="11" max="11" width="10.5" style="371" hidden="1" customWidth="1"/>
    <col min="12" max="12" width="10.125" style="396" hidden="1" customWidth="1"/>
    <col min="13" max="13" width="3.875" style="371" hidden="1" customWidth="1"/>
    <col min="14" max="14" width="4.125" style="371" hidden="1" customWidth="1"/>
    <col min="15" max="16384" width="8.75" style="371" hidden="1"/>
  </cols>
  <sheetData>
    <row r="1" spans="2:13" s="372" customFormat="1" x14ac:dyDescent="0.2">
      <c r="B1" s="371"/>
      <c r="E1" s="373"/>
      <c r="L1" s="373"/>
    </row>
    <row r="2" spans="2:13" s="372" customFormat="1" ht="17.850000000000001" customHeight="1" x14ac:dyDescent="0.2">
      <c r="B2" s="374" t="s">
        <v>501</v>
      </c>
      <c r="C2" s="375"/>
      <c r="D2" s="376"/>
      <c r="E2" s="376"/>
      <c r="F2" s="376"/>
      <c r="G2" s="376"/>
      <c r="H2" s="376"/>
      <c r="I2" s="376"/>
      <c r="J2" s="377"/>
      <c r="K2" s="377"/>
      <c r="L2" s="377"/>
      <c r="M2" s="377"/>
    </row>
    <row r="3" spans="2:13" s="372" customFormat="1" ht="18" customHeight="1" x14ac:dyDescent="0.2">
      <c r="B3" s="376"/>
      <c r="C3" s="376"/>
      <c r="D3" s="376"/>
      <c r="E3" s="376"/>
      <c r="F3" s="376"/>
      <c r="G3" s="376"/>
      <c r="H3" s="376"/>
      <c r="I3" s="376"/>
      <c r="J3" s="377"/>
      <c r="K3" s="377"/>
      <c r="L3" s="377"/>
      <c r="M3" s="377"/>
    </row>
    <row r="4" spans="2:13" s="372" customFormat="1" ht="18" customHeight="1" x14ac:dyDescent="0.25">
      <c r="B4" s="378" t="s">
        <v>502</v>
      </c>
      <c r="C4" s="379"/>
      <c r="D4" s="379"/>
      <c r="E4" s="379"/>
      <c r="F4" s="379"/>
      <c r="G4" s="379"/>
      <c r="H4" s="380" t="s">
        <v>503</v>
      </c>
      <c r="I4" s="381"/>
      <c r="L4" s="373"/>
    </row>
    <row r="5" spans="2:13" s="372" customFormat="1" ht="52.35" customHeight="1" x14ac:dyDescent="0.2">
      <c r="B5" s="382" t="s">
        <v>504</v>
      </c>
      <c r="C5" s="383" t="s">
        <v>505</v>
      </c>
      <c r="D5" s="384" t="s">
        <v>506</v>
      </c>
      <c r="E5" s="385" t="s">
        <v>507</v>
      </c>
      <c r="F5" s="385" t="s">
        <v>508</v>
      </c>
      <c r="G5" s="383" t="s">
        <v>509</v>
      </c>
      <c r="H5" s="380" t="s">
        <v>510</v>
      </c>
      <c r="I5" s="381"/>
      <c r="L5" s="373"/>
    </row>
    <row r="6" spans="2:13" s="372" customFormat="1" x14ac:dyDescent="0.2">
      <c r="B6" s="386">
        <v>1</v>
      </c>
      <c r="C6" s="387">
        <v>1</v>
      </c>
      <c r="D6" s="388" t="str">
        <f>'Global inputs'!B152</f>
        <v>1.1 Poles</v>
      </c>
      <c r="E6" s="388" t="str">
        <f>'Global inputs'!C152</f>
        <v>Asset replacement and renewal</v>
      </c>
      <c r="F6" s="387" t="s">
        <v>511</v>
      </c>
      <c r="G6" s="389">
        <f>SUMIFS('Sch E table 4 '!$T$13:$T$104,'Sch E table 4 '!$E$13:$E$104,'Sch E table 1'!D6)</f>
        <v>42339.6</v>
      </c>
      <c r="H6" s="387" t="s">
        <v>512</v>
      </c>
      <c r="I6" s="381"/>
      <c r="L6" s="373"/>
    </row>
    <row r="7" spans="2:13" s="372" customFormat="1" x14ac:dyDescent="0.2">
      <c r="B7" s="386">
        <f>B6+1</f>
        <v>2</v>
      </c>
      <c r="C7" s="387">
        <v>2</v>
      </c>
      <c r="D7" s="388" t="str">
        <f>'Global inputs'!B153</f>
        <v>1.2 Crossarms</v>
      </c>
      <c r="E7" s="388" t="str">
        <f>'Global inputs'!C153</f>
        <v>Asset replacement and renewal</v>
      </c>
      <c r="F7" s="387" t="s">
        <v>513</v>
      </c>
      <c r="G7" s="389">
        <f>SUMIFS('Sch E table 4 '!$T$13:$T$104,'Sch E table 4 '!$E$13:$E$104,'Sch E table 1'!D7)</f>
        <v>38305.805500000002</v>
      </c>
      <c r="H7" s="387" t="s">
        <v>514</v>
      </c>
      <c r="I7" s="381"/>
      <c r="L7" s="373"/>
    </row>
    <row r="8" spans="2:13" s="372" customFormat="1" x14ac:dyDescent="0.2">
      <c r="B8" s="386">
        <f t="shared" ref="B8:B35" si="0">B7+1</f>
        <v>3</v>
      </c>
      <c r="C8" s="387">
        <v>3</v>
      </c>
      <c r="D8" s="388" t="str">
        <f>'Global inputs'!B154</f>
        <v>2.1 Subtransmission Conductor</v>
      </c>
      <c r="E8" s="388" t="str">
        <f>'Global inputs'!C154</f>
        <v>Asset replacement and renewal</v>
      </c>
      <c r="F8" s="387" t="s">
        <v>515</v>
      </c>
      <c r="G8" s="389">
        <f>SUMIFS('Sch E table 4 '!$T$13:$T$104,'Sch E table 4 '!$E$13:$E$104,'Sch E table 1'!D8)</f>
        <v>15448.755599999997</v>
      </c>
      <c r="H8" s="387" t="s">
        <v>516</v>
      </c>
      <c r="I8" s="381"/>
      <c r="L8" s="373"/>
    </row>
    <row r="9" spans="2:13" s="372" customFormat="1" x14ac:dyDescent="0.2">
      <c r="B9" s="386">
        <f t="shared" si="0"/>
        <v>4</v>
      </c>
      <c r="C9" s="387">
        <v>4</v>
      </c>
      <c r="D9" s="388" t="str">
        <f>'Global inputs'!B155</f>
        <v>2.2 Distribution Conductor</v>
      </c>
      <c r="E9" s="388" t="str">
        <f>'Global inputs'!C155</f>
        <v>Asset replacement and renewal</v>
      </c>
      <c r="F9" s="387" t="s">
        <v>517</v>
      </c>
      <c r="G9" s="389">
        <f>SUMIFS('Sch E table 4 '!$T$13:$T$104,'Sch E table 4 '!$E$13:$E$104,'Sch E table 1'!D9)</f>
        <v>26656.050000000003</v>
      </c>
      <c r="H9" s="387" t="s">
        <v>518</v>
      </c>
      <c r="I9" s="381"/>
      <c r="L9" s="373"/>
    </row>
    <row r="10" spans="2:13" s="372" customFormat="1" x14ac:dyDescent="0.2">
      <c r="B10" s="386">
        <f t="shared" si="0"/>
        <v>5</v>
      </c>
      <c r="C10" s="387">
        <v>5</v>
      </c>
      <c r="D10" s="388" t="str">
        <f>'Global inputs'!B156</f>
        <v>2.3 Low Voltage Conductor</v>
      </c>
      <c r="E10" s="388" t="str">
        <f>'Global inputs'!C156</f>
        <v>Asset replacement and renewal</v>
      </c>
      <c r="F10" s="387" t="s">
        <v>519</v>
      </c>
      <c r="G10" s="389">
        <f>SUMIFS('Sch E table 4 '!$T$13:$T$104,'Sch E table 4 '!$E$13:$E$104,'Sch E table 1'!D10)</f>
        <v>18649.259999999998</v>
      </c>
      <c r="H10" s="387" t="s">
        <v>520</v>
      </c>
      <c r="I10" s="381"/>
      <c r="L10" s="373"/>
    </row>
    <row r="11" spans="2:13" s="372" customFormat="1" x14ac:dyDescent="0.2">
      <c r="B11" s="386">
        <f t="shared" si="0"/>
        <v>6</v>
      </c>
      <c r="C11" s="387">
        <v>6</v>
      </c>
      <c r="D11" s="388" t="str">
        <f>'Global inputs'!B157</f>
        <v>3.1 Subtransmission Cables</v>
      </c>
      <c r="E11" s="388" t="str">
        <f>'Global inputs'!C157</f>
        <v>Asset replacement and renewal</v>
      </c>
      <c r="F11" s="387" t="s">
        <v>521</v>
      </c>
      <c r="G11" s="389">
        <f>SUMIFS('Sch E table 4 '!$T$13:$T$104,'Sch E table 4 '!$E$13:$E$104,'Sch E table 1'!D11)</f>
        <v>7448.7599999999984</v>
      </c>
      <c r="H11" s="387" t="s">
        <v>516</v>
      </c>
      <c r="I11" s="381"/>
      <c r="L11" s="373"/>
    </row>
    <row r="12" spans="2:13" s="372" customFormat="1" x14ac:dyDescent="0.2">
      <c r="B12" s="386">
        <f t="shared" si="0"/>
        <v>7</v>
      </c>
      <c r="C12" s="387">
        <v>7</v>
      </c>
      <c r="D12" s="388" t="str">
        <f>'Global inputs'!B158</f>
        <v>3.2 Distribution Cables</v>
      </c>
      <c r="E12" s="388" t="str">
        <f>'Global inputs'!C158</f>
        <v>Asset replacement and renewal</v>
      </c>
      <c r="F12" s="387" t="s">
        <v>522</v>
      </c>
      <c r="G12" s="389">
        <f>SUMIFS('Sch E table 4 '!$T$13:$T$104,'Sch E table 4 '!$E$13:$E$104,'Sch E table 1'!D12)</f>
        <v>8053.9432500000003</v>
      </c>
      <c r="H12" s="387" t="s">
        <v>516</v>
      </c>
      <c r="I12" s="381"/>
      <c r="L12" s="373"/>
    </row>
    <row r="13" spans="2:13" s="372" customFormat="1" x14ac:dyDescent="0.2">
      <c r="B13" s="386">
        <f t="shared" si="0"/>
        <v>8</v>
      </c>
      <c r="C13" s="387">
        <v>8</v>
      </c>
      <c r="D13" s="388" t="str">
        <f>'Global inputs'!B159</f>
        <v>3.3 Low Voltage Cables</v>
      </c>
      <c r="E13" s="388" t="str">
        <f>'Global inputs'!C159</f>
        <v>Asset replacement and renewal</v>
      </c>
      <c r="F13" s="387" t="s">
        <v>523</v>
      </c>
      <c r="G13" s="389">
        <f>SUMIFS('Sch E table 4 '!$T$13:$T$104,'Sch E table 4 '!$E$13:$E$104,'Sch E table 1'!D13)</f>
        <v>1422.7627499999999</v>
      </c>
      <c r="H13" s="387" t="s">
        <v>516</v>
      </c>
      <c r="I13" s="381"/>
      <c r="L13" s="373"/>
    </row>
    <row r="14" spans="2:13" s="372" customFormat="1" x14ac:dyDescent="0.2">
      <c r="B14" s="386">
        <f t="shared" si="0"/>
        <v>9</v>
      </c>
      <c r="C14" s="387">
        <v>9</v>
      </c>
      <c r="D14" s="388" t="str">
        <f>'Global inputs'!B160</f>
        <v>4.1 Zone Substations</v>
      </c>
      <c r="E14" s="388" t="str">
        <f>'Global inputs'!C160</f>
        <v>Asset replacement and renewal</v>
      </c>
      <c r="F14" s="387" t="s">
        <v>524</v>
      </c>
      <c r="G14" s="389">
        <f>SUMIFS('Sch E table 4 '!$T$13:$T$104,'Sch E table 4 '!$E$13:$E$104,'Sch E table 1'!D14)</f>
        <v>39850.289520999999</v>
      </c>
      <c r="H14" s="387" t="s">
        <v>525</v>
      </c>
      <c r="I14" s="381"/>
      <c r="L14" s="373"/>
    </row>
    <row r="15" spans="2:13" s="372" customFormat="1" x14ac:dyDescent="0.2">
      <c r="B15" s="386">
        <f t="shared" si="0"/>
        <v>10</v>
      </c>
      <c r="C15" s="387">
        <v>14</v>
      </c>
      <c r="D15" s="388" t="str">
        <f>'Global inputs'!B161</f>
        <v>5.1 Ground Mounted Switchgear</v>
      </c>
      <c r="E15" s="388" t="str">
        <f>'Global inputs'!C161</f>
        <v>Asset replacement and renewal</v>
      </c>
      <c r="F15" s="387" t="s">
        <v>526</v>
      </c>
      <c r="G15" s="389">
        <f>SUMIFS('Sch E table 4 '!$T$13:$T$104,'Sch E table 4 '!$E$13:$E$104,'Sch E table 1'!D15)</f>
        <v>13744.338749999999</v>
      </c>
      <c r="H15" s="387" t="s">
        <v>516</v>
      </c>
      <c r="I15" s="381"/>
      <c r="L15" s="373"/>
    </row>
    <row r="16" spans="2:13" s="372" customFormat="1" x14ac:dyDescent="0.2">
      <c r="B16" s="386">
        <f t="shared" si="0"/>
        <v>11</v>
      </c>
      <c r="C16" s="387">
        <v>15</v>
      </c>
      <c r="D16" s="388" t="str">
        <f>'Global inputs'!B162</f>
        <v>5.2 Pole Mounted Fuses</v>
      </c>
      <c r="E16" s="388" t="str">
        <f>'Global inputs'!C162</f>
        <v>Asset replacement and renewal</v>
      </c>
      <c r="F16" s="387" t="s">
        <v>527</v>
      </c>
      <c r="G16" s="389">
        <f>SUMIFS('Sch E table 4 '!$T$13:$T$104,'Sch E table 4 '!$E$13:$E$104,'Sch E table 1'!D16)</f>
        <v>1030.75</v>
      </c>
      <c r="H16" s="387" t="s">
        <v>516</v>
      </c>
      <c r="I16" s="381"/>
      <c r="L16" s="373"/>
    </row>
    <row r="17" spans="2:12" s="372" customFormat="1" x14ac:dyDescent="0.2">
      <c r="B17" s="386">
        <f t="shared" si="0"/>
        <v>12</v>
      </c>
      <c r="C17" s="387">
        <v>16</v>
      </c>
      <c r="D17" s="388" t="str">
        <f>'Global inputs'!B163</f>
        <v>5.3 Pole Mounted Switches</v>
      </c>
      <c r="E17" s="388" t="str">
        <f>'Global inputs'!C163</f>
        <v>Asset replacement and renewal</v>
      </c>
      <c r="F17" s="387" t="s">
        <v>528</v>
      </c>
      <c r="G17" s="389">
        <f>SUMIFS('Sch E table 4 '!$T$13:$T$104,'Sch E table 4 '!$E$13:$E$104,'Sch E table 1'!D17)</f>
        <v>2569.75</v>
      </c>
      <c r="H17" s="387" t="s">
        <v>516</v>
      </c>
      <c r="I17" s="381"/>
      <c r="L17" s="373"/>
    </row>
    <row r="18" spans="2:12" s="372" customFormat="1" x14ac:dyDescent="0.2">
      <c r="B18" s="386">
        <f t="shared" si="0"/>
        <v>13</v>
      </c>
      <c r="C18" s="387">
        <v>18</v>
      </c>
      <c r="D18" s="388" t="str">
        <f>'Global inputs'!B164</f>
        <v>5.4 Low Voltage Enclosures</v>
      </c>
      <c r="E18" s="388" t="str">
        <f>'Global inputs'!C164</f>
        <v>Asset replacement and renewal</v>
      </c>
      <c r="F18" s="387" t="s">
        <v>529</v>
      </c>
      <c r="G18" s="389">
        <f>SUMIFS('Sch E table 4 '!$T$13:$T$104,'Sch E table 4 '!$E$13:$E$104,'Sch E table 1'!D18)</f>
        <v>9029.9000000000015</v>
      </c>
      <c r="H18" s="387" t="s">
        <v>530</v>
      </c>
      <c r="I18" s="381"/>
      <c r="L18" s="373"/>
    </row>
    <row r="19" spans="2:12" s="372" customFormat="1" x14ac:dyDescent="0.2">
      <c r="B19" s="386">
        <f t="shared" si="0"/>
        <v>14</v>
      </c>
      <c r="C19" s="387">
        <v>19</v>
      </c>
      <c r="D19" s="388" t="str">
        <f>'Global inputs'!B165</f>
        <v>5.6 Ancillary Distribution Substation Equipment</v>
      </c>
      <c r="E19" s="388" t="str">
        <f>'Global inputs'!C165</f>
        <v>Asset replacement and renewal</v>
      </c>
      <c r="F19" s="387" t="s">
        <v>531</v>
      </c>
      <c r="G19" s="389">
        <f>SUMIFS('Sch E table 4 '!$T$13:$T$104,'Sch E table 4 '!$E$13:$E$104,'Sch E table 1'!D19)</f>
        <v>5057.1682499999997</v>
      </c>
      <c r="H19" s="387" t="s">
        <v>516</v>
      </c>
      <c r="I19" s="381"/>
      <c r="L19" s="373"/>
    </row>
    <row r="20" spans="2:12" s="372" customFormat="1" x14ac:dyDescent="0.2">
      <c r="B20" s="386">
        <f t="shared" si="0"/>
        <v>15</v>
      </c>
      <c r="C20" s="387">
        <v>20</v>
      </c>
      <c r="D20" s="388" t="str">
        <f>'Global inputs'!B166</f>
        <v>6.1 Ground Mounted Distribution Transformers</v>
      </c>
      <c r="E20" s="388" t="str">
        <f>'Global inputs'!C166</f>
        <v>Asset replacement and renewal</v>
      </c>
      <c r="F20" s="387" t="s">
        <v>532</v>
      </c>
      <c r="G20" s="389">
        <f>SUMIFS('Sch E table 4 '!$T$13:$T$104,'Sch E table 4 '!$E$13:$E$104,'Sch E table 1'!D20)</f>
        <v>1602.08</v>
      </c>
      <c r="H20" s="387" t="s">
        <v>516</v>
      </c>
      <c r="I20" s="381"/>
      <c r="L20" s="373"/>
    </row>
    <row r="21" spans="2:12" s="372" customFormat="1" x14ac:dyDescent="0.2">
      <c r="B21" s="386">
        <f t="shared" si="0"/>
        <v>16</v>
      </c>
      <c r="C21" s="387">
        <v>21</v>
      </c>
      <c r="D21" s="388" t="str">
        <f>'Global inputs'!B167</f>
        <v>6.2 Pole Mounted Distribution Transformers</v>
      </c>
      <c r="E21" s="388" t="str">
        <f>'Global inputs'!C167</f>
        <v>Asset replacement and renewal</v>
      </c>
      <c r="F21" s="387" t="s">
        <v>533</v>
      </c>
      <c r="G21" s="389">
        <f>SUMIFS('Sch E table 4 '!$T$13:$T$104,'Sch E table 4 '!$E$13:$E$104,'Sch E table 1'!D21)</f>
        <v>14192.9905</v>
      </c>
      <c r="H21" s="387" t="s">
        <v>516</v>
      </c>
      <c r="I21" s="381"/>
      <c r="L21" s="373"/>
    </row>
    <row r="22" spans="2:12" s="372" customFormat="1" x14ac:dyDescent="0.2">
      <c r="B22" s="386">
        <f>B21+1</f>
        <v>17</v>
      </c>
      <c r="C22" s="387">
        <v>24</v>
      </c>
      <c r="D22" s="388" t="str">
        <f>'Global inputs'!B169</f>
        <v>7.1 Protection</v>
      </c>
      <c r="E22" s="388" t="str">
        <f>'Global inputs'!C169</f>
        <v>Asset replacement and renewal</v>
      </c>
      <c r="F22" s="387" t="s">
        <v>534</v>
      </c>
      <c r="G22" s="389">
        <f>SUMIFS('Sch E table 4 '!$T$13:$T$104,'Sch E table 4 '!$E$13:$E$104,'Sch E table 1'!D22)</f>
        <v>8825.5000000000036</v>
      </c>
      <c r="H22" s="387" t="s">
        <v>535</v>
      </c>
      <c r="I22" s="381"/>
      <c r="L22" s="373"/>
    </row>
    <row r="23" spans="2:12" s="372" customFormat="1" x14ac:dyDescent="0.2">
      <c r="B23" s="386">
        <f t="shared" si="0"/>
        <v>18</v>
      </c>
      <c r="C23" s="387">
        <v>25</v>
      </c>
      <c r="D23" s="388" t="str">
        <f>'Global inputs'!B170</f>
        <v>7.2 DC Systems</v>
      </c>
      <c r="E23" s="388" t="str">
        <f>'Global inputs'!C170</f>
        <v>Asset replacement and renewal</v>
      </c>
      <c r="F23" s="387" t="s">
        <v>536</v>
      </c>
      <c r="G23" s="389">
        <f>SUMIFS('Sch E table 4 '!$T$13:$T$104,'Sch E table 4 '!$E$13:$E$104,'Sch E table 1'!D23)</f>
        <v>3648.9628250000001</v>
      </c>
      <c r="H23" s="387" t="s">
        <v>516</v>
      </c>
      <c r="I23" s="381"/>
      <c r="L23" s="373"/>
    </row>
    <row r="24" spans="2:12" s="372" customFormat="1" x14ac:dyDescent="0.2">
      <c r="B24" s="386">
        <f t="shared" si="0"/>
        <v>19</v>
      </c>
      <c r="C24" s="387">
        <v>26</v>
      </c>
      <c r="D24" s="388" t="str">
        <f>'Global inputs'!B171</f>
        <v>7.3 Remote Terminal Units</v>
      </c>
      <c r="E24" s="388" t="str">
        <f>'Global inputs'!C171</f>
        <v>Asset replacement and renewal</v>
      </c>
      <c r="F24" s="387" t="s">
        <v>537</v>
      </c>
      <c r="G24" s="389">
        <f>SUMIFS('Sch E table 4 '!$T$13:$T$104,'Sch E table 4 '!$E$13:$E$104,'Sch E table 1'!D24)</f>
        <v>738.14999999999986</v>
      </c>
      <c r="H24" s="387" t="s">
        <v>516</v>
      </c>
      <c r="I24" s="381"/>
      <c r="L24" s="373"/>
    </row>
    <row r="25" spans="2:12" s="372" customFormat="1" x14ac:dyDescent="0.2">
      <c r="B25" s="386">
        <f t="shared" si="0"/>
        <v>20</v>
      </c>
      <c r="C25" s="387">
        <v>30</v>
      </c>
      <c r="D25" s="388" t="str">
        <f>'Global inputs'!B143</f>
        <v>9 Distribution and LV Reinforcement</v>
      </c>
      <c r="E25" s="388" t="str">
        <f>'Global inputs'!C143</f>
        <v xml:space="preserve">System growth </v>
      </c>
      <c r="F25" s="387" t="s">
        <v>538</v>
      </c>
      <c r="G25" s="389">
        <f>SUMIFS('Sch E table 4 '!$T$13:$T$104,'Sch E table 4 '!$E$13:$E$104,'Sch E table 1'!D25)</f>
        <v>13310.17870477822</v>
      </c>
      <c r="H25" s="387" t="s">
        <v>539</v>
      </c>
      <c r="I25" s="381"/>
      <c r="L25" s="373"/>
    </row>
    <row r="26" spans="2:12" s="372" customFormat="1" x14ac:dyDescent="0.2">
      <c r="B26" s="386">
        <f t="shared" si="0"/>
        <v>21</v>
      </c>
      <c r="C26" s="387">
        <v>31</v>
      </c>
      <c r="D26" s="388" t="str">
        <f>'Global inputs'!B134</f>
        <v>8.1 Arrowtown 33kV Ring Upgrade</v>
      </c>
      <c r="E26" s="388" t="str">
        <f>'Global inputs'!C134</f>
        <v xml:space="preserve">System growth </v>
      </c>
      <c r="F26" s="387" t="s">
        <v>540</v>
      </c>
      <c r="G26" s="389">
        <f>SUMIFS('Sch E table 4 '!$T$13:$T$104,'Sch E table 4 '!$E$13:$E$104,'Sch E table 1'!D26)</f>
        <v>0</v>
      </c>
      <c r="H26" s="387" t="s">
        <v>541</v>
      </c>
      <c r="I26" s="381"/>
      <c r="L26" s="373"/>
    </row>
    <row r="27" spans="2:12" s="372" customFormat="1" x14ac:dyDescent="0.2">
      <c r="B27" s="386">
        <f t="shared" si="0"/>
        <v>22</v>
      </c>
      <c r="C27" s="387">
        <v>32</v>
      </c>
      <c r="D27" s="388" t="str">
        <f>'Global inputs'!B135</f>
        <v>8.2 Arrowtown Zone Substation 33kV Indoor Switchboard</v>
      </c>
      <c r="E27" s="388" t="str">
        <f>'Global inputs'!C135</f>
        <v xml:space="preserve">System growth </v>
      </c>
      <c r="F27" s="387" t="s">
        <v>542</v>
      </c>
      <c r="G27" s="389">
        <f>SUMIFS('Sch E table 4 '!$T$13:$T$104,'Sch E table 4 '!$E$13:$E$104,'Sch E table 1'!D27)</f>
        <v>0</v>
      </c>
      <c r="H27" s="387" t="s">
        <v>539</v>
      </c>
      <c r="I27" s="381"/>
      <c r="L27" s="373"/>
    </row>
    <row r="28" spans="2:12" s="372" customFormat="1" x14ac:dyDescent="0.2">
      <c r="B28" s="386">
        <f t="shared" si="0"/>
        <v>23</v>
      </c>
      <c r="C28" s="387">
        <v>33</v>
      </c>
      <c r="D28" s="388" t="str">
        <f>'Global inputs'!B136</f>
        <v>8.3 Omakau New Zone Substation</v>
      </c>
      <c r="E28" s="388" t="str">
        <f>'Global inputs'!C136</f>
        <v xml:space="preserve">System growth </v>
      </c>
      <c r="F28" s="387" t="s">
        <v>543</v>
      </c>
      <c r="G28" s="389">
        <f>SUMIFS('Sch E table 4 '!$T$13:$T$104,'Sch E table 4 '!$E$13:$E$104,'Sch E table 1'!D28)</f>
        <v>2853.0875000000001</v>
      </c>
      <c r="H28" s="387" t="s">
        <v>539</v>
      </c>
      <c r="I28" s="381"/>
      <c r="L28" s="373"/>
    </row>
    <row r="29" spans="2:12" s="372" customFormat="1" x14ac:dyDescent="0.2">
      <c r="B29" s="386">
        <f t="shared" si="0"/>
        <v>24</v>
      </c>
      <c r="C29" s="387">
        <v>39</v>
      </c>
      <c r="D29" s="388" t="str">
        <f>'Global inputs'!B141</f>
        <v>8.16 Smith Street to Willowbank Inter-tie</v>
      </c>
      <c r="E29" s="388" t="str">
        <f>'Global inputs'!C141</f>
        <v xml:space="preserve">System growth </v>
      </c>
      <c r="F29" s="387" t="s">
        <v>544</v>
      </c>
      <c r="G29" s="389">
        <f>SUMIFS('Sch E table 4 '!$T$13:$T$104,'Sch E table 4 '!$E$13:$E$104,'Sch E table 1'!D29)</f>
        <v>0</v>
      </c>
      <c r="H29" s="387" t="s">
        <v>539</v>
      </c>
      <c r="I29" s="381"/>
      <c r="L29" s="373"/>
    </row>
    <row r="30" spans="2:12" s="372" customFormat="1" x14ac:dyDescent="0.2">
      <c r="B30" s="386">
        <f t="shared" si="0"/>
        <v>25</v>
      </c>
      <c r="C30" s="387">
        <v>50</v>
      </c>
      <c r="D30" s="388" t="str">
        <f>'Global inputs'!B149</f>
        <v>10 Consumer connection (net)</v>
      </c>
      <c r="E30" s="388" t="str">
        <f>'Global inputs'!C149</f>
        <v>Consumer connection</v>
      </c>
      <c r="F30" s="387" t="s">
        <v>545</v>
      </c>
      <c r="G30" s="389">
        <f>SUMIFS('Sch E table 4 '!$T$13:$T$104,'Sch E table 4 '!$E$13:$E$104,'Sch E table 1'!D30)</f>
        <v>48571.01525198709</v>
      </c>
      <c r="H30" s="387" t="s">
        <v>546</v>
      </c>
      <c r="I30" s="381"/>
      <c r="L30" s="373"/>
    </row>
    <row r="31" spans="2:12" s="372" customFormat="1" x14ac:dyDescent="0.2">
      <c r="B31" s="386">
        <f t="shared" si="0"/>
        <v>26</v>
      </c>
      <c r="C31" s="387">
        <v>51</v>
      </c>
      <c r="D31" s="388" t="str">
        <f>'Global inputs'!B148</f>
        <v>11 Asset relocations (net)</v>
      </c>
      <c r="E31" s="388" t="str">
        <f>'Global inputs'!C148</f>
        <v>Asset relocations and undergrounding</v>
      </c>
      <c r="F31" s="387" t="s">
        <v>547</v>
      </c>
      <c r="G31" s="389">
        <f>SUMIFS('Sch E table 4 '!$T$13:$T$104,'Sch E table 4 '!$E$13:$E$104,'Sch E table 1'!D31)</f>
        <v>9106.4371488666766</v>
      </c>
      <c r="H31" s="387" t="s">
        <v>548</v>
      </c>
      <c r="I31" s="381"/>
      <c r="L31" s="373"/>
    </row>
    <row r="32" spans="2:12" s="372" customFormat="1" x14ac:dyDescent="0.2">
      <c r="B32" s="386">
        <f t="shared" si="0"/>
        <v>27</v>
      </c>
      <c r="C32" s="387">
        <v>52</v>
      </c>
      <c r="D32" s="388" t="str">
        <f>'Global inputs'!B151</f>
        <v>13 RSE</v>
      </c>
      <c r="E32" s="388" t="str">
        <f>'Global inputs'!C151</f>
        <v>Quality of supply</v>
      </c>
      <c r="F32" s="387" t="s">
        <v>549</v>
      </c>
      <c r="G32" s="389">
        <f>SUMIFS('Sch E table 4 '!$T$13:$T$104,'Sch E table 4 '!$E$13:$E$104,'Sch E table 1'!D32)</f>
        <v>1288.77</v>
      </c>
      <c r="H32" s="387" t="s">
        <v>548</v>
      </c>
      <c r="I32" s="381"/>
      <c r="L32" s="373"/>
    </row>
    <row r="33" spans="2:12" s="372" customFormat="1" x14ac:dyDescent="0.2">
      <c r="B33" s="386">
        <f t="shared" si="0"/>
        <v>28</v>
      </c>
      <c r="C33" s="387">
        <v>53</v>
      </c>
      <c r="D33" s="388" t="str">
        <f>'Global inputs'!B150</f>
        <v>12 Future Networks</v>
      </c>
      <c r="E33" s="388" t="str">
        <f>'Global inputs'!C150</f>
        <v>Quality of supply</v>
      </c>
      <c r="F33" s="387" t="s">
        <v>550</v>
      </c>
      <c r="G33" s="389">
        <f>SUMIFS('Sch E table 4 '!$T$13:$T$104,'Sch E table 4 '!$E$13:$E$104,'Sch E table 1'!D33)</f>
        <v>1298.9888333333331</v>
      </c>
      <c r="H33" s="387" t="s">
        <v>548</v>
      </c>
      <c r="I33" s="381"/>
      <c r="L33" s="373"/>
    </row>
    <row r="34" spans="2:12" s="372" customFormat="1" x14ac:dyDescent="0.2">
      <c r="B34" s="386">
        <f t="shared" si="0"/>
        <v>29</v>
      </c>
      <c r="C34" s="387">
        <v>60</v>
      </c>
      <c r="D34" s="388" t="str">
        <f>'Global inputs'!B146</f>
        <v>14 IT</v>
      </c>
      <c r="E34" s="388" t="str">
        <f>'Global inputs'!C146</f>
        <v>Non-network CAPEX</v>
      </c>
      <c r="F34" s="387" t="s">
        <v>551</v>
      </c>
      <c r="G34" s="389">
        <f>SUMIFS('Sch E table 4 '!$T$13:$T$104,'Sch E table 4 '!$E$13:$E$104,'Sch E table 1'!D34)</f>
        <v>12500.098341529403</v>
      </c>
      <c r="H34" s="387" t="s">
        <v>552</v>
      </c>
      <c r="I34" s="381"/>
      <c r="L34" s="373"/>
    </row>
    <row r="35" spans="2:12" s="372" customFormat="1" x14ac:dyDescent="0.2">
      <c r="B35" s="386">
        <f t="shared" si="0"/>
        <v>30</v>
      </c>
      <c r="C35" s="387">
        <v>61</v>
      </c>
      <c r="D35" s="388" t="str">
        <f>'Global inputs'!B147</f>
        <v>15 Facilities</v>
      </c>
      <c r="E35" s="388" t="str">
        <f>'Global inputs'!C147</f>
        <v>Non-network CAPEX</v>
      </c>
      <c r="F35" s="387" t="s">
        <v>553</v>
      </c>
      <c r="G35" s="389">
        <f>SUMIFS('Sch E table 4 '!$T$13:$T$104,'Sch E table 4 '!$E$13:$E$104,'Sch E table 1'!D35)</f>
        <v>3817.1701328226754</v>
      </c>
      <c r="H35" s="387" t="s">
        <v>554</v>
      </c>
      <c r="I35" s="381"/>
      <c r="L35" s="373"/>
    </row>
    <row r="36" spans="2:12" s="372" customFormat="1" x14ac:dyDescent="0.2">
      <c r="B36" s="381"/>
      <c r="C36" s="390"/>
      <c r="D36" s="381"/>
      <c r="E36" s="381"/>
      <c r="F36" s="381"/>
      <c r="G36" s="381"/>
      <c r="H36" s="381"/>
      <c r="I36" s="381"/>
      <c r="L36" s="373"/>
    </row>
    <row r="37" spans="2:12" s="372" customFormat="1" x14ac:dyDescent="0.2">
      <c r="B37" s="381"/>
      <c r="C37" s="390" t="s">
        <v>503</v>
      </c>
      <c r="D37" s="381"/>
      <c r="E37" s="381"/>
      <c r="F37" s="381"/>
      <c r="G37" s="381"/>
      <c r="H37" s="381"/>
      <c r="I37" s="381"/>
      <c r="L37" s="373"/>
    </row>
    <row r="38" spans="2:12" s="372" customFormat="1" x14ac:dyDescent="0.2">
      <c r="E38" s="373"/>
      <c r="L38" s="373"/>
    </row>
    <row r="39" spans="2:12" s="372" customFormat="1" x14ac:dyDescent="0.2">
      <c r="E39" s="373"/>
      <c r="L39" s="373"/>
    </row>
    <row r="40" spans="2:12" s="372" customFormat="1" ht="17.850000000000001" customHeight="1" x14ac:dyDescent="0.25">
      <c r="B40" s="378" t="s">
        <v>555</v>
      </c>
      <c r="C40" s="379"/>
      <c r="D40" s="379"/>
      <c r="E40" s="379"/>
      <c r="F40" s="379"/>
      <c r="G40" s="379"/>
      <c r="H40" s="380" t="s">
        <v>503</v>
      </c>
      <c r="I40" s="379"/>
      <c r="L40" s="373"/>
    </row>
    <row r="41" spans="2:12" s="372" customFormat="1" ht="48.75" customHeight="1" x14ac:dyDescent="0.2">
      <c r="B41" s="382" t="s">
        <v>504</v>
      </c>
      <c r="C41" s="383" t="s">
        <v>556</v>
      </c>
      <c r="D41" s="384" t="s">
        <v>506</v>
      </c>
      <c r="E41" s="385" t="s">
        <v>331</v>
      </c>
      <c r="F41" s="385" t="s">
        <v>508</v>
      </c>
      <c r="G41" s="383" t="s">
        <v>509</v>
      </c>
      <c r="H41" s="380" t="s">
        <v>510</v>
      </c>
      <c r="I41" s="379"/>
      <c r="L41" s="373"/>
    </row>
    <row r="42" spans="2:12" s="372" customFormat="1" x14ac:dyDescent="0.2">
      <c r="B42" s="386">
        <v>1</v>
      </c>
      <c r="C42" s="387">
        <v>70</v>
      </c>
      <c r="D42" s="388" t="str">
        <f xml:space="preserve"> 'Sch E table 6'!F$17</f>
        <v>16 Preventive Maintenance</v>
      </c>
      <c r="E42" s="388" t="str">
        <f>'Sch E table 6'!D$16</f>
        <v>Routine and corrective maintenance and inspection</v>
      </c>
      <c r="F42" s="387" t="s">
        <v>557</v>
      </c>
      <c r="G42" s="389">
        <f>'Sch E table 6'!U17</f>
        <v>30531.453302851198</v>
      </c>
      <c r="H42" s="387" t="s">
        <v>558</v>
      </c>
      <c r="I42" s="381"/>
      <c r="L42" s="373"/>
    </row>
    <row r="43" spans="2:12" s="372" customFormat="1" x14ac:dyDescent="0.2">
      <c r="B43" s="386">
        <f>B42+1</f>
        <v>2</v>
      </c>
      <c r="C43" s="387">
        <v>71</v>
      </c>
      <c r="D43" s="388" t="str">
        <f xml:space="preserve"> 'Sch E table 6'!F$18</f>
        <v>17 Corrective Maintenance</v>
      </c>
      <c r="E43" s="388" t="str">
        <f>'Sch E table 6'!D$16</f>
        <v>Routine and corrective maintenance and inspection</v>
      </c>
      <c r="F43" s="387" t="s">
        <v>559</v>
      </c>
      <c r="G43" s="389">
        <f>'Sch E table 6'!U18</f>
        <v>16379.330735324564</v>
      </c>
      <c r="H43" s="387" t="s">
        <v>560</v>
      </c>
      <c r="I43" s="381"/>
      <c r="L43" s="373"/>
    </row>
    <row r="44" spans="2:12" s="372" customFormat="1" x14ac:dyDescent="0.2">
      <c r="B44" s="386">
        <f t="shared" ref="B44:B51" si="1">B43+1</f>
        <v>3</v>
      </c>
      <c r="C44" s="387">
        <v>72</v>
      </c>
      <c r="D44" s="388" t="str">
        <f xml:space="preserve"> 'Sch E table 6'!F$6</f>
        <v>18 Reactive Maintenance</v>
      </c>
      <c r="E44" s="388" t="str">
        <f>'Sch E table 6'!D$5</f>
        <v>Service interruptions and emergencies</v>
      </c>
      <c r="F44" s="387" t="s">
        <v>561</v>
      </c>
      <c r="G44" s="389">
        <f>'Sch E table 6'!U6</f>
        <v>22503.144017556864</v>
      </c>
      <c r="H44" s="387" t="s">
        <v>562</v>
      </c>
      <c r="I44" s="381"/>
      <c r="L44" s="373"/>
    </row>
    <row r="45" spans="2:12" s="372" customFormat="1" x14ac:dyDescent="0.2">
      <c r="B45" s="386">
        <f t="shared" si="1"/>
        <v>4</v>
      </c>
      <c r="C45" s="387">
        <v>73</v>
      </c>
      <c r="D45" s="388" t="str">
        <f xml:space="preserve"> 'Sch E table 6'!F$11</f>
        <v>19 Vegetation</v>
      </c>
      <c r="E45" s="388" t="str">
        <f>'Sch E table 6'!D$10</f>
        <v>Vegetation management</v>
      </c>
      <c r="F45" s="387" t="s">
        <v>563</v>
      </c>
      <c r="G45" s="389">
        <f>'Sch E table 6'!U11</f>
        <v>16064.90824027165</v>
      </c>
      <c r="H45" s="387" t="s">
        <v>564</v>
      </c>
      <c r="I45" s="381"/>
      <c r="L45" s="373"/>
    </row>
    <row r="46" spans="2:12" s="372" customFormat="1" x14ac:dyDescent="0.2">
      <c r="B46" s="386">
        <f t="shared" si="1"/>
        <v>5</v>
      </c>
      <c r="C46" s="387">
        <v>80</v>
      </c>
      <c r="D46" s="388" t="str">
        <f>'Sch E table 7'!E7</f>
        <v>20 SONS</v>
      </c>
      <c r="E46" s="388" t="str">
        <f>'Sch E table 7'!C$6</f>
        <v>System operations and network support</v>
      </c>
      <c r="F46" s="387" t="s">
        <v>565</v>
      </c>
      <c r="G46" s="389">
        <f>'Sch E table 7'!S7</f>
        <v>53232.185484577829</v>
      </c>
      <c r="H46" s="387" t="s">
        <v>566</v>
      </c>
      <c r="I46" s="381"/>
      <c r="L46" s="373"/>
    </row>
    <row r="47" spans="2:12" s="372" customFormat="1" x14ac:dyDescent="0.2">
      <c r="B47" s="386">
        <f t="shared" si="1"/>
        <v>6</v>
      </c>
      <c r="C47" s="387">
        <v>81</v>
      </c>
      <c r="D47" s="388" t="str">
        <f>'Sch E table 7'!E13</f>
        <v>21 People Costs</v>
      </c>
      <c r="E47" s="388" t="str">
        <f>'Sch E table 7'!C$12</f>
        <v>Business support</v>
      </c>
      <c r="F47" s="387" t="s">
        <v>567</v>
      </c>
      <c r="G47" s="389">
        <f>'Sch E table 7'!S13</f>
        <v>27134.880167120355</v>
      </c>
      <c r="H47" s="387" t="s">
        <v>568</v>
      </c>
      <c r="I47" s="381"/>
      <c r="L47" s="373"/>
    </row>
    <row r="48" spans="2:12" s="372" customFormat="1" x14ac:dyDescent="0.2">
      <c r="B48" s="386">
        <f t="shared" si="1"/>
        <v>7</v>
      </c>
      <c r="C48" s="387">
        <v>82</v>
      </c>
      <c r="D48" s="388" t="str">
        <f>'Sch E table 7'!E14</f>
        <v>22 IT Opex</v>
      </c>
      <c r="E48" s="388" t="str">
        <f>'Sch E table 7'!C$12</f>
        <v>Business support</v>
      </c>
      <c r="F48" s="387" t="s">
        <v>569</v>
      </c>
      <c r="G48" s="389">
        <f>'Sch E table 7'!S14</f>
        <v>17032.173360000001</v>
      </c>
      <c r="H48" s="387" t="s">
        <v>554</v>
      </c>
      <c r="I48" s="381"/>
      <c r="L48" s="373"/>
    </row>
    <row r="49" spans="1:20" s="372" customFormat="1" x14ac:dyDescent="0.2">
      <c r="B49" s="386">
        <f t="shared" si="1"/>
        <v>8</v>
      </c>
      <c r="C49" s="387">
        <v>83</v>
      </c>
      <c r="D49" s="388" t="str">
        <f>'Sch E table 7'!E15</f>
        <v>23 Premises and Plant</v>
      </c>
      <c r="E49" s="388" t="str">
        <f>'Sch E table 7'!C$12</f>
        <v>Business support</v>
      </c>
      <c r="F49" s="387" t="s">
        <v>570</v>
      </c>
      <c r="G49" s="389">
        <f>'Sch E table 7'!S15</f>
        <v>1915.2322866458949</v>
      </c>
      <c r="H49" s="387" t="s">
        <v>554</v>
      </c>
      <c r="I49" s="381"/>
      <c r="L49" s="373"/>
    </row>
    <row r="50" spans="1:20" s="372" customFormat="1" x14ac:dyDescent="0.2">
      <c r="B50" s="386">
        <f t="shared" si="1"/>
        <v>9</v>
      </c>
      <c r="C50" s="387">
        <v>84</v>
      </c>
      <c r="D50" s="388" t="str">
        <f>'Sch E table 7'!E16</f>
        <v>24 Administration and Governance</v>
      </c>
      <c r="E50" s="388" t="str">
        <f>'Sch E table 7'!C$12</f>
        <v>Business support</v>
      </c>
      <c r="F50" s="387" t="s">
        <v>571</v>
      </c>
      <c r="G50" s="389">
        <f>'Sch E table 7'!S16</f>
        <v>14498.918582204289</v>
      </c>
      <c r="H50" s="387" t="s">
        <v>554</v>
      </c>
      <c r="I50" s="381"/>
      <c r="L50" s="373"/>
    </row>
    <row r="51" spans="1:20" s="372" customFormat="1" x14ac:dyDescent="0.2">
      <c r="B51" s="386">
        <f t="shared" si="1"/>
        <v>10</v>
      </c>
      <c r="C51" s="387">
        <v>85</v>
      </c>
      <c r="D51" s="388" t="str">
        <f>'Sch E table 7'!E8</f>
        <v>25 Upper Clutha DER Solution</v>
      </c>
      <c r="E51" s="388" t="str">
        <f>'Sch E table 7'!C$6</f>
        <v>System operations and network support</v>
      </c>
      <c r="F51" s="387" t="s">
        <v>572</v>
      </c>
      <c r="G51" s="389">
        <f>'Sch E table 7'!S8</f>
        <v>3001.3103885066307</v>
      </c>
      <c r="H51" s="387" t="s">
        <v>554</v>
      </c>
      <c r="I51" s="381"/>
      <c r="L51" s="373"/>
    </row>
    <row r="52" spans="1:20" s="372" customFormat="1" x14ac:dyDescent="0.2">
      <c r="B52" s="381"/>
      <c r="C52" s="381"/>
      <c r="D52" s="381"/>
      <c r="E52" s="381"/>
      <c r="F52" s="381"/>
      <c r="G52" s="381"/>
      <c r="H52" s="381"/>
      <c r="I52" s="381"/>
      <c r="L52" s="373"/>
    </row>
    <row r="53" spans="1:20" s="372" customFormat="1" x14ac:dyDescent="0.2">
      <c r="B53" s="381"/>
      <c r="C53" s="381" t="s">
        <v>503</v>
      </c>
      <c r="D53" s="381"/>
      <c r="E53" s="381"/>
      <c r="F53" s="381"/>
      <c r="G53" s="381"/>
      <c r="H53" s="381"/>
      <c r="I53" s="381"/>
      <c r="L53" s="373"/>
    </row>
    <row r="57" spans="1:20" s="372" customFormat="1" x14ac:dyDescent="0.2">
      <c r="A57" s="371"/>
      <c r="C57" s="391" t="s">
        <v>573</v>
      </c>
      <c r="D57" s="392"/>
      <c r="E57" s="393"/>
      <c r="F57" s="393"/>
      <c r="G57" s="394">
        <f>SUM(G42:G51)-'Sch E table 6'!U29-'Sch E table 7'!S21</f>
        <v>0</v>
      </c>
      <c r="H57" s="393"/>
      <c r="I57" s="393"/>
      <c r="J57" s="393"/>
      <c r="K57" s="393" t="e">
        <f>#REF!-'Capex summary'!N$31/1000</f>
        <v>#REF!</v>
      </c>
      <c r="L57" s="393" t="e">
        <f>#REF!-'Capex summary'!O$31/1000</f>
        <v>#REF!</v>
      </c>
      <c r="M57" s="393" t="e">
        <f>#REF!-'Capex summary'!P$31/1000</f>
        <v>#REF!</v>
      </c>
      <c r="N57" s="393" t="e">
        <f>#REF!-'Capex summary'!Q$31/1000</f>
        <v>#REF!</v>
      </c>
      <c r="O57" s="393" t="e">
        <f>#REF!-'Capex summary'!R$31/1000</f>
        <v>#REF!</v>
      </c>
      <c r="P57" s="393" t="e">
        <f>#REF!-'Capex summary'!S$31/1000</f>
        <v>#REF!</v>
      </c>
      <c r="Q57" s="395"/>
      <c r="R57" s="371"/>
      <c r="S57" s="371"/>
      <c r="T57" s="371"/>
    </row>
    <row r="58" spans="1:20" s="372" customFormat="1" x14ac:dyDescent="0.2">
      <c r="A58" s="371"/>
      <c r="C58" s="391" t="s">
        <v>574</v>
      </c>
      <c r="E58" s="393"/>
      <c r="F58" s="393"/>
      <c r="G58" s="394">
        <f>SUM(G6:G35)-('Sch E table 4 '!T114+'Sch E table 4 '!T78+'Sch E table 4 '!T67+'Sch E table 4 '!T59+'Sch E table 4 '!T32+'Sch E table 4 '!T15)</f>
        <v>0</v>
      </c>
      <c r="H58" s="393"/>
      <c r="I58" s="393"/>
      <c r="J58" s="393"/>
      <c r="K58" s="393">
        <f>K22-'Capex summary'!N51/1000</f>
        <v>-73601.015301263877</v>
      </c>
      <c r="L58" s="393">
        <f>L22-'Capex summary'!O51/1000</f>
        <v>-74946.45630101132</v>
      </c>
      <c r="M58" s="393">
        <f>M22-'Capex summary'!P51/1000</f>
        <v>-73100.981253827529</v>
      </c>
      <c r="N58" s="393">
        <f>N22-'Capex summary'!Q51/1000</f>
        <v>-79115.903290558592</v>
      </c>
      <c r="O58" s="393">
        <f>O22-'Capex summary'!R51/1000</f>
        <v>-76922.812245123539</v>
      </c>
      <c r="P58" s="393">
        <f>P22-'Capex summary'!S51/1000</f>
        <v>-70975.153512406818</v>
      </c>
      <c r="Q58" s="371"/>
      <c r="R58" s="371"/>
      <c r="S58" s="371"/>
      <c r="T58" s="371"/>
    </row>
  </sheetData>
  <sheetProtection algorithmName="SHA-512" hashValue="6iT3aXRoQ/hY5AQSgNuLct1SarCe4NVRBQ7g//GT8+4/WXIuqOKcBtR0G6S8/IhT+M9Mp45hlayxLv6MOaPjpg==" saltValue="rnHCjjPG6r8vbVRZBRcY3g==" spinCount="100000" sheet="1" objects="1" scenarios="1"/>
  <conditionalFormatting sqref="E57:Q57">
    <cfRule type="cellIs" dxfId="29" priority="3" stopIfTrue="1" operator="equal">
      <formula>0</formula>
    </cfRule>
    <cfRule type="cellIs" dxfId="28" priority="4" stopIfTrue="1" operator="notEqual">
      <formula>0</formula>
    </cfRule>
  </conditionalFormatting>
  <conditionalFormatting sqref="E58:P58">
    <cfRule type="cellIs" dxfId="27" priority="1" stopIfTrue="1" operator="equal">
      <formula>0</formula>
    </cfRule>
    <cfRule type="cellIs" dxfId="26"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colBreaks count="1" manualBreakCount="1">
    <brk id="9" min="1" max="5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2586F-8161-4557-878A-67BFD51B0CCE}">
  <sheetPr codeName="Sheet19"/>
  <dimension ref="A1:T321"/>
  <sheetViews>
    <sheetView showGridLines="0" zoomScaleNormal="100" workbookViewId="0"/>
  </sheetViews>
  <sheetFormatPr defaultColWidth="8.875" defaultRowHeight="14.25" x14ac:dyDescent="0.2"/>
  <cols>
    <col min="1" max="1" width="4.875" style="371" customWidth="1"/>
    <col min="2" max="2" width="7.375" style="372" customWidth="1"/>
    <col min="3" max="3" width="45.75" style="372" customWidth="1"/>
    <col min="4" max="4" width="7" style="372" customWidth="1"/>
    <col min="5" max="17" width="8.625" style="372" customWidth="1"/>
    <col min="18" max="18" width="3.625" style="372" customWidth="1"/>
    <col min="19" max="19" width="10.125" style="372" customWidth="1"/>
    <col min="20" max="20" width="9" style="371" customWidth="1"/>
    <col min="21" max="16384" width="8.875" style="372"/>
  </cols>
  <sheetData>
    <row r="1" spans="1:20" ht="21.75" customHeight="1" thickBot="1" x14ac:dyDescent="0.25">
      <c r="A1" s="397"/>
      <c r="B1" s="374" t="s">
        <v>575</v>
      </c>
      <c r="C1" s="398"/>
      <c r="D1" s="398"/>
      <c r="E1" s="398"/>
      <c r="F1" s="398"/>
      <c r="G1" s="398"/>
      <c r="H1" s="398"/>
      <c r="I1" s="398"/>
      <c r="J1" s="398"/>
      <c r="K1" s="398"/>
      <c r="L1" s="398"/>
      <c r="M1" s="398"/>
      <c r="N1" s="398"/>
      <c r="O1" s="398"/>
      <c r="P1" s="398"/>
      <c r="Q1" s="398"/>
      <c r="R1" s="398"/>
    </row>
    <row r="2" spans="1:20" ht="27.75" customHeight="1" thickBot="1" x14ac:dyDescent="0.3">
      <c r="A2" s="379"/>
      <c r="B2" s="378" t="s">
        <v>576</v>
      </c>
      <c r="C2" s="379"/>
      <c r="D2" s="379"/>
      <c r="E2" s="641" t="s">
        <v>46</v>
      </c>
      <c r="F2" s="642"/>
      <c r="G2" s="642"/>
      <c r="H2" s="642"/>
      <c r="I2" s="642"/>
      <c r="J2" s="642" t="s">
        <v>577</v>
      </c>
      <c r="K2" s="642"/>
      <c r="L2" s="642" t="s">
        <v>578</v>
      </c>
      <c r="M2" s="642"/>
      <c r="N2" s="642"/>
      <c r="O2" s="642"/>
      <c r="P2" s="643"/>
      <c r="Q2" s="634" t="s">
        <v>579</v>
      </c>
      <c r="R2" s="381"/>
    </row>
    <row r="3" spans="1:20" ht="17.100000000000001" customHeight="1" thickBot="1" x14ac:dyDescent="0.25">
      <c r="A3" s="379"/>
      <c r="B3" s="399"/>
      <c r="C3" s="631" t="s">
        <v>580</v>
      </c>
      <c r="D3" s="631"/>
      <c r="E3" s="400" t="s">
        <v>581</v>
      </c>
      <c r="F3" s="401" t="s">
        <v>582</v>
      </c>
      <c r="G3" s="401" t="s">
        <v>583</v>
      </c>
      <c r="H3" s="401" t="s">
        <v>584</v>
      </c>
      <c r="I3" s="401" t="s">
        <v>585</v>
      </c>
      <c r="J3" s="402" t="s">
        <v>586</v>
      </c>
      <c r="K3" s="402" t="s">
        <v>587</v>
      </c>
      <c r="L3" s="402" t="s">
        <v>588</v>
      </c>
      <c r="M3" s="402" t="s">
        <v>589</v>
      </c>
      <c r="N3" s="402" t="s">
        <v>590</v>
      </c>
      <c r="O3" s="402" t="s">
        <v>591</v>
      </c>
      <c r="P3" s="403" t="s">
        <v>592</v>
      </c>
      <c r="Q3" s="635"/>
      <c r="R3" s="381"/>
    </row>
    <row r="4" spans="1:20" ht="14.65" customHeight="1" x14ac:dyDescent="0.2">
      <c r="A4" s="379"/>
      <c r="B4" s="399"/>
      <c r="C4" s="379"/>
      <c r="D4" s="404"/>
      <c r="E4" s="632" t="s">
        <v>593</v>
      </c>
      <c r="F4" s="633"/>
      <c r="G4" s="633"/>
      <c r="H4" s="633"/>
      <c r="I4" s="633"/>
      <c r="J4" s="633"/>
      <c r="K4" s="633"/>
      <c r="L4" s="633"/>
      <c r="M4" s="633"/>
      <c r="N4" s="633"/>
      <c r="O4" s="633"/>
      <c r="P4" s="633"/>
      <c r="Q4" s="405"/>
      <c r="R4" s="381"/>
    </row>
    <row r="5" spans="1:20" x14ac:dyDescent="0.2">
      <c r="A5" s="379"/>
      <c r="B5" s="399"/>
      <c r="C5" s="406" t="s">
        <v>95</v>
      </c>
      <c r="D5" s="407"/>
      <c r="E5" s="408">
        <f>'Historical capex'!H157/1000</f>
        <v>10910.873788320756</v>
      </c>
      <c r="F5" s="408">
        <f>'Historical capex'!I157/1000</f>
        <v>11195.804585386368</v>
      </c>
      <c r="G5" s="408">
        <f>'Historical capex'!J157/1000</f>
        <v>7898.950541275186</v>
      </c>
      <c r="H5" s="408">
        <f>'Historical capex'!K157/1000</f>
        <v>8776.3984923369444</v>
      </c>
      <c r="I5" s="408">
        <f>'Historical capex'!L157/1000</f>
        <v>18045.314700932031</v>
      </c>
      <c r="J5" s="409">
        <f>'Capex summary'!M17/1000</f>
        <v>14351.0935407913</v>
      </c>
      <c r="K5" s="409">
        <f>'Capex summary'!N17/1000</f>
        <v>9092.3747373202077</v>
      </c>
      <c r="L5" s="409">
        <f>'Capex summary'!O17/1000</f>
        <v>7100.3962504258043</v>
      </c>
      <c r="M5" s="409">
        <f>'Capex summary'!P17/1000</f>
        <v>7100.3962504258043</v>
      </c>
      <c r="N5" s="409">
        <f>'Capex summary'!Q17/1000</f>
        <v>9799.695000567739</v>
      </c>
      <c r="O5" s="409">
        <f>'Capex summary'!R17/1000</f>
        <v>11291.035875567744</v>
      </c>
      <c r="P5" s="409">
        <f>'Capex summary'!S17/1000</f>
        <v>13279.491875</v>
      </c>
      <c r="Q5" s="410">
        <f>SUM(L5:P5)</f>
        <v>48571.01525198709</v>
      </c>
      <c r="R5" s="381"/>
    </row>
    <row r="6" spans="1:20" ht="15" customHeight="1" x14ac:dyDescent="0.2">
      <c r="A6" s="379"/>
      <c r="B6" s="399"/>
      <c r="C6" s="411" t="s">
        <v>77</v>
      </c>
      <c r="D6" s="412"/>
      <c r="E6" s="408">
        <f>'Historical capex'!H158/1000</f>
        <v>7342.9414883176332</v>
      </c>
      <c r="F6" s="408">
        <f>'Historical capex'!I158/1000</f>
        <v>9527.2925285109577</v>
      </c>
      <c r="G6" s="408">
        <f>'Historical capex'!J158/1000</f>
        <v>283.76899488803298</v>
      </c>
      <c r="H6" s="408">
        <f>'Historical capex'!K158/1000</f>
        <v>6553.8113829437607</v>
      </c>
      <c r="I6" s="408">
        <f>'Historical capex'!L158/1000</f>
        <v>8386.9569505328</v>
      </c>
      <c r="J6" s="409">
        <f>'Capex summary'!M18/1000</f>
        <v>7250.323922969973</v>
      </c>
      <c r="K6" s="409">
        <f>'Capex summary'!N18/1000</f>
        <v>5237.7700000000004</v>
      </c>
      <c r="L6" s="409">
        <f>'Capex summary'!O18/1000</f>
        <v>3685.1064166073738</v>
      </c>
      <c r="M6" s="409">
        <f>'Capex summary'!P18/1000</f>
        <v>2237.8638466429493</v>
      </c>
      <c r="N6" s="409">
        <f>'Capex summary'!Q18/1000</f>
        <v>4295.9696428090228</v>
      </c>
      <c r="O6" s="409">
        <f>'Capex summary'!R18/1000</f>
        <v>2937.1962987188722</v>
      </c>
      <c r="P6" s="409">
        <f>'Capex summary'!S18/1000</f>
        <v>3007.13</v>
      </c>
      <c r="Q6" s="410">
        <f>SUM(L6:P6)</f>
        <v>16163.266204778218</v>
      </c>
      <c r="R6" s="381"/>
    </row>
    <row r="7" spans="1:20" x14ac:dyDescent="0.2">
      <c r="A7" s="379"/>
      <c r="B7" s="399"/>
      <c r="C7" s="406" t="s">
        <v>100</v>
      </c>
      <c r="D7" s="412"/>
      <c r="E7" s="408">
        <f>'Historical capex'!H159/1000</f>
        <v>7984.1416010292014</v>
      </c>
      <c r="F7" s="408">
        <f>'Historical capex'!I159/1000</f>
        <v>5846.438958632094</v>
      </c>
      <c r="G7" s="408">
        <f>'Historical capex'!J159/1000</f>
        <v>19026.376062767267</v>
      </c>
      <c r="H7" s="408">
        <f>'Historical capex'!K159/1000</f>
        <v>52452.380391443963</v>
      </c>
      <c r="I7" s="408">
        <f>'Historical capex'!L159/1000</f>
        <v>40624.247133596597</v>
      </c>
      <c r="J7" s="409">
        <f>'Capex summary'!M19/1000</f>
        <v>36713.342015259244</v>
      </c>
      <c r="K7" s="409">
        <f>'Capex summary'!N19/1000</f>
        <v>49776.078486680912</v>
      </c>
      <c r="L7" s="409">
        <f>'Capex summary'!O19/1000</f>
        <v>53375.650216000009</v>
      </c>
      <c r="M7" s="409">
        <f>'Capex summary'!P19/1000</f>
        <v>55141.657475749998</v>
      </c>
      <c r="N7" s="409">
        <f>'Capex summary'!Q19/1000</f>
        <v>55346.642377500008</v>
      </c>
      <c r="O7" s="409">
        <f>'Capex summary'!R19/1000</f>
        <v>51608.843826750002</v>
      </c>
      <c r="P7" s="409">
        <f>'Capex summary'!S19/1000</f>
        <v>43142.023049999996</v>
      </c>
      <c r="Q7" s="410">
        <f>SUM(L7:P7)</f>
        <v>258614.81694600001</v>
      </c>
      <c r="R7" s="381"/>
    </row>
    <row r="8" spans="1:20" x14ac:dyDescent="0.2">
      <c r="A8" s="379"/>
      <c r="B8" s="399"/>
      <c r="C8" s="406" t="s">
        <v>269</v>
      </c>
      <c r="D8" s="412"/>
      <c r="E8" s="408">
        <f>'Historical capex'!H160/1000</f>
        <v>2735.3537599480019</v>
      </c>
      <c r="F8" s="408">
        <f>'Historical capex'!I160/1000</f>
        <v>2192.6495015504224</v>
      </c>
      <c r="G8" s="408">
        <f>'Historical capex'!J160/1000</f>
        <v>2183.9923963999227</v>
      </c>
      <c r="H8" s="408">
        <f>'Historical capex'!K160/1000</f>
        <v>1071.8290145330961</v>
      </c>
      <c r="I8" s="408">
        <f>'Historical capex'!L160/1000</f>
        <v>1401.8955381239061</v>
      </c>
      <c r="J8" s="409">
        <f>'Capex summary'!M20/1000</f>
        <v>1242.2300639474629</v>
      </c>
      <c r="K8" s="409">
        <f>'Capex summary'!N20/1000</f>
        <v>1917.143953649125</v>
      </c>
      <c r="L8" s="409">
        <f>'Capex summary'!O20/1000</f>
        <v>1821.2867559666695</v>
      </c>
      <c r="M8" s="409">
        <f>'Capex summary'!P20/1000</f>
        <v>1821.2867559666695</v>
      </c>
      <c r="N8" s="409">
        <f>'Capex summary'!Q20/1000</f>
        <v>1821.2867559666695</v>
      </c>
      <c r="O8" s="409">
        <f>'Capex summary'!R20/1000</f>
        <v>1821.2867559666695</v>
      </c>
      <c r="P8" s="409">
        <f>'Capex summary'!S20/1000</f>
        <v>1821.2901249999995</v>
      </c>
      <c r="Q8" s="410">
        <f>SUM(L8:P8)</f>
        <v>9106.4371488666766</v>
      </c>
      <c r="R8" s="381"/>
    </row>
    <row r="9" spans="1:20" x14ac:dyDescent="0.2">
      <c r="A9" s="379"/>
      <c r="B9" s="399"/>
      <c r="C9" s="413" t="s">
        <v>594</v>
      </c>
      <c r="D9" s="406"/>
      <c r="E9" s="406"/>
      <c r="F9" s="406"/>
      <c r="G9" s="406"/>
      <c r="H9" s="406"/>
      <c r="I9" s="406"/>
      <c r="J9" s="406"/>
      <c r="K9" s="406"/>
      <c r="L9" s="406"/>
      <c r="M9" s="406"/>
      <c r="N9" s="406"/>
      <c r="O9" s="406"/>
      <c r="P9" s="406"/>
      <c r="Q9" s="379"/>
      <c r="R9" s="381"/>
    </row>
    <row r="10" spans="1:20" x14ac:dyDescent="0.2">
      <c r="A10" s="379"/>
      <c r="B10" s="399"/>
      <c r="C10" s="414" t="s">
        <v>97</v>
      </c>
      <c r="D10" s="412"/>
      <c r="E10" s="408">
        <f>'Historical capex'!H163/1000</f>
        <v>1640.8554124297682</v>
      </c>
      <c r="F10" s="408">
        <f>'Historical capex'!I163/1000</f>
        <v>1780.5372164271239</v>
      </c>
      <c r="G10" s="408">
        <f>'Historical capex'!J163/1000</f>
        <v>1374.6645784505624</v>
      </c>
      <c r="H10" s="408">
        <f>'Historical capex'!K163/1000</f>
        <v>0</v>
      </c>
      <c r="I10" s="408">
        <f>'Historical capex'!L163/1000</f>
        <v>0</v>
      </c>
      <c r="J10" s="410">
        <f>'Capex summary'!M23/1000</f>
        <v>1157.4593187561036</v>
      </c>
      <c r="K10" s="410">
        <f>'Capex summary'!N23/1000</f>
        <v>236.45333333333332</v>
      </c>
      <c r="L10" s="410">
        <f>'Capex summary'!O23/1000</f>
        <v>435.17441666666662</v>
      </c>
      <c r="M10" s="410">
        <f>'Capex summary'!P23/1000</f>
        <v>435.17441666666662</v>
      </c>
      <c r="N10" s="410">
        <f>'Capex summary'!Q23/1000</f>
        <v>214.32</v>
      </c>
      <c r="O10" s="410">
        <f>'Capex summary'!R23/1000</f>
        <v>858.70500000000004</v>
      </c>
      <c r="P10" s="410">
        <f>'Capex summary'!S23/1000</f>
        <v>644.38499999999999</v>
      </c>
      <c r="Q10" s="410">
        <f>SUM(L10:P10)</f>
        <v>2587.7588333333333</v>
      </c>
      <c r="R10" s="381"/>
    </row>
    <row r="11" spans="1:20" x14ac:dyDescent="0.2">
      <c r="A11" s="379"/>
      <c r="B11" s="399"/>
      <c r="C11" s="414" t="s">
        <v>121</v>
      </c>
      <c r="D11" s="412"/>
      <c r="E11" s="408">
        <f>'Historical capex'!H164/1000</f>
        <v>0</v>
      </c>
      <c r="F11" s="408">
        <f>'Historical capex'!I164/1000</f>
        <v>0</v>
      </c>
      <c r="G11" s="408">
        <f>'Historical capex'!J164/1000</f>
        <v>0</v>
      </c>
      <c r="H11" s="408">
        <f>'Historical capex'!K164/1000</f>
        <v>0</v>
      </c>
      <c r="I11" s="408">
        <f>'Historical capex'!L164/1000</f>
        <v>0</v>
      </c>
      <c r="J11" s="410">
        <f>'Capex summary'!M24/1000</f>
        <v>0</v>
      </c>
      <c r="K11" s="410">
        <f>'Capex summary'!N24/1000</f>
        <v>0</v>
      </c>
      <c r="L11" s="410">
        <f>'Capex summary'!O24/1000</f>
        <v>0</v>
      </c>
      <c r="M11" s="410">
        <f>'Capex summary'!P24/1000</f>
        <v>0</v>
      </c>
      <c r="N11" s="410">
        <f>'Capex summary'!Q24/1000</f>
        <v>0</v>
      </c>
      <c r="O11" s="410">
        <f>'Capex summary'!R24/1000</f>
        <v>0</v>
      </c>
      <c r="P11" s="410">
        <f>'Capex summary'!S24/1000</f>
        <v>0</v>
      </c>
      <c r="Q11" s="410">
        <f>SUM(L11:P11)</f>
        <v>0</v>
      </c>
      <c r="R11" s="381"/>
    </row>
    <row r="12" spans="1:20" ht="15" thickBot="1" x14ac:dyDescent="0.25">
      <c r="A12" s="379"/>
      <c r="B12" s="399"/>
      <c r="C12" s="414" t="s">
        <v>271</v>
      </c>
      <c r="D12" s="412"/>
      <c r="E12" s="408">
        <f>'Historical capex'!H165/1000</f>
        <v>427.96087459404453</v>
      </c>
      <c r="F12" s="408">
        <f>'Historical capex'!I165/1000</f>
        <v>266.54062550163792</v>
      </c>
      <c r="G12" s="408">
        <f>'Historical capex'!J165/1000</f>
        <v>863.873317771644</v>
      </c>
      <c r="H12" s="408">
        <f>'Historical capex'!K165/1000</f>
        <v>1756.0474686034322</v>
      </c>
      <c r="I12" s="408">
        <f>'Historical capex'!L165/1000</f>
        <v>1929.5654508604007</v>
      </c>
      <c r="J12" s="410">
        <f>'Capex summary'!M25/1000</f>
        <v>0</v>
      </c>
      <c r="K12" s="410">
        <f>'Capex summary'!N25/1000</f>
        <v>0</v>
      </c>
      <c r="L12" s="410">
        <f>'Capex summary'!O25/1000</f>
        <v>0</v>
      </c>
      <c r="M12" s="410">
        <f>'Capex summary'!P25/1000</f>
        <v>0</v>
      </c>
      <c r="N12" s="410">
        <f>'Capex summary'!Q25/1000</f>
        <v>0</v>
      </c>
      <c r="O12" s="410">
        <f>'Capex summary'!R25/1000</f>
        <v>0</v>
      </c>
      <c r="P12" s="410">
        <f>'Capex summary'!S25/1000</f>
        <v>0</v>
      </c>
      <c r="Q12" s="410">
        <f>SUM(L12:P12)</f>
        <v>0</v>
      </c>
      <c r="R12" s="381"/>
    </row>
    <row r="13" spans="1:20" s="420" customFormat="1" ht="15.75" thickBot="1" x14ac:dyDescent="0.3">
      <c r="A13" s="415"/>
      <c r="B13" s="416"/>
      <c r="C13" s="417" t="s">
        <v>272</v>
      </c>
      <c r="D13" s="415"/>
      <c r="E13" s="418">
        <f t="shared" ref="E13:J13" si="0">SUM(E10:E12)</f>
        <v>2068.8162870238129</v>
      </c>
      <c r="F13" s="418">
        <f t="shared" si="0"/>
        <v>2047.0778419287617</v>
      </c>
      <c r="G13" s="418">
        <f t="shared" si="0"/>
        <v>2238.5378962222067</v>
      </c>
      <c r="H13" s="418">
        <f t="shared" si="0"/>
        <v>1756.0474686034322</v>
      </c>
      <c r="I13" s="418">
        <f t="shared" si="0"/>
        <v>1929.5654508604007</v>
      </c>
      <c r="J13" s="418">
        <f t="shared" si="0"/>
        <v>1157.4593187561036</v>
      </c>
      <c r="K13" s="418">
        <f t="shared" ref="K13:Q13" si="1">SUM(K10:K12)</f>
        <v>236.45333333333332</v>
      </c>
      <c r="L13" s="418">
        <f t="shared" si="1"/>
        <v>435.17441666666662</v>
      </c>
      <c r="M13" s="418">
        <f t="shared" si="1"/>
        <v>435.17441666666662</v>
      </c>
      <c r="N13" s="418">
        <f t="shared" si="1"/>
        <v>214.32</v>
      </c>
      <c r="O13" s="418">
        <f t="shared" si="1"/>
        <v>858.70500000000004</v>
      </c>
      <c r="P13" s="418">
        <f t="shared" si="1"/>
        <v>644.38499999999999</v>
      </c>
      <c r="Q13" s="418">
        <f t="shared" si="1"/>
        <v>2587.7588333333333</v>
      </c>
      <c r="R13" s="419"/>
      <c r="T13" s="421"/>
    </row>
    <row r="14" spans="1:20" ht="15" thickBot="1" x14ac:dyDescent="0.25">
      <c r="A14" s="379"/>
      <c r="B14" s="399"/>
      <c r="C14" s="417"/>
      <c r="D14" s="379"/>
      <c r="E14" s="422"/>
      <c r="F14" s="422"/>
      <c r="G14" s="422"/>
      <c r="H14" s="422"/>
      <c r="I14" s="422"/>
      <c r="J14" s="422"/>
      <c r="K14" s="422"/>
      <c r="L14" s="422"/>
      <c r="M14" s="422"/>
      <c r="N14" s="422"/>
      <c r="O14" s="422"/>
      <c r="P14" s="422"/>
      <c r="Q14" s="422"/>
      <c r="R14" s="423"/>
    </row>
    <row r="15" spans="1:20" s="420" customFormat="1" ht="15.75" thickBot="1" x14ac:dyDescent="0.3">
      <c r="A15" s="415"/>
      <c r="B15" s="416"/>
      <c r="C15" s="424" t="s">
        <v>595</v>
      </c>
      <c r="D15" s="425"/>
      <c r="E15" s="418">
        <f t="shared" ref="E15:J15" si="2">SUM(E5:E8)+E13</f>
        <v>31042.126924639404</v>
      </c>
      <c r="F15" s="418">
        <f t="shared" si="2"/>
        <v>30809.263416008602</v>
      </c>
      <c r="G15" s="418">
        <f t="shared" si="2"/>
        <v>31631.625891552616</v>
      </c>
      <c r="H15" s="418">
        <f t="shared" si="2"/>
        <v>70610.466749861196</v>
      </c>
      <c r="I15" s="418">
        <f t="shared" si="2"/>
        <v>70387.979774045743</v>
      </c>
      <c r="J15" s="418">
        <f t="shared" si="2"/>
        <v>60714.448861724086</v>
      </c>
      <c r="K15" s="418">
        <f t="shared" ref="K15:P15" si="3">SUM(K5:K8)+K13</f>
        <v>66259.820510983584</v>
      </c>
      <c r="L15" s="418">
        <f t="shared" si="3"/>
        <v>66417.61405566652</v>
      </c>
      <c r="M15" s="418">
        <f t="shared" si="3"/>
        <v>66736.378745452079</v>
      </c>
      <c r="N15" s="418">
        <f t="shared" si="3"/>
        <v>71477.913776843445</v>
      </c>
      <c r="O15" s="418">
        <f t="shared" si="3"/>
        <v>68517.067757003286</v>
      </c>
      <c r="P15" s="418">
        <f t="shared" si="3"/>
        <v>61894.320050000002</v>
      </c>
      <c r="Q15" s="418">
        <f>SUM(Q5:Q8)+Q13</f>
        <v>335043.29438496532</v>
      </c>
      <c r="R15" s="419"/>
      <c r="T15" s="421"/>
    </row>
    <row r="16" spans="1:20" ht="15" thickBot="1" x14ac:dyDescent="0.25">
      <c r="A16" s="379"/>
      <c r="B16" s="399"/>
      <c r="C16" s="426" t="s">
        <v>596</v>
      </c>
      <c r="D16" s="412"/>
      <c r="E16" s="408">
        <f>'Historical capex'!H170/1000</f>
        <v>0</v>
      </c>
      <c r="F16" s="408">
        <f>'Historical capex'!I170/1000</f>
        <v>0</v>
      </c>
      <c r="G16" s="408">
        <f>'Historical capex'!J170/1000</f>
        <v>0</v>
      </c>
      <c r="H16" s="408">
        <f>'Historical capex'!K170/1000</f>
        <v>988.15287518521632</v>
      </c>
      <c r="I16" s="408">
        <f>'Historical capex'!L170/1000</f>
        <v>653.51132626448111</v>
      </c>
      <c r="J16" s="410">
        <f>'Capex summary'!M30/1000</f>
        <v>8614.6290435869741</v>
      </c>
      <c r="K16" s="410">
        <f>'Capex summary'!N30/1000</f>
        <v>6236.9503846071793</v>
      </c>
      <c r="L16" s="410">
        <f>'Capex summary'!O30/1000</f>
        <v>6378.6906181356035</v>
      </c>
      <c r="M16" s="410">
        <f>'Capex summary'!P30/1000</f>
        <v>2902.9450603379278</v>
      </c>
      <c r="N16" s="410">
        <f>'Capex summary'!Q30/1000</f>
        <v>2741.0796606969552</v>
      </c>
      <c r="O16" s="410">
        <f>'Capex summary'!R30/1000</f>
        <v>2234.7124351815933</v>
      </c>
      <c r="P16" s="410">
        <f>'Capex summary'!S30/1000</f>
        <v>2059.8406999999997</v>
      </c>
      <c r="Q16" s="410">
        <f>SUM(L16:P16)</f>
        <v>16317.268474352077</v>
      </c>
      <c r="R16" s="381"/>
    </row>
    <row r="17" spans="1:20" s="420" customFormat="1" ht="15.75" thickBot="1" x14ac:dyDescent="0.3">
      <c r="A17" s="415"/>
      <c r="B17" s="416"/>
      <c r="C17" s="427" t="s">
        <v>296</v>
      </c>
      <c r="D17" s="415"/>
      <c r="E17" s="418">
        <f>SUM(E15:E16)</f>
        <v>31042.126924639404</v>
      </c>
      <c r="F17" s="418">
        <f t="shared" ref="F17:Q17" si="4">SUM(F15:F16)</f>
        <v>30809.263416008602</v>
      </c>
      <c r="G17" s="418">
        <f t="shared" si="4"/>
        <v>31631.625891552616</v>
      </c>
      <c r="H17" s="418">
        <f t="shared" si="4"/>
        <v>71598.619625046413</v>
      </c>
      <c r="I17" s="418">
        <f t="shared" si="4"/>
        <v>71041.491100310232</v>
      </c>
      <c r="J17" s="418">
        <f t="shared" si="4"/>
        <v>69329.07790531106</v>
      </c>
      <c r="K17" s="418">
        <f t="shared" si="4"/>
        <v>72496.770895590758</v>
      </c>
      <c r="L17" s="418">
        <f t="shared" si="4"/>
        <v>72796.304673802122</v>
      </c>
      <c r="M17" s="418">
        <f t="shared" si="4"/>
        <v>69639.323805790002</v>
      </c>
      <c r="N17" s="418">
        <f t="shared" si="4"/>
        <v>74218.993437540397</v>
      </c>
      <c r="O17" s="418">
        <f t="shared" si="4"/>
        <v>70751.780192184873</v>
      </c>
      <c r="P17" s="418">
        <f t="shared" si="4"/>
        <v>63954.160750000003</v>
      </c>
      <c r="Q17" s="418">
        <f t="shared" si="4"/>
        <v>351360.5628593174</v>
      </c>
      <c r="R17" s="419"/>
      <c r="T17" s="421"/>
    </row>
    <row r="18" spans="1:20" x14ac:dyDescent="0.2">
      <c r="A18" s="379"/>
      <c r="B18" s="399"/>
      <c r="C18" s="406"/>
      <c r="D18" s="379"/>
      <c r="E18" s="428"/>
      <c r="F18" s="428"/>
      <c r="G18" s="428"/>
      <c r="H18" s="428"/>
      <c r="I18" s="428"/>
      <c r="J18" s="428"/>
      <c r="K18" s="428"/>
      <c r="L18" s="428"/>
      <c r="M18" s="428"/>
      <c r="N18" s="428"/>
      <c r="O18" s="428"/>
      <c r="P18" s="428"/>
      <c r="Q18" s="429"/>
      <c r="R18" s="423"/>
    </row>
    <row r="19" spans="1:20" ht="16.5" thickBot="1" x14ac:dyDescent="0.3">
      <c r="A19" s="379"/>
      <c r="B19" s="430" t="s">
        <v>597</v>
      </c>
      <c r="C19" s="412"/>
      <c r="D19" s="379"/>
      <c r="E19" s="429"/>
      <c r="F19" s="429"/>
      <c r="G19" s="429"/>
      <c r="H19" s="429"/>
      <c r="I19" s="429"/>
      <c r="J19" s="429"/>
      <c r="K19" s="429"/>
      <c r="L19" s="429"/>
      <c r="M19" s="429"/>
      <c r="N19" s="429"/>
      <c r="O19" s="429"/>
      <c r="P19" s="429"/>
      <c r="Q19" s="429"/>
      <c r="R19" s="423"/>
    </row>
    <row r="20" spans="1:20" ht="15" thickBot="1" x14ac:dyDescent="0.25">
      <c r="A20" s="379"/>
      <c r="B20" s="399"/>
      <c r="C20" s="412"/>
      <c r="D20" s="379"/>
      <c r="E20" s="638" t="s">
        <v>46</v>
      </c>
      <c r="F20" s="639"/>
      <c r="G20" s="639"/>
      <c r="H20" s="639"/>
      <c r="I20" s="639"/>
      <c r="J20" s="640" t="s">
        <v>577</v>
      </c>
      <c r="K20" s="640"/>
      <c r="L20" s="639" t="s">
        <v>578</v>
      </c>
      <c r="M20" s="639"/>
      <c r="N20" s="639"/>
      <c r="O20" s="639"/>
      <c r="P20" s="639"/>
      <c r="Q20" s="636" t="s">
        <v>579</v>
      </c>
      <c r="R20" s="423"/>
    </row>
    <row r="21" spans="1:20" ht="16.5" thickBot="1" x14ac:dyDescent="0.25">
      <c r="A21" s="379"/>
      <c r="B21" s="399"/>
      <c r="C21" s="631" t="s">
        <v>580</v>
      </c>
      <c r="D21" s="631"/>
      <c r="E21" s="431" t="s">
        <v>581</v>
      </c>
      <c r="F21" s="432" t="s">
        <v>582</v>
      </c>
      <c r="G21" s="432" t="s">
        <v>583</v>
      </c>
      <c r="H21" s="432" t="s">
        <v>584</v>
      </c>
      <c r="I21" s="432" t="s">
        <v>585</v>
      </c>
      <c r="J21" s="433" t="str">
        <f t="shared" ref="J21:P21" si="5">J3</f>
        <v>CA</v>
      </c>
      <c r="K21" s="433" t="str">
        <f t="shared" si="5"/>
        <v>CA+1</v>
      </c>
      <c r="L21" s="433" t="str">
        <f t="shared" si="5"/>
        <v>Year 1</v>
      </c>
      <c r="M21" s="433" t="str">
        <f t="shared" si="5"/>
        <v>Year 2</v>
      </c>
      <c r="N21" s="433" t="str">
        <f t="shared" si="5"/>
        <v>Year 3</v>
      </c>
      <c r="O21" s="433" t="str">
        <f t="shared" si="5"/>
        <v>Year 4</v>
      </c>
      <c r="P21" s="433" t="str">
        <f t="shared" si="5"/>
        <v>Year 5</v>
      </c>
      <c r="Q21" s="637"/>
      <c r="R21" s="434"/>
    </row>
    <row r="22" spans="1:20" x14ac:dyDescent="0.2">
      <c r="A22" s="379"/>
      <c r="B22" s="399"/>
      <c r="C22" s="379"/>
      <c r="D22" s="404"/>
      <c r="E22" s="645" t="s">
        <v>598</v>
      </c>
      <c r="F22" s="646"/>
      <c r="G22" s="646"/>
      <c r="H22" s="646"/>
      <c r="I22" s="646"/>
      <c r="J22" s="646"/>
      <c r="K22" s="646"/>
      <c r="L22" s="646"/>
      <c r="M22" s="646"/>
      <c r="N22" s="646"/>
      <c r="O22" s="646"/>
      <c r="P22" s="646"/>
      <c r="Q22" s="647"/>
      <c r="R22" s="434"/>
    </row>
    <row r="23" spans="1:20" x14ac:dyDescent="0.2">
      <c r="A23" s="379"/>
      <c r="B23" s="399"/>
      <c r="C23" s="406" t="s">
        <v>95</v>
      </c>
      <c r="D23" s="407"/>
      <c r="E23" s="410">
        <f>'Historical capex'!H175/1000</f>
        <v>10250.035449808534</v>
      </c>
      <c r="F23" s="410">
        <f>'Historical capex'!I175/1000</f>
        <v>10552.870439307009</v>
      </c>
      <c r="G23" s="410">
        <f>'Historical capex'!J175/1000</f>
        <v>7525.966961961517</v>
      </c>
      <c r="H23" s="410">
        <f>'Historical capex'!K175/1000</f>
        <v>8494.3580194002952</v>
      </c>
      <c r="I23" s="410">
        <f>'Historical capex'!L175/1000</f>
        <v>17761.162161837241</v>
      </c>
      <c r="J23" s="410">
        <f>'Capex summary'!M37/1000</f>
        <v>14351.0935407913</v>
      </c>
      <c r="K23" s="410">
        <f>'Capex summary'!N37/1000</f>
        <v>9210.9085003739128</v>
      </c>
      <c r="L23" s="410">
        <f>'Capex summary'!O37/1000</f>
        <v>7273.2272676787115</v>
      </c>
      <c r="M23" s="410">
        <f>'Capex summary'!P37/1000</f>
        <v>7421.4147973623894</v>
      </c>
      <c r="N23" s="410">
        <f>'Capex summary'!Q37/1000</f>
        <v>10417.434049181935</v>
      </c>
      <c r="O23" s="410">
        <f>'Capex summary'!R37/1000</f>
        <v>12253.669618353386</v>
      </c>
      <c r="P23" s="410">
        <f>'Capex summary'!S37/1000</f>
        <v>14713.268020488222</v>
      </c>
      <c r="Q23" s="410">
        <f>SUM(L23:P23)</f>
        <v>52079.013753064646</v>
      </c>
      <c r="R23" s="435"/>
    </row>
    <row r="24" spans="1:20" x14ac:dyDescent="0.2">
      <c r="A24" s="379"/>
      <c r="B24" s="399"/>
      <c r="C24" s="436" t="str">
        <f>C6</f>
        <v xml:space="preserve">System growth </v>
      </c>
      <c r="D24" s="437"/>
      <c r="E24" s="410">
        <f>'Historical capex'!H176/1000</f>
        <v>6898.2019241842345</v>
      </c>
      <c r="F24" s="410">
        <f>'Historical capex'!I176/1000</f>
        <v>8980.1749328482201</v>
      </c>
      <c r="G24" s="410">
        <f>'Historical capex'!J176/1000</f>
        <v>270.36959773286429</v>
      </c>
      <c r="H24" s="410">
        <f>'Historical capex'!K176/1000</f>
        <v>6343.1965090183112</v>
      </c>
      <c r="I24" s="410">
        <f>'Historical capex'!L176/1000</f>
        <v>8254.8908074774263</v>
      </c>
      <c r="J24" s="410">
        <f>'Capex summary'!M38/1000</f>
        <v>7250.323922969973</v>
      </c>
      <c r="K24" s="410">
        <f>'Capex summary'!N38/1000</f>
        <v>5315.2446173782828</v>
      </c>
      <c r="L24" s="410">
        <f>'Capex summary'!O38/1000</f>
        <v>3792.4361692232851</v>
      </c>
      <c r="M24" s="410">
        <f>'Capex summary'!P38/1000</f>
        <v>2350.2375269809381</v>
      </c>
      <c r="N24" s="410">
        <f>'Capex summary'!Q38/1000</f>
        <v>4587.4574280662937</v>
      </c>
      <c r="O24" s="410">
        <f>'Capex summary'!R38/1000</f>
        <v>3203.4855710851466</v>
      </c>
      <c r="P24" s="410">
        <f>'Capex summary'!S38/1000</f>
        <v>3348.4214823330185</v>
      </c>
      <c r="Q24" s="410">
        <f>SUM(L24:P24)</f>
        <v>17282.038177688679</v>
      </c>
      <c r="R24" s="435"/>
    </row>
    <row r="25" spans="1:20" x14ac:dyDescent="0.2">
      <c r="A25" s="379"/>
      <c r="B25" s="399"/>
      <c r="C25" s="422" t="s">
        <v>100</v>
      </c>
      <c r="D25" s="437"/>
      <c r="E25" s="410">
        <f>'Historical capex'!H177/1000</f>
        <v>7500.5665022393832</v>
      </c>
      <c r="F25" s="410">
        <f>'Historical capex'!I177/1000</f>
        <v>5510.6993330602445</v>
      </c>
      <c r="G25" s="410">
        <f>'Historical capex'!J177/1000</f>
        <v>18127.962304106968</v>
      </c>
      <c r="H25" s="410">
        <f>'Historical capex'!K177/1000</f>
        <v>50766.757959284245</v>
      </c>
      <c r="I25" s="410">
        <f>'Historical capex'!L177/1000</f>
        <v>39984.552943545743</v>
      </c>
      <c r="J25" s="410">
        <f>'Capex summary'!M39/1000</f>
        <v>36713.342015259244</v>
      </c>
      <c r="K25" s="410">
        <f>'Capex summary'!N39/1000</f>
        <v>50520.734983864466</v>
      </c>
      <c r="L25" s="410">
        <f>'Capex summary'!O39/1000</f>
        <v>54930.750117912379</v>
      </c>
      <c r="M25" s="410">
        <f>'Capex summary'!P39/1000</f>
        <v>57889.127519570284</v>
      </c>
      <c r="N25" s="410">
        <f>'Capex summary'!Q39/1000</f>
        <v>58987.884291476374</v>
      </c>
      <c r="O25" s="410">
        <f>'Capex summary'!R39/1000</f>
        <v>56095.773859877438</v>
      </c>
      <c r="P25" s="410">
        <f>'Capex summary'!S39/1000</f>
        <v>47873.287188291593</v>
      </c>
      <c r="Q25" s="410">
        <f>SUM(L25:P25)</f>
        <v>275776.82297712803</v>
      </c>
      <c r="R25" s="435"/>
    </row>
    <row r="26" spans="1:20" x14ac:dyDescent="0.2">
      <c r="A26" s="379"/>
      <c r="B26" s="399"/>
      <c r="C26" s="436" t="str">
        <f t="shared" ref="C26:C31" si="6">C8</f>
        <v>Asset relocations</v>
      </c>
      <c r="D26" s="437"/>
      <c r="E26" s="410">
        <f>'Historical capex'!H178/1000</f>
        <v>2569.6817277133223</v>
      </c>
      <c r="F26" s="410">
        <f>'Historical capex'!I178/1000</f>
        <v>2066.7336529681115</v>
      </c>
      <c r="G26" s="410">
        <f>'Historical capex'!J178/1000</f>
        <v>2080.865620640725</v>
      </c>
      <c r="H26" s="410">
        <f>'Historical capex'!K178/1000</f>
        <v>1037.3844570725289</v>
      </c>
      <c r="I26" s="410">
        <f>'Historical capex'!L178/1000</f>
        <v>1379.8204353448459</v>
      </c>
      <c r="J26" s="410">
        <f>'Capex summary'!M40/1000</f>
        <v>1242.2300639474629</v>
      </c>
      <c r="K26" s="410">
        <f>'Capex summary'!N40/1000</f>
        <v>1947.2713046038139</v>
      </c>
      <c r="L26" s="410">
        <f>'Capex summary'!O40/1000</f>
        <v>1877.3747842002069</v>
      </c>
      <c r="M26" s="410">
        <f>'Capex summary'!P40/1000</f>
        <v>1917.2944138093001</v>
      </c>
      <c r="N26" s="410">
        <f>'Capex summary'!Q40/1000</f>
        <v>1951.4866584020078</v>
      </c>
      <c r="O26" s="410">
        <f>'Capex summary'!R40/1000</f>
        <v>1993.3803901636099</v>
      </c>
      <c r="P26" s="410">
        <f>'Capex summary'!S40/1000</f>
        <v>2036.2194845010054</v>
      </c>
      <c r="Q26" s="410">
        <f>SUM(L26:P26)</f>
        <v>9775.7557310761295</v>
      </c>
      <c r="R26" s="435"/>
    </row>
    <row r="27" spans="1:20" x14ac:dyDescent="0.2">
      <c r="A27" s="379"/>
      <c r="B27" s="399"/>
      <c r="C27" s="438" t="str">
        <f t="shared" si="6"/>
        <v>Reliability, safety and environment:</v>
      </c>
      <c r="D27" s="437"/>
      <c r="E27" s="407"/>
      <c r="F27" s="407"/>
      <c r="G27" s="407"/>
      <c r="H27" s="379"/>
      <c r="I27" s="379"/>
      <c r="J27" s="379"/>
      <c r="K27" s="379"/>
      <c r="L27" s="379"/>
      <c r="M27" s="379"/>
      <c r="N27" s="379"/>
      <c r="O27" s="379"/>
      <c r="P27" s="379"/>
      <c r="Q27" s="379"/>
      <c r="R27" s="435"/>
    </row>
    <row r="28" spans="1:20" x14ac:dyDescent="0.2">
      <c r="A28" s="379"/>
      <c r="B28" s="399"/>
      <c r="C28" s="439" t="str">
        <f t="shared" si="6"/>
        <v>Quality of supply</v>
      </c>
      <c r="D28" s="437"/>
      <c r="E28" s="410">
        <f>'Historical capex'!H181/1000</f>
        <v>1541.4738060134628</v>
      </c>
      <c r="F28" s="410">
        <f>'Historical capex'!I181/1000</f>
        <v>1678.2874704552864</v>
      </c>
      <c r="G28" s="410">
        <f>'Historical capex'!J181/1000</f>
        <v>1309.7537637610667</v>
      </c>
      <c r="H28" s="410">
        <f>'Historical capex'!K181/1000</f>
        <v>0</v>
      </c>
      <c r="I28" s="410">
        <f>'Historical capex'!L181/1000</f>
        <v>0</v>
      </c>
      <c r="J28" s="410">
        <f>'Capex summary'!M43/1000</f>
        <v>1157.4593187561036</v>
      </c>
      <c r="K28" s="410">
        <f>'Capex summary'!N43/1000</f>
        <v>241.3279268997928</v>
      </c>
      <c r="L28" s="410">
        <f>'Capex summary'!O43/1000</f>
        <v>451.70312868227666</v>
      </c>
      <c r="M28" s="410">
        <f>'Capex summary'!P43/1000</f>
        <v>459.26426766978062</v>
      </c>
      <c r="N28" s="410">
        <f>'Capex summary'!Q43/1000</f>
        <v>230.00140349560752</v>
      </c>
      <c r="O28" s="410">
        <f>'Capex summary'!R43/1000</f>
        <v>936.32839434401296</v>
      </c>
      <c r="P28" s="410">
        <f>'Capex summary'!S43/1000</f>
        <v>715.38683735676636</v>
      </c>
      <c r="Q28" s="410">
        <f>SUM(L28:P28)</f>
        <v>2792.6840315484442</v>
      </c>
      <c r="R28" s="435"/>
    </row>
    <row r="29" spans="1:20" x14ac:dyDescent="0.2">
      <c r="A29" s="379"/>
      <c r="B29" s="399"/>
      <c r="C29" s="439" t="str">
        <f t="shared" si="6"/>
        <v>Legislative and regulatory</v>
      </c>
      <c r="D29" s="437"/>
      <c r="E29" s="410">
        <f>'Historical capex'!H182/1000</f>
        <v>0</v>
      </c>
      <c r="F29" s="410">
        <f>'Historical capex'!I182/1000</f>
        <v>0</v>
      </c>
      <c r="G29" s="410">
        <f>'Historical capex'!J182/1000</f>
        <v>0</v>
      </c>
      <c r="H29" s="410">
        <f>'Historical capex'!K182/1000</f>
        <v>0</v>
      </c>
      <c r="I29" s="410">
        <f>'Historical capex'!L182/1000</f>
        <v>0</v>
      </c>
      <c r="J29" s="410">
        <f>'Capex summary'!M44/1000</f>
        <v>0</v>
      </c>
      <c r="K29" s="410">
        <f>'Capex summary'!N44/1000</f>
        <v>0</v>
      </c>
      <c r="L29" s="410">
        <f>'Capex summary'!O44/1000</f>
        <v>0</v>
      </c>
      <c r="M29" s="410">
        <f>'Capex summary'!P44/1000</f>
        <v>0</v>
      </c>
      <c r="N29" s="410">
        <f>'Capex summary'!Q44/1000</f>
        <v>0</v>
      </c>
      <c r="O29" s="410">
        <f>'Capex summary'!R44/1000</f>
        <v>0</v>
      </c>
      <c r="P29" s="410">
        <f>'Capex summary'!S44/1000</f>
        <v>0</v>
      </c>
      <c r="Q29" s="410">
        <f>SUM(L29:P29)</f>
        <v>0</v>
      </c>
      <c r="R29" s="435"/>
    </row>
    <row r="30" spans="1:20" ht="15" thickBot="1" x14ac:dyDescent="0.25">
      <c r="A30" s="379"/>
      <c r="B30" s="399"/>
      <c r="C30" s="439" t="str">
        <f t="shared" si="6"/>
        <v>Other reliability, safety and environment</v>
      </c>
      <c r="D30" s="437"/>
      <c r="E30" s="410">
        <f>'Historical capex'!H183/1000</f>
        <v>402.04059004106074</v>
      </c>
      <c r="F30" s="410">
        <f>'Historical capex'!I183/1000</f>
        <v>251.23417136112565</v>
      </c>
      <c r="G30" s="410">
        <f>'Historical capex'!J183/1000</f>
        <v>823.08175179685247</v>
      </c>
      <c r="H30" s="410">
        <f>'Historical capex'!K183/1000</f>
        <v>1699.6147007685893</v>
      </c>
      <c r="I30" s="410">
        <f>'Historical capex'!L183/1000</f>
        <v>1899.1813355762688</v>
      </c>
      <c r="J30" s="410">
        <f>'Capex summary'!M45/1000</f>
        <v>0</v>
      </c>
      <c r="K30" s="410">
        <f>'Capex summary'!N45/1000</f>
        <v>0</v>
      </c>
      <c r="L30" s="410">
        <f>'Capex summary'!O45/1000</f>
        <v>0</v>
      </c>
      <c r="M30" s="410">
        <f>'Capex summary'!P45/1000</f>
        <v>0</v>
      </c>
      <c r="N30" s="410">
        <f>'Capex summary'!Q45/1000</f>
        <v>0</v>
      </c>
      <c r="O30" s="410">
        <f>'Capex summary'!R45/1000</f>
        <v>0</v>
      </c>
      <c r="P30" s="410">
        <f>'Capex summary'!S45/1000</f>
        <v>0</v>
      </c>
      <c r="Q30" s="410">
        <f>SUM(L30:P30)</f>
        <v>0</v>
      </c>
      <c r="R30" s="435"/>
    </row>
    <row r="31" spans="1:20" s="420" customFormat="1" ht="15.75" thickBot="1" x14ac:dyDescent="0.3">
      <c r="A31" s="415"/>
      <c r="B31" s="416"/>
      <c r="C31" s="440" t="str">
        <f t="shared" si="6"/>
        <v>Total reliability, safety and environment</v>
      </c>
      <c r="D31" s="441"/>
      <c r="E31" s="442">
        <f t="shared" ref="E31:J31" si="7">SUM(E28:E30)</f>
        <v>1943.5143960545236</v>
      </c>
      <c r="F31" s="442">
        <f t="shared" si="7"/>
        <v>1929.5216418164121</v>
      </c>
      <c r="G31" s="442">
        <f t="shared" si="7"/>
        <v>2132.8355155579193</v>
      </c>
      <c r="H31" s="442">
        <f t="shared" si="7"/>
        <v>1699.6147007685893</v>
      </c>
      <c r="I31" s="442">
        <f t="shared" si="7"/>
        <v>1899.1813355762688</v>
      </c>
      <c r="J31" s="442">
        <f t="shared" si="7"/>
        <v>1157.4593187561036</v>
      </c>
      <c r="K31" s="442">
        <f t="shared" ref="K31:P31" si="8">SUM(K28:K30)</f>
        <v>241.3279268997928</v>
      </c>
      <c r="L31" s="442">
        <f t="shared" si="8"/>
        <v>451.70312868227666</v>
      </c>
      <c r="M31" s="442">
        <f t="shared" si="8"/>
        <v>459.26426766978062</v>
      </c>
      <c r="N31" s="442">
        <f t="shared" si="8"/>
        <v>230.00140349560752</v>
      </c>
      <c r="O31" s="442">
        <f t="shared" si="8"/>
        <v>936.32839434401296</v>
      </c>
      <c r="P31" s="442">
        <f t="shared" si="8"/>
        <v>715.38683735676636</v>
      </c>
      <c r="Q31" s="418">
        <f>SUM(Q28:Q30)</f>
        <v>2792.6840315484442</v>
      </c>
      <c r="R31" s="434"/>
      <c r="T31" s="421"/>
    </row>
    <row r="32" spans="1:20" ht="15" thickBot="1" x14ac:dyDescent="0.25">
      <c r="A32" s="379"/>
      <c r="B32" s="399"/>
      <c r="C32" s="443"/>
      <c r="D32" s="437"/>
      <c r="E32" s="444"/>
      <c r="F32" s="444"/>
      <c r="G32" s="444"/>
      <c r="H32" s="444"/>
      <c r="I32" s="444"/>
      <c r="J32" s="444"/>
      <c r="K32" s="444"/>
      <c r="L32" s="444"/>
      <c r="M32" s="444"/>
      <c r="N32" s="444"/>
      <c r="O32" s="444"/>
      <c r="P32" s="444"/>
      <c r="Q32" s="422"/>
      <c r="R32" s="434"/>
    </row>
    <row r="33" spans="1:20" s="420" customFormat="1" ht="15.75" thickBot="1" x14ac:dyDescent="0.3">
      <c r="A33" s="415"/>
      <c r="B33" s="416"/>
      <c r="C33" s="445" t="str">
        <f>C15</f>
        <v>Total expenditure on network assets</v>
      </c>
      <c r="D33" s="441"/>
      <c r="E33" s="418">
        <f t="shared" ref="E33:J33" si="9">SUM(E23:E26)+E31</f>
        <v>29162</v>
      </c>
      <c r="F33" s="418">
        <f t="shared" si="9"/>
        <v>29040</v>
      </c>
      <c r="G33" s="418">
        <f t="shared" si="9"/>
        <v>30137.999999999993</v>
      </c>
      <c r="H33" s="418">
        <f t="shared" si="9"/>
        <v>68341.311645543974</v>
      </c>
      <c r="I33" s="418">
        <f t="shared" si="9"/>
        <v>69279.607683781534</v>
      </c>
      <c r="J33" s="418">
        <f t="shared" si="9"/>
        <v>60714.448861724086</v>
      </c>
      <c r="K33" s="418">
        <f t="shared" ref="K33:Q33" si="10">SUM(K23:K26)+K31</f>
        <v>67235.487333120269</v>
      </c>
      <c r="L33" s="418">
        <f t="shared" si="10"/>
        <v>68325.491467696862</v>
      </c>
      <c r="M33" s="418">
        <f t="shared" si="10"/>
        <v>70037.338525392697</v>
      </c>
      <c r="N33" s="418">
        <f t="shared" si="10"/>
        <v>76174.263830622222</v>
      </c>
      <c r="O33" s="418">
        <f t="shared" si="10"/>
        <v>74482.637833823595</v>
      </c>
      <c r="P33" s="418">
        <f t="shared" si="10"/>
        <v>68686.583012970601</v>
      </c>
      <c r="Q33" s="418">
        <f t="shared" si="10"/>
        <v>357706.31467050593</v>
      </c>
      <c r="R33" s="434"/>
      <c r="T33" s="421"/>
    </row>
    <row r="34" spans="1:20" ht="15" thickBot="1" x14ac:dyDescent="0.25">
      <c r="A34" s="379"/>
      <c r="B34" s="399"/>
      <c r="C34" s="446" t="s">
        <v>599</v>
      </c>
      <c r="D34" s="429"/>
      <c r="E34" s="410">
        <f>'Historical capex'!H188/1000</f>
        <v>0</v>
      </c>
      <c r="F34" s="410">
        <f>'Historical capex'!I188/1000</f>
        <v>0</v>
      </c>
      <c r="G34" s="410">
        <f>'Historical capex'!J188/1000</f>
        <v>0</v>
      </c>
      <c r="H34" s="410">
        <f>'Historical capex'!K188/1000</f>
        <v>956.39735445603662</v>
      </c>
      <c r="I34" s="410">
        <f>'Historical capex'!L188/1000</f>
        <v>643.22073805569448</v>
      </c>
      <c r="J34" s="410">
        <f>'Capex summary'!M50/1000</f>
        <v>8614.6290435869741</v>
      </c>
      <c r="K34" s="410">
        <f>'Capex summary'!N50/1000</f>
        <v>6365.5279681436068</v>
      </c>
      <c r="L34" s="410">
        <f>'Capex summary'!O50/1000</f>
        <v>6620.9648333144678</v>
      </c>
      <c r="M34" s="410">
        <f>'Capex summary'!P50/1000</f>
        <v>3063.6427284348374</v>
      </c>
      <c r="N34" s="410">
        <f>'Capex summary'!Q50/1000</f>
        <v>2941.6394599363725</v>
      </c>
      <c r="O34" s="410">
        <f>'Capex summary'!R50/1000</f>
        <v>2440.1744112999349</v>
      </c>
      <c r="P34" s="410">
        <f>'Capex summary'!S50/1000</f>
        <v>2288.5704994362209</v>
      </c>
      <c r="Q34" s="410">
        <f>SUM(L34:P34)</f>
        <v>17354.991932421832</v>
      </c>
      <c r="R34" s="435"/>
    </row>
    <row r="35" spans="1:20" s="420" customFormat="1" ht="15.75" thickBot="1" x14ac:dyDescent="0.3">
      <c r="A35" s="415"/>
      <c r="B35" s="416"/>
      <c r="C35" s="445" t="str">
        <f>C17</f>
        <v>Total expenditure on assets</v>
      </c>
      <c r="D35" s="441"/>
      <c r="E35" s="418">
        <f t="shared" ref="E35:J35" si="11">E33+E34</f>
        <v>29162</v>
      </c>
      <c r="F35" s="418">
        <f t="shared" si="11"/>
        <v>29040</v>
      </c>
      <c r="G35" s="418">
        <f t="shared" si="11"/>
        <v>30137.999999999993</v>
      </c>
      <c r="H35" s="418">
        <f t="shared" si="11"/>
        <v>69297.709000000017</v>
      </c>
      <c r="I35" s="418">
        <f t="shared" si="11"/>
        <v>69922.828421837228</v>
      </c>
      <c r="J35" s="418">
        <f t="shared" si="11"/>
        <v>69329.07790531106</v>
      </c>
      <c r="K35" s="418">
        <f t="shared" ref="K35:P35" si="12">K33+K34</f>
        <v>73601.015301263877</v>
      </c>
      <c r="L35" s="418">
        <f t="shared" si="12"/>
        <v>74946.456301011334</v>
      </c>
      <c r="M35" s="418">
        <f t="shared" si="12"/>
        <v>73100.981253827529</v>
      </c>
      <c r="N35" s="418">
        <f t="shared" si="12"/>
        <v>79115.903290558592</v>
      </c>
      <c r="O35" s="418">
        <f t="shared" si="12"/>
        <v>76922.812245123525</v>
      </c>
      <c r="P35" s="418">
        <f t="shared" si="12"/>
        <v>70975.153512406818</v>
      </c>
      <c r="Q35" s="418">
        <f>Q34+Q33</f>
        <v>375061.30660292774</v>
      </c>
      <c r="R35" s="434"/>
      <c r="T35" s="421"/>
    </row>
    <row r="36" spans="1:20" x14ac:dyDescent="0.2">
      <c r="A36" s="379"/>
      <c r="B36" s="399"/>
      <c r="C36" s="422"/>
      <c r="D36" s="429"/>
      <c r="E36" s="447"/>
      <c r="F36" s="447"/>
      <c r="G36" s="447"/>
      <c r="H36" s="429"/>
      <c r="I36" s="429"/>
      <c r="J36" s="429"/>
      <c r="K36" s="429"/>
      <c r="L36" s="429"/>
      <c r="M36" s="429"/>
      <c r="N36" s="429"/>
      <c r="O36" s="429"/>
      <c r="P36" s="429"/>
      <c r="Q36" s="429"/>
      <c r="R36" s="434"/>
    </row>
    <row r="37" spans="1:20" x14ac:dyDescent="0.2">
      <c r="A37" s="379"/>
      <c r="B37" s="399" t="s">
        <v>600</v>
      </c>
      <c r="C37" s="448" t="s">
        <v>303</v>
      </c>
      <c r="D37" s="449"/>
      <c r="E37" s="410">
        <f>'Historical capex'!H192/1000</f>
        <v>0</v>
      </c>
      <c r="F37" s="410">
        <f>'Historical capex'!I192/1000</f>
        <v>0</v>
      </c>
      <c r="G37" s="410">
        <f>'Historical capex'!J192/1000</f>
        <v>0</v>
      </c>
      <c r="H37" s="410">
        <f>'Historical capex'!K192/1000</f>
        <v>0</v>
      </c>
      <c r="I37" s="410">
        <f>'Historical capex'!L192/1000</f>
        <v>0</v>
      </c>
      <c r="J37" s="410">
        <f>'Capex summary'!M53/1000</f>
        <v>775.89771094941068</v>
      </c>
      <c r="K37" s="410">
        <f>'Capex summary'!N53/1000</f>
        <v>898.25897358337318</v>
      </c>
      <c r="L37" s="410">
        <f>'Capex summary'!O53/1000</f>
        <v>580.35177789614147</v>
      </c>
      <c r="M37" s="410">
        <f>'Capex summary'!P53/1000</f>
        <v>550.37324859083856</v>
      </c>
      <c r="N37" s="410">
        <f>'Capex summary'!Q53/1000</f>
        <v>615.70758188820048</v>
      </c>
      <c r="O37" s="410">
        <f>'Capex summary'!R53/1000</f>
        <v>605.40511180931651</v>
      </c>
      <c r="P37" s="410">
        <f>'Capex summary'!S53/1000</f>
        <v>495.19166193061079</v>
      </c>
      <c r="Q37" s="410">
        <f>SUM(L37:P37)</f>
        <v>2847.0293821151076</v>
      </c>
      <c r="R37" s="435"/>
    </row>
    <row r="38" spans="1:20" x14ac:dyDescent="0.2">
      <c r="A38" s="379"/>
      <c r="B38" s="399" t="s">
        <v>601</v>
      </c>
      <c r="C38" s="450" t="s">
        <v>304</v>
      </c>
      <c r="D38" s="451"/>
      <c r="E38" s="410">
        <f>'Historical capex'!H193/1000</f>
        <v>4434.5245887565916</v>
      </c>
      <c r="F38" s="410">
        <f>'Historical capex'!I193/1000</f>
        <v>6114.2749399999993</v>
      </c>
      <c r="G38" s="410">
        <f>'Historical capex'!J193/1000</f>
        <v>3498.9802809999992</v>
      </c>
      <c r="H38" s="410">
        <f>'Historical capex'!K193/1000</f>
        <v>4750.898938000003</v>
      </c>
      <c r="I38" s="410">
        <f>'Historical capex'!L193/1000</f>
        <v>3875.2867060892804</v>
      </c>
      <c r="J38" s="410">
        <f>'Capex summary'!M54/1000</f>
        <v>9701.9911551517362</v>
      </c>
      <c r="K38" s="410">
        <f>'Capex summary'!N54/1000</f>
        <v>6694.9078829866376</v>
      </c>
      <c r="L38" s="410">
        <f>'Capex summary'!O54/1000</f>
        <v>5490.36123112735</v>
      </c>
      <c r="M38" s="410">
        <f>'Capex summary'!P54/1000</f>
        <v>5603.2255267030096</v>
      </c>
      <c r="N38" s="410">
        <f>'Capex summary'!Q54/1000</f>
        <v>7421.3524245503668</v>
      </c>
      <c r="O38" s="410">
        <f>'Capex summary'!R54/1000</f>
        <v>8548.2300051101993</v>
      </c>
      <c r="P38" s="410">
        <f>'Capex summary'!S54/1000</f>
        <v>10049.692502993537</v>
      </c>
      <c r="Q38" s="410">
        <f>SUM(L38:P38)</f>
        <v>37112.86169048446</v>
      </c>
      <c r="R38" s="435"/>
    </row>
    <row r="39" spans="1:20" x14ac:dyDescent="0.2">
      <c r="A39" s="379"/>
      <c r="B39" s="399" t="s">
        <v>600</v>
      </c>
      <c r="C39" s="450" t="s">
        <v>305</v>
      </c>
      <c r="D39" s="451"/>
      <c r="E39" s="410">
        <f>'Historical capex'!H194/1000</f>
        <v>0</v>
      </c>
      <c r="F39" s="410">
        <f>'Historical capex'!I194/1000</f>
        <v>0</v>
      </c>
      <c r="G39" s="410">
        <f>'Historical capex'!J194/1000</f>
        <v>0</v>
      </c>
      <c r="H39" s="410">
        <f>'Historical capex'!K194/1000</f>
        <v>0</v>
      </c>
      <c r="I39" s="410">
        <f>'Historical capex'!L194/1000</f>
        <v>0</v>
      </c>
      <c r="J39" s="410">
        <f>'Capex summary'!M55/1000</f>
        <v>0</v>
      </c>
      <c r="K39" s="410">
        <f>'Capex summary'!N55/1000</f>
        <v>0</v>
      </c>
      <c r="L39" s="410">
        <f>'Capex summary'!O55/1000</f>
        <v>0</v>
      </c>
      <c r="M39" s="410">
        <f>'Capex summary'!P55/1000</f>
        <v>0</v>
      </c>
      <c r="N39" s="410">
        <f>'Capex summary'!Q55/1000</f>
        <v>0</v>
      </c>
      <c r="O39" s="410">
        <f>'Capex summary'!R55/1000</f>
        <v>0</v>
      </c>
      <c r="P39" s="410">
        <f>'Capex summary'!S55/1000</f>
        <v>0</v>
      </c>
      <c r="Q39" s="410">
        <f>SUM(L39:P39)</f>
        <v>0</v>
      </c>
      <c r="R39" s="435"/>
    </row>
    <row r="40" spans="1:20" s="420" customFormat="1" ht="15" x14ac:dyDescent="0.25">
      <c r="A40" s="415"/>
      <c r="B40" s="416"/>
      <c r="C40" s="452" t="s">
        <v>425</v>
      </c>
      <c r="D40" s="453"/>
      <c r="E40" s="454">
        <f t="shared" ref="E40:J40" si="13">E35+E37-E38+E39</f>
        <v>24727.475411243409</v>
      </c>
      <c r="F40" s="454">
        <f t="shared" si="13"/>
        <v>22925.725060000001</v>
      </c>
      <c r="G40" s="454">
        <f t="shared" si="13"/>
        <v>26639.019718999993</v>
      </c>
      <c r="H40" s="454">
        <f t="shared" si="13"/>
        <v>64546.810062000011</v>
      </c>
      <c r="I40" s="454">
        <f t="shared" si="13"/>
        <v>66047.541715747953</v>
      </c>
      <c r="J40" s="454">
        <f t="shared" si="13"/>
        <v>60402.984461108739</v>
      </c>
      <c r="K40" s="454">
        <f t="shared" ref="K40:P40" si="14">K35+K37-K38+K39</f>
        <v>67804.366391860618</v>
      </c>
      <c r="L40" s="454">
        <f t="shared" si="14"/>
        <v>70036.446847780127</v>
      </c>
      <c r="M40" s="454">
        <f t="shared" si="14"/>
        <v>68048.128975715357</v>
      </c>
      <c r="N40" s="454">
        <f t="shared" si="14"/>
        <v>72310.258447896427</v>
      </c>
      <c r="O40" s="454">
        <f t="shared" si="14"/>
        <v>68979.987351822638</v>
      </c>
      <c r="P40" s="454">
        <f t="shared" si="14"/>
        <v>61420.652671343894</v>
      </c>
      <c r="Q40" s="454">
        <f>Q35+Q37-Q38+Q39</f>
        <v>340795.4742945584</v>
      </c>
      <c r="R40" s="435"/>
      <c r="T40" s="421"/>
    </row>
    <row r="41" spans="1:20" x14ac:dyDescent="0.2">
      <c r="A41" s="379"/>
      <c r="B41" s="399"/>
      <c r="C41" s="437"/>
      <c r="D41" s="437"/>
      <c r="E41" s="412"/>
      <c r="F41" s="412"/>
      <c r="G41" s="412"/>
      <c r="H41" s="412"/>
      <c r="I41" s="412"/>
      <c r="J41" s="412"/>
      <c r="K41" s="412"/>
      <c r="L41" s="412"/>
      <c r="M41" s="412"/>
      <c r="N41" s="412"/>
      <c r="O41" s="412"/>
      <c r="P41" s="412"/>
      <c r="Q41" s="412"/>
      <c r="R41" s="455"/>
    </row>
    <row r="42" spans="1:20" ht="16.5" thickBot="1" x14ac:dyDescent="0.3">
      <c r="A42" s="379"/>
      <c r="B42" s="430" t="s">
        <v>602</v>
      </c>
      <c r="C42" s="437"/>
      <c r="D42" s="429"/>
      <c r="E42" s="379"/>
      <c r="F42" s="379"/>
      <c r="G42" s="379"/>
      <c r="H42" s="379"/>
      <c r="I42" s="379"/>
      <c r="J42" s="379"/>
      <c r="K42" s="379"/>
      <c r="L42" s="379"/>
      <c r="M42" s="379"/>
      <c r="N42" s="379"/>
      <c r="O42" s="379"/>
      <c r="P42" s="379"/>
      <c r="Q42" s="379"/>
      <c r="R42" s="455"/>
    </row>
    <row r="43" spans="1:20" ht="15" thickBot="1" x14ac:dyDescent="0.25">
      <c r="A43" s="379"/>
      <c r="B43" s="399"/>
      <c r="C43" s="437"/>
      <c r="D43" s="429"/>
      <c r="E43" s="641" t="s">
        <v>46</v>
      </c>
      <c r="F43" s="642"/>
      <c r="G43" s="642"/>
      <c r="H43" s="642"/>
      <c r="I43" s="642"/>
      <c r="J43" s="648" t="s">
        <v>577</v>
      </c>
      <c r="K43" s="648"/>
      <c r="L43" s="642" t="s">
        <v>578</v>
      </c>
      <c r="M43" s="642"/>
      <c r="N43" s="642"/>
      <c r="O43" s="642"/>
      <c r="P43" s="642"/>
      <c r="Q43" s="634" t="s">
        <v>579</v>
      </c>
      <c r="R43" s="455"/>
    </row>
    <row r="44" spans="1:20" ht="16.5" thickBot="1" x14ac:dyDescent="0.25">
      <c r="A44" s="379"/>
      <c r="B44" s="399"/>
      <c r="C44" s="644" t="s">
        <v>580</v>
      </c>
      <c r="D44" s="644"/>
      <c r="E44" s="456" t="s">
        <v>581</v>
      </c>
      <c r="F44" s="457" t="s">
        <v>582</v>
      </c>
      <c r="G44" s="457" t="s">
        <v>583</v>
      </c>
      <c r="H44" s="457" t="s">
        <v>584</v>
      </c>
      <c r="I44" s="457" t="s">
        <v>585</v>
      </c>
      <c r="J44" s="457" t="s">
        <v>586</v>
      </c>
      <c r="K44" s="457" t="s">
        <v>587</v>
      </c>
      <c r="L44" s="457" t="s">
        <v>588</v>
      </c>
      <c r="M44" s="457" t="s">
        <v>589</v>
      </c>
      <c r="N44" s="457" t="s">
        <v>590</v>
      </c>
      <c r="O44" s="457" t="s">
        <v>591</v>
      </c>
      <c r="P44" s="457" t="s">
        <v>592</v>
      </c>
      <c r="Q44" s="635"/>
      <c r="R44" s="455"/>
    </row>
    <row r="45" spans="1:20" x14ac:dyDescent="0.2">
      <c r="A45" s="379"/>
      <c r="B45" s="399"/>
      <c r="C45" s="429"/>
      <c r="D45" s="458"/>
      <c r="E45" s="459"/>
      <c r="F45" s="460"/>
      <c r="G45" s="460"/>
      <c r="H45" s="460"/>
      <c r="I45" s="460"/>
      <c r="J45" s="461" t="s">
        <v>598</v>
      </c>
      <c r="K45" s="461"/>
      <c r="L45" s="461"/>
      <c r="M45" s="461"/>
      <c r="N45" s="461"/>
      <c r="O45" s="461"/>
      <c r="P45" s="461"/>
      <c r="Q45" s="462"/>
      <c r="R45" s="435"/>
    </row>
    <row r="46" spans="1:20" x14ac:dyDescent="0.2">
      <c r="A46" s="379"/>
      <c r="B46" s="399"/>
      <c r="C46" s="422" t="s">
        <v>95</v>
      </c>
      <c r="D46" s="447"/>
      <c r="E46" s="463">
        <f>'Historical capex'!H13/1000</f>
        <v>7638.6523023087784</v>
      </c>
      <c r="F46" s="463">
        <f>'Historical capex'!I13/1000</f>
        <v>9657.395851939873</v>
      </c>
      <c r="G46" s="463">
        <f>'Historical capex'!J13/1000</f>
        <v>5465.0769234443933</v>
      </c>
      <c r="H46" s="463">
        <f>'Historical capex'!K13/1000</f>
        <v>8127.8800099999999</v>
      </c>
      <c r="I46" s="463">
        <f>'Historical capex'!L13/1000</f>
        <v>9566.1501618372404</v>
      </c>
      <c r="J46" s="463">
        <f>'Commissioned assets summary'!M56/1000</f>
        <v>4633.8723102142703</v>
      </c>
      <c r="K46" s="463">
        <f>'Commissioned assets summary'!N56/1000</f>
        <v>3748.5903008927821</v>
      </c>
      <c r="L46" s="463">
        <f>'Commissioned assets summary'!O56/1000</f>
        <v>3142.2012112447292</v>
      </c>
      <c r="M46" s="463">
        <f>'Commissioned assets summary'!P56/1000</f>
        <v>3031.3936948039673</v>
      </c>
      <c r="N46" s="463">
        <f>'Commissioned assets summary'!Q56/1000</f>
        <v>4129.947781111352</v>
      </c>
      <c r="O46" s="463">
        <f>'Commissioned assets summary'!R56/1000</f>
        <v>5039.0226399233397</v>
      </c>
      <c r="P46" s="463">
        <f>'Commissioned assets summary'!S56/1000</f>
        <v>6139.3522789851713</v>
      </c>
      <c r="Q46" s="410">
        <f>SUM(L46:P46)</f>
        <v>21481.91760606856</v>
      </c>
      <c r="R46" s="435"/>
    </row>
    <row r="47" spans="1:20" x14ac:dyDescent="0.2">
      <c r="A47" s="379"/>
      <c r="B47" s="399"/>
      <c r="C47" s="436" t="str">
        <f>C24</f>
        <v xml:space="preserve">System growth </v>
      </c>
      <c r="D47" s="437"/>
      <c r="E47" s="463">
        <f>'Historical capex'!H14/1000</f>
        <v>5140.75939229508</v>
      </c>
      <c r="F47" s="463">
        <f>'Historical capex'!I14/1000</f>
        <v>8213.286556804027</v>
      </c>
      <c r="G47" s="463">
        <f>'Historical capex'!J14/1000</f>
        <v>250.19714000000002</v>
      </c>
      <c r="H47" s="463">
        <f>'Historical capex'!K14/1000</f>
        <v>1070.9198200000001</v>
      </c>
      <c r="I47" s="463">
        <f>'Historical capex'!L14/1000</f>
        <v>12409.917069999998</v>
      </c>
      <c r="J47" s="463">
        <f>'Commissioned assets summary'!M57/1000</f>
        <v>3626.495939978744</v>
      </c>
      <c r="K47" s="463">
        <f>'Commissioned assets summary'!N57/1000</f>
        <v>7572.2189433998246</v>
      </c>
      <c r="L47" s="463">
        <f>'Commissioned assets summary'!O57/1000</f>
        <v>3149.5187928277878</v>
      </c>
      <c r="M47" s="463">
        <f>'Commissioned assets summary'!P57/1000</f>
        <v>2399.978782722726</v>
      </c>
      <c r="N47" s="463">
        <f>'Commissioned assets summary'!Q57/1000</f>
        <v>6850.7609156244016</v>
      </c>
      <c r="O47" s="463">
        <f>'Commissioned assets summary'!R57/1000</f>
        <v>3293.3881894424239</v>
      </c>
      <c r="P47" s="463">
        <f>'Commissioned assets summary'!S57/1000</f>
        <v>3492.9593870543085</v>
      </c>
      <c r="Q47" s="410">
        <f>SUM(L47:P47)</f>
        <v>19186.606067671644</v>
      </c>
      <c r="R47" s="435"/>
    </row>
    <row r="48" spans="1:20" x14ac:dyDescent="0.2">
      <c r="A48" s="379"/>
      <c r="B48" s="399"/>
      <c r="C48" s="422" t="s">
        <v>100</v>
      </c>
      <c r="D48" s="437"/>
      <c r="E48" s="463">
        <f>'Historical capex'!H15/1000</f>
        <v>5589.6606271758001</v>
      </c>
      <c r="F48" s="463">
        <f>'Historical capex'!I15/1000</f>
        <v>5040.09700136847</v>
      </c>
      <c r="G48" s="463">
        <f>'Historical capex'!J15/1000</f>
        <v>13289.085373196114</v>
      </c>
      <c r="H48" s="463">
        <f>'Historical capex'!K15/1000</f>
        <v>42947.534742999997</v>
      </c>
      <c r="I48" s="463">
        <f>'Historical capex'!L15/1000</f>
        <v>41531.119809999975</v>
      </c>
      <c r="J48" s="463">
        <f>'Commissioned assets summary'!M58/1000</f>
        <v>42291.308929912928</v>
      </c>
      <c r="K48" s="463">
        <f>'Commissioned assets summary'!N58/1000</f>
        <v>54632.331366999235</v>
      </c>
      <c r="L48" s="463">
        <f>'Commissioned assets summary'!O58/1000</f>
        <v>62068.382068652274</v>
      </c>
      <c r="M48" s="463">
        <f>'Commissioned assets summary'!P58/1000</f>
        <v>57714.015797219719</v>
      </c>
      <c r="N48" s="463">
        <f>'Commissioned assets summary'!Q58/1000</f>
        <v>57284.594910512416</v>
      </c>
      <c r="O48" s="463">
        <f>'Commissioned assets summary'!R58/1000</f>
        <v>57318.566256977021</v>
      </c>
      <c r="P48" s="463">
        <f>'Commissioned assets summary'!S58/1000</f>
        <v>52052.19582475473</v>
      </c>
      <c r="Q48" s="410">
        <f>SUM(L48:P48)</f>
        <v>286437.75485811615</v>
      </c>
      <c r="R48" s="435"/>
    </row>
    <row r="49" spans="1:20" x14ac:dyDescent="0.2">
      <c r="A49" s="379"/>
      <c r="B49" s="399"/>
      <c r="C49" s="422" t="s">
        <v>93</v>
      </c>
      <c r="D49" s="437"/>
      <c r="E49" s="463">
        <f>'Historical capex'!H16/1000</f>
        <v>1915.0085228207504</v>
      </c>
      <c r="F49" s="463">
        <f>'Historical capex'!I16/1000</f>
        <v>1871.3701415231837</v>
      </c>
      <c r="G49" s="463">
        <f>'Historical capex'!J16/1000</f>
        <v>1525.4224616618078</v>
      </c>
      <c r="H49" s="463">
        <f>'Historical capex'!K16/1000</f>
        <v>827.09831999999994</v>
      </c>
      <c r="I49" s="463">
        <f>'Historical capex'!L16/1000</f>
        <v>1204.66848</v>
      </c>
      <c r="J49" s="463">
        <f>'Commissioned assets summary'!M59/1000</f>
        <v>770.30928949749273</v>
      </c>
      <c r="K49" s="463">
        <f>'Commissioned assets summary'!N59/1000</f>
        <v>792.48668308325603</v>
      </c>
      <c r="L49" s="463">
        <f>'Commissioned assets summary'!O59/1000</f>
        <v>811.06902118802168</v>
      </c>
      <c r="M49" s="463">
        <f>'Commissioned assets summary'!P59/1000</f>
        <v>783.14908353728254</v>
      </c>
      <c r="N49" s="463">
        <f>'Commissioned assets summary'!Q59/1000</f>
        <v>773.658653050814</v>
      </c>
      <c r="O49" s="463">
        <f>'Commissioned assets summary'!R59/1000</f>
        <v>819.72904679663054</v>
      </c>
      <c r="P49" s="463">
        <f>'Commissioned assets summary'!S59/1000</f>
        <v>849.64596004623354</v>
      </c>
      <c r="Q49" s="410">
        <f>SUM(L49:P49)</f>
        <v>4037.2517646189822</v>
      </c>
      <c r="R49" s="435"/>
    </row>
    <row r="50" spans="1:20" x14ac:dyDescent="0.2">
      <c r="A50" s="379"/>
      <c r="B50" s="399"/>
      <c r="C50" s="464" t="s">
        <v>594</v>
      </c>
      <c r="D50" s="437"/>
      <c r="E50" s="379"/>
      <c r="F50" s="379"/>
      <c r="G50" s="379"/>
      <c r="H50" s="379"/>
      <c r="I50" s="379"/>
      <c r="J50" s="379"/>
      <c r="K50" s="407"/>
      <c r="L50" s="379"/>
      <c r="M50" s="407"/>
      <c r="N50" s="407"/>
      <c r="O50" s="379"/>
      <c r="P50" s="379"/>
      <c r="Q50" s="379"/>
      <c r="R50" s="435"/>
    </row>
    <row r="51" spans="1:20" x14ac:dyDescent="0.2">
      <c r="A51" s="379"/>
      <c r="B51" s="399"/>
      <c r="C51" s="446" t="s">
        <v>97</v>
      </c>
      <c r="D51" s="437"/>
      <c r="E51" s="465">
        <f>'Historical capex'!H19/1000</f>
        <v>1148.7552891803277</v>
      </c>
      <c r="F51" s="465">
        <f>'Historical capex'!I19/1000</f>
        <v>1534.9651897227709</v>
      </c>
      <c r="G51" s="465">
        <f>'Historical capex'!J19/1000</f>
        <v>960.14263999999991</v>
      </c>
      <c r="H51" s="465">
        <f>'Historical capex'!K19/1000</f>
        <v>0</v>
      </c>
      <c r="I51" s="465">
        <f>'Historical capex'!L19/1000</f>
        <v>0</v>
      </c>
      <c r="J51" s="410">
        <f>'Commissioned assets summary'!M62/1000</f>
        <v>1061.749681648864</v>
      </c>
      <c r="K51" s="410">
        <f>'Commissioned assets summary'!N62/1000</f>
        <v>245.53482592797494</v>
      </c>
      <c r="L51" s="410">
        <f>'Commissioned assets summary'!O62/1000</f>
        <v>487.86531268445901</v>
      </c>
      <c r="M51" s="410">
        <f>'Commissioned assets summary'!P62/1000</f>
        <v>468.98429857260311</v>
      </c>
      <c r="N51" s="410">
        <f>'Commissioned assets summary'!Q62/1000</f>
        <v>227.95771529116973</v>
      </c>
      <c r="O51" s="410">
        <f>'Commissioned assets summary'!R62/1000</f>
        <v>962.60551419546209</v>
      </c>
      <c r="P51" s="410">
        <f>'Commissioned assets summary'!S62/1000</f>
        <v>746.2672134033005</v>
      </c>
      <c r="Q51" s="410">
        <f>SUM(L51:P51)</f>
        <v>2893.6800541469943</v>
      </c>
      <c r="R51" s="435"/>
    </row>
    <row r="52" spans="1:20" x14ac:dyDescent="0.2">
      <c r="A52" s="379"/>
      <c r="B52" s="399"/>
      <c r="C52" s="446" t="s">
        <v>121</v>
      </c>
      <c r="D52" s="437"/>
      <c r="E52" s="463">
        <f>'Historical capex'!H20/1000</f>
        <v>0</v>
      </c>
      <c r="F52" s="463">
        <f>'Historical capex'!I20/1000</f>
        <v>0</v>
      </c>
      <c r="G52" s="463">
        <f>'Historical capex'!J20/1000</f>
        <v>0</v>
      </c>
      <c r="H52" s="463">
        <f>'Historical capex'!K20/1000</f>
        <v>0</v>
      </c>
      <c r="I52" s="463">
        <f>'Historical capex'!L20/1000</f>
        <v>0</v>
      </c>
      <c r="J52" s="410">
        <f>'Commissioned assets summary'!M63/1000</f>
        <v>0</v>
      </c>
      <c r="K52" s="410">
        <f>'Commissioned assets summary'!N63/1000</f>
        <v>0</v>
      </c>
      <c r="L52" s="410">
        <f>'Commissioned assets summary'!O63/1000</f>
        <v>0</v>
      </c>
      <c r="M52" s="410">
        <f>'Commissioned assets summary'!P63/1000</f>
        <v>0</v>
      </c>
      <c r="N52" s="410">
        <f>'Commissioned assets summary'!Q63/1000</f>
        <v>0</v>
      </c>
      <c r="O52" s="410">
        <f>'Commissioned assets summary'!R63/1000</f>
        <v>0</v>
      </c>
      <c r="P52" s="410">
        <f>'Commissioned assets summary'!S63/1000</f>
        <v>0</v>
      </c>
      <c r="Q52" s="410">
        <f>SUM(L52:P52)</f>
        <v>0</v>
      </c>
      <c r="R52" s="435"/>
    </row>
    <row r="53" spans="1:20" x14ac:dyDescent="0.2">
      <c r="A53" s="379"/>
      <c r="B53" s="399"/>
      <c r="C53" s="446" t="s">
        <v>271</v>
      </c>
      <c r="D53" s="437"/>
      <c r="E53" s="463">
        <f>'Historical capex'!H21/1000</f>
        <v>299.61343000000005</v>
      </c>
      <c r="F53" s="463">
        <f>'Historical capex'!I21/1000</f>
        <v>229.77929246147443</v>
      </c>
      <c r="G53" s="463">
        <f>'Historical capex'!J21/1000</f>
        <v>603.37744999999984</v>
      </c>
      <c r="H53" s="463">
        <f>'Historical capex'!K21/1000</f>
        <v>1355.0891899999999</v>
      </c>
      <c r="I53" s="463">
        <f>'Historical capex'!L21/1000</f>
        <v>1658.1026299999996</v>
      </c>
      <c r="J53" s="410">
        <f>'Commissioned assets summary'!M64/1000</f>
        <v>0</v>
      </c>
      <c r="K53" s="410">
        <f>'Commissioned assets summary'!N64/1000</f>
        <v>0</v>
      </c>
      <c r="L53" s="410">
        <f>'Commissioned assets summary'!O64/1000</f>
        <v>0</v>
      </c>
      <c r="M53" s="410">
        <f>'Commissioned assets summary'!P64/1000</f>
        <v>0</v>
      </c>
      <c r="N53" s="410">
        <f>'Commissioned assets summary'!Q64/1000</f>
        <v>0</v>
      </c>
      <c r="O53" s="410">
        <f>'Commissioned assets summary'!R64/1000</f>
        <v>0</v>
      </c>
      <c r="P53" s="410">
        <f>'Commissioned assets summary'!S64/1000</f>
        <v>0</v>
      </c>
      <c r="Q53" s="410">
        <f>SUM(L53:P53)</f>
        <v>0</v>
      </c>
      <c r="R53" s="435"/>
    </row>
    <row r="54" spans="1:20" s="420" customFormat="1" ht="15" x14ac:dyDescent="0.25">
      <c r="A54" s="415"/>
      <c r="B54" s="416"/>
      <c r="C54" s="441" t="s">
        <v>272</v>
      </c>
      <c r="D54" s="441"/>
      <c r="E54" s="442">
        <f t="shared" ref="E54:J54" si="15">SUM(E51:E53)</f>
        <v>1448.3687191803278</v>
      </c>
      <c r="F54" s="442">
        <f t="shared" si="15"/>
        <v>1764.7444821842453</v>
      </c>
      <c r="G54" s="442">
        <f t="shared" si="15"/>
        <v>1563.5200899999998</v>
      </c>
      <c r="H54" s="442">
        <f t="shared" si="15"/>
        <v>1355.0891899999999</v>
      </c>
      <c r="I54" s="442">
        <f t="shared" si="15"/>
        <v>1658.1026299999996</v>
      </c>
      <c r="J54" s="442">
        <f t="shared" si="15"/>
        <v>1061.749681648864</v>
      </c>
      <c r="K54" s="442">
        <f t="shared" ref="K54:Q54" si="16">SUM(K51:K53)</f>
        <v>245.53482592797494</v>
      </c>
      <c r="L54" s="442">
        <f t="shared" si="16"/>
        <v>487.86531268445901</v>
      </c>
      <c r="M54" s="442">
        <f t="shared" si="16"/>
        <v>468.98429857260311</v>
      </c>
      <c r="N54" s="442">
        <f t="shared" si="16"/>
        <v>227.95771529116973</v>
      </c>
      <c r="O54" s="442">
        <f t="shared" si="16"/>
        <v>962.60551419546209</v>
      </c>
      <c r="P54" s="442">
        <f t="shared" si="16"/>
        <v>746.2672134033005</v>
      </c>
      <c r="Q54" s="442">
        <f t="shared" si="16"/>
        <v>2893.6800541469943</v>
      </c>
      <c r="R54" s="434"/>
      <c r="T54" s="421"/>
    </row>
    <row r="55" spans="1:20" x14ac:dyDescent="0.2">
      <c r="A55" s="379"/>
      <c r="B55" s="399"/>
      <c r="C55" s="441"/>
      <c r="D55" s="437"/>
      <c r="E55" s="466"/>
      <c r="F55" s="466"/>
      <c r="G55" s="466"/>
      <c r="H55" s="466"/>
      <c r="I55" s="466"/>
      <c r="J55" s="466"/>
      <c r="K55" s="466"/>
      <c r="L55" s="466"/>
      <c r="M55" s="466"/>
      <c r="N55" s="466"/>
      <c r="O55" s="466"/>
      <c r="P55" s="466"/>
      <c r="Q55" s="422"/>
      <c r="R55" s="467"/>
    </row>
    <row r="56" spans="1:20" x14ac:dyDescent="0.2">
      <c r="A56" s="379"/>
      <c r="B56" s="399"/>
      <c r="C56" s="446" t="s">
        <v>424</v>
      </c>
      <c r="D56" s="437"/>
      <c r="E56" s="410">
        <f>'Historical capex'!H24/1000</f>
        <v>21732.449563780741</v>
      </c>
      <c r="F56" s="410">
        <f>'Historical capex'!I24/1000</f>
        <v>26546.894033819801</v>
      </c>
      <c r="G56" s="410">
        <f>'Historical capex'!J24/1000</f>
        <v>22093.301988302315</v>
      </c>
      <c r="H56" s="410">
        <f>'Historical capex'!K24/1000</f>
        <v>54328.522082999989</v>
      </c>
      <c r="I56" s="410">
        <f>'Historical capex'!L24/1000</f>
        <v>66369.958151837214</v>
      </c>
      <c r="J56" s="410">
        <f>'Commissioned assets summary'!M67/1000</f>
        <v>52383.736151252298</v>
      </c>
      <c r="K56" s="410">
        <f>'Commissioned assets summary'!N67/1000</f>
        <v>66991.162120303066</v>
      </c>
      <c r="L56" s="410">
        <f>'Commissioned assets summary'!O67/1000</f>
        <v>69659.036406597268</v>
      </c>
      <c r="M56" s="410">
        <f>'Commissioned assets summary'!P67/1000</f>
        <v>64397.52165685629</v>
      </c>
      <c r="N56" s="410">
        <f>'Commissioned assets summary'!Q67/1000</f>
        <v>69266.91997559015</v>
      </c>
      <c r="O56" s="410">
        <f>'Commissioned assets summary'!R67/1000</f>
        <v>67433.311647334878</v>
      </c>
      <c r="P56" s="410">
        <f>'Commissioned assets summary'!S67/1000</f>
        <v>63280.420664243742</v>
      </c>
      <c r="Q56" s="410">
        <f>SUM(L56:P56)</f>
        <v>334037.21035062236</v>
      </c>
      <c r="R56" s="435"/>
    </row>
    <row r="57" spans="1:20" x14ac:dyDescent="0.2">
      <c r="A57" s="379"/>
      <c r="B57" s="399"/>
      <c r="C57" s="446" t="s">
        <v>603</v>
      </c>
      <c r="D57" s="429"/>
      <c r="E57" s="410">
        <f>'Historical capex'!H26/1000</f>
        <v>0</v>
      </c>
      <c r="F57" s="410">
        <f>'Historical capex'!I26/1000</f>
        <v>0</v>
      </c>
      <c r="G57" s="410">
        <f>'Historical capex'!J26/1000</f>
        <v>0</v>
      </c>
      <c r="H57" s="410">
        <f>'Historical capex'!K26/1000</f>
        <v>921.98634999999967</v>
      </c>
      <c r="I57" s="410">
        <f>'Historical capex'!L26/1000</f>
        <v>509.6824399999997</v>
      </c>
      <c r="J57" s="410">
        <f>'Commissioned assets summary'!M69/1000</f>
        <v>8309.2320517278367</v>
      </c>
      <c r="K57" s="410">
        <f>'Commissioned assets summary'!N69/1000</f>
        <v>4604.8230016299658</v>
      </c>
      <c r="L57" s="410">
        <f>'Commissioned assets summary'!O69/1000</f>
        <v>9015.2991464892402</v>
      </c>
      <c r="M57" s="410">
        <f>'Commissioned assets summary'!P69/1000</f>
        <v>3122.829410476942</v>
      </c>
      <c r="N57" s="410">
        <f>'Commissioned assets summary'!Q69/1000</f>
        <v>2919.8996186841855</v>
      </c>
      <c r="O57" s="410">
        <f>'Commissioned assets summary'!R69/1000</f>
        <v>2504.828855040811</v>
      </c>
      <c r="P57" s="410">
        <f>'Commissioned assets summary'!S69/1000</f>
        <v>2387.3588946668569</v>
      </c>
      <c r="Q57" s="410">
        <f>SUM(L57:P57)</f>
        <v>19950.215925358036</v>
      </c>
      <c r="R57" s="435"/>
    </row>
    <row r="58" spans="1:20" s="420" customFormat="1" ht="15" x14ac:dyDescent="0.25">
      <c r="A58" s="415"/>
      <c r="B58" s="416"/>
      <c r="C58" s="468" t="s">
        <v>275</v>
      </c>
      <c r="D58" s="441"/>
      <c r="E58" s="442">
        <f>SUM(E56:E57)</f>
        <v>21732.449563780741</v>
      </c>
      <c r="F58" s="442">
        <f t="shared" ref="F58:Q58" si="17">SUM(F56:F57)</f>
        <v>26546.894033819801</v>
      </c>
      <c r="G58" s="442">
        <f t="shared" si="17"/>
        <v>22093.301988302315</v>
      </c>
      <c r="H58" s="442">
        <f t="shared" si="17"/>
        <v>55250.508432999988</v>
      </c>
      <c r="I58" s="442">
        <f t="shared" si="17"/>
        <v>66879.640591837218</v>
      </c>
      <c r="J58" s="442">
        <f t="shared" si="17"/>
        <v>60692.968202980133</v>
      </c>
      <c r="K58" s="442">
        <f t="shared" si="17"/>
        <v>71595.98512193303</v>
      </c>
      <c r="L58" s="442">
        <f t="shared" si="17"/>
        <v>78674.335553086508</v>
      </c>
      <c r="M58" s="442">
        <f t="shared" si="17"/>
        <v>67520.351067333235</v>
      </c>
      <c r="N58" s="442">
        <f t="shared" si="17"/>
        <v>72186.819594274333</v>
      </c>
      <c r="O58" s="442">
        <f t="shared" si="17"/>
        <v>69938.140502375696</v>
      </c>
      <c r="P58" s="442">
        <f t="shared" si="17"/>
        <v>65667.779558910595</v>
      </c>
      <c r="Q58" s="442">
        <f t="shared" si="17"/>
        <v>353987.42627598043</v>
      </c>
      <c r="R58" s="434"/>
      <c r="T58" s="421"/>
    </row>
    <row r="59" spans="1:20" x14ac:dyDescent="0.2">
      <c r="A59" s="379"/>
      <c r="B59" s="399"/>
      <c r="C59" s="422"/>
      <c r="D59" s="429"/>
      <c r="E59" s="429"/>
      <c r="F59" s="429"/>
      <c r="G59" s="429"/>
      <c r="H59" s="429"/>
      <c r="I59" s="429"/>
      <c r="J59" s="429"/>
      <c r="K59" s="447"/>
      <c r="L59" s="429"/>
      <c r="M59" s="447"/>
      <c r="N59" s="447"/>
      <c r="O59" s="429"/>
      <c r="P59" s="429"/>
      <c r="Q59" s="429"/>
      <c r="R59" s="434"/>
    </row>
    <row r="60" spans="1:20" ht="15.75" x14ac:dyDescent="0.25">
      <c r="A60" s="379"/>
      <c r="B60" s="430" t="s">
        <v>604</v>
      </c>
      <c r="C60" s="437"/>
      <c r="D60" s="451"/>
      <c r="E60" s="451"/>
      <c r="F60" s="451"/>
      <c r="G60" s="451"/>
      <c r="H60" s="451"/>
      <c r="I60" s="451"/>
      <c r="J60" s="451"/>
      <c r="K60" s="451"/>
      <c r="L60" s="451"/>
      <c r="M60" s="451"/>
      <c r="N60" s="451"/>
      <c r="O60" s="451"/>
      <c r="P60" s="451"/>
      <c r="Q60" s="451"/>
      <c r="R60" s="423"/>
    </row>
    <row r="61" spans="1:20" x14ac:dyDescent="0.2">
      <c r="A61" s="379"/>
      <c r="B61" s="399"/>
      <c r="C61" s="450" t="s">
        <v>605</v>
      </c>
      <c r="D61" s="429"/>
      <c r="E61" s="410"/>
      <c r="F61" s="410"/>
      <c r="G61" s="410"/>
      <c r="H61" s="410"/>
      <c r="I61" s="410"/>
      <c r="J61" s="410"/>
      <c r="K61" s="410"/>
      <c r="L61" s="410"/>
      <c r="M61" s="410"/>
      <c r="N61" s="410"/>
      <c r="O61" s="410"/>
      <c r="P61" s="410"/>
      <c r="Q61" s="410">
        <f>SUM(L61:P61)</f>
        <v>0</v>
      </c>
      <c r="R61" s="381"/>
    </row>
    <row r="62" spans="1:20" x14ac:dyDescent="0.2">
      <c r="A62" s="379"/>
      <c r="B62" s="399"/>
      <c r="C62" s="450" t="s">
        <v>606</v>
      </c>
      <c r="D62" s="429"/>
      <c r="E62" s="469">
        <v>13195</v>
      </c>
      <c r="F62" s="469">
        <v>15303</v>
      </c>
      <c r="G62" s="469">
        <v>11509</v>
      </c>
      <c r="H62" s="469">
        <v>14892</v>
      </c>
      <c r="I62" s="469">
        <v>28219.263999999999</v>
      </c>
      <c r="J62" s="469">
        <v>17182.093989729823</v>
      </c>
      <c r="K62" s="469">
        <v>13610.216780288905</v>
      </c>
      <c r="L62" s="469">
        <v>13881.764414448597</v>
      </c>
      <c r="M62" s="469">
        <v>12785.736874011207</v>
      </c>
      <c r="N62" s="469">
        <v>13006.54260242523</v>
      </c>
      <c r="O62" s="469">
        <v>0</v>
      </c>
      <c r="P62" s="469">
        <v>0</v>
      </c>
      <c r="Q62" s="410">
        <f t="shared" ref="Q62:Q64" si="18">SUM(L62:P62)</f>
        <v>39674.043890885034</v>
      </c>
      <c r="R62" s="381"/>
    </row>
    <row r="63" spans="1:20" x14ac:dyDescent="0.2">
      <c r="A63" s="379"/>
      <c r="B63" s="399"/>
      <c r="C63" s="450" t="s">
        <v>607</v>
      </c>
      <c r="D63" s="429"/>
      <c r="E63" s="410">
        <f t="shared" ref="E63:P63" si="19">E58-E62</f>
        <v>8537.4495637807413</v>
      </c>
      <c r="F63" s="410">
        <f t="shared" si="19"/>
        <v>11243.894033819801</v>
      </c>
      <c r="G63" s="410">
        <f t="shared" si="19"/>
        <v>10584.301988302315</v>
      </c>
      <c r="H63" s="410">
        <f t="shared" si="19"/>
        <v>40358.508432999988</v>
      </c>
      <c r="I63" s="410">
        <f t="shared" si="19"/>
        <v>38660.376591837223</v>
      </c>
      <c r="J63" s="410">
        <f t="shared" si="19"/>
        <v>43510.87421325031</v>
      </c>
      <c r="K63" s="410">
        <f t="shared" si="19"/>
        <v>57985.768341644129</v>
      </c>
      <c r="L63" s="410">
        <f t="shared" si="19"/>
        <v>64792.571138637912</v>
      </c>
      <c r="M63" s="410">
        <f t="shared" si="19"/>
        <v>54734.614193322028</v>
      </c>
      <c r="N63" s="410">
        <f t="shared" si="19"/>
        <v>59180.276991849103</v>
      </c>
      <c r="O63" s="410">
        <f t="shared" si="19"/>
        <v>69938.140502375696</v>
      </c>
      <c r="P63" s="410">
        <f t="shared" si="19"/>
        <v>65667.779558910595</v>
      </c>
      <c r="Q63" s="410">
        <f t="shared" si="18"/>
        <v>314313.38238509535</v>
      </c>
      <c r="R63" s="381"/>
    </row>
    <row r="64" spans="1:20" x14ac:dyDescent="0.2">
      <c r="A64" s="379"/>
      <c r="B64" s="399"/>
      <c r="C64" s="450" t="s">
        <v>608</v>
      </c>
      <c r="D64" s="429"/>
      <c r="E64" s="410"/>
      <c r="F64" s="410"/>
      <c r="G64" s="410"/>
      <c r="H64" s="410"/>
      <c r="I64" s="410"/>
      <c r="J64" s="410"/>
      <c r="K64" s="410"/>
      <c r="L64" s="410"/>
      <c r="M64" s="410"/>
      <c r="N64" s="410"/>
      <c r="O64" s="410"/>
      <c r="P64" s="410"/>
      <c r="Q64" s="410">
        <f t="shared" si="18"/>
        <v>0</v>
      </c>
      <c r="R64" s="381"/>
    </row>
    <row r="65" spans="1:20" s="420" customFormat="1" ht="15" x14ac:dyDescent="0.25">
      <c r="A65" s="415"/>
      <c r="B65" s="470"/>
      <c r="C65" s="471" t="s">
        <v>275</v>
      </c>
      <c r="D65" s="472"/>
      <c r="E65" s="442">
        <f t="shared" ref="E65:P65" si="20">SUM(E61:E63)</f>
        <v>21732.449563780741</v>
      </c>
      <c r="F65" s="442">
        <f t="shared" si="20"/>
        <v>26546.894033819801</v>
      </c>
      <c r="G65" s="442">
        <f t="shared" si="20"/>
        <v>22093.301988302315</v>
      </c>
      <c r="H65" s="442">
        <f t="shared" si="20"/>
        <v>55250.508432999988</v>
      </c>
      <c r="I65" s="442">
        <f t="shared" si="20"/>
        <v>66879.640591837218</v>
      </c>
      <c r="J65" s="442">
        <f t="shared" si="20"/>
        <v>60692.968202980133</v>
      </c>
      <c r="K65" s="442">
        <f t="shared" si="20"/>
        <v>71595.98512193303</v>
      </c>
      <c r="L65" s="442">
        <f t="shared" si="20"/>
        <v>78674.335553086508</v>
      </c>
      <c r="M65" s="442">
        <f t="shared" si="20"/>
        <v>67520.351067333235</v>
      </c>
      <c r="N65" s="442">
        <f t="shared" si="20"/>
        <v>72186.819594274333</v>
      </c>
      <c r="O65" s="442">
        <f t="shared" si="20"/>
        <v>69938.140502375696</v>
      </c>
      <c r="P65" s="442">
        <f t="shared" si="20"/>
        <v>65667.779558910595</v>
      </c>
      <c r="Q65" s="442">
        <f>SUM(Q61:Q64)</f>
        <v>353987.42627598037</v>
      </c>
      <c r="R65" s="419"/>
      <c r="T65" s="421"/>
    </row>
    <row r="66" spans="1:20" x14ac:dyDescent="0.2">
      <c r="A66" s="379"/>
      <c r="B66" s="473"/>
      <c r="C66" s="474" t="s">
        <v>609</v>
      </c>
      <c r="D66" s="429"/>
      <c r="E66" s="429"/>
      <c r="F66" s="429"/>
      <c r="G66" s="429"/>
      <c r="H66" s="429"/>
      <c r="I66" s="429"/>
      <c r="J66" s="429"/>
      <c r="K66" s="429"/>
      <c r="L66" s="429"/>
      <c r="M66" s="429"/>
      <c r="N66" s="429"/>
      <c r="O66" s="429"/>
      <c r="P66" s="429"/>
      <c r="Q66" s="429"/>
      <c r="R66" s="423"/>
    </row>
    <row r="67" spans="1:20" x14ac:dyDescent="0.2">
      <c r="A67" s="379"/>
      <c r="B67" s="473"/>
      <c r="C67" s="475"/>
      <c r="D67" s="466"/>
      <c r="E67" s="466"/>
      <c r="F67" s="466"/>
      <c r="G67" s="466"/>
      <c r="H67" s="466"/>
      <c r="I67" s="466"/>
      <c r="J67" s="466"/>
      <c r="K67" s="466"/>
      <c r="L67" s="466"/>
      <c r="M67" s="466"/>
      <c r="N67" s="466"/>
      <c r="O67" s="466"/>
      <c r="P67" s="466"/>
      <c r="Q67" s="466"/>
      <c r="R67" s="423"/>
    </row>
    <row r="69" spans="1:20" x14ac:dyDescent="0.2">
      <c r="C69" s="391" t="s">
        <v>610</v>
      </c>
      <c r="D69" s="392"/>
      <c r="E69" s="393">
        <f>E17-'Historical capex'!H$171/1000</f>
        <v>0</v>
      </c>
      <c r="F69" s="393">
        <f>F17-'Historical capex'!I$171/1000</f>
        <v>0</v>
      </c>
      <c r="G69" s="393">
        <f>G17-'Historical capex'!J$171/1000</f>
        <v>0</v>
      </c>
      <c r="H69" s="393">
        <f>H17-'Historical capex'!K$171/1000</f>
        <v>0</v>
      </c>
      <c r="I69" s="393">
        <f>I17-'Historical capex'!L$171/1000</f>
        <v>0</v>
      </c>
      <c r="J69" s="393">
        <f>J17-'Capex summary'!M$31/1000</f>
        <v>0</v>
      </c>
      <c r="K69" s="393">
        <f>K17-'Capex summary'!N$31/1000</f>
        <v>0</v>
      </c>
      <c r="L69" s="393">
        <f>L17-'Capex summary'!O$31/1000</f>
        <v>0</v>
      </c>
      <c r="M69" s="393">
        <f>M17-'Capex summary'!P$31/1000</f>
        <v>0</v>
      </c>
      <c r="N69" s="393">
        <f>N17-'Capex summary'!Q$31/1000</f>
        <v>0</v>
      </c>
      <c r="O69" s="393">
        <f>O17-'Capex summary'!R$31/1000</f>
        <v>0</v>
      </c>
      <c r="P69" s="393">
        <f>P17-'Capex summary'!S$31/1000</f>
        <v>0</v>
      </c>
      <c r="Q69" s="395"/>
      <c r="R69" s="371"/>
      <c r="S69" s="371"/>
    </row>
    <row r="70" spans="1:20" x14ac:dyDescent="0.2">
      <c r="C70" s="391" t="s">
        <v>611</v>
      </c>
      <c r="E70" s="393">
        <f>E35-'Historical capex'!H189/1000</f>
        <v>0</v>
      </c>
      <c r="F70" s="393">
        <f>F35-'Historical capex'!I189/1000</f>
        <v>0</v>
      </c>
      <c r="G70" s="393">
        <f>G35-'Historical capex'!J189/1000</f>
        <v>0</v>
      </c>
      <c r="H70" s="393">
        <f>H35-'Historical capex'!K189/1000</f>
        <v>0</v>
      </c>
      <c r="I70" s="393">
        <f>I35-'Historical capex'!L189/1000</f>
        <v>0</v>
      </c>
      <c r="J70" s="393">
        <f>J40-'Capex summary'!M56/1000</f>
        <v>0</v>
      </c>
      <c r="K70" s="393">
        <f>K40-'Capex summary'!N56/1000</f>
        <v>0</v>
      </c>
      <c r="L70" s="393">
        <f>L40-'Capex summary'!O56/1000</f>
        <v>0</v>
      </c>
      <c r="M70" s="393">
        <f>M40-'Capex summary'!P56/1000</f>
        <v>0</v>
      </c>
      <c r="N70" s="393">
        <f>N40-'Capex summary'!Q56/1000</f>
        <v>0</v>
      </c>
      <c r="O70" s="393">
        <f>O40-'Capex summary'!R56/1000</f>
        <v>0</v>
      </c>
      <c r="P70" s="393">
        <f>P40-'Capex summary'!S56/1000</f>
        <v>0</v>
      </c>
      <c r="Q70" s="371"/>
      <c r="R70" s="371"/>
      <c r="S70" s="371"/>
    </row>
    <row r="71" spans="1:20" x14ac:dyDescent="0.2">
      <c r="C71" s="391" t="s">
        <v>612</v>
      </c>
      <c r="E71" s="393">
        <f>E58-'Historical capex'!H27/1000</f>
        <v>0</v>
      </c>
      <c r="F71" s="393">
        <f>F58-'Historical capex'!I27/1000</f>
        <v>0</v>
      </c>
      <c r="G71" s="393">
        <f>G58-'Historical capex'!J27/1000</f>
        <v>0</v>
      </c>
      <c r="H71" s="393">
        <f>H58-'Historical capex'!K27/1000</f>
        <v>0</v>
      </c>
      <c r="I71" s="393">
        <f>I58-'Historical capex'!L27/1000</f>
        <v>0</v>
      </c>
      <c r="J71" s="393">
        <f>J58-'Commissioned assets summary'!M70/1000</f>
        <v>0</v>
      </c>
      <c r="K71" s="393">
        <f>K58-'Commissioned assets summary'!N70/1000</f>
        <v>0</v>
      </c>
      <c r="L71" s="393">
        <f>L58-'Commissioned assets summary'!O70/1000</f>
        <v>0</v>
      </c>
      <c r="M71" s="393">
        <f>M58-'Commissioned assets summary'!P70/1000</f>
        <v>0</v>
      </c>
      <c r="N71" s="393">
        <f>N58-'Commissioned assets summary'!Q70/1000</f>
        <v>0</v>
      </c>
      <c r="O71" s="393">
        <f>O58-'Commissioned assets summary'!R70/1000</f>
        <v>0</v>
      </c>
      <c r="P71" s="393">
        <f>P58-'Commissioned assets summary'!S70/1000</f>
        <v>0</v>
      </c>
      <c r="Q71" s="371"/>
      <c r="R71" s="371"/>
      <c r="S71" s="371"/>
    </row>
    <row r="72" spans="1:20" x14ac:dyDescent="0.2">
      <c r="E72" s="393"/>
      <c r="F72" s="393"/>
      <c r="G72" s="393"/>
      <c r="H72" s="393"/>
      <c r="I72" s="393"/>
      <c r="J72" s="393"/>
      <c r="K72" s="393"/>
      <c r="L72" s="393"/>
      <c r="M72" s="393"/>
      <c r="N72" s="393"/>
      <c r="O72" s="393"/>
      <c r="P72" s="393"/>
      <c r="Q72" s="371"/>
      <c r="R72" s="371"/>
      <c r="S72" s="371"/>
    </row>
    <row r="73" spans="1:20" x14ac:dyDescent="0.2">
      <c r="E73" s="371"/>
      <c r="F73" s="371"/>
      <c r="G73" s="371"/>
      <c r="H73" s="371"/>
      <c r="I73" s="371"/>
      <c r="J73" s="371"/>
      <c r="K73" s="371"/>
      <c r="L73" s="371"/>
      <c r="M73" s="371"/>
      <c r="N73" s="371"/>
      <c r="O73" s="371"/>
      <c r="P73" s="371"/>
      <c r="Q73" s="371"/>
      <c r="R73" s="371"/>
      <c r="S73" s="371"/>
    </row>
    <row r="103" spans="2:19" ht="14.65" customHeight="1" x14ac:dyDescent="0.2"/>
    <row r="108" spans="2:19" x14ac:dyDescent="0.2">
      <c r="C108" s="371"/>
    </row>
    <row r="109" spans="2:19" x14ac:dyDescent="0.2">
      <c r="B109" s="371"/>
      <c r="C109" s="371"/>
      <c r="D109" s="371"/>
      <c r="E109" s="371"/>
      <c r="F109" s="371"/>
      <c r="G109" s="371"/>
      <c r="H109" s="371"/>
      <c r="I109" s="371"/>
      <c r="J109" s="371"/>
      <c r="K109" s="371"/>
      <c r="L109" s="371"/>
      <c r="M109" s="371"/>
      <c r="N109" s="371"/>
      <c r="O109" s="371"/>
      <c r="P109" s="371"/>
      <c r="Q109" s="371"/>
      <c r="R109" s="371"/>
      <c r="S109" s="371"/>
    </row>
    <row r="110" spans="2:19" x14ac:dyDescent="0.2">
      <c r="B110" s="371"/>
      <c r="C110" s="371"/>
      <c r="D110" s="371"/>
      <c r="E110" s="371"/>
      <c r="F110" s="371"/>
      <c r="G110" s="371"/>
      <c r="H110" s="371"/>
      <c r="I110" s="371"/>
      <c r="J110" s="371"/>
      <c r="K110" s="371"/>
      <c r="L110" s="371"/>
      <c r="M110" s="371"/>
      <c r="N110" s="371"/>
      <c r="O110" s="371"/>
      <c r="P110" s="371"/>
      <c r="Q110" s="371"/>
      <c r="R110" s="371"/>
      <c r="S110" s="371"/>
    </row>
    <row r="111" spans="2:19" x14ac:dyDescent="0.2">
      <c r="B111" s="371"/>
      <c r="C111" s="371"/>
      <c r="D111" s="371"/>
      <c r="E111" s="371"/>
      <c r="F111" s="371"/>
      <c r="G111" s="371"/>
      <c r="H111" s="371"/>
      <c r="I111" s="371"/>
      <c r="J111" s="371"/>
      <c r="K111" s="371"/>
      <c r="L111" s="371"/>
      <c r="M111" s="371"/>
      <c r="N111" s="371"/>
      <c r="O111" s="371"/>
      <c r="P111" s="371"/>
      <c r="Q111" s="371"/>
      <c r="R111" s="371"/>
      <c r="S111" s="371"/>
    </row>
    <row r="112" spans="2:19" x14ac:dyDescent="0.2">
      <c r="B112" s="371"/>
      <c r="C112" s="371"/>
      <c r="D112" s="371"/>
      <c r="E112" s="371"/>
      <c r="F112" s="371"/>
      <c r="G112" s="371"/>
      <c r="H112" s="371"/>
      <c r="I112" s="371"/>
      <c r="J112" s="371"/>
      <c r="K112" s="371"/>
      <c r="L112" s="371"/>
      <c r="M112" s="371"/>
      <c r="N112" s="371"/>
      <c r="O112" s="371"/>
      <c r="P112" s="371"/>
      <c r="Q112" s="371"/>
      <c r="R112" s="371"/>
      <c r="S112" s="371"/>
    </row>
    <row r="113" spans="2:19" x14ac:dyDescent="0.2">
      <c r="B113" s="371"/>
      <c r="C113" s="371"/>
      <c r="D113" s="371"/>
      <c r="E113" s="371"/>
      <c r="F113" s="371"/>
      <c r="G113" s="371"/>
      <c r="H113" s="371"/>
      <c r="I113" s="371"/>
      <c r="J113" s="371"/>
      <c r="K113" s="371"/>
      <c r="L113" s="371"/>
      <c r="M113" s="371"/>
      <c r="N113" s="371"/>
      <c r="O113" s="371"/>
      <c r="P113" s="371"/>
      <c r="Q113" s="371"/>
      <c r="R113" s="371"/>
      <c r="S113" s="371"/>
    </row>
    <row r="114" spans="2:19" x14ac:dyDescent="0.2">
      <c r="B114" s="371"/>
      <c r="C114" s="371"/>
      <c r="D114" s="371"/>
      <c r="E114" s="371"/>
      <c r="F114" s="371"/>
      <c r="G114" s="371"/>
      <c r="H114" s="371"/>
      <c r="I114" s="371"/>
      <c r="J114" s="371"/>
      <c r="K114" s="371"/>
      <c r="L114" s="371"/>
      <c r="M114" s="371"/>
      <c r="N114" s="371"/>
      <c r="O114" s="371"/>
      <c r="P114" s="371"/>
      <c r="Q114" s="371"/>
      <c r="R114" s="371"/>
      <c r="S114" s="371"/>
    </row>
    <row r="115" spans="2:19" x14ac:dyDescent="0.2">
      <c r="B115" s="371"/>
      <c r="C115" s="371"/>
      <c r="D115" s="371"/>
      <c r="E115" s="371"/>
      <c r="F115" s="371"/>
      <c r="G115" s="371"/>
      <c r="H115" s="371"/>
      <c r="I115" s="371"/>
      <c r="J115" s="371"/>
      <c r="K115" s="371"/>
      <c r="L115" s="371"/>
      <c r="M115" s="371"/>
      <c r="N115" s="371"/>
      <c r="O115" s="371"/>
      <c r="P115" s="371"/>
      <c r="Q115" s="371"/>
      <c r="R115" s="371"/>
      <c r="S115" s="371"/>
    </row>
    <row r="116" spans="2:19" x14ac:dyDescent="0.2">
      <c r="B116" s="371"/>
      <c r="C116" s="371"/>
      <c r="D116" s="371"/>
      <c r="E116" s="371"/>
      <c r="F116" s="371"/>
      <c r="G116" s="371"/>
      <c r="H116" s="371"/>
      <c r="I116" s="371"/>
      <c r="J116" s="371"/>
      <c r="K116" s="371"/>
      <c r="L116" s="371"/>
      <c r="M116" s="371"/>
      <c r="N116" s="371"/>
      <c r="O116" s="371"/>
      <c r="P116" s="371"/>
      <c r="Q116" s="371"/>
      <c r="R116" s="371"/>
      <c r="S116" s="371"/>
    </row>
    <row r="117" spans="2:19" x14ac:dyDescent="0.2">
      <c r="B117" s="371"/>
      <c r="C117" s="371"/>
      <c r="D117" s="371"/>
      <c r="E117" s="371"/>
      <c r="F117" s="371"/>
      <c r="G117" s="371"/>
      <c r="H117" s="371"/>
      <c r="I117" s="371"/>
      <c r="J117" s="371"/>
      <c r="K117" s="371"/>
      <c r="L117" s="371"/>
      <c r="M117" s="371"/>
      <c r="N117" s="371"/>
      <c r="O117" s="371"/>
      <c r="P117" s="371"/>
      <c r="Q117" s="371"/>
      <c r="R117" s="371"/>
      <c r="S117" s="371"/>
    </row>
    <row r="118" spans="2:19" x14ac:dyDescent="0.2">
      <c r="B118" s="371"/>
      <c r="C118" s="371"/>
      <c r="D118" s="371"/>
      <c r="E118" s="371"/>
      <c r="F118" s="371"/>
      <c r="G118" s="371"/>
      <c r="H118" s="371"/>
      <c r="I118" s="371"/>
      <c r="J118" s="371"/>
      <c r="K118" s="371"/>
      <c r="L118" s="371"/>
      <c r="M118" s="371"/>
      <c r="N118" s="371"/>
      <c r="O118" s="371"/>
      <c r="P118" s="371"/>
      <c r="Q118" s="371"/>
      <c r="R118" s="371"/>
      <c r="S118" s="371"/>
    </row>
    <row r="119" spans="2:19" x14ac:dyDescent="0.2">
      <c r="B119" s="371"/>
      <c r="C119" s="371"/>
      <c r="D119" s="371"/>
      <c r="E119" s="371"/>
      <c r="F119" s="371"/>
      <c r="G119" s="371"/>
      <c r="H119" s="371"/>
      <c r="I119" s="371"/>
      <c r="J119" s="371"/>
      <c r="K119" s="371"/>
      <c r="L119" s="371"/>
      <c r="M119" s="371"/>
      <c r="N119" s="371"/>
      <c r="O119" s="371"/>
      <c r="P119" s="371"/>
      <c r="Q119" s="371"/>
      <c r="R119" s="371"/>
      <c r="S119" s="371"/>
    </row>
    <row r="120" spans="2:19" x14ac:dyDescent="0.2">
      <c r="B120" s="371"/>
      <c r="C120" s="371"/>
      <c r="D120" s="371"/>
      <c r="E120" s="371"/>
      <c r="F120" s="371"/>
      <c r="G120" s="371"/>
      <c r="H120" s="371"/>
      <c r="I120" s="371"/>
      <c r="J120" s="371"/>
      <c r="K120" s="371"/>
      <c r="L120" s="371"/>
      <c r="M120" s="371"/>
      <c r="N120" s="371"/>
      <c r="O120" s="371"/>
      <c r="P120" s="371"/>
      <c r="Q120" s="371"/>
      <c r="R120" s="371"/>
      <c r="S120" s="371"/>
    </row>
    <row r="121" spans="2:19" x14ac:dyDescent="0.2">
      <c r="B121" s="371"/>
      <c r="C121" s="371"/>
      <c r="D121" s="371"/>
      <c r="E121" s="371"/>
      <c r="F121" s="371"/>
      <c r="G121" s="371"/>
      <c r="H121" s="371"/>
      <c r="I121" s="371"/>
      <c r="J121" s="371"/>
      <c r="K121" s="371"/>
      <c r="L121" s="371"/>
      <c r="M121" s="371"/>
      <c r="N121" s="371"/>
      <c r="O121" s="371"/>
      <c r="P121" s="371"/>
      <c r="Q121" s="371"/>
      <c r="R121" s="371"/>
      <c r="S121" s="371"/>
    </row>
    <row r="122" spans="2:19" x14ac:dyDescent="0.2">
      <c r="B122" s="371"/>
      <c r="C122" s="371"/>
      <c r="D122" s="371"/>
      <c r="E122" s="371"/>
      <c r="F122" s="371"/>
      <c r="G122" s="371"/>
      <c r="H122" s="371"/>
      <c r="I122" s="371"/>
      <c r="J122" s="371"/>
      <c r="K122" s="371"/>
      <c r="L122" s="371"/>
      <c r="M122" s="371"/>
      <c r="N122" s="371"/>
      <c r="O122" s="371"/>
      <c r="P122" s="371"/>
      <c r="Q122" s="371"/>
      <c r="R122" s="371"/>
      <c r="S122" s="371"/>
    </row>
    <row r="123" spans="2:19" x14ac:dyDescent="0.2">
      <c r="B123" s="371"/>
      <c r="C123" s="371"/>
      <c r="D123" s="371"/>
      <c r="E123" s="371"/>
      <c r="F123" s="371"/>
      <c r="G123" s="371"/>
      <c r="H123" s="371"/>
      <c r="I123" s="371"/>
      <c r="J123" s="371"/>
      <c r="K123" s="371"/>
      <c r="L123" s="371"/>
      <c r="M123" s="371"/>
      <c r="N123" s="371"/>
      <c r="O123" s="371"/>
      <c r="P123" s="371"/>
      <c r="Q123" s="371"/>
      <c r="R123" s="371"/>
      <c r="S123" s="371"/>
    </row>
    <row r="124" spans="2:19" x14ac:dyDescent="0.2">
      <c r="B124" s="371"/>
      <c r="C124" s="371"/>
      <c r="D124" s="371"/>
      <c r="E124" s="371"/>
      <c r="F124" s="371"/>
      <c r="G124" s="371"/>
      <c r="H124" s="371"/>
      <c r="I124" s="371"/>
      <c r="J124" s="371"/>
      <c r="K124" s="371"/>
      <c r="L124" s="371"/>
      <c r="M124" s="371"/>
      <c r="N124" s="371"/>
      <c r="O124" s="371"/>
      <c r="P124" s="371"/>
      <c r="Q124" s="371"/>
      <c r="R124" s="371"/>
      <c r="S124" s="371"/>
    </row>
    <row r="125" spans="2:19" x14ac:dyDescent="0.2">
      <c r="B125" s="371"/>
      <c r="C125" s="371"/>
      <c r="D125" s="371"/>
      <c r="E125" s="371"/>
      <c r="F125" s="371"/>
      <c r="G125" s="371"/>
      <c r="H125" s="371"/>
      <c r="I125" s="371"/>
      <c r="J125" s="371"/>
      <c r="K125" s="371"/>
      <c r="L125" s="371"/>
      <c r="M125" s="371"/>
      <c r="N125" s="371"/>
      <c r="O125" s="371"/>
      <c r="P125" s="371"/>
      <c r="Q125" s="371"/>
      <c r="R125" s="371"/>
      <c r="S125" s="371"/>
    </row>
    <row r="126" spans="2:19" x14ac:dyDescent="0.2">
      <c r="B126" s="371"/>
      <c r="C126" s="371"/>
      <c r="D126" s="371"/>
      <c r="E126" s="371"/>
      <c r="F126" s="371"/>
      <c r="G126" s="371"/>
      <c r="H126" s="371"/>
      <c r="I126" s="371"/>
      <c r="J126" s="371"/>
      <c r="K126" s="371"/>
      <c r="L126" s="371"/>
      <c r="M126" s="371"/>
      <c r="N126" s="371"/>
      <c r="O126" s="371"/>
      <c r="P126" s="371"/>
      <c r="Q126" s="371"/>
      <c r="R126" s="371"/>
      <c r="S126" s="371"/>
    </row>
    <row r="127" spans="2:19" x14ac:dyDescent="0.2">
      <c r="B127" s="371"/>
      <c r="C127" s="371"/>
      <c r="D127" s="371"/>
      <c r="E127" s="371"/>
      <c r="F127" s="371"/>
      <c r="G127" s="371"/>
      <c r="H127" s="371"/>
      <c r="I127" s="371"/>
      <c r="J127" s="371"/>
      <c r="K127" s="371"/>
      <c r="L127" s="371"/>
      <c r="M127" s="371"/>
      <c r="N127" s="371"/>
      <c r="O127" s="371"/>
      <c r="P127" s="371"/>
      <c r="Q127" s="371"/>
      <c r="R127" s="371"/>
      <c r="S127" s="371"/>
    </row>
    <row r="128" spans="2:19" x14ac:dyDescent="0.2">
      <c r="B128" s="371"/>
      <c r="C128" s="371"/>
      <c r="D128" s="371"/>
      <c r="E128" s="371"/>
      <c r="F128" s="371"/>
      <c r="G128" s="371"/>
      <c r="H128" s="371"/>
      <c r="I128" s="371"/>
      <c r="J128" s="371"/>
      <c r="K128" s="371"/>
      <c r="L128" s="371"/>
      <c r="M128" s="371"/>
      <c r="N128" s="371"/>
      <c r="O128" s="371"/>
      <c r="P128" s="371"/>
      <c r="Q128" s="371"/>
      <c r="R128" s="371"/>
      <c r="S128" s="371"/>
    </row>
    <row r="129" spans="2:19" x14ac:dyDescent="0.2">
      <c r="B129" s="371"/>
      <c r="C129" s="371"/>
      <c r="D129" s="371"/>
      <c r="E129" s="371"/>
      <c r="F129" s="371"/>
      <c r="G129" s="371"/>
      <c r="H129" s="371"/>
      <c r="I129" s="371"/>
      <c r="J129" s="371"/>
      <c r="K129" s="371"/>
      <c r="L129" s="371"/>
      <c r="M129" s="371"/>
      <c r="N129" s="371"/>
      <c r="O129" s="371"/>
      <c r="P129" s="371"/>
      <c r="Q129" s="371"/>
      <c r="R129" s="371"/>
      <c r="S129" s="371"/>
    </row>
    <row r="130" spans="2:19" x14ac:dyDescent="0.2">
      <c r="B130" s="371"/>
      <c r="C130" s="371"/>
      <c r="D130" s="371"/>
      <c r="E130" s="371"/>
      <c r="F130" s="371"/>
      <c r="G130" s="371"/>
      <c r="H130" s="371"/>
      <c r="I130" s="371"/>
      <c r="J130" s="371"/>
      <c r="K130" s="371"/>
      <c r="L130" s="371"/>
      <c r="M130" s="371"/>
      <c r="N130" s="371"/>
      <c r="O130" s="371"/>
      <c r="P130" s="371"/>
      <c r="Q130" s="371"/>
      <c r="R130" s="371"/>
      <c r="S130" s="371"/>
    </row>
    <row r="131" spans="2:19" x14ac:dyDescent="0.2">
      <c r="B131" s="371"/>
      <c r="C131" s="371"/>
      <c r="D131" s="371"/>
      <c r="E131" s="371"/>
      <c r="F131" s="371"/>
      <c r="G131" s="371"/>
      <c r="H131" s="371"/>
      <c r="I131" s="371"/>
      <c r="J131" s="371"/>
      <c r="K131" s="371"/>
      <c r="L131" s="371"/>
      <c r="M131" s="371"/>
      <c r="N131" s="371"/>
      <c r="O131" s="371"/>
      <c r="P131" s="371"/>
      <c r="Q131" s="371"/>
      <c r="R131" s="371"/>
      <c r="S131" s="371"/>
    </row>
    <row r="132" spans="2:19" x14ac:dyDescent="0.2">
      <c r="B132" s="371"/>
      <c r="C132" s="371"/>
      <c r="D132" s="371"/>
      <c r="E132" s="371"/>
      <c r="F132" s="371"/>
      <c r="G132" s="371"/>
      <c r="H132" s="371"/>
      <c r="I132" s="371"/>
      <c r="J132" s="371"/>
      <c r="K132" s="371"/>
      <c r="L132" s="371"/>
      <c r="M132" s="371"/>
      <c r="N132" s="371"/>
      <c r="O132" s="371"/>
      <c r="P132" s="371"/>
      <c r="Q132" s="371"/>
      <c r="R132" s="371"/>
      <c r="S132" s="371"/>
    </row>
    <row r="133" spans="2:19" x14ac:dyDescent="0.2">
      <c r="B133" s="371"/>
      <c r="C133" s="371"/>
      <c r="D133" s="371"/>
      <c r="E133" s="371"/>
      <c r="F133" s="371"/>
      <c r="G133" s="371"/>
      <c r="H133" s="371"/>
      <c r="I133" s="371"/>
      <c r="J133" s="371"/>
      <c r="K133" s="371"/>
      <c r="L133" s="371"/>
      <c r="M133" s="371"/>
      <c r="N133" s="371"/>
      <c r="O133" s="371"/>
      <c r="P133" s="371"/>
      <c r="Q133" s="371"/>
      <c r="R133" s="371"/>
      <c r="S133" s="371"/>
    </row>
    <row r="134" spans="2:19" x14ac:dyDescent="0.2">
      <c r="B134" s="371"/>
      <c r="C134" s="371"/>
      <c r="D134" s="371"/>
      <c r="E134" s="371"/>
      <c r="F134" s="371"/>
      <c r="G134" s="371"/>
      <c r="H134" s="371"/>
      <c r="I134" s="371"/>
      <c r="J134" s="371"/>
      <c r="K134" s="371"/>
      <c r="L134" s="371"/>
      <c r="M134" s="371"/>
      <c r="N134" s="371"/>
      <c r="O134" s="371"/>
      <c r="P134" s="371"/>
      <c r="Q134" s="371"/>
      <c r="R134" s="371"/>
      <c r="S134" s="371"/>
    </row>
    <row r="135" spans="2:19" x14ac:dyDescent="0.2">
      <c r="B135" s="371"/>
      <c r="C135" s="371"/>
      <c r="D135" s="371"/>
      <c r="E135" s="371"/>
      <c r="F135" s="371"/>
      <c r="G135" s="371"/>
      <c r="H135" s="371"/>
      <c r="I135" s="371"/>
      <c r="J135" s="371"/>
      <c r="K135" s="371"/>
      <c r="L135" s="371"/>
      <c r="M135" s="371"/>
      <c r="N135" s="371"/>
      <c r="O135" s="371"/>
      <c r="P135" s="371"/>
      <c r="Q135" s="371"/>
      <c r="R135" s="371"/>
      <c r="S135" s="371"/>
    </row>
    <row r="136" spans="2:19" x14ac:dyDescent="0.2">
      <c r="B136" s="371"/>
      <c r="C136" s="371"/>
      <c r="D136" s="371"/>
      <c r="E136" s="371"/>
      <c r="F136" s="371"/>
      <c r="G136" s="371"/>
      <c r="H136" s="371"/>
      <c r="I136" s="371"/>
      <c r="J136" s="371"/>
      <c r="K136" s="371"/>
      <c r="L136" s="371"/>
      <c r="M136" s="371"/>
      <c r="N136" s="371"/>
      <c r="O136" s="371"/>
      <c r="P136" s="371"/>
      <c r="Q136" s="371"/>
      <c r="R136" s="371"/>
      <c r="S136" s="371"/>
    </row>
    <row r="137" spans="2:19" x14ac:dyDescent="0.2">
      <c r="B137" s="371"/>
      <c r="C137" s="371"/>
      <c r="D137" s="371"/>
      <c r="E137" s="371"/>
      <c r="F137" s="371"/>
      <c r="G137" s="371"/>
      <c r="H137" s="371"/>
      <c r="I137" s="371"/>
      <c r="J137" s="371"/>
      <c r="K137" s="371"/>
      <c r="L137" s="371"/>
      <c r="M137" s="371"/>
      <c r="N137" s="371"/>
      <c r="O137" s="371"/>
      <c r="P137" s="371"/>
      <c r="Q137" s="371"/>
      <c r="R137" s="371"/>
      <c r="S137" s="371"/>
    </row>
    <row r="138" spans="2:19" x14ac:dyDescent="0.2">
      <c r="B138" s="371"/>
      <c r="C138" s="371"/>
      <c r="D138" s="371"/>
      <c r="E138" s="371"/>
      <c r="F138" s="371"/>
      <c r="G138" s="371"/>
      <c r="H138" s="371"/>
      <c r="I138" s="371"/>
      <c r="J138" s="371"/>
      <c r="K138" s="371"/>
      <c r="L138" s="371"/>
      <c r="M138" s="371"/>
      <c r="N138" s="371"/>
      <c r="O138" s="371"/>
      <c r="P138" s="371"/>
      <c r="Q138" s="371"/>
      <c r="R138" s="371"/>
      <c r="S138" s="371"/>
    </row>
    <row r="139" spans="2:19" x14ac:dyDescent="0.2">
      <c r="B139" s="371"/>
      <c r="C139" s="371"/>
      <c r="D139" s="371"/>
      <c r="E139" s="371"/>
      <c r="F139" s="371"/>
      <c r="G139" s="371"/>
      <c r="H139" s="371"/>
      <c r="I139" s="371"/>
      <c r="J139" s="371"/>
      <c r="K139" s="371"/>
      <c r="L139" s="371"/>
      <c r="M139" s="371"/>
      <c r="N139" s="371"/>
      <c r="O139" s="371"/>
      <c r="P139" s="371"/>
      <c r="Q139" s="371"/>
      <c r="R139" s="371"/>
      <c r="S139" s="371"/>
    </row>
    <row r="140" spans="2:19" x14ac:dyDescent="0.2">
      <c r="B140" s="371"/>
      <c r="C140" s="371"/>
      <c r="D140" s="371"/>
      <c r="E140" s="371"/>
      <c r="F140" s="371"/>
      <c r="G140" s="371"/>
      <c r="H140" s="371"/>
      <c r="I140" s="371"/>
      <c r="J140" s="371"/>
      <c r="K140" s="371"/>
      <c r="L140" s="371"/>
      <c r="M140" s="371"/>
      <c r="N140" s="371"/>
      <c r="O140" s="371"/>
      <c r="P140" s="371"/>
      <c r="Q140" s="371"/>
      <c r="R140" s="371"/>
      <c r="S140" s="371"/>
    </row>
    <row r="141" spans="2:19" x14ac:dyDescent="0.2">
      <c r="B141" s="371"/>
      <c r="C141" s="371"/>
      <c r="D141" s="371"/>
      <c r="E141" s="371"/>
      <c r="F141" s="371"/>
      <c r="G141" s="371"/>
      <c r="H141" s="371"/>
      <c r="I141" s="371"/>
      <c r="J141" s="371"/>
      <c r="K141" s="371"/>
      <c r="L141" s="371"/>
      <c r="M141" s="371"/>
      <c r="N141" s="371"/>
      <c r="O141" s="371"/>
      <c r="P141" s="371"/>
      <c r="Q141" s="371"/>
      <c r="R141" s="371"/>
      <c r="S141" s="371"/>
    </row>
    <row r="142" spans="2:19" x14ac:dyDescent="0.2">
      <c r="B142" s="371"/>
      <c r="C142" s="371"/>
      <c r="D142" s="371"/>
      <c r="E142" s="371"/>
      <c r="F142" s="371"/>
      <c r="G142" s="371"/>
      <c r="H142" s="371"/>
      <c r="I142" s="371"/>
      <c r="J142" s="371"/>
      <c r="K142" s="371"/>
      <c r="L142" s="371"/>
      <c r="M142" s="371"/>
      <c r="N142" s="371"/>
      <c r="O142" s="371"/>
      <c r="P142" s="371"/>
      <c r="Q142" s="371"/>
      <c r="R142" s="371"/>
      <c r="S142" s="371"/>
    </row>
    <row r="143" spans="2:19" x14ac:dyDescent="0.2">
      <c r="B143" s="371"/>
      <c r="C143" s="371"/>
      <c r="D143" s="371"/>
      <c r="E143" s="371"/>
      <c r="F143" s="371"/>
      <c r="G143" s="371"/>
      <c r="H143" s="371"/>
      <c r="I143" s="371"/>
      <c r="J143" s="371"/>
      <c r="K143" s="371"/>
      <c r="L143" s="371"/>
      <c r="M143" s="371"/>
      <c r="N143" s="371"/>
      <c r="O143" s="371"/>
      <c r="P143" s="371"/>
      <c r="Q143" s="371"/>
      <c r="R143" s="371"/>
      <c r="S143" s="371"/>
    </row>
    <row r="144" spans="2:19" x14ac:dyDescent="0.2">
      <c r="B144" s="371"/>
      <c r="C144" s="371"/>
      <c r="D144" s="371"/>
      <c r="E144" s="371"/>
      <c r="F144" s="371"/>
      <c r="G144" s="371"/>
      <c r="H144" s="371"/>
      <c r="I144" s="371"/>
      <c r="J144" s="371"/>
      <c r="K144" s="371"/>
      <c r="L144" s="371"/>
      <c r="M144" s="371"/>
      <c r="N144" s="371"/>
      <c r="O144" s="371"/>
      <c r="P144" s="371"/>
      <c r="Q144" s="371"/>
      <c r="R144" s="371"/>
      <c r="S144" s="371"/>
    </row>
    <row r="145" spans="2:19" x14ac:dyDescent="0.2">
      <c r="B145" s="371"/>
      <c r="C145" s="371"/>
      <c r="D145" s="371"/>
      <c r="E145" s="371"/>
      <c r="F145" s="371"/>
      <c r="G145" s="371"/>
      <c r="H145" s="371"/>
      <c r="I145" s="371"/>
      <c r="J145" s="371"/>
      <c r="K145" s="371"/>
      <c r="L145" s="371"/>
      <c r="M145" s="371"/>
      <c r="N145" s="371"/>
      <c r="O145" s="371"/>
      <c r="P145" s="371"/>
      <c r="Q145" s="371"/>
      <c r="R145" s="371"/>
      <c r="S145" s="371"/>
    </row>
    <row r="146" spans="2:19" x14ac:dyDescent="0.2">
      <c r="B146" s="371"/>
      <c r="C146" s="371"/>
      <c r="D146" s="371"/>
      <c r="E146" s="371"/>
      <c r="F146" s="371"/>
      <c r="G146" s="371"/>
      <c r="H146" s="371"/>
      <c r="I146" s="371"/>
      <c r="J146" s="371"/>
      <c r="K146" s="371"/>
      <c r="L146" s="371"/>
      <c r="M146" s="371"/>
      <c r="N146" s="371"/>
      <c r="O146" s="371"/>
      <c r="P146" s="371"/>
      <c r="Q146" s="371"/>
      <c r="R146" s="371"/>
      <c r="S146" s="371"/>
    </row>
    <row r="147" spans="2:19" x14ac:dyDescent="0.2">
      <c r="B147" s="371"/>
      <c r="C147" s="371"/>
      <c r="D147" s="371"/>
      <c r="E147" s="371"/>
      <c r="F147" s="371"/>
      <c r="G147" s="371"/>
      <c r="H147" s="371"/>
      <c r="I147" s="371"/>
      <c r="J147" s="371"/>
      <c r="K147" s="371"/>
      <c r="L147" s="371"/>
      <c r="M147" s="371"/>
      <c r="N147" s="371"/>
      <c r="O147" s="371"/>
      <c r="P147" s="371"/>
      <c r="Q147" s="371"/>
      <c r="R147" s="371"/>
      <c r="S147" s="371"/>
    </row>
    <row r="148" spans="2:19" x14ac:dyDescent="0.2">
      <c r="B148" s="371"/>
      <c r="C148" s="371"/>
      <c r="D148" s="371"/>
      <c r="E148" s="371"/>
      <c r="F148" s="371"/>
      <c r="G148" s="371"/>
      <c r="H148" s="371"/>
      <c r="I148" s="371"/>
      <c r="J148" s="371"/>
      <c r="K148" s="371"/>
      <c r="L148" s="371"/>
      <c r="M148" s="371"/>
      <c r="N148" s="371"/>
      <c r="O148" s="371"/>
      <c r="P148" s="371"/>
      <c r="Q148" s="371"/>
      <c r="R148" s="371"/>
      <c r="S148" s="371"/>
    </row>
    <row r="149" spans="2:19" x14ac:dyDescent="0.2">
      <c r="B149" s="371"/>
      <c r="C149" s="371"/>
      <c r="D149" s="371"/>
      <c r="E149" s="371"/>
      <c r="F149" s="371"/>
      <c r="G149" s="371"/>
      <c r="H149" s="371"/>
      <c r="I149" s="371"/>
      <c r="J149" s="371"/>
      <c r="K149" s="371"/>
      <c r="L149" s="371"/>
      <c r="M149" s="371"/>
      <c r="N149" s="371"/>
      <c r="O149" s="371"/>
      <c r="P149" s="371"/>
      <c r="Q149" s="371"/>
      <c r="R149" s="371"/>
      <c r="S149" s="371"/>
    </row>
    <row r="150" spans="2:19" x14ac:dyDescent="0.2">
      <c r="B150" s="371"/>
      <c r="C150" s="371"/>
      <c r="D150" s="371"/>
      <c r="E150" s="371"/>
      <c r="F150" s="371"/>
      <c r="G150" s="371"/>
      <c r="H150" s="371"/>
      <c r="I150" s="371"/>
      <c r="J150" s="371"/>
      <c r="K150" s="371"/>
      <c r="L150" s="371"/>
      <c r="M150" s="371"/>
      <c r="N150" s="371"/>
      <c r="O150" s="371"/>
      <c r="P150" s="371"/>
      <c r="Q150" s="371"/>
      <c r="R150" s="371"/>
      <c r="S150" s="371"/>
    </row>
    <row r="151" spans="2:19" x14ac:dyDescent="0.2">
      <c r="B151" s="371"/>
      <c r="C151" s="371"/>
      <c r="D151" s="371"/>
      <c r="E151" s="371"/>
      <c r="F151" s="371"/>
      <c r="G151" s="371"/>
      <c r="H151" s="371"/>
      <c r="I151" s="371"/>
      <c r="J151" s="371"/>
      <c r="K151" s="371"/>
      <c r="L151" s="371"/>
      <c r="M151" s="371"/>
      <c r="N151" s="371"/>
      <c r="O151" s="371"/>
      <c r="P151" s="371"/>
      <c r="Q151" s="371"/>
      <c r="R151" s="371"/>
      <c r="S151" s="371"/>
    </row>
    <row r="152" spans="2:19" x14ac:dyDescent="0.2">
      <c r="B152" s="371"/>
      <c r="C152" s="371"/>
      <c r="D152" s="371"/>
      <c r="E152" s="371"/>
      <c r="F152" s="371"/>
      <c r="G152" s="371"/>
      <c r="H152" s="371"/>
      <c r="I152" s="371"/>
      <c r="J152" s="371"/>
      <c r="K152" s="371"/>
      <c r="L152" s="371"/>
      <c r="M152" s="371"/>
      <c r="N152" s="371"/>
      <c r="O152" s="371"/>
      <c r="P152" s="371"/>
      <c r="Q152" s="371"/>
      <c r="R152" s="371"/>
      <c r="S152" s="371"/>
    </row>
    <row r="153" spans="2:19" x14ac:dyDescent="0.2">
      <c r="B153" s="371"/>
      <c r="C153" s="371"/>
      <c r="D153" s="371"/>
      <c r="E153" s="371"/>
      <c r="F153" s="371"/>
      <c r="G153" s="371"/>
      <c r="H153" s="371"/>
      <c r="I153" s="371"/>
      <c r="J153" s="371"/>
      <c r="K153" s="371"/>
      <c r="L153" s="371"/>
      <c r="M153" s="371"/>
      <c r="N153" s="371"/>
      <c r="O153" s="371"/>
      <c r="P153" s="371"/>
      <c r="Q153" s="371"/>
      <c r="R153" s="371"/>
      <c r="S153" s="371"/>
    </row>
    <row r="154" spans="2:19" x14ac:dyDescent="0.2">
      <c r="B154" s="371"/>
      <c r="C154" s="371"/>
      <c r="D154" s="371"/>
      <c r="E154" s="371"/>
      <c r="F154" s="371"/>
      <c r="G154" s="371"/>
      <c r="H154" s="371"/>
      <c r="I154" s="371"/>
      <c r="J154" s="371"/>
      <c r="K154" s="371"/>
      <c r="L154" s="371"/>
      <c r="M154" s="371"/>
      <c r="N154" s="371"/>
      <c r="O154" s="371"/>
      <c r="P154" s="371"/>
      <c r="Q154" s="371"/>
      <c r="R154" s="371"/>
      <c r="S154" s="371"/>
    </row>
    <row r="155" spans="2:19" x14ac:dyDescent="0.2">
      <c r="B155" s="371"/>
      <c r="C155" s="371"/>
      <c r="D155" s="371"/>
      <c r="E155" s="371"/>
      <c r="F155" s="371"/>
      <c r="G155" s="371"/>
      <c r="H155" s="371"/>
      <c r="I155" s="371"/>
      <c r="J155" s="371"/>
      <c r="K155" s="371"/>
      <c r="L155" s="371"/>
      <c r="M155" s="371"/>
      <c r="N155" s="371"/>
      <c r="O155" s="371"/>
      <c r="P155" s="371"/>
      <c r="Q155" s="371"/>
      <c r="R155" s="371"/>
      <c r="S155" s="371"/>
    </row>
    <row r="156" spans="2:19" x14ac:dyDescent="0.2">
      <c r="B156" s="371"/>
      <c r="C156" s="371"/>
      <c r="D156" s="371"/>
      <c r="E156" s="371"/>
      <c r="F156" s="371"/>
      <c r="G156" s="371"/>
      <c r="H156" s="371"/>
      <c r="I156" s="371"/>
      <c r="J156" s="371"/>
      <c r="K156" s="371"/>
      <c r="L156" s="371"/>
      <c r="M156" s="371"/>
      <c r="N156" s="371"/>
      <c r="O156" s="371"/>
      <c r="P156" s="371"/>
      <c r="Q156" s="371"/>
      <c r="R156" s="371"/>
      <c r="S156" s="371"/>
    </row>
    <row r="157" spans="2:19" x14ac:dyDescent="0.2">
      <c r="B157" s="371"/>
      <c r="C157" s="371"/>
      <c r="D157" s="371"/>
      <c r="E157" s="371"/>
      <c r="F157" s="371"/>
      <c r="G157" s="371"/>
      <c r="H157" s="371"/>
      <c r="I157" s="371"/>
      <c r="J157" s="371"/>
      <c r="K157" s="371"/>
      <c r="L157" s="371"/>
      <c r="M157" s="371"/>
      <c r="N157" s="371"/>
      <c r="O157" s="371"/>
      <c r="P157" s="371"/>
      <c r="Q157" s="371"/>
      <c r="R157" s="371"/>
      <c r="S157" s="371"/>
    </row>
    <row r="158" spans="2:19" x14ac:dyDescent="0.2">
      <c r="B158" s="371"/>
      <c r="C158" s="371"/>
      <c r="D158" s="371"/>
      <c r="E158" s="371"/>
      <c r="F158" s="371"/>
      <c r="G158" s="371"/>
      <c r="H158" s="371"/>
      <c r="I158" s="371"/>
      <c r="J158" s="371"/>
      <c r="K158" s="371"/>
      <c r="L158" s="371"/>
      <c r="M158" s="371"/>
      <c r="N158" s="371"/>
      <c r="O158" s="371"/>
      <c r="P158" s="371"/>
      <c r="Q158" s="371"/>
      <c r="R158" s="371"/>
      <c r="S158" s="371"/>
    </row>
    <row r="159" spans="2:19" x14ac:dyDescent="0.2">
      <c r="B159" s="371"/>
      <c r="C159" s="371"/>
      <c r="D159" s="371"/>
      <c r="E159" s="371"/>
      <c r="F159" s="371"/>
      <c r="G159" s="371"/>
      <c r="H159" s="371"/>
      <c r="I159" s="371"/>
      <c r="J159" s="371"/>
      <c r="K159" s="371"/>
      <c r="L159" s="371"/>
      <c r="M159" s="371"/>
      <c r="N159" s="371"/>
      <c r="O159" s="371"/>
      <c r="P159" s="371"/>
      <c r="Q159" s="371"/>
      <c r="R159" s="371"/>
      <c r="S159" s="371"/>
    </row>
    <row r="160" spans="2:19" x14ac:dyDescent="0.2">
      <c r="B160" s="371"/>
      <c r="C160" s="371"/>
      <c r="D160" s="371"/>
      <c r="E160" s="371"/>
      <c r="F160" s="371"/>
      <c r="G160" s="371"/>
      <c r="H160" s="371"/>
      <c r="I160" s="371"/>
      <c r="J160" s="371"/>
      <c r="K160" s="371"/>
      <c r="L160" s="371"/>
      <c r="M160" s="371"/>
      <c r="N160" s="371"/>
      <c r="O160" s="371"/>
      <c r="P160" s="371"/>
      <c r="Q160" s="371"/>
      <c r="R160" s="371"/>
      <c r="S160" s="371"/>
    </row>
    <row r="161" spans="2:19" x14ac:dyDescent="0.2">
      <c r="B161" s="371"/>
      <c r="C161" s="371"/>
      <c r="D161" s="371"/>
      <c r="E161" s="371"/>
      <c r="F161" s="371"/>
      <c r="G161" s="371"/>
      <c r="H161" s="371"/>
      <c r="I161" s="371"/>
      <c r="J161" s="371"/>
      <c r="K161" s="371"/>
      <c r="L161" s="371"/>
      <c r="M161" s="371"/>
      <c r="N161" s="371"/>
      <c r="O161" s="371"/>
      <c r="P161" s="371"/>
      <c r="Q161" s="371"/>
      <c r="R161" s="371"/>
      <c r="S161" s="371"/>
    </row>
    <row r="162" spans="2:19" x14ac:dyDescent="0.2">
      <c r="B162" s="371"/>
      <c r="C162" s="371"/>
      <c r="D162" s="371"/>
      <c r="E162" s="371"/>
      <c r="F162" s="371"/>
      <c r="G162" s="371"/>
      <c r="H162" s="371"/>
      <c r="I162" s="371"/>
      <c r="J162" s="371"/>
      <c r="K162" s="371"/>
      <c r="L162" s="371"/>
      <c r="M162" s="371"/>
      <c r="N162" s="371"/>
      <c r="O162" s="371"/>
      <c r="P162" s="371"/>
      <c r="Q162" s="371"/>
      <c r="R162" s="371"/>
      <c r="S162" s="371"/>
    </row>
    <row r="163" spans="2:19" x14ac:dyDescent="0.2">
      <c r="B163" s="371"/>
      <c r="C163" s="371"/>
      <c r="D163" s="371"/>
      <c r="E163" s="371"/>
      <c r="F163" s="371"/>
      <c r="G163" s="371"/>
      <c r="H163" s="371"/>
      <c r="I163" s="371"/>
      <c r="J163" s="371"/>
      <c r="K163" s="371"/>
      <c r="L163" s="371"/>
      <c r="M163" s="371"/>
      <c r="N163" s="371"/>
      <c r="O163" s="371"/>
      <c r="P163" s="371"/>
      <c r="Q163" s="371"/>
      <c r="R163" s="371"/>
      <c r="S163" s="371"/>
    </row>
    <row r="164" spans="2:19" x14ac:dyDescent="0.2">
      <c r="B164" s="371"/>
      <c r="C164" s="371"/>
      <c r="D164" s="371"/>
      <c r="E164" s="371"/>
      <c r="F164" s="371"/>
      <c r="G164" s="371"/>
      <c r="H164" s="371"/>
      <c r="I164" s="371"/>
      <c r="J164" s="371"/>
      <c r="K164" s="371"/>
      <c r="L164" s="371"/>
      <c r="M164" s="371"/>
      <c r="N164" s="371"/>
      <c r="O164" s="371"/>
      <c r="P164" s="371"/>
      <c r="Q164" s="371"/>
      <c r="R164" s="371"/>
      <c r="S164" s="371"/>
    </row>
    <row r="165" spans="2:19" x14ac:dyDescent="0.2">
      <c r="B165" s="371"/>
      <c r="C165" s="371"/>
      <c r="D165" s="371"/>
      <c r="E165" s="371"/>
      <c r="F165" s="371"/>
      <c r="G165" s="371"/>
      <c r="H165" s="371"/>
      <c r="I165" s="371"/>
      <c r="J165" s="371"/>
      <c r="K165" s="371"/>
      <c r="L165" s="371"/>
      <c r="M165" s="371"/>
      <c r="N165" s="371"/>
      <c r="O165" s="371"/>
      <c r="P165" s="371"/>
      <c r="Q165" s="371"/>
      <c r="R165" s="371"/>
      <c r="S165" s="371"/>
    </row>
    <row r="166" spans="2:19" x14ac:dyDescent="0.2">
      <c r="B166" s="371"/>
      <c r="C166" s="371"/>
      <c r="D166" s="371"/>
      <c r="E166" s="371"/>
      <c r="F166" s="371"/>
      <c r="G166" s="371"/>
      <c r="H166" s="371"/>
      <c r="I166" s="371"/>
      <c r="J166" s="371"/>
      <c r="K166" s="371"/>
      <c r="L166" s="371"/>
      <c r="M166" s="371"/>
      <c r="N166" s="371"/>
      <c r="O166" s="371"/>
      <c r="P166" s="371"/>
      <c r="Q166" s="371"/>
      <c r="R166" s="371"/>
      <c r="S166" s="371"/>
    </row>
    <row r="167" spans="2:19" x14ac:dyDescent="0.2">
      <c r="B167" s="371"/>
      <c r="C167" s="371"/>
      <c r="D167" s="371"/>
      <c r="E167" s="371"/>
      <c r="F167" s="371"/>
      <c r="G167" s="371"/>
      <c r="H167" s="371"/>
      <c r="I167" s="371"/>
      <c r="J167" s="371"/>
      <c r="K167" s="371"/>
      <c r="L167" s="371"/>
      <c r="M167" s="371"/>
      <c r="N167" s="371"/>
      <c r="O167" s="371"/>
      <c r="P167" s="371"/>
      <c r="Q167" s="371"/>
      <c r="R167" s="371"/>
      <c r="S167" s="371"/>
    </row>
    <row r="168" spans="2:19" x14ac:dyDescent="0.2">
      <c r="B168" s="371"/>
      <c r="C168" s="371"/>
      <c r="D168" s="371"/>
      <c r="E168" s="371"/>
      <c r="F168" s="371"/>
      <c r="G168" s="371"/>
      <c r="H168" s="371"/>
      <c r="I168" s="371"/>
      <c r="J168" s="371"/>
      <c r="K168" s="371"/>
      <c r="L168" s="371"/>
      <c r="M168" s="371"/>
      <c r="N168" s="371"/>
      <c r="O168" s="371"/>
      <c r="P168" s="371"/>
      <c r="Q168" s="371"/>
      <c r="R168" s="371"/>
      <c r="S168" s="371"/>
    </row>
    <row r="169" spans="2:19" x14ac:dyDescent="0.2">
      <c r="B169" s="371"/>
      <c r="C169" s="371"/>
      <c r="D169" s="371"/>
      <c r="E169" s="371"/>
      <c r="F169" s="371"/>
      <c r="G169" s="371"/>
      <c r="H169" s="371"/>
      <c r="I169" s="371"/>
      <c r="J169" s="371"/>
      <c r="K169" s="371"/>
      <c r="L169" s="371"/>
      <c r="M169" s="371"/>
      <c r="N169" s="371"/>
      <c r="O169" s="371"/>
      <c r="P169" s="371"/>
      <c r="Q169" s="371"/>
      <c r="R169" s="371"/>
      <c r="S169" s="371"/>
    </row>
    <row r="170" spans="2:19" x14ac:dyDescent="0.2">
      <c r="B170" s="371"/>
      <c r="C170" s="371"/>
      <c r="D170" s="371"/>
      <c r="E170" s="371"/>
      <c r="F170" s="371"/>
      <c r="G170" s="371"/>
      <c r="H170" s="371"/>
      <c r="I170" s="371"/>
      <c r="J170" s="371"/>
      <c r="K170" s="371"/>
      <c r="L170" s="371"/>
      <c r="M170" s="371"/>
      <c r="N170" s="371"/>
      <c r="O170" s="371"/>
      <c r="P170" s="371"/>
      <c r="Q170" s="371"/>
      <c r="R170" s="371"/>
      <c r="S170" s="371"/>
    </row>
    <row r="171" spans="2:19" x14ac:dyDescent="0.2">
      <c r="B171" s="371"/>
      <c r="C171" s="371"/>
      <c r="D171" s="371"/>
      <c r="E171" s="371"/>
      <c r="F171" s="371"/>
      <c r="G171" s="371"/>
      <c r="H171" s="371"/>
      <c r="I171" s="371"/>
      <c r="J171" s="371"/>
      <c r="K171" s="371"/>
      <c r="L171" s="371"/>
      <c r="M171" s="371"/>
      <c r="N171" s="371"/>
      <c r="O171" s="371"/>
      <c r="P171" s="371"/>
      <c r="Q171" s="371"/>
      <c r="R171" s="371"/>
      <c r="S171" s="371"/>
    </row>
    <row r="172" spans="2:19" x14ac:dyDescent="0.2">
      <c r="B172" s="371"/>
      <c r="C172" s="371"/>
      <c r="D172" s="371"/>
      <c r="E172" s="371"/>
      <c r="F172" s="371"/>
      <c r="G172" s="371"/>
      <c r="H172" s="371"/>
      <c r="I172" s="371"/>
      <c r="J172" s="371"/>
      <c r="K172" s="371"/>
      <c r="L172" s="371"/>
      <c r="M172" s="371"/>
      <c r="N172" s="371"/>
      <c r="O172" s="371"/>
      <c r="P172" s="371"/>
      <c r="Q172" s="371"/>
      <c r="R172" s="371"/>
      <c r="S172" s="371"/>
    </row>
    <row r="173" spans="2:19" x14ac:dyDescent="0.2">
      <c r="B173" s="371"/>
      <c r="C173" s="371"/>
      <c r="D173" s="371"/>
      <c r="E173" s="371"/>
      <c r="F173" s="371"/>
      <c r="G173" s="371"/>
      <c r="H173" s="371"/>
      <c r="I173" s="371"/>
      <c r="J173" s="371"/>
      <c r="K173" s="371"/>
      <c r="L173" s="371"/>
      <c r="M173" s="371"/>
      <c r="N173" s="371"/>
      <c r="O173" s="371"/>
      <c r="P173" s="371"/>
      <c r="Q173" s="371"/>
      <c r="R173" s="371"/>
      <c r="S173" s="371"/>
    </row>
    <row r="174" spans="2:19" x14ac:dyDescent="0.2">
      <c r="B174" s="371"/>
      <c r="C174" s="371"/>
      <c r="D174" s="371"/>
      <c r="E174" s="371"/>
      <c r="F174" s="371"/>
      <c r="G174" s="371"/>
      <c r="H174" s="371"/>
      <c r="I174" s="371"/>
      <c r="J174" s="371"/>
      <c r="K174" s="371"/>
      <c r="L174" s="371"/>
      <c r="M174" s="371"/>
      <c r="N174" s="371"/>
      <c r="O174" s="371"/>
      <c r="P174" s="371"/>
      <c r="Q174" s="371"/>
      <c r="R174" s="371"/>
      <c r="S174" s="371"/>
    </row>
    <row r="175" spans="2:19" x14ac:dyDescent="0.2">
      <c r="B175" s="371"/>
      <c r="C175" s="371"/>
      <c r="D175" s="371"/>
      <c r="E175" s="371"/>
      <c r="F175" s="371"/>
      <c r="G175" s="371"/>
      <c r="H175" s="371"/>
      <c r="I175" s="371"/>
      <c r="J175" s="371"/>
      <c r="K175" s="371"/>
      <c r="L175" s="371"/>
      <c r="M175" s="371"/>
      <c r="N175" s="371"/>
      <c r="O175" s="371"/>
      <c r="P175" s="371"/>
      <c r="Q175" s="371"/>
      <c r="R175" s="371"/>
      <c r="S175" s="371"/>
    </row>
    <row r="176" spans="2:19" x14ac:dyDescent="0.2">
      <c r="B176" s="371"/>
      <c r="C176" s="371"/>
      <c r="D176" s="371"/>
      <c r="E176" s="371"/>
      <c r="F176" s="371"/>
      <c r="G176" s="371"/>
      <c r="H176" s="371"/>
      <c r="I176" s="371"/>
      <c r="J176" s="371"/>
      <c r="K176" s="371"/>
      <c r="L176" s="371"/>
      <c r="M176" s="371"/>
      <c r="N176" s="371"/>
      <c r="O176" s="371"/>
      <c r="P176" s="371"/>
      <c r="Q176" s="371"/>
      <c r="R176" s="371"/>
      <c r="S176" s="371"/>
    </row>
    <row r="177" spans="2:19" x14ac:dyDescent="0.2">
      <c r="B177" s="371"/>
      <c r="C177" s="371"/>
      <c r="D177" s="371"/>
      <c r="E177" s="371"/>
      <c r="F177" s="371"/>
      <c r="G177" s="371"/>
      <c r="H177" s="371"/>
      <c r="I177" s="371"/>
      <c r="J177" s="371"/>
      <c r="K177" s="371"/>
      <c r="L177" s="371"/>
      <c r="M177" s="371"/>
      <c r="N177" s="371"/>
      <c r="O177" s="371"/>
      <c r="P177" s="371"/>
      <c r="Q177" s="371"/>
      <c r="R177" s="371"/>
      <c r="S177" s="371"/>
    </row>
    <row r="178" spans="2:19" x14ac:dyDescent="0.2">
      <c r="B178" s="371"/>
      <c r="C178" s="371"/>
      <c r="D178" s="371"/>
      <c r="E178" s="371"/>
      <c r="F178" s="371"/>
      <c r="G178" s="371"/>
      <c r="H178" s="371"/>
      <c r="I178" s="371"/>
      <c r="J178" s="371"/>
      <c r="K178" s="371"/>
      <c r="L178" s="371"/>
      <c r="M178" s="371"/>
      <c r="N178" s="371"/>
      <c r="O178" s="371"/>
      <c r="P178" s="371"/>
      <c r="Q178" s="371"/>
      <c r="R178" s="371"/>
      <c r="S178" s="371"/>
    </row>
    <row r="179" spans="2:19" x14ac:dyDescent="0.2">
      <c r="B179" s="371"/>
      <c r="C179" s="371"/>
      <c r="D179" s="371"/>
      <c r="E179" s="371"/>
      <c r="F179" s="371"/>
      <c r="G179" s="371"/>
      <c r="H179" s="371"/>
      <c r="I179" s="371"/>
      <c r="J179" s="371"/>
      <c r="K179" s="371"/>
      <c r="L179" s="371"/>
      <c r="M179" s="371"/>
      <c r="N179" s="371"/>
      <c r="O179" s="371"/>
      <c r="P179" s="371"/>
      <c r="Q179" s="371"/>
      <c r="R179" s="371"/>
      <c r="S179" s="371"/>
    </row>
    <row r="180" spans="2:19" x14ac:dyDescent="0.2">
      <c r="B180" s="371"/>
      <c r="C180" s="371"/>
      <c r="D180" s="371"/>
      <c r="E180" s="371"/>
      <c r="F180" s="371"/>
      <c r="G180" s="371"/>
      <c r="H180" s="371"/>
      <c r="I180" s="371"/>
      <c r="J180" s="371"/>
      <c r="K180" s="371"/>
      <c r="L180" s="371"/>
      <c r="M180" s="371"/>
      <c r="N180" s="371"/>
      <c r="O180" s="371"/>
      <c r="P180" s="371"/>
      <c r="Q180" s="371"/>
      <c r="R180" s="371"/>
      <c r="S180" s="371"/>
    </row>
    <row r="181" spans="2:19" x14ac:dyDescent="0.2">
      <c r="B181" s="371"/>
      <c r="C181" s="371"/>
      <c r="D181" s="371"/>
      <c r="E181" s="371"/>
      <c r="F181" s="371"/>
      <c r="G181" s="371"/>
      <c r="H181" s="371"/>
      <c r="I181" s="371"/>
      <c r="J181" s="371"/>
      <c r="K181" s="371"/>
      <c r="L181" s="371"/>
      <c r="M181" s="371"/>
      <c r="N181" s="371"/>
      <c r="O181" s="371"/>
      <c r="P181" s="371"/>
      <c r="Q181" s="371"/>
      <c r="R181" s="371"/>
      <c r="S181" s="371"/>
    </row>
    <row r="182" spans="2:19" x14ac:dyDescent="0.2">
      <c r="B182" s="371"/>
      <c r="C182" s="371"/>
      <c r="D182" s="371"/>
      <c r="E182" s="371"/>
      <c r="F182" s="371"/>
      <c r="G182" s="371"/>
      <c r="H182" s="371"/>
      <c r="I182" s="371"/>
      <c r="J182" s="371"/>
      <c r="K182" s="371"/>
      <c r="L182" s="371"/>
      <c r="M182" s="371"/>
      <c r="N182" s="371"/>
      <c r="O182" s="371"/>
      <c r="P182" s="371"/>
      <c r="Q182" s="371"/>
      <c r="R182" s="371"/>
      <c r="S182" s="371"/>
    </row>
    <row r="183" spans="2:19" x14ac:dyDescent="0.2">
      <c r="B183" s="371"/>
      <c r="C183" s="371"/>
      <c r="D183" s="371"/>
      <c r="E183" s="371"/>
      <c r="F183" s="371"/>
      <c r="G183" s="371"/>
      <c r="H183" s="371"/>
      <c r="I183" s="371"/>
      <c r="J183" s="371"/>
      <c r="K183" s="371"/>
      <c r="L183" s="371"/>
      <c r="M183" s="371"/>
      <c r="N183" s="371"/>
      <c r="O183" s="371"/>
      <c r="P183" s="371"/>
      <c r="Q183" s="371"/>
      <c r="R183" s="371"/>
      <c r="S183" s="371"/>
    </row>
    <row r="184" spans="2:19" x14ac:dyDescent="0.2">
      <c r="B184" s="371"/>
      <c r="C184" s="371"/>
      <c r="D184" s="371"/>
      <c r="E184" s="371"/>
      <c r="F184" s="371"/>
      <c r="G184" s="371"/>
      <c r="H184" s="371"/>
      <c r="I184" s="371"/>
      <c r="J184" s="371"/>
      <c r="K184" s="371"/>
      <c r="L184" s="371"/>
      <c r="M184" s="371"/>
      <c r="N184" s="371"/>
      <c r="O184" s="371"/>
      <c r="P184" s="371"/>
      <c r="Q184" s="371"/>
      <c r="R184" s="371"/>
      <c r="S184" s="371"/>
    </row>
    <row r="185" spans="2:19" x14ac:dyDescent="0.2">
      <c r="B185" s="371"/>
      <c r="C185" s="371"/>
      <c r="D185" s="371"/>
      <c r="E185" s="371"/>
      <c r="F185" s="371"/>
      <c r="G185" s="371"/>
      <c r="H185" s="371"/>
      <c r="I185" s="371"/>
      <c r="J185" s="371"/>
      <c r="K185" s="371"/>
      <c r="L185" s="371"/>
      <c r="M185" s="371"/>
      <c r="N185" s="371"/>
      <c r="O185" s="371"/>
      <c r="P185" s="371"/>
      <c r="Q185" s="371"/>
      <c r="R185" s="371"/>
      <c r="S185" s="371"/>
    </row>
    <row r="186" spans="2:19" x14ac:dyDescent="0.2">
      <c r="B186" s="371"/>
      <c r="C186" s="371"/>
      <c r="D186" s="371"/>
      <c r="E186" s="371"/>
      <c r="F186" s="371"/>
      <c r="G186" s="371"/>
      <c r="H186" s="371"/>
      <c r="I186" s="371"/>
      <c r="J186" s="371"/>
      <c r="K186" s="371"/>
      <c r="L186" s="371"/>
      <c r="M186" s="371"/>
      <c r="N186" s="371"/>
      <c r="O186" s="371"/>
      <c r="P186" s="371"/>
      <c r="Q186" s="371"/>
      <c r="R186" s="371"/>
      <c r="S186" s="371"/>
    </row>
    <row r="187" spans="2:19" x14ac:dyDescent="0.2">
      <c r="B187" s="371"/>
      <c r="C187" s="371"/>
      <c r="D187" s="371"/>
      <c r="E187" s="371"/>
      <c r="F187" s="371"/>
      <c r="G187" s="371"/>
      <c r="H187" s="371"/>
      <c r="I187" s="371"/>
      <c r="J187" s="371"/>
      <c r="K187" s="371"/>
      <c r="L187" s="371"/>
      <c r="M187" s="371"/>
      <c r="N187" s="371"/>
      <c r="O187" s="371"/>
      <c r="P187" s="371"/>
      <c r="Q187" s="371"/>
      <c r="R187" s="371"/>
      <c r="S187" s="371"/>
    </row>
    <row r="188" spans="2:19" x14ac:dyDescent="0.2">
      <c r="B188" s="371"/>
      <c r="C188" s="371"/>
      <c r="D188" s="371"/>
      <c r="E188" s="371"/>
      <c r="F188" s="371"/>
      <c r="G188" s="371"/>
      <c r="H188" s="371"/>
      <c r="I188" s="371"/>
      <c r="J188" s="371"/>
      <c r="K188" s="371"/>
      <c r="L188" s="371"/>
      <c r="M188" s="371"/>
      <c r="N188" s="371"/>
      <c r="O188" s="371"/>
      <c r="P188" s="371"/>
      <c r="Q188" s="371"/>
      <c r="R188" s="371"/>
      <c r="S188" s="371"/>
    </row>
    <row r="189" spans="2:19" x14ac:dyDescent="0.2">
      <c r="B189" s="371"/>
      <c r="C189" s="371"/>
      <c r="D189" s="371"/>
      <c r="E189" s="371"/>
      <c r="F189" s="371"/>
      <c r="G189" s="371"/>
      <c r="H189" s="371"/>
      <c r="I189" s="371"/>
      <c r="J189" s="371"/>
      <c r="K189" s="371"/>
      <c r="L189" s="371"/>
      <c r="M189" s="371"/>
      <c r="N189" s="371"/>
      <c r="O189" s="371"/>
      <c r="P189" s="371"/>
      <c r="Q189" s="371"/>
      <c r="R189" s="371"/>
      <c r="S189" s="371"/>
    </row>
    <row r="190" spans="2:19" x14ac:dyDescent="0.2">
      <c r="B190" s="371"/>
      <c r="C190" s="371"/>
      <c r="D190" s="371"/>
      <c r="E190" s="371"/>
      <c r="F190" s="371"/>
      <c r="G190" s="371"/>
      <c r="H190" s="371"/>
      <c r="I190" s="371"/>
      <c r="J190" s="371"/>
      <c r="K190" s="371"/>
      <c r="L190" s="371"/>
      <c r="M190" s="371"/>
      <c r="N190" s="371"/>
      <c r="O190" s="371"/>
      <c r="P190" s="371"/>
      <c r="Q190" s="371"/>
      <c r="R190" s="371"/>
      <c r="S190" s="371"/>
    </row>
    <row r="191" spans="2:19" x14ac:dyDescent="0.2">
      <c r="B191" s="371"/>
      <c r="C191" s="371"/>
      <c r="D191" s="371"/>
      <c r="E191" s="371"/>
      <c r="F191" s="371"/>
      <c r="G191" s="371"/>
      <c r="H191" s="371"/>
      <c r="I191" s="371"/>
      <c r="J191" s="371"/>
      <c r="K191" s="371"/>
      <c r="L191" s="371"/>
      <c r="M191" s="371"/>
      <c r="N191" s="371"/>
      <c r="O191" s="371"/>
      <c r="P191" s="371"/>
      <c r="Q191" s="371"/>
      <c r="R191" s="371"/>
      <c r="S191" s="371"/>
    </row>
    <row r="192" spans="2:19" x14ac:dyDescent="0.2">
      <c r="B192" s="371"/>
      <c r="C192" s="371"/>
      <c r="D192" s="371"/>
      <c r="E192" s="371"/>
      <c r="F192" s="371"/>
      <c r="G192" s="371"/>
      <c r="H192" s="371"/>
      <c r="I192" s="371"/>
      <c r="J192" s="371"/>
      <c r="K192" s="371"/>
      <c r="L192" s="371"/>
      <c r="M192" s="371"/>
      <c r="N192" s="371"/>
      <c r="O192" s="371"/>
      <c r="P192" s="371"/>
      <c r="Q192" s="371"/>
      <c r="R192" s="371"/>
      <c r="S192" s="371"/>
    </row>
    <row r="193" spans="2:19" x14ac:dyDescent="0.2">
      <c r="B193" s="371"/>
      <c r="C193" s="371"/>
      <c r="D193" s="371"/>
      <c r="E193" s="371"/>
      <c r="F193" s="371"/>
      <c r="G193" s="371"/>
      <c r="H193" s="371"/>
      <c r="I193" s="371"/>
      <c r="J193" s="371"/>
      <c r="K193" s="371"/>
      <c r="L193" s="371"/>
      <c r="M193" s="371"/>
      <c r="N193" s="371"/>
      <c r="O193" s="371"/>
      <c r="P193" s="371"/>
      <c r="Q193" s="371"/>
      <c r="R193" s="371"/>
      <c r="S193" s="371"/>
    </row>
    <row r="194" spans="2:19" x14ac:dyDescent="0.2">
      <c r="B194" s="371"/>
      <c r="C194" s="371"/>
      <c r="D194" s="371"/>
      <c r="E194" s="371"/>
      <c r="F194" s="371"/>
      <c r="G194" s="371"/>
      <c r="H194" s="371"/>
      <c r="I194" s="371"/>
      <c r="J194" s="371"/>
      <c r="K194" s="371"/>
      <c r="L194" s="371"/>
      <c r="M194" s="371"/>
      <c r="N194" s="371"/>
      <c r="O194" s="371"/>
      <c r="P194" s="371"/>
      <c r="Q194" s="371"/>
      <c r="R194" s="371"/>
      <c r="S194" s="371"/>
    </row>
    <row r="195" spans="2:19" x14ac:dyDescent="0.2">
      <c r="B195" s="371"/>
      <c r="C195" s="371"/>
      <c r="D195" s="371"/>
      <c r="E195" s="371"/>
      <c r="F195" s="371"/>
      <c r="G195" s="371"/>
      <c r="H195" s="371"/>
      <c r="I195" s="371"/>
      <c r="J195" s="371"/>
      <c r="K195" s="371"/>
      <c r="L195" s="371"/>
      <c r="M195" s="371"/>
      <c r="N195" s="371"/>
      <c r="O195" s="371"/>
      <c r="P195" s="371"/>
      <c r="Q195" s="371"/>
      <c r="R195" s="371"/>
      <c r="S195" s="371"/>
    </row>
    <row r="196" spans="2:19" x14ac:dyDescent="0.2">
      <c r="B196" s="371"/>
      <c r="C196" s="371"/>
      <c r="D196" s="371"/>
      <c r="E196" s="371"/>
      <c r="F196" s="371"/>
      <c r="G196" s="371"/>
      <c r="H196" s="371"/>
      <c r="I196" s="371"/>
      <c r="J196" s="371"/>
      <c r="K196" s="371"/>
      <c r="L196" s="371"/>
      <c r="M196" s="371"/>
      <c r="N196" s="371"/>
      <c r="O196" s="371"/>
      <c r="P196" s="371"/>
      <c r="Q196" s="371"/>
      <c r="R196" s="371"/>
      <c r="S196" s="371"/>
    </row>
    <row r="197" spans="2:19" x14ac:dyDescent="0.2">
      <c r="B197" s="371"/>
      <c r="C197" s="371"/>
      <c r="D197" s="371"/>
      <c r="E197" s="371"/>
      <c r="F197" s="371"/>
      <c r="G197" s="371"/>
      <c r="H197" s="371"/>
      <c r="I197" s="371"/>
      <c r="J197" s="371"/>
      <c r="K197" s="371"/>
      <c r="L197" s="371"/>
      <c r="M197" s="371"/>
      <c r="N197" s="371"/>
      <c r="O197" s="371"/>
      <c r="P197" s="371"/>
      <c r="Q197" s="371"/>
      <c r="R197" s="371"/>
      <c r="S197" s="371"/>
    </row>
    <row r="198" spans="2:19" x14ac:dyDescent="0.2">
      <c r="B198" s="371"/>
      <c r="C198" s="371"/>
      <c r="D198" s="371"/>
      <c r="E198" s="371"/>
      <c r="F198" s="371"/>
      <c r="G198" s="371"/>
      <c r="H198" s="371"/>
      <c r="I198" s="371"/>
      <c r="J198" s="371"/>
      <c r="K198" s="371"/>
      <c r="L198" s="371"/>
      <c r="M198" s="371"/>
      <c r="N198" s="371"/>
      <c r="O198" s="371"/>
      <c r="P198" s="371"/>
      <c r="Q198" s="371"/>
      <c r="R198" s="371"/>
      <c r="S198" s="371"/>
    </row>
    <row r="199" spans="2:19" x14ac:dyDescent="0.2">
      <c r="B199" s="371"/>
      <c r="C199" s="371"/>
      <c r="D199" s="371"/>
      <c r="E199" s="371"/>
      <c r="F199" s="371"/>
      <c r="G199" s="371"/>
      <c r="H199" s="371"/>
      <c r="I199" s="371"/>
      <c r="J199" s="371"/>
      <c r="K199" s="371"/>
      <c r="L199" s="371"/>
      <c r="M199" s="371"/>
      <c r="N199" s="371"/>
      <c r="O199" s="371"/>
      <c r="P199" s="371"/>
      <c r="Q199" s="371"/>
      <c r="R199" s="371"/>
      <c r="S199" s="371"/>
    </row>
    <row r="200" spans="2:19" x14ac:dyDescent="0.2">
      <c r="B200" s="371"/>
      <c r="C200" s="371"/>
      <c r="D200" s="371"/>
      <c r="E200" s="371"/>
      <c r="F200" s="371"/>
      <c r="G200" s="371"/>
      <c r="H200" s="371"/>
      <c r="I200" s="371"/>
      <c r="J200" s="371"/>
      <c r="K200" s="371"/>
      <c r="L200" s="371"/>
      <c r="M200" s="371"/>
      <c r="N200" s="371"/>
      <c r="O200" s="371"/>
      <c r="P200" s="371"/>
      <c r="Q200" s="371"/>
      <c r="R200" s="371"/>
      <c r="S200" s="371"/>
    </row>
    <row r="201" spans="2:19" x14ac:dyDescent="0.2">
      <c r="B201" s="371"/>
      <c r="C201" s="371"/>
      <c r="D201" s="371"/>
      <c r="E201" s="371"/>
      <c r="F201" s="371"/>
      <c r="G201" s="371"/>
      <c r="H201" s="371"/>
      <c r="I201" s="371"/>
      <c r="J201" s="371"/>
      <c r="K201" s="371"/>
      <c r="L201" s="371"/>
      <c r="M201" s="371"/>
      <c r="N201" s="371"/>
      <c r="O201" s="371"/>
      <c r="P201" s="371"/>
      <c r="Q201" s="371"/>
      <c r="R201" s="371"/>
      <c r="S201" s="371"/>
    </row>
    <row r="202" spans="2:19" x14ac:dyDescent="0.2">
      <c r="B202" s="371"/>
      <c r="C202" s="371"/>
      <c r="D202" s="371"/>
      <c r="E202" s="371"/>
      <c r="F202" s="371"/>
      <c r="G202" s="371"/>
      <c r="H202" s="371"/>
      <c r="I202" s="371"/>
      <c r="J202" s="371"/>
      <c r="K202" s="371"/>
      <c r="L202" s="371"/>
      <c r="M202" s="371"/>
      <c r="N202" s="371"/>
      <c r="O202" s="371"/>
      <c r="P202" s="371"/>
      <c r="Q202" s="371"/>
      <c r="R202" s="371"/>
      <c r="S202" s="371"/>
    </row>
    <row r="203" spans="2:19" x14ac:dyDescent="0.2">
      <c r="B203" s="371"/>
      <c r="C203" s="371"/>
      <c r="D203" s="371"/>
      <c r="E203" s="371"/>
      <c r="F203" s="371"/>
      <c r="G203" s="371"/>
      <c r="H203" s="371"/>
      <c r="I203" s="371"/>
      <c r="J203" s="371"/>
      <c r="K203" s="371"/>
      <c r="L203" s="371"/>
      <c r="M203" s="371"/>
      <c r="N203" s="371"/>
      <c r="O203" s="371"/>
      <c r="P203" s="371"/>
      <c r="Q203" s="371"/>
      <c r="R203" s="371"/>
      <c r="S203" s="371"/>
    </row>
    <row r="204" spans="2:19" x14ac:dyDescent="0.2">
      <c r="B204" s="371"/>
      <c r="C204" s="371"/>
      <c r="D204" s="371"/>
      <c r="E204" s="371"/>
      <c r="F204" s="371"/>
      <c r="G204" s="371"/>
      <c r="H204" s="371"/>
      <c r="I204" s="371"/>
      <c r="J204" s="371"/>
      <c r="K204" s="371"/>
      <c r="L204" s="371"/>
      <c r="M204" s="371"/>
      <c r="N204" s="371"/>
      <c r="O204" s="371"/>
      <c r="P204" s="371"/>
      <c r="Q204" s="371"/>
      <c r="R204" s="371"/>
      <c r="S204" s="371"/>
    </row>
    <row r="205" spans="2:19" x14ac:dyDescent="0.2">
      <c r="B205" s="371"/>
      <c r="C205" s="371"/>
      <c r="D205" s="371"/>
      <c r="E205" s="371"/>
      <c r="F205" s="371"/>
      <c r="G205" s="371"/>
      <c r="H205" s="371"/>
      <c r="I205" s="371"/>
      <c r="J205" s="371"/>
      <c r="K205" s="371"/>
      <c r="L205" s="371"/>
      <c r="M205" s="371"/>
      <c r="N205" s="371"/>
      <c r="O205" s="371"/>
      <c r="P205" s="371"/>
      <c r="Q205" s="371"/>
      <c r="R205" s="371"/>
      <c r="S205" s="371"/>
    </row>
    <row r="206" spans="2:19" x14ac:dyDescent="0.2">
      <c r="B206" s="371"/>
      <c r="C206" s="371"/>
      <c r="D206" s="371"/>
      <c r="E206" s="371"/>
      <c r="F206" s="371"/>
      <c r="G206" s="371"/>
      <c r="H206" s="371"/>
      <c r="I206" s="371"/>
      <c r="J206" s="371"/>
      <c r="K206" s="371"/>
      <c r="L206" s="371"/>
      <c r="M206" s="371"/>
      <c r="N206" s="371"/>
      <c r="O206" s="371"/>
      <c r="P206" s="371"/>
      <c r="Q206" s="371"/>
      <c r="R206" s="371"/>
      <c r="S206" s="371"/>
    </row>
    <row r="207" spans="2:19" x14ac:dyDescent="0.2">
      <c r="B207" s="371"/>
      <c r="C207" s="371"/>
      <c r="D207" s="371"/>
      <c r="E207" s="371"/>
      <c r="F207" s="371"/>
      <c r="G207" s="371"/>
      <c r="H207" s="371"/>
      <c r="I207" s="371"/>
      <c r="J207" s="371"/>
      <c r="K207" s="371"/>
      <c r="L207" s="371"/>
      <c r="M207" s="371"/>
      <c r="N207" s="371"/>
      <c r="O207" s="371"/>
      <c r="P207" s="371"/>
      <c r="Q207" s="371"/>
      <c r="R207" s="371"/>
      <c r="S207" s="371"/>
    </row>
    <row r="208" spans="2:19" x14ac:dyDescent="0.2">
      <c r="B208" s="371"/>
      <c r="C208" s="371"/>
      <c r="D208" s="371"/>
      <c r="E208" s="371"/>
      <c r="F208" s="371"/>
      <c r="G208" s="371"/>
      <c r="H208" s="371"/>
      <c r="I208" s="371"/>
      <c r="J208" s="371"/>
      <c r="K208" s="371"/>
      <c r="L208" s="371"/>
      <c r="M208" s="371"/>
      <c r="N208" s="371"/>
      <c r="O208" s="371"/>
      <c r="P208" s="371"/>
      <c r="Q208" s="371"/>
      <c r="R208" s="371"/>
      <c r="S208" s="371"/>
    </row>
    <row r="209" spans="2:19" x14ac:dyDescent="0.2">
      <c r="B209" s="371"/>
      <c r="C209" s="371"/>
      <c r="D209" s="371"/>
      <c r="E209" s="371"/>
      <c r="F209" s="371"/>
      <c r="G209" s="371"/>
      <c r="H209" s="371"/>
      <c r="I209" s="371"/>
      <c r="J209" s="371"/>
      <c r="K209" s="371"/>
      <c r="L209" s="371"/>
      <c r="M209" s="371"/>
      <c r="N209" s="371"/>
      <c r="O209" s="371"/>
      <c r="P209" s="371"/>
      <c r="Q209" s="371"/>
      <c r="R209" s="371"/>
      <c r="S209" s="371"/>
    </row>
    <row r="210" spans="2:19" x14ac:dyDescent="0.2">
      <c r="B210" s="371"/>
      <c r="C210" s="371"/>
      <c r="D210" s="371"/>
      <c r="E210" s="371"/>
      <c r="F210" s="371"/>
      <c r="G210" s="371"/>
      <c r="H210" s="371"/>
      <c r="I210" s="371"/>
      <c r="J210" s="371"/>
      <c r="K210" s="371"/>
      <c r="L210" s="371"/>
      <c r="M210" s="371"/>
      <c r="N210" s="371"/>
      <c r="O210" s="371"/>
      <c r="P210" s="371"/>
      <c r="Q210" s="371"/>
      <c r="R210" s="371"/>
      <c r="S210" s="371"/>
    </row>
    <row r="211" spans="2:19" x14ac:dyDescent="0.2">
      <c r="B211" s="371"/>
      <c r="C211" s="371"/>
      <c r="D211" s="371"/>
      <c r="E211" s="371"/>
      <c r="F211" s="371"/>
      <c r="G211" s="371"/>
      <c r="H211" s="371"/>
      <c r="I211" s="371"/>
      <c r="J211" s="371"/>
      <c r="K211" s="371"/>
      <c r="L211" s="371"/>
      <c r="M211" s="371"/>
      <c r="N211" s="371"/>
      <c r="O211" s="371"/>
      <c r="P211" s="371"/>
      <c r="Q211" s="371"/>
      <c r="R211" s="371"/>
      <c r="S211" s="371"/>
    </row>
    <row r="212" spans="2:19" x14ac:dyDescent="0.2">
      <c r="B212" s="371"/>
      <c r="C212" s="371"/>
      <c r="D212" s="371"/>
      <c r="E212" s="371"/>
      <c r="F212" s="371"/>
      <c r="G212" s="371"/>
      <c r="H212" s="371"/>
      <c r="I212" s="371"/>
      <c r="J212" s="371"/>
      <c r="K212" s="371"/>
      <c r="L212" s="371"/>
      <c r="M212" s="371"/>
      <c r="N212" s="371"/>
      <c r="O212" s="371"/>
      <c r="P212" s="371"/>
      <c r="Q212" s="371"/>
      <c r="R212" s="371"/>
      <c r="S212" s="371"/>
    </row>
    <row r="213" spans="2:19" x14ac:dyDescent="0.2">
      <c r="B213" s="371"/>
      <c r="C213" s="371"/>
      <c r="D213" s="371"/>
      <c r="E213" s="371"/>
      <c r="F213" s="371"/>
      <c r="G213" s="371"/>
      <c r="H213" s="371"/>
      <c r="I213" s="371"/>
      <c r="J213" s="371"/>
      <c r="K213" s="371"/>
      <c r="L213" s="371"/>
      <c r="M213" s="371"/>
      <c r="N213" s="371"/>
      <c r="O213" s="371"/>
      <c r="P213" s="371"/>
      <c r="Q213" s="371"/>
      <c r="R213" s="371"/>
      <c r="S213" s="371"/>
    </row>
    <row r="214" spans="2:19" x14ac:dyDescent="0.2">
      <c r="B214" s="371"/>
      <c r="C214" s="371"/>
      <c r="D214" s="371"/>
      <c r="E214" s="371"/>
      <c r="F214" s="371"/>
      <c r="G214" s="371"/>
      <c r="H214" s="371"/>
      <c r="I214" s="371"/>
      <c r="J214" s="371"/>
      <c r="K214" s="371"/>
      <c r="L214" s="371"/>
      <c r="M214" s="371"/>
      <c r="N214" s="371"/>
      <c r="O214" s="371"/>
      <c r="P214" s="371"/>
      <c r="Q214" s="371"/>
      <c r="R214" s="371"/>
      <c r="S214" s="371"/>
    </row>
    <row r="215" spans="2:19" x14ac:dyDescent="0.2">
      <c r="B215" s="371"/>
      <c r="C215" s="371"/>
      <c r="D215" s="371"/>
      <c r="E215" s="371"/>
      <c r="F215" s="371"/>
      <c r="G215" s="371"/>
      <c r="H215" s="371"/>
      <c r="I215" s="371"/>
      <c r="J215" s="371"/>
      <c r="K215" s="371"/>
      <c r="L215" s="371"/>
      <c r="M215" s="371"/>
      <c r="N215" s="371"/>
      <c r="O215" s="371"/>
      <c r="P215" s="371"/>
      <c r="Q215" s="371"/>
      <c r="R215" s="371"/>
      <c r="S215" s="371"/>
    </row>
    <row r="216" spans="2:19" x14ac:dyDescent="0.2">
      <c r="B216" s="371"/>
      <c r="C216" s="371"/>
      <c r="D216" s="371"/>
      <c r="E216" s="371"/>
      <c r="F216" s="371"/>
      <c r="G216" s="371"/>
      <c r="H216" s="371"/>
      <c r="I216" s="371"/>
      <c r="J216" s="371"/>
      <c r="K216" s="371"/>
      <c r="L216" s="371"/>
      <c r="M216" s="371"/>
      <c r="N216" s="371"/>
      <c r="O216" s="371"/>
      <c r="P216" s="371"/>
      <c r="Q216" s="371"/>
      <c r="R216" s="371"/>
      <c r="S216" s="371"/>
    </row>
    <row r="217" spans="2:19" x14ac:dyDescent="0.2">
      <c r="B217" s="371"/>
      <c r="C217" s="371"/>
      <c r="D217" s="371"/>
      <c r="E217" s="371"/>
      <c r="F217" s="371"/>
      <c r="G217" s="371"/>
      <c r="H217" s="371"/>
      <c r="I217" s="371"/>
      <c r="J217" s="371"/>
      <c r="K217" s="371"/>
      <c r="L217" s="371"/>
      <c r="M217" s="371"/>
      <c r="N217" s="371"/>
      <c r="O217" s="371"/>
      <c r="P217" s="371"/>
      <c r="Q217" s="371"/>
      <c r="R217" s="371"/>
      <c r="S217" s="371"/>
    </row>
    <row r="218" spans="2:19" x14ac:dyDescent="0.2">
      <c r="B218" s="371"/>
      <c r="C218" s="371"/>
      <c r="D218" s="371"/>
      <c r="E218" s="371"/>
      <c r="F218" s="371"/>
      <c r="G218" s="371"/>
      <c r="H218" s="371"/>
      <c r="I218" s="371"/>
      <c r="J218" s="371"/>
      <c r="K218" s="371"/>
      <c r="L218" s="371"/>
      <c r="M218" s="371"/>
      <c r="N218" s="371"/>
      <c r="O218" s="371"/>
      <c r="P218" s="371"/>
      <c r="Q218" s="371"/>
      <c r="R218" s="371"/>
      <c r="S218" s="371"/>
    </row>
    <row r="219" spans="2:19" x14ac:dyDescent="0.2">
      <c r="B219" s="371"/>
      <c r="C219" s="371"/>
      <c r="D219" s="371"/>
      <c r="E219" s="371"/>
      <c r="F219" s="371"/>
      <c r="G219" s="371"/>
      <c r="H219" s="371"/>
      <c r="I219" s="371"/>
      <c r="J219" s="371"/>
      <c r="K219" s="371"/>
      <c r="L219" s="371"/>
      <c r="M219" s="371"/>
      <c r="N219" s="371"/>
      <c r="O219" s="371"/>
      <c r="P219" s="371"/>
      <c r="Q219" s="371"/>
      <c r="R219" s="371"/>
      <c r="S219" s="371"/>
    </row>
    <row r="220" spans="2:19" x14ac:dyDescent="0.2">
      <c r="B220" s="371"/>
      <c r="C220" s="371"/>
      <c r="D220" s="371"/>
      <c r="E220" s="371"/>
      <c r="F220" s="371"/>
      <c r="G220" s="371"/>
      <c r="H220" s="371"/>
      <c r="I220" s="371"/>
      <c r="J220" s="371"/>
      <c r="K220" s="371"/>
      <c r="L220" s="371"/>
      <c r="M220" s="371"/>
      <c r="N220" s="371"/>
      <c r="O220" s="371"/>
      <c r="P220" s="371"/>
      <c r="Q220" s="371"/>
      <c r="R220" s="371"/>
      <c r="S220" s="371"/>
    </row>
    <row r="221" spans="2:19" x14ac:dyDescent="0.2">
      <c r="B221" s="371"/>
      <c r="C221" s="371"/>
      <c r="D221" s="371"/>
      <c r="E221" s="371"/>
      <c r="F221" s="371"/>
      <c r="G221" s="371"/>
      <c r="H221" s="371"/>
      <c r="I221" s="371"/>
      <c r="J221" s="371"/>
      <c r="K221" s="371"/>
      <c r="L221" s="371"/>
      <c r="M221" s="371"/>
      <c r="N221" s="371"/>
      <c r="O221" s="371"/>
      <c r="P221" s="371"/>
      <c r="Q221" s="371"/>
      <c r="R221" s="371"/>
      <c r="S221" s="371"/>
    </row>
    <row r="222" spans="2:19" x14ac:dyDescent="0.2">
      <c r="B222" s="371"/>
      <c r="C222" s="371"/>
      <c r="D222" s="371"/>
      <c r="E222" s="371"/>
      <c r="F222" s="371"/>
      <c r="G222" s="371"/>
      <c r="H222" s="371"/>
      <c r="I222" s="371"/>
      <c r="J222" s="371"/>
      <c r="K222" s="371"/>
      <c r="L222" s="371"/>
      <c r="M222" s="371"/>
      <c r="N222" s="371"/>
      <c r="O222" s="371"/>
      <c r="P222" s="371"/>
      <c r="Q222" s="371"/>
      <c r="R222" s="371"/>
      <c r="S222" s="371"/>
    </row>
    <row r="223" spans="2:19" x14ac:dyDescent="0.2">
      <c r="B223" s="371"/>
      <c r="C223" s="371"/>
      <c r="D223" s="371"/>
      <c r="E223" s="371"/>
      <c r="F223" s="371"/>
      <c r="G223" s="371"/>
      <c r="H223" s="371"/>
      <c r="I223" s="371"/>
      <c r="J223" s="371"/>
      <c r="K223" s="371"/>
      <c r="L223" s="371"/>
      <c r="M223" s="371"/>
      <c r="N223" s="371"/>
      <c r="O223" s="371"/>
      <c r="P223" s="371"/>
      <c r="Q223" s="371"/>
      <c r="R223" s="371"/>
      <c r="S223" s="371"/>
    </row>
    <row r="224" spans="2:19" x14ac:dyDescent="0.2">
      <c r="B224" s="371"/>
      <c r="C224" s="371"/>
      <c r="D224" s="371"/>
      <c r="E224" s="371"/>
      <c r="F224" s="371"/>
      <c r="G224" s="371"/>
      <c r="H224" s="371"/>
      <c r="I224" s="371"/>
      <c r="J224" s="371"/>
      <c r="K224" s="371"/>
      <c r="L224" s="371"/>
      <c r="M224" s="371"/>
      <c r="N224" s="371"/>
      <c r="O224" s="371"/>
      <c r="P224" s="371"/>
      <c r="Q224" s="371"/>
      <c r="R224" s="371"/>
      <c r="S224" s="371"/>
    </row>
    <row r="225" spans="2:19" x14ac:dyDescent="0.2">
      <c r="B225" s="371"/>
      <c r="C225" s="371"/>
      <c r="D225" s="371"/>
      <c r="E225" s="371"/>
      <c r="F225" s="371"/>
      <c r="G225" s="371"/>
      <c r="H225" s="371"/>
      <c r="I225" s="371"/>
      <c r="J225" s="371"/>
      <c r="K225" s="371"/>
      <c r="L225" s="371"/>
      <c r="M225" s="371"/>
      <c r="N225" s="371"/>
      <c r="O225" s="371"/>
      <c r="P225" s="371"/>
      <c r="Q225" s="371"/>
      <c r="R225" s="371"/>
      <c r="S225" s="371"/>
    </row>
    <row r="226" spans="2:19" x14ac:dyDescent="0.2">
      <c r="B226" s="371"/>
      <c r="C226" s="371"/>
      <c r="D226" s="371"/>
      <c r="E226" s="371"/>
      <c r="F226" s="371"/>
      <c r="G226" s="371"/>
      <c r="H226" s="371"/>
      <c r="I226" s="371"/>
      <c r="J226" s="371"/>
      <c r="K226" s="371"/>
      <c r="L226" s="371"/>
      <c r="M226" s="371"/>
      <c r="N226" s="371"/>
      <c r="O226" s="371"/>
      <c r="P226" s="371"/>
      <c r="Q226" s="371"/>
      <c r="R226" s="371"/>
      <c r="S226" s="371"/>
    </row>
    <row r="227" spans="2:19" x14ac:dyDescent="0.2">
      <c r="B227" s="371"/>
      <c r="C227" s="371"/>
      <c r="D227" s="371"/>
      <c r="E227" s="371"/>
      <c r="F227" s="371"/>
      <c r="G227" s="371"/>
      <c r="H227" s="371"/>
      <c r="I227" s="371"/>
      <c r="J227" s="371"/>
      <c r="K227" s="371"/>
      <c r="L227" s="371"/>
      <c r="M227" s="371"/>
      <c r="N227" s="371"/>
      <c r="O227" s="371"/>
      <c r="P227" s="371"/>
      <c r="Q227" s="371"/>
      <c r="R227" s="371"/>
      <c r="S227" s="371"/>
    </row>
    <row r="228" spans="2:19" x14ac:dyDescent="0.2">
      <c r="B228" s="371"/>
      <c r="C228" s="371"/>
      <c r="D228" s="371"/>
      <c r="E228" s="371"/>
      <c r="F228" s="371"/>
      <c r="G228" s="371"/>
      <c r="H228" s="371"/>
      <c r="I228" s="371"/>
      <c r="J228" s="371"/>
      <c r="K228" s="371"/>
      <c r="L228" s="371"/>
      <c r="M228" s="371"/>
      <c r="N228" s="371"/>
      <c r="O228" s="371"/>
      <c r="P228" s="371"/>
      <c r="Q228" s="371"/>
      <c r="R228" s="371"/>
      <c r="S228" s="371"/>
    </row>
    <row r="229" spans="2:19" x14ac:dyDescent="0.2">
      <c r="B229" s="371"/>
      <c r="C229" s="371"/>
      <c r="D229" s="371"/>
      <c r="E229" s="371"/>
      <c r="F229" s="371"/>
      <c r="G229" s="371"/>
      <c r="H229" s="371"/>
      <c r="I229" s="371"/>
      <c r="J229" s="371"/>
      <c r="K229" s="371"/>
      <c r="L229" s="371"/>
      <c r="M229" s="371"/>
      <c r="N229" s="371"/>
      <c r="O229" s="371"/>
      <c r="P229" s="371"/>
      <c r="Q229" s="371"/>
      <c r="R229" s="371"/>
      <c r="S229" s="371"/>
    </row>
    <row r="230" spans="2:19" x14ac:dyDescent="0.2">
      <c r="B230" s="371"/>
      <c r="C230" s="371"/>
      <c r="D230" s="371"/>
      <c r="E230" s="371"/>
      <c r="F230" s="371"/>
      <c r="G230" s="371"/>
      <c r="H230" s="371"/>
      <c r="I230" s="371"/>
      <c r="J230" s="371"/>
      <c r="K230" s="371"/>
      <c r="L230" s="371"/>
      <c r="M230" s="371"/>
      <c r="N230" s="371"/>
      <c r="O230" s="371"/>
      <c r="P230" s="371"/>
      <c r="Q230" s="371"/>
      <c r="R230" s="371"/>
      <c r="S230" s="371"/>
    </row>
    <row r="231" spans="2:19" x14ac:dyDescent="0.2">
      <c r="B231" s="371"/>
      <c r="C231" s="371"/>
      <c r="D231" s="371"/>
      <c r="E231" s="371"/>
      <c r="F231" s="371"/>
      <c r="G231" s="371"/>
      <c r="H231" s="371"/>
      <c r="I231" s="371"/>
      <c r="J231" s="371"/>
      <c r="K231" s="371"/>
      <c r="L231" s="371"/>
      <c r="M231" s="371"/>
      <c r="N231" s="371"/>
      <c r="O231" s="371"/>
      <c r="P231" s="371"/>
      <c r="Q231" s="371"/>
      <c r="R231" s="371"/>
      <c r="S231" s="371"/>
    </row>
    <row r="232" spans="2:19" x14ac:dyDescent="0.2">
      <c r="B232" s="371"/>
      <c r="C232" s="371"/>
      <c r="D232" s="371"/>
      <c r="E232" s="371"/>
      <c r="F232" s="371"/>
      <c r="G232" s="371"/>
      <c r="H232" s="371"/>
      <c r="I232" s="371"/>
      <c r="J232" s="371"/>
      <c r="K232" s="371"/>
      <c r="L232" s="371"/>
      <c r="M232" s="371"/>
      <c r="N232" s="371"/>
      <c r="O232" s="371"/>
      <c r="P232" s="371"/>
      <c r="Q232" s="371"/>
      <c r="R232" s="371"/>
      <c r="S232" s="371"/>
    </row>
    <row r="233" spans="2:19" x14ac:dyDescent="0.2">
      <c r="B233" s="371"/>
      <c r="C233" s="371"/>
      <c r="D233" s="371"/>
      <c r="E233" s="371"/>
      <c r="F233" s="371"/>
      <c r="G233" s="371"/>
      <c r="H233" s="371"/>
      <c r="I233" s="371"/>
      <c r="J233" s="371"/>
      <c r="K233" s="371"/>
      <c r="L233" s="371"/>
      <c r="M233" s="371"/>
      <c r="N233" s="371"/>
      <c r="O233" s="371"/>
      <c r="P233" s="371"/>
      <c r="Q233" s="371"/>
      <c r="R233" s="371"/>
      <c r="S233" s="371"/>
    </row>
    <row r="234" spans="2:19" x14ac:dyDescent="0.2">
      <c r="B234" s="371"/>
      <c r="C234" s="371"/>
      <c r="D234" s="371"/>
      <c r="E234" s="371"/>
      <c r="F234" s="371"/>
      <c r="G234" s="371"/>
      <c r="H234" s="371"/>
      <c r="I234" s="371"/>
      <c r="J234" s="371"/>
      <c r="K234" s="371"/>
      <c r="L234" s="371"/>
      <c r="M234" s="371"/>
      <c r="N234" s="371"/>
      <c r="O234" s="371"/>
      <c r="P234" s="371"/>
      <c r="Q234" s="371"/>
      <c r="R234" s="371"/>
      <c r="S234" s="371"/>
    </row>
    <row r="235" spans="2:19" x14ac:dyDescent="0.2">
      <c r="B235" s="371"/>
      <c r="C235" s="371"/>
      <c r="D235" s="371"/>
      <c r="E235" s="371"/>
      <c r="F235" s="371"/>
      <c r="G235" s="371"/>
      <c r="H235" s="371"/>
      <c r="I235" s="371"/>
      <c r="J235" s="371"/>
      <c r="K235" s="371"/>
      <c r="L235" s="371"/>
      <c r="M235" s="371"/>
      <c r="N235" s="371"/>
      <c r="O235" s="371"/>
      <c r="P235" s="371"/>
      <c r="Q235" s="371"/>
      <c r="R235" s="371"/>
      <c r="S235" s="371"/>
    </row>
    <row r="236" spans="2:19" x14ac:dyDescent="0.2">
      <c r="B236" s="371"/>
      <c r="C236" s="371"/>
      <c r="D236" s="371"/>
      <c r="E236" s="371"/>
      <c r="F236" s="371"/>
      <c r="G236" s="371"/>
      <c r="H236" s="371"/>
      <c r="I236" s="371"/>
      <c r="J236" s="371"/>
      <c r="K236" s="371"/>
      <c r="L236" s="371"/>
      <c r="M236" s="371"/>
      <c r="N236" s="371"/>
      <c r="O236" s="371"/>
      <c r="P236" s="371"/>
      <c r="Q236" s="371"/>
      <c r="R236" s="371"/>
      <c r="S236" s="371"/>
    </row>
    <row r="237" spans="2:19" x14ac:dyDescent="0.2">
      <c r="B237" s="371"/>
      <c r="C237" s="371"/>
      <c r="D237" s="371"/>
      <c r="E237" s="371"/>
      <c r="F237" s="371"/>
      <c r="G237" s="371"/>
      <c r="H237" s="371"/>
      <c r="I237" s="371"/>
      <c r="J237" s="371"/>
      <c r="K237" s="371"/>
      <c r="L237" s="371"/>
      <c r="M237" s="371"/>
      <c r="N237" s="371"/>
      <c r="O237" s="371"/>
      <c r="P237" s="371"/>
      <c r="Q237" s="371"/>
      <c r="R237" s="371"/>
      <c r="S237" s="371"/>
    </row>
    <row r="238" spans="2:19" x14ac:dyDescent="0.2">
      <c r="B238" s="371"/>
      <c r="C238" s="371"/>
      <c r="D238" s="371"/>
      <c r="E238" s="371"/>
      <c r="F238" s="371"/>
      <c r="G238" s="371"/>
      <c r="H238" s="371"/>
      <c r="I238" s="371"/>
      <c r="J238" s="371"/>
      <c r="K238" s="371"/>
      <c r="L238" s="371"/>
      <c r="M238" s="371"/>
      <c r="N238" s="371"/>
      <c r="O238" s="371"/>
      <c r="P238" s="371"/>
      <c r="Q238" s="371"/>
      <c r="R238" s="371"/>
      <c r="S238" s="371"/>
    </row>
    <row r="239" spans="2:19" x14ac:dyDescent="0.2">
      <c r="B239" s="371"/>
      <c r="C239" s="371"/>
      <c r="D239" s="371"/>
      <c r="E239" s="371"/>
      <c r="F239" s="371"/>
      <c r="G239" s="371"/>
      <c r="H239" s="371"/>
      <c r="I239" s="371"/>
      <c r="J239" s="371"/>
      <c r="K239" s="371"/>
      <c r="L239" s="371"/>
      <c r="M239" s="371"/>
      <c r="N239" s="371"/>
      <c r="O239" s="371"/>
      <c r="P239" s="371"/>
      <c r="Q239" s="371"/>
      <c r="R239" s="371"/>
      <c r="S239" s="371"/>
    </row>
    <row r="240" spans="2:19" x14ac:dyDescent="0.2">
      <c r="B240" s="371"/>
      <c r="C240" s="371"/>
      <c r="D240" s="371"/>
      <c r="E240" s="371"/>
      <c r="F240" s="371"/>
      <c r="G240" s="371"/>
      <c r="H240" s="371"/>
      <c r="I240" s="371"/>
      <c r="J240" s="371"/>
      <c r="K240" s="371"/>
      <c r="L240" s="371"/>
      <c r="M240" s="371"/>
      <c r="N240" s="371"/>
      <c r="O240" s="371"/>
      <c r="P240" s="371"/>
      <c r="Q240" s="371"/>
      <c r="R240" s="371"/>
      <c r="S240" s="371"/>
    </row>
    <row r="241" spans="2:19" x14ac:dyDescent="0.2">
      <c r="B241" s="371"/>
      <c r="C241" s="371"/>
      <c r="D241" s="371"/>
      <c r="E241" s="371"/>
      <c r="F241" s="371"/>
      <c r="G241" s="371"/>
      <c r="H241" s="371"/>
      <c r="I241" s="371"/>
      <c r="J241" s="371"/>
      <c r="K241" s="371"/>
      <c r="L241" s="371"/>
      <c r="M241" s="371"/>
      <c r="N241" s="371"/>
      <c r="O241" s="371"/>
      <c r="P241" s="371"/>
      <c r="Q241" s="371"/>
      <c r="R241" s="371"/>
      <c r="S241" s="371"/>
    </row>
    <row r="242" spans="2:19" x14ac:dyDescent="0.2">
      <c r="B242" s="371"/>
      <c r="C242" s="371"/>
      <c r="D242" s="371"/>
      <c r="E242" s="371"/>
      <c r="F242" s="371"/>
      <c r="G242" s="371"/>
      <c r="H242" s="371"/>
      <c r="I242" s="371"/>
      <c r="J242" s="371"/>
      <c r="K242" s="371"/>
      <c r="L242" s="371"/>
      <c r="M242" s="371"/>
      <c r="N242" s="371"/>
      <c r="O242" s="371"/>
      <c r="P242" s="371"/>
      <c r="Q242" s="371"/>
      <c r="R242" s="371"/>
      <c r="S242" s="371"/>
    </row>
    <row r="243" spans="2:19" x14ac:dyDescent="0.2">
      <c r="B243" s="371"/>
      <c r="C243" s="371"/>
      <c r="D243" s="371"/>
      <c r="E243" s="371"/>
      <c r="F243" s="371"/>
      <c r="G243" s="371"/>
      <c r="H243" s="371"/>
      <c r="I243" s="371"/>
      <c r="J243" s="371"/>
      <c r="K243" s="371"/>
      <c r="L243" s="371"/>
      <c r="M243" s="371"/>
      <c r="N243" s="371"/>
      <c r="O243" s="371"/>
      <c r="P243" s="371"/>
      <c r="Q243" s="371"/>
      <c r="R243" s="371"/>
      <c r="S243" s="371"/>
    </row>
    <row r="244" spans="2:19" x14ac:dyDescent="0.2">
      <c r="B244" s="371"/>
      <c r="C244" s="371"/>
      <c r="D244" s="371"/>
      <c r="E244" s="371"/>
      <c r="F244" s="371"/>
      <c r="G244" s="371"/>
      <c r="H244" s="371"/>
      <c r="I244" s="371"/>
      <c r="J244" s="371"/>
      <c r="K244" s="371"/>
      <c r="L244" s="371"/>
      <c r="M244" s="371"/>
      <c r="N244" s="371"/>
      <c r="O244" s="371"/>
      <c r="P244" s="371"/>
      <c r="Q244" s="371"/>
      <c r="R244" s="371"/>
      <c r="S244" s="371"/>
    </row>
    <row r="245" spans="2:19" x14ac:dyDescent="0.2">
      <c r="B245" s="371"/>
      <c r="C245" s="371"/>
      <c r="D245" s="371"/>
      <c r="E245" s="371"/>
      <c r="F245" s="371"/>
      <c r="G245" s="371"/>
      <c r="H245" s="371"/>
      <c r="I245" s="371"/>
      <c r="J245" s="371"/>
      <c r="K245" s="371"/>
      <c r="L245" s="371"/>
      <c r="M245" s="371"/>
      <c r="N245" s="371"/>
      <c r="O245" s="371"/>
      <c r="P245" s="371"/>
      <c r="Q245" s="371"/>
      <c r="R245" s="371"/>
      <c r="S245" s="371"/>
    </row>
    <row r="246" spans="2:19" x14ac:dyDescent="0.2">
      <c r="B246" s="371"/>
      <c r="C246" s="371"/>
      <c r="D246" s="371"/>
      <c r="E246" s="371"/>
      <c r="F246" s="371"/>
      <c r="G246" s="371"/>
      <c r="H246" s="371"/>
      <c r="I246" s="371"/>
      <c r="J246" s="371"/>
      <c r="K246" s="371"/>
      <c r="L246" s="371"/>
      <c r="M246" s="371"/>
      <c r="N246" s="371"/>
      <c r="O246" s="371"/>
      <c r="P246" s="371"/>
      <c r="Q246" s="371"/>
      <c r="R246" s="371"/>
      <c r="S246" s="371"/>
    </row>
    <row r="247" spans="2:19" x14ac:dyDescent="0.2">
      <c r="B247" s="371"/>
      <c r="C247" s="371"/>
      <c r="D247" s="371"/>
      <c r="E247" s="371"/>
      <c r="F247" s="371"/>
      <c r="G247" s="371"/>
      <c r="H247" s="371"/>
      <c r="I247" s="371"/>
      <c r="J247" s="371"/>
      <c r="K247" s="371"/>
      <c r="L247" s="371"/>
      <c r="M247" s="371"/>
      <c r="N247" s="371"/>
      <c r="O247" s="371"/>
      <c r="P247" s="371"/>
      <c r="Q247" s="371"/>
      <c r="R247" s="371"/>
      <c r="S247" s="371"/>
    </row>
    <row r="248" spans="2:19" x14ac:dyDescent="0.2">
      <c r="B248" s="371"/>
      <c r="C248" s="371"/>
      <c r="D248" s="371"/>
      <c r="E248" s="371"/>
      <c r="F248" s="371"/>
      <c r="G248" s="371"/>
      <c r="H248" s="371"/>
      <c r="I248" s="371"/>
      <c r="J248" s="371"/>
      <c r="K248" s="371"/>
      <c r="L248" s="371"/>
      <c r="M248" s="371"/>
      <c r="N248" s="371"/>
      <c r="O248" s="371"/>
      <c r="P248" s="371"/>
      <c r="Q248" s="371"/>
      <c r="R248" s="371"/>
      <c r="S248" s="371"/>
    </row>
    <row r="249" spans="2:19" x14ac:dyDescent="0.2">
      <c r="B249" s="371"/>
      <c r="C249" s="371"/>
      <c r="D249" s="371"/>
      <c r="E249" s="371"/>
      <c r="F249" s="371"/>
      <c r="G249" s="371"/>
      <c r="H249" s="371"/>
      <c r="I249" s="371"/>
      <c r="J249" s="371"/>
      <c r="K249" s="371"/>
      <c r="L249" s="371"/>
      <c r="M249" s="371"/>
      <c r="N249" s="371"/>
      <c r="O249" s="371"/>
      <c r="P249" s="371"/>
      <c r="Q249" s="371"/>
      <c r="R249" s="371"/>
      <c r="S249" s="371"/>
    </row>
    <row r="250" spans="2:19" x14ac:dyDescent="0.2">
      <c r="B250" s="371"/>
      <c r="C250" s="371"/>
      <c r="D250" s="371"/>
      <c r="E250" s="371"/>
      <c r="F250" s="371"/>
      <c r="G250" s="371"/>
      <c r="H250" s="371"/>
      <c r="I250" s="371"/>
      <c r="J250" s="371"/>
      <c r="K250" s="371"/>
      <c r="L250" s="371"/>
      <c r="M250" s="371"/>
      <c r="N250" s="371"/>
      <c r="O250" s="371"/>
      <c r="P250" s="371"/>
      <c r="Q250" s="371"/>
      <c r="R250" s="371"/>
      <c r="S250" s="371"/>
    </row>
    <row r="251" spans="2:19" x14ac:dyDescent="0.2">
      <c r="B251" s="371"/>
      <c r="C251" s="371"/>
      <c r="D251" s="371"/>
      <c r="E251" s="371"/>
      <c r="F251" s="371"/>
      <c r="G251" s="371"/>
      <c r="H251" s="371"/>
      <c r="I251" s="371"/>
      <c r="J251" s="371"/>
      <c r="K251" s="371"/>
      <c r="L251" s="371"/>
      <c r="M251" s="371"/>
      <c r="N251" s="371"/>
      <c r="O251" s="371"/>
      <c r="P251" s="371"/>
      <c r="Q251" s="371"/>
      <c r="R251" s="371"/>
      <c r="S251" s="371"/>
    </row>
    <row r="252" spans="2:19" x14ac:dyDescent="0.2">
      <c r="B252" s="371"/>
      <c r="C252" s="371"/>
      <c r="D252" s="371"/>
      <c r="E252" s="371"/>
      <c r="F252" s="371"/>
      <c r="G252" s="371"/>
      <c r="H252" s="371"/>
      <c r="I252" s="371"/>
      <c r="J252" s="371"/>
      <c r="K252" s="371"/>
      <c r="L252" s="371"/>
      <c r="M252" s="371"/>
      <c r="N252" s="371"/>
      <c r="O252" s="371"/>
      <c r="P252" s="371"/>
      <c r="Q252" s="371"/>
      <c r="R252" s="371"/>
      <c r="S252" s="371"/>
    </row>
    <row r="253" spans="2:19" x14ac:dyDescent="0.2">
      <c r="B253" s="371"/>
      <c r="C253" s="371"/>
      <c r="D253" s="371"/>
      <c r="E253" s="371"/>
      <c r="F253" s="371"/>
      <c r="G253" s="371"/>
      <c r="H253" s="371"/>
      <c r="I253" s="371"/>
      <c r="J253" s="371"/>
      <c r="K253" s="371"/>
      <c r="L253" s="371"/>
      <c r="M253" s="371"/>
      <c r="N253" s="371"/>
      <c r="O253" s="371"/>
      <c r="P253" s="371"/>
      <c r="Q253" s="371"/>
      <c r="R253" s="371"/>
      <c r="S253" s="371"/>
    </row>
    <row r="254" spans="2:19" x14ac:dyDescent="0.2">
      <c r="B254" s="371"/>
      <c r="C254" s="371"/>
      <c r="D254" s="371"/>
      <c r="E254" s="371"/>
      <c r="F254" s="371"/>
      <c r="G254" s="371"/>
      <c r="H254" s="371"/>
      <c r="I254" s="371"/>
      <c r="J254" s="371"/>
      <c r="K254" s="371"/>
      <c r="L254" s="371"/>
      <c r="M254" s="371"/>
      <c r="N254" s="371"/>
      <c r="O254" s="371"/>
      <c r="P254" s="371"/>
      <c r="Q254" s="371"/>
      <c r="R254" s="371"/>
      <c r="S254" s="371"/>
    </row>
    <row r="255" spans="2:19" x14ac:dyDescent="0.2">
      <c r="B255" s="371"/>
      <c r="C255" s="371"/>
      <c r="D255" s="371"/>
      <c r="E255" s="371"/>
      <c r="F255" s="371"/>
      <c r="G255" s="371"/>
      <c r="H255" s="371"/>
      <c r="I255" s="371"/>
      <c r="J255" s="371"/>
      <c r="K255" s="371"/>
      <c r="L255" s="371"/>
      <c r="M255" s="371"/>
      <c r="N255" s="371"/>
      <c r="O255" s="371"/>
      <c r="P255" s="371"/>
      <c r="Q255" s="371"/>
      <c r="R255" s="371"/>
      <c r="S255" s="371"/>
    </row>
    <row r="256" spans="2:19" x14ac:dyDescent="0.2">
      <c r="B256" s="371"/>
      <c r="C256" s="371"/>
      <c r="D256" s="371"/>
      <c r="E256" s="371"/>
      <c r="F256" s="371"/>
      <c r="G256" s="371"/>
      <c r="H256" s="371"/>
      <c r="I256" s="371"/>
      <c r="J256" s="371"/>
      <c r="K256" s="371"/>
      <c r="L256" s="371"/>
      <c r="M256" s="371"/>
      <c r="N256" s="371"/>
      <c r="O256" s="371"/>
      <c r="P256" s="371"/>
      <c r="Q256" s="371"/>
      <c r="R256" s="371"/>
      <c r="S256" s="371"/>
    </row>
    <row r="257" spans="2:19" x14ac:dyDescent="0.2">
      <c r="B257" s="371"/>
      <c r="C257" s="371"/>
      <c r="D257" s="371"/>
      <c r="E257" s="371"/>
      <c r="F257" s="371"/>
      <c r="G257" s="371"/>
      <c r="H257" s="371"/>
      <c r="I257" s="371"/>
      <c r="J257" s="371"/>
      <c r="K257" s="371"/>
      <c r="L257" s="371"/>
      <c r="M257" s="371"/>
      <c r="N257" s="371"/>
      <c r="O257" s="371"/>
      <c r="P257" s="371"/>
      <c r="Q257" s="371"/>
      <c r="R257" s="371"/>
      <c r="S257" s="371"/>
    </row>
    <row r="258" spans="2:19" x14ac:dyDescent="0.2">
      <c r="B258" s="371"/>
      <c r="C258" s="371"/>
      <c r="D258" s="371"/>
      <c r="E258" s="371"/>
      <c r="F258" s="371"/>
      <c r="G258" s="371"/>
      <c r="H258" s="371"/>
      <c r="I258" s="371"/>
      <c r="J258" s="371"/>
      <c r="K258" s="371"/>
      <c r="L258" s="371"/>
      <c r="M258" s="371"/>
      <c r="N258" s="371"/>
      <c r="O258" s="371"/>
      <c r="P258" s="371"/>
      <c r="Q258" s="371"/>
      <c r="R258" s="371"/>
      <c r="S258" s="371"/>
    </row>
    <row r="259" spans="2:19" x14ac:dyDescent="0.2">
      <c r="B259" s="371"/>
      <c r="C259" s="371"/>
      <c r="D259" s="371"/>
      <c r="E259" s="371"/>
      <c r="F259" s="371"/>
      <c r="G259" s="371"/>
      <c r="H259" s="371"/>
      <c r="I259" s="371"/>
      <c r="J259" s="371"/>
      <c r="K259" s="371"/>
      <c r="L259" s="371"/>
      <c r="M259" s="371"/>
      <c r="N259" s="371"/>
      <c r="O259" s="371"/>
      <c r="P259" s="371"/>
      <c r="Q259" s="371"/>
      <c r="R259" s="371"/>
      <c r="S259" s="371"/>
    </row>
    <row r="260" spans="2:19" x14ac:dyDescent="0.2">
      <c r="B260" s="371"/>
      <c r="C260" s="371"/>
      <c r="D260" s="371"/>
      <c r="E260" s="371"/>
      <c r="F260" s="371"/>
      <c r="G260" s="371"/>
      <c r="H260" s="371"/>
      <c r="I260" s="371"/>
      <c r="J260" s="371"/>
      <c r="K260" s="371"/>
      <c r="L260" s="371"/>
      <c r="M260" s="371"/>
      <c r="N260" s="371"/>
      <c r="O260" s="371"/>
      <c r="P260" s="371"/>
      <c r="Q260" s="371"/>
      <c r="R260" s="371"/>
      <c r="S260" s="371"/>
    </row>
    <row r="261" spans="2:19" x14ac:dyDescent="0.2">
      <c r="B261" s="371"/>
      <c r="C261" s="371"/>
      <c r="D261" s="371"/>
      <c r="E261" s="371"/>
      <c r="F261" s="371"/>
      <c r="G261" s="371"/>
      <c r="H261" s="371"/>
      <c r="I261" s="371"/>
      <c r="J261" s="371"/>
      <c r="K261" s="371"/>
      <c r="L261" s="371"/>
      <c r="M261" s="371"/>
      <c r="N261" s="371"/>
      <c r="O261" s="371"/>
      <c r="P261" s="371"/>
      <c r="Q261" s="371"/>
      <c r="R261" s="371"/>
      <c r="S261" s="371"/>
    </row>
    <row r="262" spans="2:19" x14ac:dyDescent="0.2">
      <c r="B262" s="371"/>
      <c r="C262" s="371"/>
      <c r="D262" s="371"/>
      <c r="E262" s="371"/>
      <c r="F262" s="371"/>
      <c r="G262" s="371"/>
      <c r="H262" s="371"/>
      <c r="I262" s="371"/>
      <c r="J262" s="371"/>
      <c r="K262" s="371"/>
      <c r="L262" s="371"/>
      <c r="M262" s="371"/>
      <c r="N262" s="371"/>
      <c r="O262" s="371"/>
      <c r="P262" s="371"/>
      <c r="Q262" s="371"/>
      <c r="R262" s="371"/>
      <c r="S262" s="371"/>
    </row>
    <row r="263" spans="2:19" x14ac:dyDescent="0.2">
      <c r="B263" s="371"/>
      <c r="C263" s="371"/>
      <c r="D263" s="371"/>
      <c r="E263" s="371"/>
      <c r="F263" s="371"/>
      <c r="G263" s="371"/>
      <c r="H263" s="371"/>
      <c r="I263" s="371"/>
      <c r="J263" s="371"/>
      <c r="K263" s="371"/>
      <c r="L263" s="371"/>
      <c r="M263" s="371"/>
      <c r="N263" s="371"/>
      <c r="O263" s="371"/>
      <c r="P263" s="371"/>
      <c r="Q263" s="371"/>
      <c r="R263" s="371"/>
      <c r="S263" s="371"/>
    </row>
    <row r="264" spans="2:19" x14ac:dyDescent="0.2">
      <c r="B264" s="371"/>
      <c r="C264" s="371"/>
      <c r="D264" s="371"/>
      <c r="E264" s="371"/>
      <c r="F264" s="371"/>
      <c r="G264" s="371"/>
      <c r="H264" s="371"/>
      <c r="I264" s="371"/>
      <c r="J264" s="371"/>
      <c r="K264" s="371"/>
      <c r="L264" s="371"/>
      <c r="M264" s="371"/>
      <c r="N264" s="371"/>
      <c r="O264" s="371"/>
      <c r="P264" s="371"/>
      <c r="Q264" s="371"/>
      <c r="R264" s="371"/>
      <c r="S264" s="371"/>
    </row>
    <row r="265" spans="2:19" x14ac:dyDescent="0.2">
      <c r="B265" s="371"/>
      <c r="C265" s="371"/>
      <c r="D265" s="371"/>
      <c r="E265" s="371"/>
      <c r="F265" s="371"/>
      <c r="G265" s="371"/>
      <c r="H265" s="371"/>
      <c r="I265" s="371"/>
      <c r="J265" s="371"/>
      <c r="K265" s="371"/>
      <c r="L265" s="371"/>
      <c r="M265" s="371"/>
      <c r="N265" s="371"/>
      <c r="O265" s="371"/>
      <c r="P265" s="371"/>
      <c r="Q265" s="371"/>
      <c r="R265" s="371"/>
      <c r="S265" s="371"/>
    </row>
    <row r="266" spans="2:19" x14ac:dyDescent="0.2">
      <c r="B266" s="371"/>
      <c r="C266" s="371"/>
      <c r="D266" s="371"/>
      <c r="E266" s="371"/>
      <c r="F266" s="371"/>
      <c r="G266" s="371"/>
      <c r="H266" s="371"/>
      <c r="I266" s="371"/>
      <c r="J266" s="371"/>
      <c r="K266" s="371"/>
      <c r="L266" s="371"/>
      <c r="M266" s="371"/>
      <c r="N266" s="371"/>
      <c r="O266" s="371"/>
      <c r="P266" s="371"/>
      <c r="Q266" s="371"/>
      <c r="R266" s="371"/>
      <c r="S266" s="371"/>
    </row>
    <row r="267" spans="2:19" x14ac:dyDescent="0.2">
      <c r="B267" s="371"/>
      <c r="C267" s="371"/>
      <c r="D267" s="371"/>
      <c r="E267" s="371"/>
      <c r="F267" s="371"/>
      <c r="G267" s="371"/>
      <c r="H267" s="371"/>
      <c r="I267" s="371"/>
      <c r="J267" s="371"/>
      <c r="K267" s="371"/>
      <c r="L267" s="371"/>
      <c r="M267" s="371"/>
      <c r="N267" s="371"/>
      <c r="O267" s="371"/>
      <c r="P267" s="371"/>
      <c r="Q267" s="371"/>
      <c r="R267" s="371"/>
      <c r="S267" s="371"/>
    </row>
    <row r="268" spans="2:19" x14ac:dyDescent="0.2">
      <c r="B268" s="371"/>
      <c r="C268" s="371"/>
      <c r="D268" s="371"/>
      <c r="E268" s="371"/>
      <c r="F268" s="371"/>
      <c r="G268" s="371"/>
      <c r="H268" s="371"/>
      <c r="I268" s="371"/>
      <c r="J268" s="371"/>
      <c r="K268" s="371"/>
      <c r="L268" s="371"/>
      <c r="M268" s="371"/>
      <c r="N268" s="371"/>
      <c r="O268" s="371"/>
      <c r="P268" s="371"/>
      <c r="Q268" s="371"/>
      <c r="R268" s="371"/>
      <c r="S268" s="371"/>
    </row>
    <row r="269" spans="2:19" x14ac:dyDescent="0.2">
      <c r="B269" s="371"/>
      <c r="C269" s="371"/>
      <c r="D269" s="371"/>
      <c r="E269" s="371"/>
      <c r="F269" s="371"/>
      <c r="G269" s="371"/>
      <c r="H269" s="371"/>
      <c r="I269" s="371"/>
      <c r="J269" s="371"/>
      <c r="K269" s="371"/>
      <c r="L269" s="371"/>
      <c r="M269" s="371"/>
      <c r="N269" s="371"/>
      <c r="O269" s="371"/>
      <c r="P269" s="371"/>
      <c r="Q269" s="371"/>
      <c r="R269" s="371"/>
      <c r="S269" s="371"/>
    </row>
    <row r="270" spans="2:19" x14ac:dyDescent="0.2">
      <c r="B270" s="371"/>
      <c r="C270" s="371"/>
      <c r="D270" s="371"/>
      <c r="E270" s="371"/>
      <c r="F270" s="371"/>
      <c r="G270" s="371"/>
      <c r="H270" s="371"/>
      <c r="I270" s="371"/>
      <c r="J270" s="371"/>
      <c r="K270" s="371"/>
      <c r="L270" s="371"/>
      <c r="M270" s="371"/>
      <c r="N270" s="371"/>
      <c r="O270" s="371"/>
      <c r="P270" s="371"/>
      <c r="Q270" s="371"/>
      <c r="R270" s="371"/>
      <c r="S270" s="371"/>
    </row>
    <row r="271" spans="2:19" x14ac:dyDescent="0.2">
      <c r="B271" s="371"/>
      <c r="C271" s="371"/>
      <c r="D271" s="371"/>
      <c r="E271" s="371"/>
      <c r="F271" s="371"/>
      <c r="G271" s="371"/>
      <c r="H271" s="371"/>
      <c r="I271" s="371"/>
      <c r="J271" s="371"/>
      <c r="K271" s="371"/>
      <c r="L271" s="371"/>
      <c r="M271" s="371"/>
      <c r="N271" s="371"/>
      <c r="O271" s="371"/>
      <c r="P271" s="371"/>
      <c r="Q271" s="371"/>
      <c r="R271" s="371"/>
      <c r="S271" s="371"/>
    </row>
    <row r="272" spans="2:19" x14ac:dyDescent="0.2">
      <c r="B272" s="371"/>
      <c r="C272" s="371"/>
      <c r="D272" s="371"/>
      <c r="E272" s="371"/>
      <c r="F272" s="371"/>
      <c r="G272" s="371"/>
      <c r="H272" s="371"/>
      <c r="I272" s="371"/>
      <c r="J272" s="371"/>
      <c r="K272" s="371"/>
      <c r="L272" s="371"/>
      <c r="M272" s="371"/>
      <c r="N272" s="371"/>
      <c r="O272" s="371"/>
      <c r="P272" s="371"/>
      <c r="Q272" s="371"/>
      <c r="R272" s="371"/>
      <c r="S272" s="371"/>
    </row>
    <row r="273" spans="2:19" x14ac:dyDescent="0.2">
      <c r="B273" s="371"/>
      <c r="C273" s="371"/>
      <c r="D273" s="371"/>
      <c r="E273" s="371"/>
      <c r="F273" s="371"/>
      <c r="G273" s="371"/>
      <c r="H273" s="371"/>
      <c r="I273" s="371"/>
      <c r="J273" s="371"/>
      <c r="K273" s="371"/>
      <c r="L273" s="371"/>
      <c r="M273" s="371"/>
      <c r="N273" s="371"/>
      <c r="O273" s="371"/>
      <c r="P273" s="371"/>
      <c r="Q273" s="371"/>
      <c r="R273" s="371"/>
      <c r="S273" s="371"/>
    </row>
    <row r="274" spans="2:19" x14ac:dyDescent="0.2">
      <c r="B274" s="371"/>
      <c r="C274" s="371"/>
      <c r="D274" s="371"/>
      <c r="E274" s="371"/>
      <c r="F274" s="371"/>
      <c r="G274" s="371"/>
      <c r="H274" s="371"/>
      <c r="I274" s="371"/>
      <c r="J274" s="371"/>
      <c r="K274" s="371"/>
      <c r="L274" s="371"/>
      <c r="M274" s="371"/>
      <c r="N274" s="371"/>
      <c r="O274" s="371"/>
      <c r="P274" s="371"/>
      <c r="Q274" s="371"/>
      <c r="R274" s="371"/>
      <c r="S274" s="371"/>
    </row>
    <row r="275" spans="2:19" x14ac:dyDescent="0.2">
      <c r="B275" s="371"/>
      <c r="C275" s="371"/>
      <c r="D275" s="371"/>
      <c r="E275" s="371"/>
      <c r="F275" s="371"/>
      <c r="G275" s="371"/>
      <c r="H275" s="371"/>
      <c r="I275" s="371"/>
      <c r="J275" s="371"/>
      <c r="K275" s="371"/>
      <c r="L275" s="371"/>
      <c r="M275" s="371"/>
      <c r="N275" s="371"/>
      <c r="O275" s="371"/>
      <c r="P275" s="371"/>
      <c r="Q275" s="371"/>
      <c r="R275" s="371"/>
      <c r="S275" s="371"/>
    </row>
    <row r="276" spans="2:19" x14ac:dyDescent="0.2">
      <c r="B276" s="371"/>
      <c r="C276" s="371"/>
      <c r="D276" s="371"/>
      <c r="E276" s="371"/>
      <c r="F276" s="371"/>
      <c r="G276" s="371"/>
      <c r="H276" s="371"/>
      <c r="I276" s="371"/>
      <c r="J276" s="371"/>
      <c r="K276" s="371"/>
      <c r="L276" s="371"/>
      <c r="M276" s="371"/>
      <c r="N276" s="371"/>
      <c r="O276" s="371"/>
      <c r="P276" s="371"/>
      <c r="Q276" s="371"/>
      <c r="R276" s="371"/>
      <c r="S276" s="371"/>
    </row>
    <row r="277" spans="2:19" x14ac:dyDescent="0.2">
      <c r="B277" s="371"/>
      <c r="C277" s="371"/>
      <c r="D277" s="371"/>
      <c r="E277" s="371"/>
      <c r="F277" s="371"/>
      <c r="G277" s="371"/>
      <c r="H277" s="371"/>
      <c r="I277" s="371"/>
      <c r="J277" s="371"/>
      <c r="K277" s="371"/>
      <c r="L277" s="371"/>
      <c r="M277" s="371"/>
      <c r="N277" s="371"/>
      <c r="O277" s="371"/>
      <c r="P277" s="371"/>
      <c r="Q277" s="371"/>
      <c r="R277" s="371"/>
      <c r="S277" s="371"/>
    </row>
    <row r="278" spans="2:19" x14ac:dyDescent="0.2">
      <c r="B278" s="371"/>
      <c r="C278" s="371"/>
      <c r="D278" s="371"/>
      <c r="E278" s="371"/>
      <c r="F278" s="371"/>
      <c r="G278" s="371"/>
      <c r="H278" s="371"/>
      <c r="I278" s="371"/>
      <c r="J278" s="371"/>
      <c r="K278" s="371"/>
      <c r="L278" s="371"/>
      <c r="M278" s="371"/>
      <c r="N278" s="371"/>
      <c r="O278" s="371"/>
      <c r="P278" s="371"/>
      <c r="Q278" s="371"/>
      <c r="R278" s="371"/>
      <c r="S278" s="371"/>
    </row>
    <row r="279" spans="2:19" x14ac:dyDescent="0.2">
      <c r="B279" s="371"/>
      <c r="C279" s="371"/>
      <c r="D279" s="371"/>
      <c r="E279" s="371"/>
      <c r="F279" s="371"/>
      <c r="G279" s="371"/>
      <c r="H279" s="371"/>
      <c r="I279" s="371"/>
      <c r="J279" s="371"/>
      <c r="K279" s="371"/>
      <c r="L279" s="371"/>
      <c r="M279" s="371"/>
      <c r="N279" s="371"/>
      <c r="O279" s="371"/>
      <c r="P279" s="371"/>
      <c r="Q279" s="371"/>
      <c r="R279" s="371"/>
      <c r="S279" s="371"/>
    </row>
    <row r="280" spans="2:19" x14ac:dyDescent="0.2">
      <c r="B280" s="371"/>
      <c r="C280" s="371"/>
      <c r="D280" s="371"/>
      <c r="E280" s="371"/>
      <c r="F280" s="371"/>
      <c r="G280" s="371"/>
      <c r="H280" s="371"/>
      <c r="I280" s="371"/>
      <c r="J280" s="371"/>
      <c r="K280" s="371"/>
      <c r="L280" s="371"/>
      <c r="M280" s="371"/>
      <c r="N280" s="371"/>
      <c r="O280" s="371"/>
      <c r="P280" s="371"/>
      <c r="Q280" s="371"/>
      <c r="R280" s="371"/>
      <c r="S280" s="371"/>
    </row>
    <row r="281" spans="2:19" x14ac:dyDescent="0.2">
      <c r="B281" s="371"/>
      <c r="C281" s="371"/>
      <c r="D281" s="371"/>
      <c r="E281" s="371"/>
      <c r="F281" s="371"/>
      <c r="G281" s="371"/>
      <c r="H281" s="371"/>
      <c r="I281" s="371"/>
      <c r="J281" s="371"/>
      <c r="K281" s="371"/>
      <c r="L281" s="371"/>
      <c r="M281" s="371"/>
      <c r="N281" s="371"/>
      <c r="O281" s="371"/>
      <c r="P281" s="371"/>
      <c r="Q281" s="371"/>
      <c r="R281" s="371"/>
      <c r="S281" s="371"/>
    </row>
    <row r="282" spans="2:19" x14ac:dyDescent="0.2">
      <c r="B282" s="371"/>
      <c r="C282" s="371"/>
      <c r="D282" s="371"/>
      <c r="E282" s="371"/>
      <c r="F282" s="371"/>
      <c r="G282" s="371"/>
      <c r="H282" s="371"/>
      <c r="I282" s="371"/>
      <c r="J282" s="371"/>
      <c r="K282" s="371"/>
      <c r="L282" s="371"/>
      <c r="M282" s="371"/>
      <c r="N282" s="371"/>
      <c r="O282" s="371"/>
      <c r="P282" s="371"/>
      <c r="Q282" s="371"/>
      <c r="R282" s="371"/>
      <c r="S282" s="371"/>
    </row>
    <row r="283" spans="2:19" x14ac:dyDescent="0.2">
      <c r="B283" s="371"/>
      <c r="C283" s="371"/>
      <c r="D283" s="371"/>
      <c r="E283" s="371"/>
      <c r="F283" s="371"/>
      <c r="G283" s="371"/>
      <c r="H283" s="371"/>
      <c r="I283" s="371"/>
      <c r="J283" s="371"/>
      <c r="K283" s="371"/>
      <c r="L283" s="371"/>
      <c r="M283" s="371"/>
      <c r="N283" s="371"/>
      <c r="O283" s="371"/>
      <c r="P283" s="371"/>
      <c r="Q283" s="371"/>
      <c r="R283" s="371"/>
      <c r="S283" s="371"/>
    </row>
    <row r="284" spans="2:19" x14ac:dyDescent="0.2">
      <c r="B284" s="371"/>
      <c r="C284" s="371"/>
      <c r="D284" s="371"/>
      <c r="E284" s="371"/>
      <c r="F284" s="371"/>
      <c r="G284" s="371"/>
      <c r="H284" s="371"/>
      <c r="I284" s="371"/>
      <c r="J284" s="371"/>
      <c r="K284" s="371"/>
      <c r="L284" s="371"/>
      <c r="M284" s="371"/>
      <c r="N284" s="371"/>
      <c r="O284" s="371"/>
      <c r="P284" s="371"/>
      <c r="Q284" s="371"/>
      <c r="R284" s="371"/>
      <c r="S284" s="371"/>
    </row>
    <row r="285" spans="2:19" x14ac:dyDescent="0.2">
      <c r="B285" s="371"/>
      <c r="C285" s="371"/>
      <c r="D285" s="371"/>
      <c r="E285" s="371"/>
      <c r="F285" s="371"/>
      <c r="G285" s="371"/>
      <c r="H285" s="371"/>
      <c r="I285" s="371"/>
      <c r="J285" s="371"/>
      <c r="K285" s="371"/>
      <c r="L285" s="371"/>
      <c r="M285" s="371"/>
      <c r="N285" s="371"/>
      <c r="O285" s="371"/>
      <c r="P285" s="371"/>
      <c r="Q285" s="371"/>
      <c r="R285" s="371"/>
      <c r="S285" s="371"/>
    </row>
    <row r="286" spans="2:19" x14ac:dyDescent="0.2">
      <c r="B286" s="371"/>
      <c r="C286" s="371"/>
      <c r="D286" s="371"/>
      <c r="E286" s="371"/>
      <c r="F286" s="371"/>
      <c r="G286" s="371"/>
      <c r="H286" s="371"/>
      <c r="I286" s="371"/>
      <c r="J286" s="371"/>
      <c r="K286" s="371"/>
      <c r="L286" s="371"/>
      <c r="M286" s="371"/>
      <c r="N286" s="371"/>
      <c r="O286" s="371"/>
      <c r="P286" s="371"/>
      <c r="Q286" s="371"/>
      <c r="R286" s="371"/>
      <c r="S286" s="371"/>
    </row>
    <row r="287" spans="2:19" x14ac:dyDescent="0.2">
      <c r="B287" s="371"/>
      <c r="C287" s="371"/>
      <c r="D287" s="371"/>
      <c r="E287" s="371"/>
      <c r="F287" s="371"/>
      <c r="G287" s="371"/>
      <c r="H287" s="371"/>
      <c r="I287" s="371"/>
      <c r="J287" s="371"/>
      <c r="K287" s="371"/>
      <c r="L287" s="371"/>
      <c r="M287" s="371"/>
      <c r="N287" s="371"/>
      <c r="O287" s="371"/>
      <c r="P287" s="371"/>
      <c r="Q287" s="371"/>
      <c r="R287" s="371"/>
      <c r="S287" s="371"/>
    </row>
    <row r="288" spans="2:19" x14ac:dyDescent="0.2">
      <c r="B288" s="371"/>
      <c r="C288" s="371"/>
      <c r="D288" s="371"/>
      <c r="E288" s="371"/>
      <c r="F288" s="371"/>
      <c r="G288" s="371"/>
      <c r="H288" s="371"/>
      <c r="I288" s="371"/>
      <c r="J288" s="371"/>
      <c r="K288" s="371"/>
      <c r="L288" s="371"/>
      <c r="M288" s="371"/>
      <c r="N288" s="371"/>
      <c r="O288" s="371"/>
      <c r="P288" s="371"/>
      <c r="Q288" s="371"/>
      <c r="R288" s="371"/>
      <c r="S288" s="371"/>
    </row>
    <row r="289" spans="2:19" x14ac:dyDescent="0.2">
      <c r="B289" s="371"/>
      <c r="C289" s="371"/>
      <c r="D289" s="371"/>
      <c r="E289" s="371"/>
      <c r="F289" s="371"/>
      <c r="G289" s="371"/>
      <c r="H289" s="371"/>
      <c r="I289" s="371"/>
      <c r="J289" s="371"/>
      <c r="K289" s="371"/>
      <c r="L289" s="371"/>
      <c r="M289" s="371"/>
      <c r="N289" s="371"/>
      <c r="O289" s="371"/>
      <c r="P289" s="371"/>
      <c r="Q289" s="371"/>
      <c r="R289" s="371"/>
      <c r="S289" s="371"/>
    </row>
    <row r="290" spans="2:19" x14ac:dyDescent="0.2">
      <c r="B290" s="371"/>
      <c r="C290" s="371"/>
      <c r="D290" s="371"/>
      <c r="E290" s="371"/>
      <c r="F290" s="371"/>
      <c r="G290" s="371"/>
      <c r="H290" s="371"/>
      <c r="I290" s="371"/>
      <c r="J290" s="371"/>
      <c r="K290" s="371"/>
      <c r="L290" s="371"/>
      <c r="M290" s="371"/>
      <c r="N290" s="371"/>
      <c r="O290" s="371"/>
      <c r="P290" s="371"/>
      <c r="Q290" s="371"/>
      <c r="R290" s="371"/>
      <c r="S290" s="371"/>
    </row>
    <row r="291" spans="2:19" x14ac:dyDescent="0.2">
      <c r="B291" s="371"/>
      <c r="C291" s="371"/>
      <c r="D291" s="371"/>
      <c r="E291" s="371"/>
      <c r="F291" s="371"/>
      <c r="G291" s="371"/>
      <c r="H291" s="371"/>
      <c r="I291" s="371"/>
      <c r="J291" s="371"/>
      <c r="K291" s="371"/>
      <c r="L291" s="371"/>
      <c r="M291" s="371"/>
      <c r="N291" s="371"/>
      <c r="O291" s="371"/>
      <c r="P291" s="371"/>
      <c r="Q291" s="371"/>
      <c r="R291" s="371"/>
      <c r="S291" s="371"/>
    </row>
    <row r="292" spans="2:19" x14ac:dyDescent="0.2">
      <c r="B292" s="371"/>
      <c r="C292" s="371"/>
      <c r="D292" s="371"/>
      <c r="E292" s="371"/>
      <c r="F292" s="371"/>
      <c r="G292" s="371"/>
      <c r="H292" s="371"/>
      <c r="I292" s="371"/>
      <c r="J292" s="371"/>
      <c r="K292" s="371"/>
      <c r="L292" s="371"/>
      <c r="M292" s="371"/>
      <c r="N292" s="371"/>
      <c r="O292" s="371"/>
      <c r="P292" s="371"/>
      <c r="Q292" s="371"/>
      <c r="R292" s="371"/>
      <c r="S292" s="371"/>
    </row>
    <row r="293" spans="2:19" x14ac:dyDescent="0.2">
      <c r="B293" s="371"/>
      <c r="C293" s="371"/>
      <c r="D293" s="371"/>
      <c r="E293" s="371"/>
      <c r="F293" s="371"/>
      <c r="G293" s="371"/>
      <c r="H293" s="371"/>
      <c r="I293" s="371"/>
      <c r="J293" s="371"/>
      <c r="K293" s="371"/>
      <c r="L293" s="371"/>
      <c r="M293" s="371"/>
      <c r="N293" s="371"/>
      <c r="O293" s="371"/>
      <c r="P293" s="371"/>
      <c r="Q293" s="371"/>
      <c r="R293" s="371"/>
      <c r="S293" s="371"/>
    </row>
    <row r="294" spans="2:19" x14ac:dyDescent="0.2">
      <c r="B294" s="371"/>
      <c r="C294" s="371"/>
      <c r="D294" s="371"/>
      <c r="E294" s="371"/>
      <c r="F294" s="371"/>
      <c r="G294" s="371"/>
      <c r="H294" s="371"/>
      <c r="I294" s="371"/>
      <c r="J294" s="371"/>
      <c r="K294" s="371"/>
      <c r="L294" s="371"/>
      <c r="M294" s="371"/>
      <c r="N294" s="371"/>
      <c r="O294" s="371"/>
      <c r="P294" s="371"/>
      <c r="Q294" s="371"/>
      <c r="R294" s="371"/>
      <c r="S294" s="371"/>
    </row>
    <row r="295" spans="2:19" x14ac:dyDescent="0.2">
      <c r="B295" s="371"/>
      <c r="C295" s="371"/>
      <c r="D295" s="371"/>
      <c r="E295" s="371"/>
      <c r="F295" s="371"/>
      <c r="G295" s="371"/>
      <c r="H295" s="371"/>
      <c r="I295" s="371"/>
      <c r="J295" s="371"/>
      <c r="K295" s="371"/>
      <c r="L295" s="371"/>
      <c r="M295" s="371"/>
      <c r="N295" s="371"/>
      <c r="O295" s="371"/>
      <c r="P295" s="371"/>
      <c r="Q295" s="371"/>
      <c r="R295" s="371"/>
      <c r="S295" s="371"/>
    </row>
    <row r="296" spans="2:19" x14ac:dyDescent="0.2">
      <c r="B296" s="371"/>
      <c r="C296" s="371"/>
      <c r="D296" s="371"/>
      <c r="E296" s="371"/>
      <c r="F296" s="371"/>
      <c r="G296" s="371"/>
      <c r="H296" s="371"/>
      <c r="I296" s="371"/>
      <c r="J296" s="371"/>
      <c r="K296" s="371"/>
      <c r="L296" s="371"/>
      <c r="M296" s="371"/>
      <c r="N296" s="371"/>
      <c r="O296" s="371"/>
      <c r="P296" s="371"/>
      <c r="Q296" s="371"/>
      <c r="R296" s="371"/>
      <c r="S296" s="371"/>
    </row>
    <row r="297" spans="2:19" x14ac:dyDescent="0.2">
      <c r="B297" s="371"/>
      <c r="C297" s="371"/>
      <c r="D297" s="371"/>
      <c r="E297" s="371"/>
      <c r="F297" s="371"/>
      <c r="G297" s="371"/>
      <c r="H297" s="371"/>
      <c r="I297" s="371"/>
      <c r="J297" s="371"/>
      <c r="K297" s="371"/>
      <c r="L297" s="371"/>
      <c r="M297" s="371"/>
      <c r="N297" s="371"/>
      <c r="O297" s="371"/>
      <c r="P297" s="371"/>
      <c r="Q297" s="371"/>
      <c r="R297" s="371"/>
      <c r="S297" s="371"/>
    </row>
    <row r="298" spans="2:19" x14ac:dyDescent="0.2">
      <c r="B298" s="371"/>
      <c r="C298" s="371"/>
      <c r="D298" s="371"/>
      <c r="E298" s="371"/>
      <c r="F298" s="371"/>
      <c r="G298" s="371"/>
      <c r="H298" s="371"/>
      <c r="I298" s="371"/>
      <c r="J298" s="371"/>
      <c r="K298" s="371"/>
      <c r="L298" s="371"/>
      <c r="M298" s="371"/>
      <c r="N298" s="371"/>
      <c r="O298" s="371"/>
      <c r="P298" s="371"/>
      <c r="Q298" s="371"/>
      <c r="R298" s="371"/>
      <c r="S298" s="371"/>
    </row>
    <row r="299" spans="2:19" x14ac:dyDescent="0.2">
      <c r="B299" s="371"/>
      <c r="C299" s="371"/>
      <c r="D299" s="371"/>
      <c r="E299" s="371"/>
      <c r="F299" s="371"/>
      <c r="G299" s="371"/>
      <c r="H299" s="371"/>
      <c r="I299" s="371"/>
      <c r="J299" s="371"/>
      <c r="K299" s="371"/>
      <c r="L299" s="371"/>
      <c r="M299" s="371"/>
      <c r="N299" s="371"/>
      <c r="O299" s="371"/>
      <c r="P299" s="371"/>
      <c r="Q299" s="371"/>
      <c r="R299" s="371"/>
      <c r="S299" s="371"/>
    </row>
    <row r="300" spans="2:19" x14ac:dyDescent="0.2">
      <c r="B300" s="371"/>
      <c r="C300" s="371"/>
      <c r="D300" s="371"/>
      <c r="E300" s="371"/>
      <c r="F300" s="371"/>
      <c r="G300" s="371"/>
      <c r="H300" s="371"/>
      <c r="I300" s="371"/>
      <c r="J300" s="371"/>
      <c r="K300" s="371"/>
      <c r="L300" s="371"/>
      <c r="M300" s="371"/>
      <c r="N300" s="371"/>
      <c r="O300" s="371"/>
      <c r="P300" s="371"/>
      <c r="Q300" s="371"/>
      <c r="R300" s="371"/>
      <c r="S300" s="371"/>
    </row>
    <row r="301" spans="2:19" x14ac:dyDescent="0.2">
      <c r="B301" s="371"/>
      <c r="C301" s="371"/>
      <c r="D301" s="371"/>
      <c r="E301" s="371"/>
      <c r="F301" s="371"/>
      <c r="G301" s="371"/>
      <c r="H301" s="371"/>
      <c r="I301" s="371"/>
      <c r="J301" s="371"/>
      <c r="K301" s="371"/>
      <c r="L301" s="371"/>
      <c r="M301" s="371"/>
      <c r="N301" s="371"/>
      <c r="O301" s="371"/>
      <c r="P301" s="371"/>
      <c r="Q301" s="371"/>
      <c r="R301" s="371"/>
      <c r="S301" s="371"/>
    </row>
    <row r="302" spans="2:19" x14ac:dyDescent="0.2">
      <c r="B302" s="371"/>
      <c r="C302" s="371"/>
      <c r="D302" s="371"/>
      <c r="E302" s="371"/>
      <c r="F302" s="371"/>
      <c r="G302" s="371"/>
      <c r="H302" s="371"/>
      <c r="I302" s="371"/>
      <c r="J302" s="371"/>
      <c r="K302" s="371"/>
      <c r="L302" s="371"/>
      <c r="M302" s="371"/>
      <c r="N302" s="371"/>
      <c r="O302" s="371"/>
      <c r="P302" s="371"/>
      <c r="Q302" s="371"/>
      <c r="R302" s="371"/>
      <c r="S302" s="371"/>
    </row>
    <row r="303" spans="2:19" x14ac:dyDescent="0.2">
      <c r="B303" s="371"/>
      <c r="C303" s="371"/>
      <c r="D303" s="371"/>
      <c r="E303" s="371"/>
      <c r="F303" s="371"/>
      <c r="G303" s="371"/>
      <c r="H303" s="371"/>
      <c r="I303" s="371"/>
      <c r="J303" s="371"/>
      <c r="K303" s="371"/>
      <c r="L303" s="371"/>
      <c r="M303" s="371"/>
      <c r="N303" s="371"/>
      <c r="O303" s="371"/>
      <c r="P303" s="371"/>
      <c r="Q303" s="371"/>
      <c r="R303" s="371"/>
      <c r="S303" s="371"/>
    </row>
    <row r="304" spans="2:19" x14ac:dyDescent="0.2">
      <c r="B304" s="371"/>
      <c r="C304" s="371"/>
      <c r="D304" s="371"/>
      <c r="E304" s="371"/>
      <c r="F304" s="371"/>
      <c r="G304" s="371"/>
      <c r="H304" s="371"/>
      <c r="I304" s="371"/>
      <c r="J304" s="371"/>
      <c r="K304" s="371"/>
      <c r="L304" s="371"/>
      <c r="M304" s="371"/>
      <c r="N304" s="371"/>
      <c r="O304" s="371"/>
      <c r="P304" s="371"/>
      <c r="Q304" s="371"/>
      <c r="R304" s="371"/>
      <c r="S304" s="371"/>
    </row>
    <row r="305" spans="2:19" x14ac:dyDescent="0.2">
      <c r="B305" s="371"/>
      <c r="C305" s="371"/>
      <c r="D305" s="371"/>
      <c r="E305" s="371"/>
      <c r="F305" s="371"/>
      <c r="G305" s="371"/>
      <c r="H305" s="371"/>
      <c r="I305" s="371"/>
      <c r="J305" s="371"/>
      <c r="K305" s="371"/>
      <c r="L305" s="371"/>
      <c r="M305" s="371"/>
      <c r="N305" s="371"/>
      <c r="O305" s="371"/>
      <c r="P305" s="371"/>
      <c r="Q305" s="371"/>
      <c r="R305" s="371"/>
      <c r="S305" s="371"/>
    </row>
    <row r="306" spans="2:19" x14ac:dyDescent="0.2">
      <c r="B306" s="371"/>
      <c r="C306" s="371"/>
      <c r="D306" s="371"/>
      <c r="E306" s="371"/>
      <c r="F306" s="371"/>
      <c r="G306" s="371"/>
      <c r="H306" s="371"/>
      <c r="I306" s="371"/>
      <c r="J306" s="371"/>
      <c r="K306" s="371"/>
      <c r="L306" s="371"/>
      <c r="M306" s="371"/>
      <c r="N306" s="371"/>
      <c r="O306" s="371"/>
      <c r="P306" s="371"/>
      <c r="Q306" s="371"/>
      <c r="R306" s="371"/>
      <c r="S306" s="371"/>
    </row>
    <row r="307" spans="2:19" x14ac:dyDescent="0.2">
      <c r="B307" s="371"/>
      <c r="C307" s="371"/>
      <c r="D307" s="371"/>
      <c r="E307" s="371"/>
      <c r="F307" s="371"/>
      <c r="G307" s="371"/>
      <c r="H307" s="371"/>
      <c r="I307" s="371"/>
      <c r="J307" s="371"/>
      <c r="K307" s="371"/>
      <c r="L307" s="371"/>
      <c r="M307" s="371"/>
      <c r="N307" s="371"/>
      <c r="O307" s="371"/>
      <c r="P307" s="371"/>
      <c r="Q307" s="371"/>
      <c r="R307" s="371"/>
      <c r="S307" s="371"/>
    </row>
    <row r="308" spans="2:19" x14ac:dyDescent="0.2">
      <c r="B308" s="371"/>
      <c r="C308" s="371"/>
      <c r="D308" s="371"/>
      <c r="E308" s="371"/>
      <c r="F308" s="371"/>
      <c r="G308" s="371"/>
      <c r="H308" s="371"/>
      <c r="I308" s="371"/>
      <c r="J308" s="371"/>
      <c r="K308" s="371"/>
      <c r="L308" s="371"/>
      <c r="M308" s="371"/>
      <c r="N308" s="371"/>
      <c r="O308" s="371"/>
      <c r="P308" s="371"/>
      <c r="Q308" s="371"/>
      <c r="R308" s="371"/>
      <c r="S308" s="371"/>
    </row>
    <row r="309" spans="2:19" x14ac:dyDescent="0.2">
      <c r="B309" s="371"/>
      <c r="C309" s="371"/>
      <c r="D309" s="371"/>
      <c r="E309" s="371"/>
      <c r="F309" s="371"/>
      <c r="G309" s="371"/>
      <c r="H309" s="371"/>
      <c r="I309" s="371"/>
      <c r="J309" s="371"/>
      <c r="K309" s="371"/>
      <c r="L309" s="371"/>
      <c r="M309" s="371"/>
      <c r="N309" s="371"/>
      <c r="O309" s="371"/>
      <c r="P309" s="371"/>
      <c r="Q309" s="371"/>
      <c r="R309" s="371"/>
      <c r="S309" s="371"/>
    </row>
    <row r="310" spans="2:19" x14ac:dyDescent="0.2">
      <c r="B310" s="371"/>
      <c r="C310" s="371"/>
      <c r="D310" s="371"/>
      <c r="E310" s="371"/>
      <c r="F310" s="371"/>
      <c r="G310" s="371"/>
      <c r="H310" s="371"/>
      <c r="I310" s="371"/>
      <c r="J310" s="371"/>
      <c r="K310" s="371"/>
      <c r="L310" s="371"/>
      <c r="M310" s="371"/>
      <c r="N310" s="371"/>
      <c r="O310" s="371"/>
      <c r="P310" s="371"/>
      <c r="Q310" s="371"/>
      <c r="R310" s="371"/>
      <c r="S310" s="371"/>
    </row>
    <row r="311" spans="2:19" x14ac:dyDescent="0.2">
      <c r="B311" s="371"/>
      <c r="C311" s="371"/>
      <c r="D311" s="371"/>
      <c r="E311" s="371"/>
      <c r="F311" s="371"/>
      <c r="G311" s="371"/>
      <c r="H311" s="371"/>
      <c r="I311" s="371"/>
      <c r="J311" s="371"/>
      <c r="K311" s="371"/>
      <c r="L311" s="371"/>
      <c r="M311" s="371"/>
      <c r="N311" s="371"/>
      <c r="O311" s="371"/>
      <c r="P311" s="371"/>
      <c r="Q311" s="371"/>
      <c r="R311" s="371"/>
      <c r="S311" s="371"/>
    </row>
    <row r="312" spans="2:19" x14ac:dyDescent="0.2">
      <c r="B312" s="371"/>
      <c r="C312" s="371"/>
      <c r="D312" s="371"/>
      <c r="E312" s="371"/>
      <c r="F312" s="371"/>
      <c r="G312" s="371"/>
      <c r="H312" s="371"/>
      <c r="I312" s="371"/>
      <c r="J312" s="371"/>
      <c r="K312" s="371"/>
      <c r="L312" s="371"/>
      <c r="M312" s="371"/>
      <c r="N312" s="371"/>
      <c r="O312" s="371"/>
      <c r="P312" s="371"/>
      <c r="Q312" s="371"/>
      <c r="R312" s="371"/>
      <c r="S312" s="371"/>
    </row>
    <row r="313" spans="2:19" x14ac:dyDescent="0.2">
      <c r="B313" s="371"/>
      <c r="C313" s="371"/>
      <c r="D313" s="371"/>
      <c r="E313" s="371"/>
      <c r="F313" s="371"/>
      <c r="G313" s="371"/>
      <c r="H313" s="371"/>
      <c r="I313" s="371"/>
      <c r="J313" s="371"/>
      <c r="K313" s="371"/>
      <c r="L313" s="371"/>
      <c r="M313" s="371"/>
      <c r="N313" s="371"/>
      <c r="O313" s="371"/>
      <c r="P313" s="371"/>
      <c r="Q313" s="371"/>
      <c r="R313" s="371"/>
      <c r="S313" s="371"/>
    </row>
    <row r="314" spans="2:19" x14ac:dyDescent="0.2">
      <c r="B314" s="371"/>
      <c r="C314" s="371"/>
      <c r="D314" s="371"/>
      <c r="E314" s="371"/>
      <c r="F314" s="371"/>
      <c r="G314" s="371"/>
      <c r="H314" s="371"/>
      <c r="I314" s="371"/>
      <c r="J314" s="371"/>
      <c r="K314" s="371"/>
      <c r="L314" s="371"/>
      <c r="M314" s="371"/>
      <c r="N314" s="371"/>
      <c r="O314" s="371"/>
      <c r="P314" s="371"/>
      <c r="Q314" s="371"/>
      <c r="R314" s="371"/>
      <c r="S314" s="371"/>
    </row>
    <row r="315" spans="2:19" x14ac:dyDescent="0.2">
      <c r="B315" s="371"/>
      <c r="C315" s="371"/>
      <c r="D315" s="371"/>
      <c r="E315" s="371"/>
      <c r="F315" s="371"/>
      <c r="G315" s="371"/>
      <c r="H315" s="371"/>
      <c r="I315" s="371"/>
      <c r="J315" s="371"/>
      <c r="K315" s="371"/>
      <c r="L315" s="371"/>
      <c r="M315" s="371"/>
      <c r="N315" s="371"/>
      <c r="O315" s="371"/>
      <c r="P315" s="371"/>
      <c r="Q315" s="371"/>
      <c r="R315" s="371"/>
      <c r="S315" s="371"/>
    </row>
    <row r="316" spans="2:19" x14ac:dyDescent="0.2">
      <c r="B316" s="371"/>
      <c r="C316" s="371"/>
      <c r="D316" s="371"/>
      <c r="E316" s="371"/>
      <c r="F316" s="371"/>
      <c r="G316" s="371"/>
      <c r="H316" s="371"/>
      <c r="I316" s="371"/>
      <c r="J316" s="371"/>
      <c r="K316" s="371"/>
      <c r="L316" s="371"/>
      <c r="M316" s="371"/>
      <c r="N316" s="371"/>
      <c r="O316" s="371"/>
      <c r="P316" s="371"/>
      <c r="Q316" s="371"/>
      <c r="R316" s="371"/>
      <c r="S316" s="371"/>
    </row>
    <row r="317" spans="2:19" x14ac:dyDescent="0.2">
      <c r="B317" s="371"/>
      <c r="C317" s="371"/>
      <c r="D317" s="371"/>
      <c r="E317" s="371"/>
      <c r="F317" s="371"/>
      <c r="G317" s="371"/>
      <c r="H317" s="371"/>
      <c r="I317" s="371"/>
      <c r="J317" s="371"/>
      <c r="K317" s="371"/>
      <c r="L317" s="371"/>
      <c r="M317" s="371"/>
      <c r="N317" s="371"/>
      <c r="O317" s="371"/>
      <c r="P317" s="371"/>
      <c r="Q317" s="371"/>
      <c r="R317" s="371"/>
      <c r="S317" s="371"/>
    </row>
    <row r="318" spans="2:19" x14ac:dyDescent="0.2">
      <c r="B318" s="371"/>
      <c r="C318" s="371"/>
      <c r="D318" s="371"/>
      <c r="E318" s="371"/>
      <c r="F318" s="371"/>
      <c r="G318" s="371"/>
      <c r="H318" s="371"/>
      <c r="I318" s="371"/>
      <c r="J318" s="371"/>
      <c r="K318" s="371"/>
      <c r="L318" s="371"/>
      <c r="M318" s="371"/>
      <c r="N318" s="371"/>
      <c r="O318" s="371"/>
      <c r="P318" s="371"/>
      <c r="Q318" s="371"/>
      <c r="R318" s="371"/>
      <c r="S318" s="371"/>
    </row>
    <row r="319" spans="2:19" x14ac:dyDescent="0.2">
      <c r="B319" s="371"/>
      <c r="C319" s="371"/>
      <c r="D319" s="371"/>
      <c r="E319" s="371"/>
      <c r="F319" s="371"/>
      <c r="G319" s="371"/>
      <c r="H319" s="371"/>
      <c r="I319" s="371"/>
      <c r="J319" s="371"/>
      <c r="K319" s="371"/>
      <c r="L319" s="371"/>
      <c r="M319" s="371"/>
      <c r="N319" s="371"/>
      <c r="O319" s="371"/>
      <c r="P319" s="371"/>
      <c r="Q319" s="371"/>
      <c r="R319" s="371"/>
      <c r="S319" s="371"/>
    </row>
    <row r="320" spans="2:19" x14ac:dyDescent="0.2">
      <c r="B320" s="371"/>
      <c r="C320" s="371"/>
      <c r="D320" s="371"/>
      <c r="E320" s="371"/>
      <c r="F320" s="371"/>
      <c r="G320" s="371"/>
      <c r="H320" s="371"/>
      <c r="I320" s="371"/>
      <c r="J320" s="371"/>
      <c r="K320" s="371"/>
      <c r="L320" s="371"/>
      <c r="M320" s="371"/>
      <c r="N320" s="371"/>
      <c r="O320" s="371"/>
      <c r="P320" s="371"/>
      <c r="Q320" s="371"/>
      <c r="R320" s="371"/>
      <c r="S320" s="371"/>
    </row>
    <row r="321" spans="2:19" x14ac:dyDescent="0.2">
      <c r="B321" s="371"/>
      <c r="D321" s="371"/>
      <c r="E321" s="371"/>
      <c r="F321" s="371"/>
      <c r="G321" s="371"/>
      <c r="H321" s="371"/>
      <c r="I321" s="371"/>
      <c r="J321" s="371"/>
      <c r="K321" s="371"/>
      <c r="L321" s="371"/>
      <c r="M321" s="371"/>
      <c r="N321" s="371"/>
      <c r="O321" s="371"/>
      <c r="P321" s="371"/>
      <c r="Q321" s="371"/>
      <c r="R321" s="371"/>
      <c r="S321" s="371"/>
    </row>
  </sheetData>
  <sheetProtection algorithmName="SHA-512" hashValue="N1f6abhEIJTT+9ghV83MsWA7re8Zdd1vcED9rcf+Za1eeqYKGy45NyKcgBWyun+QEIfCDVp5lYhyDS5SIG7e3w==" saltValue="xfm/Mbf9G7svrSPx3VV/2w==" spinCount="100000" sheet="1" objects="1" scenarios="1"/>
  <mergeCells count="17">
    <mergeCell ref="J43:K43"/>
    <mergeCell ref="C3:D3"/>
    <mergeCell ref="E4:P4"/>
    <mergeCell ref="Q2:Q3"/>
    <mergeCell ref="Q20:Q21"/>
    <mergeCell ref="Q43:Q44"/>
    <mergeCell ref="E20:I20"/>
    <mergeCell ref="J20:K20"/>
    <mergeCell ref="L20:P20"/>
    <mergeCell ref="E2:I2"/>
    <mergeCell ref="J2:K2"/>
    <mergeCell ref="L2:P2"/>
    <mergeCell ref="L43:P43"/>
    <mergeCell ref="E43:I43"/>
    <mergeCell ref="C21:D21"/>
    <mergeCell ref="C44:D44"/>
    <mergeCell ref="E22:Q22"/>
  </mergeCells>
  <conditionalFormatting sqref="E69:Q69">
    <cfRule type="cellIs" dxfId="25" priority="3" stopIfTrue="1" operator="equal">
      <formula>0</formula>
    </cfRule>
    <cfRule type="cellIs" dxfId="24" priority="4" stopIfTrue="1" operator="notEqual">
      <formula>0</formula>
    </cfRule>
  </conditionalFormatting>
  <conditionalFormatting sqref="E70:P72">
    <cfRule type="cellIs" dxfId="23" priority="1" stopIfTrue="1" operator="equal">
      <formula>0</formula>
    </cfRule>
    <cfRule type="cellIs" dxfId="22" priority="2" stopIfTrue="1" operator="notEqual">
      <formula>0</formula>
    </cfRule>
  </conditionalFormatting>
  <pageMargins left="0.70866141732283472" right="0.70866141732283472" top="0.74803149606299213" bottom="0.74803149606299213" header="0.31496062992125984" footer="0.31496062992125984"/>
  <pageSetup paperSize="9" scale="55" orientation="landscape" r:id="rId1"/>
  <headerFooter>
    <oddFooter>&amp;A</oddFooter>
  </headerFooter>
  <rowBreaks count="1" manualBreakCount="1">
    <brk id="59"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7FBF-F9A4-49B2-AF37-E7F6BA71ADCB}">
  <sheetPr codeName="Sheet20"/>
  <dimension ref="A1:R69"/>
  <sheetViews>
    <sheetView showGridLines="0" zoomScaleNormal="100" workbookViewId="0"/>
  </sheetViews>
  <sheetFormatPr defaultColWidth="8.875" defaultRowHeight="14.25" x14ac:dyDescent="0.2"/>
  <cols>
    <col min="1" max="1" width="6.5" style="479" customWidth="1"/>
    <col min="2" max="2" width="7.375" style="479" customWidth="1"/>
    <col min="3" max="3" width="42.75" style="479" customWidth="1"/>
    <col min="4" max="4" width="2.625" style="479" customWidth="1"/>
    <col min="5" max="17" width="8.625" style="479" customWidth="1"/>
    <col min="18" max="18" width="2.875" style="479" customWidth="1"/>
    <col min="19" max="19" width="5.625" style="479" customWidth="1"/>
    <col min="20" max="16384" width="8.875" style="479"/>
  </cols>
  <sheetData>
    <row r="1" spans="1:18" ht="24.75" customHeight="1" x14ac:dyDescent="0.2">
      <c r="A1" s="476"/>
      <c r="B1" s="477" t="s">
        <v>613</v>
      </c>
      <c r="C1" s="478"/>
      <c r="D1" s="478"/>
      <c r="E1" s="478"/>
      <c r="F1" s="478" t="s">
        <v>503</v>
      </c>
      <c r="G1" s="478"/>
      <c r="H1" s="478"/>
      <c r="I1" s="478"/>
      <c r="J1" s="478"/>
      <c r="K1" s="478"/>
      <c r="L1" s="478"/>
      <c r="M1" s="478"/>
      <c r="N1" s="478"/>
      <c r="O1" s="478"/>
      <c r="P1" s="478"/>
      <c r="Q1" s="478"/>
      <c r="R1" s="478"/>
    </row>
    <row r="2" spans="1:18" ht="15" customHeight="1" thickBot="1" x14ac:dyDescent="0.25">
      <c r="A2" s="478"/>
      <c r="B2" s="478"/>
      <c r="C2" s="478"/>
      <c r="D2" s="478"/>
      <c r="E2" s="478"/>
      <c r="F2" s="478"/>
      <c r="G2" s="478"/>
      <c r="H2" s="478"/>
      <c r="I2" s="478"/>
      <c r="J2" s="478"/>
      <c r="K2" s="478"/>
      <c r="L2" s="478"/>
      <c r="M2" s="478"/>
      <c r="N2" s="478"/>
      <c r="O2" s="478"/>
      <c r="P2" s="478"/>
      <c r="Q2" s="478"/>
      <c r="R2" s="478"/>
    </row>
    <row r="3" spans="1:18" ht="16.350000000000001" customHeight="1" thickBot="1" x14ac:dyDescent="0.3">
      <c r="A3" s="478"/>
      <c r="B3" s="480" t="s">
        <v>614</v>
      </c>
      <c r="C3" s="381"/>
      <c r="D3" s="381"/>
      <c r="E3" s="662" t="s">
        <v>46</v>
      </c>
      <c r="F3" s="663"/>
      <c r="G3" s="663"/>
      <c r="H3" s="663"/>
      <c r="I3" s="664"/>
      <c r="J3" s="662" t="s">
        <v>577</v>
      </c>
      <c r="K3" s="664"/>
      <c r="L3" s="662" t="s">
        <v>578</v>
      </c>
      <c r="M3" s="663"/>
      <c r="N3" s="663"/>
      <c r="O3" s="663"/>
      <c r="P3" s="664"/>
      <c r="Q3" s="649" t="s">
        <v>615</v>
      </c>
      <c r="R3" s="481"/>
    </row>
    <row r="4" spans="1:18" ht="18.75" customHeight="1" x14ac:dyDescent="0.2">
      <c r="A4" s="478"/>
      <c r="B4" s="398"/>
      <c r="C4" s="482" t="s">
        <v>616</v>
      </c>
      <c r="D4" s="482"/>
      <c r="E4" s="483" t="s">
        <v>581</v>
      </c>
      <c r="F4" s="484" t="s">
        <v>582</v>
      </c>
      <c r="G4" s="484" t="s">
        <v>583</v>
      </c>
      <c r="H4" s="484" t="s">
        <v>584</v>
      </c>
      <c r="I4" s="484" t="s">
        <v>585</v>
      </c>
      <c r="J4" s="485" t="s">
        <v>586</v>
      </c>
      <c r="K4" s="485" t="s">
        <v>587</v>
      </c>
      <c r="L4" s="485" t="s">
        <v>588</v>
      </c>
      <c r="M4" s="485" t="s">
        <v>589</v>
      </c>
      <c r="N4" s="485" t="s">
        <v>590</v>
      </c>
      <c r="O4" s="485" t="s">
        <v>591</v>
      </c>
      <c r="P4" s="486" t="s">
        <v>592</v>
      </c>
      <c r="Q4" s="650"/>
      <c r="R4" s="486"/>
    </row>
    <row r="5" spans="1:18" ht="14.65" customHeight="1" x14ac:dyDescent="0.2">
      <c r="A5" s="478"/>
      <c r="B5" s="398"/>
      <c r="C5" s="478"/>
      <c r="D5" s="478"/>
      <c r="E5" s="659" t="s">
        <v>617</v>
      </c>
      <c r="F5" s="660"/>
      <c r="G5" s="660"/>
      <c r="H5" s="660"/>
      <c r="I5" s="660"/>
      <c r="J5" s="660"/>
      <c r="K5" s="660"/>
      <c r="L5" s="660"/>
      <c r="M5" s="660"/>
      <c r="N5" s="660"/>
      <c r="O5" s="660"/>
      <c r="P5" s="660"/>
      <c r="Q5" s="661"/>
      <c r="R5" s="487"/>
    </row>
    <row r="6" spans="1:18" x14ac:dyDescent="0.2">
      <c r="A6" s="478"/>
      <c r="B6" s="398"/>
      <c r="C6" s="488" t="s">
        <v>241</v>
      </c>
      <c r="D6" s="488"/>
      <c r="E6" s="408">
        <f>'Historical opex'!H15/1000</f>
        <v>4380.3014983502908</v>
      </c>
      <c r="F6" s="408">
        <f>'Historical opex'!I15/1000</f>
        <v>4408.1435776004046</v>
      </c>
      <c r="G6" s="408">
        <f>'Historical opex'!J15/1000</f>
        <v>5912.1689776068724</v>
      </c>
      <c r="H6" s="408">
        <f>'Historical opex'!K15/1000</f>
        <v>4392.147105845479</v>
      </c>
      <c r="I6" s="408">
        <f>'Historical opex'!L15/1000</f>
        <v>4873.7449628361865</v>
      </c>
      <c r="J6" s="408">
        <f>'Opex summary'!M19/1000</f>
        <v>3950.9434999999999</v>
      </c>
      <c r="K6" s="408">
        <f>'Opex summary'!N19/1000</f>
        <v>4682.517703769292</v>
      </c>
      <c r="L6" s="408">
        <f>'Opex summary'!O19/1000</f>
        <v>4627.6203848450468</v>
      </c>
      <c r="M6" s="408">
        <f>'Opex summary'!P19/1000</f>
        <v>4585.728445365984</v>
      </c>
      <c r="N6" s="408">
        <f>'Opex summary'!Q19/1000</f>
        <v>4506.0119413954244</v>
      </c>
      <c r="O6" s="408">
        <f>'Opex summary'!R19/1000</f>
        <v>4440.1206203921101</v>
      </c>
      <c r="P6" s="408">
        <f>'Opex summary'!S19/1000</f>
        <v>4343.6626255583014</v>
      </c>
      <c r="Q6" s="410">
        <f>SUM(L6:P6)</f>
        <v>22503.144017556864</v>
      </c>
      <c r="R6" s="488"/>
    </row>
    <row r="7" spans="1:18" x14ac:dyDescent="0.2">
      <c r="A7" s="478"/>
      <c r="B7" s="398"/>
      <c r="C7" s="488" t="s">
        <v>243</v>
      </c>
      <c r="D7" s="488"/>
      <c r="E7" s="408">
        <f>'Historical opex'!H16/1000</f>
        <v>3852.3234805661482</v>
      </c>
      <c r="F7" s="408">
        <f>'Historical opex'!I16/1000</f>
        <v>5566.6737308470092</v>
      </c>
      <c r="G7" s="408">
        <f>'Historical opex'!J16/1000</f>
        <v>3882.3207967633271</v>
      </c>
      <c r="H7" s="408">
        <f>'Historical opex'!K16/1000</f>
        <v>5700.1824471770196</v>
      </c>
      <c r="I7" s="408">
        <f>'Historical opex'!L16/1000</f>
        <v>5754.6156909535466</v>
      </c>
      <c r="J7" s="408">
        <f>'Opex summary'!M20/1000</f>
        <v>5579.5090609341451</v>
      </c>
      <c r="K7" s="408">
        <f>'Opex summary'!N20/1000</f>
        <v>4020</v>
      </c>
      <c r="L7" s="408">
        <f>'Opex summary'!O20/1000</f>
        <v>4095.75763699446</v>
      </c>
      <c r="M7" s="408">
        <f>'Opex summary'!P20/1000</f>
        <v>3797.3561950003923</v>
      </c>
      <c r="N7" s="408">
        <f>'Opex summary'!Q20/1000</f>
        <v>2782.7150334069656</v>
      </c>
      <c r="O7" s="408">
        <f>'Opex summary'!R20/1000</f>
        <v>2729.6863025436896</v>
      </c>
      <c r="P7" s="408">
        <f>'Opex summary'!S20/1000</f>
        <v>2659.3930723261419</v>
      </c>
      <c r="Q7" s="410">
        <f>SUM(L7:P7)</f>
        <v>16064.90824027165</v>
      </c>
      <c r="R7" s="488"/>
    </row>
    <row r="8" spans="1:18" x14ac:dyDescent="0.2">
      <c r="A8" s="478"/>
      <c r="B8" s="398"/>
      <c r="C8" s="488" t="s">
        <v>244</v>
      </c>
      <c r="D8" s="488"/>
      <c r="E8" s="408">
        <f>'Historical opex'!H17/1000</f>
        <v>4299.4016407865911</v>
      </c>
      <c r="F8" s="408">
        <f>'Historical opex'!I17/1000</f>
        <v>5414.96144887424</v>
      </c>
      <c r="G8" s="408">
        <f>'Historical opex'!J17/1000</f>
        <v>6748.6679435491187</v>
      </c>
      <c r="H8" s="408">
        <f>'Historical opex'!K17/1000</f>
        <v>5975.0145173146102</v>
      </c>
      <c r="I8" s="408">
        <f>'Historical opex'!L17/1000</f>
        <v>6029.9512933985343</v>
      </c>
      <c r="J8" s="408">
        <f>'Opex summary'!M21/1000</f>
        <v>7575.6009999999997</v>
      </c>
      <c r="K8" s="408">
        <f>'Opex summary'!N21/1000</f>
        <v>8835.1587398074807</v>
      </c>
      <c r="L8" s="408">
        <f>'Opex summary'!O21/1000</f>
        <v>10164.826048079081</v>
      </c>
      <c r="M8" s="408">
        <f>'Opex summary'!P21/1000</f>
        <v>9610.9320235747164</v>
      </c>
      <c r="N8" s="408">
        <f>'Opex summary'!Q21/1000</f>
        <v>9690.5273346179911</v>
      </c>
      <c r="O8" s="408">
        <f>'Opex summary'!R21/1000</f>
        <v>8729.8069229259745</v>
      </c>
      <c r="P8" s="408">
        <f>'Opex summary'!S21/1000</f>
        <v>8714.6917089779963</v>
      </c>
      <c r="Q8" s="410">
        <f>SUM(L8:P8)</f>
        <v>46910.784038175763</v>
      </c>
      <c r="R8" s="488"/>
    </row>
    <row r="9" spans="1:18" x14ac:dyDescent="0.2">
      <c r="A9" s="478"/>
      <c r="B9" s="398"/>
      <c r="C9" s="488" t="s">
        <v>100</v>
      </c>
      <c r="D9" s="488"/>
      <c r="E9" s="408">
        <f>'Historical opex'!H18/1000</f>
        <v>619.52259344832771</v>
      </c>
      <c r="F9" s="408">
        <f>'Historical opex'!I18/1000</f>
        <v>948.46699359200045</v>
      </c>
      <c r="G9" s="408">
        <f>'Historical opex'!J18/1000</f>
        <v>292.82711605757453</v>
      </c>
      <c r="H9" s="408">
        <f>'Historical opex'!K18/1000</f>
        <v>657.11728047935185</v>
      </c>
      <c r="I9" s="408">
        <f>'Historical opex'!L18/1000</f>
        <v>357.63148361858197</v>
      </c>
      <c r="J9" s="408">
        <f>'Opex summary'!M22/1000</f>
        <v>0</v>
      </c>
      <c r="K9" s="408">
        <f>'Opex summary'!N22/1000</f>
        <v>0</v>
      </c>
      <c r="L9" s="408">
        <f>'Opex summary'!O22/1000</f>
        <v>0</v>
      </c>
      <c r="M9" s="408">
        <f>'Opex summary'!P22/1000</f>
        <v>0</v>
      </c>
      <c r="N9" s="408">
        <f>'Opex summary'!Q22/1000</f>
        <v>0</v>
      </c>
      <c r="O9" s="408">
        <f>'Opex summary'!R22/1000</f>
        <v>0</v>
      </c>
      <c r="P9" s="408">
        <f>'Opex summary'!S22/1000</f>
        <v>0</v>
      </c>
      <c r="Q9" s="410">
        <f>SUM(L9:P9)</f>
        <v>0</v>
      </c>
      <c r="R9" s="488"/>
    </row>
    <row r="10" spans="1:18" s="494" customFormat="1" ht="15" x14ac:dyDescent="0.25">
      <c r="A10" s="489"/>
      <c r="B10" s="490"/>
      <c r="C10" s="491" t="s">
        <v>245</v>
      </c>
      <c r="D10" s="491"/>
      <c r="E10" s="492">
        <f t="shared" ref="E10:Q10" si="0">SUM(E6:E9)</f>
        <v>13151.549213151358</v>
      </c>
      <c r="F10" s="492">
        <f t="shared" si="0"/>
        <v>16338.245750913657</v>
      </c>
      <c r="G10" s="492">
        <f t="shared" si="0"/>
        <v>16835.984833976894</v>
      </c>
      <c r="H10" s="492">
        <f t="shared" si="0"/>
        <v>16724.461350816462</v>
      </c>
      <c r="I10" s="492">
        <f t="shared" si="0"/>
        <v>17015.943430806848</v>
      </c>
      <c r="J10" s="492">
        <f t="shared" si="0"/>
        <v>17106.053560934146</v>
      </c>
      <c r="K10" s="492">
        <f t="shared" si="0"/>
        <v>17537.676443576773</v>
      </c>
      <c r="L10" s="492">
        <f t="shared" si="0"/>
        <v>18888.204069918589</v>
      </c>
      <c r="M10" s="492">
        <f t="shared" si="0"/>
        <v>17994.016663941093</v>
      </c>
      <c r="N10" s="492">
        <f t="shared" si="0"/>
        <v>16979.254309420379</v>
      </c>
      <c r="O10" s="492">
        <f t="shared" si="0"/>
        <v>15899.613845861775</v>
      </c>
      <c r="P10" s="492">
        <f t="shared" si="0"/>
        <v>15717.74740686244</v>
      </c>
      <c r="Q10" s="492">
        <f t="shared" si="0"/>
        <v>85478.836296004272</v>
      </c>
      <c r="R10" s="493"/>
    </row>
    <row r="11" spans="1:18" x14ac:dyDescent="0.2">
      <c r="A11" s="478"/>
      <c r="B11" s="398"/>
      <c r="C11" s="488" t="s">
        <v>246</v>
      </c>
      <c r="D11" s="488"/>
      <c r="E11" s="408">
        <f>'Historical opex'!H21/1000</f>
        <v>4105.6677713577319</v>
      </c>
      <c r="F11" s="408">
        <f>'Historical opex'!I21/1000</f>
        <v>3971.0424575110264</v>
      </c>
      <c r="G11" s="408">
        <f>'Historical opex'!J21/1000</f>
        <v>4058.6468021313285</v>
      </c>
      <c r="H11" s="408">
        <f>'Historical opex'!K21/1000</f>
        <v>11037.258691333682</v>
      </c>
      <c r="I11" s="408">
        <f>'Historical opex'!L21/1000</f>
        <v>13038.186854282734</v>
      </c>
      <c r="J11" s="408">
        <f>'Opex summary'!M25/1000</f>
        <v>15037.20362722065</v>
      </c>
      <c r="K11" s="408">
        <f>'Opex summary'!N25/1000</f>
        <v>15742.414692267996</v>
      </c>
      <c r="L11" s="408">
        <f>'Opex summary'!O25/1000</f>
        <v>11102.6618600697</v>
      </c>
      <c r="M11" s="408">
        <f>'Opex summary'!P25/1000</f>
        <v>12545.110497889806</v>
      </c>
      <c r="N11" s="408">
        <f>'Opex summary'!Q25/1000</f>
        <v>11232.956559809048</v>
      </c>
      <c r="O11" s="408">
        <f>'Opex summary'!R25/1000</f>
        <v>10868.317964284552</v>
      </c>
      <c r="P11" s="408">
        <f>'Opex summary'!S25/1000</f>
        <v>10484.448991031353</v>
      </c>
      <c r="Q11" s="410">
        <f>SUM(L11:P11)</f>
        <v>56233.495873084452</v>
      </c>
      <c r="R11" s="488"/>
    </row>
    <row r="12" spans="1:18" x14ac:dyDescent="0.2">
      <c r="A12" s="478"/>
      <c r="B12" s="398"/>
      <c r="C12" s="488" t="s">
        <v>497</v>
      </c>
      <c r="D12" s="488"/>
      <c r="E12" s="408">
        <f>'Historical opex'!H22/1000</f>
        <v>5928.1740065425629</v>
      </c>
      <c r="F12" s="408">
        <f>'Historical opex'!I22/1000</f>
        <v>6384.2572232340408</v>
      </c>
      <c r="G12" s="408">
        <f>'Historical opex'!J22/1000</f>
        <v>7918.7321890367475</v>
      </c>
      <c r="H12" s="408">
        <f>'Historical opex'!K22/1000</f>
        <v>9719.4965293617006</v>
      </c>
      <c r="I12" s="408">
        <f>'Historical opex'!L22/1000</f>
        <v>13377.18271486318</v>
      </c>
      <c r="J12" s="408">
        <f>'Opex summary'!M26/1000</f>
        <v>15095.413912937853</v>
      </c>
      <c r="K12" s="408">
        <f>'Opex summary'!N26/1000</f>
        <v>14599.102404354137</v>
      </c>
      <c r="L12" s="408">
        <f>'Opex summary'!O26/1000</f>
        <v>11865.262104226682</v>
      </c>
      <c r="M12" s="408">
        <f>'Opex summary'!P26/1000</f>
        <v>12834.153370664142</v>
      </c>
      <c r="N12" s="408">
        <f>'Opex summary'!Q26/1000</f>
        <v>12172.059902422625</v>
      </c>
      <c r="O12" s="408">
        <f>'Opex summary'!R26/1000</f>
        <v>11859.956657195822</v>
      </c>
      <c r="P12" s="408">
        <f>'Opex summary'!S26/1000</f>
        <v>11849.772361461262</v>
      </c>
      <c r="Q12" s="410">
        <f>SUM(L12:P12)</f>
        <v>60581.204395970533</v>
      </c>
      <c r="R12" s="488"/>
    </row>
    <row r="13" spans="1:18" s="494" customFormat="1" ht="15.75" thickBot="1" x14ac:dyDescent="0.3">
      <c r="A13" s="489"/>
      <c r="B13" s="490"/>
      <c r="C13" s="491" t="s">
        <v>247</v>
      </c>
      <c r="D13" s="491"/>
      <c r="E13" s="492">
        <f t="shared" ref="E13:P13" si="1">SUM(E11:E12)</f>
        <v>10033.841777900296</v>
      </c>
      <c r="F13" s="492">
        <f t="shared" si="1"/>
        <v>10355.299680745067</v>
      </c>
      <c r="G13" s="492">
        <f t="shared" si="1"/>
        <v>11977.378991168076</v>
      </c>
      <c r="H13" s="492">
        <f t="shared" si="1"/>
        <v>20756.755220695384</v>
      </c>
      <c r="I13" s="492">
        <f t="shared" si="1"/>
        <v>26415.369569145914</v>
      </c>
      <c r="J13" s="492">
        <f t="shared" si="1"/>
        <v>30132.617540158502</v>
      </c>
      <c r="K13" s="492">
        <f t="shared" si="1"/>
        <v>30341.517096622134</v>
      </c>
      <c r="L13" s="492">
        <f t="shared" si="1"/>
        <v>22967.92396429638</v>
      </c>
      <c r="M13" s="492">
        <f t="shared" si="1"/>
        <v>25379.26386855395</v>
      </c>
      <c r="N13" s="492">
        <f t="shared" si="1"/>
        <v>23405.016462231673</v>
      </c>
      <c r="O13" s="492">
        <f t="shared" si="1"/>
        <v>22728.274621480374</v>
      </c>
      <c r="P13" s="492">
        <f t="shared" si="1"/>
        <v>22334.221352492616</v>
      </c>
      <c r="Q13" s="492">
        <f>SUM(Q11:Q12)</f>
        <v>116814.70026905499</v>
      </c>
      <c r="R13" s="493"/>
    </row>
    <row r="14" spans="1:18" s="494" customFormat="1" ht="15.75" thickBot="1" x14ac:dyDescent="0.3">
      <c r="A14" s="489"/>
      <c r="B14" s="490"/>
      <c r="C14" s="495" t="s">
        <v>248</v>
      </c>
      <c r="D14" s="495"/>
      <c r="E14" s="496">
        <f t="shared" ref="E14:P14" si="2">E10+E13</f>
        <v>23185.390991051652</v>
      </c>
      <c r="F14" s="496">
        <f t="shared" si="2"/>
        <v>26693.545431658724</v>
      </c>
      <c r="G14" s="496">
        <f t="shared" si="2"/>
        <v>28813.36382514497</v>
      </c>
      <c r="H14" s="496">
        <f t="shared" si="2"/>
        <v>37481.216571511846</v>
      </c>
      <c r="I14" s="496">
        <f t="shared" si="2"/>
        <v>43431.312999952759</v>
      </c>
      <c r="J14" s="496">
        <f t="shared" si="2"/>
        <v>47238.671101092652</v>
      </c>
      <c r="K14" s="496">
        <f t="shared" si="2"/>
        <v>47879.193540198903</v>
      </c>
      <c r="L14" s="496">
        <f t="shared" si="2"/>
        <v>41856.128034214969</v>
      </c>
      <c r="M14" s="496">
        <f t="shared" si="2"/>
        <v>43373.280532495046</v>
      </c>
      <c r="N14" s="496">
        <f t="shared" si="2"/>
        <v>40384.270771652053</v>
      </c>
      <c r="O14" s="496">
        <f t="shared" si="2"/>
        <v>38627.888467342149</v>
      </c>
      <c r="P14" s="496">
        <f t="shared" si="2"/>
        <v>38051.968759355055</v>
      </c>
      <c r="Q14" s="496">
        <f>Q10+Q13</f>
        <v>202293.53656505927</v>
      </c>
      <c r="R14" s="493"/>
    </row>
    <row r="15" spans="1:18" x14ac:dyDescent="0.2">
      <c r="A15" s="478"/>
      <c r="B15" s="398"/>
      <c r="C15" s="488"/>
      <c r="D15" s="488"/>
      <c r="E15" s="497"/>
      <c r="F15" s="497"/>
      <c r="G15" s="497"/>
      <c r="H15" s="497"/>
      <c r="I15" s="497"/>
      <c r="J15" s="497"/>
      <c r="K15" s="497"/>
      <c r="L15" s="497"/>
      <c r="M15" s="497"/>
      <c r="N15" s="497"/>
      <c r="O15" s="497"/>
      <c r="P15" s="497"/>
      <c r="Q15" s="497"/>
      <c r="R15" s="497"/>
    </row>
    <row r="16" spans="1:18" ht="14.65" customHeight="1" x14ac:dyDescent="0.2">
      <c r="A16" s="478"/>
      <c r="B16" s="398"/>
      <c r="C16" s="488"/>
      <c r="D16" s="488"/>
      <c r="E16" s="497"/>
      <c r="F16" s="497"/>
      <c r="G16" s="497"/>
      <c r="H16" s="497"/>
      <c r="I16" s="497"/>
      <c r="J16" s="497"/>
      <c r="K16" s="497"/>
      <c r="L16" s="497"/>
      <c r="M16" s="497"/>
      <c r="N16" s="497"/>
      <c r="O16" s="497"/>
      <c r="P16" s="497"/>
      <c r="Q16" s="497"/>
      <c r="R16" s="497"/>
    </row>
    <row r="17" spans="1:18" ht="16.5" thickBot="1" x14ac:dyDescent="0.3">
      <c r="A17" s="478"/>
      <c r="B17" s="480" t="s">
        <v>618</v>
      </c>
      <c r="C17" s="381"/>
      <c r="D17" s="381"/>
      <c r="E17" s="423"/>
      <c r="F17" s="423"/>
      <c r="G17" s="423"/>
      <c r="H17" s="423"/>
      <c r="I17" s="423"/>
      <c r="J17" s="423"/>
      <c r="K17" s="423"/>
      <c r="L17" s="423"/>
      <c r="M17" s="423"/>
      <c r="N17" s="423"/>
      <c r="O17" s="423"/>
      <c r="P17" s="423"/>
      <c r="Q17" s="423"/>
      <c r="R17" s="423"/>
    </row>
    <row r="18" spans="1:18" ht="15" customHeight="1" thickBot="1" x14ac:dyDescent="0.25">
      <c r="A18" s="478"/>
      <c r="B18" s="398"/>
      <c r="C18" s="381"/>
      <c r="D18" s="381"/>
      <c r="E18" s="653" t="s">
        <v>46</v>
      </c>
      <c r="F18" s="654"/>
      <c r="G18" s="654"/>
      <c r="H18" s="654"/>
      <c r="I18" s="655"/>
      <c r="J18" s="653" t="s">
        <v>577</v>
      </c>
      <c r="K18" s="655"/>
      <c r="L18" s="653" t="s">
        <v>578</v>
      </c>
      <c r="M18" s="654"/>
      <c r="N18" s="654"/>
      <c r="O18" s="654"/>
      <c r="P18" s="655"/>
      <c r="Q18" s="651" t="s">
        <v>615</v>
      </c>
      <c r="R18" s="498"/>
    </row>
    <row r="19" spans="1:18" ht="15.75" x14ac:dyDescent="0.2">
      <c r="A19" s="478"/>
      <c r="B19" s="398"/>
      <c r="C19" s="482" t="s">
        <v>616</v>
      </c>
      <c r="D19" s="482"/>
      <c r="E19" s="499" t="s">
        <v>581</v>
      </c>
      <c r="F19" s="500" t="s">
        <v>582</v>
      </c>
      <c r="G19" s="500" t="s">
        <v>583</v>
      </c>
      <c r="H19" s="500" t="s">
        <v>584</v>
      </c>
      <c r="I19" s="500" t="s">
        <v>585</v>
      </c>
      <c r="J19" s="501" t="str">
        <f t="shared" ref="J19:P19" si="3">J4</f>
        <v>CA</v>
      </c>
      <c r="K19" s="501" t="str">
        <f t="shared" si="3"/>
        <v>CA+1</v>
      </c>
      <c r="L19" s="501" t="str">
        <f t="shared" si="3"/>
        <v>Year 1</v>
      </c>
      <c r="M19" s="501" t="str">
        <f t="shared" si="3"/>
        <v>Year 2</v>
      </c>
      <c r="N19" s="501" t="str">
        <f t="shared" si="3"/>
        <v>Year 3</v>
      </c>
      <c r="O19" s="501" t="str">
        <f t="shared" si="3"/>
        <v>Year 4</v>
      </c>
      <c r="P19" s="501" t="str">
        <f t="shared" si="3"/>
        <v>Year 5</v>
      </c>
      <c r="Q19" s="652"/>
      <c r="R19" s="502"/>
    </row>
    <row r="20" spans="1:18" ht="15" customHeight="1" x14ac:dyDescent="0.2">
      <c r="A20" s="478"/>
      <c r="B20" s="398"/>
      <c r="C20" s="478"/>
      <c r="D20" s="478"/>
      <c r="E20" s="656" t="s">
        <v>619</v>
      </c>
      <c r="F20" s="657"/>
      <c r="G20" s="657"/>
      <c r="H20" s="657"/>
      <c r="I20" s="657"/>
      <c r="J20" s="657"/>
      <c r="K20" s="657"/>
      <c r="L20" s="657"/>
      <c r="M20" s="657"/>
      <c r="N20" s="657"/>
      <c r="O20" s="657"/>
      <c r="P20" s="657"/>
      <c r="Q20" s="658"/>
      <c r="R20" s="497"/>
    </row>
    <row r="21" spans="1:18" x14ac:dyDescent="0.2">
      <c r="A21" s="478"/>
      <c r="B21" s="398"/>
      <c r="C21" s="488" t="s">
        <v>241</v>
      </c>
      <c r="D21" s="488"/>
      <c r="E21" s="408">
        <f>'Historical opex'!H29/1000</f>
        <v>4115</v>
      </c>
      <c r="F21" s="408">
        <f>'Historical opex'!I29/1000</f>
        <v>4155</v>
      </c>
      <c r="G21" s="408">
        <f>'Historical opex'!J29/1000</f>
        <v>5633</v>
      </c>
      <c r="H21" s="408">
        <f>'Historical opex'!K29/1000</f>
        <v>4251</v>
      </c>
      <c r="I21" s="408">
        <f>'Historical opex'!L29/1000</f>
        <v>4797</v>
      </c>
      <c r="J21" s="408">
        <f>'Opex summary'!M35/1000</f>
        <v>3950.9434999999999</v>
      </c>
      <c r="K21" s="408">
        <f>'Opex summary'!N35/1000</f>
        <v>4746.5444157406391</v>
      </c>
      <c r="L21" s="408">
        <f>'Opex summary'!O35/1000</f>
        <v>4756.5739635536156</v>
      </c>
      <c r="M21" s="408">
        <f>'Opex summary'!P35/1000</f>
        <v>4784.9870139170716</v>
      </c>
      <c r="N21" s="408">
        <f>'Opex summary'!Q35/1000</f>
        <v>4781.5917791276152</v>
      </c>
      <c r="O21" s="408">
        <f>'Opex summary'!R35/1000</f>
        <v>4801.6544301383219</v>
      </c>
      <c r="P21" s="408">
        <f>'Opex summary'!S35/1000</f>
        <v>4787.0623837759986</v>
      </c>
      <c r="Q21" s="410">
        <f>SUM(L21:P21)</f>
        <v>23911.869570512623</v>
      </c>
      <c r="R21" s="488"/>
    </row>
    <row r="22" spans="1:18" x14ac:dyDescent="0.2">
      <c r="A22" s="478"/>
      <c r="B22" s="398"/>
      <c r="C22" s="488" t="s">
        <v>243</v>
      </c>
      <c r="D22" s="488"/>
      <c r="E22" s="408">
        <f>'Historical opex'!H30/1000</f>
        <v>3619</v>
      </c>
      <c r="F22" s="408">
        <f>'Historical opex'!I30/1000</f>
        <v>5247</v>
      </c>
      <c r="G22" s="408">
        <f>'Historical opex'!J30/1000</f>
        <v>3699</v>
      </c>
      <c r="H22" s="408">
        <f>'Historical opex'!K30/1000</f>
        <v>5517</v>
      </c>
      <c r="I22" s="408">
        <f>'Historical opex'!L30/1000</f>
        <v>5664</v>
      </c>
      <c r="J22" s="408">
        <f>'Opex summary'!M36/1000</f>
        <v>5579.5090609341451</v>
      </c>
      <c r="K22" s="408">
        <f>'Opex summary'!N36/1000</f>
        <v>4074.967732832622</v>
      </c>
      <c r="L22" s="408">
        <f>'Opex summary'!O36/1000</f>
        <v>4209.8902928499538</v>
      </c>
      <c r="M22" s="408">
        <f>'Opex summary'!P36/1000</f>
        <v>3962.3584991510024</v>
      </c>
      <c r="N22" s="408">
        <f>'Opex summary'!Q36/1000</f>
        <v>2952.9010354271327</v>
      </c>
      <c r="O22" s="408">
        <f>'Opex summary'!R36/1000</f>
        <v>2951.9491581603274</v>
      </c>
      <c r="P22" s="408">
        <f>'Opex summary'!S36/1000</f>
        <v>2930.863107392152</v>
      </c>
      <c r="Q22" s="410">
        <f>SUM(L22:P22)</f>
        <v>17007.962092980568</v>
      </c>
      <c r="R22" s="488"/>
    </row>
    <row r="23" spans="1:18" x14ac:dyDescent="0.2">
      <c r="A23" s="478"/>
      <c r="B23" s="398"/>
      <c r="C23" s="488" t="s">
        <v>244</v>
      </c>
      <c r="D23" s="488"/>
      <c r="E23" s="408">
        <f>'Historical opex'!H31/1000</f>
        <v>4039</v>
      </c>
      <c r="F23" s="408">
        <f>'Historical opex'!I31/1000</f>
        <v>5104</v>
      </c>
      <c r="G23" s="408">
        <f>'Historical opex'!J31/1000</f>
        <v>6430</v>
      </c>
      <c r="H23" s="408">
        <f>'Historical opex'!K31/1000</f>
        <v>5783</v>
      </c>
      <c r="I23" s="408">
        <f>'Historical opex'!L31/1000</f>
        <v>5935</v>
      </c>
      <c r="J23" s="408">
        <f>'Opex summary'!M37/1000</f>
        <v>7575.6009999999997</v>
      </c>
      <c r="K23" s="408">
        <f>'Opex summary'!N37/1000</f>
        <v>8952.5399195158825</v>
      </c>
      <c r="L23" s="408">
        <f>'Opex summary'!O37/1000</f>
        <v>10441.311745797277</v>
      </c>
      <c r="M23" s="408">
        <f>'Opex summary'!P37/1000</f>
        <v>10015.112805274286</v>
      </c>
      <c r="N23" s="408">
        <f>'Opex summary'!Q37/1000</f>
        <v>10268.846211936279</v>
      </c>
      <c r="O23" s="408">
        <f>'Opex summary'!R37/1000</f>
        <v>9424.5170285123149</v>
      </c>
      <c r="P23" s="408">
        <f>'Opex summary'!S37/1000</f>
        <v>9584.9034719508527</v>
      </c>
      <c r="Q23" s="410">
        <f>SUM(L23:P23)</f>
        <v>49734.691263471017</v>
      </c>
      <c r="R23" s="488"/>
    </row>
    <row r="24" spans="1:18" x14ac:dyDescent="0.2">
      <c r="A24" s="478"/>
      <c r="B24" s="398"/>
      <c r="C24" s="488" t="s">
        <v>100</v>
      </c>
      <c r="D24" s="488"/>
      <c r="E24" s="408">
        <f>'Historical opex'!H32/1000</f>
        <v>582</v>
      </c>
      <c r="F24" s="408">
        <f>'Historical opex'!I32/1000</f>
        <v>894</v>
      </c>
      <c r="G24" s="408">
        <f>'Historical opex'!J32/1000</f>
        <v>279</v>
      </c>
      <c r="H24" s="408">
        <f>'Historical opex'!K32/1000</f>
        <v>636</v>
      </c>
      <c r="I24" s="408">
        <f>'Historical opex'!L32/1000</f>
        <v>352</v>
      </c>
      <c r="J24" s="408">
        <f>'Opex summary'!M38/1000</f>
        <v>0</v>
      </c>
      <c r="K24" s="408">
        <f>'Opex summary'!N38/1000</f>
        <v>0</v>
      </c>
      <c r="L24" s="408">
        <f>'Opex summary'!O38/1000</f>
        <v>0</v>
      </c>
      <c r="M24" s="408">
        <f>'Opex summary'!P38/1000</f>
        <v>0</v>
      </c>
      <c r="N24" s="408">
        <f>'Opex summary'!Q38/1000</f>
        <v>0</v>
      </c>
      <c r="O24" s="408">
        <f>'Opex summary'!R38/1000</f>
        <v>0</v>
      </c>
      <c r="P24" s="408">
        <f>'Opex summary'!S38/1000</f>
        <v>0</v>
      </c>
      <c r="Q24" s="410">
        <f>SUM(L24:P24)</f>
        <v>0</v>
      </c>
      <c r="R24" s="488"/>
    </row>
    <row r="25" spans="1:18" s="494" customFormat="1" ht="15" x14ac:dyDescent="0.25">
      <c r="A25" s="489"/>
      <c r="B25" s="490"/>
      <c r="C25" s="491" t="s">
        <v>245</v>
      </c>
      <c r="D25" s="491"/>
      <c r="E25" s="492">
        <f t="shared" ref="E25:P25" si="4">SUM(E21:E24)</f>
        <v>12355</v>
      </c>
      <c r="F25" s="492">
        <f t="shared" si="4"/>
        <v>15400</v>
      </c>
      <c r="G25" s="492">
        <f t="shared" si="4"/>
        <v>16041</v>
      </c>
      <c r="H25" s="492">
        <f t="shared" si="4"/>
        <v>16187</v>
      </c>
      <c r="I25" s="492">
        <f t="shared" si="4"/>
        <v>16748</v>
      </c>
      <c r="J25" s="492">
        <f t="shared" si="4"/>
        <v>17106.053560934146</v>
      </c>
      <c r="K25" s="492">
        <f t="shared" si="4"/>
        <v>17774.052068089142</v>
      </c>
      <c r="L25" s="492">
        <f t="shared" si="4"/>
        <v>19407.776002200844</v>
      </c>
      <c r="M25" s="492">
        <f t="shared" si="4"/>
        <v>18762.45831834236</v>
      </c>
      <c r="N25" s="492">
        <f t="shared" si="4"/>
        <v>18003.339026491027</v>
      </c>
      <c r="O25" s="492">
        <f t="shared" si="4"/>
        <v>17178.120616810964</v>
      </c>
      <c r="P25" s="492">
        <f t="shared" si="4"/>
        <v>17302.828963119005</v>
      </c>
      <c r="Q25" s="492">
        <f>SUM(Q21:Q24)</f>
        <v>90654.522926964215</v>
      </c>
      <c r="R25" s="493"/>
    </row>
    <row r="26" spans="1:18" ht="14.65" customHeight="1" x14ac:dyDescent="0.2">
      <c r="A26" s="478"/>
      <c r="B26" s="398"/>
      <c r="C26" s="488" t="s">
        <v>246</v>
      </c>
      <c r="D26" s="488"/>
      <c r="E26" s="503">
        <f>'Historical opex'!H35/1000</f>
        <v>3857</v>
      </c>
      <c r="F26" s="503">
        <f>'Historical opex'!I35/1000</f>
        <v>3743</v>
      </c>
      <c r="G26" s="503">
        <f>'Historical opex'!J35/1000</f>
        <v>3867</v>
      </c>
      <c r="H26" s="503">
        <f>'Historical opex'!K35/1000</f>
        <v>10682.562666085292</v>
      </c>
      <c r="I26" s="503">
        <f>'Historical opex'!L35/1000</f>
        <v>12832.879606321838</v>
      </c>
      <c r="J26" s="408">
        <f>'Opex summary'!M41/1000</f>
        <v>15037.20362722065</v>
      </c>
      <c r="K26" s="408">
        <f>'Opex summary'!N41/1000</f>
        <v>15972.139048512052</v>
      </c>
      <c r="L26" s="408">
        <f>'Opex summary'!O41/1000</f>
        <v>11430.567257698414</v>
      </c>
      <c r="M26" s="408">
        <f>'Opex summary'!P41/1000</f>
        <v>13132.992437478419</v>
      </c>
      <c r="N26" s="408">
        <f>'Opex summary'!Q41/1000</f>
        <v>11958.143888746528</v>
      </c>
      <c r="O26" s="408">
        <f>'Opex summary'!R41/1000</f>
        <v>11797.958922470276</v>
      </c>
      <c r="P26" s="408">
        <f>'Opex summary'!S41/1000</f>
        <v>11606.690420728895</v>
      </c>
      <c r="Q26" s="410">
        <f>SUM(L26:P26)</f>
        <v>59926.352927122534</v>
      </c>
      <c r="R26" s="488"/>
    </row>
    <row r="27" spans="1:18" x14ac:dyDescent="0.2">
      <c r="A27" s="478"/>
      <c r="B27" s="398"/>
      <c r="C27" s="488" t="s">
        <v>497</v>
      </c>
      <c r="D27" s="488"/>
      <c r="E27" s="503">
        <f>'Historical opex'!H36/1000</f>
        <v>5569.1225926137922</v>
      </c>
      <c r="F27" s="503">
        <f>'Historical opex'!I36/1000</f>
        <v>6017.6326600000002</v>
      </c>
      <c r="G27" s="503">
        <f>'Historical opex'!J36/1000</f>
        <v>7544.8145324999996</v>
      </c>
      <c r="H27" s="503">
        <f>'Historical opex'!K36/1000</f>
        <v>9407.1484289147083</v>
      </c>
      <c r="I27" s="503">
        <f>'Historical opex'!L36/1000</f>
        <v>13166.537431178162</v>
      </c>
      <c r="J27" s="408">
        <f>'Opex summary'!M42/1000</f>
        <v>15095.413912937853</v>
      </c>
      <c r="K27" s="408">
        <f>'Opex summary'!N42/1000</f>
        <v>14799.267432969997</v>
      </c>
      <c r="L27" s="408">
        <f>'Opex summary'!O42/1000</f>
        <v>12193.081971134792</v>
      </c>
      <c r="M27" s="408">
        <f>'Opex summary'!P42/1000</f>
        <v>13387.160684956058</v>
      </c>
      <c r="N27" s="408">
        <f>'Opex summary'!Q42/1000</f>
        <v>12909.493327657376</v>
      </c>
      <c r="O27" s="408">
        <f>'Opex summary'!R42/1000</f>
        <v>12812.838428646033</v>
      </c>
      <c r="P27" s="408">
        <f>'Opex summary'!S42/1000</f>
        <v>13043.085299960709</v>
      </c>
      <c r="Q27" s="410">
        <f>SUM(L27:P27)</f>
        <v>64345.659712354965</v>
      </c>
      <c r="R27" s="488"/>
    </row>
    <row r="28" spans="1:18" s="494" customFormat="1" ht="15.75" thickBot="1" x14ac:dyDescent="0.3">
      <c r="A28" s="489"/>
      <c r="B28" s="504"/>
      <c r="C28" s="491" t="s">
        <v>247</v>
      </c>
      <c r="D28" s="491"/>
      <c r="E28" s="492">
        <f t="shared" ref="E28:P28" si="5">SUM(E26:E27)</f>
        <v>9426.1225926137922</v>
      </c>
      <c r="F28" s="492">
        <f t="shared" si="5"/>
        <v>9760.6326599999993</v>
      </c>
      <c r="G28" s="492">
        <f t="shared" si="5"/>
        <v>11411.8145325</v>
      </c>
      <c r="H28" s="492">
        <f t="shared" si="5"/>
        <v>20089.711094999999</v>
      </c>
      <c r="I28" s="492">
        <f t="shared" si="5"/>
        <v>25999.417037499999</v>
      </c>
      <c r="J28" s="492">
        <f t="shared" si="5"/>
        <v>30132.617540158502</v>
      </c>
      <c r="K28" s="492">
        <f t="shared" si="5"/>
        <v>30771.406481482049</v>
      </c>
      <c r="L28" s="492">
        <f t="shared" si="5"/>
        <v>23623.649228833208</v>
      </c>
      <c r="M28" s="492">
        <f t="shared" si="5"/>
        <v>26520.153122434476</v>
      </c>
      <c r="N28" s="492">
        <f t="shared" si="5"/>
        <v>24867.637216403906</v>
      </c>
      <c r="O28" s="492">
        <f t="shared" si="5"/>
        <v>24610.797351116307</v>
      </c>
      <c r="P28" s="492">
        <f t="shared" si="5"/>
        <v>24649.775720689606</v>
      </c>
      <c r="Q28" s="492">
        <f>SUM(Q26:Q27)</f>
        <v>124272.0126394775</v>
      </c>
      <c r="R28" s="493"/>
    </row>
    <row r="29" spans="1:18" s="494" customFormat="1" ht="15.75" thickBot="1" x14ac:dyDescent="0.3">
      <c r="A29" s="489"/>
      <c r="B29" s="504"/>
      <c r="C29" s="495" t="s">
        <v>248</v>
      </c>
      <c r="D29" s="495"/>
      <c r="E29" s="505">
        <f t="shared" ref="E29:P29" si="6">E25+E28</f>
        <v>21781.122592613792</v>
      </c>
      <c r="F29" s="506">
        <f t="shared" si="6"/>
        <v>25160.632659999999</v>
      </c>
      <c r="G29" s="506">
        <f t="shared" si="6"/>
        <v>27452.8145325</v>
      </c>
      <c r="H29" s="506">
        <f t="shared" si="6"/>
        <v>36276.711094999999</v>
      </c>
      <c r="I29" s="506">
        <f t="shared" si="6"/>
        <v>42747.417037499996</v>
      </c>
      <c r="J29" s="506">
        <f t="shared" si="6"/>
        <v>47238.671101092652</v>
      </c>
      <c r="K29" s="506">
        <f t="shared" si="6"/>
        <v>48545.458549571194</v>
      </c>
      <c r="L29" s="506">
        <f t="shared" si="6"/>
        <v>43031.425231034053</v>
      </c>
      <c r="M29" s="506">
        <f t="shared" si="6"/>
        <v>45282.611440776833</v>
      </c>
      <c r="N29" s="506">
        <f t="shared" si="6"/>
        <v>42870.976242894933</v>
      </c>
      <c r="O29" s="506">
        <f t="shared" si="6"/>
        <v>41788.917967927271</v>
      </c>
      <c r="P29" s="506">
        <f t="shared" si="6"/>
        <v>41952.604683808611</v>
      </c>
      <c r="Q29" s="496">
        <f>Q25+Q28</f>
        <v>214926.53556644171</v>
      </c>
      <c r="R29" s="493"/>
    </row>
    <row r="30" spans="1:18" x14ac:dyDescent="0.2">
      <c r="A30" s="478"/>
      <c r="B30" s="488"/>
      <c r="C30" s="507" t="s">
        <v>503</v>
      </c>
      <c r="D30" s="507"/>
      <c r="E30" s="497"/>
      <c r="F30" s="497"/>
      <c r="G30" s="497"/>
      <c r="H30" s="497"/>
      <c r="I30" s="497"/>
      <c r="J30" s="497"/>
      <c r="K30" s="497"/>
      <c r="L30" s="497"/>
      <c r="M30" s="497"/>
      <c r="N30" s="497"/>
      <c r="O30" s="497"/>
      <c r="P30" s="497"/>
      <c r="Q30" s="497"/>
      <c r="R30" s="497"/>
    </row>
    <row r="31" spans="1:18" ht="15.75" x14ac:dyDescent="0.25">
      <c r="A31" s="478"/>
      <c r="B31" s="508" t="s">
        <v>620</v>
      </c>
      <c r="C31" s="508"/>
      <c r="D31" s="508"/>
      <c r="E31" s="509"/>
      <c r="F31" s="423"/>
      <c r="G31" s="423"/>
      <c r="H31" s="423"/>
      <c r="I31" s="423"/>
      <c r="J31" s="423"/>
      <c r="K31" s="509"/>
      <c r="L31" s="509"/>
      <c r="M31" s="509"/>
      <c r="N31" s="509"/>
      <c r="O31" s="509"/>
      <c r="P31" s="509"/>
      <c r="Q31" s="509"/>
      <c r="R31" s="509"/>
    </row>
    <row r="32" spans="1:18" x14ac:dyDescent="0.2">
      <c r="A32" s="478"/>
      <c r="B32" s="398"/>
      <c r="C32" s="507" t="s">
        <v>605</v>
      </c>
      <c r="D32" s="507"/>
      <c r="E32" s="510"/>
      <c r="F32" s="510"/>
      <c r="G32" s="510"/>
      <c r="H32" s="510"/>
      <c r="I32" s="510"/>
      <c r="J32" s="510"/>
      <c r="K32" s="510"/>
      <c r="L32" s="510"/>
      <c r="M32" s="510"/>
      <c r="N32" s="510"/>
      <c r="O32" s="510"/>
      <c r="P32" s="510"/>
      <c r="Q32" s="510">
        <f>SUM(L32:P32)</f>
        <v>0</v>
      </c>
      <c r="R32" s="381"/>
    </row>
    <row r="33" spans="1:18" ht="17.100000000000001" customHeight="1" x14ac:dyDescent="0.2">
      <c r="A33" s="478"/>
      <c r="B33" s="398"/>
      <c r="C33" s="507" t="s">
        <v>606</v>
      </c>
      <c r="D33" s="507"/>
      <c r="E33" s="511">
        <v>20533</v>
      </c>
      <c r="F33" s="511">
        <v>23931</v>
      </c>
      <c r="G33" s="511">
        <v>24923</v>
      </c>
      <c r="H33" s="511">
        <v>18799</v>
      </c>
      <c r="I33" s="511">
        <v>17850.916290000001</v>
      </c>
      <c r="J33" s="511">
        <v>14810.064060934144</v>
      </c>
      <c r="K33" s="511">
        <v>15127.167265302282</v>
      </c>
      <c r="L33" s="511">
        <v>16262.329658638842</v>
      </c>
      <c r="M33" s="511">
        <v>14851.546590597784</v>
      </c>
      <c r="N33" s="511">
        <v>14026.419169886798</v>
      </c>
      <c r="O33" s="511">
        <v>228.39802920481353</v>
      </c>
      <c r="P33" s="511">
        <v>233.76627598808528</v>
      </c>
      <c r="Q33" s="510">
        <f t="shared" ref="Q33:Q35" si="7">SUM(L33:P33)</f>
        <v>45602.459724316323</v>
      </c>
      <c r="R33" s="381"/>
    </row>
    <row r="34" spans="1:18" ht="17.100000000000001" customHeight="1" x14ac:dyDescent="0.2">
      <c r="A34" s="478"/>
      <c r="B34" s="398"/>
      <c r="C34" s="507" t="s">
        <v>621</v>
      </c>
      <c r="D34" s="507"/>
      <c r="E34" s="510">
        <f t="shared" ref="E34:P34" si="8">E29-E33</f>
        <v>1248.1225926137922</v>
      </c>
      <c r="F34" s="510">
        <f t="shared" si="8"/>
        <v>1229.6326599999993</v>
      </c>
      <c r="G34" s="510">
        <f t="shared" si="8"/>
        <v>2529.8145325000005</v>
      </c>
      <c r="H34" s="510">
        <f t="shared" si="8"/>
        <v>17477.711094999999</v>
      </c>
      <c r="I34" s="510">
        <f t="shared" si="8"/>
        <v>24896.500747499995</v>
      </c>
      <c r="J34" s="510">
        <f t="shared" si="8"/>
        <v>32428.607040158509</v>
      </c>
      <c r="K34" s="510">
        <f t="shared" si="8"/>
        <v>33418.291284268911</v>
      </c>
      <c r="L34" s="408">
        <f t="shared" si="8"/>
        <v>26769.09557239521</v>
      </c>
      <c r="M34" s="510">
        <f t="shared" si="8"/>
        <v>30431.064850179049</v>
      </c>
      <c r="N34" s="510">
        <f t="shared" si="8"/>
        <v>28844.557073008134</v>
      </c>
      <c r="O34" s="510">
        <f t="shared" si="8"/>
        <v>41560.519938722457</v>
      </c>
      <c r="P34" s="510">
        <f t="shared" si="8"/>
        <v>41718.838407820527</v>
      </c>
      <c r="Q34" s="510">
        <f t="shared" si="7"/>
        <v>169324.0758421254</v>
      </c>
      <c r="R34" s="381"/>
    </row>
    <row r="35" spans="1:18" x14ac:dyDescent="0.2">
      <c r="A35" s="478"/>
      <c r="B35" s="398"/>
      <c r="C35" s="507" t="s">
        <v>608</v>
      </c>
      <c r="D35" s="507"/>
      <c r="E35" s="510"/>
      <c r="F35" s="510"/>
      <c r="G35" s="510"/>
      <c r="H35" s="510"/>
      <c r="I35" s="510"/>
      <c r="J35" s="510"/>
      <c r="K35" s="510"/>
      <c r="L35" s="510"/>
      <c r="M35" s="510"/>
      <c r="N35" s="510"/>
      <c r="O35" s="510"/>
      <c r="P35" s="510"/>
      <c r="Q35" s="510">
        <f t="shared" si="7"/>
        <v>0</v>
      </c>
      <c r="R35" s="381"/>
    </row>
    <row r="36" spans="1:18" x14ac:dyDescent="0.2">
      <c r="A36" s="478"/>
      <c r="B36" s="512"/>
      <c r="C36" s="512"/>
      <c r="D36" s="512"/>
      <c r="E36" s="381"/>
      <c r="F36" s="381"/>
      <c r="G36" s="381"/>
      <c r="H36" s="381"/>
      <c r="I36" s="381"/>
      <c r="J36" s="381"/>
      <c r="K36" s="381"/>
      <c r="L36" s="381"/>
      <c r="M36" s="381"/>
      <c r="N36" s="381"/>
      <c r="O36" s="381"/>
      <c r="P36" s="381"/>
      <c r="Q36" s="381"/>
      <c r="R36" s="381"/>
    </row>
    <row r="38" spans="1:18" x14ac:dyDescent="0.2">
      <c r="C38" s="391" t="s">
        <v>622</v>
      </c>
      <c r="E38" s="393">
        <f>E14-'Historical opex'!H25/1000</f>
        <v>0</v>
      </c>
      <c r="F38" s="393">
        <f>F14-'Historical opex'!I25/1000</f>
        <v>0</v>
      </c>
      <c r="G38" s="393">
        <f>G14-'Historical opex'!J25/1000</f>
        <v>0</v>
      </c>
      <c r="H38" s="393">
        <f>H14-'Historical opex'!K25/1000</f>
        <v>0</v>
      </c>
      <c r="I38" s="393">
        <f>I14-'Historical opex'!L25/1000</f>
        <v>0</v>
      </c>
      <c r="J38" s="393">
        <f>J14-'Opex summary'!M29/1000</f>
        <v>0</v>
      </c>
      <c r="K38" s="393">
        <f>K14-'Opex summary'!N29/1000</f>
        <v>0</v>
      </c>
      <c r="L38" s="393">
        <f>L14-'Opex summary'!O29/1000</f>
        <v>0</v>
      </c>
      <c r="M38" s="393">
        <f>M14-'Opex summary'!P29/1000</f>
        <v>0</v>
      </c>
      <c r="N38" s="393">
        <f>N14-'Opex summary'!Q29/1000</f>
        <v>0</v>
      </c>
      <c r="O38" s="393">
        <f>O14-'Opex summary'!R29/1000</f>
        <v>0</v>
      </c>
      <c r="P38" s="393">
        <f>P14-'Opex summary'!S29/1000</f>
        <v>0</v>
      </c>
      <c r="Q38" s="393"/>
    </row>
    <row r="39" spans="1:18" x14ac:dyDescent="0.2">
      <c r="C39" s="391" t="s">
        <v>623</v>
      </c>
      <c r="E39" s="393">
        <f>E29-'Historical opex'!H39/1000</f>
        <v>0</v>
      </c>
      <c r="F39" s="393">
        <f>F29-'Historical opex'!I39/1000</f>
        <v>0</v>
      </c>
      <c r="G39" s="393">
        <f>G29-'Historical opex'!J39/1000</f>
        <v>0</v>
      </c>
      <c r="H39" s="393">
        <f>H29-'Historical opex'!K39/1000</f>
        <v>0</v>
      </c>
      <c r="I39" s="393">
        <f>I29-'Historical opex'!L39/1000</f>
        <v>0</v>
      </c>
      <c r="J39" s="393">
        <f>J29-'Opex summary'!M45/1000</f>
        <v>0</v>
      </c>
      <c r="K39" s="393">
        <f>K29-'Opex summary'!N45/1000</f>
        <v>0</v>
      </c>
      <c r="L39" s="393">
        <f>L29-'Opex summary'!O45/1000</f>
        <v>0</v>
      </c>
      <c r="M39" s="393">
        <f>M29-'Opex summary'!P45/1000</f>
        <v>0</v>
      </c>
      <c r="N39" s="393">
        <f>N29-'Opex summary'!Q45/1000</f>
        <v>0</v>
      </c>
      <c r="O39" s="393">
        <f>O29-'Opex summary'!R45/1000</f>
        <v>0</v>
      </c>
      <c r="P39" s="393">
        <f>P29-'Opex summary'!S45/1000</f>
        <v>0</v>
      </c>
      <c r="Q39" s="393"/>
    </row>
    <row r="40" spans="1:18" x14ac:dyDescent="0.2">
      <c r="C40" s="391"/>
      <c r="E40" s="393"/>
      <c r="F40" s="393"/>
      <c r="G40" s="393"/>
      <c r="H40" s="393"/>
      <c r="I40" s="393"/>
      <c r="J40" s="393"/>
      <c r="K40" s="393"/>
      <c r="L40" s="393"/>
      <c r="M40" s="393"/>
      <c r="N40" s="393"/>
      <c r="O40" s="393"/>
      <c r="P40" s="393"/>
      <c r="Q40" s="393"/>
    </row>
    <row r="54" ht="14.65" customHeight="1" x14ac:dyDescent="0.2"/>
    <row r="64" ht="14.65" customHeight="1" x14ac:dyDescent="0.2"/>
    <row r="69" ht="14.65" customHeight="1" x14ac:dyDescent="0.2"/>
  </sheetData>
  <sheetProtection algorithmName="SHA-512" hashValue="3lgvH2PqbG7klegCfG7h+R8W1w0wXIO8VY3HibtC3ZBUXlhVakxAnLX8FHPrJCQLF0FXty2/Cg7aQLES+ED5rw==" saltValue="ui+u2UydDIZBl9gv5rWYFg==" spinCount="100000" sheet="1" objects="1" scenarios="1"/>
  <mergeCells count="10">
    <mergeCell ref="Q3:Q4"/>
    <mergeCell ref="Q18:Q19"/>
    <mergeCell ref="E18:I18"/>
    <mergeCell ref="E20:Q20"/>
    <mergeCell ref="E5:Q5"/>
    <mergeCell ref="E3:I3"/>
    <mergeCell ref="J3:K3"/>
    <mergeCell ref="L3:P3"/>
    <mergeCell ref="J18:K18"/>
    <mergeCell ref="L18:P18"/>
  </mergeCells>
  <conditionalFormatting sqref="E38:Q40">
    <cfRule type="cellIs" dxfId="21" priority="1" stopIfTrue="1" operator="equal">
      <formula>0</formula>
    </cfRule>
    <cfRule type="cellIs" dxfId="20" priority="2" stopIfTrue="1" operator="notEqual">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&amp;A</oddFooter>
  </headerFooter>
  <colBreaks count="1" manualBreakCount="1">
    <brk id="18" max="36"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Z138"/>
  <sheetViews>
    <sheetView showGridLines="0" zoomScale="80" zoomScaleNormal="80" workbookViewId="0">
      <pane xSplit="6" ySplit="9" topLeftCell="G10" activePane="bottomRight" state="frozen"/>
      <selection pane="topRight" activeCell="B116" sqref="B116"/>
      <selection pane="bottomLeft" activeCell="B116" sqref="B116"/>
      <selection pane="bottomRight" activeCell="G10" sqref="G10"/>
    </sheetView>
  </sheetViews>
  <sheetFormatPr defaultColWidth="0" defaultRowHeight="14.25" x14ac:dyDescent="0.2"/>
  <cols>
    <col min="1" max="1" width="2.875" style="372" customWidth="1"/>
    <col min="2" max="2" width="3.25" style="372" customWidth="1"/>
    <col min="3" max="3" width="3" style="372" customWidth="1"/>
    <col min="4" max="4" width="16.625" style="479" customWidth="1"/>
    <col min="5" max="5" width="49.875" style="479" customWidth="1"/>
    <col min="6" max="7" width="2.75" style="372" customWidth="1"/>
    <col min="8" max="20" width="8.625" style="372" customWidth="1"/>
    <col min="21" max="21" width="2.75" style="372" customWidth="1"/>
    <col min="22" max="34" width="8.625" style="372" customWidth="1"/>
    <col min="35" max="35" width="2.75" style="372" customWidth="1"/>
    <col min="36" max="43" width="8.625" style="372" customWidth="1"/>
    <col min="44" max="45" width="2.75" style="372" customWidth="1"/>
    <col min="46" max="51" width="0" style="372" hidden="1" customWidth="1"/>
    <col min="52" max="52" width="0" style="371" hidden="1" customWidth="1"/>
    <col min="53" max="16384" width="8.125" style="372" hidden="1"/>
  </cols>
  <sheetData>
    <row r="1" spans="2:52" s="371" customFormat="1" x14ac:dyDescent="0.2">
      <c r="D1" s="513"/>
      <c r="E1" s="513"/>
    </row>
    <row r="2" spans="2:52" ht="30" customHeight="1" x14ac:dyDescent="0.2">
      <c r="B2" s="488"/>
      <c r="C2" s="514" t="s">
        <v>624</v>
      </c>
      <c r="D2" s="504"/>
      <c r="E2" s="504"/>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row>
    <row r="3" spans="2:52" ht="15" customHeight="1" x14ac:dyDescent="0.2">
      <c r="B3" s="488"/>
      <c r="C3" s="515"/>
      <c r="D3" s="504"/>
      <c r="E3" s="504"/>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row>
    <row r="4" spans="2:52" ht="15" customHeight="1" x14ac:dyDescent="0.2">
      <c r="B4" s="488"/>
      <c r="C4" s="515"/>
      <c r="D4" s="515"/>
      <c r="E4" s="515"/>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row>
    <row r="5" spans="2:52" ht="15" customHeight="1" thickBot="1" x14ac:dyDescent="0.3">
      <c r="B5" s="488"/>
      <c r="C5" s="516" t="s">
        <v>503</v>
      </c>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row>
    <row r="6" spans="2:52" ht="15" customHeight="1" thickBot="1" x14ac:dyDescent="0.3">
      <c r="B6" s="517"/>
      <c r="C6" s="518" t="s">
        <v>503</v>
      </c>
      <c r="D6" s="488" t="s">
        <v>503</v>
      </c>
      <c r="E6" s="488" t="s">
        <v>503</v>
      </c>
      <c r="F6" s="517"/>
      <c r="G6" s="517"/>
      <c r="H6" s="670" t="s">
        <v>625</v>
      </c>
      <c r="I6" s="671"/>
      <c r="J6" s="671"/>
      <c r="K6" s="671"/>
      <c r="L6" s="671"/>
      <c r="M6" s="671"/>
      <c r="N6" s="671"/>
      <c r="O6" s="671"/>
      <c r="P6" s="671"/>
      <c r="Q6" s="671"/>
      <c r="R6" s="671"/>
      <c r="S6" s="671"/>
      <c r="T6" s="672"/>
      <c r="U6" s="519"/>
      <c r="V6" s="673" t="s">
        <v>626</v>
      </c>
      <c r="W6" s="674"/>
      <c r="X6" s="674"/>
      <c r="Y6" s="674"/>
      <c r="Z6" s="674"/>
      <c r="AA6" s="674"/>
      <c r="AB6" s="674"/>
      <c r="AC6" s="674"/>
      <c r="AD6" s="674"/>
      <c r="AE6" s="674"/>
      <c r="AF6" s="674"/>
      <c r="AG6" s="674"/>
      <c r="AH6" s="675"/>
      <c r="AI6" s="520"/>
      <c r="AJ6" s="676" t="s">
        <v>627</v>
      </c>
      <c r="AK6" s="677"/>
      <c r="AL6" s="677"/>
      <c r="AM6" s="677"/>
      <c r="AN6" s="677"/>
      <c r="AO6" s="677"/>
      <c r="AP6" s="677"/>
      <c r="AQ6" s="678"/>
      <c r="AR6" s="517"/>
      <c r="AZ6" s="388"/>
    </row>
    <row r="7" spans="2:52" ht="15" customHeight="1" x14ac:dyDescent="0.2">
      <c r="B7" s="517"/>
      <c r="C7" s="488"/>
      <c r="D7" s="488"/>
      <c r="E7" s="488"/>
      <c r="F7" s="381"/>
      <c r="G7" s="381"/>
      <c r="H7" s="679" t="s">
        <v>46</v>
      </c>
      <c r="I7" s="679"/>
      <c r="J7" s="679"/>
      <c r="K7" s="679"/>
      <c r="L7" s="679"/>
      <c r="M7" s="680" t="s">
        <v>577</v>
      </c>
      <c r="N7" s="681"/>
      <c r="O7" s="679" t="s">
        <v>578</v>
      </c>
      <c r="P7" s="679"/>
      <c r="Q7" s="679"/>
      <c r="R7" s="679"/>
      <c r="S7" s="680"/>
      <c r="T7" s="682" t="s">
        <v>628</v>
      </c>
      <c r="U7" s="379"/>
      <c r="V7" s="669" t="s">
        <v>46</v>
      </c>
      <c r="W7" s="669"/>
      <c r="X7" s="669"/>
      <c r="Y7" s="669"/>
      <c r="Z7" s="669"/>
      <c r="AA7" s="667" t="s">
        <v>577</v>
      </c>
      <c r="AB7" s="668"/>
      <c r="AC7" s="669" t="s">
        <v>578</v>
      </c>
      <c r="AD7" s="669"/>
      <c r="AE7" s="669"/>
      <c r="AF7" s="669"/>
      <c r="AG7" s="669"/>
      <c r="AH7" s="665" t="s">
        <v>628</v>
      </c>
      <c r="AI7" s="521"/>
      <c r="AJ7" s="667" t="s">
        <v>577</v>
      </c>
      <c r="AK7" s="668"/>
      <c r="AL7" s="669" t="s">
        <v>578</v>
      </c>
      <c r="AM7" s="669"/>
      <c r="AN7" s="669"/>
      <c r="AO7" s="669"/>
      <c r="AP7" s="667"/>
      <c r="AQ7" s="665" t="s">
        <v>628</v>
      </c>
      <c r="AR7" s="381"/>
      <c r="AZ7" s="388"/>
    </row>
    <row r="8" spans="2:52" ht="15" customHeight="1" thickBot="1" x14ac:dyDescent="0.3">
      <c r="B8" s="517"/>
      <c r="C8" s="516" t="s">
        <v>503</v>
      </c>
      <c r="D8" s="522" t="s">
        <v>505</v>
      </c>
      <c r="E8" s="523" t="s">
        <v>506</v>
      </c>
      <c r="F8" s="381"/>
      <c r="G8" s="381"/>
      <c r="H8" s="524" t="s">
        <v>581</v>
      </c>
      <c r="I8" s="525" t="s">
        <v>582</v>
      </c>
      <c r="J8" s="525" t="s">
        <v>583</v>
      </c>
      <c r="K8" s="525" t="s">
        <v>584</v>
      </c>
      <c r="L8" s="526" t="s">
        <v>585</v>
      </c>
      <c r="M8" s="527" t="s">
        <v>586</v>
      </c>
      <c r="N8" s="526" t="s">
        <v>587</v>
      </c>
      <c r="O8" s="527" t="s">
        <v>588</v>
      </c>
      <c r="P8" s="525" t="s">
        <v>589</v>
      </c>
      <c r="Q8" s="525" t="s">
        <v>590</v>
      </c>
      <c r="R8" s="525" t="s">
        <v>591</v>
      </c>
      <c r="S8" s="525" t="s">
        <v>592</v>
      </c>
      <c r="T8" s="683"/>
      <c r="U8" s="379"/>
      <c r="V8" s="524" t="s">
        <v>581</v>
      </c>
      <c r="W8" s="525" t="s">
        <v>582</v>
      </c>
      <c r="X8" s="525" t="s">
        <v>583</v>
      </c>
      <c r="Y8" s="525" t="s">
        <v>584</v>
      </c>
      <c r="Z8" s="526" t="s">
        <v>585</v>
      </c>
      <c r="AA8" s="527" t="s">
        <v>586</v>
      </c>
      <c r="AB8" s="526" t="s">
        <v>587</v>
      </c>
      <c r="AC8" s="527" t="s">
        <v>588</v>
      </c>
      <c r="AD8" s="525" t="s">
        <v>589</v>
      </c>
      <c r="AE8" s="525" t="s">
        <v>590</v>
      </c>
      <c r="AF8" s="525" t="s">
        <v>591</v>
      </c>
      <c r="AG8" s="526" t="s">
        <v>592</v>
      </c>
      <c r="AH8" s="666"/>
      <c r="AI8" s="528"/>
      <c r="AJ8" s="527" t="s">
        <v>586</v>
      </c>
      <c r="AK8" s="526" t="s">
        <v>587</v>
      </c>
      <c r="AL8" s="527" t="s">
        <v>588</v>
      </c>
      <c r="AM8" s="525" t="s">
        <v>589</v>
      </c>
      <c r="AN8" s="525" t="s">
        <v>590</v>
      </c>
      <c r="AO8" s="525" t="s">
        <v>591</v>
      </c>
      <c r="AP8" s="525" t="s">
        <v>592</v>
      </c>
      <c r="AQ8" s="666"/>
      <c r="AR8" s="381"/>
      <c r="AZ8" s="388"/>
    </row>
    <row r="9" spans="2:52" ht="15" customHeight="1" x14ac:dyDescent="0.2">
      <c r="B9" s="517"/>
      <c r="C9" s="381"/>
      <c r="D9" s="381"/>
      <c r="E9" s="529"/>
      <c r="F9" s="517"/>
      <c r="G9" s="517"/>
      <c r="H9" s="530"/>
      <c r="I9" s="530"/>
      <c r="J9" s="530"/>
      <c r="K9" s="530"/>
      <c r="L9" s="530"/>
      <c r="M9" s="530"/>
      <c r="N9" s="531"/>
      <c r="O9" s="531"/>
      <c r="P9" s="531"/>
      <c r="Q9" s="531"/>
      <c r="R9" s="531"/>
      <c r="S9" s="531"/>
      <c r="T9" s="531"/>
      <c r="U9" s="532"/>
      <c r="V9" s="530"/>
      <c r="W9" s="530"/>
      <c r="X9" s="530"/>
      <c r="Y9" s="530"/>
      <c r="Z9" s="530"/>
      <c r="AA9" s="530"/>
      <c r="AB9" s="531"/>
      <c r="AC9" s="531"/>
      <c r="AD9" s="531"/>
      <c r="AE9" s="531"/>
      <c r="AF9" s="531"/>
      <c r="AG9" s="531"/>
      <c r="AH9" s="531"/>
      <c r="AI9" s="533"/>
      <c r="AJ9" s="530"/>
      <c r="AK9" s="531"/>
      <c r="AL9" s="531"/>
      <c r="AM9" s="531"/>
      <c r="AN9" s="531"/>
      <c r="AO9" s="531"/>
      <c r="AP9" s="531"/>
      <c r="AQ9" s="531"/>
      <c r="AR9" s="532"/>
      <c r="AZ9" s="388"/>
    </row>
    <row r="10" spans="2:52" ht="15" customHeight="1" x14ac:dyDescent="0.2">
      <c r="B10" s="517"/>
      <c r="C10" s="381"/>
      <c r="D10" s="381"/>
      <c r="E10" s="529"/>
      <c r="F10" s="517"/>
      <c r="G10" s="517"/>
      <c r="H10" s="530"/>
      <c r="I10" s="530"/>
      <c r="J10" s="530"/>
      <c r="K10" s="530"/>
      <c r="L10" s="530"/>
      <c r="M10" s="530"/>
      <c r="N10" s="531"/>
      <c r="O10" s="531"/>
      <c r="P10" s="531"/>
      <c r="Q10" s="531"/>
      <c r="R10" s="531"/>
      <c r="S10" s="531"/>
      <c r="T10" s="531"/>
      <c r="U10" s="532"/>
      <c r="V10" s="530"/>
      <c r="W10" s="530"/>
      <c r="X10" s="530"/>
      <c r="Y10" s="530"/>
      <c r="Z10" s="530"/>
      <c r="AA10" s="530"/>
      <c r="AB10" s="531"/>
      <c r="AC10" s="531"/>
      <c r="AD10" s="531"/>
      <c r="AE10" s="531"/>
      <c r="AF10" s="531"/>
      <c r="AG10" s="531"/>
      <c r="AH10" s="531"/>
      <c r="AI10" s="533"/>
      <c r="AJ10" s="530"/>
      <c r="AK10" s="531"/>
      <c r="AL10" s="531"/>
      <c r="AM10" s="531"/>
      <c r="AN10" s="531"/>
      <c r="AO10" s="531"/>
      <c r="AP10" s="531"/>
      <c r="AQ10" s="531"/>
      <c r="AR10" s="532"/>
      <c r="AZ10" s="388"/>
    </row>
    <row r="11" spans="2:52" ht="15" customHeight="1" x14ac:dyDescent="0.25">
      <c r="B11" s="517"/>
      <c r="C11" s="381"/>
      <c r="D11" s="516" t="s">
        <v>629</v>
      </c>
      <c r="E11" s="534"/>
      <c r="F11" s="381"/>
      <c r="G11" s="381"/>
      <c r="H11" s="535"/>
      <c r="I11" s="536"/>
      <c r="J11" s="536"/>
      <c r="K11" s="536"/>
      <c r="L11" s="536"/>
      <c r="M11" s="536"/>
      <c r="N11" s="536"/>
      <c r="O11" s="536"/>
      <c r="P11" s="536"/>
      <c r="Q11" s="536"/>
      <c r="R11" s="536"/>
      <c r="S11" s="536"/>
      <c r="T11" s="528"/>
      <c r="U11" s="379"/>
      <c r="V11" s="535"/>
      <c r="W11" s="536"/>
      <c r="X11" s="536"/>
      <c r="Y11" s="536"/>
      <c r="Z11" s="536"/>
      <c r="AA11" s="536"/>
      <c r="AB11" s="536"/>
      <c r="AC11" s="536"/>
      <c r="AD11" s="536"/>
      <c r="AE11" s="536"/>
      <c r="AF11" s="536"/>
      <c r="AG11" s="536"/>
      <c r="AH11" s="536"/>
      <c r="AI11" s="528"/>
      <c r="AJ11" s="536"/>
      <c r="AK11" s="536"/>
      <c r="AL11" s="536"/>
      <c r="AM11" s="536"/>
      <c r="AN11" s="536"/>
      <c r="AO11" s="536"/>
      <c r="AP11" s="536"/>
      <c r="AQ11" s="536"/>
      <c r="AR11" s="381"/>
      <c r="AZ11" s="388"/>
    </row>
    <row r="12" spans="2:52" ht="15" customHeight="1" x14ac:dyDescent="0.2">
      <c r="B12" s="517"/>
      <c r="C12" s="488"/>
      <c r="D12" s="488"/>
      <c r="E12" s="537" t="s">
        <v>630</v>
      </c>
      <c r="F12" s="381"/>
      <c r="G12" s="381"/>
      <c r="H12" s="485"/>
      <c r="I12" s="485"/>
      <c r="J12" s="485"/>
      <c r="K12" s="485"/>
      <c r="L12" s="485"/>
      <c r="M12" s="485"/>
      <c r="N12" s="485"/>
      <c r="O12" s="485"/>
      <c r="P12" s="485"/>
      <c r="Q12" s="485"/>
      <c r="R12" s="485"/>
      <c r="S12" s="485"/>
      <c r="T12" s="485"/>
      <c r="U12" s="532"/>
      <c r="V12" s="485"/>
      <c r="W12" s="485"/>
      <c r="X12" s="485"/>
      <c r="Y12" s="485"/>
      <c r="Z12" s="485"/>
      <c r="AA12" s="485"/>
      <c r="AB12" s="485"/>
      <c r="AC12" s="485"/>
      <c r="AD12" s="485"/>
      <c r="AE12" s="485"/>
      <c r="AF12" s="485"/>
      <c r="AG12" s="485"/>
      <c r="AH12" s="485"/>
      <c r="AI12" s="528"/>
      <c r="AJ12" s="488"/>
      <c r="AK12" s="488"/>
      <c r="AL12" s="488"/>
      <c r="AM12" s="488"/>
      <c r="AN12" s="488"/>
      <c r="AO12" s="488"/>
      <c r="AP12" s="488"/>
      <c r="AQ12" s="488"/>
      <c r="AR12" s="381"/>
      <c r="AZ12" s="538"/>
    </row>
    <row r="13" spans="2:52" ht="15" customHeight="1" x14ac:dyDescent="0.2">
      <c r="B13" s="517"/>
      <c r="C13" s="488"/>
      <c r="D13" s="510"/>
      <c r="E13" s="539" t="str">
        <f>'Global inputs'!B149</f>
        <v>10 Consumer connection (net)</v>
      </c>
      <c r="F13" s="381"/>
      <c r="G13" s="381"/>
      <c r="H13" s="511">
        <v>10910.873788320756</v>
      </c>
      <c r="I13" s="511">
        <v>11195.804585386368</v>
      </c>
      <c r="J13" s="511">
        <v>7898.9505412751869</v>
      </c>
      <c r="K13" s="511">
        <v>8776.3984923369444</v>
      </c>
      <c r="L13" s="511">
        <v>18045.314700932031</v>
      </c>
      <c r="M13" s="408">
        <f>(SUMIFS('Forecast capex'!$Q$9:$Q$1940,'Forecast capex'!$J$9:$J$1940,M$123,'Forecast capex'!$F$9:$F$1940,$E13)/1000)</f>
        <v>14351.0935407913</v>
      </c>
      <c r="N13" s="408">
        <f>(SUMIFS('Forecast capex'!$Q$9:$Q$1940,'Forecast capex'!$J$9:$J$1940,N$123,'Forecast capex'!$F$9:$F$1940,$E13)/1000)</f>
        <v>9092.3747373202077</v>
      </c>
      <c r="O13" s="408">
        <f>(SUMIFS('Forecast capex'!$Q$9:$Q$1940,'Forecast capex'!$J$9:$J$1940,O$123,'Forecast capex'!$F$9:$F$1940,$E13)/1000)</f>
        <v>7100.3962504258043</v>
      </c>
      <c r="P13" s="408">
        <f>(SUMIFS('Forecast capex'!$Q$9:$Q$1940,'Forecast capex'!$J$9:$J$1940,P$123,'Forecast capex'!$F$9:$F$1940,$E13)/1000)</f>
        <v>7100.3962504258043</v>
      </c>
      <c r="Q13" s="408">
        <f>(SUMIFS('Forecast capex'!$Q$9:$Q$1940,'Forecast capex'!$J$9:$J$1940,Q$123,'Forecast capex'!$F$9:$F$1940,$E13)/1000)</f>
        <v>9799.695000567739</v>
      </c>
      <c r="R13" s="408">
        <f>(SUMIFS('Forecast capex'!$Q$9:$Q$1940,'Forecast capex'!$J$9:$J$1940,R$123,'Forecast capex'!$F$9:$F$1940,$E13)/1000)</f>
        <v>11291.035875567744</v>
      </c>
      <c r="S13" s="408">
        <f>(SUMIFS('Forecast capex'!$Q$9:$Q$1940,'Forecast capex'!$J$9:$J$1940,S$123,'Forecast capex'!$F$9:$F$1940,$E13)/1000)</f>
        <v>13279.491875</v>
      </c>
      <c r="T13" s="408">
        <f>SUM(O13:S13)</f>
        <v>48571.01525198709</v>
      </c>
      <c r="U13" s="381"/>
      <c r="V13" s="511">
        <v>10250.035449808534</v>
      </c>
      <c r="W13" s="511">
        <v>10552.870439307009</v>
      </c>
      <c r="X13" s="511">
        <v>7525.9669619615179</v>
      </c>
      <c r="Y13" s="511">
        <v>8494.3580194002971</v>
      </c>
      <c r="Z13" s="511">
        <v>17761.162161837245</v>
      </c>
      <c r="AA13" s="408">
        <f>(SUMIFS('Forecast capex'!$X$9:$X$1940, 'Forecast capex'!$J$9:$J$1940,AA$123, 'Forecast capex'!$F$9:$F$1940,$E13))/1000</f>
        <v>14351.0935407913</v>
      </c>
      <c r="AB13" s="408">
        <f>(SUMIFS('Forecast capex'!$X$9:$X$1940, 'Forecast capex'!$J$9:$J$1940,AB$123, 'Forecast capex'!$F$9:$F$1940,$E13))/1000</f>
        <v>9210.9085003739128</v>
      </c>
      <c r="AC13" s="408">
        <f>(SUMIFS('Forecast capex'!$X$9:$X$1940, 'Forecast capex'!$J$9:$J$1940,AC$123, 'Forecast capex'!$F$9:$F$1940,$E13))/1000</f>
        <v>7273.2272676787115</v>
      </c>
      <c r="AD13" s="408">
        <f>(SUMIFS('Forecast capex'!$X$9:$X$1940, 'Forecast capex'!$J$9:$J$1940,AD$123, 'Forecast capex'!$F$9:$F$1940,$E13))/1000</f>
        <v>7421.4147973623894</v>
      </c>
      <c r="AE13" s="408">
        <f>(SUMIFS('Forecast capex'!$X$9:$X$1940, 'Forecast capex'!$J$9:$J$1940,AE$123, 'Forecast capex'!$F$9:$F$1940,$E13))/1000</f>
        <v>10417.434049181935</v>
      </c>
      <c r="AF13" s="408">
        <f>(SUMIFS('Forecast capex'!$X$9:$X$1940, 'Forecast capex'!$J$9:$J$1940,AF$123, 'Forecast capex'!$F$9:$F$1940,$E13))/1000</f>
        <v>12253.669618353386</v>
      </c>
      <c r="AG13" s="408">
        <f>(SUMIFS('Forecast capex'!$X$9:$X$1940, 'Forecast capex'!$J$9:$J$1940,AG$123, 'Forecast capex'!$F$9:$F$1940,$E13))/1000</f>
        <v>14713.268020488222</v>
      </c>
      <c r="AH13" s="408">
        <f>SUM(AC13:AG13)</f>
        <v>52079.013753064646</v>
      </c>
      <c r="AI13" s="528"/>
      <c r="AJ13" s="408">
        <f>(SUMIFS('Forecast capex'!$AC$9:$AC$1940, 'Forecast capex'!$K$9:$K$1940,AJ$123, 'Forecast capex'!$F$9:$F$1940,$E13)+'Schedule E calculations'!M266*'Schedule E calculations'!M$346)/1000</f>
        <v>10274.370218743157</v>
      </c>
      <c r="AK13" s="408">
        <f>(SUMIFS('Forecast capex'!$AC$9:$AC$1940, 'Forecast capex'!$K$9:$K$1940,AK$123, 'Forecast capex'!$F$9:$F$1940,$E13)+'Schedule E calculations'!N266*'Schedule E calculations'!N$346)/1000</f>
        <v>11606.470837634368</v>
      </c>
      <c r="AL13" s="408">
        <f>(SUMIFS('Forecast capex'!$AC$9:$AC$1940, 'Forecast capex'!$K$9:$K$1940,AL$123, 'Forecast capex'!$F$9:$F$1940,$E13)+'Schedule E calculations'!O266*'Schedule E calculations'!O$346)/1000</f>
        <v>8567.9792880920031</v>
      </c>
      <c r="AM13" s="408">
        <f>(SUMIFS('Forecast capex'!$AC$9:$AC$1940, 'Forecast capex'!$K$9:$K$1940,AM$123, 'Forecast capex'!$F$9:$F$1940,$E13)+'Schedule E calculations'!P266*'Schedule E calculations'!P$346)/1000</f>
        <v>7448.3655484918027</v>
      </c>
      <c r="AN13" s="408">
        <f>(SUMIFS('Forecast capex'!$AC$9:$AC$1940, 'Forecast capex'!$K$9:$K$1940,AN$123, 'Forecast capex'!$F$9:$F$1940,$E13)+'Schedule E calculations'!Q266*'Schedule E calculations'!Q$346)/1000</f>
        <v>9767.8982754648969</v>
      </c>
      <c r="AO13" s="408">
        <f>(SUMIFS('Forecast capex'!$AC$9:$AC$1940, 'Forecast capex'!$K$9:$K$1940,AO$123, 'Forecast capex'!$F$9:$F$1940,$E13)+'Schedule E calculations'!R266*'Schedule E calculations'!R$346)/1000</f>
        <v>12003.540348220524</v>
      </c>
      <c r="AP13" s="408">
        <f>(SUMIFS('Forecast capex'!$AC$9:$AC$1940, 'Forecast capex'!$K$9:$K$1940,AP$123, 'Forecast capex'!$F$9:$F$1940,$E13)+'Schedule E calculations'!S266*'Schedule E calculations'!S$346)/1000</f>
        <v>14439.740647106591</v>
      </c>
      <c r="AQ13" s="408">
        <f>SUM(AL13:AP13)</f>
        <v>52227.524107375815</v>
      </c>
      <c r="AR13" s="381"/>
      <c r="AZ13" s="388"/>
    </row>
    <row r="14" spans="2:52" ht="15" customHeight="1" thickBot="1" x14ac:dyDescent="0.25">
      <c r="B14" s="517"/>
      <c r="C14" s="488"/>
      <c r="D14" s="540" t="s">
        <v>503</v>
      </c>
      <c r="E14" s="541"/>
      <c r="F14" s="381"/>
      <c r="G14" s="381"/>
      <c r="H14" s="531"/>
      <c r="I14" s="531"/>
      <c r="J14" s="531"/>
      <c r="K14" s="531"/>
      <c r="L14" s="531"/>
      <c r="M14" s="531"/>
      <c r="N14" s="531"/>
      <c r="O14" s="531"/>
      <c r="P14" s="531"/>
      <c r="Q14" s="531"/>
      <c r="R14" s="531"/>
      <c r="S14" s="542"/>
      <c r="T14" s="542"/>
      <c r="U14" s="531"/>
      <c r="V14" s="531"/>
      <c r="W14" s="531"/>
      <c r="X14" s="531"/>
      <c r="Y14" s="531"/>
      <c r="Z14" s="531"/>
      <c r="AA14" s="531"/>
      <c r="AB14" s="531"/>
      <c r="AC14" s="531"/>
      <c r="AD14" s="531"/>
      <c r="AE14" s="531"/>
      <c r="AF14" s="531"/>
      <c r="AG14" s="531"/>
      <c r="AH14" s="531"/>
      <c r="AI14" s="528"/>
      <c r="AJ14" s="531"/>
      <c r="AK14" s="531"/>
      <c r="AL14" s="531"/>
      <c r="AM14" s="531"/>
      <c r="AN14" s="531"/>
      <c r="AO14" s="531"/>
      <c r="AP14" s="531"/>
      <c r="AQ14" s="531"/>
      <c r="AR14" s="531"/>
      <c r="AZ14" s="388"/>
    </row>
    <row r="15" spans="2:52" s="420" customFormat="1" ht="15" customHeight="1" thickBot="1" x14ac:dyDescent="0.3">
      <c r="B15" s="517"/>
      <c r="C15" s="504"/>
      <c r="D15" s="504"/>
      <c r="E15" s="529" t="s">
        <v>631</v>
      </c>
      <c r="F15" s="529"/>
      <c r="G15" s="529"/>
      <c r="H15" s="543">
        <f>SUM(H13:H13)</f>
        <v>10910.873788320756</v>
      </c>
      <c r="I15" s="543">
        <f t="shared" ref="I15:T15" si="0">SUM(I13:I13)</f>
        <v>11195.804585386368</v>
      </c>
      <c r="J15" s="543">
        <f t="shared" si="0"/>
        <v>7898.9505412751869</v>
      </c>
      <c r="K15" s="543">
        <f t="shared" si="0"/>
        <v>8776.3984923369444</v>
      </c>
      <c r="L15" s="543">
        <f t="shared" si="0"/>
        <v>18045.314700932031</v>
      </c>
      <c r="M15" s="543">
        <f t="shared" si="0"/>
        <v>14351.0935407913</v>
      </c>
      <c r="N15" s="543">
        <f t="shared" si="0"/>
        <v>9092.3747373202077</v>
      </c>
      <c r="O15" s="543">
        <f t="shared" si="0"/>
        <v>7100.3962504258043</v>
      </c>
      <c r="P15" s="543">
        <f t="shared" si="0"/>
        <v>7100.3962504258043</v>
      </c>
      <c r="Q15" s="543">
        <f t="shared" si="0"/>
        <v>9799.695000567739</v>
      </c>
      <c r="R15" s="543">
        <f t="shared" si="0"/>
        <v>11291.035875567744</v>
      </c>
      <c r="S15" s="543">
        <f t="shared" si="0"/>
        <v>13279.491875</v>
      </c>
      <c r="T15" s="543">
        <f t="shared" si="0"/>
        <v>48571.01525198709</v>
      </c>
      <c r="U15" s="435"/>
      <c r="V15" s="543">
        <f>SUM(V13:V13)</f>
        <v>10250.035449808534</v>
      </c>
      <c r="W15" s="543">
        <f t="shared" ref="W15:AH15" si="1">SUM(W13:W13)</f>
        <v>10552.870439307009</v>
      </c>
      <c r="X15" s="543">
        <f t="shared" si="1"/>
        <v>7525.9669619615179</v>
      </c>
      <c r="Y15" s="543">
        <f t="shared" si="1"/>
        <v>8494.3580194002971</v>
      </c>
      <c r="Z15" s="543">
        <f t="shared" si="1"/>
        <v>17761.162161837245</v>
      </c>
      <c r="AA15" s="543">
        <f t="shared" si="1"/>
        <v>14351.0935407913</v>
      </c>
      <c r="AB15" s="543">
        <f t="shared" si="1"/>
        <v>9210.9085003739128</v>
      </c>
      <c r="AC15" s="543">
        <f t="shared" si="1"/>
        <v>7273.2272676787115</v>
      </c>
      <c r="AD15" s="543">
        <f t="shared" si="1"/>
        <v>7421.4147973623894</v>
      </c>
      <c r="AE15" s="543">
        <f t="shared" si="1"/>
        <v>10417.434049181935</v>
      </c>
      <c r="AF15" s="543">
        <f t="shared" si="1"/>
        <v>12253.669618353386</v>
      </c>
      <c r="AG15" s="543">
        <f t="shared" si="1"/>
        <v>14713.268020488222</v>
      </c>
      <c r="AH15" s="543">
        <f t="shared" si="1"/>
        <v>52079.013753064646</v>
      </c>
      <c r="AI15" s="544"/>
      <c r="AJ15" s="543">
        <f t="shared" ref="AJ15:AQ15" si="2">SUM(AJ13:AJ13)</f>
        <v>10274.370218743157</v>
      </c>
      <c r="AK15" s="543">
        <f t="shared" si="2"/>
        <v>11606.470837634368</v>
      </c>
      <c r="AL15" s="543">
        <f t="shared" si="2"/>
        <v>8567.9792880920031</v>
      </c>
      <c r="AM15" s="543">
        <f t="shared" si="2"/>
        <v>7448.3655484918027</v>
      </c>
      <c r="AN15" s="543">
        <f t="shared" si="2"/>
        <v>9767.8982754648969</v>
      </c>
      <c r="AO15" s="543">
        <f t="shared" si="2"/>
        <v>12003.540348220524</v>
      </c>
      <c r="AP15" s="543">
        <f t="shared" si="2"/>
        <v>14439.740647106591</v>
      </c>
      <c r="AQ15" s="543">
        <f t="shared" si="2"/>
        <v>52227.524107375815</v>
      </c>
      <c r="AR15" s="435"/>
      <c r="AZ15" s="545"/>
    </row>
    <row r="16" spans="2:52" ht="15" customHeight="1" thickBot="1" x14ac:dyDescent="0.25">
      <c r="B16" s="517"/>
      <c r="C16" s="381"/>
      <c r="D16" s="546" t="s">
        <v>601</v>
      </c>
      <c r="E16" s="547" t="s">
        <v>632</v>
      </c>
      <c r="F16" s="517"/>
      <c r="G16" s="517"/>
      <c r="H16" s="511">
        <v>3815.5867278399674</v>
      </c>
      <c r="I16" s="511">
        <v>5346.0952501227111</v>
      </c>
      <c r="J16" s="511">
        <v>3048.1228967362867</v>
      </c>
      <c r="K16" s="511">
        <v>4631.2768555446246</v>
      </c>
      <c r="L16" s="511">
        <v>3563.002651402383</v>
      </c>
      <c r="M16" s="408">
        <f>'Capex summary'!M64/1000</f>
        <v>9299.5086144327597</v>
      </c>
      <c r="N16" s="408">
        <f>'Capex summary'!N64/1000</f>
        <v>5455.4248423921226</v>
      </c>
      <c r="O16" s="408">
        <f>'Capex summary'!O64/1000</f>
        <v>4260.2377502554828</v>
      </c>
      <c r="P16" s="408">
        <f>'Capex summary'!P64/1000</f>
        <v>4260.2377502554828</v>
      </c>
      <c r="Q16" s="408">
        <f>'Capex summary'!Q64/1000</f>
        <v>5879.8170003406458</v>
      </c>
      <c r="R16" s="408">
        <f>'Capex summary'!R64/1000</f>
        <v>6774.6215253406463</v>
      </c>
      <c r="S16" s="408">
        <f>'Capex summary'!S64/1000</f>
        <v>7967.6951250000011</v>
      </c>
      <c r="T16" s="408">
        <f>SUM(O16:S16)</f>
        <v>29142.60915119226</v>
      </c>
      <c r="U16" s="532"/>
      <c r="V16" s="511">
        <v>3584.4882803101182</v>
      </c>
      <c r="W16" s="511">
        <v>5039.0885353946742</v>
      </c>
      <c r="X16" s="511">
        <v>2904.1924109999991</v>
      </c>
      <c r="Y16" s="511">
        <v>4482.4450180000022</v>
      </c>
      <c r="Z16" s="511">
        <v>3506.8974370031492</v>
      </c>
      <c r="AA16" s="408">
        <f>'Capex summary'!M84/1000</f>
        <v>9299.5086144327597</v>
      </c>
      <c r="AB16" s="408">
        <f>'Capex summary'!N84/1000</f>
        <v>5526.5451002243481</v>
      </c>
      <c r="AC16" s="408">
        <f>'Capex summary'!O84/1000</f>
        <v>4363.9363606072266</v>
      </c>
      <c r="AD16" s="408">
        <f>'Capex summary'!P84/1000</f>
        <v>4452.8488784174306</v>
      </c>
      <c r="AE16" s="408">
        <f>'Capex summary'!Q84/1000</f>
        <v>6250.4604295091594</v>
      </c>
      <c r="AF16" s="408">
        <f>'Capex summary'!R84/1000</f>
        <v>7352.2017710120326</v>
      </c>
      <c r="AG16" s="408">
        <f>'Capex summary'!S84/1000</f>
        <v>8827.960812292933</v>
      </c>
      <c r="AH16" s="408">
        <f>SUM(AC16:AG16)</f>
        <v>31247.40825183878</v>
      </c>
      <c r="AI16" s="528"/>
      <c r="AJ16" s="408">
        <f>'Commissioned assets summary'!M76/1000</f>
        <v>5640.497908528886</v>
      </c>
      <c r="AK16" s="408">
        <f>'Commissioned assets summary'!N76/1000</f>
        <v>7857.8805367415862</v>
      </c>
      <c r="AL16" s="408">
        <f>'Commissioned assets summary'!O76/1000</f>
        <v>5425.778076847274</v>
      </c>
      <c r="AM16" s="408">
        <f>'Commissioned assets summary'!P76/1000</f>
        <v>4416.9718536878363</v>
      </c>
      <c r="AN16" s="408">
        <f>'Commissioned assets summary'!Q76/1000</f>
        <v>5637.950494353543</v>
      </c>
      <c r="AO16" s="408">
        <f>'Commissioned assets summary'!R76/1000</f>
        <v>6964.5177082971841</v>
      </c>
      <c r="AP16" s="408">
        <f>'Commissioned assets summary'!S76/1000</f>
        <v>8300.3883681214193</v>
      </c>
      <c r="AQ16" s="408">
        <f>SUM(AL16:AP16)</f>
        <v>30745.606501307258</v>
      </c>
      <c r="AR16" s="532"/>
      <c r="AZ16" s="388"/>
    </row>
    <row r="17" spans="2:52" s="420" customFormat="1" ht="15" customHeight="1" thickBot="1" x14ac:dyDescent="0.3">
      <c r="B17" s="517"/>
      <c r="C17" s="548"/>
      <c r="D17" s="548"/>
      <c r="E17" s="529" t="s">
        <v>633</v>
      </c>
      <c r="F17" s="517"/>
      <c r="G17" s="517"/>
      <c r="H17" s="543">
        <f t="shared" ref="H17:T17" si="3">H15-H16</f>
        <v>7095.2870604807886</v>
      </c>
      <c r="I17" s="543">
        <f t="shared" si="3"/>
        <v>5849.7093352636566</v>
      </c>
      <c r="J17" s="543">
        <f t="shared" si="3"/>
        <v>4850.8276445389001</v>
      </c>
      <c r="K17" s="543">
        <f t="shared" si="3"/>
        <v>4145.1216367923198</v>
      </c>
      <c r="L17" s="543">
        <f t="shared" si="3"/>
        <v>14482.312049529648</v>
      </c>
      <c r="M17" s="543">
        <f t="shared" si="3"/>
        <v>5051.5849263585405</v>
      </c>
      <c r="N17" s="543">
        <f t="shared" si="3"/>
        <v>3636.9498949280851</v>
      </c>
      <c r="O17" s="543">
        <f t="shared" si="3"/>
        <v>2840.1585001703215</v>
      </c>
      <c r="P17" s="543">
        <f t="shared" si="3"/>
        <v>2840.1585001703215</v>
      </c>
      <c r="Q17" s="543">
        <f t="shared" si="3"/>
        <v>3919.8780002270933</v>
      </c>
      <c r="R17" s="543">
        <f t="shared" si="3"/>
        <v>4516.4143502270981</v>
      </c>
      <c r="S17" s="543">
        <f t="shared" si="3"/>
        <v>5311.7967499999986</v>
      </c>
      <c r="T17" s="543">
        <f t="shared" si="3"/>
        <v>19428.406100794829</v>
      </c>
      <c r="U17" s="548"/>
      <c r="V17" s="543">
        <f t="shared" ref="V17:AF17" si="4">V15-V16</f>
        <v>6665.5471694984162</v>
      </c>
      <c r="W17" s="543">
        <f t="shared" si="4"/>
        <v>5513.7819039123351</v>
      </c>
      <c r="X17" s="543">
        <f t="shared" si="4"/>
        <v>4621.7745509615188</v>
      </c>
      <c r="Y17" s="543">
        <f t="shared" si="4"/>
        <v>4011.9130014002949</v>
      </c>
      <c r="Z17" s="543">
        <f t="shared" si="4"/>
        <v>14254.264724834095</v>
      </c>
      <c r="AA17" s="543">
        <f t="shared" si="4"/>
        <v>5051.5849263585405</v>
      </c>
      <c r="AB17" s="543">
        <f t="shared" si="4"/>
        <v>3684.3634001495648</v>
      </c>
      <c r="AC17" s="543">
        <f t="shared" si="4"/>
        <v>2909.290907071485</v>
      </c>
      <c r="AD17" s="543">
        <f t="shared" si="4"/>
        <v>2968.5659189449589</v>
      </c>
      <c r="AE17" s="543">
        <f t="shared" si="4"/>
        <v>4166.9736196727754</v>
      </c>
      <c r="AF17" s="543">
        <f t="shared" si="4"/>
        <v>4901.4678473413533</v>
      </c>
      <c r="AG17" s="543">
        <f>AG15-AG16</f>
        <v>5885.3072081952887</v>
      </c>
      <c r="AH17" s="543">
        <f>AH15-AH16</f>
        <v>20831.605501225866</v>
      </c>
      <c r="AI17" s="544"/>
      <c r="AJ17" s="543">
        <f>AJ15-AJ16</f>
        <v>4633.8723102142712</v>
      </c>
      <c r="AK17" s="543">
        <f t="shared" ref="AK17:AP17" si="5">AK15-AK16</f>
        <v>3748.5903008927817</v>
      </c>
      <c r="AL17" s="543">
        <f t="shared" si="5"/>
        <v>3142.2012112447292</v>
      </c>
      <c r="AM17" s="543">
        <f t="shared" si="5"/>
        <v>3031.3936948039664</v>
      </c>
      <c r="AN17" s="543">
        <f t="shared" si="5"/>
        <v>4129.9477811113538</v>
      </c>
      <c r="AO17" s="543">
        <f t="shared" si="5"/>
        <v>5039.0226399233397</v>
      </c>
      <c r="AP17" s="543">
        <f t="shared" si="5"/>
        <v>6139.3522789851722</v>
      </c>
      <c r="AQ17" s="543">
        <f>AQ15-AQ16</f>
        <v>21481.917606068557</v>
      </c>
      <c r="AR17" s="435"/>
      <c r="AZ17" s="545"/>
    </row>
    <row r="18" spans="2:52" ht="15" customHeight="1" x14ac:dyDescent="0.2">
      <c r="B18" s="517"/>
      <c r="C18" s="381"/>
      <c r="D18" s="381"/>
      <c r="E18" s="529"/>
      <c r="F18" s="517"/>
      <c r="G18" s="517"/>
      <c r="H18" s="531"/>
      <c r="I18" s="531"/>
      <c r="J18" s="531"/>
      <c r="K18" s="531"/>
      <c r="L18" s="531"/>
      <c r="M18" s="531"/>
      <c r="N18" s="531"/>
      <c r="O18" s="531"/>
      <c r="P18" s="531"/>
      <c r="Q18" s="531"/>
      <c r="R18" s="531"/>
      <c r="S18" s="531"/>
      <c r="T18" s="542"/>
      <c r="U18" s="532"/>
      <c r="V18" s="531"/>
      <c r="W18" s="531"/>
      <c r="X18" s="531"/>
      <c r="Y18" s="531"/>
      <c r="Z18" s="531"/>
      <c r="AA18" s="531"/>
      <c r="AB18" s="531"/>
      <c r="AC18" s="531"/>
      <c r="AD18" s="531"/>
      <c r="AE18" s="531"/>
      <c r="AF18" s="531"/>
      <c r="AG18" s="531"/>
      <c r="AH18" s="531"/>
      <c r="AI18" s="528"/>
      <c r="AJ18" s="530"/>
      <c r="AK18" s="530"/>
      <c r="AL18" s="530"/>
      <c r="AM18" s="530"/>
      <c r="AN18" s="530"/>
      <c r="AO18" s="530"/>
      <c r="AP18" s="530"/>
      <c r="AQ18" s="531"/>
      <c r="AR18" s="532"/>
      <c r="AZ18" s="388"/>
    </row>
    <row r="19" spans="2:52" ht="15" customHeight="1" x14ac:dyDescent="0.2">
      <c r="B19" s="398"/>
      <c r="C19" s="549" t="s">
        <v>634</v>
      </c>
      <c r="D19" s="488"/>
      <c r="E19" s="537"/>
      <c r="F19" s="381"/>
      <c r="G19" s="381"/>
      <c r="H19" s="485"/>
      <c r="I19" s="485"/>
      <c r="J19" s="485"/>
      <c r="K19" s="485"/>
      <c r="L19" s="485"/>
      <c r="M19" s="485"/>
      <c r="N19" s="485"/>
      <c r="O19" s="485"/>
      <c r="P19" s="485"/>
      <c r="Q19" s="485"/>
      <c r="R19" s="485"/>
      <c r="S19" s="485"/>
      <c r="T19" s="550"/>
      <c r="U19" s="532"/>
      <c r="V19" s="485"/>
      <c r="W19" s="485"/>
      <c r="X19" s="485"/>
      <c r="Y19" s="485"/>
      <c r="Z19" s="485"/>
      <c r="AA19" s="485"/>
      <c r="AB19" s="485"/>
      <c r="AC19" s="485"/>
      <c r="AD19" s="485"/>
      <c r="AE19" s="485"/>
      <c r="AF19" s="485"/>
      <c r="AG19" s="485"/>
      <c r="AH19" s="485"/>
      <c r="AI19" s="528"/>
      <c r="AJ19" s="533"/>
      <c r="AK19" s="533"/>
      <c r="AL19" s="533"/>
      <c r="AM19" s="533"/>
      <c r="AN19" s="533"/>
      <c r="AO19" s="533"/>
      <c r="AP19" s="533"/>
      <c r="AQ19" s="533"/>
      <c r="AR19" s="381"/>
      <c r="AZ19" s="372"/>
    </row>
    <row r="20" spans="2:52" ht="15" customHeight="1" x14ac:dyDescent="0.2">
      <c r="B20" s="398"/>
      <c r="C20" s="551"/>
      <c r="D20" s="510"/>
      <c r="E20" s="552" t="s">
        <v>635</v>
      </c>
      <c r="F20" s="381"/>
      <c r="G20" s="381"/>
      <c r="H20" s="511">
        <v>7342.9414883176332</v>
      </c>
      <c r="I20" s="511">
        <v>5556.1794740254381</v>
      </c>
      <c r="J20" s="511">
        <v>283.76899488803298</v>
      </c>
      <c r="K20" s="511">
        <v>4418.661168190858</v>
      </c>
      <c r="L20" s="511">
        <v>7677.6916182386321</v>
      </c>
      <c r="M20" s="408"/>
      <c r="N20" s="408"/>
      <c r="O20" s="408"/>
      <c r="P20" s="408"/>
      <c r="Q20" s="408"/>
      <c r="R20" s="408"/>
      <c r="S20" s="408"/>
      <c r="T20" s="408">
        <f>SUM(O20:S20)</f>
        <v>0</v>
      </c>
      <c r="U20" s="381"/>
      <c r="V20" s="511">
        <v>6898.2019241842354</v>
      </c>
      <c r="W20" s="511">
        <v>5237.1083900000003</v>
      </c>
      <c r="X20" s="511">
        <v>270.36959773286429</v>
      </c>
      <c r="Y20" s="511">
        <v>4276.6619999999994</v>
      </c>
      <c r="Z20" s="511">
        <v>7556.7939999999999</v>
      </c>
      <c r="AA20" s="408"/>
      <c r="AB20" s="408"/>
      <c r="AC20" s="408"/>
      <c r="AD20" s="408"/>
      <c r="AE20" s="408"/>
      <c r="AF20" s="408"/>
      <c r="AG20" s="408"/>
      <c r="AH20" s="408">
        <f>SUM(AC20:AG20)</f>
        <v>0</v>
      </c>
      <c r="AI20" s="528"/>
      <c r="AJ20" s="408"/>
      <c r="AK20" s="408"/>
      <c r="AL20" s="408"/>
      <c r="AM20" s="408"/>
      <c r="AN20" s="408"/>
      <c r="AO20" s="408"/>
      <c r="AP20" s="408"/>
      <c r="AQ20" s="408">
        <f t="shared" ref="AQ20:AQ30" si="6">SUM(AL20:AP20)</f>
        <v>0</v>
      </c>
      <c r="AR20" s="381"/>
      <c r="AZ20" s="372"/>
    </row>
    <row r="21" spans="2:52" ht="15" customHeight="1" x14ac:dyDescent="0.2">
      <c r="B21" s="398"/>
      <c r="C21" s="551"/>
      <c r="D21" s="510"/>
      <c r="E21" s="539" t="str">
        <f>'Global inputs'!B134</f>
        <v>8.1 Arrowtown 33kV Ring Upgrade</v>
      </c>
      <c r="F21" s="381"/>
      <c r="G21" s="381"/>
      <c r="H21" s="408"/>
      <c r="I21" s="408"/>
      <c r="J21" s="408"/>
      <c r="K21" s="408"/>
      <c r="L21" s="408"/>
      <c r="M21" s="408">
        <f>(SUMIFS('Forecast capex'!$Q$9:$Q$1940,'Forecast capex'!$J$9:$J$1940,M$123,'Forecast capex'!$F$9:$F$1940,$E21)/1000)</f>
        <v>0</v>
      </c>
      <c r="N21" s="408">
        <f>(SUMIFS('Forecast capex'!$Q$9:$Q$1940,'Forecast capex'!$J$9:$J$1940,N$123,'Forecast capex'!$F$9:$F$1940,$E21)/1000)</f>
        <v>640</v>
      </c>
      <c r="O21" s="408">
        <f>(SUMIFS('Forecast capex'!$Q$9:$Q$1940,'Forecast capex'!$J$9:$J$1940,O$123,'Forecast capex'!$F$9:$F$1940,$E21)/1000)</f>
        <v>0</v>
      </c>
      <c r="P21" s="408">
        <f>(SUMIFS('Forecast capex'!$Q$9:$Q$1940,'Forecast capex'!$J$9:$J$1940,P$123,'Forecast capex'!$F$9:$F$1940,$E21)/1000)</f>
        <v>0</v>
      </c>
      <c r="Q21" s="408">
        <f>(SUMIFS('Forecast capex'!$Q$9:$Q$1940,'Forecast capex'!$J$9:$J$1940,Q$123,'Forecast capex'!$F$9:$F$1940,$E21)/1000)</f>
        <v>0</v>
      </c>
      <c r="R21" s="408">
        <f>(SUMIFS('Forecast capex'!$Q$9:$Q$1940,'Forecast capex'!$J$9:$J$1940,R$123,'Forecast capex'!$F$9:$F$1940,$E21)/1000)</f>
        <v>0</v>
      </c>
      <c r="S21" s="408">
        <f>(SUMIFS('Forecast capex'!$Q$9:$Q$1940,'Forecast capex'!$J$9:$J$1940,S$123,'Forecast capex'!$F$9:$F$1940,$E21)/1000)</f>
        <v>0</v>
      </c>
      <c r="T21" s="408">
        <f t="shared" ref="T21:T30" si="7">SUM(O21:S21)</f>
        <v>0</v>
      </c>
      <c r="U21" s="381"/>
      <c r="V21" s="408"/>
      <c r="W21" s="408"/>
      <c r="X21" s="408"/>
      <c r="Y21" s="408"/>
      <c r="Z21" s="408"/>
      <c r="AA21" s="408">
        <f>(SUMIFS('Forecast capex'!$X$9:$X$1940, 'Forecast capex'!$J$9:$J$1940,AA$123, 'Forecast capex'!$F$9:$F$1940,$E21))/1000</f>
        <v>0</v>
      </c>
      <c r="AB21" s="408">
        <f>(SUMIFS('Forecast capex'!$X$9:$X$1940, 'Forecast capex'!$J$9:$J$1940,AB$123, 'Forecast capex'!$F$9:$F$1940,$E21))/1000</f>
        <v>649.33493714964015</v>
      </c>
      <c r="AC21" s="408">
        <f>(SUMIFS('Forecast capex'!$X$9:$X$1940, 'Forecast capex'!$J$9:$J$1940,AC$123, 'Forecast capex'!$F$9:$F$1940,$E21))/1000</f>
        <v>0</v>
      </c>
      <c r="AD21" s="408">
        <f>(SUMIFS('Forecast capex'!$X$9:$X$1940, 'Forecast capex'!$J$9:$J$1940,AD$123, 'Forecast capex'!$F$9:$F$1940,$E21))/1000</f>
        <v>0</v>
      </c>
      <c r="AE21" s="408">
        <f>(SUMIFS('Forecast capex'!$X$9:$X$1940, 'Forecast capex'!$J$9:$J$1940,AE$123, 'Forecast capex'!$F$9:$F$1940,$E21))/1000</f>
        <v>0</v>
      </c>
      <c r="AF21" s="408">
        <f>(SUMIFS('Forecast capex'!$X$9:$X$1940, 'Forecast capex'!$J$9:$J$1940,AF$123, 'Forecast capex'!$F$9:$F$1940,$E21))/1000</f>
        <v>0</v>
      </c>
      <c r="AG21" s="408">
        <f>(SUMIFS('Forecast capex'!$X$9:$X$1940, 'Forecast capex'!$J$9:$J$1940,AG$123, 'Forecast capex'!$F$9:$F$1940,$E21))/1000</f>
        <v>0</v>
      </c>
      <c r="AH21" s="408">
        <f t="shared" ref="AH21:AH30" si="8">SUM(AC21:AG21)</f>
        <v>0</v>
      </c>
      <c r="AI21" s="528"/>
      <c r="AJ21" s="408">
        <f>(SUMIFS('Forecast capex'!$AC$9:$AC$1940, 'Forecast capex'!$K$9:$K$1940,AJ$123, 'Forecast capex'!$F$9:$F$1940,$E21)+'Schedule E calculations'!M270*'Schedule E calculations'!M$347)/1000</f>
        <v>0</v>
      </c>
      <c r="AK21" s="408">
        <f>(SUMIFS('Forecast capex'!$AC$9:$AC$1940, 'Forecast capex'!$K$9:$K$1940,AK$123, 'Forecast capex'!$F$9:$F$1940,$E21)+'Schedule E calculations'!N270*'Schedule E calculations'!N$347)/1000</f>
        <v>4.9390082383124287</v>
      </c>
      <c r="AL21" s="408">
        <f>(SUMIFS('Forecast capex'!$AC$9:$AC$1940, 'Forecast capex'!$K$9:$K$1940,AL$123, 'Forecast capex'!$F$9:$F$1940,$E21)+'Schedule E calculations'!O270*'Schedule E calculations'!O$347)/1000</f>
        <v>0</v>
      </c>
      <c r="AM21" s="408">
        <f>(SUMIFS('Forecast capex'!$AC$9:$AC$1940, 'Forecast capex'!$K$9:$K$1940,AM$123, 'Forecast capex'!$F$9:$F$1940,$E21)+'Schedule E calculations'!P270*'Schedule E calculations'!P$347)/1000</f>
        <v>0</v>
      </c>
      <c r="AN21" s="408">
        <f>(SUMIFS('Forecast capex'!$AC$9:$AC$1940, 'Forecast capex'!$K$9:$K$1940,AN$123, 'Forecast capex'!$F$9:$F$1940,$E21)+'Schedule E calculations'!Q270*'Schedule E calculations'!Q$347)/1000</f>
        <v>721.11298975629222</v>
      </c>
      <c r="AO21" s="408">
        <f>(SUMIFS('Forecast capex'!$AC$9:$AC$1940, 'Forecast capex'!$K$9:$K$1940,AO$123, 'Forecast capex'!$F$9:$F$1940,$E21)+'Schedule E calculations'!R270*'Schedule E calculations'!R$347)/1000</f>
        <v>0</v>
      </c>
      <c r="AP21" s="408">
        <f>(SUMIFS('Forecast capex'!$AC$9:$AC$1940, 'Forecast capex'!$K$9:$K$1940,AP$123, 'Forecast capex'!$F$9:$F$1940,$E21)+'Schedule E calculations'!S270*'Schedule E calculations'!S$347)/1000</f>
        <v>0</v>
      </c>
      <c r="AQ21" s="408">
        <f t="shared" si="6"/>
        <v>721.11298975629222</v>
      </c>
      <c r="AR21" s="381"/>
      <c r="AZ21" s="372"/>
    </row>
    <row r="22" spans="2:52" ht="15" customHeight="1" x14ac:dyDescent="0.2">
      <c r="B22" s="398"/>
      <c r="C22" s="551"/>
      <c r="D22" s="510"/>
      <c r="E22" s="539" t="str">
        <f>'Global inputs'!B135</f>
        <v>8.2 Arrowtown Zone Substation 33kV Indoor Switchboard</v>
      </c>
      <c r="F22" s="381"/>
      <c r="G22" s="381"/>
      <c r="H22" s="408"/>
      <c r="I22" s="408"/>
      <c r="J22" s="408"/>
      <c r="K22" s="408"/>
      <c r="L22" s="408"/>
      <c r="M22" s="408">
        <f>(SUMIFS('Forecast capex'!$Q$9:$Q$1940,'Forecast capex'!$J$9:$J$1940,M$123,'Forecast capex'!$F$9:$F$1940,$E22)/1000)</f>
        <v>0</v>
      </c>
      <c r="N22" s="408">
        <f>(SUMIFS('Forecast capex'!$Q$9:$Q$1940,'Forecast capex'!$J$9:$J$1940,N$123,'Forecast capex'!$F$9:$F$1940,$E22)/1000)</f>
        <v>0</v>
      </c>
      <c r="O22" s="408">
        <f>(SUMIFS('Forecast capex'!$Q$9:$Q$1940,'Forecast capex'!$J$9:$J$1940,O$123,'Forecast capex'!$F$9:$F$1940,$E22)/1000)</f>
        <v>0</v>
      </c>
      <c r="P22" s="408">
        <f>(SUMIFS('Forecast capex'!$Q$9:$Q$1940,'Forecast capex'!$J$9:$J$1940,P$123,'Forecast capex'!$F$9:$F$1940,$E22)/1000)</f>
        <v>0</v>
      </c>
      <c r="Q22" s="408">
        <f>(SUMIFS('Forecast capex'!$Q$9:$Q$1940,'Forecast capex'!$J$9:$J$1940,Q$123,'Forecast capex'!$F$9:$F$1940,$E22)/1000)</f>
        <v>0</v>
      </c>
      <c r="R22" s="408">
        <f>(SUMIFS('Forecast capex'!$Q$9:$Q$1940,'Forecast capex'!$J$9:$J$1940,R$123,'Forecast capex'!$F$9:$F$1940,$E22)/1000)</f>
        <v>0</v>
      </c>
      <c r="S22" s="408">
        <f>(SUMIFS('Forecast capex'!$Q$9:$Q$1940,'Forecast capex'!$J$9:$J$1940,S$123,'Forecast capex'!$F$9:$F$1940,$E22)/1000)</f>
        <v>0</v>
      </c>
      <c r="T22" s="408">
        <f t="shared" si="7"/>
        <v>0</v>
      </c>
      <c r="U22" s="381"/>
      <c r="V22" s="408"/>
      <c r="W22" s="408"/>
      <c r="X22" s="408"/>
      <c r="Y22" s="408"/>
      <c r="Z22" s="408"/>
      <c r="AA22" s="408">
        <f>(SUMIFS('Forecast capex'!$X$9:$X$1940, 'Forecast capex'!$J$9:$J$1940,AA$123, 'Forecast capex'!$F$9:$F$1940,$E22))/1000</f>
        <v>0</v>
      </c>
      <c r="AB22" s="408">
        <f>(SUMIFS('Forecast capex'!$X$9:$X$1940, 'Forecast capex'!$J$9:$J$1940,AB$123, 'Forecast capex'!$F$9:$F$1940,$E22))/1000</f>
        <v>0</v>
      </c>
      <c r="AC22" s="408">
        <f>(SUMIFS('Forecast capex'!$X$9:$X$1940, 'Forecast capex'!$J$9:$J$1940,AC$123, 'Forecast capex'!$F$9:$F$1940,$E22))/1000</f>
        <v>0</v>
      </c>
      <c r="AD22" s="408">
        <f>(SUMIFS('Forecast capex'!$X$9:$X$1940, 'Forecast capex'!$J$9:$J$1940,AD$123, 'Forecast capex'!$F$9:$F$1940,$E22))/1000</f>
        <v>0</v>
      </c>
      <c r="AE22" s="408">
        <f>(SUMIFS('Forecast capex'!$X$9:$X$1940, 'Forecast capex'!$J$9:$J$1940,AE$123, 'Forecast capex'!$F$9:$F$1940,$E22))/1000</f>
        <v>0</v>
      </c>
      <c r="AF22" s="408">
        <f>(SUMIFS('Forecast capex'!$X$9:$X$1940, 'Forecast capex'!$J$9:$J$1940,AF$123, 'Forecast capex'!$F$9:$F$1940,$E22))/1000</f>
        <v>0</v>
      </c>
      <c r="AG22" s="408">
        <f>(SUMIFS('Forecast capex'!$X$9:$X$1940, 'Forecast capex'!$J$9:$J$1940,AG$123, 'Forecast capex'!$F$9:$F$1940,$E22))/1000</f>
        <v>0</v>
      </c>
      <c r="AH22" s="408">
        <f t="shared" si="8"/>
        <v>0</v>
      </c>
      <c r="AI22" s="528"/>
      <c r="AJ22" s="408">
        <f>(SUMIFS('Forecast capex'!$AC$9:$AC$1940, 'Forecast capex'!$K$9:$K$1940,AJ$123, 'Forecast capex'!$F$9:$F$1940,$E22)+'Schedule E calculations'!M271*'Schedule E calculations'!M$347)/1000</f>
        <v>0</v>
      </c>
      <c r="AK22" s="408">
        <f>(SUMIFS('Forecast capex'!$AC$9:$AC$1940, 'Forecast capex'!$K$9:$K$1940,AK$123, 'Forecast capex'!$F$9:$F$1940,$E22)+'Schedule E calculations'!N271*'Schedule E calculations'!N$347)/1000</f>
        <v>0</v>
      </c>
      <c r="AL22" s="408">
        <f>(SUMIFS('Forecast capex'!$AC$9:$AC$1940, 'Forecast capex'!$K$9:$K$1940,AL$123, 'Forecast capex'!$F$9:$F$1940,$E22)+'Schedule E calculations'!O271*'Schedule E calculations'!O$347)/1000</f>
        <v>0</v>
      </c>
      <c r="AM22" s="408">
        <f>(SUMIFS('Forecast capex'!$AC$9:$AC$1940, 'Forecast capex'!$K$9:$K$1940,AM$123, 'Forecast capex'!$F$9:$F$1940,$E22)+'Schedule E calculations'!P271*'Schedule E calculations'!P$347)/1000</f>
        <v>0</v>
      </c>
      <c r="AN22" s="408">
        <f>(SUMIFS('Forecast capex'!$AC$9:$AC$1940, 'Forecast capex'!$K$9:$K$1940,AN$123, 'Forecast capex'!$F$9:$F$1940,$E22)+'Schedule E calculations'!Q271*'Schedule E calculations'!Q$347)/1000</f>
        <v>0</v>
      </c>
      <c r="AO22" s="408">
        <f>(SUMIFS('Forecast capex'!$AC$9:$AC$1940, 'Forecast capex'!$K$9:$K$1940,AO$123, 'Forecast capex'!$F$9:$F$1940,$E22)+'Schedule E calculations'!R271*'Schedule E calculations'!R$347)/1000</f>
        <v>0</v>
      </c>
      <c r="AP22" s="408">
        <f>(SUMIFS('Forecast capex'!$AC$9:$AC$1940, 'Forecast capex'!$K$9:$K$1940,AP$123, 'Forecast capex'!$F$9:$F$1940,$E22)+'Schedule E calculations'!S271*'Schedule E calculations'!S$347)/1000</f>
        <v>0</v>
      </c>
      <c r="AQ22" s="408">
        <f t="shared" si="6"/>
        <v>0</v>
      </c>
      <c r="AR22" s="381"/>
      <c r="AZ22" s="372"/>
    </row>
    <row r="23" spans="2:52" ht="15" customHeight="1" x14ac:dyDescent="0.2">
      <c r="B23" s="398"/>
      <c r="C23" s="551"/>
      <c r="D23" s="510"/>
      <c r="E23" s="539" t="str">
        <f>'Global inputs'!B136</f>
        <v>8.3 Omakau New Zone Substation</v>
      </c>
      <c r="F23" s="381"/>
      <c r="G23" s="381"/>
      <c r="H23" s="408"/>
      <c r="I23" s="408"/>
      <c r="J23" s="408"/>
      <c r="K23" s="408"/>
      <c r="L23" s="408"/>
      <c r="M23" s="408">
        <f>(SUMIFS('Forecast capex'!$Q$9:$Q$1940,'Forecast capex'!$J$9:$J$1940,M$123,'Forecast capex'!$F$9:$F$1940,$E23)/1000)</f>
        <v>0</v>
      </c>
      <c r="N23" s="408">
        <f>(SUMIFS('Forecast capex'!$Q$9:$Q$1940,'Forecast capex'!$J$9:$J$1940,N$123,'Forecast capex'!$F$9:$F$1940,$E23)/1000)</f>
        <v>99.999999999999986</v>
      </c>
      <c r="O23" s="408">
        <f>(SUMIFS('Forecast capex'!$Q$9:$Q$1940,'Forecast capex'!$J$9:$J$1940,O$123,'Forecast capex'!$F$9:$F$1940,$E23)/1000)</f>
        <v>850.92829999999992</v>
      </c>
      <c r="P23" s="408">
        <f>(SUMIFS('Forecast capex'!$Q$9:$Q$1940,'Forecast capex'!$J$9:$J$1940,P$123,'Forecast capex'!$F$9:$F$1940,$E23)/1000)</f>
        <v>0</v>
      </c>
      <c r="Q23" s="408">
        <f>(SUMIFS('Forecast capex'!$Q$9:$Q$1940,'Forecast capex'!$J$9:$J$1940,Q$123,'Forecast capex'!$F$9:$F$1940,$E23)/1000)</f>
        <v>2002.1592000000001</v>
      </c>
      <c r="R23" s="408">
        <f>(SUMIFS('Forecast capex'!$Q$9:$Q$1940,'Forecast capex'!$J$9:$J$1940,R$123,'Forecast capex'!$F$9:$F$1940,$E23)/1000)</f>
        <v>0</v>
      </c>
      <c r="S23" s="408">
        <f>(SUMIFS('Forecast capex'!$Q$9:$Q$1940,'Forecast capex'!$J$9:$J$1940,S$123,'Forecast capex'!$F$9:$F$1940,$E23)/1000)</f>
        <v>0</v>
      </c>
      <c r="T23" s="408">
        <f t="shared" si="7"/>
        <v>2853.0875000000001</v>
      </c>
      <c r="U23" s="381"/>
      <c r="V23" s="408"/>
      <c r="W23" s="408"/>
      <c r="X23" s="408"/>
      <c r="Y23" s="408"/>
      <c r="Z23" s="408"/>
      <c r="AA23" s="408">
        <f>(SUMIFS('Forecast capex'!$X$9:$X$1940, 'Forecast capex'!$J$9:$J$1940,AA$123, 'Forecast capex'!$F$9:$F$1940,$E23))/1000</f>
        <v>0</v>
      </c>
      <c r="AB23" s="408">
        <f>(SUMIFS('Forecast capex'!$X$9:$X$1940, 'Forecast capex'!$J$9:$J$1940,AB$123, 'Forecast capex'!$F$9:$F$1940,$E23))/1000</f>
        <v>101.59628965798441</v>
      </c>
      <c r="AC23" s="408">
        <f>(SUMIFS('Forecast capex'!$X$9:$X$1940, 'Forecast capex'!$J$9:$J$1940,AC$123, 'Forecast capex'!$F$9:$F$1940,$E23))/1000</f>
        <v>876.37008381975772</v>
      </c>
      <c r="AD23" s="408">
        <f>(SUMIFS('Forecast capex'!$X$9:$X$1940, 'Forecast capex'!$J$9:$J$1940,AD$123, 'Forecast capex'!$F$9:$F$1940,$E23))/1000</f>
        <v>0</v>
      </c>
      <c r="AE23" s="408">
        <f>(SUMIFS('Forecast capex'!$X$9:$X$1940, 'Forecast capex'!$J$9:$J$1940,AE$123, 'Forecast capex'!$F$9:$F$1940,$E23))/1000</f>
        <v>2136.9430345316337</v>
      </c>
      <c r="AF23" s="408">
        <f>(SUMIFS('Forecast capex'!$X$9:$X$1940, 'Forecast capex'!$J$9:$J$1940,AF$123, 'Forecast capex'!$F$9:$F$1940,$E23))/1000</f>
        <v>0</v>
      </c>
      <c r="AG23" s="408">
        <f>(SUMIFS('Forecast capex'!$X$9:$X$1940, 'Forecast capex'!$J$9:$J$1940,AG$123, 'Forecast capex'!$F$9:$F$1940,$E23))/1000</f>
        <v>0</v>
      </c>
      <c r="AH23" s="408">
        <f t="shared" si="8"/>
        <v>3013.3131183513915</v>
      </c>
      <c r="AI23" s="528"/>
      <c r="AJ23" s="408">
        <f>(SUMIFS('Forecast capex'!$AC$9:$AC$1940, 'Forecast capex'!$K$9:$K$1940,AJ$123, 'Forecast capex'!$F$9:$F$1940,$E23)+'Schedule E calculations'!M272*'Schedule E calculations'!M$347)/1000</f>
        <v>0</v>
      </c>
      <c r="AK23" s="408">
        <f>(SUMIFS('Forecast capex'!$AC$9:$AC$1940, 'Forecast capex'!$K$9:$K$1940,AK$123, 'Forecast capex'!$F$9:$F$1940,$E23)+'Schedule E calculations'!N272*'Schedule E calculations'!N$347)/1000</f>
        <v>0.77172003723631699</v>
      </c>
      <c r="AL23" s="408">
        <f>(SUMIFS('Forecast capex'!$AC$9:$AC$1940, 'Forecast capex'!$K$9:$K$1940,AL$123, 'Forecast capex'!$F$9:$F$1940,$E23)+'Schedule E calculations'!O272*'Schedule E calculations'!O$347)/1000</f>
        <v>5.8998352581825069</v>
      </c>
      <c r="AM23" s="408">
        <f>(SUMIFS('Forecast capex'!$AC$9:$AC$1940, 'Forecast capex'!$K$9:$K$1940,AM$123, 'Forecast capex'!$F$9:$F$1940,$E23)+'Schedule E calculations'!P272*'Schedule E calculations'!P$347)/1000</f>
        <v>0</v>
      </c>
      <c r="AN23" s="408">
        <f>(SUMIFS('Forecast capex'!$AC$9:$AC$1940, 'Forecast capex'!$K$9:$K$1940,AN$123, 'Forecast capex'!$F$9:$F$1940,$E23)+'Schedule E calculations'!Q272*'Schedule E calculations'!Q$347)/1000</f>
        <v>3170.6065640711463</v>
      </c>
      <c r="AO23" s="408">
        <f>(SUMIFS('Forecast capex'!$AC$9:$AC$1940, 'Forecast capex'!$K$9:$K$1940,AO$123, 'Forecast capex'!$F$9:$F$1940,$E23)+'Schedule E calculations'!R272*'Schedule E calculations'!R$347)/1000</f>
        <v>0</v>
      </c>
      <c r="AP23" s="408">
        <f>(SUMIFS('Forecast capex'!$AC$9:$AC$1940, 'Forecast capex'!$K$9:$K$1940,AP$123, 'Forecast capex'!$F$9:$F$1940,$E23)+'Schedule E calculations'!S272*'Schedule E calculations'!S$347)/1000</f>
        <v>0</v>
      </c>
      <c r="AQ23" s="408">
        <f t="shared" si="6"/>
        <v>3176.5063993293288</v>
      </c>
      <c r="AR23" s="381"/>
      <c r="AZ23" s="372"/>
    </row>
    <row r="24" spans="2:52" ht="15" customHeight="1" x14ac:dyDescent="0.2">
      <c r="B24" s="398"/>
      <c r="C24" s="551"/>
      <c r="D24" s="510"/>
      <c r="E24" s="539" t="str">
        <f>'Global inputs'!B138</f>
        <v>8.5 Lindis Crossing Second Transformer</v>
      </c>
      <c r="F24" s="381"/>
      <c r="G24" s="381"/>
      <c r="H24" s="408"/>
      <c r="I24" s="408"/>
      <c r="J24" s="408"/>
      <c r="K24" s="408"/>
      <c r="L24" s="408"/>
      <c r="M24" s="408">
        <f>(SUMIFS('Forecast capex'!$Q$9:$Q$1940,'Forecast capex'!$J$9:$J$1940,M$123,'Forecast capex'!$F$9:$F$1940,$E24)/1000)</f>
        <v>0</v>
      </c>
      <c r="N24" s="408">
        <f>(SUMIFS('Forecast capex'!$Q$9:$Q$1940,'Forecast capex'!$J$9:$J$1940,N$123,'Forecast capex'!$F$9:$F$1940,$E24)/1000)</f>
        <v>0</v>
      </c>
      <c r="O24" s="408">
        <f>(SUMIFS('Forecast capex'!$Q$9:$Q$1940,'Forecast capex'!$J$9:$J$1940,O$123,'Forecast capex'!$F$9:$F$1940,$E24)/1000)</f>
        <v>0</v>
      </c>
      <c r="P24" s="408">
        <f>(SUMIFS('Forecast capex'!$Q$9:$Q$1940,'Forecast capex'!$J$9:$J$1940,P$123,'Forecast capex'!$F$9:$F$1940,$E24)/1000)</f>
        <v>0</v>
      </c>
      <c r="Q24" s="408">
        <f>(SUMIFS('Forecast capex'!$Q$9:$Q$1940,'Forecast capex'!$J$9:$J$1940,Q$123,'Forecast capex'!$F$9:$F$1940,$E24)/1000)</f>
        <v>0</v>
      </c>
      <c r="R24" s="408">
        <f>(SUMIFS('Forecast capex'!$Q$9:$Q$1940,'Forecast capex'!$J$9:$J$1940,R$123,'Forecast capex'!$F$9:$F$1940,$E24)/1000)</f>
        <v>0</v>
      </c>
      <c r="S24" s="408">
        <f>(SUMIFS('Forecast capex'!$Q$9:$Q$1940,'Forecast capex'!$J$9:$J$1940,S$123,'Forecast capex'!$F$9:$F$1940,$E24)/1000)</f>
        <v>0</v>
      </c>
      <c r="T24" s="408">
        <f t="shared" si="7"/>
        <v>0</v>
      </c>
      <c r="U24" s="381"/>
      <c r="V24" s="408"/>
      <c r="W24" s="408"/>
      <c r="X24" s="408"/>
      <c r="Y24" s="408"/>
      <c r="Z24" s="408"/>
      <c r="AA24" s="408">
        <f>(SUMIFS('Forecast capex'!$X$9:$X$1940, 'Forecast capex'!$J$9:$J$1940,AA$123, 'Forecast capex'!$F$9:$F$1940,$E24))/1000</f>
        <v>0</v>
      </c>
      <c r="AB24" s="408">
        <f>(SUMIFS('Forecast capex'!$X$9:$X$1940, 'Forecast capex'!$J$9:$J$1940,AB$123, 'Forecast capex'!$F$9:$F$1940,$E24))/1000</f>
        <v>0</v>
      </c>
      <c r="AC24" s="408">
        <f>(SUMIFS('Forecast capex'!$X$9:$X$1940, 'Forecast capex'!$J$9:$J$1940,AC$123, 'Forecast capex'!$F$9:$F$1940,$E24))/1000</f>
        <v>0</v>
      </c>
      <c r="AD24" s="408">
        <f>(SUMIFS('Forecast capex'!$X$9:$X$1940, 'Forecast capex'!$J$9:$J$1940,AD$123, 'Forecast capex'!$F$9:$F$1940,$E24))/1000</f>
        <v>0</v>
      </c>
      <c r="AE24" s="408">
        <f>(SUMIFS('Forecast capex'!$X$9:$X$1940, 'Forecast capex'!$J$9:$J$1940,AE$123, 'Forecast capex'!$F$9:$F$1940,$E24))/1000</f>
        <v>0</v>
      </c>
      <c r="AF24" s="408">
        <f>(SUMIFS('Forecast capex'!$X$9:$X$1940, 'Forecast capex'!$J$9:$J$1940,AF$123, 'Forecast capex'!$F$9:$F$1940,$E24))/1000</f>
        <v>0</v>
      </c>
      <c r="AG24" s="408">
        <f>(SUMIFS('Forecast capex'!$X$9:$X$1940, 'Forecast capex'!$J$9:$J$1940,AG$123, 'Forecast capex'!$F$9:$F$1940,$E24))/1000</f>
        <v>0</v>
      </c>
      <c r="AH24" s="408">
        <f t="shared" si="8"/>
        <v>0</v>
      </c>
      <c r="AI24" s="528"/>
      <c r="AJ24" s="408">
        <f>(SUMIFS('Forecast capex'!$AC$9:$AC$1940, 'Forecast capex'!$K$9:$K$1940,AJ$123, 'Forecast capex'!$F$9:$F$1940,$E24)+'Schedule E calculations'!M273*'Schedule E calculations'!M$347)/1000</f>
        <v>0</v>
      </c>
      <c r="AK24" s="408">
        <f>(SUMIFS('Forecast capex'!$AC$9:$AC$1940, 'Forecast capex'!$K$9:$K$1940,AK$123, 'Forecast capex'!$F$9:$F$1940,$E24)+'Schedule E calculations'!N273*'Schedule E calculations'!N$347)/1000</f>
        <v>0</v>
      </c>
      <c r="AL24" s="408">
        <f>(SUMIFS('Forecast capex'!$AC$9:$AC$1940, 'Forecast capex'!$K$9:$K$1940,AL$123, 'Forecast capex'!$F$9:$F$1940,$E24)+'Schedule E calculations'!O273*'Schedule E calculations'!O$347)/1000</f>
        <v>0</v>
      </c>
      <c r="AM24" s="408">
        <f>(SUMIFS('Forecast capex'!$AC$9:$AC$1940, 'Forecast capex'!$K$9:$K$1940,AM$123, 'Forecast capex'!$F$9:$F$1940,$E24)+'Schedule E calculations'!P273*'Schedule E calculations'!P$347)/1000</f>
        <v>0</v>
      </c>
      <c r="AN24" s="408">
        <f>(SUMIFS('Forecast capex'!$AC$9:$AC$1940, 'Forecast capex'!$K$9:$K$1940,AN$123, 'Forecast capex'!$F$9:$F$1940,$E24)+'Schedule E calculations'!Q273*'Schedule E calculations'!Q$347)/1000</f>
        <v>0</v>
      </c>
      <c r="AO24" s="408">
        <f>(SUMIFS('Forecast capex'!$AC$9:$AC$1940, 'Forecast capex'!$K$9:$K$1940,AO$123, 'Forecast capex'!$F$9:$F$1940,$E24)+'Schedule E calculations'!R273*'Schedule E calculations'!R$347)/1000</f>
        <v>0</v>
      </c>
      <c r="AP24" s="408">
        <f>(SUMIFS('Forecast capex'!$AC$9:$AC$1940, 'Forecast capex'!$K$9:$K$1940,AP$123, 'Forecast capex'!$F$9:$F$1940,$E24)+'Schedule E calculations'!S273*'Schedule E calculations'!S$347)/1000</f>
        <v>0</v>
      </c>
      <c r="AQ24" s="408">
        <f t="shared" si="6"/>
        <v>0</v>
      </c>
      <c r="AR24" s="381"/>
      <c r="AZ24" s="372"/>
    </row>
    <row r="25" spans="2:52" ht="15" customHeight="1" x14ac:dyDescent="0.2">
      <c r="B25" s="398"/>
      <c r="C25" s="551"/>
      <c r="D25" s="510"/>
      <c r="E25" s="539" t="str">
        <f>'Global inputs'!B139</f>
        <v>8.7 Upper Clutha Voltage Support</v>
      </c>
      <c r="F25" s="381"/>
      <c r="G25" s="381"/>
      <c r="H25" s="408"/>
      <c r="I25" s="408"/>
      <c r="J25" s="408"/>
      <c r="K25" s="408"/>
      <c r="L25" s="408"/>
      <c r="M25" s="408">
        <f>(SUMIFS('Forecast capex'!$Q$9:$Q$1940,'Forecast capex'!$J$9:$J$1940,M$123,'Forecast capex'!$F$9:$F$1940,$E25)/1000)</f>
        <v>0</v>
      </c>
      <c r="N25" s="408">
        <f>(SUMIFS('Forecast capex'!$Q$9:$Q$1940,'Forecast capex'!$J$9:$J$1940,N$123,'Forecast capex'!$F$9:$F$1940,$E25)/1000)</f>
        <v>922</v>
      </c>
      <c r="O25" s="408">
        <f>(SUMIFS('Forecast capex'!$Q$9:$Q$1940,'Forecast capex'!$J$9:$J$1940,O$123,'Forecast capex'!$F$9:$F$1940,$E25)/1000)</f>
        <v>0</v>
      </c>
      <c r="P25" s="408">
        <f>(SUMIFS('Forecast capex'!$Q$9:$Q$1940,'Forecast capex'!$J$9:$J$1940,P$123,'Forecast capex'!$F$9:$F$1940,$E25)/1000)</f>
        <v>0</v>
      </c>
      <c r="Q25" s="408">
        <f>(SUMIFS('Forecast capex'!$Q$9:$Q$1940,'Forecast capex'!$J$9:$J$1940,Q$123,'Forecast capex'!$F$9:$F$1940,$E25)/1000)</f>
        <v>0</v>
      </c>
      <c r="R25" s="408">
        <f>(SUMIFS('Forecast capex'!$Q$9:$Q$1940,'Forecast capex'!$J$9:$J$1940,R$123,'Forecast capex'!$F$9:$F$1940,$E25)/1000)</f>
        <v>0</v>
      </c>
      <c r="S25" s="408">
        <f>(SUMIFS('Forecast capex'!$Q$9:$Q$1940,'Forecast capex'!$J$9:$J$1940,S$123,'Forecast capex'!$F$9:$F$1940,$E25)/1000)</f>
        <v>0</v>
      </c>
      <c r="T25" s="408">
        <f t="shared" si="7"/>
        <v>0</v>
      </c>
      <c r="U25" s="381"/>
      <c r="V25" s="408"/>
      <c r="W25" s="408"/>
      <c r="X25" s="408"/>
      <c r="Y25" s="408"/>
      <c r="Z25" s="408"/>
      <c r="AA25" s="408">
        <f>(SUMIFS('Forecast capex'!$X$9:$X$1940, 'Forecast capex'!$J$9:$J$1940,AA$123, 'Forecast capex'!$F$9:$F$1940,$E25))/1000</f>
        <v>0</v>
      </c>
      <c r="AB25" s="408">
        <f>(SUMIFS('Forecast capex'!$X$9:$X$1940, 'Forecast capex'!$J$9:$J$1940,AB$123, 'Forecast capex'!$F$9:$F$1940,$E25))/1000</f>
        <v>937.07724596819469</v>
      </c>
      <c r="AC25" s="408">
        <f>(SUMIFS('Forecast capex'!$X$9:$X$1940, 'Forecast capex'!$J$9:$J$1940,AC$123, 'Forecast capex'!$F$9:$F$1940,$E25))/1000</f>
        <v>0</v>
      </c>
      <c r="AD25" s="408">
        <f>(SUMIFS('Forecast capex'!$X$9:$X$1940, 'Forecast capex'!$J$9:$J$1940,AD$123, 'Forecast capex'!$F$9:$F$1940,$E25))/1000</f>
        <v>0</v>
      </c>
      <c r="AE25" s="408">
        <f>(SUMIFS('Forecast capex'!$X$9:$X$1940, 'Forecast capex'!$J$9:$J$1940,AE$123, 'Forecast capex'!$F$9:$F$1940,$E25))/1000</f>
        <v>0</v>
      </c>
      <c r="AF25" s="408">
        <f>(SUMIFS('Forecast capex'!$X$9:$X$1940, 'Forecast capex'!$J$9:$J$1940,AF$123, 'Forecast capex'!$F$9:$F$1940,$E25))/1000</f>
        <v>0</v>
      </c>
      <c r="AG25" s="408">
        <f>(SUMIFS('Forecast capex'!$X$9:$X$1940, 'Forecast capex'!$J$9:$J$1940,AG$123, 'Forecast capex'!$F$9:$F$1940,$E25))/1000</f>
        <v>0</v>
      </c>
      <c r="AH25" s="408">
        <f t="shared" si="8"/>
        <v>0</v>
      </c>
      <c r="AI25" s="528"/>
      <c r="AJ25" s="408">
        <f>(SUMIFS('Forecast capex'!$AC$9:$AC$1940, 'Forecast capex'!$K$9:$K$1940,AJ$123, 'Forecast capex'!$F$9:$F$1940,$E25)+'Schedule E calculations'!M274*'Schedule E calculations'!M$347)/1000</f>
        <v>0</v>
      </c>
      <c r="AK25" s="408">
        <f>(SUMIFS('Forecast capex'!$AC$9:$AC$1940, 'Forecast capex'!$K$9:$K$1940,AK$123, 'Forecast capex'!$F$9:$F$1940,$E25)+'Schedule E calculations'!N274*'Schedule E calculations'!N$347)/1000</f>
        <v>951.25963050795781</v>
      </c>
      <c r="AL25" s="408">
        <f>(SUMIFS('Forecast capex'!$AC$9:$AC$1940, 'Forecast capex'!$K$9:$K$1940,AL$123, 'Forecast capex'!$F$9:$F$1940,$E25)+'Schedule E calculations'!O274*'Schedule E calculations'!O$347)/1000</f>
        <v>0</v>
      </c>
      <c r="AM25" s="408">
        <f>(SUMIFS('Forecast capex'!$AC$9:$AC$1940, 'Forecast capex'!$K$9:$K$1940,AM$123, 'Forecast capex'!$F$9:$F$1940,$E25)+'Schedule E calculations'!P274*'Schedule E calculations'!P$347)/1000</f>
        <v>0</v>
      </c>
      <c r="AN25" s="408">
        <f>(SUMIFS('Forecast capex'!$AC$9:$AC$1940, 'Forecast capex'!$K$9:$K$1940,AN$123, 'Forecast capex'!$F$9:$F$1940,$E25)+'Schedule E calculations'!Q274*'Schedule E calculations'!Q$347)/1000</f>
        <v>0</v>
      </c>
      <c r="AO25" s="408">
        <f>(SUMIFS('Forecast capex'!$AC$9:$AC$1940, 'Forecast capex'!$K$9:$K$1940,AO$123, 'Forecast capex'!$F$9:$F$1940,$E25)+'Schedule E calculations'!R274*'Schedule E calculations'!R$347)/1000</f>
        <v>0</v>
      </c>
      <c r="AP25" s="408">
        <f>(SUMIFS('Forecast capex'!$AC$9:$AC$1940, 'Forecast capex'!$K$9:$K$1940,AP$123, 'Forecast capex'!$F$9:$F$1940,$E25)+'Schedule E calculations'!S274*'Schedule E calculations'!S$347)/1000</f>
        <v>0</v>
      </c>
      <c r="AQ25" s="408">
        <f t="shared" si="6"/>
        <v>0</v>
      </c>
      <c r="AR25" s="381"/>
      <c r="AZ25" s="372"/>
    </row>
    <row r="26" spans="2:52" ht="15" customHeight="1" x14ac:dyDescent="0.2">
      <c r="B26" s="398"/>
      <c r="C26" s="551"/>
      <c r="D26" s="510"/>
      <c r="E26" s="539" t="str">
        <f>'Global inputs'!B141</f>
        <v>8.16 Smith Street to Willowbank Inter-tie</v>
      </c>
      <c r="F26" s="381"/>
      <c r="G26" s="381"/>
      <c r="H26" s="408"/>
      <c r="I26" s="408"/>
      <c r="J26" s="408"/>
      <c r="K26" s="408"/>
      <c r="L26" s="408"/>
      <c r="M26" s="408">
        <f>(SUMIFS('Forecast capex'!$Q$9:$Q$1940,'Forecast capex'!$J$9:$J$1940,M$123,'Forecast capex'!$F$9:$F$1940,$E26)/1000)</f>
        <v>0</v>
      </c>
      <c r="N26" s="408">
        <f>(SUMIFS('Forecast capex'!$Q$9:$Q$1940,'Forecast capex'!$J$9:$J$1940,N$123,'Forecast capex'!$F$9:$F$1940,$E26)/1000)</f>
        <v>470</v>
      </c>
      <c r="O26" s="408">
        <f>(SUMIFS('Forecast capex'!$Q$9:$Q$1940,'Forecast capex'!$J$9:$J$1940,O$123,'Forecast capex'!$F$9:$F$1940,$E26)/1000)</f>
        <v>0</v>
      </c>
      <c r="P26" s="408">
        <f>(SUMIFS('Forecast capex'!$Q$9:$Q$1940,'Forecast capex'!$J$9:$J$1940,P$123,'Forecast capex'!$F$9:$F$1940,$E26)/1000)</f>
        <v>0</v>
      </c>
      <c r="Q26" s="408">
        <f>(SUMIFS('Forecast capex'!$Q$9:$Q$1940,'Forecast capex'!$J$9:$J$1940,Q$123,'Forecast capex'!$F$9:$F$1940,$E26)/1000)</f>
        <v>0</v>
      </c>
      <c r="R26" s="408">
        <f>(SUMIFS('Forecast capex'!$Q$9:$Q$1940,'Forecast capex'!$J$9:$J$1940,R$123,'Forecast capex'!$F$9:$F$1940,$E26)/1000)</f>
        <v>0</v>
      </c>
      <c r="S26" s="408">
        <f>(SUMIFS('Forecast capex'!$Q$9:$Q$1940,'Forecast capex'!$J$9:$J$1940,S$123,'Forecast capex'!$F$9:$F$1940,$E26)/1000)</f>
        <v>0</v>
      </c>
      <c r="T26" s="408">
        <f t="shared" si="7"/>
        <v>0</v>
      </c>
      <c r="U26" s="381"/>
      <c r="V26" s="408"/>
      <c r="W26" s="408"/>
      <c r="X26" s="408"/>
      <c r="Y26" s="408"/>
      <c r="Z26" s="408"/>
      <c r="AA26" s="408">
        <f>(SUMIFS('Forecast capex'!$X$9:$X$1940, 'Forecast capex'!$J$9:$J$1940,AA$123, 'Forecast capex'!$F$9:$F$1940,$E26))/1000</f>
        <v>0</v>
      </c>
      <c r="AB26" s="408">
        <f>(SUMIFS('Forecast capex'!$X$9:$X$1940, 'Forecast capex'!$J$9:$J$1940,AB$123, 'Forecast capex'!$F$9:$F$1940,$E26))/1000</f>
        <v>477.52173537849626</v>
      </c>
      <c r="AC26" s="408">
        <f>(SUMIFS('Forecast capex'!$X$9:$X$1940, 'Forecast capex'!$J$9:$J$1940,AC$123, 'Forecast capex'!$F$9:$F$1940,$E26))/1000</f>
        <v>0</v>
      </c>
      <c r="AD26" s="408">
        <f>(SUMIFS('Forecast capex'!$X$9:$X$1940, 'Forecast capex'!$J$9:$J$1940,AD$123, 'Forecast capex'!$F$9:$F$1940,$E26))/1000</f>
        <v>0</v>
      </c>
      <c r="AE26" s="408">
        <f>(SUMIFS('Forecast capex'!$X$9:$X$1940, 'Forecast capex'!$J$9:$J$1940,AE$123, 'Forecast capex'!$F$9:$F$1940,$E26))/1000</f>
        <v>0</v>
      </c>
      <c r="AF26" s="408">
        <f>(SUMIFS('Forecast capex'!$X$9:$X$1940, 'Forecast capex'!$J$9:$J$1940,AF$123, 'Forecast capex'!$F$9:$F$1940,$E26))/1000</f>
        <v>0</v>
      </c>
      <c r="AG26" s="408">
        <f>(SUMIFS('Forecast capex'!$X$9:$X$1940, 'Forecast capex'!$J$9:$J$1940,AG$123, 'Forecast capex'!$F$9:$F$1940,$E26))/1000</f>
        <v>0</v>
      </c>
      <c r="AH26" s="408">
        <f>SUM(AC26:AG26)</f>
        <v>0</v>
      </c>
      <c r="AI26" s="528"/>
      <c r="AJ26" s="408">
        <f>(SUMIFS('Forecast capex'!$AC$9:$AC$1940, 'Forecast capex'!$K$9:$K$1940,AJ$123, 'Forecast capex'!$F$9:$F$1940,$E26)+'Schedule E calculations'!M275*'Schedule E calculations'!M$347)/1000</f>
        <v>0</v>
      </c>
      <c r="AK26" s="408">
        <f>(SUMIFS('Forecast capex'!$AC$9:$AC$1940, 'Forecast capex'!$K$9:$K$1940,AK$123, 'Forecast capex'!$F$9:$F$1940,$E26)+'Schedule E calculations'!N275*'Schedule E calculations'!N$347)/1000</f>
        <v>3.6270841750106908</v>
      </c>
      <c r="AL26" s="408">
        <f>(SUMIFS('Forecast capex'!$AC$9:$AC$1940, 'Forecast capex'!$K$9:$K$1940,AL$123, 'Forecast capex'!$F$9:$F$1940,$E26)+'Schedule E calculations'!O275*'Schedule E calculations'!O$347)/1000</f>
        <v>0</v>
      </c>
      <c r="AM26" s="408">
        <f>(SUMIFS('Forecast capex'!$AC$9:$AC$1940, 'Forecast capex'!$K$9:$K$1940,AM$123, 'Forecast capex'!$F$9:$F$1940,$E26)+'Schedule E calculations'!P275*'Schedule E calculations'!P$347)/1000</f>
        <v>0</v>
      </c>
      <c r="AN26" s="408">
        <f>(SUMIFS('Forecast capex'!$AC$9:$AC$1940, 'Forecast capex'!$K$9:$K$1940,AN$123, 'Forecast capex'!$F$9:$F$1940,$E26)+'Schedule E calculations'!Q275*'Schedule E calculations'!Q$347)/1000</f>
        <v>530.30740619620349</v>
      </c>
      <c r="AO26" s="408">
        <f>(SUMIFS('Forecast capex'!$AC$9:$AC$1940, 'Forecast capex'!$K$9:$K$1940,AO$123, 'Forecast capex'!$F$9:$F$1940,$E26)+'Schedule E calculations'!R275*'Schedule E calculations'!R$347)/1000</f>
        <v>0</v>
      </c>
      <c r="AP26" s="408">
        <f>(SUMIFS('Forecast capex'!$AC$9:$AC$1940, 'Forecast capex'!$K$9:$K$1940,AP$123, 'Forecast capex'!$F$9:$F$1940,$E26)+'Schedule E calculations'!S275*'Schedule E calculations'!S$347)/1000</f>
        <v>0</v>
      </c>
      <c r="AQ26" s="408">
        <f>SUM(AL26:AP26)</f>
        <v>530.30740619620349</v>
      </c>
      <c r="AR26" s="381"/>
      <c r="AZ26" s="372"/>
    </row>
    <row r="27" spans="2:52" ht="15" customHeight="1" x14ac:dyDescent="0.2">
      <c r="B27" s="398"/>
      <c r="C27" s="551"/>
      <c r="D27" s="510"/>
      <c r="E27" s="539" t="str">
        <f>'Global inputs'!B142</f>
        <v>8.17 North City to Ward Inter-tie</v>
      </c>
      <c r="F27" s="381"/>
      <c r="G27" s="381"/>
      <c r="H27" s="408"/>
      <c r="I27" s="408"/>
      <c r="J27" s="408"/>
      <c r="K27" s="408"/>
      <c r="L27" s="408"/>
      <c r="M27" s="408">
        <f>(SUMIFS('Forecast capex'!$Q$9:$Q$1940,'Forecast capex'!$J$9:$J$1940,M$123,'Forecast capex'!$F$9:$F$1940,$E27)/1000)</f>
        <v>0</v>
      </c>
      <c r="N27" s="408">
        <f>(SUMIFS('Forecast capex'!$Q$9:$Q$1940,'Forecast capex'!$J$9:$J$1940,N$123,'Forecast capex'!$F$9:$F$1940,$E27)/1000)</f>
        <v>0</v>
      </c>
      <c r="O27" s="408">
        <f>(SUMIFS('Forecast capex'!$Q$9:$Q$1940,'Forecast capex'!$J$9:$J$1940,O$123,'Forecast capex'!$F$9:$F$1940,$E27)/1000)</f>
        <v>0</v>
      </c>
      <c r="P27" s="408">
        <f>(SUMIFS('Forecast capex'!$Q$9:$Q$1940,'Forecast capex'!$J$9:$J$1940,P$123,'Forecast capex'!$F$9:$F$1940,$E27)/1000)</f>
        <v>0</v>
      </c>
      <c r="Q27" s="408">
        <f>(SUMIFS('Forecast capex'!$Q$9:$Q$1940,'Forecast capex'!$J$9:$J$1940,Q$123,'Forecast capex'!$F$9:$F$1940,$E27)/1000)</f>
        <v>0</v>
      </c>
      <c r="R27" s="408">
        <f>(SUMIFS('Forecast capex'!$Q$9:$Q$1940,'Forecast capex'!$J$9:$J$1940,R$123,'Forecast capex'!$F$9:$F$1940,$E27)/1000)</f>
        <v>0</v>
      </c>
      <c r="S27" s="408">
        <f>(SUMIFS('Forecast capex'!$Q$9:$Q$1940,'Forecast capex'!$J$9:$J$1940,S$123,'Forecast capex'!$F$9:$F$1940,$E27)/1000)</f>
        <v>0</v>
      </c>
      <c r="T27" s="408">
        <f t="shared" si="7"/>
        <v>0</v>
      </c>
      <c r="U27" s="381"/>
      <c r="V27" s="408"/>
      <c r="W27" s="408"/>
      <c r="X27" s="408"/>
      <c r="Y27" s="408"/>
      <c r="Z27" s="408"/>
      <c r="AA27" s="408">
        <f>(SUMIFS('Forecast capex'!$X$9:$X$1940, 'Forecast capex'!$J$9:$J$1940,AA$123, 'Forecast capex'!$F$9:$F$1940,$E27))/1000</f>
        <v>0</v>
      </c>
      <c r="AB27" s="408">
        <f>(SUMIFS('Forecast capex'!$X$9:$X$1940, 'Forecast capex'!$J$9:$J$1940,AB$123, 'Forecast capex'!$F$9:$F$1940,$E27))/1000</f>
        <v>0</v>
      </c>
      <c r="AC27" s="408">
        <f>(SUMIFS('Forecast capex'!$X$9:$X$1940, 'Forecast capex'!$J$9:$J$1940,AC$123, 'Forecast capex'!$F$9:$F$1940,$E27))/1000</f>
        <v>0</v>
      </c>
      <c r="AD27" s="408">
        <f>(SUMIFS('Forecast capex'!$X$9:$X$1940, 'Forecast capex'!$J$9:$J$1940,AD$123, 'Forecast capex'!$F$9:$F$1940,$E27))/1000</f>
        <v>0</v>
      </c>
      <c r="AE27" s="408">
        <f>(SUMIFS('Forecast capex'!$X$9:$X$1940, 'Forecast capex'!$J$9:$J$1940,AE$123, 'Forecast capex'!$F$9:$F$1940,$E27))/1000</f>
        <v>0</v>
      </c>
      <c r="AF27" s="408">
        <f>(SUMIFS('Forecast capex'!$X$9:$X$1940, 'Forecast capex'!$J$9:$J$1940,AF$123, 'Forecast capex'!$F$9:$F$1940,$E27))/1000</f>
        <v>0</v>
      </c>
      <c r="AG27" s="408">
        <f>(SUMIFS('Forecast capex'!$X$9:$X$1940, 'Forecast capex'!$J$9:$J$1940,AG$123, 'Forecast capex'!$F$9:$F$1940,$E27))/1000</f>
        <v>0</v>
      </c>
      <c r="AH27" s="408">
        <f>SUM(AC27:AG27)</f>
        <v>0</v>
      </c>
      <c r="AI27" s="528"/>
      <c r="AJ27" s="408">
        <f>(SUMIFS('Forecast capex'!$AC$9:$AC$1940, 'Forecast capex'!$K$9:$K$1940,AJ$123, 'Forecast capex'!$F$9:$F$1940,$E27)+'Schedule E calculations'!M276*'Schedule E calculations'!M$347)/1000</f>
        <v>0</v>
      </c>
      <c r="AK27" s="408">
        <f>(SUMIFS('Forecast capex'!$AC$9:$AC$1940, 'Forecast capex'!$K$9:$K$1940,AK$123, 'Forecast capex'!$F$9:$F$1940,$E27)+'Schedule E calculations'!N276*'Schedule E calculations'!N$347)/1000</f>
        <v>0</v>
      </c>
      <c r="AL27" s="408">
        <f>(SUMIFS('Forecast capex'!$AC$9:$AC$1940, 'Forecast capex'!$K$9:$K$1940,AL$123, 'Forecast capex'!$F$9:$F$1940,$E27)+'Schedule E calculations'!O276*'Schedule E calculations'!O$347)/1000</f>
        <v>0</v>
      </c>
      <c r="AM27" s="408">
        <f>(SUMIFS('Forecast capex'!$AC$9:$AC$1940, 'Forecast capex'!$K$9:$K$1940,AM$123, 'Forecast capex'!$F$9:$F$1940,$E27)+'Schedule E calculations'!P276*'Schedule E calculations'!P$347)/1000</f>
        <v>0</v>
      </c>
      <c r="AN27" s="408">
        <f>(SUMIFS('Forecast capex'!$AC$9:$AC$1940, 'Forecast capex'!$K$9:$K$1940,AN$123, 'Forecast capex'!$F$9:$F$1940,$E27)+'Schedule E calculations'!Q276*'Schedule E calculations'!Q$347)/1000</f>
        <v>0</v>
      </c>
      <c r="AO27" s="408">
        <f>(SUMIFS('Forecast capex'!$AC$9:$AC$1940, 'Forecast capex'!$K$9:$K$1940,AO$123, 'Forecast capex'!$F$9:$F$1940,$E27)+'Schedule E calculations'!R276*'Schedule E calculations'!R$347)/1000</f>
        <v>0</v>
      </c>
      <c r="AP27" s="408">
        <f>(SUMIFS('Forecast capex'!$AC$9:$AC$1940, 'Forecast capex'!$K$9:$K$1940,AP$123, 'Forecast capex'!$F$9:$F$1940,$E27)+'Schedule E calculations'!S276*'Schedule E calculations'!S$347)/1000</f>
        <v>0</v>
      </c>
      <c r="AQ27" s="408">
        <f>SUM(AL27:AP27)</f>
        <v>0</v>
      </c>
      <c r="AR27" s="381"/>
      <c r="AZ27" s="372"/>
    </row>
    <row r="28" spans="2:52" ht="15" customHeight="1" x14ac:dyDescent="0.2">
      <c r="B28" s="398"/>
      <c r="C28" s="551"/>
      <c r="D28" s="510"/>
      <c r="E28" s="539" t="str">
        <f>'Global inputs'!B143</f>
        <v>9 Distribution and LV Reinforcement</v>
      </c>
      <c r="F28" s="381"/>
      <c r="G28" s="381"/>
      <c r="H28" s="511">
        <v>0</v>
      </c>
      <c r="I28" s="511">
        <v>3971.1130544855196</v>
      </c>
      <c r="J28" s="511">
        <v>0</v>
      </c>
      <c r="K28" s="511">
        <v>2135.1502147529018</v>
      </c>
      <c r="L28" s="511">
        <v>709.26533229416862</v>
      </c>
      <c r="M28" s="408">
        <f>(SUMIFS('Forecast capex'!$Q$9:$Q$1940,'Forecast capex'!$J$9:$J$1940,M$123,'Forecast capex'!$F$9:$F$1940,$E28)/1000)</f>
        <v>3920.9845889074718</v>
      </c>
      <c r="N28" s="408">
        <f>(SUMIFS('Forecast capex'!$Q$9:$Q$1940,'Forecast capex'!$J$9:$J$1940,N$123,'Forecast capex'!$F$9:$F$1940,$E28)/1000)</f>
        <v>2905.7700000000009</v>
      </c>
      <c r="O28" s="408">
        <f>(SUMIFS('Forecast capex'!$Q$9:$Q$1940,'Forecast capex'!$J$9:$J$1940,O$123,'Forecast capex'!$F$9:$F$1940,$E28)/1000)</f>
        <v>2834.1781166073738</v>
      </c>
      <c r="P28" s="408">
        <f>(SUMIFS('Forecast capex'!$Q$9:$Q$1940,'Forecast capex'!$J$9:$J$1940,P$123,'Forecast capex'!$F$9:$F$1940,$E28)/1000)</f>
        <v>2237.8638466429493</v>
      </c>
      <c r="Q28" s="408">
        <f>(SUMIFS('Forecast capex'!$Q$9:$Q$1940,'Forecast capex'!$J$9:$J$1940,Q$123,'Forecast capex'!$F$9:$F$1940,$E28)/1000)</f>
        <v>2293.8104428090232</v>
      </c>
      <c r="R28" s="408">
        <f>(SUMIFS('Forecast capex'!$Q$9:$Q$1940,'Forecast capex'!$J$9:$J$1940,R$123,'Forecast capex'!$F$9:$F$1940,$E28)/1000)</f>
        <v>2937.1962987188722</v>
      </c>
      <c r="S28" s="408">
        <f>(SUMIFS('Forecast capex'!$Q$9:$Q$1940,'Forecast capex'!$J$9:$J$1940,S$123,'Forecast capex'!$F$9:$F$1940,$E28)/1000)</f>
        <v>3007.13</v>
      </c>
      <c r="T28" s="408">
        <f t="shared" si="7"/>
        <v>13310.17870477822</v>
      </c>
      <c r="U28" s="381"/>
      <c r="V28" s="511">
        <v>0</v>
      </c>
      <c r="W28" s="511">
        <v>3743.0665428482207</v>
      </c>
      <c r="X28" s="511">
        <v>0</v>
      </c>
      <c r="Y28" s="511">
        <v>2066.5345090183114</v>
      </c>
      <c r="Z28" s="511">
        <v>698.09680747742573</v>
      </c>
      <c r="AA28" s="408">
        <f>(SUMIFS('Forecast capex'!$X$9:$X$1940, 'Forecast capex'!$J$9:$J$1940,AA$123, 'Forecast capex'!$F$9:$F$1940,$E28))/1000</f>
        <v>3920.9845889074718</v>
      </c>
      <c r="AB28" s="408">
        <f>(SUMIFS('Forecast capex'!$X$9:$X$1940, 'Forecast capex'!$J$9:$J$1940,AB$123, 'Forecast capex'!$F$9:$F$1940,$E28))/1000</f>
        <v>2947.9832715840353</v>
      </c>
      <c r="AC28" s="408">
        <f>(SUMIFS('Forecast capex'!$X$9:$X$1940, 'Forecast capex'!$J$9:$J$1940,AC$123, 'Forecast capex'!$F$9:$F$1940,$E28))/1000</f>
        <v>2916.0660854035282</v>
      </c>
      <c r="AD28" s="408">
        <f>(SUMIFS('Forecast capex'!$X$9:$X$1940, 'Forecast capex'!$J$9:$J$1940,AD$123, 'Forecast capex'!$F$9:$F$1940,$E28))/1000</f>
        <v>2350.2375269809381</v>
      </c>
      <c r="AE28" s="408">
        <f>(SUMIFS('Forecast capex'!$X$9:$X$1940, 'Forecast capex'!$J$9:$J$1940,AE$123, 'Forecast capex'!$F$9:$F$1940,$E28))/1000</f>
        <v>2450.5143935346587</v>
      </c>
      <c r="AF28" s="408">
        <f>(SUMIFS('Forecast capex'!$X$9:$X$1940, 'Forecast capex'!$J$9:$J$1940,AF$123, 'Forecast capex'!$F$9:$F$1940,$E28))/1000</f>
        <v>3203.4855710851466</v>
      </c>
      <c r="AG28" s="408">
        <f>(SUMIFS('Forecast capex'!$X$9:$X$1940, 'Forecast capex'!$J$9:$J$1940,AG$123, 'Forecast capex'!$F$9:$F$1940,$E28))/1000</f>
        <v>3348.4214823330185</v>
      </c>
      <c r="AH28" s="408">
        <f t="shared" si="8"/>
        <v>14268.72505933729</v>
      </c>
      <c r="AI28" s="528"/>
      <c r="AJ28" s="408">
        <f>(SUMIFS('Forecast capex'!$AC$9:$AC$1940, 'Forecast capex'!$K$9:$K$1940,AJ$123, 'Forecast capex'!$F$9:$F$1940,$E28)+'Schedule E calculations'!M277*'Schedule E calculations'!M$347)/1000</f>
        <v>3572.7805672204818</v>
      </c>
      <c r="AK28" s="408">
        <f>(SUMIFS('Forecast capex'!$AC$9:$AC$1940, 'Forecast capex'!$K$9:$K$1940,AK$123, 'Forecast capex'!$F$9:$F$1940,$E28)+'Schedule E calculations'!N277*'Schedule E calculations'!N$347)/1000</f>
        <v>2992.6403930111314</v>
      </c>
      <c r="AL28" s="408">
        <f>(SUMIFS('Forecast capex'!$AC$9:$AC$1940, 'Forecast capex'!$K$9:$K$1940,AL$123, 'Forecast capex'!$F$9:$F$1940,$E28)+'Schedule E calculations'!O277*'Schedule E calculations'!O$347)/1000</f>
        <v>3143.6189575696053</v>
      </c>
      <c r="AM28" s="408">
        <f>(SUMIFS('Forecast capex'!$AC$9:$AC$1940, 'Forecast capex'!$K$9:$K$1940,AM$123, 'Forecast capex'!$F$9:$F$1940,$E28)+'Schedule E calculations'!P277*'Schedule E calculations'!P$347)/1000</f>
        <v>2399.978782722726</v>
      </c>
      <c r="AN28" s="408">
        <f>(SUMIFS('Forecast capex'!$AC$9:$AC$1940, 'Forecast capex'!$K$9:$K$1940,AN$123, 'Forecast capex'!$F$9:$F$1940,$E28)+'Schedule E calculations'!Q277*'Schedule E calculations'!Q$347)/1000</f>
        <v>2428.7339556007587</v>
      </c>
      <c r="AO28" s="408">
        <f>(SUMIFS('Forecast capex'!$AC$9:$AC$1940, 'Forecast capex'!$K$9:$K$1940,AO$123, 'Forecast capex'!$F$9:$F$1940,$E28)+'Schedule E calculations'!R277*'Schedule E calculations'!R$347)/1000</f>
        <v>3293.3881894424239</v>
      </c>
      <c r="AP28" s="408">
        <f>(SUMIFS('Forecast capex'!$AC$9:$AC$1940, 'Forecast capex'!$K$9:$K$1940,AP$123, 'Forecast capex'!$F$9:$F$1940,$E28)+'Schedule E calculations'!S277*'Schedule E calculations'!S$347)/1000</f>
        <v>3492.9593870543085</v>
      </c>
      <c r="AQ28" s="408">
        <f t="shared" si="6"/>
        <v>14758.679272389823</v>
      </c>
      <c r="AR28" s="381"/>
      <c r="AZ28" s="372"/>
    </row>
    <row r="29" spans="2:52" ht="15" customHeight="1" x14ac:dyDescent="0.2">
      <c r="B29" s="398"/>
      <c r="C29" s="551"/>
      <c r="D29" s="510"/>
      <c r="E29" s="539" t="str">
        <f>'Global inputs'!B144</f>
        <v>Install two new 24MVA transformers at Cromwell substation</v>
      </c>
      <c r="F29" s="381"/>
      <c r="G29" s="381"/>
      <c r="H29" s="408"/>
      <c r="I29" s="408"/>
      <c r="J29" s="408"/>
      <c r="K29" s="408"/>
      <c r="L29" s="408"/>
      <c r="M29" s="408">
        <f>(SUMIFS('Forecast capex'!$Q$9:$Q$1940,'Forecast capex'!$J$9:$J$1940,M$123,'Forecast capex'!$F$9:$F$1940,$E29)/1000)</f>
        <v>3296.9236133593745</v>
      </c>
      <c r="N29" s="408">
        <f>(SUMIFS('Forecast capex'!$Q$9:$Q$1940,'Forecast capex'!$J$9:$J$1940,N$123,'Forecast capex'!$F$9:$F$1940,$E29)/1000)</f>
        <v>200</v>
      </c>
      <c r="O29" s="408">
        <f>(SUMIFS('Forecast capex'!$Q$9:$Q$1940,'Forecast capex'!$J$9:$J$1940,O$123,'Forecast capex'!$F$9:$F$1940,$E29)/1000)</f>
        <v>0</v>
      </c>
      <c r="P29" s="408">
        <f>(SUMIFS('Forecast capex'!$Q$9:$Q$1940,'Forecast capex'!$J$9:$J$1940,P$123,'Forecast capex'!$F$9:$F$1940,$E29)/1000)</f>
        <v>0</v>
      </c>
      <c r="Q29" s="408">
        <f>(SUMIFS('Forecast capex'!$Q$9:$Q$1940,'Forecast capex'!$J$9:$J$1940,Q$123,'Forecast capex'!$F$9:$F$1940,$E29)/1000)</f>
        <v>0</v>
      </c>
      <c r="R29" s="408">
        <f>(SUMIFS('Forecast capex'!$Q$9:$Q$1940,'Forecast capex'!$J$9:$J$1940,R$123,'Forecast capex'!$F$9:$F$1940,$E29)/1000)</f>
        <v>0</v>
      </c>
      <c r="S29" s="408">
        <f>(SUMIFS('Forecast capex'!$Q$9:$Q$1940,'Forecast capex'!$J$9:$J$1940,S$123,'Forecast capex'!$F$9:$F$1940,$E29)/1000)</f>
        <v>0</v>
      </c>
      <c r="T29" s="408">
        <f t="shared" si="7"/>
        <v>0</v>
      </c>
      <c r="U29" s="381"/>
      <c r="V29" s="408"/>
      <c r="W29" s="408"/>
      <c r="X29" s="408"/>
      <c r="Y29" s="408"/>
      <c r="Z29" s="408"/>
      <c r="AA29" s="408">
        <f>(SUMIFS('Forecast capex'!$X$9:$X$1940, 'Forecast capex'!$J$9:$J$1940,AA$123, 'Forecast capex'!$F$9:$F$1940,$E29))/1000</f>
        <v>3296.9236133593745</v>
      </c>
      <c r="AB29" s="408">
        <f>(SUMIFS('Forecast capex'!$X$9:$X$1940, 'Forecast capex'!$J$9:$J$1940,AB$123, 'Forecast capex'!$F$9:$F$1940,$E29))/1000</f>
        <v>201.73113763993172</v>
      </c>
      <c r="AC29" s="408">
        <f>(SUMIFS('Forecast capex'!$X$9:$X$1940, 'Forecast capex'!$J$9:$J$1940,AC$123, 'Forecast capex'!$F$9:$F$1940,$E29))/1000</f>
        <v>0</v>
      </c>
      <c r="AD29" s="408">
        <f>(SUMIFS('Forecast capex'!$X$9:$X$1940, 'Forecast capex'!$J$9:$J$1940,AD$123, 'Forecast capex'!$F$9:$F$1940,$E29))/1000</f>
        <v>0</v>
      </c>
      <c r="AE29" s="408">
        <f>(SUMIFS('Forecast capex'!$X$9:$X$1940, 'Forecast capex'!$J$9:$J$1940,AE$123, 'Forecast capex'!$F$9:$F$1940,$E29))/1000</f>
        <v>0</v>
      </c>
      <c r="AF29" s="408">
        <f>(SUMIFS('Forecast capex'!$X$9:$X$1940, 'Forecast capex'!$J$9:$J$1940,AF$123, 'Forecast capex'!$F$9:$F$1940,$E29))/1000</f>
        <v>0</v>
      </c>
      <c r="AG29" s="408">
        <f>(SUMIFS('Forecast capex'!$X$9:$X$1940, 'Forecast capex'!$J$9:$J$1940,AG$123, 'Forecast capex'!$F$9:$F$1940,$E29))/1000</f>
        <v>0</v>
      </c>
      <c r="AH29" s="408">
        <f t="shared" si="8"/>
        <v>0</v>
      </c>
      <c r="AI29" s="528"/>
      <c r="AJ29" s="408">
        <f>(SUMIFS('Forecast capex'!$AC$9:$AC$1940, 'Forecast capex'!$K$9:$K$1940,AJ$123, 'Forecast capex'!$F$9:$F$1940,$E29)+'Schedule E calculations'!M278*'Schedule E calculations'!M$347)/1000</f>
        <v>24.178338277633689</v>
      </c>
      <c r="AK29" s="408">
        <f>(SUMIFS('Forecast capex'!$AC$9:$AC$1940, 'Forecast capex'!$K$9:$K$1940,AK$123, 'Forecast capex'!$F$9:$F$1940,$E29)+'Schedule E calculations'!N278*'Schedule E calculations'!N$347)/1000</f>
        <v>3618.9811074301761</v>
      </c>
      <c r="AL29" s="408">
        <f>(SUMIFS('Forecast capex'!$AC$9:$AC$1940, 'Forecast capex'!$K$9:$K$1940,AL$123, 'Forecast capex'!$F$9:$F$1940,$E29)+'Schedule E calculations'!O278*'Schedule E calculations'!O$347)/1000</f>
        <v>0</v>
      </c>
      <c r="AM29" s="408">
        <f>(SUMIFS('Forecast capex'!$AC$9:$AC$1940, 'Forecast capex'!$K$9:$K$1940,AM$123, 'Forecast capex'!$F$9:$F$1940,$E29)+'Schedule E calculations'!P278*'Schedule E calculations'!P$347)/1000</f>
        <v>0</v>
      </c>
      <c r="AN29" s="408">
        <f>(SUMIFS('Forecast capex'!$AC$9:$AC$1940, 'Forecast capex'!$K$9:$K$1940,AN$123, 'Forecast capex'!$F$9:$F$1940,$E29)+'Schedule E calculations'!Q278*'Schedule E calculations'!Q$347)/1000</f>
        <v>0</v>
      </c>
      <c r="AO29" s="408">
        <f>(SUMIFS('Forecast capex'!$AC$9:$AC$1940, 'Forecast capex'!$K$9:$K$1940,AO$123, 'Forecast capex'!$F$9:$F$1940,$E29)+'Schedule E calculations'!R278*'Schedule E calculations'!R$347)/1000</f>
        <v>0</v>
      </c>
      <c r="AP29" s="408">
        <f>(SUMIFS('Forecast capex'!$AC$9:$AC$1940, 'Forecast capex'!$K$9:$K$1940,AP$123, 'Forecast capex'!$F$9:$F$1940,$E29)+'Schedule E calculations'!S278*'Schedule E calculations'!S$347)/1000</f>
        <v>0</v>
      </c>
      <c r="AQ29" s="408">
        <f t="shared" si="6"/>
        <v>0</v>
      </c>
      <c r="AR29" s="381"/>
      <c r="AZ29" s="372"/>
    </row>
    <row r="30" spans="2:52" ht="15" customHeight="1" x14ac:dyDescent="0.2">
      <c r="B30" s="398"/>
      <c r="C30" s="551"/>
      <c r="D30" s="510"/>
      <c r="E30" s="539" t="str">
        <f>'Global inputs'!B145</f>
        <v>Riverbank Road Switching Station</v>
      </c>
      <c r="F30" s="381"/>
      <c r="G30" s="381"/>
      <c r="H30" s="408"/>
      <c r="I30" s="408"/>
      <c r="J30" s="408"/>
      <c r="K30" s="408"/>
      <c r="L30" s="408"/>
      <c r="M30" s="408">
        <f>(SUMIFS('Forecast capex'!$Q$9:$Q$1940,'Forecast capex'!$J$9:$J$1940,M$123,'Forecast capex'!$F$9:$F$1940,$E30)/1000)</f>
        <v>32.415720703125004</v>
      </c>
      <c r="N30" s="408">
        <f>(SUMIFS('Forecast capex'!$Q$9:$Q$1940,'Forecast capex'!$J$9:$J$1940,N$123,'Forecast capex'!$F$9:$F$1940,$E30)/1000)</f>
        <v>0</v>
      </c>
      <c r="O30" s="408">
        <f>(SUMIFS('Forecast capex'!$Q$9:$Q$1940,'Forecast capex'!$J$9:$J$1940,O$123,'Forecast capex'!$F$9:$F$1940,$E30)/1000)</f>
        <v>0</v>
      </c>
      <c r="P30" s="408">
        <f>(SUMIFS('Forecast capex'!$Q$9:$Q$1940,'Forecast capex'!$J$9:$J$1940,P$123,'Forecast capex'!$F$9:$F$1940,$E30)/1000)</f>
        <v>0</v>
      </c>
      <c r="Q30" s="408">
        <f>(SUMIFS('Forecast capex'!$Q$9:$Q$1940,'Forecast capex'!$J$9:$J$1940,Q$123,'Forecast capex'!$F$9:$F$1940,$E30)/1000)</f>
        <v>0</v>
      </c>
      <c r="R30" s="408">
        <f>(SUMIFS('Forecast capex'!$Q$9:$Q$1940,'Forecast capex'!$J$9:$J$1940,R$123,'Forecast capex'!$F$9:$F$1940,$E30)/1000)</f>
        <v>0</v>
      </c>
      <c r="S30" s="408">
        <f>(SUMIFS('Forecast capex'!$Q$9:$Q$1940,'Forecast capex'!$J$9:$J$1940,S$123,'Forecast capex'!$F$9:$F$1940,$E30)/1000)</f>
        <v>0</v>
      </c>
      <c r="T30" s="408">
        <f t="shared" si="7"/>
        <v>0</v>
      </c>
      <c r="U30" s="381"/>
      <c r="V30" s="408"/>
      <c r="W30" s="408"/>
      <c r="X30" s="408"/>
      <c r="Y30" s="408"/>
      <c r="Z30" s="408"/>
      <c r="AA30" s="408">
        <f>(SUMIFS('Forecast capex'!$X$9:$X$1940, 'Forecast capex'!$J$9:$J$1940,AA$123, 'Forecast capex'!$F$9:$F$1940,$E30))/1000</f>
        <v>32.415720703125004</v>
      </c>
      <c r="AB30" s="408">
        <f>(SUMIFS('Forecast capex'!$X$9:$X$1940, 'Forecast capex'!$J$9:$J$1940,AB$123, 'Forecast capex'!$F$9:$F$1940,$E30))/1000</f>
        <v>0</v>
      </c>
      <c r="AC30" s="408">
        <f>(SUMIFS('Forecast capex'!$X$9:$X$1940, 'Forecast capex'!$J$9:$J$1940,AC$123, 'Forecast capex'!$F$9:$F$1940,$E30))/1000</f>
        <v>0</v>
      </c>
      <c r="AD30" s="408">
        <f>(SUMIFS('Forecast capex'!$X$9:$X$1940, 'Forecast capex'!$J$9:$J$1940,AD$123, 'Forecast capex'!$F$9:$F$1940,$E30))/1000</f>
        <v>0</v>
      </c>
      <c r="AE30" s="408">
        <f>(SUMIFS('Forecast capex'!$X$9:$X$1940, 'Forecast capex'!$J$9:$J$1940,AE$123, 'Forecast capex'!$F$9:$F$1940,$E30))/1000</f>
        <v>0</v>
      </c>
      <c r="AF30" s="408">
        <f>(SUMIFS('Forecast capex'!$X$9:$X$1940, 'Forecast capex'!$J$9:$J$1940,AF$123, 'Forecast capex'!$F$9:$F$1940,$E30))/1000</f>
        <v>0</v>
      </c>
      <c r="AG30" s="408">
        <f>(SUMIFS('Forecast capex'!$X$9:$X$1940, 'Forecast capex'!$J$9:$J$1940,AG$123, 'Forecast capex'!$F$9:$F$1940,$E30))/1000</f>
        <v>0</v>
      </c>
      <c r="AH30" s="408">
        <f t="shared" si="8"/>
        <v>0</v>
      </c>
      <c r="AI30" s="528"/>
      <c r="AJ30" s="408">
        <f>(SUMIFS('Forecast capex'!$AC$9:$AC$1940, 'Forecast capex'!$K$9:$K$1940,AJ$123, 'Forecast capex'!$F$9:$F$1940,$E30)+'Schedule E calculations'!M279*'Schedule E calculations'!M$347)/1000</f>
        <v>29.537034480628169</v>
      </c>
      <c r="AK30" s="408">
        <f>(SUMIFS('Forecast capex'!$AC$9:$AC$1940, 'Forecast capex'!$K$9:$K$1940,AK$123, 'Forecast capex'!$F$9:$F$1940,$E30)+'Schedule E calculations'!N279*'Schedule E calculations'!N$347)/1000</f>
        <v>0</v>
      </c>
      <c r="AL30" s="408">
        <f>(SUMIFS('Forecast capex'!$AC$9:$AC$1940, 'Forecast capex'!$K$9:$K$1940,AL$123, 'Forecast capex'!$F$9:$F$1940,$E30)+'Schedule E calculations'!O279*'Schedule E calculations'!O$347)/1000</f>
        <v>0</v>
      </c>
      <c r="AM30" s="408">
        <f>(SUMIFS('Forecast capex'!$AC$9:$AC$1940, 'Forecast capex'!$K$9:$K$1940,AM$123, 'Forecast capex'!$F$9:$F$1940,$E30)+'Schedule E calculations'!P279*'Schedule E calculations'!P$347)/1000</f>
        <v>0</v>
      </c>
      <c r="AN30" s="408">
        <f>(SUMIFS('Forecast capex'!$AC$9:$AC$1940, 'Forecast capex'!$K$9:$K$1940,AN$123, 'Forecast capex'!$F$9:$F$1940,$E30)+'Schedule E calculations'!Q279*'Schedule E calculations'!Q$347)/1000</f>
        <v>0</v>
      </c>
      <c r="AO30" s="408">
        <f>(SUMIFS('Forecast capex'!$AC$9:$AC$1940, 'Forecast capex'!$K$9:$K$1940,AO$123, 'Forecast capex'!$F$9:$F$1940,$E30)+'Schedule E calculations'!R279*'Schedule E calculations'!R$347)/1000</f>
        <v>0</v>
      </c>
      <c r="AP30" s="408">
        <f>(SUMIFS('Forecast capex'!$AC$9:$AC$1940, 'Forecast capex'!$K$9:$K$1940,AP$123, 'Forecast capex'!$F$9:$F$1940,$E30)+'Schedule E calculations'!S279*'Schedule E calculations'!S$347)/1000</f>
        <v>0</v>
      </c>
      <c r="AQ30" s="408">
        <f t="shared" si="6"/>
        <v>0</v>
      </c>
      <c r="AR30" s="381"/>
      <c r="AZ30" s="372"/>
    </row>
    <row r="31" spans="2:52" ht="15" customHeight="1" thickBot="1" x14ac:dyDescent="0.25">
      <c r="B31" s="398"/>
      <c r="C31" s="488"/>
      <c r="D31" s="488"/>
      <c r="E31" s="541"/>
      <c r="F31" s="455"/>
      <c r="G31" s="455"/>
      <c r="H31" s="553"/>
      <c r="I31" s="553"/>
      <c r="J31" s="553"/>
      <c r="K31" s="553"/>
      <c r="L31" s="553"/>
      <c r="M31" s="553"/>
      <c r="N31" s="553"/>
      <c r="O31" s="553"/>
      <c r="P31" s="553"/>
      <c r="Q31" s="553"/>
      <c r="R31" s="553"/>
      <c r="S31" s="553"/>
      <c r="T31" s="554"/>
      <c r="U31" s="381"/>
      <c r="V31" s="553"/>
      <c r="W31" s="553"/>
      <c r="X31" s="553"/>
      <c r="Y31" s="553"/>
      <c r="Z31" s="553"/>
      <c r="AA31" s="553"/>
      <c r="AB31" s="553"/>
      <c r="AC31" s="553"/>
      <c r="AD31" s="553"/>
      <c r="AE31" s="553"/>
      <c r="AF31" s="553"/>
      <c r="AG31" s="553"/>
      <c r="AH31" s="553"/>
      <c r="AI31" s="528"/>
      <c r="AJ31" s="553"/>
      <c r="AK31" s="553"/>
      <c r="AL31" s="553"/>
      <c r="AM31" s="553"/>
      <c r="AN31" s="553"/>
      <c r="AO31" s="553"/>
      <c r="AP31" s="553"/>
      <c r="AQ31" s="553"/>
      <c r="AR31" s="381"/>
      <c r="AZ31" s="372"/>
    </row>
    <row r="32" spans="2:52" s="420" customFormat="1" ht="15" customHeight="1" thickBot="1" x14ac:dyDescent="0.3">
      <c r="B32" s="490"/>
      <c r="C32" s="529"/>
      <c r="D32" s="504"/>
      <c r="E32" s="529" t="s">
        <v>636</v>
      </c>
      <c r="F32" s="548"/>
      <c r="G32" s="548"/>
      <c r="H32" s="543">
        <f t="shared" ref="H32:T32" si="9">SUM(H20:H30)</f>
        <v>7342.9414883176332</v>
      </c>
      <c r="I32" s="543">
        <f t="shared" si="9"/>
        <v>9527.2925285109577</v>
      </c>
      <c r="J32" s="543">
        <f t="shared" si="9"/>
        <v>283.76899488803298</v>
      </c>
      <c r="K32" s="543">
        <f t="shared" si="9"/>
        <v>6553.8113829437598</v>
      </c>
      <c r="L32" s="543">
        <f t="shared" si="9"/>
        <v>8386.9569505328</v>
      </c>
      <c r="M32" s="543">
        <f t="shared" si="9"/>
        <v>7250.3239229699711</v>
      </c>
      <c r="N32" s="543">
        <f t="shared" si="9"/>
        <v>5237.7700000000004</v>
      </c>
      <c r="O32" s="543">
        <f t="shared" si="9"/>
        <v>3685.1064166073738</v>
      </c>
      <c r="P32" s="543">
        <f t="shared" si="9"/>
        <v>2237.8638466429493</v>
      </c>
      <c r="Q32" s="543">
        <f t="shared" si="9"/>
        <v>4295.9696428090228</v>
      </c>
      <c r="R32" s="543">
        <f t="shared" si="9"/>
        <v>2937.1962987188722</v>
      </c>
      <c r="S32" s="543">
        <f t="shared" si="9"/>
        <v>3007.13</v>
      </c>
      <c r="T32" s="543">
        <f t="shared" si="9"/>
        <v>16163.26620477822</v>
      </c>
      <c r="U32" s="548"/>
      <c r="V32" s="543">
        <f>SUM(V20:V30)</f>
        <v>6898.2019241842354</v>
      </c>
      <c r="W32" s="543">
        <f>SUM(W20:W30)</f>
        <v>8980.1749328482219</v>
      </c>
      <c r="X32" s="543">
        <f>SUM(X20:X30)</f>
        <v>270.36959773286429</v>
      </c>
      <c r="Y32" s="543">
        <f>SUM(Y20:Y30)</f>
        <v>6343.1965090183112</v>
      </c>
      <c r="Z32" s="543">
        <f>SUM(Z20:Z30)</f>
        <v>8254.8908074774263</v>
      </c>
      <c r="AA32" s="543">
        <f t="shared" ref="AA32:AH32" si="10">SUM(AA20:AA30)</f>
        <v>7250.3239229699711</v>
      </c>
      <c r="AB32" s="543">
        <f t="shared" si="10"/>
        <v>5315.2446173782828</v>
      </c>
      <c r="AC32" s="543">
        <f t="shared" si="10"/>
        <v>3792.436169223286</v>
      </c>
      <c r="AD32" s="543">
        <f t="shared" si="10"/>
        <v>2350.2375269809381</v>
      </c>
      <c r="AE32" s="543">
        <f t="shared" si="10"/>
        <v>4587.4574280662928</v>
      </c>
      <c r="AF32" s="543">
        <f t="shared" si="10"/>
        <v>3203.4855710851466</v>
      </c>
      <c r="AG32" s="543">
        <f t="shared" si="10"/>
        <v>3348.4214823330185</v>
      </c>
      <c r="AH32" s="543">
        <f t="shared" si="10"/>
        <v>17282.038177688682</v>
      </c>
      <c r="AI32" s="544"/>
      <c r="AJ32" s="543">
        <f t="shared" ref="AJ32:AQ32" si="11">SUM(AJ20:AJ30)</f>
        <v>3626.495939978744</v>
      </c>
      <c r="AK32" s="543">
        <f t="shared" si="11"/>
        <v>7572.2189433998246</v>
      </c>
      <c r="AL32" s="543">
        <f t="shared" si="11"/>
        <v>3149.5187928277878</v>
      </c>
      <c r="AM32" s="543">
        <f t="shared" si="11"/>
        <v>2399.978782722726</v>
      </c>
      <c r="AN32" s="543">
        <f t="shared" si="11"/>
        <v>6850.7609156244016</v>
      </c>
      <c r="AO32" s="543">
        <f t="shared" si="11"/>
        <v>3293.3881894424239</v>
      </c>
      <c r="AP32" s="543">
        <f t="shared" si="11"/>
        <v>3492.9593870543085</v>
      </c>
      <c r="AQ32" s="543">
        <f t="shared" si="11"/>
        <v>19186.606067671648</v>
      </c>
      <c r="AR32" s="548"/>
    </row>
    <row r="33" spans="2:52" ht="15" customHeight="1" thickBot="1" x14ac:dyDescent="0.25">
      <c r="B33" s="398"/>
      <c r="C33" s="551"/>
      <c r="D33" s="540" t="s">
        <v>601</v>
      </c>
      <c r="E33" s="551" t="s">
        <v>637</v>
      </c>
      <c r="F33" s="381"/>
      <c r="G33" s="381"/>
      <c r="H33" s="511">
        <v>17.840132392409842</v>
      </c>
      <c r="I33" s="511">
        <v>23.701479350081424</v>
      </c>
      <c r="J33" s="511">
        <v>28.694506943921802</v>
      </c>
      <c r="K33" s="511">
        <v>0</v>
      </c>
      <c r="L33" s="511">
        <v>0</v>
      </c>
      <c r="M33" s="408">
        <f>'Capex summary'!M65/1000</f>
        <v>0</v>
      </c>
      <c r="N33" s="408">
        <f>'Capex summary'!N65/1000</f>
        <v>0</v>
      </c>
      <c r="O33" s="408">
        <f>'Capex summary'!O65/1000</f>
        <v>0</v>
      </c>
      <c r="P33" s="408">
        <f>'Capex summary'!P65/1000</f>
        <v>0</v>
      </c>
      <c r="Q33" s="408">
        <f>'Capex summary'!Q65/1000</f>
        <v>0</v>
      </c>
      <c r="R33" s="408">
        <f>'Capex summary'!R65/1000</f>
        <v>0</v>
      </c>
      <c r="S33" s="408">
        <f>'Capex summary'!S65/1000</f>
        <v>0</v>
      </c>
      <c r="T33" s="408">
        <f>SUM(O33:S33)</f>
        <v>0</v>
      </c>
      <c r="U33" s="381"/>
      <c r="V33" s="511">
        <v>16.759609999999999</v>
      </c>
      <c r="W33" s="511">
        <v>22.340390000000003</v>
      </c>
      <c r="X33" s="511">
        <v>27.339569999999998</v>
      </c>
      <c r="Y33" s="511">
        <v>0</v>
      </c>
      <c r="Z33" s="511">
        <v>0</v>
      </c>
      <c r="AA33" s="408">
        <f>'Capex summary'!M85/1000</f>
        <v>0</v>
      </c>
      <c r="AB33" s="408">
        <f>'Capex summary'!N85/1000</f>
        <v>0</v>
      </c>
      <c r="AC33" s="408">
        <f>'Capex summary'!O85/1000</f>
        <v>0</v>
      </c>
      <c r="AD33" s="408">
        <f>'Capex summary'!P85/1000</f>
        <v>0</v>
      </c>
      <c r="AE33" s="408">
        <f>'Capex summary'!Q85/1000</f>
        <v>0</v>
      </c>
      <c r="AF33" s="408">
        <f>'Capex summary'!R85/1000</f>
        <v>0</v>
      </c>
      <c r="AG33" s="408">
        <f>'Capex summary'!S85/1000</f>
        <v>0</v>
      </c>
      <c r="AH33" s="408">
        <f>SUM(AC33:AG33)</f>
        <v>0</v>
      </c>
      <c r="AI33" s="528"/>
      <c r="AJ33" s="408">
        <f>'Commissioned assets summary'!M77/1000</f>
        <v>0</v>
      </c>
      <c r="AK33" s="408">
        <f>'Commissioned assets summary'!N77/1000</f>
        <v>0</v>
      </c>
      <c r="AL33" s="408">
        <f>'Commissioned assets summary'!O77/1000</f>
        <v>0</v>
      </c>
      <c r="AM33" s="408">
        <f>'Commissioned assets summary'!P77/1000</f>
        <v>0</v>
      </c>
      <c r="AN33" s="408">
        <f>'Commissioned assets summary'!Q77/1000</f>
        <v>0</v>
      </c>
      <c r="AO33" s="408">
        <f>'Commissioned assets summary'!R77/1000</f>
        <v>0</v>
      </c>
      <c r="AP33" s="408">
        <f>'Commissioned assets summary'!S77/1000</f>
        <v>0</v>
      </c>
      <c r="AQ33" s="408">
        <f>SUM(AL33:AP33)</f>
        <v>0</v>
      </c>
      <c r="AR33" s="381"/>
      <c r="AZ33" s="372"/>
    </row>
    <row r="34" spans="2:52" s="420" customFormat="1" ht="15" customHeight="1" thickBot="1" x14ac:dyDescent="0.3">
      <c r="B34" s="490"/>
      <c r="C34" s="529"/>
      <c r="D34" s="504"/>
      <c r="E34" s="529" t="s">
        <v>638</v>
      </c>
      <c r="F34" s="548"/>
      <c r="G34" s="548"/>
      <c r="H34" s="543">
        <f t="shared" ref="H34:S34" si="12">H32-H33</f>
        <v>7325.1013559252233</v>
      </c>
      <c r="I34" s="543">
        <f t="shared" si="12"/>
        <v>9503.5910491608756</v>
      </c>
      <c r="J34" s="543">
        <f t="shared" si="12"/>
        <v>255.07448794411118</v>
      </c>
      <c r="K34" s="543">
        <f t="shared" si="12"/>
        <v>6553.8113829437598</v>
      </c>
      <c r="L34" s="543">
        <f t="shared" si="12"/>
        <v>8386.9569505328</v>
      </c>
      <c r="M34" s="543">
        <f t="shared" si="12"/>
        <v>7250.3239229699711</v>
      </c>
      <c r="N34" s="543">
        <f t="shared" si="12"/>
        <v>5237.7700000000004</v>
      </c>
      <c r="O34" s="543">
        <f t="shared" si="12"/>
        <v>3685.1064166073738</v>
      </c>
      <c r="P34" s="543">
        <f t="shared" si="12"/>
        <v>2237.8638466429493</v>
      </c>
      <c r="Q34" s="543">
        <f t="shared" si="12"/>
        <v>4295.9696428090228</v>
      </c>
      <c r="R34" s="543">
        <f t="shared" si="12"/>
        <v>2937.1962987188722</v>
      </c>
      <c r="S34" s="543">
        <f t="shared" si="12"/>
        <v>3007.13</v>
      </c>
      <c r="T34" s="543">
        <f>T32-T33</f>
        <v>16163.26620477822</v>
      </c>
      <c r="U34" s="548"/>
      <c r="V34" s="543">
        <f t="shared" ref="V34:AF34" si="13">V32-V33</f>
        <v>6881.4423141842353</v>
      </c>
      <c r="W34" s="543">
        <f t="shared" si="13"/>
        <v>8957.8345428482226</v>
      </c>
      <c r="X34" s="543">
        <f t="shared" si="13"/>
        <v>243.03002773286428</v>
      </c>
      <c r="Y34" s="543">
        <f t="shared" si="13"/>
        <v>6343.1965090183112</v>
      </c>
      <c r="Z34" s="543">
        <f t="shared" si="13"/>
        <v>8254.8908074774263</v>
      </c>
      <c r="AA34" s="543">
        <f t="shared" si="13"/>
        <v>7250.3239229699711</v>
      </c>
      <c r="AB34" s="543">
        <f t="shared" si="13"/>
        <v>5315.2446173782828</v>
      </c>
      <c r="AC34" s="543">
        <f t="shared" si="13"/>
        <v>3792.436169223286</v>
      </c>
      <c r="AD34" s="543">
        <f t="shared" si="13"/>
        <v>2350.2375269809381</v>
      </c>
      <c r="AE34" s="543">
        <f t="shared" si="13"/>
        <v>4587.4574280662928</v>
      </c>
      <c r="AF34" s="543">
        <f t="shared" si="13"/>
        <v>3203.4855710851466</v>
      </c>
      <c r="AG34" s="543">
        <f>AG32-AG33</f>
        <v>3348.4214823330185</v>
      </c>
      <c r="AH34" s="543">
        <f>AH32-AH33</f>
        <v>17282.038177688682</v>
      </c>
      <c r="AI34" s="544"/>
      <c r="AJ34" s="543">
        <f t="shared" ref="AJ34:AQ34" si="14">AJ32-AJ33</f>
        <v>3626.495939978744</v>
      </c>
      <c r="AK34" s="543">
        <f t="shared" si="14"/>
        <v>7572.2189433998246</v>
      </c>
      <c r="AL34" s="543">
        <f t="shared" si="14"/>
        <v>3149.5187928277878</v>
      </c>
      <c r="AM34" s="543">
        <f t="shared" si="14"/>
        <v>2399.978782722726</v>
      </c>
      <c r="AN34" s="543">
        <f t="shared" si="14"/>
        <v>6850.7609156244016</v>
      </c>
      <c r="AO34" s="543">
        <f t="shared" si="14"/>
        <v>3293.3881894424239</v>
      </c>
      <c r="AP34" s="543">
        <f t="shared" si="14"/>
        <v>3492.9593870543085</v>
      </c>
      <c r="AQ34" s="543">
        <f t="shared" si="14"/>
        <v>19186.606067671648</v>
      </c>
      <c r="AR34" s="548"/>
    </row>
    <row r="35" spans="2:52" ht="15" customHeight="1" x14ac:dyDescent="0.2">
      <c r="B35" s="398"/>
      <c r="C35" s="488"/>
      <c r="D35" s="488"/>
      <c r="E35" s="551"/>
      <c r="F35" s="381"/>
      <c r="G35" s="381"/>
      <c r="H35" s="531"/>
      <c r="I35" s="531"/>
      <c r="J35" s="531"/>
      <c r="K35" s="531"/>
      <c r="L35" s="531"/>
      <c r="M35" s="531"/>
      <c r="N35" s="531"/>
      <c r="O35" s="531"/>
      <c r="P35" s="531"/>
      <c r="Q35" s="531"/>
      <c r="R35" s="531"/>
      <c r="S35" s="531"/>
      <c r="T35" s="542"/>
      <c r="U35" s="381"/>
      <c r="V35" s="531"/>
      <c r="W35" s="531"/>
      <c r="X35" s="531"/>
      <c r="Y35" s="531"/>
      <c r="Z35" s="531"/>
      <c r="AA35" s="531"/>
      <c r="AB35" s="531"/>
      <c r="AC35" s="531"/>
      <c r="AD35" s="531"/>
      <c r="AE35" s="531"/>
      <c r="AF35" s="531"/>
      <c r="AG35" s="531"/>
      <c r="AH35" s="531"/>
      <c r="AI35" s="528"/>
      <c r="AJ35" s="531"/>
      <c r="AK35" s="531"/>
      <c r="AL35" s="531"/>
      <c r="AM35" s="531"/>
      <c r="AN35" s="531"/>
      <c r="AO35" s="531"/>
      <c r="AP35" s="531"/>
      <c r="AQ35" s="531"/>
      <c r="AR35" s="381"/>
      <c r="AZ35" s="372"/>
    </row>
    <row r="36" spans="2:52" ht="15" customHeight="1" x14ac:dyDescent="0.2">
      <c r="B36" s="398"/>
      <c r="C36" s="549" t="s">
        <v>639</v>
      </c>
      <c r="D36" s="381"/>
      <c r="E36" s="423"/>
      <c r="F36" s="381"/>
      <c r="G36" s="381"/>
      <c r="H36" s="485"/>
      <c r="I36" s="485"/>
      <c r="J36" s="485"/>
      <c r="K36" s="485"/>
      <c r="L36" s="485"/>
      <c r="M36" s="485"/>
      <c r="N36" s="485"/>
      <c r="O36" s="485"/>
      <c r="P36" s="485"/>
      <c r="Q36" s="485"/>
      <c r="R36" s="485"/>
      <c r="S36" s="485"/>
      <c r="T36" s="550"/>
      <c r="U36" s="532"/>
      <c r="V36" s="485"/>
      <c r="W36" s="485"/>
      <c r="X36" s="485"/>
      <c r="Y36" s="485"/>
      <c r="Z36" s="485"/>
      <c r="AA36" s="485"/>
      <c r="AB36" s="485"/>
      <c r="AC36" s="485"/>
      <c r="AD36" s="485"/>
      <c r="AE36" s="485"/>
      <c r="AF36" s="485"/>
      <c r="AG36" s="485"/>
      <c r="AH36" s="485"/>
      <c r="AI36" s="528"/>
      <c r="AJ36" s="555"/>
      <c r="AK36" s="555"/>
      <c r="AL36" s="555"/>
      <c r="AM36" s="555"/>
      <c r="AN36" s="555"/>
      <c r="AO36" s="555"/>
      <c r="AP36" s="555"/>
      <c r="AQ36" s="556"/>
      <c r="AR36" s="381"/>
    </row>
    <row r="37" spans="2:52" ht="15" customHeight="1" x14ac:dyDescent="0.2">
      <c r="B37" s="398"/>
      <c r="C37" s="549"/>
      <c r="D37" s="381"/>
      <c r="E37" s="557"/>
      <c r="F37" s="381"/>
      <c r="G37" s="381"/>
      <c r="H37" s="485"/>
      <c r="I37" s="485"/>
      <c r="J37" s="485"/>
      <c r="K37" s="485"/>
      <c r="L37" s="485"/>
      <c r="M37" s="485"/>
      <c r="N37" s="485"/>
      <c r="O37" s="485"/>
      <c r="P37" s="485"/>
      <c r="Q37" s="485"/>
      <c r="R37" s="485"/>
      <c r="S37" s="485"/>
      <c r="T37" s="550"/>
      <c r="U37" s="532"/>
      <c r="V37" s="485"/>
      <c r="W37" s="485"/>
      <c r="X37" s="485"/>
      <c r="Y37" s="485"/>
      <c r="Z37" s="485"/>
      <c r="AA37" s="485"/>
      <c r="AB37" s="485"/>
      <c r="AC37" s="485"/>
      <c r="AD37" s="485"/>
      <c r="AE37" s="485"/>
      <c r="AF37" s="485"/>
      <c r="AG37" s="485"/>
      <c r="AH37" s="485"/>
      <c r="AI37" s="528"/>
      <c r="AJ37" s="555"/>
      <c r="AK37" s="555"/>
      <c r="AL37" s="555"/>
      <c r="AM37" s="555"/>
      <c r="AN37" s="555"/>
      <c r="AO37" s="555"/>
      <c r="AP37" s="555"/>
      <c r="AQ37" s="556"/>
      <c r="AR37" s="381"/>
    </row>
    <row r="38" spans="2:52" ht="15" customHeight="1" x14ac:dyDescent="0.2">
      <c r="B38" s="398"/>
      <c r="C38" s="488"/>
      <c r="D38" s="510"/>
      <c r="E38" s="539" t="str">
        <f xml:space="preserve"> 'Global inputs'!B152</f>
        <v>1.1 Poles</v>
      </c>
      <c r="F38" s="381"/>
      <c r="G38" s="381"/>
      <c r="H38" s="511">
        <v>4654.995328495489</v>
      </c>
      <c r="I38" s="511">
        <v>3907.1999327921626</v>
      </c>
      <c r="J38" s="511">
        <v>8245.0141767335226</v>
      </c>
      <c r="K38" s="511">
        <v>41156.099986386216</v>
      </c>
      <c r="L38" s="511">
        <v>27012.121097723004</v>
      </c>
      <c r="M38" s="409">
        <f>(SUMIFS('Forecast capex'!$Q$9:$Q$1940,'Forecast capex'!$J$9:$J$1940,M$123,'Forecast capex'!$F$9:$F$1940,$E38)/1000)</f>
        <v>14197.5</v>
      </c>
      <c r="N38" s="409">
        <f>(SUMIFS('Forecast capex'!$Q$9:$Q$1940,'Forecast capex'!$J$9:$J$1940,N$123,'Forecast capex'!$F$9:$F$1940,$E38)/1000)</f>
        <v>14352</v>
      </c>
      <c r="O38" s="409">
        <f>(SUMIFS('Forecast capex'!$Q$9:$Q$1940,'Forecast capex'!$J$9:$J$1940,O$123,'Forecast capex'!$F$9:$F$1940,$E38)/1000)</f>
        <v>11514</v>
      </c>
      <c r="P38" s="409">
        <f>(SUMIFS('Forecast capex'!$Q$9:$Q$1940,'Forecast capex'!$J$9:$J$1940,P$123,'Forecast capex'!$F$9:$F$1940,$E38)/1000)</f>
        <v>10271.4</v>
      </c>
      <c r="Q38" s="409">
        <f>(SUMIFS('Forecast capex'!$Q$9:$Q$1940,'Forecast capex'!$J$9:$J$1940,Q$123,'Forecast capex'!$F$9:$F$1940,$E38)/1000)</f>
        <v>9735.6</v>
      </c>
      <c r="R38" s="409">
        <f>(SUMIFS('Forecast capex'!$Q$9:$Q$1940,'Forecast capex'!$J$9:$J$1940,R$123,'Forecast capex'!$F$9:$F$1940,$E38)/1000)</f>
        <v>5700</v>
      </c>
      <c r="S38" s="409">
        <f>(SUMIFS('Forecast capex'!$Q$9:$Q$1940,'Forecast capex'!$J$9:$J$1940,S$123,'Forecast capex'!$F$9:$F$1940,$E38)/1000)</f>
        <v>5118.6000000000004</v>
      </c>
      <c r="T38" s="408">
        <f t="shared" ref="T38:T57" si="15">SUM(O38:S38)</f>
        <v>42339.6</v>
      </c>
      <c r="U38" s="381"/>
      <c r="V38" s="410">
        <f>H38*'Historical capex'!H$155</f>
        <v>4373.0564628880484</v>
      </c>
      <c r="W38" s="410">
        <f>I38*'Historical capex'!I$155</f>
        <v>3682.8237181849513</v>
      </c>
      <c r="X38" s="410">
        <f>J38*'Historical capex'!J$155</f>
        <v>7855.6896857064467</v>
      </c>
      <c r="Y38" s="410">
        <f>K38*'Historical capex'!K$155</f>
        <v>39833.497564159887</v>
      </c>
      <c r="Z38" s="410">
        <f>L38*'Historical capex'!L$155</f>
        <v>26586.771752285578</v>
      </c>
      <c r="AA38" s="408">
        <f>(SUMIFS('Forecast capex'!$X$9:$X$1940, 'Forecast capex'!$J$9:$J$1940,AA$123, 'Forecast capex'!$F$9:$F$1940,$E38))/1000</f>
        <v>14197.5</v>
      </c>
      <c r="AB38" s="408">
        <f>(SUMIFS('Forecast capex'!$X$9:$X$1940, 'Forecast capex'!$J$9:$J$1940,AB$123, 'Forecast capex'!$F$9:$F$1940,$E38))/1000</f>
        <v>14586.694830949598</v>
      </c>
      <c r="AC38" s="408">
        <f>(SUMIFS('Forecast capex'!$X$9:$X$1940, 'Forecast capex'!$J$9:$J$1940,AC$123, 'Forecast capex'!$F$9:$F$1940,$E38))/1000</f>
        <v>11889.639088313903</v>
      </c>
      <c r="AD38" s="408">
        <f>(SUMIFS('Forecast capex'!$X$9:$X$1940, 'Forecast capex'!$J$9:$J$1940,AD$123, 'Forecast capex'!$F$9:$F$1940,$E38))/1000</f>
        <v>10805.697467003873</v>
      </c>
      <c r="AE38" s="408">
        <f>(SUMIFS('Forecast capex'!$X$9:$X$1940, 'Forecast capex'!$J$9:$J$1940,AE$123, 'Forecast capex'!$F$9:$F$1940,$E38))/1000</f>
        <v>10408.794031632926</v>
      </c>
      <c r="AF38" s="408">
        <f>(SUMIFS('Forecast capex'!$X$9:$X$1940, 'Forecast capex'!$J$9:$J$1940,AF$123, 'Forecast capex'!$F$9:$F$1940,$E38))/1000</f>
        <v>6209.392701771053</v>
      </c>
      <c r="AG38" s="408">
        <f>(SUMIFS('Forecast capex'!$X$9:$X$1940, 'Forecast capex'!$J$9:$J$1940,AG$123, 'Forecast capex'!$F$9:$F$1940,$E38))/1000</f>
        <v>5681.4984211042356</v>
      </c>
      <c r="AH38" s="408">
        <f>SUM(AC38:AG38)</f>
        <v>44995.021709825989</v>
      </c>
      <c r="AI38" s="528"/>
      <c r="AJ38" s="408">
        <f>(SUMIFS('Forecast capex'!$AC$9:$AC$1940, 'Forecast capex'!$K$9:$K$1940,AJ$123, 'Forecast capex'!$F$9:$F$1940,$E38)+'Schedule E calculations'!M283*'Schedule E calculations'!M$348+'Historical capex'!M130)/1000</f>
        <v>16271.652322240288</v>
      </c>
      <c r="AK38" s="408">
        <f>(SUMIFS('Forecast capex'!$AC$9:$AC$1940, 'Forecast capex'!$K$9:$K$1940,AK$123, 'Forecast capex'!$F$9:$F$1940,$E38)+'Schedule E calculations'!N283*'Schedule E calculations'!N$348+'Historical capex'!N130)/1000</f>
        <v>15850.795587653174</v>
      </c>
      <c r="AL38" s="408">
        <f>(SUMIFS('Forecast capex'!$AC$9:$AC$1940, 'Forecast capex'!$K$9:$K$1940,AL$123, 'Forecast capex'!$F$9:$F$1940,$E38)+'Schedule E calculations'!O283*'Schedule E calculations'!O$348+'Historical capex'!O130)/1000</f>
        <v>12839.296923785148</v>
      </c>
      <c r="AM38" s="408">
        <f>(SUMIFS('Forecast capex'!$AC$9:$AC$1940, 'Forecast capex'!$K$9:$K$1940,AM$123, 'Forecast capex'!$F$9:$F$1940,$E38)+'Schedule E calculations'!P283*'Schedule E calculations'!P$348+'Historical capex'!P130)/1000</f>
        <v>11030.942397472405</v>
      </c>
      <c r="AN38" s="408">
        <f>(SUMIFS('Forecast capex'!$AC$9:$AC$1940, 'Forecast capex'!$K$9:$K$1940,AN$123, 'Forecast capex'!$F$9:$F$1940,$E38)+'Schedule E calculations'!Q283*'Schedule E calculations'!Q$348+'Historical capex'!Q130)/1000</f>
        <v>10311.662567643967</v>
      </c>
      <c r="AO38" s="408">
        <f>(SUMIFS('Forecast capex'!$AC$9:$AC$1940, 'Forecast capex'!$K$9:$K$1940,AO$123, 'Forecast capex'!$F$9:$F$1940,$E38)+'Schedule E calculations'!R283*'Schedule E calculations'!R$348+'Historical capex'!R130)/1000</f>
        <v>6380.4415393569361</v>
      </c>
      <c r="AP38" s="408">
        <f>(SUMIFS('Forecast capex'!$AC$9:$AC$1940, 'Forecast capex'!$K$9:$K$1940,AP$123, 'Forecast capex'!$F$9:$F$1940,$E38)+'Schedule E calculations'!S283*'Schedule E calculations'!S$348+'Historical capex'!S130)/1000</f>
        <v>5925.0046345747705</v>
      </c>
      <c r="AQ38" s="408">
        <f>SUM(AL38:AP38)</f>
        <v>46487.348062833225</v>
      </c>
      <c r="AR38" s="381"/>
    </row>
    <row r="39" spans="2:52" ht="15" customHeight="1" x14ac:dyDescent="0.2">
      <c r="B39" s="398"/>
      <c r="C39" s="488"/>
      <c r="D39" s="510"/>
      <c r="E39" s="539" t="str">
        <f xml:space="preserve"> 'Global inputs'!B153</f>
        <v>1.2 Crossarms</v>
      </c>
      <c r="F39" s="381"/>
      <c r="G39" s="381"/>
      <c r="H39" s="511">
        <v>0</v>
      </c>
      <c r="I39" s="511">
        <v>0</v>
      </c>
      <c r="J39" s="511">
        <v>0</v>
      </c>
      <c r="K39" s="511">
        <v>0</v>
      </c>
      <c r="L39" s="511">
        <v>0</v>
      </c>
      <c r="M39" s="409">
        <f>(SUMIFS('Forecast capex'!$Q$9:$Q$1940,'Forecast capex'!$J$9:$J$1940,M$123,'Forecast capex'!$F$9:$F$1940,$E39)/1000)</f>
        <v>1141.25</v>
      </c>
      <c r="N39" s="409">
        <f>(SUMIFS('Forecast capex'!$Q$9:$Q$1940,'Forecast capex'!$J$9:$J$1940,N$123,'Forecast capex'!$F$9:$F$1940,$E39)/1000)</f>
        <v>3660.8</v>
      </c>
      <c r="O39" s="409">
        <f>(SUMIFS('Forecast capex'!$Q$9:$Q$1940,'Forecast capex'!$J$9:$J$1940,O$123,'Forecast capex'!$F$9:$F$1940,$E39)/1000)</f>
        <v>6562.8585000000012</v>
      </c>
      <c r="P39" s="409">
        <f>(SUMIFS('Forecast capex'!$Q$9:$Q$1940,'Forecast capex'!$J$9:$J$1940,P$123,'Forecast capex'!$F$9:$F$1940,$E39)/1000)</f>
        <v>8249.1255000000001</v>
      </c>
      <c r="Q39" s="409">
        <f>(SUMIFS('Forecast capex'!$Q$9:$Q$1940,'Forecast capex'!$J$9:$J$1940,Q$123,'Forecast capex'!$F$9:$F$1940,$E39)/1000)</f>
        <v>8083.152</v>
      </c>
      <c r="R39" s="409">
        <f>(SUMIFS('Forecast capex'!$Q$9:$Q$1940,'Forecast capex'!$J$9:$J$1940,R$123,'Forecast capex'!$F$9:$F$1940,$E39)/1000)</f>
        <v>7828.5074999999997</v>
      </c>
      <c r="S39" s="409">
        <f>(SUMIFS('Forecast capex'!$Q$9:$Q$1940,'Forecast capex'!$J$9:$J$1940,S$123,'Forecast capex'!$F$9:$F$1940,$E39)/1000)</f>
        <v>7582.1620000000003</v>
      </c>
      <c r="T39" s="408">
        <f t="shared" si="15"/>
        <v>38305.805500000002</v>
      </c>
      <c r="U39" s="381"/>
      <c r="V39" s="410">
        <f>H39*'Historical capex'!H$155</f>
        <v>0</v>
      </c>
      <c r="W39" s="410">
        <f>I39*'Historical capex'!I$155</f>
        <v>0</v>
      </c>
      <c r="X39" s="410">
        <f>J39*'Historical capex'!J$155</f>
        <v>0</v>
      </c>
      <c r="Y39" s="410">
        <f>K39*'Historical capex'!K$155</f>
        <v>0</v>
      </c>
      <c r="Z39" s="410">
        <f>L39*'Historical capex'!L$155</f>
        <v>0</v>
      </c>
      <c r="AA39" s="408">
        <f>(SUMIFS('Forecast capex'!$X$9:$X$1940, 'Forecast capex'!$J$9:$J$1940,AA$123, 'Forecast capex'!$F$9:$F$1940,$E39))/1000</f>
        <v>1141.25</v>
      </c>
      <c r="AB39" s="408">
        <f>(SUMIFS('Forecast capex'!$X$9:$X$1940, 'Forecast capex'!$J$9:$J$1940,AB$123, 'Forecast capex'!$F$9:$F$1940,$E39))/1000</f>
        <v>3720.6641887639557</v>
      </c>
      <c r="AC39" s="408">
        <f>(SUMIFS('Forecast capex'!$X$9:$X$1940, 'Forecast capex'!$J$9:$J$1940,AC$123, 'Forecast capex'!$F$9:$F$1940,$E39))/1000</f>
        <v>6776.9688164558938</v>
      </c>
      <c r="AD39" s="408">
        <f>(SUMIFS('Forecast capex'!$X$9:$X$1940, 'Forecast capex'!$J$9:$J$1940,AD$123, 'Forecast capex'!$F$9:$F$1940,$E39))/1000</f>
        <v>8678.2283350222042</v>
      </c>
      <c r="AE39" s="408">
        <f>(SUMIFS('Forecast capex'!$X$9:$X$1940, 'Forecast capex'!$J$9:$J$1940,AE$123, 'Forecast capex'!$F$9:$F$1940,$E39))/1000</f>
        <v>8642.0831067814779</v>
      </c>
      <c r="AF39" s="408">
        <f>(SUMIFS('Forecast capex'!$X$9:$X$1940, 'Forecast capex'!$J$9:$J$1940,AF$123, 'Forecast capex'!$F$9:$F$1940,$E39))/1000</f>
        <v>8528.1188309227982</v>
      </c>
      <c r="AG39" s="408">
        <f>(SUMIFS('Forecast capex'!$X$9:$X$1940, 'Forecast capex'!$J$9:$J$1940,AG$123, 'Forecast capex'!$F$9:$F$1940,$E39))/1000</f>
        <v>8415.9812119635299</v>
      </c>
      <c r="AH39" s="408">
        <f t="shared" ref="AH39:AH57" si="16">SUM(AC39:AG39)</f>
        <v>41041.380301145902</v>
      </c>
      <c r="AI39" s="528"/>
      <c r="AJ39" s="408">
        <f>(SUMIFS('Forecast capex'!$AC$9:$AC$1940, 'Forecast capex'!$K$9:$K$1940,AJ$123, 'Forecast capex'!$F$9:$F$1940,$E39)+'Schedule E calculations'!M284*'Schedule E calculations'!M$348+'Historical capex'!M131)/1000</f>
        <v>1046.2115891270812</v>
      </c>
      <c r="AK39" s="408">
        <f>(SUMIFS('Forecast capex'!$AC$9:$AC$1940, 'Forecast capex'!$K$9:$K$1940,AK$123, 'Forecast capex'!$F$9:$F$1940,$E39)+'Schedule E calculations'!N284*'Schedule E calculations'!N$348+'Historical capex'!N131)/1000</f>
        <v>3783.0566521550127</v>
      </c>
      <c r="AL39" s="408">
        <f>(SUMIFS('Forecast capex'!$AC$9:$AC$1940, 'Forecast capex'!$K$9:$K$1940,AL$123, 'Forecast capex'!$F$9:$F$1940,$E39)+'Schedule E calculations'!O284*'Schedule E calculations'!O$348+'Historical capex'!O131)/1000</f>
        <v>7318.2637615326757</v>
      </c>
      <c r="AM39" s="408">
        <f>(SUMIFS('Forecast capex'!$AC$9:$AC$1940, 'Forecast capex'!$K$9:$K$1940,AM$123, 'Forecast capex'!$F$9:$F$1940,$E39)+'Schedule E calculations'!P284*'Schedule E calculations'!P$348+'Historical capex'!P131)/1000</f>
        <v>8859.1261386004589</v>
      </c>
      <c r="AN39" s="408">
        <f>(SUMIFS('Forecast capex'!$AC$9:$AC$1940, 'Forecast capex'!$K$9:$K$1940,AN$123, 'Forecast capex'!$F$9:$F$1940,$E39)+'Schedule E calculations'!Q284*'Schedule E calculations'!Q$348+'Historical capex'!Q131)/1000</f>
        <v>8561.4380117277287</v>
      </c>
      <c r="AO39" s="408">
        <f>(SUMIFS('Forecast capex'!$AC$9:$AC$1940, 'Forecast capex'!$K$9:$K$1940,AO$123, 'Forecast capex'!$F$9:$F$1940,$E39)+'Schedule E calculations'!R284*'Schedule E calculations'!R$348+'Historical capex'!R131)/1000</f>
        <v>8763.0411305556681</v>
      </c>
      <c r="AP39" s="408">
        <f>(SUMIFS('Forecast capex'!$AC$9:$AC$1940, 'Forecast capex'!$K$9:$K$1940,AP$123, 'Forecast capex'!$F$9:$F$1940,$E39)+'Schedule E calculations'!S284*'Schedule E calculations'!S$348+'Historical capex'!S131)/1000</f>
        <v>8776.6860059580195</v>
      </c>
      <c r="AQ39" s="408">
        <f t="shared" ref="AQ39:AQ57" si="17">SUM(AL39:AP39)</f>
        <v>42278.555048374554</v>
      </c>
      <c r="AR39" s="381"/>
    </row>
    <row r="40" spans="2:52" ht="15" customHeight="1" x14ac:dyDescent="0.2">
      <c r="B40" s="398"/>
      <c r="C40" s="488"/>
      <c r="D40" s="510"/>
      <c r="E40" s="539" t="str">
        <f xml:space="preserve"> 'Global inputs'!B154</f>
        <v>2.1 Subtransmission Conductor</v>
      </c>
      <c r="F40" s="381"/>
      <c r="G40" s="381"/>
      <c r="H40" s="511">
        <v>0</v>
      </c>
      <c r="I40" s="511">
        <v>0</v>
      </c>
      <c r="J40" s="511">
        <v>0</v>
      </c>
      <c r="K40" s="511">
        <v>0</v>
      </c>
      <c r="L40" s="511">
        <v>0</v>
      </c>
      <c r="M40" s="409">
        <f>(SUMIFS('Forecast capex'!$Q$9:$Q$1940,'Forecast capex'!$J$9:$J$1940,M$123,'Forecast capex'!$F$9:$F$1940,$E40)/1000)</f>
        <v>939.32222207031259</v>
      </c>
      <c r="N40" s="409">
        <f>(SUMIFS('Forecast capex'!$Q$9:$Q$1940,'Forecast capex'!$J$9:$J$1940,N$123,'Forecast capex'!$F$9:$F$1940,$E40)/1000)</f>
        <v>6770.0479999999998</v>
      </c>
      <c r="O40" s="409">
        <f>(SUMIFS('Forecast capex'!$Q$9:$Q$1940,'Forecast capex'!$J$9:$J$1940,O$123,'Forecast capex'!$F$9:$F$1940,$E40)/1000)</f>
        <v>6291.1394</v>
      </c>
      <c r="P40" s="409">
        <f>(SUMIFS('Forecast capex'!$Q$9:$Q$1940,'Forecast capex'!$J$9:$J$1940,P$123,'Forecast capex'!$F$9:$F$1940,$E40)/1000)</f>
        <v>7481.2537999999995</v>
      </c>
      <c r="Q40" s="409">
        <f>(SUMIFS('Forecast capex'!$Q$9:$Q$1940,'Forecast capex'!$J$9:$J$1940,Q$123,'Forecast capex'!$F$9:$F$1940,$E40)/1000)</f>
        <v>910.49520000000007</v>
      </c>
      <c r="R40" s="409">
        <f>(SUMIFS('Forecast capex'!$Q$9:$Q$1940,'Forecast capex'!$J$9:$J$1940,R$123,'Forecast capex'!$F$9:$F$1940,$E40)/1000)</f>
        <v>378.22540000000004</v>
      </c>
      <c r="S40" s="409">
        <f>(SUMIFS('Forecast capex'!$Q$9:$Q$1940,'Forecast capex'!$J$9:$J$1940,S$123,'Forecast capex'!$F$9:$F$1940,$E40)/1000)</f>
        <v>387.64179999999999</v>
      </c>
      <c r="T40" s="408">
        <f t="shared" si="15"/>
        <v>15448.755599999997</v>
      </c>
      <c r="U40" s="381"/>
      <c r="V40" s="410">
        <f>H40*'Historical capex'!H$155</f>
        <v>0</v>
      </c>
      <c r="W40" s="410">
        <f>I40*'Historical capex'!I$155</f>
        <v>0</v>
      </c>
      <c r="X40" s="410">
        <f>J40*'Historical capex'!J$155</f>
        <v>0</v>
      </c>
      <c r="Y40" s="410">
        <f>K40*'Historical capex'!K$155</f>
        <v>0</v>
      </c>
      <c r="Z40" s="410">
        <f>L40*'Historical capex'!L$155</f>
        <v>0</v>
      </c>
      <c r="AA40" s="408">
        <f>(SUMIFS('Forecast capex'!$X$9:$X$1940, 'Forecast capex'!$J$9:$J$1940,AA$123, 'Forecast capex'!$F$9:$F$1940,$E40))/1000</f>
        <v>939.32222207031259</v>
      </c>
      <c r="AB40" s="408">
        <f>(SUMIFS('Forecast capex'!$X$9:$X$1940, 'Forecast capex'!$J$9:$J$1940,AB$123, 'Forecast capex'!$F$9:$F$1940,$E40))/1000</f>
        <v>6867.0840112828528</v>
      </c>
      <c r="AC40" s="408">
        <f>(SUMIFS('Forecast capex'!$X$9:$X$1940, 'Forecast capex'!$J$9:$J$1940,AC$123, 'Forecast capex'!$F$9:$F$1940,$E40))/1000</f>
        <v>6477.5221802051865</v>
      </c>
      <c r="AD40" s="408">
        <f>(SUMIFS('Forecast capex'!$X$9:$X$1940, 'Forecast capex'!$J$9:$J$1940,AD$123, 'Forecast capex'!$F$9:$F$1940,$E40))/1000</f>
        <v>7877.3644114130248</v>
      </c>
      <c r="AE40" s="408">
        <f>(SUMIFS('Forecast capex'!$X$9:$X$1940, 'Forecast capex'!$J$9:$J$1940,AE$123, 'Forecast capex'!$F$9:$F$1940,$E40))/1000</f>
        <v>975.9826625435046</v>
      </c>
      <c r="AF40" s="408">
        <f>(SUMIFS('Forecast capex'!$X$9:$X$1940, 'Forecast capex'!$J$9:$J$1940,AF$123, 'Forecast capex'!$F$9:$F$1940,$E40))/1000</f>
        <v>414.5707272847111</v>
      </c>
      <c r="AG40" s="408">
        <f>(SUMIFS('Forecast capex'!$X$9:$X$1940, 'Forecast capex'!$J$9:$J$1940,AG$123, 'Forecast capex'!$F$9:$F$1940,$E40))/1000</f>
        <v>434.48011201187262</v>
      </c>
      <c r="AH40" s="408">
        <f t="shared" si="16"/>
        <v>16179.920093458299</v>
      </c>
      <c r="AI40" s="528"/>
      <c r="AJ40" s="408">
        <f>(SUMIFS('Forecast capex'!$AC$9:$AC$1940, 'Forecast capex'!$K$9:$K$1940,AJ$123, 'Forecast capex'!$F$9:$F$1940,$E40)+'Schedule E calculations'!M285*'Schedule E calculations'!M$348+'Historical capex'!M132)/1000</f>
        <v>861.09949148263979</v>
      </c>
      <c r="AK40" s="408">
        <f>(SUMIFS('Forecast capex'!$AC$9:$AC$1940, 'Forecast capex'!$K$9:$K$1940,AK$123, 'Forecast capex'!$F$9:$F$1940,$E40)+'Schedule E calculations'!N285*'Schedule E calculations'!N$348+'Historical capex'!N132)/1000</f>
        <v>6982.3433211059237</v>
      </c>
      <c r="AL40" s="408">
        <f>(SUMIFS('Forecast capex'!$AC$9:$AC$1940, 'Forecast capex'!$K$9:$K$1940,AL$123, 'Forecast capex'!$F$9:$F$1940,$E40)+'Schedule E calculations'!O285*'Schedule E calculations'!O$348+'Historical capex'!O132)/1000</f>
        <v>6995.026378003181</v>
      </c>
      <c r="AM40" s="408">
        <f>(SUMIFS('Forecast capex'!$AC$9:$AC$1940, 'Forecast capex'!$K$9:$K$1940,AM$123, 'Forecast capex'!$F$9:$F$1940,$E40)+'Schedule E calculations'!P285*'Schedule E calculations'!P$348+'Historical capex'!P132)/1000</f>
        <v>8041.5243788817425</v>
      </c>
      <c r="AN40" s="408">
        <f>(SUMIFS('Forecast capex'!$AC$9:$AC$1940, 'Forecast capex'!$K$9:$K$1940,AN$123, 'Forecast capex'!$F$9:$F$1940,$E40)+'Schedule E calculations'!Q285*'Schedule E calculations'!Q$348+'Historical capex'!Q132)/1000</f>
        <v>966.86023710518111</v>
      </c>
      <c r="AO40" s="408">
        <f>(SUMIFS('Forecast capex'!$AC$9:$AC$1940, 'Forecast capex'!$K$9:$K$1940,AO$123, 'Forecast capex'!$F$9:$F$1940,$E40)+'Schedule E calculations'!R285*'Schedule E calculations'!R$348+'Historical capex'!R132)/1000</f>
        <v>425.97562916072712</v>
      </c>
      <c r="AP40" s="408">
        <f>(SUMIFS('Forecast capex'!$AC$9:$AC$1940, 'Forecast capex'!$K$9:$K$1940,AP$123, 'Forecast capex'!$F$9:$F$1940,$E40)+'Schedule E calculations'!S285*'Schedule E calculations'!S$348+'Historical capex'!S132)/1000</f>
        <v>453.07630264919106</v>
      </c>
      <c r="AQ40" s="408">
        <f t="shared" si="17"/>
        <v>16882.462925800024</v>
      </c>
      <c r="AR40" s="381"/>
    </row>
    <row r="41" spans="2:52" ht="15" customHeight="1" x14ac:dyDescent="0.2">
      <c r="B41" s="398"/>
      <c r="C41" s="488"/>
      <c r="D41" s="510"/>
      <c r="E41" s="539" t="str">
        <f xml:space="preserve"> 'Global inputs'!B155</f>
        <v>2.2 Distribution Conductor</v>
      </c>
      <c r="F41" s="381"/>
      <c r="G41" s="381"/>
      <c r="H41" s="511">
        <v>0</v>
      </c>
      <c r="I41" s="511">
        <v>0</v>
      </c>
      <c r="J41" s="511">
        <v>0</v>
      </c>
      <c r="K41" s="511">
        <v>0</v>
      </c>
      <c r="L41" s="511">
        <v>0</v>
      </c>
      <c r="M41" s="409">
        <f>(SUMIFS('Forecast capex'!$Q$9:$Q$1940,'Forecast capex'!$J$9:$J$1940,M$123,'Forecast capex'!$F$9:$F$1940,$E41)/1000)</f>
        <v>4171.5</v>
      </c>
      <c r="N41" s="409">
        <f>(SUMIFS('Forecast capex'!$Q$9:$Q$1940,'Forecast capex'!$J$9:$J$1940,N$123,'Forecast capex'!$F$9:$F$1940,$E41)/1000)</f>
        <v>4183.5</v>
      </c>
      <c r="O41" s="409">
        <f>(SUMIFS('Forecast capex'!$Q$9:$Q$1940,'Forecast capex'!$J$9:$J$1940,O$123,'Forecast capex'!$F$9:$F$1940,$E41)/1000)</f>
        <v>4457.3999999999996</v>
      </c>
      <c r="P41" s="409">
        <f>(SUMIFS('Forecast capex'!$Q$9:$Q$1940,'Forecast capex'!$J$9:$J$1940,P$123,'Forecast capex'!$F$9:$F$1940,$E41)/1000)</f>
        <v>5261.1</v>
      </c>
      <c r="Q41" s="409">
        <f>(SUMIFS('Forecast capex'!$Q$9:$Q$1940,'Forecast capex'!$J$9:$J$1940,Q$123,'Forecast capex'!$F$9:$F$1940,$E41)/1000)</f>
        <v>5670.0749999999998</v>
      </c>
      <c r="R41" s="409">
        <f>(SUMIFS('Forecast capex'!$Q$9:$Q$1940,'Forecast capex'!$J$9:$J$1940,R$123,'Forecast capex'!$F$9:$F$1940,$E41)/1000)</f>
        <v>5826.8249999999998</v>
      </c>
      <c r="S41" s="409">
        <f>(SUMIFS('Forecast capex'!$Q$9:$Q$1940,'Forecast capex'!$J$9:$J$1940,S$123,'Forecast capex'!$F$9:$F$1940,$E41)/1000)</f>
        <v>5440.65</v>
      </c>
      <c r="T41" s="408">
        <f t="shared" si="15"/>
        <v>26656.050000000003</v>
      </c>
      <c r="U41" s="381"/>
      <c r="V41" s="410">
        <f>H41*'Historical capex'!H$155</f>
        <v>0</v>
      </c>
      <c r="W41" s="410">
        <f>I41*'Historical capex'!I$155</f>
        <v>0</v>
      </c>
      <c r="X41" s="410">
        <f>J41*'Historical capex'!J$155</f>
        <v>0</v>
      </c>
      <c r="Y41" s="410">
        <f>K41*'Historical capex'!K$155</f>
        <v>0</v>
      </c>
      <c r="Z41" s="410">
        <f>L41*'Historical capex'!L$155</f>
        <v>0</v>
      </c>
      <c r="AA41" s="408">
        <f>(SUMIFS('Forecast capex'!$X$9:$X$1940, 'Forecast capex'!$J$9:$J$1940,AA$123, 'Forecast capex'!$F$9:$F$1940,$E41))/1000</f>
        <v>4171.5</v>
      </c>
      <c r="AB41" s="408">
        <f>(SUMIFS('Forecast capex'!$X$9:$X$1940, 'Forecast capex'!$J$9:$J$1940,AB$123, 'Forecast capex'!$F$9:$F$1940,$E41))/1000</f>
        <v>4243.4626698661241</v>
      </c>
      <c r="AC41" s="408">
        <f>(SUMIFS('Forecast capex'!$X$9:$X$1940, 'Forecast capex'!$J$9:$J$1940,AC$123, 'Forecast capex'!$F$9:$F$1940,$E41))/1000</f>
        <v>4589.4559840855854</v>
      </c>
      <c r="AD41" s="408">
        <f>(SUMIFS('Forecast capex'!$X$9:$X$1940, 'Forecast capex'!$J$9:$J$1940,AD$123, 'Forecast capex'!$F$9:$F$1940,$E41))/1000</f>
        <v>5539.6599303829344</v>
      </c>
      <c r="AE41" s="408">
        <f>(SUMIFS('Forecast capex'!$X$9:$X$1940, 'Forecast capex'!$J$9:$J$1940,AE$123, 'Forecast capex'!$F$9:$F$1940,$E41))/1000</f>
        <v>6077.8957377494817</v>
      </c>
      <c r="AF41" s="408">
        <f>(SUMIFS('Forecast capex'!$X$9:$X$1940, 'Forecast capex'!$J$9:$J$1940,AF$123, 'Forecast capex'!$F$9:$F$1940,$E41))/1000</f>
        <v>6386.7500120582508</v>
      </c>
      <c r="AG41" s="408">
        <f>(SUMIFS('Forecast capex'!$X$9:$X$1940, 'Forecast capex'!$J$9:$J$1940,AG$123, 'Forecast capex'!$F$9:$F$1940,$E41))/1000</f>
        <v>6098.03747020418</v>
      </c>
      <c r="AH41" s="408">
        <f t="shared" si="16"/>
        <v>28691.799134480432</v>
      </c>
      <c r="AI41" s="528"/>
      <c r="AJ41" s="408">
        <f>(SUMIFS('Forecast capex'!$AC$9:$AC$1940, 'Forecast capex'!$K$9:$K$1940,AJ$123, 'Forecast capex'!$F$9:$F$1940,$E41)+'Schedule E calculations'!M286*'Schedule E calculations'!M$348+'Historical capex'!M133)/1000</f>
        <v>3824.115350750159</v>
      </c>
      <c r="AK41" s="408">
        <f>(SUMIFS('Forecast capex'!$AC$9:$AC$1940, 'Forecast capex'!$K$9:$K$1940,AK$123, 'Forecast capex'!$F$9:$F$1940,$E41)+'Schedule E calculations'!N286*'Schedule E calculations'!N$348+'Historical capex'!N133)/1000</f>
        <v>4314.686289350775</v>
      </c>
      <c r="AL41" s="408">
        <f>(SUMIFS('Forecast capex'!$AC$9:$AC$1940, 'Forecast capex'!$K$9:$K$1940,AL$123, 'Forecast capex'!$F$9:$F$1940,$E41)+'Schedule E calculations'!O286*'Schedule E calculations'!O$348+'Historical capex'!O133)/1000</f>
        <v>4956.118215614707</v>
      </c>
      <c r="AM41" s="408">
        <f>(SUMIFS('Forecast capex'!$AC$9:$AC$1940, 'Forecast capex'!$K$9:$K$1940,AM$123, 'Forecast capex'!$F$9:$F$1940,$E41)+'Schedule E calculations'!P286*'Schedule E calculations'!P$348+'Historical capex'!P133)/1000</f>
        <v>5655.1034145820222</v>
      </c>
      <c r="AN41" s="408">
        <f>(SUMIFS('Forecast capex'!$AC$9:$AC$1940, 'Forecast capex'!$K$9:$K$1940,AN$123, 'Forecast capex'!$F$9:$F$1940,$E41)+'Schedule E calculations'!Q286*'Schedule E calculations'!Q$348+'Historical capex'!Q133)/1000</f>
        <v>6021.0861725620953</v>
      </c>
      <c r="AO41" s="408">
        <f>(SUMIFS('Forecast capex'!$AC$9:$AC$1940, 'Forecast capex'!$K$9:$K$1940,AO$123, 'Forecast capex'!$F$9:$F$1940,$E41)+'Schedule E calculations'!R286*'Schedule E calculations'!R$348+'Historical capex'!R133)/1000</f>
        <v>6562.4504472318722</v>
      </c>
      <c r="AP41" s="408">
        <f>(SUMIFS('Forecast capex'!$AC$9:$AC$1940, 'Forecast capex'!$K$9:$K$1940,AP$123, 'Forecast capex'!$F$9:$F$1940,$E41)+'Schedule E calculations'!S286*'Schedule E calculations'!S$348+'Historical capex'!S133)/1000</f>
        <v>6359.0396753093228</v>
      </c>
      <c r="AQ41" s="408">
        <f t="shared" si="17"/>
        <v>29553.797925300019</v>
      </c>
      <c r="AR41" s="381"/>
    </row>
    <row r="42" spans="2:52" ht="15" customHeight="1" x14ac:dyDescent="0.2">
      <c r="B42" s="398"/>
      <c r="C42" s="488"/>
      <c r="D42" s="510"/>
      <c r="E42" s="539" t="str">
        <f xml:space="preserve"> 'Global inputs'!B156</f>
        <v>2.3 Low Voltage Conductor</v>
      </c>
      <c r="F42" s="381"/>
      <c r="G42" s="381"/>
      <c r="H42" s="511">
        <v>336.33955682846312</v>
      </c>
      <c r="I42" s="511">
        <v>0</v>
      </c>
      <c r="J42" s="511">
        <v>25.866986081559787</v>
      </c>
      <c r="K42" s="511">
        <v>195.04173972751488</v>
      </c>
      <c r="L42" s="511">
        <v>31.291725211284373</v>
      </c>
      <c r="M42" s="409">
        <f>(SUMIFS('Forecast capex'!$Q$9:$Q$1940,'Forecast capex'!$J$9:$J$1940,M$123,'Forecast capex'!$F$9:$F$1940,$E42)/1000)</f>
        <v>0</v>
      </c>
      <c r="N42" s="409">
        <f>(SUMIFS('Forecast capex'!$Q$9:$Q$1940,'Forecast capex'!$J$9:$J$1940,N$123,'Forecast capex'!$F$9:$F$1940,$E42)/1000)</f>
        <v>0</v>
      </c>
      <c r="O42" s="409">
        <f>(SUMIFS('Forecast capex'!$Q$9:$Q$1940,'Forecast capex'!$J$9:$J$1940,O$123,'Forecast capex'!$F$9:$F$1940,$E42)/1000)</f>
        <v>2154.6</v>
      </c>
      <c r="P42" s="409">
        <f>(SUMIFS('Forecast capex'!$Q$9:$Q$1940,'Forecast capex'!$J$9:$J$1940,P$123,'Forecast capex'!$F$9:$F$1940,$E42)/1000)</f>
        <v>3902.22</v>
      </c>
      <c r="Q42" s="409">
        <f>(SUMIFS('Forecast capex'!$Q$9:$Q$1940,'Forecast capex'!$J$9:$J$1940,Q$123,'Forecast capex'!$F$9:$F$1940,$E42)/1000)</f>
        <v>4057.83</v>
      </c>
      <c r="R42" s="409">
        <f>(SUMIFS('Forecast capex'!$Q$9:$Q$1940,'Forecast capex'!$J$9:$J$1940,R$123,'Forecast capex'!$F$9:$F$1940,$E42)/1000)</f>
        <v>4297.2299999999996</v>
      </c>
      <c r="S42" s="409">
        <f>(SUMIFS('Forecast capex'!$Q$9:$Q$1940,'Forecast capex'!$J$9:$J$1940,S$123,'Forecast capex'!$F$9:$F$1940,$E42)/1000)</f>
        <v>4237.38</v>
      </c>
      <c r="T42" s="408">
        <f t="shared" si="15"/>
        <v>18649.259999999998</v>
      </c>
      <c r="U42" s="381"/>
      <c r="V42" s="410">
        <f>H42*'Historical capex'!H$155</f>
        <v>315.96849597462233</v>
      </c>
      <c r="W42" s="410">
        <f>I42*'Historical capex'!I$155</f>
        <v>0</v>
      </c>
      <c r="X42" s="410">
        <f>J42*'Historical capex'!J$155</f>
        <v>24.645562931187779</v>
      </c>
      <c r="Y42" s="410">
        <f>K42*'Historical capex'!K$155</f>
        <v>188.77383102177799</v>
      </c>
      <c r="Z42" s="410">
        <f>L42*'Historical capex'!L$155</f>
        <v>30.798986607452569</v>
      </c>
      <c r="AA42" s="408">
        <f>(SUMIFS('Forecast capex'!$X$9:$X$1940, 'Forecast capex'!$J$9:$J$1940,AA$123, 'Forecast capex'!$F$9:$F$1940,$E42))/1000</f>
        <v>0</v>
      </c>
      <c r="AB42" s="408">
        <f>(SUMIFS('Forecast capex'!$X$9:$X$1940, 'Forecast capex'!$J$9:$J$1940,AB$123, 'Forecast capex'!$F$9:$F$1940,$E42))/1000</f>
        <v>0</v>
      </c>
      <c r="AC42" s="408">
        <f>(SUMIFS('Forecast capex'!$X$9:$X$1940, 'Forecast capex'!$J$9:$J$1940,AC$123, 'Forecast capex'!$F$9:$F$1940,$E42))/1000</f>
        <v>2218.4326879595287</v>
      </c>
      <c r="AD42" s="408">
        <f>(SUMIFS('Forecast capex'!$X$9:$X$1940, 'Forecast capex'!$J$9:$J$1940,AD$123, 'Forecast capex'!$F$9:$F$1940,$E42))/1000</f>
        <v>4108.8311899676673</v>
      </c>
      <c r="AE42" s="408">
        <f>(SUMIFS('Forecast capex'!$X$9:$X$1940, 'Forecast capex'!$J$9:$J$1940,AE$123, 'Forecast capex'!$F$9:$F$1940,$E42))/1000</f>
        <v>4349.6898474027194</v>
      </c>
      <c r="AF42" s="408">
        <f>(SUMIFS('Forecast capex'!$X$9:$X$1940, 'Forecast capex'!$J$9:$J$1940,AF$123, 'Forecast capex'!$F$9:$F$1940,$E42))/1000</f>
        <v>4710.1695613506627</v>
      </c>
      <c r="AG42" s="408">
        <f>(SUMIFS('Forecast capex'!$X$9:$X$1940, 'Forecast capex'!$J$9:$J$1940,AG$123, 'Forecast capex'!$F$9:$F$1940,$E42))/1000</f>
        <v>4749.3777426399029</v>
      </c>
      <c r="AH42" s="408">
        <f t="shared" si="16"/>
        <v>20136.501029320483</v>
      </c>
      <c r="AI42" s="528"/>
      <c r="AJ42" s="408">
        <f>(SUMIFS('Forecast capex'!$AC$9:$AC$1940, 'Forecast capex'!$K$9:$K$1940,AJ$123, 'Forecast capex'!$F$9:$F$1940,$E42)+'Schedule E calculations'!M287*'Schedule E calculations'!M$348+'Historical capex'!M134)/1000</f>
        <v>0</v>
      </c>
      <c r="AK42" s="408">
        <f>(SUMIFS('Forecast capex'!$AC$9:$AC$1940, 'Forecast capex'!$K$9:$K$1940,AK$123, 'Forecast capex'!$F$9:$F$1940,$E42)+'Schedule E calculations'!N287*'Schedule E calculations'!N$348+'Historical capex'!N134)/1000</f>
        <v>0</v>
      </c>
      <c r="AL42" s="408">
        <f>(SUMIFS('Forecast capex'!$AC$9:$AC$1940, 'Forecast capex'!$K$9:$K$1940,AL$123, 'Forecast capex'!$F$9:$F$1940,$E42)+'Schedule E calculations'!O287*'Schedule E calculations'!O$348+'Historical capex'!O134)/1000</f>
        <v>2395.6683957830687</v>
      </c>
      <c r="AM42" s="408">
        <f>(SUMIFS('Forecast capex'!$AC$9:$AC$1940, 'Forecast capex'!$K$9:$K$1940,AM$123, 'Forecast capex'!$F$9:$F$1940,$E42)+'Schedule E calculations'!P287*'Schedule E calculations'!P$348+'Historical capex'!P134)/1000</f>
        <v>4194.4569855068821</v>
      </c>
      <c r="AN42" s="408">
        <f>(SUMIFS('Forecast capex'!$AC$9:$AC$1940, 'Forecast capex'!$K$9:$K$1940,AN$123, 'Forecast capex'!$F$9:$F$1940,$E42)+'Schedule E calculations'!Q287*'Schedule E calculations'!Q$348+'Historical capex'!Q134)/1000</f>
        <v>4309.0336730303643</v>
      </c>
      <c r="AO42" s="408">
        <f>(SUMIFS('Forecast capex'!$AC$9:$AC$1940, 'Forecast capex'!$K$9:$K$1940,AO$123, 'Forecast capex'!$F$9:$F$1940,$E42)+'Schedule E calculations'!R287*'Schedule E calculations'!R$348+'Historical capex'!R134)/1000</f>
        <v>4839.7470209519279</v>
      </c>
      <c r="AP42" s="408">
        <f>(SUMIFS('Forecast capex'!$AC$9:$AC$1940, 'Forecast capex'!$K$9:$K$1940,AP$123, 'Forecast capex'!$F$9:$F$1940,$E42)+'Schedule E calculations'!S287*'Schedule E calculations'!S$348+'Historical capex'!S134)/1000</f>
        <v>4952.6559398899435</v>
      </c>
      <c r="AQ42" s="408">
        <f t="shared" si="17"/>
        <v>20691.562015162188</v>
      </c>
      <c r="AR42" s="381"/>
    </row>
    <row r="43" spans="2:52" ht="15" customHeight="1" x14ac:dyDescent="0.2">
      <c r="B43" s="398"/>
      <c r="C43" s="488"/>
      <c r="D43" s="510"/>
      <c r="E43" s="539" t="str">
        <f xml:space="preserve"> 'Global inputs'!B157</f>
        <v>3.1 Subtransmission Cables</v>
      </c>
      <c r="F43" s="381"/>
      <c r="G43" s="381"/>
      <c r="H43" s="511">
        <v>70.451325405029934</v>
      </c>
      <c r="I43" s="511">
        <v>48.392894812334191</v>
      </c>
      <c r="J43" s="511">
        <v>211.47167712402091</v>
      </c>
      <c r="K43" s="511">
        <v>2183.0711729372929</v>
      </c>
      <c r="L43" s="511">
        <v>1328.8954248749938</v>
      </c>
      <c r="M43" s="409">
        <f>(SUMIFS('Forecast capex'!$Q$9:$Q$1940,'Forecast capex'!$J$9:$J$1940,M$123,'Forecast capex'!$F$9:$F$1940,$E43)/1000)</f>
        <v>2702.6452646484377</v>
      </c>
      <c r="N43" s="409">
        <f>(SUMIFS('Forecast capex'!$Q$9:$Q$1940,'Forecast capex'!$J$9:$J$1940,N$123,'Forecast capex'!$F$9:$F$1940,$E43)/1000)</f>
        <v>200</v>
      </c>
      <c r="O43" s="409">
        <f>(SUMIFS('Forecast capex'!$Q$9:$Q$1940,'Forecast capex'!$J$9:$J$1940,O$123,'Forecast capex'!$F$9:$F$1940,$E43)/1000)</f>
        <v>0</v>
      </c>
      <c r="P43" s="409">
        <f>(SUMIFS('Forecast capex'!$Q$9:$Q$1940,'Forecast capex'!$J$9:$J$1940,P$123,'Forecast capex'!$F$9:$F$1940,$E43)/1000)</f>
        <v>0</v>
      </c>
      <c r="Q43" s="409">
        <f>(SUMIFS('Forecast capex'!$Q$9:$Q$1940,'Forecast capex'!$J$9:$J$1940,Q$123,'Forecast capex'!$F$9:$F$1940,$E43)/1000)</f>
        <v>1896.0479999999995</v>
      </c>
      <c r="R43" s="409">
        <f>(SUMIFS('Forecast capex'!$Q$9:$Q$1940,'Forecast capex'!$J$9:$J$1940,R$123,'Forecast capex'!$F$9:$F$1940,$E43)/1000)</f>
        <v>2844.0719999999997</v>
      </c>
      <c r="S43" s="409">
        <f>(SUMIFS('Forecast capex'!$Q$9:$Q$1940,'Forecast capex'!$J$9:$J$1940,S$123,'Forecast capex'!$F$9:$F$1940,$E43)/1000)</f>
        <v>2708.64</v>
      </c>
      <c r="T43" s="408">
        <f t="shared" si="15"/>
        <v>7448.7599999999984</v>
      </c>
      <c r="U43" s="381"/>
      <c r="V43" s="410">
        <f>H43*'Historical capex'!H$155</f>
        <v>66.184303557844842</v>
      </c>
      <c r="W43" s="410">
        <f>I43*'Historical capex'!I$155</f>
        <v>45.613867698634124</v>
      </c>
      <c r="X43" s="410">
        <f>J43*'Historical capex'!J$155</f>
        <v>201.4861147831725</v>
      </c>
      <c r="Y43" s="410">
        <f>K43*'Historical capex'!K$155</f>
        <v>2112.9154676548578</v>
      </c>
      <c r="Z43" s="410">
        <f>L43*'Historical capex'!L$155</f>
        <v>1307.969826434188</v>
      </c>
      <c r="AA43" s="408">
        <f>(SUMIFS('Forecast capex'!$X$9:$X$1940, 'Forecast capex'!$J$9:$J$1940,AA$123, 'Forecast capex'!$F$9:$F$1940,$E43))/1000</f>
        <v>2702.6452646484377</v>
      </c>
      <c r="AB43" s="408">
        <f>(SUMIFS('Forecast capex'!$X$9:$X$1940, 'Forecast capex'!$J$9:$J$1940,AB$123, 'Forecast capex'!$F$9:$F$1940,$E43))/1000</f>
        <v>203.13194155011033</v>
      </c>
      <c r="AC43" s="408">
        <f>(SUMIFS('Forecast capex'!$X$9:$X$1940, 'Forecast capex'!$J$9:$J$1940,AC$123, 'Forecast capex'!$F$9:$F$1940,$E43))/1000</f>
        <v>0</v>
      </c>
      <c r="AD43" s="408">
        <f>(SUMIFS('Forecast capex'!$X$9:$X$1940, 'Forecast capex'!$J$9:$J$1940,AD$123, 'Forecast capex'!$F$9:$F$1940,$E43))/1000</f>
        <v>0</v>
      </c>
      <c r="AE43" s="408">
        <f>(SUMIFS('Forecast capex'!$X$9:$X$1940, 'Forecast capex'!$J$9:$J$1940,AE$123, 'Forecast capex'!$F$9:$F$1940,$E43))/1000</f>
        <v>2038.9249551228559</v>
      </c>
      <c r="AF43" s="408">
        <f>(SUMIFS('Forecast capex'!$X$9:$X$1940, 'Forecast capex'!$J$9:$J$1940,AF$123, 'Forecast capex'!$F$9:$F$1940,$E43))/1000</f>
        <v>3130.5041562060592</v>
      </c>
      <c r="AG43" s="408">
        <f>(SUMIFS('Forecast capex'!$X$9:$X$1940, 'Forecast capex'!$J$9:$J$1940,AG$123, 'Forecast capex'!$F$9:$F$1940,$E43))/1000</f>
        <v>3051.8058719857463</v>
      </c>
      <c r="AH43" s="408">
        <f t="shared" si="16"/>
        <v>8221.2349833146618</v>
      </c>
      <c r="AI43" s="528"/>
      <c r="AJ43" s="408">
        <f>(SUMIFS('Forecast capex'!$AC$9:$AC$1940, 'Forecast capex'!$K$9:$K$1940,AJ$123, 'Forecast capex'!$F$9:$F$1940,$E43)+'Schedule E calculations'!M288*'Schedule E calculations'!M$348+'Historical capex'!M135)/1000</f>
        <v>19.940412508071098</v>
      </c>
      <c r="AK43" s="408">
        <f>(SUMIFS('Forecast capex'!$AC$9:$AC$1940, 'Forecast capex'!$K$9:$K$1940,AK$123, 'Forecast capex'!$F$9:$F$1940,$E43)+'Schedule E calculations'!N288*'Schedule E calculations'!N$348+'Historical capex'!N135)/1000</f>
        <v>6475.4419221016724</v>
      </c>
      <c r="AL43" s="408">
        <f>(SUMIFS('Forecast capex'!$AC$9:$AC$1940, 'Forecast capex'!$K$9:$K$1940,AL$123, 'Forecast capex'!$F$9:$F$1940,$E43)+'Schedule E calculations'!O288*'Schedule E calculations'!O$348+'Historical capex'!O135)/1000</f>
        <v>0</v>
      </c>
      <c r="AM43" s="408">
        <f>(SUMIFS('Forecast capex'!$AC$9:$AC$1940, 'Forecast capex'!$K$9:$K$1940,AM$123, 'Forecast capex'!$F$9:$F$1940,$E43)+'Schedule E calculations'!P288*'Schedule E calculations'!P$348+'Historical capex'!P135)/1000</f>
        <v>0</v>
      </c>
      <c r="AN43" s="408">
        <f>(SUMIFS('Forecast capex'!$AC$9:$AC$1940, 'Forecast capex'!$K$9:$K$1940,AN$123, 'Forecast capex'!$F$9:$F$1940,$E43)+'Schedule E calculations'!Q288*'Schedule E calculations'!Q$348+'Historical capex'!Q135)/1000</f>
        <v>2019.8291467560721</v>
      </c>
      <c r="AO43" s="408">
        <f>(SUMIFS('Forecast capex'!$AC$9:$AC$1940, 'Forecast capex'!$K$9:$K$1940,AO$123, 'Forecast capex'!$F$9:$F$1940,$E43)+'Schedule E calculations'!R288*'Schedule E calculations'!R$348+'Historical capex'!R135)/1000</f>
        <v>18.497514251535382</v>
      </c>
      <c r="AP43" s="408">
        <f>(SUMIFS('Forecast capex'!$AC$9:$AC$1940, 'Forecast capex'!$K$9:$K$1940,AP$123, 'Forecast capex'!$F$9:$F$1940,$E43)+'Schedule E calculations'!S288*'Schedule E calculations'!S$348+'Historical capex'!S135)/1000</f>
        <v>6424.1779425893392</v>
      </c>
      <c r="AQ43" s="408">
        <f t="shared" si="17"/>
        <v>8462.5046035969463</v>
      </c>
      <c r="AR43" s="381"/>
    </row>
    <row r="44" spans="2:52" ht="15" customHeight="1" x14ac:dyDescent="0.2">
      <c r="B44" s="398"/>
      <c r="C44" s="488"/>
      <c r="D44" s="510"/>
      <c r="E44" s="539" t="str">
        <f xml:space="preserve"> 'Global inputs'!B158</f>
        <v>3.2 Distribution Cables</v>
      </c>
      <c r="F44" s="381"/>
      <c r="G44" s="381"/>
      <c r="H44" s="511">
        <v>169.96919323577495</v>
      </c>
      <c r="I44" s="511">
        <v>154.30045976470311</v>
      </c>
      <c r="J44" s="511">
        <v>333.31172291894956</v>
      </c>
      <c r="K44" s="511">
        <v>486.59758180936979</v>
      </c>
      <c r="L44" s="511">
        <v>73.750018057196215</v>
      </c>
      <c r="M44" s="409">
        <f>(SUMIFS('Forecast capex'!$Q$9:$Q$1940,'Forecast capex'!$J$9:$J$1940,M$123,'Forecast capex'!$F$9:$F$1940,$E44)/1000)</f>
        <v>1034.7700999755862</v>
      </c>
      <c r="N44" s="409">
        <f>(SUMIFS('Forecast capex'!$Q$9:$Q$1940,'Forecast capex'!$J$9:$J$1940,N$123,'Forecast capex'!$F$9:$F$1940,$E44)/1000)</f>
        <v>850.5</v>
      </c>
      <c r="O44" s="409">
        <f>(SUMIFS('Forecast capex'!$Q$9:$Q$1940,'Forecast capex'!$J$9:$J$1940,O$123,'Forecast capex'!$F$9:$F$1940,$E44)/1000)</f>
        <v>1577.4901999999997</v>
      </c>
      <c r="P44" s="409">
        <f>(SUMIFS('Forecast capex'!$Q$9:$Q$1940,'Forecast capex'!$J$9:$J$1940,P$123,'Forecast capex'!$F$9:$F$1940,$E44)/1000)</f>
        <v>1683.04945</v>
      </c>
      <c r="Q44" s="409">
        <f>(SUMIFS('Forecast capex'!$Q$9:$Q$1940,'Forecast capex'!$J$9:$J$1940,Q$123,'Forecast capex'!$F$9:$F$1940,$E44)/1000)</f>
        <v>1788.6467000000002</v>
      </c>
      <c r="R44" s="409">
        <f>(SUMIFS('Forecast capex'!$Q$9:$Q$1940,'Forecast capex'!$J$9:$J$1940,R$123,'Forecast capex'!$F$9:$F$1940,$E44)/1000)</f>
        <v>1829.0207499999997</v>
      </c>
      <c r="S44" s="409">
        <f>(SUMIFS('Forecast capex'!$Q$9:$Q$1940,'Forecast capex'!$J$9:$J$1940,S$123,'Forecast capex'!$F$9:$F$1940,$E44)/1000)</f>
        <v>1175.7361500000002</v>
      </c>
      <c r="T44" s="408">
        <f t="shared" si="15"/>
        <v>8053.9432500000003</v>
      </c>
      <c r="U44" s="381"/>
      <c r="V44" s="410">
        <f>H44*'Historical capex'!H$155</f>
        <v>159.67467774276059</v>
      </c>
      <c r="W44" s="410">
        <f>I44*'Historical capex'!I$155</f>
        <v>145.43954819895805</v>
      </c>
      <c r="X44" s="410">
        <f>J44*'Historical capex'!J$155</f>
        <v>317.57294866129411</v>
      </c>
      <c r="Y44" s="410">
        <f>K44*'Historical capex'!K$155</f>
        <v>470.96016377016218</v>
      </c>
      <c r="Z44" s="410">
        <f>L44*'Historical capex'!L$155</f>
        <v>72.588705260132272</v>
      </c>
      <c r="AA44" s="408">
        <f>(SUMIFS('Forecast capex'!$X$9:$X$1940, 'Forecast capex'!$J$9:$J$1940,AA$123, 'Forecast capex'!$F$9:$F$1940,$E44))/1000</f>
        <v>1034.7700999755862</v>
      </c>
      <c r="AB44" s="408">
        <f>(SUMIFS('Forecast capex'!$X$9:$X$1940, 'Forecast capex'!$J$9:$J$1940,AB$123, 'Forecast capex'!$F$9:$F$1940,$E44))/1000</f>
        <v>856.30772394268558</v>
      </c>
      <c r="AC44" s="408">
        <f>(SUMIFS('Forecast capex'!$X$9:$X$1940, 'Forecast capex'!$J$9:$J$1940,AC$123, 'Forecast capex'!$F$9:$F$1940,$E44))/1000</f>
        <v>1597.0683343329806</v>
      </c>
      <c r="AD44" s="408">
        <f>(SUMIFS('Forecast capex'!$X$9:$X$1940, 'Forecast capex'!$J$9:$J$1940,AD$123, 'Forecast capex'!$F$9:$F$1940,$E44))/1000</f>
        <v>1733.7626787855961</v>
      </c>
      <c r="AE44" s="408">
        <f>(SUMIFS('Forecast capex'!$X$9:$X$1940, 'Forecast capex'!$J$9:$J$1940,AE$123, 'Forecast capex'!$F$9:$F$1940,$E44))/1000</f>
        <v>1869.2960918212625</v>
      </c>
      <c r="AF44" s="408">
        <f>(SUMIFS('Forecast capex'!$X$9:$X$1940, 'Forecast capex'!$J$9:$J$1940,AF$123, 'Forecast capex'!$F$9:$F$1940,$E44))/1000</f>
        <v>1946.6826477879138</v>
      </c>
      <c r="AG44" s="408">
        <f>(SUMIFS('Forecast capex'!$X$9:$X$1940, 'Forecast capex'!$J$9:$J$1940,AG$123, 'Forecast capex'!$F$9:$F$1940,$E44))/1000</f>
        <v>1274.4348087497403</v>
      </c>
      <c r="AH44" s="408">
        <f t="shared" si="16"/>
        <v>8421.2445614774933</v>
      </c>
      <c r="AI44" s="528"/>
      <c r="AJ44" s="408">
        <f>(SUMIFS('Forecast capex'!$AC$9:$AC$1940, 'Forecast capex'!$K$9:$K$1940,AJ$123, 'Forecast capex'!$F$9:$F$1940,$E44)+'Schedule E calculations'!M289*'Schedule E calculations'!M$348+'Historical capex'!M136)/1000</f>
        <v>948.59887901568129</v>
      </c>
      <c r="AK44" s="408">
        <f>(SUMIFS('Forecast capex'!$AC$9:$AC$1940, 'Forecast capex'!$K$9:$K$1940,AK$123, 'Forecast capex'!$F$9:$F$1940,$E44)+'Schedule E calculations'!N289*'Schedule E calculations'!N$348+'Historical capex'!N136)/1000</f>
        <v>870.7289016273777</v>
      </c>
      <c r="AL44" s="408">
        <f>(SUMIFS('Forecast capex'!$AC$9:$AC$1940, 'Forecast capex'!$K$9:$K$1940,AL$123, 'Forecast capex'!$F$9:$F$1940,$E44)+'Schedule E calculations'!O289*'Schedule E calculations'!O$348+'Historical capex'!O136)/1000</f>
        <v>1724.8449983313728</v>
      </c>
      <c r="AM44" s="408">
        <f>(SUMIFS('Forecast capex'!$AC$9:$AC$1940, 'Forecast capex'!$K$9:$K$1940,AM$123, 'Forecast capex'!$F$9:$F$1940,$E44)+'Schedule E calculations'!P289*'Schedule E calculations'!P$348+'Historical capex'!P136)/1000</f>
        <v>1770.1351828560898</v>
      </c>
      <c r="AN44" s="408">
        <f>(SUMIFS('Forecast capex'!$AC$9:$AC$1940, 'Forecast capex'!$K$9:$K$1940,AN$123, 'Forecast capex'!$F$9:$F$1940,$E44)+'Schedule E calculations'!Q289*'Schedule E calculations'!Q$348+'Historical capex'!Q136)/1000</f>
        <v>1852.1055345292752</v>
      </c>
      <c r="AO44" s="408">
        <f>(SUMIFS('Forecast capex'!$AC$9:$AC$1940, 'Forecast capex'!$K$9:$K$1940,AO$123, 'Forecast capex'!$F$9:$F$1940,$E44)+'Schedule E calculations'!R289*'Schedule E calculations'!R$348+'Historical capex'!R136)/1000</f>
        <v>2000.5809023245017</v>
      </c>
      <c r="AP44" s="408">
        <f>(SUMIFS('Forecast capex'!$AC$9:$AC$1940, 'Forecast capex'!$K$9:$K$1940,AP$123, 'Forecast capex'!$F$9:$F$1940,$E44)+'Schedule E calculations'!S289*'Schedule E calculations'!S$348+'Historical capex'!S136)/1000</f>
        <v>1329.2411997131878</v>
      </c>
      <c r="AQ44" s="408">
        <f t="shared" si="17"/>
        <v>8676.907817754427</v>
      </c>
      <c r="AR44" s="381"/>
    </row>
    <row r="45" spans="2:52" ht="15" customHeight="1" x14ac:dyDescent="0.2">
      <c r="B45" s="398"/>
      <c r="C45" s="488"/>
      <c r="D45" s="510"/>
      <c r="E45" s="539" t="str">
        <f xml:space="preserve"> 'Global inputs'!B159</f>
        <v>3.3 Low Voltage Cables</v>
      </c>
      <c r="F45" s="381"/>
      <c r="G45" s="381"/>
      <c r="H45" s="511">
        <v>149.97786852945615</v>
      </c>
      <c r="I45" s="511">
        <v>317.82379286781423</v>
      </c>
      <c r="J45" s="511">
        <v>422.89672594636932</v>
      </c>
      <c r="K45" s="511">
        <v>281.47240568290579</v>
      </c>
      <c r="L45" s="511">
        <v>223.4520226760429</v>
      </c>
      <c r="M45" s="409">
        <f>(SUMIFS('Forecast capex'!$Q$9:$Q$1940,'Forecast capex'!$J$9:$J$1940,M$123,'Forecast capex'!$F$9:$F$1940,$E45)/1000)</f>
        <v>252</v>
      </c>
      <c r="N45" s="409">
        <f>(SUMIFS('Forecast capex'!$Q$9:$Q$1940,'Forecast capex'!$J$9:$J$1940,N$123,'Forecast capex'!$F$9:$F$1940,$E45)/1000)</f>
        <v>396.98010168090218</v>
      </c>
      <c r="O45" s="409">
        <f>(SUMIFS('Forecast capex'!$Q$9:$Q$1940,'Forecast capex'!$J$9:$J$1940,O$123,'Forecast capex'!$F$9:$F$1940,$E45)/1000)</f>
        <v>284.55255000000005</v>
      </c>
      <c r="P45" s="409">
        <f>(SUMIFS('Forecast capex'!$Q$9:$Q$1940,'Forecast capex'!$J$9:$J$1940,P$123,'Forecast capex'!$F$9:$F$1940,$E45)/1000)</f>
        <v>284.55255000000005</v>
      </c>
      <c r="Q45" s="409">
        <f>(SUMIFS('Forecast capex'!$Q$9:$Q$1940,'Forecast capex'!$J$9:$J$1940,Q$123,'Forecast capex'!$F$9:$F$1940,$E45)/1000)</f>
        <v>284.55255000000005</v>
      </c>
      <c r="R45" s="409">
        <f>(SUMIFS('Forecast capex'!$Q$9:$Q$1940,'Forecast capex'!$J$9:$J$1940,R$123,'Forecast capex'!$F$9:$F$1940,$E45)/1000)</f>
        <v>284.55255</v>
      </c>
      <c r="S45" s="409">
        <f>(SUMIFS('Forecast capex'!$Q$9:$Q$1940,'Forecast capex'!$J$9:$J$1940,S$123,'Forecast capex'!$F$9:$F$1940,$E45)/1000)</f>
        <v>284.55255</v>
      </c>
      <c r="T45" s="408">
        <f t="shared" si="15"/>
        <v>1422.7627499999999</v>
      </c>
      <c r="U45" s="381"/>
      <c r="V45" s="410">
        <f>H45*'Historical capex'!H$155</f>
        <v>140.89416658445691</v>
      </c>
      <c r="W45" s="410">
        <f>I45*'Historical capex'!I$155</f>
        <v>299.57233382235262</v>
      </c>
      <c r="X45" s="410">
        <f>J45*'Historical capex'!J$155</f>
        <v>402.92780302435739</v>
      </c>
      <c r="Y45" s="410">
        <f>K45*'Historical capex'!K$155</f>
        <v>272.42694010989896</v>
      </c>
      <c r="Z45" s="410">
        <f>L45*'Historical capex'!L$155</f>
        <v>219.93341074482601</v>
      </c>
      <c r="AA45" s="408">
        <f>(SUMIFS('Forecast capex'!$X$9:$X$1940, 'Forecast capex'!$J$9:$J$1940,AA$123, 'Forecast capex'!$F$9:$F$1940,$E45))/1000</f>
        <v>252</v>
      </c>
      <c r="AB45" s="408">
        <f>(SUMIFS('Forecast capex'!$X$9:$X$1940, 'Forecast capex'!$J$9:$J$1940,AB$123, 'Forecast capex'!$F$9:$F$1940,$E45))/1000</f>
        <v>403.66905303246898</v>
      </c>
      <c r="AC45" s="408">
        <f>(SUMIFS('Forecast capex'!$X$9:$X$1940, 'Forecast capex'!$J$9:$J$1940,AC$123, 'Forecast capex'!$F$9:$F$1940,$E45))/1000</f>
        <v>293.71038307195238</v>
      </c>
      <c r="AD45" s="408">
        <f>(SUMIFS('Forecast capex'!$X$9:$X$1940, 'Forecast capex'!$J$9:$J$1940,AD$123, 'Forecast capex'!$F$9:$F$1940,$E45))/1000</f>
        <v>300.86797992853661</v>
      </c>
      <c r="AE45" s="408">
        <f>(SUMIFS('Forecast capex'!$X$9:$X$1940, 'Forecast capex'!$J$9:$J$1940,AE$123, 'Forecast capex'!$F$9:$F$1940,$E45))/1000</f>
        <v>306.96517846904152</v>
      </c>
      <c r="AF45" s="408">
        <f>(SUMIFS('Forecast capex'!$X$9:$X$1940, 'Forecast capex'!$J$9:$J$1940,AF$123, 'Forecast capex'!$F$9:$F$1940,$E45))/1000</f>
        <v>314.53061752634829</v>
      </c>
      <c r="AG45" s="408">
        <f>(SUMIFS('Forecast capex'!$X$9:$X$1940, 'Forecast capex'!$J$9:$J$1940,AG$123, 'Forecast capex'!$F$9:$F$1940,$E45))/1000</f>
        <v>322.2910803291723</v>
      </c>
      <c r="AH45" s="408">
        <f t="shared" si="16"/>
        <v>1538.3652393250511</v>
      </c>
      <c r="AI45" s="528"/>
      <c r="AJ45" s="408">
        <f>(SUMIFS('Forecast capex'!$AC$9:$AC$1940, 'Forecast capex'!$K$9:$K$1940,AJ$123, 'Forecast capex'!$F$9:$F$1940,$E45)+'Schedule E calculations'!M290*'Schedule E calculations'!M$348+'Historical capex'!M137)/1000</f>
        <v>231.01451957066763</v>
      </c>
      <c r="AK45" s="408">
        <f>(SUMIFS('Forecast capex'!$AC$9:$AC$1940, 'Forecast capex'!$K$9:$K$1940,AK$123, 'Forecast capex'!$F$9:$F$1940,$E45)+'Schedule E calculations'!N290*'Schedule E calculations'!N$348+'Historical capex'!N137)/1000</f>
        <v>410.43674943851778</v>
      </c>
      <c r="AL45" s="408">
        <f>(SUMIFS('Forecast capex'!$AC$9:$AC$1940, 'Forecast capex'!$K$9:$K$1940,AL$123, 'Forecast capex'!$F$9:$F$1940,$E45)+'Schedule E calculations'!O290*'Schedule E calculations'!O$348+'Historical capex'!O137)/1000</f>
        <v>317.17067534947995</v>
      </c>
      <c r="AM45" s="408">
        <f>(SUMIFS('Forecast capex'!$AC$9:$AC$1940, 'Forecast capex'!$K$9:$K$1940,AM$123, 'Forecast capex'!$F$9:$F$1940,$E45)+'Schedule E calculations'!P290*'Schedule E calculations'!P$348+'Historical capex'!P137)/1000</f>
        <v>307.13003670957994</v>
      </c>
      <c r="AN45" s="408">
        <f>(SUMIFS('Forecast capex'!$AC$9:$AC$1940, 'Forecast capex'!$K$9:$K$1940,AN$123, 'Forecast capex'!$F$9:$F$1940,$E45)+'Schedule E calculations'!Q290*'Schedule E calculations'!Q$348+'Historical capex'!Q137)/1000</f>
        <v>304.0845842335753</v>
      </c>
      <c r="AO45" s="408">
        <f>(SUMIFS('Forecast capex'!$AC$9:$AC$1940, 'Forecast capex'!$K$9:$K$1940,AO$123, 'Forecast capex'!$F$9:$F$1940,$E45)+'Schedule E calculations'!R290*'Schedule E calculations'!R$348+'Historical capex'!R137)/1000</f>
        <v>323.16777085859633</v>
      </c>
      <c r="AP45" s="408">
        <f>(SUMIFS('Forecast capex'!$AC$9:$AC$1940, 'Forecast capex'!$K$9:$K$1940,AP$123, 'Forecast capex'!$F$9:$F$1940,$E45)+'Schedule E calculations'!S290*'Schedule E calculations'!S$348+'Historical capex'!S137)/1000</f>
        <v>336.06539773796834</v>
      </c>
      <c r="AQ45" s="408">
        <f t="shared" si="17"/>
        <v>1587.6184648891999</v>
      </c>
      <c r="AR45" s="381"/>
    </row>
    <row r="46" spans="2:52" ht="15" customHeight="1" x14ac:dyDescent="0.2">
      <c r="B46" s="398"/>
      <c r="C46" s="488"/>
      <c r="D46" s="510"/>
      <c r="E46" s="539" t="str">
        <f xml:space="preserve"> 'Global inputs'!B160</f>
        <v>4.1 Zone Substations</v>
      </c>
      <c r="F46" s="381"/>
      <c r="G46" s="381"/>
      <c r="H46" s="511">
        <v>446.43939463319407</v>
      </c>
      <c r="I46" s="511">
        <v>276.37017710187166</v>
      </c>
      <c r="J46" s="511">
        <v>965.59884384505722</v>
      </c>
      <c r="K46" s="511">
        <v>6149.7028801450724</v>
      </c>
      <c r="L46" s="511">
        <v>4283.4108494951652</v>
      </c>
      <c r="M46" s="409">
        <f>(SUMIFS('Forecast capex'!$Q$9:$Q$1940,'Forecast capex'!$J$9:$J$1940,M$123,'Forecast capex'!$F$9:$F$1940,$E46)/1000)</f>
        <v>6166.4291885437005</v>
      </c>
      <c r="N46" s="409">
        <f>(SUMIFS('Forecast capex'!$Q$9:$Q$1940,'Forecast capex'!$J$9:$J$1940,N$123,'Forecast capex'!$F$9:$F$1940,$E46)/1000)</f>
        <v>8752.3703850000002</v>
      </c>
      <c r="O46" s="409">
        <f>(SUMIFS('Forecast capex'!$Q$9:$Q$1940,'Forecast capex'!$J$9:$J$1940,O$123,'Forecast capex'!$F$9:$F$1940,$E46)/1000)</f>
        <v>9970.6198159999985</v>
      </c>
      <c r="P46" s="409">
        <f>(SUMIFS('Forecast capex'!$Q$9:$Q$1940,'Forecast capex'!$J$9:$J$1940,P$123,'Forecast capex'!$F$9:$F$1940,$E46)/1000)</f>
        <v>5485.3681007499999</v>
      </c>
      <c r="Q46" s="409">
        <f>(SUMIFS('Forecast capex'!$Q$9:$Q$1940,'Forecast capex'!$J$9:$J$1940,Q$123,'Forecast capex'!$F$9:$F$1940,$E46)/1000)</f>
        <v>9742.9691025000011</v>
      </c>
      <c r="R46" s="409">
        <f>(SUMIFS('Forecast capex'!$Q$9:$Q$1940,'Forecast capex'!$J$9:$J$1940,R$123,'Forecast capex'!$F$9:$F$1940,$E46)/1000)</f>
        <v>9913.5723017500004</v>
      </c>
      <c r="S46" s="409">
        <f>(SUMIFS('Forecast capex'!$Q$9:$Q$1940,'Forecast capex'!$J$9:$J$1940,S$123,'Forecast capex'!$F$9:$F$1940,$E46)/1000)</f>
        <v>4737.7602000000006</v>
      </c>
      <c r="T46" s="408">
        <f t="shared" si="15"/>
        <v>39850.289520999999</v>
      </c>
      <c r="U46" s="381"/>
      <c r="V46" s="410">
        <f>H46*'Historical capex'!H$155</f>
        <v>419.39992249562772</v>
      </c>
      <c r="W46" s="410">
        <f>I46*'Historical capex'!I$155</f>
        <v>260.49924773171057</v>
      </c>
      <c r="X46" s="410">
        <f>J46*'Historical capex'!J$155</f>
        <v>920.0038611854585</v>
      </c>
      <c r="Y46" s="410">
        <f>K46*'Historical capex'!K$155</f>
        <v>5952.0745351866681</v>
      </c>
      <c r="Z46" s="410">
        <f>L46*'Historical capex'!L$155</f>
        <v>4215.9616479133638</v>
      </c>
      <c r="AA46" s="408">
        <f>(SUMIFS('Forecast capex'!$X$9:$X$1940, 'Forecast capex'!$J$9:$J$1940,AA$123, 'Forecast capex'!$F$9:$F$1940,$E46))/1000</f>
        <v>6166.4291885437005</v>
      </c>
      <c r="AB46" s="408">
        <f>(SUMIFS('Forecast capex'!$X$9:$X$1940, 'Forecast capex'!$J$9:$J$1940,AB$123, 'Forecast capex'!$F$9:$F$1940,$E46))/1000</f>
        <v>8872.9465579962271</v>
      </c>
      <c r="AC46" s="408">
        <f>(SUMIFS('Forecast capex'!$X$9:$X$1940, 'Forecast capex'!$J$9:$J$1940,AC$123, 'Forecast capex'!$F$9:$F$1940,$E46))/1000</f>
        <v>10232.147404323994</v>
      </c>
      <c r="AD46" s="408">
        <f>(SUMIFS('Forecast capex'!$X$9:$X$1940, 'Forecast capex'!$J$9:$J$1940,AD$123, 'Forecast capex'!$F$9:$F$1940,$E46))/1000</f>
        <v>5740.9077623234225</v>
      </c>
      <c r="AE46" s="408">
        <f>(SUMIFS('Forecast capex'!$X$9:$X$1940, 'Forecast capex'!$J$9:$J$1940,AE$123, 'Forecast capex'!$F$9:$F$1940,$E46))/1000</f>
        <v>10330.859116165693</v>
      </c>
      <c r="AF46" s="408">
        <f>(SUMIFS('Forecast capex'!$X$9:$X$1940, 'Forecast capex'!$J$9:$J$1940,AF$123, 'Forecast capex'!$F$9:$F$1940,$E46))/1000</f>
        <v>10712.209935704328</v>
      </c>
      <c r="AG46" s="408">
        <f>(SUMIFS('Forecast capex'!$X$9:$X$1940, 'Forecast capex'!$J$9:$J$1940,AG$123, 'Forecast capex'!$F$9:$F$1940,$E46))/1000</f>
        <v>5217.3896715761521</v>
      </c>
      <c r="AH46" s="408">
        <f>SUM(AC46:AG46)</f>
        <v>42233.513890093585</v>
      </c>
      <c r="AI46" s="528"/>
      <c r="AJ46" s="408">
        <f>(SUMIFS('Forecast capex'!$AC$9:$AC$1940, 'Forecast capex'!$K$9:$K$1940,AJ$123, 'Forecast capex'!$F$9:$F$1940,$E46)+'Schedule E calculations'!M291*'Schedule E calculations'!M$348+'Historical capex'!M138)/1000</f>
        <v>5652.915382769701</v>
      </c>
      <c r="AK46" s="408">
        <f>(SUMIFS('Forecast capex'!$AC$9:$AC$1940, 'Forecast capex'!$K$9:$K$1940,AK$123, 'Forecast capex'!$F$9:$F$1940,$E46)+'Schedule E calculations'!N291*'Schedule E calculations'!N$348+'Historical capex'!N138)/1000</f>
        <v>4997.3917362861066</v>
      </c>
      <c r="AL46" s="408">
        <f>(SUMIFS('Forecast capex'!$AC$9:$AC$1940, 'Forecast capex'!$K$9:$K$1940,AL$123, 'Forecast capex'!$F$9:$F$1940,$E46)+'Schedule E calculations'!O291*'Schedule E calculations'!O$348+'Historical capex'!O138)/1000</f>
        <v>13798.756382358304</v>
      </c>
      <c r="AM46" s="408">
        <f>(SUMIFS('Forecast capex'!$AC$9:$AC$1940, 'Forecast capex'!$K$9:$K$1940,AM$123, 'Forecast capex'!$F$9:$F$1940,$E46)+'Schedule E calculations'!P291*'Schedule E calculations'!P$348+'Historical capex'!P138)/1000</f>
        <v>4478.1914095105785</v>
      </c>
      <c r="AN46" s="408">
        <f>(SUMIFS('Forecast capex'!$AC$9:$AC$1940, 'Forecast capex'!$K$9:$K$1940,AN$123, 'Forecast capex'!$F$9:$F$1940,$E46)+'Schedule E calculations'!Q291*'Schedule E calculations'!Q$348+'Historical capex'!Q138)/1000</f>
        <v>9081.0327988538393</v>
      </c>
      <c r="AO46" s="408">
        <f>(SUMIFS('Forecast capex'!$AC$9:$AC$1940, 'Forecast capex'!$K$9:$K$1940,AO$123, 'Forecast capex'!$F$9:$F$1940,$E46)+'Schedule E calculations'!R291*'Schedule E calculations'!R$348+'Historical capex'!R138)/1000</f>
        <v>13882.653924280214</v>
      </c>
      <c r="AP46" s="408">
        <f>(SUMIFS('Forecast capex'!$AC$9:$AC$1940, 'Forecast capex'!$K$9:$K$1940,AP$123, 'Forecast capex'!$F$9:$F$1940,$E46)+'Schedule E calculations'!S291*'Schedule E calculations'!S$348+'Historical capex'!S138)/1000</f>
        <v>4326.4116837458314</v>
      </c>
      <c r="AQ46" s="408">
        <f>SUM(AL46:AP46)</f>
        <v>45567.046198748765</v>
      </c>
      <c r="AR46" s="381"/>
    </row>
    <row r="47" spans="2:52" ht="15" customHeight="1" x14ac:dyDescent="0.2">
      <c r="B47" s="398"/>
      <c r="C47" s="488"/>
      <c r="D47" s="510"/>
      <c r="E47" s="539" t="str">
        <f xml:space="preserve"> 'Global inputs'!B161</f>
        <v>5.1 Ground Mounted Switchgear</v>
      </c>
      <c r="F47" s="381"/>
      <c r="G47" s="381"/>
      <c r="H47" s="511">
        <v>111.06132873076872</v>
      </c>
      <c r="I47" s="511">
        <v>112.69130880462927</v>
      </c>
      <c r="J47" s="511">
        <v>324.75599218583784</v>
      </c>
      <c r="K47" s="511">
        <v>85.705149490300215</v>
      </c>
      <c r="L47" s="511">
        <v>0</v>
      </c>
      <c r="M47" s="409">
        <f>(SUMIFS('Forecast capex'!$Q$9:$Q$1940,'Forecast capex'!$J$9:$J$1940,M$123,'Forecast capex'!$F$9:$F$1940,$E47)/1000)</f>
        <v>1222.575</v>
      </c>
      <c r="N47" s="409">
        <f>(SUMIFS('Forecast capex'!$Q$9:$Q$1940,'Forecast capex'!$J$9:$J$1940,N$123,'Forecast capex'!$F$9:$F$1940,$E47)/1000)</f>
        <v>3097.5749999999998</v>
      </c>
      <c r="O47" s="409">
        <f>(SUMIFS('Forecast capex'!$Q$9:$Q$1940,'Forecast capex'!$J$9:$J$1940,O$123,'Forecast capex'!$F$9:$F$1940,$E47)/1000)</f>
        <v>2942.69625</v>
      </c>
      <c r="P47" s="409">
        <f>(SUMIFS('Forecast capex'!$Q$9:$Q$1940,'Forecast capex'!$J$9:$J$1940,P$123,'Forecast capex'!$F$9:$F$1940,$E47)/1000)</f>
        <v>3063.75</v>
      </c>
      <c r="Q47" s="409">
        <f>(SUMIFS('Forecast capex'!$Q$9:$Q$1940,'Forecast capex'!$J$9:$J$1940,Q$123,'Forecast capex'!$F$9:$F$1940,$E47)/1000)</f>
        <v>2964.1424999999999</v>
      </c>
      <c r="R47" s="409">
        <f>(SUMIFS('Forecast capex'!$Q$9:$Q$1940,'Forecast capex'!$J$9:$J$1940,R$123,'Forecast capex'!$F$9:$F$1940,$E47)/1000)</f>
        <v>2992.5</v>
      </c>
      <c r="S47" s="409">
        <f>(SUMIFS('Forecast capex'!$Q$9:$Q$1940,'Forecast capex'!$J$9:$J$1940,S$123,'Forecast capex'!$F$9:$F$1940,$E47)/1000)</f>
        <v>1781.25</v>
      </c>
      <c r="T47" s="408">
        <f t="shared" si="15"/>
        <v>13744.338749999999</v>
      </c>
      <c r="U47" s="381"/>
      <c r="V47" s="410">
        <f>H47*'Historical capex'!H$155</f>
        <v>104.3346828749654</v>
      </c>
      <c r="W47" s="410">
        <f>I47*'Historical capex'!I$155</f>
        <v>106.21985873203325</v>
      </c>
      <c r="X47" s="410">
        <f>J47*'Historical capex'!J$155</f>
        <v>309.42121426362024</v>
      </c>
      <c r="Y47" s="410">
        <f>K47*'Historical capex'!K$155</f>
        <v>82.950907996314243</v>
      </c>
      <c r="Z47" s="410">
        <f>L47*'Historical capex'!L$155</f>
        <v>0</v>
      </c>
      <c r="AA47" s="408">
        <f>(SUMIFS('Forecast capex'!$X$9:$X$1940, 'Forecast capex'!$J$9:$J$1940,AA$123, 'Forecast capex'!$F$9:$F$1940,$E47))/1000</f>
        <v>1222.575</v>
      </c>
      <c r="AB47" s="408">
        <f>(SUMIFS('Forecast capex'!$X$9:$X$1940, 'Forecast capex'!$J$9:$J$1940,AB$123, 'Forecast capex'!$F$9:$F$1940,$E47))/1000</f>
        <v>3154.5034992821238</v>
      </c>
      <c r="AC47" s="408">
        <f>(SUMIFS('Forecast capex'!$X$9:$X$1940, 'Forecast capex'!$J$9:$J$1940,AC$123, 'Forecast capex'!$F$9:$F$1940,$E47))/1000</f>
        <v>3021.8569395217596</v>
      </c>
      <c r="AD47" s="408">
        <f>(SUMIFS('Forecast capex'!$X$9:$X$1940, 'Forecast capex'!$J$9:$J$1940,AD$123, 'Forecast capex'!$F$9:$F$1940,$E47))/1000</f>
        <v>3212.129762844012</v>
      </c>
      <c r="AE47" s="408">
        <f>(SUMIFS('Forecast capex'!$X$9:$X$1940, 'Forecast capex'!$J$9:$J$1940,AE$123, 'Forecast capex'!$F$9:$F$1940,$E47))/1000</f>
        <v>3163.2414205782115</v>
      </c>
      <c r="AF47" s="408">
        <f>(SUMIFS('Forecast capex'!$X$9:$X$1940, 'Forecast capex'!$J$9:$J$1940,AF$123, 'Forecast capex'!$F$9:$F$1940,$E47))/1000</f>
        <v>3263.4505682686176</v>
      </c>
      <c r="AG47" s="408">
        <f>(SUMIFS('Forecast capex'!$X$9:$X$1940, 'Forecast capex'!$J$9:$J$1940,AG$123, 'Forecast capex'!$F$9:$F$1940,$E47))/1000</f>
        <v>1985.1290284905053</v>
      </c>
      <c r="AH47" s="408">
        <f t="shared" si="16"/>
        <v>14645.807719703105</v>
      </c>
      <c r="AI47" s="528"/>
      <c r="AJ47" s="408">
        <f>(SUMIFS('Forecast capex'!$AC$9:$AC$1940, 'Forecast capex'!$K$9:$K$1940,AJ$123, 'Forecast capex'!$F$9:$F$1940,$E47)+'Schedule E calculations'!M292*'Schedule E calculations'!M$348+'Historical capex'!M139)/1000</f>
        <v>1120.7641915242421</v>
      </c>
      <c r="AK47" s="408">
        <f>(SUMIFS('Forecast capex'!$AC$9:$AC$1940, 'Forecast capex'!$K$9:$K$1940,AK$123, 'Forecast capex'!$F$9:$F$1940,$E47)+'Schedule E calculations'!N292*'Schedule E calculations'!N$348+'Historical capex'!N139)/1000</f>
        <v>3207.3541959152753</v>
      </c>
      <c r="AL47" s="408">
        <f>(SUMIFS('Forecast capex'!$AC$9:$AC$1940, 'Forecast capex'!$K$9:$K$1940,AL$123, 'Forecast capex'!$F$9:$F$1940,$E47)+'Schedule E calculations'!O292*'Schedule E calculations'!O$348+'Historical capex'!O139)/1000</f>
        <v>3263.3341666628912</v>
      </c>
      <c r="AM47" s="408">
        <f>(SUMIFS('Forecast capex'!$AC$9:$AC$1940, 'Forecast capex'!$K$9:$K$1940,AM$123, 'Forecast capex'!$F$9:$F$1940,$E47)+'Schedule E calculations'!P292*'Schedule E calculations'!P$348+'Historical capex'!P139)/1000</f>
        <v>3279.155935119632</v>
      </c>
      <c r="AN47" s="408">
        <f>(SUMIFS('Forecast capex'!$AC$9:$AC$1940, 'Forecast capex'!$K$9:$K$1940,AN$123, 'Forecast capex'!$F$9:$F$1940,$E47)+'Schedule E calculations'!Q292*'Schedule E calculations'!Q$348+'Historical capex'!Q139)/1000</f>
        <v>3133.7575801498779</v>
      </c>
      <c r="AO47" s="408">
        <f>(SUMIFS('Forecast capex'!$AC$9:$AC$1940, 'Forecast capex'!$K$9:$K$1940,AO$123, 'Forecast capex'!$F$9:$F$1940,$E47)+'Schedule E calculations'!R292*'Schedule E calculations'!R$348+'Historical capex'!R139)/1000</f>
        <v>3353.3271441829925</v>
      </c>
      <c r="AP47" s="408">
        <f>(SUMIFS('Forecast capex'!$AC$9:$AC$1940, 'Forecast capex'!$K$9:$K$1940,AP$123, 'Forecast capex'!$F$9:$F$1940,$E47)+'Schedule E calculations'!S292*'Schedule E calculations'!S$348+'Historical capex'!S139)/1000</f>
        <v>2070.1624183123126</v>
      </c>
      <c r="AQ47" s="408">
        <f t="shared" si="17"/>
        <v>15099.737244427706</v>
      </c>
      <c r="AR47" s="381"/>
    </row>
    <row r="48" spans="2:52" ht="15" customHeight="1" x14ac:dyDescent="0.2">
      <c r="B48" s="398"/>
      <c r="C48" s="488"/>
      <c r="D48" s="510"/>
      <c r="E48" s="539" t="str">
        <f xml:space="preserve"> 'Global inputs'!B162</f>
        <v>5.2 Pole Mounted Fuses</v>
      </c>
      <c r="F48" s="381"/>
      <c r="G48" s="381"/>
      <c r="H48" s="511">
        <v>95.724365938065617</v>
      </c>
      <c r="I48" s="511">
        <v>38.528737791395891</v>
      </c>
      <c r="J48" s="511">
        <v>374.36852334844349</v>
      </c>
      <c r="K48" s="511">
        <v>173.82170935239145</v>
      </c>
      <c r="L48" s="511">
        <v>705.5608967686087</v>
      </c>
      <c r="M48" s="409">
        <f>(SUMIFS('Forecast capex'!$Q$9:$Q$1940,'Forecast capex'!$J$9:$J$1940,M$123,'Forecast capex'!$F$9:$F$1940,$E48)/1000)</f>
        <v>75</v>
      </c>
      <c r="N48" s="409">
        <f>(SUMIFS('Forecast capex'!$Q$9:$Q$1940,'Forecast capex'!$J$9:$J$1940,N$123,'Forecast capex'!$F$9:$F$1940,$E48)/1000)</f>
        <v>215</v>
      </c>
      <c r="O48" s="409">
        <f>(SUMIFS('Forecast capex'!$Q$9:$Q$1940,'Forecast capex'!$J$9:$J$1940,O$123,'Forecast capex'!$F$9:$F$1940,$E48)/1000)</f>
        <v>171</v>
      </c>
      <c r="P48" s="409">
        <f>(SUMIFS('Forecast capex'!$Q$9:$Q$1940,'Forecast capex'!$J$9:$J$1940,P$123,'Forecast capex'!$F$9:$F$1940,$E48)/1000)</f>
        <v>194.75</v>
      </c>
      <c r="Q48" s="409">
        <f>(SUMIFS('Forecast capex'!$Q$9:$Q$1940,'Forecast capex'!$J$9:$J$1940,Q$123,'Forecast capex'!$F$9:$F$1940,$E48)/1000)</f>
        <v>209</v>
      </c>
      <c r="R48" s="409">
        <f>(SUMIFS('Forecast capex'!$Q$9:$Q$1940,'Forecast capex'!$J$9:$J$1940,R$123,'Forecast capex'!$F$9:$F$1940,$E48)/1000)</f>
        <v>223.25</v>
      </c>
      <c r="S48" s="409">
        <f>(SUMIFS('Forecast capex'!$Q$9:$Q$1940,'Forecast capex'!$J$9:$J$1940,S$123,'Forecast capex'!$F$9:$F$1940,$E48)/1000)</f>
        <v>232.75</v>
      </c>
      <c r="T48" s="408">
        <f t="shared" si="15"/>
        <v>1030.75</v>
      </c>
      <c r="U48" s="381"/>
      <c r="V48" s="410">
        <f>H48*'Historical capex'!H$155</f>
        <v>89.926633128676841</v>
      </c>
      <c r="W48" s="410">
        <f>I48*'Historical capex'!I$155</f>
        <v>36.316173170201964</v>
      </c>
      <c r="X48" s="410">
        <f>J48*'Historical capex'!J$155</f>
        <v>356.69107226285496</v>
      </c>
      <c r="Y48" s="410">
        <f>K48*'Historical capex'!K$155</f>
        <v>168.23573269519991</v>
      </c>
      <c r="Z48" s="410">
        <f>L48*'Historical capex'!L$155</f>
        <v>694.45070425462393</v>
      </c>
      <c r="AA48" s="408">
        <f>(SUMIFS('Forecast capex'!$X$9:$X$1940, 'Forecast capex'!$J$9:$J$1940,AA$123, 'Forecast capex'!$F$9:$F$1940,$E48))/1000</f>
        <v>75</v>
      </c>
      <c r="AB48" s="408">
        <f>(SUMIFS('Forecast capex'!$X$9:$X$1940, 'Forecast capex'!$J$9:$J$1940,AB$123, 'Forecast capex'!$F$9:$F$1940,$E48))/1000</f>
        <v>218.51584369106493</v>
      </c>
      <c r="AC48" s="408">
        <f>(SUMIFS('Forecast capex'!$X$9:$X$1940, 'Forecast capex'!$J$9:$J$1940,AC$123, 'Forecast capex'!$F$9:$F$1940,$E48))/1000</f>
        <v>176.5787983412956</v>
      </c>
      <c r="AD48" s="408">
        <f>(SUMIFS('Forecast capex'!$X$9:$X$1940, 'Forecast capex'!$J$9:$J$1940,AD$123, 'Forecast capex'!$F$9:$F$1940,$E48))/1000</f>
        <v>204.88050136291102</v>
      </c>
      <c r="AE48" s="408">
        <f>(SUMIFS('Forecast capex'!$X$9:$X$1940, 'Forecast capex'!$J$9:$J$1940,AE$123, 'Forecast capex'!$F$9:$F$1940,$E48))/1000</f>
        <v>223.45186250578101</v>
      </c>
      <c r="AF48" s="408">
        <f>(SUMIFS('Forecast capex'!$X$9:$X$1940, 'Forecast capex'!$J$9:$J$1940,AF$123, 'Forecast capex'!$F$9:$F$1940,$E48))/1000</f>
        <v>243.20121415269958</v>
      </c>
      <c r="AG48" s="408">
        <f>(SUMIFS('Forecast capex'!$X$9:$X$1940, 'Forecast capex'!$J$9:$J$1940,AG$123, 'Forecast capex'!$F$9:$F$1940,$E48))/1000</f>
        <v>258.34578937834777</v>
      </c>
      <c r="AH48" s="408">
        <f>SUM(AC48:AG48)</f>
        <v>1106.4581657410349</v>
      </c>
      <c r="AI48" s="528"/>
      <c r="AJ48" s="408">
        <f>(SUMIFS('Forecast capex'!$AC$9:$AC$1940, 'Forecast capex'!$K$9:$K$1940,AJ$123, 'Forecast capex'!$F$9:$F$1940,$E48)+'Schedule E calculations'!M293*'Schedule E calculations'!M$348+'Historical capex'!M140)/1000</f>
        <v>68.754321300793933</v>
      </c>
      <c r="AK48" s="408">
        <f>(SUMIFS('Forecast capex'!$AC$9:$AC$1940, 'Forecast capex'!$K$9:$K$1940,AK$123, 'Forecast capex'!$F$9:$F$1940,$E48)+'Schedule E calculations'!N293*'Schedule E calculations'!N$348+'Historical capex'!N140)/1000</f>
        <v>222.180173790791</v>
      </c>
      <c r="AL48" s="408">
        <f>(SUMIFS('Forecast capex'!$AC$9:$AC$1940, 'Forecast capex'!$K$9:$K$1940,AL$123, 'Forecast capex'!$F$9:$F$1940,$E48)+'Schedule E calculations'!O293*'Schedule E calculations'!O$348+'Historical capex'!O140)/1000</f>
        <v>190.68262758096756</v>
      </c>
      <c r="AM48" s="408">
        <f>(SUMIFS('Forecast capex'!$AC$9:$AC$1940, 'Forecast capex'!$K$9:$K$1940,AM$123, 'Forecast capex'!$F$9:$F$1940,$E48)+'Schedule E calculations'!P293*'Schedule E calculations'!P$348+'Historical capex'!P140)/1000</f>
        <v>209.15123857582716</v>
      </c>
      <c r="AN48" s="408">
        <f>(SUMIFS('Forecast capex'!$AC$9:$AC$1940, 'Forecast capex'!$K$9:$K$1940,AN$123, 'Forecast capex'!$F$9:$F$1940,$E48)+'Schedule E calculations'!Q293*'Schedule E calculations'!Q$348+'Historical capex'!Q140)/1000</f>
        <v>221.36668275582284</v>
      </c>
      <c r="AO48" s="408">
        <f>(SUMIFS('Forecast capex'!$AC$9:$AC$1940, 'Forecast capex'!$K$9:$K$1940,AO$123, 'Forecast capex'!$F$9:$F$1940,$E48)+'Schedule E calculations'!R293*'Schedule E calculations'!R$348+'Historical capex'!R140)/1000</f>
        <v>249.90062695814666</v>
      </c>
      <c r="AP48" s="408">
        <f>(SUMIFS('Forecast capex'!$AC$9:$AC$1940, 'Forecast capex'!$K$9:$K$1940,AP$123, 'Forecast capex'!$F$9:$F$1940,$E48)+'Schedule E calculations'!S293*'Schedule E calculations'!S$348+'Historical capex'!S140)/1000</f>
        <v>269.41836218834794</v>
      </c>
      <c r="AQ48" s="408">
        <f>SUM(AL48:AP48)</f>
        <v>1140.5195380591122</v>
      </c>
      <c r="AR48" s="381"/>
    </row>
    <row r="49" spans="2:52" ht="15" customHeight="1" x14ac:dyDescent="0.2">
      <c r="B49" s="398"/>
      <c r="C49" s="488"/>
      <c r="D49" s="510"/>
      <c r="E49" s="539" t="str">
        <f xml:space="preserve"> 'Global inputs'!B163</f>
        <v>5.3 Pole Mounted Switches</v>
      </c>
      <c r="F49" s="381"/>
      <c r="G49" s="381"/>
      <c r="H49" s="511">
        <v>14.065125173387701</v>
      </c>
      <c r="I49" s="511">
        <v>0</v>
      </c>
      <c r="J49" s="511">
        <v>129.25853790858858</v>
      </c>
      <c r="K49" s="511">
        <v>0</v>
      </c>
      <c r="L49" s="511">
        <v>0</v>
      </c>
      <c r="M49" s="409">
        <f>(SUMIFS('Forecast capex'!$Q$9:$Q$1940,'Forecast capex'!$J$9:$J$1940,M$123,'Forecast capex'!$F$9:$F$1940,$E49)/1000)</f>
        <v>300.98948001068112</v>
      </c>
      <c r="N49" s="409">
        <f>(SUMIFS('Forecast capex'!$Q$9:$Q$1940,'Forecast capex'!$J$9:$J$1940,N$123,'Forecast capex'!$F$9:$F$1940,$E49)/1000)</f>
        <v>382.2</v>
      </c>
      <c r="O49" s="409">
        <f>(SUMIFS('Forecast capex'!$Q$9:$Q$1940,'Forecast capex'!$J$9:$J$1940,O$123,'Forecast capex'!$F$9:$F$1940,$E49)/1000)</f>
        <v>513.95000000000005</v>
      </c>
      <c r="P49" s="409">
        <f>(SUMIFS('Forecast capex'!$Q$9:$Q$1940,'Forecast capex'!$J$9:$J$1940,P$123,'Forecast capex'!$F$9:$F$1940,$E49)/1000)</f>
        <v>513.95000000000005</v>
      </c>
      <c r="Q49" s="409">
        <f>(SUMIFS('Forecast capex'!$Q$9:$Q$1940,'Forecast capex'!$J$9:$J$1940,Q$123,'Forecast capex'!$F$9:$F$1940,$E49)/1000)</f>
        <v>513.95000000000005</v>
      </c>
      <c r="R49" s="409">
        <f>(SUMIFS('Forecast capex'!$Q$9:$Q$1940,'Forecast capex'!$J$9:$J$1940,R$123,'Forecast capex'!$F$9:$F$1940,$E49)/1000)</f>
        <v>513.95000000000005</v>
      </c>
      <c r="S49" s="409">
        <f>(SUMIFS('Forecast capex'!$Q$9:$Q$1940,'Forecast capex'!$J$9:$J$1940,S$123,'Forecast capex'!$F$9:$F$1940,$E49)/1000)</f>
        <v>513.95000000000005</v>
      </c>
      <c r="T49" s="408">
        <f t="shared" si="15"/>
        <v>2569.75</v>
      </c>
      <c r="U49" s="381"/>
      <c r="V49" s="410">
        <f>H49*'Historical capex'!H$155</f>
        <v>13.2132434514584</v>
      </c>
      <c r="W49" s="410">
        <f>I49*'Historical capex'!I$155</f>
        <v>0</v>
      </c>
      <c r="X49" s="410">
        <f>J49*'Historical capex'!J$155</f>
        <v>123.15502936348838</v>
      </c>
      <c r="Y49" s="410">
        <f>K49*'Historical capex'!K$155</f>
        <v>0</v>
      </c>
      <c r="Z49" s="410">
        <f>L49*'Historical capex'!L$155</f>
        <v>0</v>
      </c>
      <c r="AA49" s="408">
        <f>(SUMIFS('Forecast capex'!$X$9:$X$1940, 'Forecast capex'!$J$9:$J$1940,AA$123, 'Forecast capex'!$F$9:$F$1940,$E49))/1000</f>
        <v>300.98948001068112</v>
      </c>
      <c r="AB49" s="408">
        <f>(SUMIFS('Forecast capex'!$X$9:$X$1940, 'Forecast capex'!$J$9:$J$1940,AB$123, 'Forecast capex'!$F$9:$F$1940,$E49))/1000</f>
        <v>389.42754679440162</v>
      </c>
      <c r="AC49" s="408">
        <f>(SUMIFS('Forecast capex'!$X$9:$X$1940, 'Forecast capex'!$J$9:$J$1940,AC$123, 'Forecast capex'!$F$9:$F$1940,$E49))/1000</f>
        <v>532.36940609238547</v>
      </c>
      <c r="AD49" s="408">
        <f>(SUMIFS('Forecast capex'!$X$9:$X$1940, 'Forecast capex'!$J$9:$J$1940,AD$123, 'Forecast capex'!$F$9:$F$1940,$E49))/1000</f>
        <v>541.71422388245344</v>
      </c>
      <c r="AE49" s="408">
        <f>(SUMIFS('Forecast capex'!$X$9:$X$1940, 'Forecast capex'!$J$9:$J$1940,AE$123, 'Forecast capex'!$F$9:$F$1940,$E49))/1000</f>
        <v>550.72824793807524</v>
      </c>
      <c r="AF49" s="408">
        <f>(SUMIFS('Forecast capex'!$X$9:$X$1940, 'Forecast capex'!$J$9:$J$1940,AF$123, 'Forecast capex'!$F$9:$F$1940,$E49))/1000</f>
        <v>560.67398160057564</v>
      </c>
      <c r="AG49" s="408">
        <f>(SUMIFS('Forecast capex'!$X$9:$X$1940, 'Forecast capex'!$J$9:$J$1940,AG$123, 'Forecast capex'!$F$9:$F$1940,$E49))/1000</f>
        <v>570.80003925977701</v>
      </c>
      <c r="AH49" s="408">
        <f t="shared" si="16"/>
        <v>2756.2858987732666</v>
      </c>
      <c r="AI49" s="528"/>
      <c r="AJ49" s="408">
        <f>(SUMIFS('Forecast capex'!$AC$9:$AC$1940, 'Forecast capex'!$K$9:$K$1940,AJ$123, 'Forecast capex'!$F$9:$F$1940,$E49)+'Schedule E calculations'!M294*'Schedule E calculations'!M$348+'Historical capex'!M141)/1000</f>
        <v>275.92436555751016</v>
      </c>
      <c r="AK49" s="408">
        <f>(SUMIFS('Forecast capex'!$AC$9:$AC$1940, 'Forecast capex'!$K$9:$K$1940,AK$123, 'Forecast capex'!$F$9:$F$1940,$E49)+'Schedule E calculations'!N294*'Schedule E calculations'!N$348+'Historical capex'!N141)/1000</f>
        <v>395.95049059672203</v>
      </c>
      <c r="AL49" s="408">
        <f>(SUMIFS('Forecast capex'!$AC$9:$AC$1940, 'Forecast capex'!$K$9:$K$1940,AL$123, 'Forecast capex'!$F$9:$F$1940,$E49)+'Schedule E calculations'!O294*'Schedule E calculations'!O$348+'Historical capex'!O141)/1000</f>
        <v>574.88008816588308</v>
      </c>
      <c r="AM49" s="408">
        <f>(SUMIFS('Forecast capex'!$AC$9:$AC$1940, 'Forecast capex'!$K$9:$K$1940,AM$123, 'Forecast capex'!$F$9:$F$1940,$E49)+'Schedule E calculations'!P294*'Schedule E calculations'!P$348+'Historical capex'!P141)/1000</f>
        <v>552.99977522936661</v>
      </c>
      <c r="AN49" s="408">
        <f>(SUMIFS('Forecast capex'!$AC$9:$AC$1940, 'Forecast capex'!$K$9:$K$1940,AN$123, 'Forecast capex'!$F$9:$F$1940,$E49)+'Schedule E calculations'!Q294*'Schedule E calculations'!Q$348+'Historical capex'!Q141)/1000</f>
        <v>545.58173961199498</v>
      </c>
      <c r="AO49" s="408">
        <f>(SUMIFS('Forecast capex'!$AC$9:$AC$1940, 'Forecast capex'!$K$9:$K$1940,AO$123, 'Forecast capex'!$F$9:$F$1940,$E49)+'Schedule E calculations'!R294*'Schedule E calculations'!R$348+'Historical capex'!R141)/1000</f>
        <v>576.11401121305664</v>
      </c>
      <c r="AP49" s="408">
        <f>(SUMIFS('Forecast capex'!$AC$9:$AC$1940, 'Forecast capex'!$K$9:$K$1940,AP$123, 'Forecast capex'!$F$9:$F$1940,$E49)+'Schedule E calculations'!S294*'Schedule E calculations'!S$348+'Historical capex'!S141)/1000</f>
        <v>595.26225213617647</v>
      </c>
      <c r="AQ49" s="408">
        <f t="shared" si="17"/>
        <v>2844.8378663564777</v>
      </c>
      <c r="AR49" s="381"/>
    </row>
    <row r="50" spans="2:52" ht="15" customHeight="1" x14ac:dyDescent="0.2">
      <c r="B50" s="398"/>
      <c r="C50" s="488"/>
      <c r="D50" s="510"/>
      <c r="E50" s="539" t="str">
        <f xml:space="preserve"> 'Global inputs'!B164</f>
        <v>5.4 Low Voltage Enclosures</v>
      </c>
      <c r="F50" s="381"/>
      <c r="G50" s="381"/>
      <c r="H50" s="511">
        <v>0</v>
      </c>
      <c r="I50" s="511">
        <v>0</v>
      </c>
      <c r="J50" s="511">
        <v>0</v>
      </c>
      <c r="K50" s="511">
        <v>0</v>
      </c>
      <c r="L50" s="511">
        <v>0</v>
      </c>
      <c r="M50" s="409">
        <f>(SUMIFS('Forecast capex'!$Q$9:$Q$1940,'Forecast capex'!$J$9:$J$1940,M$123,'Forecast capex'!$F$9:$F$1940,$E50)/1000)</f>
        <v>575</v>
      </c>
      <c r="N50" s="409">
        <f>(SUMIFS('Forecast capex'!$Q$9:$Q$1940,'Forecast capex'!$J$9:$J$1940,N$123,'Forecast capex'!$F$9:$F$1940,$E50)/1000)</f>
        <v>1415</v>
      </c>
      <c r="O50" s="409">
        <f>(SUMIFS('Forecast capex'!$Q$9:$Q$1940,'Forecast capex'!$J$9:$J$1940,O$123,'Forecast capex'!$F$9:$F$1940,$E50)/1000)</f>
        <v>1895.85</v>
      </c>
      <c r="P50" s="409">
        <f>(SUMIFS('Forecast capex'!$Q$9:$Q$1940,'Forecast capex'!$J$9:$J$1940,P$123,'Forecast capex'!$F$9:$F$1940,$E50)/1000)</f>
        <v>1964.9</v>
      </c>
      <c r="Q50" s="409">
        <f>(SUMIFS('Forecast capex'!$Q$9:$Q$1940,'Forecast capex'!$J$9:$J$1940,Q$123,'Forecast capex'!$F$9:$F$1940,$E50)/1000)</f>
        <v>1953.6</v>
      </c>
      <c r="R50" s="409">
        <f>(SUMIFS('Forecast capex'!$Q$9:$Q$1940,'Forecast capex'!$J$9:$J$1940,R$123,'Forecast capex'!$F$9:$F$1940,$E50)/1000)</f>
        <v>1753.05</v>
      </c>
      <c r="S50" s="409">
        <f>(SUMIFS('Forecast capex'!$Q$9:$Q$1940,'Forecast capex'!$J$9:$J$1940,S$123,'Forecast capex'!$F$9:$F$1940,$E50)/1000)</f>
        <v>1462.5</v>
      </c>
      <c r="T50" s="408">
        <f t="shared" si="15"/>
        <v>9029.9000000000015</v>
      </c>
      <c r="U50" s="381"/>
      <c r="V50" s="410">
        <f>H50*'Historical capex'!H$155</f>
        <v>0</v>
      </c>
      <c r="W50" s="410">
        <f>I50*'Historical capex'!I$155</f>
        <v>0</v>
      </c>
      <c r="X50" s="410">
        <f>J50*'Historical capex'!J$155</f>
        <v>0</v>
      </c>
      <c r="Y50" s="410">
        <f>K50*'Historical capex'!K$155</f>
        <v>0</v>
      </c>
      <c r="Z50" s="410">
        <f>L50*'Historical capex'!L$155</f>
        <v>0</v>
      </c>
      <c r="AA50" s="408">
        <f>(SUMIFS('Forecast capex'!$X$9:$X$1940, 'Forecast capex'!$J$9:$J$1940,AA$123, 'Forecast capex'!$F$9:$F$1940,$E50))/1000</f>
        <v>575</v>
      </c>
      <c r="AB50" s="408">
        <f>(SUMIFS('Forecast capex'!$X$9:$X$1940, 'Forecast capex'!$J$9:$J$1940,AB$123, 'Forecast capex'!$F$9:$F$1940,$E50))/1000</f>
        <v>1438.1391573156134</v>
      </c>
      <c r="AC50" s="408">
        <f>(SUMIFS('Forecast capex'!$X$9:$X$1940, 'Forecast capex'!$J$9:$J$1940,AC$123, 'Forecast capex'!$F$9:$F$1940,$E50))/1000</f>
        <v>1957.701256347048</v>
      </c>
      <c r="AD50" s="408">
        <f>(SUMIFS('Forecast capex'!$X$9:$X$1940, 'Forecast capex'!$J$9:$J$1940,AD$123, 'Forecast capex'!$F$9:$F$1940,$E50))/1000</f>
        <v>2067.1101264594809</v>
      </c>
      <c r="AE50" s="408">
        <f>(SUMIFS('Forecast capex'!$X$9:$X$1940, 'Forecast capex'!$J$9:$J$1940,AE$123, 'Forecast capex'!$F$9:$F$1940,$E50))/1000</f>
        <v>2088.6868832119321</v>
      </c>
      <c r="AF50" s="408">
        <f>(SUMIFS('Forecast capex'!$X$9:$X$1940, 'Forecast capex'!$J$9:$J$1940,AF$123, 'Forecast capex'!$F$9:$F$1940,$E50))/1000</f>
        <v>1909.7150659367971</v>
      </c>
      <c r="AG50" s="408">
        <f>(SUMIFS('Forecast capex'!$X$9:$X$1940, 'Forecast capex'!$J$9:$J$1940,AG$123, 'Forecast capex'!$F$9:$F$1940,$E50))/1000</f>
        <v>1623.3328333655579</v>
      </c>
      <c r="AH50" s="408">
        <f t="shared" si="16"/>
        <v>9646.5461653208167</v>
      </c>
      <c r="AI50" s="528"/>
      <c r="AJ50" s="408">
        <f>(SUMIFS('Forecast capex'!$AC$9:$AC$1940, 'Forecast capex'!$K$9:$K$1940,AJ$123, 'Forecast capex'!$F$9:$F$1940,$E50)+'Schedule E calculations'!M295*'Schedule E calculations'!M$348+'Historical capex'!M142)/1000</f>
        <v>527.11646330608687</v>
      </c>
      <c r="AK50" s="408">
        <f>(SUMIFS('Forecast capex'!$AC$9:$AC$1940, 'Forecast capex'!$K$9:$K$1940,AK$123, 'Forecast capex'!$F$9:$F$1940,$E50)+'Schedule E calculations'!N295*'Schedule E calculations'!N$348+'Historical capex'!N142)/1000</f>
        <v>1462.255562390555</v>
      </c>
      <c r="AL50" s="408">
        <f>(SUMIFS('Forecast capex'!$AC$9:$AC$1940, 'Forecast capex'!$K$9:$K$1940,AL$123, 'Forecast capex'!$F$9:$F$1940,$E50)+'Schedule E calculations'!O295*'Schedule E calculations'!O$348+'Historical capex'!O142)/1000</f>
        <v>2114.0681842068848</v>
      </c>
      <c r="AM50" s="408">
        <f>(SUMIFS('Forecast capex'!$AC$9:$AC$1940, 'Forecast capex'!$K$9:$K$1940,AM$123, 'Forecast capex'!$F$9:$F$1940,$E50)+'Schedule E calculations'!P295*'Schedule E calculations'!P$348+'Historical capex'!P142)/1000</f>
        <v>2110.1990689481017</v>
      </c>
      <c r="AN50" s="408">
        <f>(SUMIFS('Forecast capex'!$AC$9:$AC$1940, 'Forecast capex'!$K$9:$K$1940,AN$123, 'Forecast capex'!$F$9:$F$1940,$E50)+'Schedule E calculations'!Q295*'Schedule E calculations'!Q$348+'Historical capex'!Q142)/1000</f>
        <v>2069.1959398649551</v>
      </c>
      <c r="AO50" s="408">
        <f>(SUMIFS('Forecast capex'!$AC$9:$AC$1940, 'Forecast capex'!$K$9:$K$1940,AO$123, 'Forecast capex'!$F$9:$F$1940,$E50)+'Schedule E calculations'!R295*'Schedule E calculations'!R$348+'Historical capex'!R142)/1000</f>
        <v>1962.3215860648554</v>
      </c>
      <c r="AP50" s="408">
        <f>(SUMIFS('Forecast capex'!$AC$9:$AC$1940, 'Forecast capex'!$K$9:$K$1940,AP$123, 'Forecast capex'!$F$9:$F$1940,$E50)+'Schedule E calculations'!S295*'Schedule E calculations'!S$348+'Historical capex'!S142)/1000</f>
        <v>1692.9080760492329</v>
      </c>
      <c r="AQ50" s="408">
        <f t="shared" si="17"/>
        <v>9948.6928551340297</v>
      </c>
      <c r="AR50" s="381"/>
    </row>
    <row r="51" spans="2:52" ht="15" customHeight="1" x14ac:dyDescent="0.2">
      <c r="B51" s="398"/>
      <c r="C51" s="488"/>
      <c r="D51" s="510"/>
      <c r="E51" s="539" t="str">
        <f xml:space="preserve"> 'Global inputs'!B165</f>
        <v>5.6 Ancillary Distribution Substation Equipment</v>
      </c>
      <c r="F51" s="381"/>
      <c r="G51" s="381"/>
      <c r="H51" s="511">
        <v>0</v>
      </c>
      <c r="I51" s="511">
        <v>0</v>
      </c>
      <c r="J51" s="511">
        <v>0</v>
      </c>
      <c r="K51" s="511">
        <v>0</v>
      </c>
      <c r="L51" s="511">
        <v>0</v>
      </c>
      <c r="M51" s="409">
        <f>(SUMIFS('Forecast capex'!$Q$9:$Q$1940,'Forecast capex'!$J$9:$J$1940,M$123,'Forecast capex'!$F$9:$F$1940,$E51)/1000)</f>
        <v>876.49800000000005</v>
      </c>
      <c r="N51" s="409">
        <f>(SUMIFS('Forecast capex'!$Q$9:$Q$1940,'Forecast capex'!$J$9:$J$1940,N$123,'Forecast capex'!$F$9:$F$1940,$E51)/1000)</f>
        <v>772.22699999999998</v>
      </c>
      <c r="O51" s="409">
        <f>(SUMIFS('Forecast capex'!$Q$9:$Q$1940,'Forecast capex'!$J$9:$J$1940,O$123,'Forecast capex'!$F$9:$F$1940,$E51)/1000)</f>
        <v>733.61564999999996</v>
      </c>
      <c r="P51" s="409">
        <f>(SUMIFS('Forecast capex'!$Q$9:$Q$1940,'Forecast capex'!$J$9:$J$1940,P$123,'Forecast capex'!$F$9:$F$1940,$E51)/1000)</f>
        <v>1223.38815</v>
      </c>
      <c r="Q51" s="409">
        <f>(SUMIFS('Forecast capex'!$Q$9:$Q$1940,'Forecast capex'!$J$9:$J$1940,Q$123,'Forecast capex'!$F$9:$F$1940,$E51)/1000)</f>
        <v>1033.38815</v>
      </c>
      <c r="R51" s="409">
        <f>(SUMIFS('Forecast capex'!$Q$9:$Q$1940,'Forecast capex'!$J$9:$J$1940,R$123,'Forecast capex'!$F$9:$F$1940,$E51)/1000)</f>
        <v>1033.38815</v>
      </c>
      <c r="S51" s="409">
        <f>(SUMIFS('Forecast capex'!$Q$9:$Q$1940,'Forecast capex'!$J$9:$J$1940,S$123,'Forecast capex'!$F$9:$F$1940,$E51)/1000)</f>
        <v>1033.38815</v>
      </c>
      <c r="T51" s="408">
        <f t="shared" si="15"/>
        <v>5057.1682499999997</v>
      </c>
      <c r="U51" s="381"/>
      <c r="V51" s="410">
        <f>H51*'Historical capex'!H$155</f>
        <v>0</v>
      </c>
      <c r="W51" s="410">
        <f>I51*'Historical capex'!I$155</f>
        <v>0</v>
      </c>
      <c r="X51" s="410">
        <f>J51*'Historical capex'!J$155</f>
        <v>0</v>
      </c>
      <c r="Y51" s="410">
        <f>K51*'Historical capex'!K$155</f>
        <v>0</v>
      </c>
      <c r="Z51" s="410">
        <f>L51*'Historical capex'!L$155</f>
        <v>0</v>
      </c>
      <c r="AA51" s="408">
        <f>(SUMIFS('Forecast capex'!$X$9:$X$1940, 'Forecast capex'!$J$9:$J$1940,AA$123, 'Forecast capex'!$F$9:$F$1940,$E51))/1000</f>
        <v>876.49800000000005</v>
      </c>
      <c r="AB51" s="408">
        <f>(SUMIFS('Forecast capex'!$X$9:$X$1940, 'Forecast capex'!$J$9:$J$1940,AB$123, 'Forecast capex'!$F$9:$F$1940,$E51))/1000</f>
        <v>784.85504384195337</v>
      </c>
      <c r="AC51" s="408">
        <f>(SUMIFS('Forecast capex'!$X$9:$X$1940, 'Forecast capex'!$J$9:$J$1940,AC$123, 'Forecast capex'!$F$9:$F$1940,$E51))/1000</f>
        <v>757.54953170390922</v>
      </c>
      <c r="AD51" s="408">
        <f>(SUMIFS('Forecast capex'!$X$9:$X$1940, 'Forecast capex'!$J$9:$J$1940,AD$123, 'Forecast capex'!$F$9:$F$1940,$E51))/1000</f>
        <v>1287.0263287981727</v>
      </c>
      <c r="AE51" s="408">
        <f>(SUMIFS('Forecast capex'!$X$9:$X$1940, 'Forecast capex'!$J$9:$J$1940,AE$123, 'Forecast capex'!$F$9:$F$1940,$E51))/1000</f>
        <v>1104.8445301861407</v>
      </c>
      <c r="AF51" s="408">
        <f>(SUMIFS('Forecast capex'!$X$9:$X$1940, 'Forecast capex'!$J$9:$J$1940,AF$123, 'Forecast capex'!$F$9:$F$1940,$E51))/1000</f>
        <v>1125.7390941590681</v>
      </c>
      <c r="AG51" s="408">
        <f>(SUMIFS('Forecast capex'!$X$9:$X$1940, 'Forecast capex'!$J$9:$J$1940,AG$123, 'Forecast capex'!$F$9:$F$1940,$E51))/1000</f>
        <v>1147.0310519698407</v>
      </c>
      <c r="AH51" s="408">
        <f t="shared" si="16"/>
        <v>5422.190536817131</v>
      </c>
      <c r="AI51" s="528"/>
      <c r="AJ51" s="408">
        <f>(SUMIFS('Forecast capex'!$AC$9:$AC$1940, 'Forecast capex'!$K$9:$K$1940,AJ$123, 'Forecast capex'!$F$9:$F$1940,$E51)+'Schedule E calculations'!M296*'Schedule E calculations'!M$348+'Historical capex'!M143)/1000</f>
        <v>803.50700148671035</v>
      </c>
      <c r="AK51" s="408">
        <f>(SUMIFS('Forecast capex'!$AC$9:$AC$1940, 'Forecast capex'!$K$9:$K$1940,AK$123, 'Forecast capex'!$F$9:$F$1940,$E51)+'Schedule E calculations'!N296*'Schedule E calculations'!N$348+'Historical capex'!N143)/1000</f>
        <v>798.01641426019148</v>
      </c>
      <c r="AL51" s="408">
        <f>(SUMIFS('Forecast capex'!$AC$9:$AC$1940, 'Forecast capex'!$K$9:$K$1940,AL$123, 'Forecast capex'!$F$9:$F$1940,$E51)+'Schedule E calculations'!O296*'Schedule E calculations'!O$348+'Historical capex'!O143)/1000</f>
        <v>818.05707471648793</v>
      </c>
      <c r="AM51" s="408">
        <f>(SUMIFS('Forecast capex'!$AC$9:$AC$1940, 'Forecast capex'!$K$9:$K$1940,AM$123, 'Forecast capex'!$F$9:$F$1940,$E51)+'Schedule E calculations'!P296*'Schedule E calculations'!P$348+'Historical capex'!P143)/1000</f>
        <v>1313.8544124851851</v>
      </c>
      <c r="AN51" s="408">
        <f>(SUMIFS('Forecast capex'!$AC$9:$AC$1940, 'Forecast capex'!$K$9:$K$1940,AN$123, 'Forecast capex'!$F$9:$F$1940,$E51)+'Schedule E calculations'!Q296*'Schedule E calculations'!Q$348+'Historical capex'!Q143)/1000</f>
        <v>1094.5344821276396</v>
      </c>
      <c r="AO51" s="408">
        <f>(SUMIFS('Forecast capex'!$AC$9:$AC$1940, 'Forecast capex'!$K$9:$K$1940,AO$123, 'Forecast capex'!$F$9:$F$1940,$E51)+'Schedule E calculations'!R296*'Schedule E calculations'!R$348+'Historical capex'!R143)/1000</f>
        <v>1156.7495927261778</v>
      </c>
      <c r="AP51" s="408">
        <f>(SUMIFS('Forecast capex'!$AC$9:$AC$1940, 'Forecast capex'!$K$9:$K$1940,AP$123, 'Forecast capex'!$F$9:$F$1940,$E51)+'Schedule E calculations'!S296*'Schedule E calculations'!S$348+'Historical capex'!S143)/1000</f>
        <v>1196.192235780223</v>
      </c>
      <c r="AQ51" s="408">
        <f t="shared" si="17"/>
        <v>5579.3877978357141</v>
      </c>
      <c r="AR51" s="381"/>
    </row>
    <row r="52" spans="2:52" ht="15" customHeight="1" x14ac:dyDescent="0.2">
      <c r="B52" s="398"/>
      <c r="C52" s="488"/>
      <c r="D52" s="510"/>
      <c r="E52" s="539" t="str">
        <f xml:space="preserve"> 'Global inputs'!B166</f>
        <v>6.1 Ground Mounted Distribution Transformers</v>
      </c>
      <c r="F52" s="381"/>
      <c r="G52" s="381"/>
      <c r="H52" s="511">
        <v>353.92461962434749</v>
      </c>
      <c r="I52" s="511">
        <v>462.33771179946797</v>
      </c>
      <c r="J52" s="511">
        <v>365.28467627172</v>
      </c>
      <c r="K52" s="511">
        <v>513.25448881696002</v>
      </c>
      <c r="L52" s="511">
        <v>143.16074151321351</v>
      </c>
      <c r="M52" s="409">
        <f>(SUMIFS('Forecast capex'!$Q$9:$Q$1940,'Forecast capex'!$J$9:$J$1940,M$123,'Forecast capex'!$F$9:$F$1940,$E52)/1000)</f>
        <v>100.91656001358032</v>
      </c>
      <c r="N52" s="409">
        <f>(SUMIFS('Forecast capex'!$Q$9:$Q$1940,'Forecast capex'!$J$9:$J$1940,N$123,'Forecast capex'!$F$9:$F$1940,$E52)/1000)</f>
        <v>217.6</v>
      </c>
      <c r="O52" s="409">
        <f>(SUMIFS('Forecast capex'!$Q$9:$Q$1940,'Forecast capex'!$J$9:$J$1940,O$123,'Forecast capex'!$F$9:$F$1940,$E52)/1000)</f>
        <v>310.08</v>
      </c>
      <c r="P52" s="409">
        <f>(SUMIFS('Forecast capex'!$Q$9:$Q$1940,'Forecast capex'!$J$9:$J$1940,P$123,'Forecast capex'!$F$9:$F$1940,$E52)/1000)</f>
        <v>310.08</v>
      </c>
      <c r="Q52" s="409">
        <f>(SUMIFS('Forecast capex'!$Q$9:$Q$1940,'Forecast capex'!$J$9:$J$1940,Q$123,'Forecast capex'!$F$9:$F$1940,$E52)/1000)</f>
        <v>310.08</v>
      </c>
      <c r="R52" s="409">
        <f>(SUMIFS('Forecast capex'!$Q$9:$Q$1940,'Forecast capex'!$J$9:$J$1940,R$123,'Forecast capex'!$F$9:$F$1940,$E52)/1000)</f>
        <v>310.08</v>
      </c>
      <c r="S52" s="409">
        <f>(SUMIFS('Forecast capex'!$Q$9:$Q$1940,'Forecast capex'!$J$9:$J$1940,S$123,'Forecast capex'!$F$9:$F$1940,$E52)/1000)</f>
        <v>361.76</v>
      </c>
      <c r="T52" s="408">
        <f t="shared" si="15"/>
        <v>1602.08</v>
      </c>
      <c r="U52" s="381"/>
      <c r="V52" s="410">
        <f>H52*'Historical capex'!H$155</f>
        <v>332.48848516539317</v>
      </c>
      <c r="W52" s="410">
        <f>I52*'Historical capex'!I$155</f>
        <v>435.78734646671893</v>
      </c>
      <c r="X52" s="410">
        <f>J52*'Historical capex'!J$155</f>
        <v>348.03615885002898</v>
      </c>
      <c r="Y52" s="410">
        <f>K52*'Historical capex'!K$155</f>
        <v>496.76041794162455</v>
      </c>
      <c r="Z52" s="410">
        <f>L52*'Historical capex'!L$155</f>
        <v>140.90644510032962</v>
      </c>
      <c r="AA52" s="408">
        <f>(SUMIFS('Forecast capex'!$X$9:$X$1940, 'Forecast capex'!$J$9:$J$1940,AA$123, 'Forecast capex'!$F$9:$F$1940,$E52))/1000</f>
        <v>100.91656001358032</v>
      </c>
      <c r="AB52" s="408">
        <f>(SUMIFS('Forecast capex'!$X$9:$X$1940, 'Forecast capex'!$J$9:$J$1940,AB$123, 'Forecast capex'!$F$9:$F$1940,$E52))/1000</f>
        <v>219.08590326858132</v>
      </c>
      <c r="AC52" s="408">
        <f>(SUMIFS('Forecast capex'!$X$9:$X$1940, 'Forecast capex'!$J$9:$J$1940,AC$123, 'Forecast capex'!$F$9:$F$1940,$E52))/1000</f>
        <v>313.9283839037293</v>
      </c>
      <c r="AD52" s="408">
        <f>(SUMIFS('Forecast capex'!$X$9:$X$1940, 'Forecast capex'!$J$9:$J$1940,AD$123, 'Forecast capex'!$F$9:$F$1940,$E52))/1000</f>
        <v>319.42325368861714</v>
      </c>
      <c r="AE52" s="408">
        <f>(SUMIFS('Forecast capex'!$X$9:$X$1940, 'Forecast capex'!$J$9:$J$1940,AE$123, 'Forecast capex'!$F$9:$F$1940,$E52))/1000</f>
        <v>324.06138794874198</v>
      </c>
      <c r="AF52" s="408">
        <f>(SUMIFS('Forecast capex'!$X$9:$X$1940, 'Forecast capex'!$J$9:$J$1940,AF$123, 'Forecast capex'!$F$9:$F$1940,$E52))/1000</f>
        <v>330.02761473650662</v>
      </c>
      <c r="AG52" s="408">
        <f>(SUMIFS('Forecast capex'!$X$9:$X$1940, 'Forecast capex'!$J$9:$J$1940,AG$123, 'Forecast capex'!$F$9:$F$1940,$E52))/1000</f>
        <v>392.1284009284787</v>
      </c>
      <c r="AH52" s="408">
        <f t="shared" si="16"/>
        <v>1679.5690412060735</v>
      </c>
      <c r="AI52" s="528"/>
      <c r="AJ52" s="408">
        <f>(SUMIFS('Forecast capex'!$AC$9:$AC$1940, 'Forecast capex'!$K$9:$K$1940,AJ$123, 'Forecast capex'!$F$9:$F$1940,$E52)+'Schedule E calculations'!M297*'Schedule E calculations'!M$348+'Historical capex'!M144)/1000</f>
        <v>92.512661223260736</v>
      </c>
      <c r="AK52" s="408">
        <f>(SUMIFS('Forecast capex'!$AC$9:$AC$1940, 'Forecast capex'!$K$9:$K$1940,AK$123, 'Forecast capex'!$F$9:$F$1940,$E52)+'Schedule E calculations'!N297*'Schedule E calculations'!N$348+'Historical capex'!N144)/1000</f>
        <v>222.77555437285997</v>
      </c>
      <c r="AL52" s="408">
        <f>(SUMIFS('Forecast capex'!$AC$9:$AC$1940, 'Forecast capex'!$K$9:$K$1940,AL$123, 'Forecast capex'!$F$9:$F$1940,$E52)+'Schedule E calculations'!O297*'Schedule E calculations'!O$348+'Historical capex'!O144)/1000</f>
        <v>339.04485560835315</v>
      </c>
      <c r="AM52" s="408">
        <f>(SUMIFS('Forecast capex'!$AC$9:$AC$1940, 'Forecast capex'!$K$9:$K$1940,AM$123, 'Forecast capex'!$F$9:$F$1940,$E52)+'Schedule E calculations'!P297*'Schedule E calculations'!P$348+'Historical capex'!P144)/1000</f>
        <v>326.1244151204329</v>
      </c>
      <c r="AN52" s="408">
        <f>(SUMIFS('Forecast capex'!$AC$9:$AC$1940, 'Forecast capex'!$K$9:$K$1940,AN$123, 'Forecast capex'!$F$9:$F$1940,$E52)+'Schedule E calculations'!Q297*'Schedule E calculations'!Q$348+'Historical capex'!Q144)/1000</f>
        <v>321.08123093668394</v>
      </c>
      <c r="AO52" s="408">
        <f>(SUMIFS('Forecast capex'!$AC$9:$AC$1940, 'Forecast capex'!$K$9:$K$1940,AO$123, 'Forecast capex'!$F$9:$F$1940,$E52)+'Schedule E calculations'!R297*'Schedule E calculations'!R$348+'Historical capex'!R144)/1000</f>
        <v>339.16516594619361</v>
      </c>
      <c r="AP52" s="408">
        <f>(SUMIFS('Forecast capex'!$AC$9:$AC$1940, 'Forecast capex'!$K$9:$K$1940,AP$123, 'Forecast capex'!$F$9:$F$1940,$E52)+'Schedule E calculations'!S297*'Schedule E calculations'!S$348+'Historical capex'!S144)/1000</f>
        <v>408.99167420193947</v>
      </c>
      <c r="AQ52" s="408">
        <f t="shared" si="17"/>
        <v>1734.4073418136031</v>
      </c>
      <c r="AR52" s="381"/>
    </row>
    <row r="53" spans="2:52" ht="15" customHeight="1" x14ac:dyDescent="0.2">
      <c r="B53" s="398"/>
      <c r="C53" s="488"/>
      <c r="D53" s="510"/>
      <c r="E53" s="539" t="str">
        <f xml:space="preserve"> 'Global inputs'!B167</f>
        <v>6.2 Pole Mounted Distribution Transformers</v>
      </c>
      <c r="F53" s="381"/>
      <c r="G53" s="381"/>
      <c r="H53" s="511">
        <v>279.85638269184625</v>
      </c>
      <c r="I53" s="511">
        <v>110.03484671206542</v>
      </c>
      <c r="J53" s="511">
        <v>19.559403635850103</v>
      </c>
      <c r="K53" s="511">
        <v>8.9175728302385942</v>
      </c>
      <c r="L53" s="511">
        <v>182.75519492237561</v>
      </c>
      <c r="M53" s="409">
        <f>(SUMIFS('Forecast capex'!$Q$9:$Q$1940,'Forecast capex'!$J$9:$J$1940,M$123,'Forecast capex'!$F$9:$F$1940,$E53)/1000)</f>
        <v>1358.95</v>
      </c>
      <c r="N53" s="409">
        <f>(SUMIFS('Forecast capex'!$Q$9:$Q$1940,'Forecast capex'!$J$9:$J$1940,N$123,'Forecast capex'!$F$9:$F$1940,$E53)/1000)</f>
        <v>1471.45</v>
      </c>
      <c r="O53" s="409">
        <f>(SUMIFS('Forecast capex'!$Q$9:$Q$1940,'Forecast capex'!$J$9:$J$1940,O$123,'Forecast capex'!$F$9:$F$1940,$E53)/1000)</f>
        <v>1029.1112499999999</v>
      </c>
      <c r="P53" s="409">
        <f>(SUMIFS('Forecast capex'!$Q$9:$Q$1940,'Forecast capex'!$J$9:$J$1940,P$123,'Forecast capex'!$F$9:$F$1940,$E53)/1000)</f>
        <v>2211.0442499999999</v>
      </c>
      <c r="Q53" s="409">
        <f>(SUMIFS('Forecast capex'!$Q$9:$Q$1940,'Forecast capex'!$J$9:$J$1940,Q$123,'Forecast capex'!$F$9:$F$1940,$E53)/1000)</f>
        <v>3420.2375000000002</v>
      </c>
      <c r="R53" s="409">
        <f>(SUMIFS('Forecast capex'!$Q$9:$Q$1940,'Forecast capex'!$J$9:$J$1940,R$123,'Forecast capex'!$F$9:$F$1940,$E53)/1000)</f>
        <v>3704.8575000000001</v>
      </c>
      <c r="S53" s="409">
        <f>(SUMIFS('Forecast capex'!$Q$9:$Q$1940,'Forecast capex'!$J$9:$J$1940,S$123,'Forecast capex'!$F$9:$F$1940,$E53)/1000)</f>
        <v>3827.74</v>
      </c>
      <c r="T53" s="408">
        <f t="shared" si="15"/>
        <v>14192.9905</v>
      </c>
      <c r="U53" s="381"/>
      <c r="V53" s="410">
        <f>H53*'Historical capex'!H$155</f>
        <v>262.906335376838</v>
      </c>
      <c r="W53" s="410">
        <f>I53*'Historical capex'!I$155</f>
        <v>103.71594755030826</v>
      </c>
      <c r="X53" s="410">
        <f>J53*'Historical capex'!J$155</f>
        <v>18.635820643499525</v>
      </c>
      <c r="Y53" s="410">
        <f>K53*'Historical capex'!K$155</f>
        <v>8.6309955445007649</v>
      </c>
      <c r="Z53" s="410">
        <f>L53*'Historical capex'!L$155</f>
        <v>179.8774200799522</v>
      </c>
      <c r="AA53" s="408">
        <f>(SUMIFS('Forecast capex'!$X$9:$X$1940, 'Forecast capex'!$J$9:$J$1940,AA$123, 'Forecast capex'!$F$9:$F$1940,$E53))/1000</f>
        <v>1358.95</v>
      </c>
      <c r="AB53" s="408">
        <f>(SUMIFS('Forecast capex'!$X$9:$X$1940, 'Forecast capex'!$J$9:$J$1940,AB$123, 'Forecast capex'!$F$9:$F$1940,$E53))/1000</f>
        <v>1481.4979428518102</v>
      </c>
      <c r="AC53" s="408">
        <f>(SUMIFS('Forecast capex'!$X$9:$X$1940, 'Forecast capex'!$J$9:$J$1940,AC$123, 'Forecast capex'!$F$9:$F$1940,$E53))/1000</f>
        <v>1041.883486744217</v>
      </c>
      <c r="AD53" s="408">
        <f>(SUMIFS('Forecast capex'!$X$9:$X$1940, 'Forecast capex'!$J$9:$J$1940,AD$123, 'Forecast capex'!$F$9:$F$1940,$E53))/1000</f>
        <v>2277.6668872049413</v>
      </c>
      <c r="AE53" s="408">
        <f>(SUMIFS('Forecast capex'!$X$9:$X$1940, 'Forecast capex'!$J$9:$J$1940,AE$123, 'Forecast capex'!$F$9:$F$1940,$E53))/1000</f>
        <v>3574.4546935124336</v>
      </c>
      <c r="AF53" s="408">
        <f>(SUMIFS('Forecast capex'!$X$9:$X$1940, 'Forecast capex'!$J$9:$J$1940,AF$123, 'Forecast capex'!$F$9:$F$1940,$E53))/1000</f>
        <v>3943.1929942713396</v>
      </c>
      <c r="AG53" s="408">
        <f>(SUMIFS('Forecast capex'!$X$9:$X$1940, 'Forecast capex'!$J$9:$J$1940,AG$123, 'Forecast capex'!$F$9:$F$1940,$E53))/1000</f>
        <v>4149.0644774711827</v>
      </c>
      <c r="AH53" s="408">
        <f t="shared" si="16"/>
        <v>14986.262539204115</v>
      </c>
      <c r="AI53" s="528"/>
      <c r="AJ53" s="408">
        <f>(SUMIFS('Forecast capex'!$AC$9:$AC$1940, 'Forecast capex'!$K$9:$K$1940,AJ$123, 'Forecast capex'!$F$9:$F$1940,$E53)+'Schedule E calculations'!M298*'Schedule E calculations'!M$348+'Historical capex'!M145)/1000</f>
        <v>1245.7824657561855</v>
      </c>
      <c r="AK53" s="408">
        <f>(SUMIFS('Forecast capex'!$AC$9:$AC$1940, 'Forecast capex'!$K$9:$K$1940,AK$123, 'Forecast capex'!$F$9:$F$1940,$E53)+'Schedule E calculations'!N298*'Schedule E calculations'!N$348+'Historical capex'!N145)/1000</f>
        <v>1506.4480215162903</v>
      </c>
      <c r="AL53" s="408">
        <f>(SUMIFS('Forecast capex'!$AC$9:$AC$1940, 'Forecast capex'!$K$9:$K$1940,AL$123, 'Forecast capex'!$F$9:$F$1940,$E53)+'Schedule E calculations'!O298*'Schedule E calculations'!O$348+'Historical capex'!O145)/1000</f>
        <v>1125.2414704630478</v>
      </c>
      <c r="AM53" s="408">
        <f>(SUMIFS('Forecast capex'!$AC$9:$AC$1940, 'Forecast capex'!$K$9:$K$1940,AM$123, 'Forecast capex'!$F$9:$F$1940,$E53)+'Schedule E calculations'!P298*'Schedule E calculations'!P$348+'Historical capex'!P145)/1000</f>
        <v>2325.4499252987816</v>
      </c>
      <c r="AN53" s="408">
        <f>(SUMIFS('Forecast capex'!$AC$9:$AC$1940, 'Forecast capex'!$K$9:$K$1940,AN$123, 'Forecast capex'!$F$9:$F$1940,$E53)+'Schedule E calculations'!Q298*'Schedule E calculations'!Q$348+'Historical capex'!Q145)/1000</f>
        <v>3541.5830321072194</v>
      </c>
      <c r="AO53" s="408">
        <f>(SUMIFS('Forecast capex'!$AC$9:$AC$1940, 'Forecast capex'!$K$9:$K$1940,AO$123, 'Forecast capex'!$F$9:$F$1940,$E53)+'Schedule E calculations'!R298*'Schedule E calculations'!R$348+'Historical capex'!R145)/1000</f>
        <v>4052.3690944095074</v>
      </c>
      <c r="AP53" s="408">
        <f>(SUMIFS('Forecast capex'!$AC$9:$AC$1940, 'Forecast capex'!$K$9:$K$1940,AP$123, 'Forecast capex'!$F$9:$F$1940,$E53)+'Schedule E calculations'!S298*'Schedule E calculations'!S$348+'Historical capex'!S145)/1000</f>
        <v>4327.4927880631694</v>
      </c>
      <c r="AQ53" s="408">
        <f t="shared" si="17"/>
        <v>15372.136310341726</v>
      </c>
      <c r="AR53" s="381"/>
    </row>
    <row r="54" spans="2:52" ht="15" customHeight="1" x14ac:dyDescent="0.2">
      <c r="B54" s="398"/>
      <c r="C54" s="488"/>
      <c r="D54" s="510"/>
      <c r="E54" s="539" t="str">
        <f xml:space="preserve"> 'Global inputs'!B168</f>
        <v>6.4 Mobile Distribution Substations and Generators</v>
      </c>
      <c r="F54" s="381"/>
      <c r="G54" s="381"/>
      <c r="H54" s="511">
        <v>0</v>
      </c>
      <c r="I54" s="511">
        <v>0</v>
      </c>
      <c r="J54" s="511">
        <v>0</v>
      </c>
      <c r="K54" s="511">
        <v>0</v>
      </c>
      <c r="L54" s="511">
        <v>0</v>
      </c>
      <c r="M54" s="409">
        <f>(SUMIFS('Forecast capex'!$Q$9:$Q$1940,'Forecast capex'!$J$9:$J$1940,M$123,'Forecast capex'!$F$9:$F$1940,$E54)/1000)</f>
        <v>37.761000000000003</v>
      </c>
      <c r="N54" s="409">
        <f>(SUMIFS('Forecast capex'!$Q$9:$Q$1940,'Forecast capex'!$J$9:$J$1940,N$123,'Forecast capex'!$F$9:$F$1940,$E54)/1000)</f>
        <v>0</v>
      </c>
      <c r="O54" s="409">
        <f>(SUMIFS('Forecast capex'!$Q$9:$Q$1940,'Forecast capex'!$J$9:$J$1940,O$123,'Forecast capex'!$F$9:$F$1940,$E54)/1000)</f>
        <v>0</v>
      </c>
      <c r="P54" s="409">
        <f>(SUMIFS('Forecast capex'!$Q$9:$Q$1940,'Forecast capex'!$J$9:$J$1940,P$123,'Forecast capex'!$F$9:$F$1940,$E54)/1000)</f>
        <v>0</v>
      </c>
      <c r="Q54" s="409">
        <f>(SUMIFS('Forecast capex'!$Q$9:$Q$1940,'Forecast capex'!$J$9:$J$1940,Q$123,'Forecast capex'!$F$9:$F$1940,$E54)/1000)</f>
        <v>0</v>
      </c>
      <c r="R54" s="409">
        <f>(SUMIFS('Forecast capex'!$Q$9:$Q$1940,'Forecast capex'!$J$9:$J$1940,R$123,'Forecast capex'!$F$9:$F$1940,$E54)/1000)</f>
        <v>0</v>
      </c>
      <c r="S54" s="409">
        <f>(SUMIFS('Forecast capex'!$Q$9:$Q$1940,'Forecast capex'!$J$9:$J$1940,S$123,'Forecast capex'!$F$9:$F$1940,$E54)/1000)</f>
        <v>0</v>
      </c>
      <c r="T54" s="408">
        <f t="shared" si="15"/>
        <v>0</v>
      </c>
      <c r="U54" s="381"/>
      <c r="V54" s="410">
        <f>H54*'Historical capex'!H$155</f>
        <v>0</v>
      </c>
      <c r="W54" s="410">
        <f>I54*'Historical capex'!I$155</f>
        <v>0</v>
      </c>
      <c r="X54" s="410">
        <f>J54*'Historical capex'!J$155</f>
        <v>0</v>
      </c>
      <c r="Y54" s="410">
        <f>K54*'Historical capex'!K$155</f>
        <v>0</v>
      </c>
      <c r="Z54" s="410">
        <f>L54*'Historical capex'!L$155</f>
        <v>0</v>
      </c>
      <c r="AA54" s="408">
        <f>(SUMIFS('Forecast capex'!$X$9:$X$1940, 'Forecast capex'!$J$9:$J$1940,AA$123, 'Forecast capex'!$F$9:$F$1940,$E54))/1000</f>
        <v>37.761000000000003</v>
      </c>
      <c r="AB54" s="408">
        <f>(SUMIFS('Forecast capex'!$X$9:$X$1940, 'Forecast capex'!$J$9:$J$1940,AB$123, 'Forecast capex'!$F$9:$F$1940,$E54))/1000</f>
        <v>0</v>
      </c>
      <c r="AC54" s="408">
        <f>(SUMIFS('Forecast capex'!$X$9:$X$1940, 'Forecast capex'!$J$9:$J$1940,AC$123, 'Forecast capex'!$F$9:$F$1940,$E54))/1000</f>
        <v>0</v>
      </c>
      <c r="AD54" s="408">
        <f>(SUMIFS('Forecast capex'!$X$9:$X$1940, 'Forecast capex'!$J$9:$J$1940,AD$123, 'Forecast capex'!$F$9:$F$1940,$E54))/1000</f>
        <v>0</v>
      </c>
      <c r="AE54" s="408">
        <f>(SUMIFS('Forecast capex'!$X$9:$X$1940, 'Forecast capex'!$J$9:$J$1940,AE$123, 'Forecast capex'!$F$9:$F$1940,$E54))/1000</f>
        <v>0</v>
      </c>
      <c r="AF54" s="408">
        <f>(SUMIFS('Forecast capex'!$X$9:$X$1940, 'Forecast capex'!$J$9:$J$1940,AF$123, 'Forecast capex'!$F$9:$F$1940,$E54))/1000</f>
        <v>0</v>
      </c>
      <c r="AG54" s="408">
        <f>(SUMIFS('Forecast capex'!$X$9:$X$1940, 'Forecast capex'!$J$9:$J$1940,AG$123, 'Forecast capex'!$F$9:$F$1940,$E54))/1000</f>
        <v>0</v>
      </c>
      <c r="AH54" s="408"/>
      <c r="AI54" s="528"/>
      <c r="AJ54" s="408">
        <f>(SUMIFS('Forecast capex'!$AC$9:$AC$1940, 'Forecast capex'!$K$9:$K$1940,AJ$123, 'Forecast capex'!$F$9:$F$1940,$E54)+'Schedule E calculations'!M299*'Schedule E calculations'!M$348+'Historical capex'!M146)/1000</f>
        <v>34.616425688523734</v>
      </c>
      <c r="AK54" s="408">
        <f>(SUMIFS('Forecast capex'!$AC$9:$AC$1940, 'Forecast capex'!$K$9:$K$1940,AK$123, 'Forecast capex'!$F$9:$F$1940,$E54)+'Schedule E calculations'!N299*'Schedule E calculations'!N$348+'Historical capex'!N146)/1000</f>
        <v>0</v>
      </c>
      <c r="AL54" s="408">
        <f>(SUMIFS('Forecast capex'!$AC$9:$AC$1940, 'Forecast capex'!$K$9:$K$1940,AL$123, 'Forecast capex'!$F$9:$F$1940,$E54)+'Schedule E calculations'!O299*'Schedule E calculations'!O$348+'Historical capex'!O146)/1000</f>
        <v>0</v>
      </c>
      <c r="AM54" s="408">
        <f>(SUMIFS('Forecast capex'!$AC$9:$AC$1940, 'Forecast capex'!$K$9:$K$1940,AM$123, 'Forecast capex'!$F$9:$F$1940,$E54)+'Schedule E calculations'!P299*'Schedule E calculations'!P$348+'Historical capex'!P146)/1000</f>
        <v>0</v>
      </c>
      <c r="AN54" s="408">
        <f>(SUMIFS('Forecast capex'!$AC$9:$AC$1940, 'Forecast capex'!$K$9:$K$1940,AN$123, 'Forecast capex'!$F$9:$F$1940,$E54)+'Schedule E calculations'!Q299*'Schedule E calculations'!Q$348+'Historical capex'!Q146)/1000</f>
        <v>0</v>
      </c>
      <c r="AO54" s="408">
        <f>(SUMIFS('Forecast capex'!$AC$9:$AC$1940, 'Forecast capex'!$K$9:$K$1940,AO$123, 'Forecast capex'!$F$9:$F$1940,$E54)+'Schedule E calculations'!R299*'Schedule E calculations'!R$348+'Historical capex'!R146)/1000</f>
        <v>0</v>
      </c>
      <c r="AP54" s="408">
        <f>(SUMIFS('Forecast capex'!$AC$9:$AC$1940, 'Forecast capex'!$K$9:$K$1940,AP$123, 'Forecast capex'!$F$9:$F$1940,$E54)+'Schedule E calculations'!S299*'Schedule E calculations'!S$348+'Historical capex'!S146)/1000</f>
        <v>0</v>
      </c>
      <c r="AQ54" s="408"/>
      <c r="AR54" s="381"/>
    </row>
    <row r="55" spans="2:52" ht="15" customHeight="1" x14ac:dyDescent="0.2">
      <c r="B55" s="398"/>
      <c r="C55" s="488"/>
      <c r="D55" s="510"/>
      <c r="E55" s="539" t="str">
        <f xml:space="preserve"> 'Global inputs'!B169</f>
        <v>7.1 Protection</v>
      </c>
      <c r="F55" s="381"/>
      <c r="G55" s="381"/>
      <c r="H55" s="511">
        <v>1.6098321790661787</v>
      </c>
      <c r="I55" s="511">
        <v>1.1057909678658548</v>
      </c>
      <c r="J55" s="511">
        <v>4.832186035367851</v>
      </c>
      <c r="K55" s="511">
        <v>49.883777248785293</v>
      </c>
      <c r="L55" s="511">
        <v>2903.8832594770565</v>
      </c>
      <c r="M55" s="409">
        <f>(SUMIFS('Forecast capex'!$Q$9:$Q$1940,'Forecast capex'!$J$9:$J$1940,M$123,'Forecast capex'!$F$9:$F$1940,$E55)/1000)</f>
        <v>1260.0000000000002</v>
      </c>
      <c r="N55" s="409">
        <f>(SUMIFS('Forecast capex'!$Q$9:$Q$1940,'Forecast capex'!$J$9:$J$1940,N$123,'Forecast capex'!$F$9:$F$1940,$E55)/1000)</f>
        <v>2360</v>
      </c>
      <c r="O55" s="409">
        <f>(SUMIFS('Forecast capex'!$Q$9:$Q$1940,'Forecast capex'!$J$9:$J$1940,O$123,'Forecast capex'!$F$9:$F$1940,$E55)/1000)</f>
        <v>2242</v>
      </c>
      <c r="P55" s="409">
        <f>(SUMIFS('Forecast capex'!$Q$9:$Q$1940,'Forecast capex'!$J$9:$J$1940,P$123,'Forecast capex'!$F$9:$F$1940,$E55)/1000)</f>
        <v>2242</v>
      </c>
      <c r="Q55" s="409">
        <f>(SUMIFS('Forecast capex'!$Q$9:$Q$1940,'Forecast capex'!$J$9:$J$1940,Q$123,'Forecast capex'!$F$9:$F$1940,$E55)/1000)</f>
        <v>1833.5000000000025</v>
      </c>
      <c r="R55" s="409">
        <f>(SUMIFS('Forecast capex'!$Q$9:$Q$1940,'Forecast capex'!$J$9:$J$1940,R$123,'Forecast capex'!$F$9:$F$1940,$E55)/1000)</f>
        <v>1254</v>
      </c>
      <c r="S55" s="409">
        <f>(SUMIFS('Forecast capex'!$Q$9:$Q$1940,'Forecast capex'!$J$9:$J$1940,S$123,'Forecast capex'!$F$9:$F$1940,$E55)/1000)</f>
        <v>1254</v>
      </c>
      <c r="T55" s="408">
        <f t="shared" si="15"/>
        <v>8825.5000000000036</v>
      </c>
      <c r="U55" s="381"/>
      <c r="V55" s="410">
        <f>H55*'Historical capex'!H$155</f>
        <v>1.5123295552491605</v>
      </c>
      <c r="W55" s="410">
        <f>I55*'Historical capex'!I$155</f>
        <v>1.042289433318254</v>
      </c>
      <c r="X55" s="410">
        <f>J55*'Historical capex'!J$155</f>
        <v>4.6040131870934946</v>
      </c>
      <c r="Y55" s="410">
        <f>K55*'Historical capex'!K$155</f>
        <v>48.280700070897545</v>
      </c>
      <c r="Z55" s="410">
        <f>L55*'Historical capex'!L$155</f>
        <v>2858.156941311343</v>
      </c>
      <c r="AA55" s="408">
        <f>(SUMIFS('Forecast capex'!$X$9:$X$1940, 'Forecast capex'!$J$9:$J$1940,AA$123, 'Forecast capex'!$F$9:$F$1940,$E55))/1000</f>
        <v>1260.0000000000002</v>
      </c>
      <c r="AB55" s="408">
        <f>(SUMIFS('Forecast capex'!$X$9:$X$1940, 'Forecast capex'!$J$9:$J$1940,AB$123, 'Forecast capex'!$F$9:$F$1940,$E55))/1000</f>
        <v>2392.5565395166627</v>
      </c>
      <c r="AC55" s="408">
        <f>(SUMIFS('Forecast capex'!$X$9:$X$1940, 'Forecast capex'!$J$9:$J$1940,AC$123, 'Forecast capex'!$F$9:$F$1940,$E55))/1000</f>
        <v>2307.9376610435388</v>
      </c>
      <c r="AD55" s="408">
        <f>(SUMIFS('Forecast capex'!$X$9:$X$1940, 'Forecast capex'!$J$9:$J$1940,AD$123, 'Forecast capex'!$F$9:$F$1940,$E55))/1000</f>
        <v>2354.1329635804482</v>
      </c>
      <c r="AE55" s="408">
        <f>(SUMIFS('Forecast capex'!$X$9:$X$1940, 'Forecast capex'!$J$9:$J$1940,AE$123, 'Forecast capex'!$F$9:$F$1940,$E55))/1000</f>
        <v>1955.8592868578039</v>
      </c>
      <c r="AF55" s="408">
        <f>(SUMIFS('Forecast capex'!$X$9:$X$1940, 'Forecast capex'!$J$9:$J$1940,AF$123, 'Forecast capex'!$F$9:$F$1940,$E55))/1000</f>
        <v>1364.1297283120543</v>
      </c>
      <c r="AG55" s="408">
        <f>(SUMIFS('Forecast capex'!$X$9:$X$1940, 'Forecast capex'!$J$9:$J$1940,AG$123, 'Forecast capex'!$F$9:$F$1940,$E55))/1000</f>
        <v>1391.0977971641291</v>
      </c>
      <c r="AH55" s="408">
        <f t="shared" si="16"/>
        <v>9373.1574369579757</v>
      </c>
      <c r="AI55" s="528"/>
      <c r="AJ55" s="408">
        <f>(SUMIFS('Forecast capex'!$AC$9:$AC$1940, 'Forecast capex'!$K$9:$K$1940,AJ$123, 'Forecast capex'!$F$9:$F$1940,$E55)+'Schedule E calculations'!M300*'Schedule E calculations'!M$348+'Historical capex'!M147)/1000</f>
        <v>8991.5501878533378</v>
      </c>
      <c r="AK55" s="408">
        <f>(SUMIFS('Forecast capex'!$AC$9:$AC$1940, 'Forecast capex'!$K$9:$K$1940,AK$123, 'Forecast capex'!$F$9:$F$1940,$E55)+'Schedule E calculations'!N300*'Schedule E calculations'!N$348+'Historical capex'!N147)/1000</f>
        <v>2432.7236404540372</v>
      </c>
      <c r="AL55" s="408">
        <f>(SUMIFS('Forecast capex'!$AC$9:$AC$1940, 'Forecast capex'!$K$9:$K$1940,AL$123, 'Forecast capex'!$F$9:$F$1940,$E55)+'Schedule E calculations'!O300*'Schedule E calculations'!O$348+'Historical capex'!O147)/1000</f>
        <v>2492.327395026547</v>
      </c>
      <c r="AM55" s="408">
        <f>(SUMIFS('Forecast capex'!$AC$9:$AC$1940, 'Forecast capex'!$K$9:$K$1940,AM$123, 'Forecast capex'!$F$9:$F$1940,$E55)+'Schedule E calculations'!P300*'Schedule E calculations'!P$348+'Historical capex'!P147)/1000</f>
        <v>2403.2332128594621</v>
      </c>
      <c r="AN55" s="408">
        <f>(SUMIFS('Forecast capex'!$AC$9:$AC$1940, 'Forecast capex'!$K$9:$K$1940,AN$123, 'Forecast capex'!$F$9:$F$1940,$E55)+'Schedule E calculations'!Q300*'Schedule E calculations'!Q$348+'Historical capex'!Q147)/1000</f>
        <v>1937.6338623124004</v>
      </c>
      <c r="AO55" s="408">
        <f>(SUMIFS('Forecast capex'!$AC$9:$AC$1940, 'Forecast capex'!$K$9:$K$1940,AO$123, 'Forecast capex'!$F$9:$F$1940,$E55)+'Schedule E calculations'!R300*'Schedule E calculations'!R$348+'Historical capex'!R147)/1000</f>
        <v>1401.7186861872274</v>
      </c>
      <c r="AP55" s="408">
        <f>(SUMIFS('Forecast capex'!$AC$9:$AC$1940, 'Forecast capex'!$K$9:$K$1940,AP$123, 'Forecast capex'!$F$9:$F$1940,$E55)+'Schedule E calculations'!S300*'Schedule E calculations'!S$348+'Historical capex'!S147)/1000</f>
        <v>1450.7244277116954</v>
      </c>
      <c r="AQ55" s="408">
        <f t="shared" si="17"/>
        <v>9685.6375840973324</v>
      </c>
      <c r="AR55" s="381"/>
    </row>
    <row r="56" spans="2:52" ht="15" customHeight="1" x14ac:dyDescent="0.2">
      <c r="B56" s="398"/>
      <c r="C56" s="488"/>
      <c r="D56" s="510"/>
      <c r="E56" s="539" t="str">
        <f xml:space="preserve"> 'Global inputs'!B170</f>
        <v>7.2 DC Systems</v>
      </c>
      <c r="F56" s="381"/>
      <c r="G56" s="381"/>
      <c r="H56" s="511">
        <v>0</v>
      </c>
      <c r="I56" s="511">
        <v>0</v>
      </c>
      <c r="J56" s="511">
        <v>0</v>
      </c>
      <c r="K56" s="511">
        <v>0</v>
      </c>
      <c r="L56" s="511">
        <v>173.43149069823104</v>
      </c>
      <c r="M56" s="409">
        <f>(SUMIFS('Forecast capex'!$Q$9:$Q$1940,'Forecast capex'!$J$9:$J$1940,M$123,'Forecast capex'!$F$9:$F$1940,$E56)/1000)</f>
        <v>300.23519999694827</v>
      </c>
      <c r="N56" s="409">
        <f>(SUMIFS('Forecast capex'!$Q$9:$Q$1940,'Forecast capex'!$J$9:$J$1940,N$123,'Forecast capex'!$F$9:$F$1940,$E56)/1000)</f>
        <v>678.82799999999997</v>
      </c>
      <c r="O56" s="409">
        <f>(SUMIFS('Forecast capex'!$Q$9:$Q$1940,'Forecast capex'!$J$9:$J$1940,O$123,'Forecast capex'!$F$9:$F$1940,$E56)/1000)</f>
        <v>644.88659999999993</v>
      </c>
      <c r="P56" s="409">
        <f>(SUMIFS('Forecast capex'!$Q$9:$Q$1940,'Forecast capex'!$J$9:$J$1940,P$123,'Forecast capex'!$F$9:$F$1940,$E56)/1000)</f>
        <v>719.92567500000007</v>
      </c>
      <c r="Q56" s="409">
        <f>(SUMIFS('Forecast capex'!$Q$9:$Q$1940,'Forecast capex'!$J$9:$J$1940,Q$123,'Forecast capex'!$F$9:$F$1940,$E56)/1000)</f>
        <v>719.92567500000007</v>
      </c>
      <c r="R56" s="409">
        <f>(SUMIFS('Forecast capex'!$Q$9:$Q$1940,'Forecast capex'!$J$9:$J$1940,R$123,'Forecast capex'!$F$9:$F$1940,$E56)/1000)</f>
        <v>782.11267500000008</v>
      </c>
      <c r="S56" s="409">
        <f>(SUMIFS('Forecast capex'!$Q$9:$Q$1940,'Forecast capex'!$J$9:$J$1940,S$123,'Forecast capex'!$F$9:$F$1940,$E56)/1000)</f>
        <v>782.11219999999992</v>
      </c>
      <c r="T56" s="408">
        <f t="shared" si="15"/>
        <v>3648.9628250000001</v>
      </c>
      <c r="U56" s="381"/>
      <c r="V56" s="410">
        <f>H56*'Historical capex'!H$155</f>
        <v>0</v>
      </c>
      <c r="W56" s="410">
        <f>I56*'Historical capex'!I$155</f>
        <v>0</v>
      </c>
      <c r="X56" s="410">
        <f>J56*'Historical capex'!J$155</f>
        <v>0</v>
      </c>
      <c r="Y56" s="410">
        <f>K56*'Historical capex'!K$155</f>
        <v>0</v>
      </c>
      <c r="Z56" s="410">
        <f>L56*'Historical capex'!L$155</f>
        <v>170.70053259316953</v>
      </c>
      <c r="AA56" s="408">
        <f>(SUMIFS('Forecast capex'!$X$9:$X$1940, 'Forecast capex'!$J$9:$J$1940,AA$123, 'Forecast capex'!$F$9:$F$1940,$E56))/1000</f>
        <v>300.23519999694827</v>
      </c>
      <c r="AB56" s="408">
        <f>(SUMIFS('Forecast capex'!$X$9:$X$1940, 'Forecast capex'!$J$9:$J$1940,AB$123, 'Forecast capex'!$F$9:$F$1940,$E56))/1000</f>
        <v>688.19252991822759</v>
      </c>
      <c r="AC56" s="408">
        <f>(SUMIFS('Forecast capex'!$X$9:$X$1940, 'Forecast capex'!$J$9:$J$1940,AC$123, 'Forecast capex'!$F$9:$F$1940,$E56))/1000</f>
        <v>663.85284176731477</v>
      </c>
      <c r="AD56" s="408">
        <f>(SUMIFS('Forecast capex'!$X$9:$X$1940, 'Forecast capex'!$J$9:$J$1940,AD$123, 'Forecast capex'!$F$9:$F$1940,$E56))/1000</f>
        <v>755.93254364201812</v>
      </c>
      <c r="AE56" s="408">
        <f>(SUMIFS('Forecast capex'!$X$9:$X$1940, 'Forecast capex'!$J$9:$J$1940,AE$123, 'Forecast capex'!$F$9:$F$1940,$E56))/1000</f>
        <v>767.970175781904</v>
      </c>
      <c r="AF56" s="408">
        <f>(SUMIFS('Forecast capex'!$X$9:$X$1940, 'Forecast capex'!$J$9:$J$1940,AF$123, 'Forecast capex'!$F$9:$F$1940,$E56))/1000</f>
        <v>850.79996081113563</v>
      </c>
      <c r="AG56" s="408">
        <f>(SUMIFS('Forecast capex'!$X$9:$X$1940, 'Forecast capex'!$J$9:$J$1940,AG$123, 'Forecast capex'!$F$9:$F$1940,$E56))/1000</f>
        <v>867.61926519552696</v>
      </c>
      <c r="AH56" s="408">
        <f t="shared" si="16"/>
        <v>3906.1747871978996</v>
      </c>
      <c r="AI56" s="528"/>
      <c r="AJ56" s="408">
        <f>(SUMIFS('Forecast capex'!$AC$9:$AC$1940, 'Forecast capex'!$K$9:$K$1940,AJ$123, 'Forecast capex'!$F$9:$F$1940,$E56)+'Schedule E calculations'!M301*'Schedule E calculations'!M$348+'Historical capex'!M148)/1000</f>
        <v>275.23289875197742</v>
      </c>
      <c r="AK56" s="408">
        <f>(SUMIFS('Forecast capex'!$AC$9:$AC$1940, 'Forecast capex'!$K$9:$K$1940,AK$123, 'Forecast capex'!$F$9:$F$1940,$E56)+'Schedule E calculations'!N301*'Schedule E calculations'!N$348+'Historical capex'!N148)/1000</f>
        <v>699.74615398395474</v>
      </c>
      <c r="AL56" s="408">
        <f>(SUMIFS('Forecast capex'!$AC$9:$AC$1940, 'Forecast capex'!$K$9:$K$1940,AL$123, 'Forecast capex'!$F$9:$F$1940,$E56)+'Schedule E calculations'!O301*'Schedule E calculations'!O$348+'Historical capex'!O148)/1000</f>
        <v>716.89051733520364</v>
      </c>
      <c r="AM56" s="408">
        <f>(SUMIFS('Forecast capex'!$AC$9:$AC$1940, 'Forecast capex'!$K$9:$K$1940,AM$123, 'Forecast capex'!$F$9:$F$1940,$E56)+'Schedule E calculations'!P301*'Schedule E calculations'!P$348+'Historical capex'!P148)/1000</f>
        <v>771.69906019191217</v>
      </c>
      <c r="AN56" s="408">
        <f>(SUMIFS('Forecast capex'!$AC$9:$AC$1940, 'Forecast capex'!$K$9:$K$1940,AN$123, 'Forecast capex'!$F$9:$F$1940,$E56)+'Schedule E calculations'!Q301*'Schedule E calculations'!Q$348+'Historical capex'!Q148)/1000</f>
        <v>760.81394394770109</v>
      </c>
      <c r="AO56" s="408">
        <f>(SUMIFS('Forecast capex'!$AC$9:$AC$1940, 'Forecast capex'!$K$9:$K$1940,AO$123, 'Forecast capex'!$F$9:$F$1940,$E56)+'Schedule E calculations'!R301*'Schedule E calculations'!R$348+'Historical capex'!R148)/1000</f>
        <v>874.24398026425672</v>
      </c>
      <c r="AP56" s="408">
        <f>(SUMIFS('Forecast capex'!$AC$9:$AC$1940, 'Forecast capex'!$K$9:$K$1940,AP$123, 'Forecast capex'!$F$9:$F$1940,$E56)+'Schedule E calculations'!S301*'Schedule E calculations'!S$348+'Historical capex'!S148)/1000</f>
        <v>904.80803329452556</v>
      </c>
      <c r="AQ56" s="408">
        <f t="shared" si="17"/>
        <v>4028.4555350335991</v>
      </c>
      <c r="AR56" s="381"/>
    </row>
    <row r="57" spans="2:52" ht="15" customHeight="1" x14ac:dyDescent="0.2">
      <c r="B57" s="398"/>
      <c r="C57" s="488"/>
      <c r="D57" s="510"/>
      <c r="E57" s="539" t="str">
        <f xml:space="preserve"> 'Global inputs'!B171</f>
        <v>7.3 Remote Terminal Units</v>
      </c>
      <c r="F57" s="381"/>
      <c r="G57" s="381"/>
      <c r="H57" s="511">
        <v>1299.7272795643121</v>
      </c>
      <c r="I57" s="511">
        <v>417.6533052177839</v>
      </c>
      <c r="J57" s="511">
        <v>7604.1566107319813</v>
      </c>
      <c r="K57" s="511">
        <v>1168.8119270169143</v>
      </c>
      <c r="L57" s="511">
        <v>3562.5344121794287</v>
      </c>
      <c r="M57" s="409">
        <f>(SUMIFS('Forecast capex'!$Q$9:$Q$1940,'Forecast capex'!$J$9:$J$1940,M$123,'Forecast capex'!$F$9:$F$1940,$E57)/1000)</f>
        <v>0</v>
      </c>
      <c r="N57" s="409">
        <f>(SUMIFS('Forecast capex'!$Q$9:$Q$1940,'Forecast capex'!$J$9:$J$1940,N$123,'Forecast capex'!$F$9:$F$1940,$E57)/1000)</f>
        <v>0</v>
      </c>
      <c r="O57" s="409">
        <f>(SUMIFS('Forecast capex'!$Q$9:$Q$1940,'Forecast capex'!$J$9:$J$1940,O$123,'Forecast capex'!$F$9:$F$1940,$E57)/1000)</f>
        <v>79.8</v>
      </c>
      <c r="P57" s="409">
        <f>(SUMIFS('Forecast capex'!$Q$9:$Q$1940,'Forecast capex'!$J$9:$J$1940,P$123,'Forecast capex'!$F$9:$F$1940,$E57)/1000)</f>
        <v>79.8</v>
      </c>
      <c r="Q57" s="409">
        <f>(SUMIFS('Forecast capex'!$Q$9:$Q$1940,'Forecast capex'!$J$9:$J$1940,Q$123,'Forecast capex'!$F$9:$F$1940,$E57)/1000)</f>
        <v>219.45</v>
      </c>
      <c r="R57" s="409">
        <f>(SUMIFS('Forecast capex'!$Q$9:$Q$1940,'Forecast capex'!$J$9:$J$1940,R$123,'Forecast capex'!$F$9:$F$1940,$E57)/1000)</f>
        <v>139.65</v>
      </c>
      <c r="S57" s="409">
        <f>(SUMIFS('Forecast capex'!$Q$9:$Q$1940,'Forecast capex'!$J$9:$J$1940,S$123,'Forecast capex'!$F$9:$F$1940,$E57)/1000)</f>
        <v>219.45</v>
      </c>
      <c r="T57" s="408">
        <f t="shared" si="15"/>
        <v>738.14999999999986</v>
      </c>
      <c r="U57" s="381"/>
      <c r="V57" s="410">
        <f>H57*'Historical capex'!H$155</f>
        <v>1221.0067634434413</v>
      </c>
      <c r="W57" s="410">
        <f>I57*'Historical capex'!I$155</f>
        <v>393.66900207105738</v>
      </c>
      <c r="X57" s="410">
        <f>J57*'Historical capex'!J$155</f>
        <v>7245.0930192444675</v>
      </c>
      <c r="Y57" s="410">
        <f>K57*'Historical capex'!K$155</f>
        <v>1131.250703132461</v>
      </c>
      <c r="Z57" s="410">
        <f>L57*'Historical capex'!L$155</f>
        <v>3506.4365709607855</v>
      </c>
      <c r="AA57" s="408">
        <f>(SUMIFS('Forecast capex'!$X$9:$X$1940, 'Forecast capex'!$J$9:$J$1940,AA$123, 'Forecast capex'!$F$9:$F$1940,$E57))/1000</f>
        <v>0</v>
      </c>
      <c r="AB57" s="408">
        <f>(SUMIFS('Forecast capex'!$X$9:$X$1940, 'Forecast capex'!$J$9:$J$1940,AB$123, 'Forecast capex'!$F$9:$F$1940,$E57))/1000</f>
        <v>0</v>
      </c>
      <c r="AC57" s="408">
        <f>(SUMIFS('Forecast capex'!$X$9:$X$1940, 'Forecast capex'!$J$9:$J$1940,AC$123, 'Forecast capex'!$F$9:$F$1940,$E57))/1000</f>
        <v>82.146933698159842</v>
      </c>
      <c r="AD57" s="408">
        <f>(SUMIFS('Forecast capex'!$X$9:$X$1940, 'Forecast capex'!$J$9:$J$1940,AD$123, 'Forecast capex'!$F$9:$F$1940,$E57))/1000</f>
        <v>83.791173279982047</v>
      </c>
      <c r="AE57" s="408">
        <f>(SUMIFS('Forecast capex'!$X$9:$X$1940, 'Forecast capex'!$J$9:$J$1940,AE$123, 'Forecast capex'!$F$9:$F$1940,$E57))/1000</f>
        <v>234.09507526640004</v>
      </c>
      <c r="AF57" s="408">
        <f>(SUMIFS('Forecast capex'!$X$9:$X$1940, 'Forecast capex'!$J$9:$J$1940,AF$123, 'Forecast capex'!$F$9:$F$1940,$E57))/1000</f>
        <v>151.91444701656971</v>
      </c>
      <c r="AG57" s="408">
        <f>(SUMIFS('Forecast capex'!$X$9:$X$1940, 'Forecast capex'!$J$9:$J$1940,AG$123, 'Forecast capex'!$F$9:$F$1940,$E57))/1000</f>
        <v>243.44211450372262</v>
      </c>
      <c r="AH57" s="408">
        <f t="shared" si="16"/>
        <v>795.38974376483429</v>
      </c>
      <c r="AI57" s="528"/>
      <c r="AJ57" s="408">
        <f>(SUMIFS('Forecast capex'!$AC$9:$AC$1940, 'Forecast capex'!$K$9:$K$1940,AJ$123, 'Forecast capex'!$F$9:$F$1940,$E57)+'Schedule E calculations'!M302*'Schedule E calculations'!M$348+'Historical capex'!M149)/1000</f>
        <v>0</v>
      </c>
      <c r="AK57" s="408">
        <f>(SUMIFS('Forecast capex'!$AC$9:$AC$1940, 'Forecast capex'!$K$9:$K$1940,AK$123, 'Forecast capex'!$F$9:$F$1940,$E57)+'Schedule E calculations'!N302*'Schedule E calculations'!N$348+'Historical capex'!N149)/1000</f>
        <v>0</v>
      </c>
      <c r="AL57" s="408">
        <f>(SUMIFS('Forecast capex'!$AC$9:$AC$1940, 'Forecast capex'!$K$9:$K$1940,AL$123, 'Forecast capex'!$F$9:$F$1940,$E57)+'Schedule E calculations'!O302*'Schedule E calculations'!O$348+'Historical capex'!O149)/1000</f>
        <v>88.709958128063533</v>
      </c>
      <c r="AM57" s="408">
        <f>(SUMIFS('Forecast capex'!$AC$9:$AC$1940, 'Forecast capex'!$K$9:$K$1940,AM$123, 'Forecast capex'!$F$9:$F$1940,$E57)+'Schedule E calculations'!P302*'Schedule E calculations'!P$348+'Historical capex'!P149)/1000</f>
        <v>85.538809271268988</v>
      </c>
      <c r="AN57" s="408">
        <f>(SUMIFS('Forecast capex'!$AC$9:$AC$1940, 'Forecast capex'!$K$9:$K$1940,AN$123, 'Forecast capex'!$F$9:$F$1940,$E57)+'Schedule E calculations'!Q302*'Schedule E calculations'!Q$348+'Historical capex'!Q149)/1000</f>
        <v>231.91369025604348</v>
      </c>
      <c r="AO57" s="408">
        <f>(SUMIFS('Forecast capex'!$AC$9:$AC$1940, 'Forecast capex'!$K$9:$K$1940,AO$123, 'Forecast capex'!$F$9:$F$1940,$E57)+'Schedule E calculations'!R302*'Schedule E calculations'!R$348+'Historical capex'!R149)/1000</f>
        <v>156.10049005266853</v>
      </c>
      <c r="AP57" s="408">
        <f>(SUMIFS('Forecast capex'!$AC$9:$AC$1940, 'Forecast capex'!$K$9:$K$1940,AP$123, 'Forecast capex'!$F$9:$F$1940,$E57)+'Schedule E calculations'!S302*'Schedule E calculations'!S$348+'Historical capex'!S149)/1000</f>
        <v>253.87677484954673</v>
      </c>
      <c r="AQ57" s="408">
        <f t="shared" si="17"/>
        <v>816.13972255759131</v>
      </c>
      <c r="AR57" s="381"/>
    </row>
    <row r="58" spans="2:52" ht="15" customHeight="1" thickBot="1" x14ac:dyDescent="0.25">
      <c r="B58" s="398"/>
      <c r="C58" s="488"/>
      <c r="D58" s="488"/>
      <c r="E58" s="541"/>
      <c r="F58" s="381"/>
      <c r="G58" s="381"/>
      <c r="H58" s="531"/>
      <c r="I58" s="531"/>
      <c r="J58" s="531"/>
      <c r="K58" s="531"/>
      <c r="L58" s="531"/>
      <c r="M58" s="531"/>
      <c r="N58" s="531"/>
      <c r="O58" s="531"/>
      <c r="P58" s="531"/>
      <c r="Q58" s="531"/>
      <c r="R58" s="531"/>
      <c r="S58" s="531"/>
      <c r="T58" s="542"/>
      <c r="U58" s="531"/>
      <c r="V58" s="531"/>
      <c r="W58" s="531"/>
      <c r="X58" s="531"/>
      <c r="Y58" s="531"/>
      <c r="Z58" s="531"/>
      <c r="AA58" s="531"/>
      <c r="AB58" s="531"/>
      <c r="AC58" s="531"/>
      <c r="AD58" s="531"/>
      <c r="AE58" s="531"/>
      <c r="AF58" s="531"/>
      <c r="AG58" s="531"/>
      <c r="AH58" s="531"/>
      <c r="AI58" s="528"/>
      <c r="AJ58" s="531"/>
      <c r="AK58" s="531"/>
      <c r="AL58" s="531"/>
      <c r="AM58" s="531"/>
      <c r="AN58" s="531"/>
      <c r="AO58" s="531"/>
      <c r="AP58" s="531"/>
      <c r="AQ58" s="531"/>
      <c r="AR58" s="381"/>
    </row>
    <row r="59" spans="2:52" s="420" customFormat="1" ht="15" customHeight="1" thickBot="1" x14ac:dyDescent="0.3">
      <c r="B59" s="490"/>
      <c r="C59" s="504"/>
      <c r="D59" s="504"/>
      <c r="E59" s="558" t="s">
        <v>640</v>
      </c>
      <c r="F59" s="548"/>
      <c r="G59" s="548"/>
      <c r="H59" s="543">
        <f t="shared" ref="H59:T59" si="18">SUM(H38:H57)</f>
        <v>7984.1416010292005</v>
      </c>
      <c r="I59" s="543">
        <f t="shared" si="18"/>
        <v>5846.438958632094</v>
      </c>
      <c r="J59" s="543">
        <f t="shared" si="18"/>
        <v>19026.376062767267</v>
      </c>
      <c r="K59" s="543">
        <f t="shared" si="18"/>
        <v>52452.380391443956</v>
      </c>
      <c r="L59" s="543">
        <f t="shared" si="18"/>
        <v>40624.247133596604</v>
      </c>
      <c r="M59" s="543">
        <f t="shared" si="18"/>
        <v>36713.342015259244</v>
      </c>
      <c r="N59" s="543">
        <f t="shared" si="18"/>
        <v>49776.07848668089</v>
      </c>
      <c r="O59" s="543">
        <f t="shared" si="18"/>
        <v>53375.650216000002</v>
      </c>
      <c r="P59" s="543">
        <f t="shared" si="18"/>
        <v>55141.657475749998</v>
      </c>
      <c r="Q59" s="543">
        <f t="shared" si="18"/>
        <v>55346.6423775</v>
      </c>
      <c r="R59" s="543">
        <f t="shared" si="18"/>
        <v>51608.843826749995</v>
      </c>
      <c r="S59" s="543">
        <f t="shared" si="18"/>
        <v>43142.023050000003</v>
      </c>
      <c r="T59" s="543">
        <f t="shared" si="18"/>
        <v>258614.81694599995</v>
      </c>
      <c r="U59" s="548"/>
      <c r="V59" s="622">
        <v>7500.5665022393823</v>
      </c>
      <c r="W59" s="543">
        <f t="shared" ref="W59:AH59" si="19">SUM(W38:W57)</f>
        <v>5510.6993330602463</v>
      </c>
      <c r="X59" s="543">
        <f t="shared" si="19"/>
        <v>18127.962304106968</v>
      </c>
      <c r="Y59" s="543">
        <f t="shared" si="19"/>
        <v>50766.757959284259</v>
      </c>
      <c r="Z59" s="543">
        <f t="shared" si="19"/>
        <v>39984.55294354575</v>
      </c>
      <c r="AA59" s="543">
        <f t="shared" si="19"/>
        <v>36713.342015259244</v>
      </c>
      <c r="AB59" s="543">
        <f t="shared" si="19"/>
        <v>50520.734983864466</v>
      </c>
      <c r="AC59" s="543">
        <f t="shared" si="19"/>
        <v>54930.750117912386</v>
      </c>
      <c r="AD59" s="543">
        <f t="shared" si="19"/>
        <v>57889.127519570306</v>
      </c>
      <c r="AE59" s="543">
        <f t="shared" si="19"/>
        <v>58987.884291476388</v>
      </c>
      <c r="AF59" s="543">
        <f t="shared" si="19"/>
        <v>56095.773859877489</v>
      </c>
      <c r="AG59" s="543">
        <f t="shared" si="19"/>
        <v>47873.287188291593</v>
      </c>
      <c r="AH59" s="543">
        <f t="shared" si="19"/>
        <v>275776.82297712815</v>
      </c>
      <c r="AI59" s="544"/>
      <c r="AJ59" s="543">
        <f t="shared" ref="AJ59:AQ59" si="20">SUM(AJ38:AJ57)</f>
        <v>42291.308929912928</v>
      </c>
      <c r="AK59" s="543">
        <f t="shared" si="20"/>
        <v>54632.331366999242</v>
      </c>
      <c r="AL59" s="543">
        <f t="shared" si="20"/>
        <v>62068.382068652274</v>
      </c>
      <c r="AM59" s="543">
        <f t="shared" si="20"/>
        <v>57714.015797219719</v>
      </c>
      <c r="AN59" s="543">
        <f t="shared" si="20"/>
        <v>57284.594910512445</v>
      </c>
      <c r="AO59" s="543">
        <f t="shared" si="20"/>
        <v>57318.566256977057</v>
      </c>
      <c r="AP59" s="543">
        <f t="shared" si="20"/>
        <v>52052.195824754759</v>
      </c>
      <c r="AQ59" s="543">
        <f t="shared" si="20"/>
        <v>286437.75485811627</v>
      </c>
      <c r="AR59" s="548"/>
      <c r="AZ59" s="421"/>
    </row>
    <row r="60" spans="2:52" ht="15" customHeight="1" thickBot="1" x14ac:dyDescent="0.25">
      <c r="B60" s="398"/>
      <c r="C60" s="488"/>
      <c r="D60" s="540" t="s">
        <v>601</v>
      </c>
      <c r="E60" s="551" t="s">
        <v>641</v>
      </c>
      <c r="F60" s="381"/>
      <c r="G60" s="381"/>
      <c r="H60" s="559">
        <v>0</v>
      </c>
      <c r="I60" s="559">
        <v>28.013216668500949</v>
      </c>
      <c r="J60" s="559">
        <v>36.372402440164727</v>
      </c>
      <c r="K60" s="559">
        <v>0.46494147203727731</v>
      </c>
      <c r="L60" s="559">
        <v>21.770646890320364</v>
      </c>
      <c r="M60" s="560">
        <f>'Capex summary'!M66/1000</f>
        <v>0</v>
      </c>
      <c r="N60" s="408">
        <f>'Capex summary'!N66/1000</f>
        <v>0</v>
      </c>
      <c r="O60" s="408">
        <f>'Capex summary'!O66/1000</f>
        <v>0</v>
      </c>
      <c r="P60" s="408">
        <f>'Capex summary'!P66/1000</f>
        <v>0</v>
      </c>
      <c r="Q60" s="408">
        <f>'Capex summary'!Q66/1000</f>
        <v>0</v>
      </c>
      <c r="R60" s="408">
        <f>'Capex summary'!R66/1000</f>
        <v>0</v>
      </c>
      <c r="S60" s="408">
        <f>'Capex summary'!S66/1000</f>
        <v>0</v>
      </c>
      <c r="T60" s="408">
        <f>SUM(O60:S60)</f>
        <v>0</v>
      </c>
      <c r="U60" s="381"/>
      <c r="V60" s="408">
        <f>H60*'Historical capex'!H$155</f>
        <v>0</v>
      </c>
      <c r="W60" s="408">
        <f>I60*'Historical capex'!I$155</f>
        <v>26.404520000000002</v>
      </c>
      <c r="X60" s="408">
        <f>J60*'Historical capex'!J$155</f>
        <v>34.65491999999999</v>
      </c>
      <c r="Y60" s="408">
        <f>K60*'Historical capex'!K$155</f>
        <v>0.45</v>
      </c>
      <c r="Z60" s="408">
        <f>L60*'Historical capex'!L$155</f>
        <v>21.427832996844678</v>
      </c>
      <c r="AA60" s="408">
        <f>'Capex summary'!M86/1000</f>
        <v>0</v>
      </c>
      <c r="AB60" s="408">
        <f>'Capex summary'!N86/1000</f>
        <v>0</v>
      </c>
      <c r="AC60" s="408">
        <f>'Capex summary'!O86/1000</f>
        <v>0</v>
      </c>
      <c r="AD60" s="408">
        <f>'Capex summary'!P86/1000</f>
        <v>0</v>
      </c>
      <c r="AE60" s="408">
        <f>'Capex summary'!Q86/1000</f>
        <v>0</v>
      </c>
      <c r="AF60" s="408">
        <f>'Capex summary'!R86/1000</f>
        <v>0</v>
      </c>
      <c r="AG60" s="408">
        <f>'Capex summary'!S86/1000</f>
        <v>0</v>
      </c>
      <c r="AH60" s="408">
        <f>SUM(AC60:AG60)</f>
        <v>0</v>
      </c>
      <c r="AI60" s="528"/>
      <c r="AJ60" s="408">
        <f>'Commissioned assets summary'!M78/1000</f>
        <v>0</v>
      </c>
      <c r="AK60" s="408">
        <f>'Commissioned assets summary'!N78/1000</f>
        <v>0</v>
      </c>
      <c r="AL60" s="408">
        <f>'Commissioned assets summary'!O78/1000</f>
        <v>0</v>
      </c>
      <c r="AM60" s="408">
        <f>'Commissioned assets summary'!P78/1000</f>
        <v>0</v>
      </c>
      <c r="AN60" s="408">
        <f>'Commissioned assets summary'!Q78/1000</f>
        <v>0</v>
      </c>
      <c r="AO60" s="408">
        <f>'Commissioned assets summary'!R78/1000</f>
        <v>0</v>
      </c>
      <c r="AP60" s="408">
        <f>'Commissioned assets summary'!S78/1000</f>
        <v>0</v>
      </c>
      <c r="AQ60" s="408">
        <f>SUM(AL60:AP60)</f>
        <v>0</v>
      </c>
      <c r="AR60" s="381"/>
    </row>
    <row r="61" spans="2:52" s="420" customFormat="1" ht="15" customHeight="1" thickBot="1" x14ac:dyDescent="0.3">
      <c r="B61" s="490"/>
      <c r="C61" s="504"/>
      <c r="D61" s="504"/>
      <c r="E61" s="529" t="s">
        <v>642</v>
      </c>
      <c r="F61" s="548"/>
      <c r="G61" s="548"/>
      <c r="H61" s="543">
        <f t="shared" ref="H61:T61" si="21">H59-H60</f>
        <v>7984.1416010292005</v>
      </c>
      <c r="I61" s="543">
        <f t="shared" si="21"/>
        <v>5818.4257419635933</v>
      </c>
      <c r="J61" s="543">
        <f t="shared" si="21"/>
        <v>18990.003660327104</v>
      </c>
      <c r="K61" s="543">
        <f t="shared" si="21"/>
        <v>52451.915449971915</v>
      </c>
      <c r="L61" s="543">
        <f t="shared" si="21"/>
        <v>40602.476486706284</v>
      </c>
      <c r="M61" s="543">
        <f t="shared" si="21"/>
        <v>36713.342015259244</v>
      </c>
      <c r="N61" s="543">
        <f t="shared" si="21"/>
        <v>49776.07848668089</v>
      </c>
      <c r="O61" s="543">
        <f t="shared" si="21"/>
        <v>53375.650216000002</v>
      </c>
      <c r="P61" s="543">
        <f t="shared" si="21"/>
        <v>55141.657475749998</v>
      </c>
      <c r="Q61" s="543">
        <f t="shared" si="21"/>
        <v>55346.6423775</v>
      </c>
      <c r="R61" s="543">
        <f t="shared" si="21"/>
        <v>51608.843826749995</v>
      </c>
      <c r="S61" s="543">
        <f t="shared" si="21"/>
        <v>43142.023050000003</v>
      </c>
      <c r="T61" s="543">
        <f t="shared" si="21"/>
        <v>258614.81694599995</v>
      </c>
      <c r="U61" s="548"/>
      <c r="V61" s="543">
        <f t="shared" ref="V61:AF61" si="22">V59-V60</f>
        <v>7500.5665022393823</v>
      </c>
      <c r="W61" s="543">
        <f t="shared" si="22"/>
        <v>5484.2948130602463</v>
      </c>
      <c r="X61" s="543">
        <f t="shared" si="22"/>
        <v>18093.307384106967</v>
      </c>
      <c r="Y61" s="543">
        <f t="shared" si="22"/>
        <v>50766.307959284262</v>
      </c>
      <c r="Z61" s="543">
        <f t="shared" si="22"/>
        <v>39963.125110548906</v>
      </c>
      <c r="AA61" s="543">
        <f t="shared" si="22"/>
        <v>36713.342015259244</v>
      </c>
      <c r="AB61" s="543">
        <f t="shared" si="22"/>
        <v>50520.734983864466</v>
      </c>
      <c r="AC61" s="543">
        <f t="shared" si="22"/>
        <v>54930.750117912386</v>
      </c>
      <c r="AD61" s="543">
        <f t="shared" si="22"/>
        <v>57889.127519570306</v>
      </c>
      <c r="AE61" s="543">
        <f t="shared" si="22"/>
        <v>58987.884291476388</v>
      </c>
      <c r="AF61" s="543">
        <f t="shared" si="22"/>
        <v>56095.773859877489</v>
      </c>
      <c r="AG61" s="543">
        <f>AG59-AG60</f>
        <v>47873.287188291593</v>
      </c>
      <c r="AH61" s="543">
        <f>AH59-AH60</f>
        <v>275776.82297712815</v>
      </c>
      <c r="AI61" s="544"/>
      <c r="AJ61" s="543">
        <f>AJ59-AJ60</f>
        <v>42291.308929912928</v>
      </c>
      <c r="AK61" s="543">
        <f t="shared" ref="AK61:AQ61" si="23">AK59-AK60</f>
        <v>54632.331366999242</v>
      </c>
      <c r="AL61" s="543">
        <f t="shared" si="23"/>
        <v>62068.382068652274</v>
      </c>
      <c r="AM61" s="543">
        <f t="shared" si="23"/>
        <v>57714.015797219719</v>
      </c>
      <c r="AN61" s="543">
        <f t="shared" si="23"/>
        <v>57284.594910512445</v>
      </c>
      <c r="AO61" s="543">
        <f t="shared" si="23"/>
        <v>57318.566256977057</v>
      </c>
      <c r="AP61" s="543">
        <f t="shared" si="23"/>
        <v>52052.195824754759</v>
      </c>
      <c r="AQ61" s="543">
        <f t="shared" si="23"/>
        <v>286437.75485811627</v>
      </c>
      <c r="AR61" s="548"/>
      <c r="AZ61" s="421"/>
    </row>
    <row r="62" spans="2:52" ht="15" customHeight="1" x14ac:dyDescent="0.2">
      <c r="B62" s="398"/>
      <c r="C62" s="488"/>
      <c r="D62" s="488"/>
      <c r="E62" s="529"/>
      <c r="F62" s="381"/>
      <c r="G62" s="381"/>
      <c r="H62" s="530"/>
      <c r="I62" s="530"/>
      <c r="J62" s="530"/>
      <c r="K62" s="530"/>
      <c r="L62" s="530"/>
      <c r="M62" s="530"/>
      <c r="N62" s="530"/>
      <c r="O62" s="530"/>
      <c r="P62" s="530"/>
      <c r="Q62" s="530"/>
      <c r="R62" s="530"/>
      <c r="S62" s="530"/>
      <c r="T62" s="467"/>
      <c r="U62" s="381"/>
      <c r="V62" s="530"/>
      <c r="W62" s="530"/>
      <c r="X62" s="530"/>
      <c r="Y62" s="530"/>
      <c r="Z62" s="530"/>
      <c r="AA62" s="530"/>
      <c r="AB62" s="530"/>
      <c r="AC62" s="530"/>
      <c r="AD62" s="530"/>
      <c r="AE62" s="530"/>
      <c r="AF62" s="530"/>
      <c r="AG62" s="530"/>
      <c r="AH62" s="530"/>
      <c r="AI62" s="528"/>
      <c r="AJ62" s="530"/>
      <c r="AK62" s="530"/>
      <c r="AL62" s="530"/>
      <c r="AM62" s="530"/>
      <c r="AN62" s="530"/>
      <c r="AO62" s="530"/>
      <c r="AP62" s="530"/>
      <c r="AQ62" s="530"/>
      <c r="AR62" s="381"/>
    </row>
    <row r="63" spans="2:52" ht="15" customHeight="1" x14ac:dyDescent="0.25">
      <c r="B63" s="398"/>
      <c r="C63" s="561" t="s">
        <v>643</v>
      </c>
      <c r="D63" s="381"/>
      <c r="E63" s="381"/>
      <c r="F63" s="381"/>
      <c r="G63" s="381"/>
      <c r="H63" s="517"/>
      <c r="I63" s="517"/>
      <c r="J63" s="517"/>
      <c r="K63" s="517"/>
      <c r="L63" s="517"/>
      <c r="M63" s="517"/>
      <c r="N63" s="517"/>
      <c r="O63" s="517"/>
      <c r="P63" s="517"/>
      <c r="Q63" s="517"/>
      <c r="R63" s="517"/>
      <c r="S63" s="517"/>
      <c r="T63" s="562"/>
      <c r="U63" s="532"/>
      <c r="V63" s="517"/>
      <c r="W63" s="517"/>
      <c r="X63" s="517"/>
      <c r="Y63" s="517"/>
      <c r="Z63" s="517"/>
      <c r="AA63" s="517"/>
      <c r="AB63" s="517"/>
      <c r="AC63" s="517"/>
      <c r="AD63" s="517"/>
      <c r="AE63" s="517"/>
      <c r="AF63" s="517"/>
      <c r="AG63" s="517"/>
      <c r="AH63" s="517"/>
      <c r="AI63" s="528"/>
      <c r="AJ63" s="517"/>
      <c r="AK63" s="517"/>
      <c r="AL63" s="517"/>
      <c r="AM63" s="517"/>
      <c r="AN63" s="517"/>
      <c r="AO63" s="517"/>
      <c r="AP63" s="517"/>
      <c r="AQ63" s="517"/>
      <c r="AR63" s="532"/>
    </row>
    <row r="64" spans="2:52" ht="15" customHeight="1" x14ac:dyDescent="0.2">
      <c r="B64" s="398"/>
      <c r="C64" s="488"/>
      <c r="D64" s="488"/>
      <c r="E64" s="557" t="s">
        <v>644</v>
      </c>
      <c r="F64" s="381"/>
      <c r="G64" s="381"/>
      <c r="H64" s="485"/>
      <c r="I64" s="485"/>
      <c r="J64" s="485"/>
      <c r="K64" s="485"/>
      <c r="L64" s="485"/>
      <c r="M64" s="485"/>
      <c r="N64" s="485"/>
      <c r="O64" s="485"/>
      <c r="P64" s="485"/>
      <c r="Q64" s="485"/>
      <c r="R64" s="485"/>
      <c r="S64" s="485"/>
      <c r="T64" s="550"/>
      <c r="U64" s="532"/>
      <c r="V64" s="485"/>
      <c r="W64" s="485"/>
      <c r="X64" s="485"/>
      <c r="Y64" s="485"/>
      <c r="Z64" s="485"/>
      <c r="AA64" s="485"/>
      <c r="AB64" s="485"/>
      <c r="AC64" s="485"/>
      <c r="AD64" s="485"/>
      <c r="AE64" s="485"/>
      <c r="AF64" s="485"/>
      <c r="AG64" s="485"/>
      <c r="AH64" s="485"/>
      <c r="AI64" s="528"/>
      <c r="AJ64" s="563"/>
      <c r="AK64" s="563"/>
      <c r="AL64" s="563"/>
      <c r="AM64" s="563"/>
      <c r="AN64" s="563"/>
      <c r="AO64" s="563"/>
      <c r="AP64" s="563"/>
      <c r="AQ64" s="381"/>
      <c r="AR64" s="381"/>
    </row>
    <row r="65" spans="2:52" ht="15" customHeight="1" x14ac:dyDescent="0.2">
      <c r="B65" s="398"/>
      <c r="C65" s="488"/>
      <c r="D65" s="510"/>
      <c r="E65" s="539" t="str">
        <f>'Global inputs'!B148</f>
        <v>11 Asset relocations (net)</v>
      </c>
      <c r="F65" s="381"/>
      <c r="G65" s="381"/>
      <c r="H65" s="511">
        <v>2735.3537599480019</v>
      </c>
      <c r="I65" s="511">
        <v>2192.6495015504224</v>
      </c>
      <c r="J65" s="511">
        <v>2183.9923963999227</v>
      </c>
      <c r="K65" s="511">
        <v>1071.8290145330959</v>
      </c>
      <c r="L65" s="511">
        <v>1401.8955381239061</v>
      </c>
      <c r="M65" s="408">
        <f>(SUMIFS('Forecast capex'!$Q$9:$Q$1940,'Forecast capex'!$J$9:$J$1940,M$123,'Forecast capex'!$F$9:$F$1940,$E65)/1000)</f>
        <v>1242.2300639474629</v>
      </c>
      <c r="N65" s="408">
        <f>(SUMIFS('Forecast capex'!$Q$9:$Q$1940,'Forecast capex'!$J$9:$J$1940,N$123,'Forecast capex'!$F$9:$F$1940,$E65)/1000)</f>
        <v>1917.143953649125</v>
      </c>
      <c r="O65" s="408">
        <f>(SUMIFS('Forecast capex'!$Q$9:$Q$1940,'Forecast capex'!$J$9:$J$1940,O$123,'Forecast capex'!$F$9:$F$1940,$E65)/1000)</f>
        <v>1821.2867559666695</v>
      </c>
      <c r="P65" s="408">
        <f>(SUMIFS('Forecast capex'!$Q$9:$Q$1940,'Forecast capex'!$J$9:$J$1940,P$123,'Forecast capex'!$F$9:$F$1940,$E65)/1000)</f>
        <v>1821.2867559666695</v>
      </c>
      <c r="Q65" s="408">
        <f>(SUMIFS('Forecast capex'!$Q$9:$Q$1940,'Forecast capex'!$J$9:$J$1940,Q$123,'Forecast capex'!$F$9:$F$1940,$E65)/1000)</f>
        <v>1821.2867559666695</v>
      </c>
      <c r="R65" s="408">
        <f>(SUMIFS('Forecast capex'!$Q$9:$Q$1940,'Forecast capex'!$J$9:$J$1940,R$123,'Forecast capex'!$F$9:$F$1940,$E65)/1000)</f>
        <v>1821.2867559666695</v>
      </c>
      <c r="S65" s="408">
        <f>(SUMIFS('Forecast capex'!$Q$9:$Q$1940,'Forecast capex'!$J$9:$J$1940,S$123,'Forecast capex'!$F$9:$F$1940,$E65)/1000)</f>
        <v>1821.2901249999995</v>
      </c>
      <c r="T65" s="408">
        <f>SUM(O65:S65)</f>
        <v>9106.4371488666766</v>
      </c>
      <c r="U65" s="381"/>
      <c r="V65" s="408">
        <f>H65*'Historical capex'!H$155</f>
        <v>2569.6817277133223</v>
      </c>
      <c r="W65" s="408">
        <f>I65*'Historical capex'!I$155</f>
        <v>2066.7336529681115</v>
      </c>
      <c r="X65" s="408">
        <f>J65*'Historical capex'!J$155</f>
        <v>2080.865620640725</v>
      </c>
      <c r="Y65" s="408">
        <f>K65*'Historical capex'!K$155</f>
        <v>1037.3844570725287</v>
      </c>
      <c r="Z65" s="408">
        <f>L65*'Historical capex'!L$155</f>
        <v>1379.8204353448461</v>
      </c>
      <c r="AA65" s="408">
        <f>(SUMIFS('Forecast capex'!$X$9:$X$1940, 'Forecast capex'!$J$9:$J$1940,AA$123, 'Forecast capex'!$F$9:$F$1940,$E65))/1000</f>
        <v>1242.2300639474629</v>
      </c>
      <c r="AB65" s="408">
        <f>(SUMIFS('Forecast capex'!$X$9:$X$1940, 'Forecast capex'!$J$9:$J$1940,AB$123, 'Forecast capex'!$F$9:$F$1940,$E65))/1000</f>
        <v>1947.2713046038139</v>
      </c>
      <c r="AC65" s="408">
        <f>(SUMIFS('Forecast capex'!$X$9:$X$1940, 'Forecast capex'!$J$9:$J$1940,AC$123, 'Forecast capex'!$F$9:$F$1940,$E65))/1000</f>
        <v>1877.3747842002069</v>
      </c>
      <c r="AD65" s="408">
        <f>(SUMIFS('Forecast capex'!$X$9:$X$1940, 'Forecast capex'!$J$9:$J$1940,AD$123, 'Forecast capex'!$F$9:$F$1940,$E65))/1000</f>
        <v>1917.2944138093001</v>
      </c>
      <c r="AE65" s="408">
        <f>(SUMIFS('Forecast capex'!$X$9:$X$1940, 'Forecast capex'!$J$9:$J$1940,AE$123, 'Forecast capex'!$F$9:$F$1940,$E65))/1000</f>
        <v>1951.4866584020078</v>
      </c>
      <c r="AF65" s="408">
        <f>(SUMIFS('Forecast capex'!$X$9:$X$1940, 'Forecast capex'!$J$9:$J$1940,AF$123, 'Forecast capex'!$F$9:$F$1940,$E65))/1000</f>
        <v>1993.3803901636099</v>
      </c>
      <c r="AG65" s="408">
        <f>(SUMIFS('Forecast capex'!$X$9:$X$1940, 'Forecast capex'!$J$9:$J$1940,AG$123, 'Forecast capex'!$F$9:$F$1940,$E65))/1000</f>
        <v>2036.2194845010054</v>
      </c>
      <c r="AH65" s="408">
        <f>SUM(AC65:AG65)</f>
        <v>9775.7557310761295</v>
      </c>
      <c r="AI65" s="528"/>
      <c r="AJ65" s="408">
        <f>(SUMIFS('Forecast capex'!$AC$9:$AC$1940, 'Forecast capex'!$K$9:$K$1940,AJ$123, 'Forecast capex'!$F$9:$F$1940,$E65)+'Schedule E calculations'!M306*'Schedule E calculations'!M$349)/1000</f>
        <v>1014.4299224545344</v>
      </c>
      <c r="AK65" s="408">
        <f>(SUMIFS('Forecast capex'!$AC$9:$AC$1940, 'Forecast capex'!$K$9:$K$1940,AK$123, 'Forecast capex'!$F$9:$F$1940,$E65)+'Schedule E calculations'!N306*'Schedule E calculations'!N$349)/1000</f>
        <v>2453.7153538034736</v>
      </c>
      <c r="AL65" s="408">
        <f>(SUMIFS('Forecast capex'!$AC$9:$AC$1940, 'Forecast capex'!$K$9:$K$1940,AL$123, 'Forecast capex'!$F$9:$F$1940,$E65)+'Schedule E calculations'!O306*'Schedule E calculations'!O$349)/1000</f>
        <v>2211.5778422729354</v>
      </c>
      <c r="AM65" s="408">
        <f>(SUMIFS('Forecast capex'!$AC$9:$AC$1940, 'Forecast capex'!$K$9:$K$1940,AM$123, 'Forecast capex'!$F$9:$F$1940,$E65)+'Schedule E calculations'!P306*'Schedule E calculations'!P$349)/1000</f>
        <v>1924.2570383221841</v>
      </c>
      <c r="AN65" s="408">
        <f>(SUMIFS('Forecast capex'!$AC$9:$AC$1940, 'Forecast capex'!$K$9:$K$1940,AN$123, 'Forecast capex'!$F$9:$F$1940,$E65)+'Schedule E calculations'!Q306*'Schedule E calculations'!Q$349)/1000</f>
        <v>1829.8098241087143</v>
      </c>
      <c r="AO65" s="408">
        <f>(SUMIFS('Forecast capex'!$AC$9:$AC$1940, 'Forecast capex'!$K$9:$K$1940,AO$123, 'Forecast capex'!$F$9:$F$1940,$E65)+'Schedule E calculations'!R306*'Schedule E calculations'!R$349)/1000</f>
        <v>1952.69031138574</v>
      </c>
      <c r="AP65" s="408">
        <f>(SUMIFS('Forecast capex'!$AC$9:$AC$1940, 'Forecast capex'!$K$9:$K$1940,AP$123, 'Forecast capex'!$F$9:$F$1940,$E65)+'Schedule E calculations'!S306*'Schedule E calculations'!S$349)/1000</f>
        <v>1998.3650957650366</v>
      </c>
      <c r="AQ65" s="408">
        <f>SUM(AL65:AP65)</f>
        <v>9916.7001118546104</v>
      </c>
      <c r="AR65" s="381"/>
    </row>
    <row r="66" spans="2:52" ht="15" customHeight="1" thickBot="1" x14ac:dyDescent="0.25">
      <c r="B66" s="398"/>
      <c r="C66" s="488"/>
      <c r="D66" s="488"/>
      <c r="E66" s="541" t="s">
        <v>645</v>
      </c>
      <c r="F66" s="455"/>
      <c r="G66" s="455"/>
      <c r="H66" s="553"/>
      <c r="I66" s="553"/>
      <c r="J66" s="553"/>
      <c r="K66" s="553"/>
      <c r="L66" s="553"/>
      <c r="M66" s="553"/>
      <c r="N66" s="553"/>
      <c r="O66" s="553"/>
      <c r="P66" s="553"/>
      <c r="Q66" s="553"/>
      <c r="R66" s="553"/>
      <c r="S66" s="553"/>
      <c r="T66" s="554"/>
      <c r="U66" s="381"/>
      <c r="V66" s="553"/>
      <c r="W66" s="553"/>
      <c r="X66" s="553"/>
      <c r="Y66" s="553"/>
      <c r="Z66" s="553"/>
      <c r="AA66" s="553"/>
      <c r="AB66" s="553"/>
      <c r="AC66" s="553"/>
      <c r="AD66" s="553"/>
      <c r="AE66" s="553"/>
      <c r="AF66" s="553"/>
      <c r="AG66" s="553"/>
      <c r="AH66" s="553"/>
      <c r="AI66" s="528"/>
      <c r="AJ66" s="553"/>
      <c r="AK66" s="553"/>
      <c r="AL66" s="553"/>
      <c r="AM66" s="553"/>
      <c r="AN66" s="553"/>
      <c r="AO66" s="553"/>
      <c r="AP66" s="553"/>
      <c r="AQ66" s="553"/>
      <c r="AR66" s="381"/>
    </row>
    <row r="67" spans="2:52" s="420" customFormat="1" ht="15" customHeight="1" thickBot="1" x14ac:dyDescent="0.3">
      <c r="B67" s="490"/>
      <c r="C67" s="504"/>
      <c r="D67" s="564"/>
      <c r="E67" s="529" t="s">
        <v>646</v>
      </c>
      <c r="F67" s="548"/>
      <c r="G67" s="548"/>
      <c r="H67" s="543">
        <f>SUM(H65:H65)</f>
        <v>2735.3537599480019</v>
      </c>
      <c r="I67" s="543">
        <f t="shared" ref="I67:T67" si="24">SUM(I65:I65)</f>
        <v>2192.6495015504224</v>
      </c>
      <c r="J67" s="543">
        <f t="shared" si="24"/>
        <v>2183.9923963999227</v>
      </c>
      <c r="K67" s="543">
        <f t="shared" si="24"/>
        <v>1071.8290145330959</v>
      </c>
      <c r="L67" s="543">
        <f t="shared" si="24"/>
        <v>1401.8955381239061</v>
      </c>
      <c r="M67" s="543">
        <f t="shared" si="24"/>
        <v>1242.2300639474629</v>
      </c>
      <c r="N67" s="543">
        <f t="shared" si="24"/>
        <v>1917.143953649125</v>
      </c>
      <c r="O67" s="543">
        <f t="shared" si="24"/>
        <v>1821.2867559666695</v>
      </c>
      <c r="P67" s="543">
        <f t="shared" si="24"/>
        <v>1821.2867559666695</v>
      </c>
      <c r="Q67" s="543">
        <f t="shared" si="24"/>
        <v>1821.2867559666695</v>
      </c>
      <c r="R67" s="543">
        <f t="shared" si="24"/>
        <v>1821.2867559666695</v>
      </c>
      <c r="S67" s="543">
        <f t="shared" si="24"/>
        <v>1821.2901249999995</v>
      </c>
      <c r="T67" s="543">
        <f t="shared" si="24"/>
        <v>9106.4371488666766</v>
      </c>
      <c r="U67" s="548"/>
      <c r="V67" s="543">
        <f>SUM(V65:V65)</f>
        <v>2569.6817277133223</v>
      </c>
      <c r="W67" s="543">
        <f t="shared" ref="W67:AH67" si="25">SUM(W65:W65)</f>
        <v>2066.7336529681115</v>
      </c>
      <c r="X67" s="543">
        <f t="shared" si="25"/>
        <v>2080.865620640725</v>
      </c>
      <c r="Y67" s="543">
        <f t="shared" si="25"/>
        <v>1037.3844570725287</v>
      </c>
      <c r="Z67" s="543">
        <f t="shared" si="25"/>
        <v>1379.8204353448461</v>
      </c>
      <c r="AA67" s="543">
        <f t="shared" si="25"/>
        <v>1242.2300639474629</v>
      </c>
      <c r="AB67" s="543">
        <f t="shared" si="25"/>
        <v>1947.2713046038139</v>
      </c>
      <c r="AC67" s="543">
        <f t="shared" si="25"/>
        <v>1877.3747842002069</v>
      </c>
      <c r="AD67" s="543">
        <f t="shared" si="25"/>
        <v>1917.2944138093001</v>
      </c>
      <c r="AE67" s="543">
        <f t="shared" si="25"/>
        <v>1951.4866584020078</v>
      </c>
      <c r="AF67" s="543">
        <f t="shared" si="25"/>
        <v>1993.3803901636099</v>
      </c>
      <c r="AG67" s="543">
        <f t="shared" si="25"/>
        <v>2036.2194845010054</v>
      </c>
      <c r="AH67" s="543">
        <f t="shared" si="25"/>
        <v>9775.7557310761295</v>
      </c>
      <c r="AI67" s="544"/>
      <c r="AJ67" s="543">
        <f t="shared" ref="AJ67:AQ67" si="26">SUM(AJ65:AJ65)</f>
        <v>1014.4299224545344</v>
      </c>
      <c r="AK67" s="543">
        <f t="shared" si="26"/>
        <v>2453.7153538034736</v>
      </c>
      <c r="AL67" s="543">
        <f t="shared" si="26"/>
        <v>2211.5778422729354</v>
      </c>
      <c r="AM67" s="543">
        <f t="shared" si="26"/>
        <v>1924.2570383221841</v>
      </c>
      <c r="AN67" s="543">
        <f t="shared" si="26"/>
        <v>1829.8098241087143</v>
      </c>
      <c r="AO67" s="543">
        <f t="shared" si="26"/>
        <v>1952.69031138574</v>
      </c>
      <c r="AP67" s="543">
        <f t="shared" si="26"/>
        <v>1998.3650957650366</v>
      </c>
      <c r="AQ67" s="543">
        <f t="shared" si="26"/>
        <v>9916.7001118546104</v>
      </c>
      <c r="AR67" s="548"/>
      <c r="AZ67" s="421"/>
    </row>
    <row r="68" spans="2:52" ht="15" customHeight="1" thickBot="1" x14ac:dyDescent="0.25">
      <c r="B68" s="398"/>
      <c r="C68" s="488"/>
      <c r="D68" s="540" t="s">
        <v>601</v>
      </c>
      <c r="E68" s="551" t="s">
        <v>647</v>
      </c>
      <c r="F68" s="381"/>
      <c r="G68" s="381"/>
      <c r="H68" s="511">
        <v>886.99955546670105</v>
      </c>
      <c r="I68" s="511">
        <v>1083.7153044722334</v>
      </c>
      <c r="J68" s="511">
        <v>517.33428635714722</v>
      </c>
      <c r="K68" s="511">
        <v>276.90252683680154</v>
      </c>
      <c r="L68" s="511">
        <v>328.077758717699</v>
      </c>
      <c r="M68" s="408">
        <f>'Capex summary'!M67/1000</f>
        <v>402.48254071897804</v>
      </c>
      <c r="N68" s="408">
        <f>'Capex summary'!N67/1000</f>
        <v>1150.2863721894748</v>
      </c>
      <c r="O68" s="408">
        <f>'Capex summary'!O67/1000</f>
        <v>1092.7720535800015</v>
      </c>
      <c r="P68" s="408">
        <f>'Capex summary'!P67/1000</f>
        <v>1092.7720535800015</v>
      </c>
      <c r="Q68" s="408">
        <f>'Capex summary'!Q67/1000</f>
        <v>1092.7720535800015</v>
      </c>
      <c r="R68" s="408">
        <f>'Capex summary'!R67/1000</f>
        <v>1092.7720535800015</v>
      </c>
      <c r="S68" s="408">
        <f>'Capex summary'!S67/1000</f>
        <v>1092.7740749999998</v>
      </c>
      <c r="T68" s="408">
        <f>SUM(O68:S68)</f>
        <v>5463.8622893200063</v>
      </c>
      <c r="U68" s="381"/>
      <c r="V68" s="511">
        <v>833.27669844647448</v>
      </c>
      <c r="W68" s="511">
        <v>1021.4814946053258</v>
      </c>
      <c r="X68" s="511">
        <v>492.90607999999986</v>
      </c>
      <c r="Y68" s="511">
        <v>268.00391999999999</v>
      </c>
      <c r="Z68" s="511">
        <v>322.91164608928659</v>
      </c>
      <c r="AA68" s="408">
        <f>'Capex summary'!M87/1000</f>
        <v>402.48254071897804</v>
      </c>
      <c r="AB68" s="408">
        <f>'Capex summary'!N87/1000</f>
        <v>1168.3627827622886</v>
      </c>
      <c r="AC68" s="408">
        <f>'Capex summary'!O87/1000</f>
        <v>1126.4248705201237</v>
      </c>
      <c r="AD68" s="408">
        <f>'Capex summary'!P87/1000</f>
        <v>1150.3766482855799</v>
      </c>
      <c r="AE68" s="408">
        <f>'Capex summary'!Q87/1000</f>
        <v>1170.8919950412046</v>
      </c>
      <c r="AF68" s="408">
        <f>'Capex summary'!R87/1000</f>
        <v>1196.0282340981657</v>
      </c>
      <c r="AG68" s="408">
        <f>'Capex summary'!S87/1000</f>
        <v>1221.7316907006032</v>
      </c>
      <c r="AH68" s="408">
        <f>SUM(AC68:AG68)</f>
        <v>5865.4534386456771</v>
      </c>
      <c r="AI68" s="528"/>
      <c r="AJ68" s="408">
        <f>'Commissioned assets summary'!M79/1000</f>
        <v>244.12063295704175</v>
      </c>
      <c r="AK68" s="408">
        <f>'Commissioned assets summary'!N79/1000</f>
        <v>1661.2286707202175</v>
      </c>
      <c r="AL68" s="408">
        <f>'Commissioned assets summary'!O79/1000</f>
        <v>1400.5088210849137</v>
      </c>
      <c r="AM68" s="408">
        <f>'Commissioned assets summary'!P79/1000</f>
        <v>1141.1079547849015</v>
      </c>
      <c r="AN68" s="408">
        <f>'Commissioned assets summary'!Q79/1000</f>
        <v>1056.1511710579005</v>
      </c>
      <c r="AO68" s="408">
        <f>'Commissioned assets summary'!R79/1000</f>
        <v>1132.9612645891098</v>
      </c>
      <c r="AP68" s="408">
        <f>'Commissioned assets summary'!S79/1000</f>
        <v>1148.719135718803</v>
      </c>
      <c r="AQ68" s="408">
        <f>SUM(AL68:AP68)</f>
        <v>5879.4483472356287</v>
      </c>
      <c r="AR68" s="381"/>
    </row>
    <row r="69" spans="2:52" s="420" customFormat="1" ht="15" customHeight="1" thickBot="1" x14ac:dyDescent="0.3">
      <c r="B69" s="490"/>
      <c r="C69" s="504"/>
      <c r="D69" s="504"/>
      <c r="E69" s="529" t="s">
        <v>648</v>
      </c>
      <c r="F69" s="548"/>
      <c r="G69" s="548"/>
      <c r="H69" s="543">
        <f t="shared" ref="H69:T69" si="27">H67-H68</f>
        <v>1848.3542044813007</v>
      </c>
      <c r="I69" s="543">
        <f t="shared" si="27"/>
        <v>1108.9341970781891</v>
      </c>
      <c r="J69" s="543">
        <f t="shared" si="27"/>
        <v>1666.6581100427754</v>
      </c>
      <c r="K69" s="543">
        <f t="shared" si="27"/>
        <v>794.92648769629432</v>
      </c>
      <c r="L69" s="543">
        <f t="shared" si="27"/>
        <v>1073.8177794062071</v>
      </c>
      <c r="M69" s="543">
        <f t="shared" si="27"/>
        <v>839.74752322848485</v>
      </c>
      <c r="N69" s="543">
        <f t="shared" si="27"/>
        <v>766.85758145965019</v>
      </c>
      <c r="O69" s="543">
        <f t="shared" si="27"/>
        <v>728.51470238666798</v>
      </c>
      <c r="P69" s="543">
        <f t="shared" si="27"/>
        <v>728.51470238666798</v>
      </c>
      <c r="Q69" s="543">
        <f t="shared" si="27"/>
        <v>728.51470238666798</v>
      </c>
      <c r="R69" s="543">
        <f t="shared" si="27"/>
        <v>728.51470238666798</v>
      </c>
      <c r="S69" s="543">
        <f t="shared" si="27"/>
        <v>728.51604999999972</v>
      </c>
      <c r="T69" s="543">
        <f t="shared" si="27"/>
        <v>3642.5748595466703</v>
      </c>
      <c r="U69" s="548"/>
      <c r="V69" s="543">
        <f t="shared" ref="V69:AF69" si="28">V67-V68</f>
        <v>1736.4050292668478</v>
      </c>
      <c r="W69" s="543">
        <f t="shared" si="28"/>
        <v>1045.2521583627858</v>
      </c>
      <c r="X69" s="543">
        <f t="shared" si="28"/>
        <v>1587.9595406407252</v>
      </c>
      <c r="Y69" s="543">
        <f t="shared" si="28"/>
        <v>769.38053707252868</v>
      </c>
      <c r="Z69" s="543">
        <f t="shared" si="28"/>
        <v>1056.9087892555594</v>
      </c>
      <c r="AA69" s="543">
        <f t="shared" si="28"/>
        <v>839.74752322848485</v>
      </c>
      <c r="AB69" s="543">
        <f t="shared" si="28"/>
        <v>778.90852184152527</v>
      </c>
      <c r="AC69" s="543">
        <f t="shared" si="28"/>
        <v>750.94991368008323</v>
      </c>
      <c r="AD69" s="543">
        <f t="shared" si="28"/>
        <v>766.91776552372016</v>
      </c>
      <c r="AE69" s="543">
        <f t="shared" si="28"/>
        <v>780.59466336080322</v>
      </c>
      <c r="AF69" s="543">
        <f t="shared" si="28"/>
        <v>797.35215606544421</v>
      </c>
      <c r="AG69" s="543">
        <f>AG67-AG68</f>
        <v>814.48779380040219</v>
      </c>
      <c r="AH69" s="543">
        <f>AH67-AH68</f>
        <v>3910.3022924304523</v>
      </c>
      <c r="AI69" s="544"/>
      <c r="AJ69" s="543">
        <f t="shared" ref="AJ69:AQ69" si="29">AJ67-AJ68</f>
        <v>770.30928949749273</v>
      </c>
      <c r="AK69" s="543">
        <f t="shared" si="29"/>
        <v>792.48668308325614</v>
      </c>
      <c r="AL69" s="543">
        <f t="shared" si="29"/>
        <v>811.06902118802168</v>
      </c>
      <c r="AM69" s="543">
        <f t="shared" si="29"/>
        <v>783.14908353728265</v>
      </c>
      <c r="AN69" s="543">
        <f t="shared" si="29"/>
        <v>773.65865305081388</v>
      </c>
      <c r="AO69" s="543">
        <f t="shared" si="29"/>
        <v>819.7290467966302</v>
      </c>
      <c r="AP69" s="543">
        <f t="shared" si="29"/>
        <v>849.64596004623354</v>
      </c>
      <c r="AQ69" s="543">
        <f t="shared" si="29"/>
        <v>4037.2517646189817</v>
      </c>
      <c r="AR69" s="548"/>
      <c r="AZ69" s="421"/>
    </row>
    <row r="70" spans="2:52" ht="15" customHeight="1" x14ac:dyDescent="0.2">
      <c r="B70" s="398"/>
      <c r="C70" s="488"/>
      <c r="D70" s="565"/>
      <c r="E70" s="488"/>
      <c r="F70" s="455"/>
      <c r="G70" s="455"/>
      <c r="H70" s="566"/>
      <c r="I70" s="566"/>
      <c r="J70" s="566"/>
      <c r="K70" s="566"/>
      <c r="L70" s="566"/>
      <c r="M70" s="566"/>
      <c r="N70" s="566"/>
      <c r="O70" s="566"/>
      <c r="P70" s="566"/>
      <c r="Q70" s="566"/>
      <c r="R70" s="566"/>
      <c r="S70" s="566"/>
      <c r="T70" s="567"/>
      <c r="U70" s="381"/>
      <c r="V70" s="566"/>
      <c r="W70" s="566"/>
      <c r="X70" s="566"/>
      <c r="Y70" s="566"/>
      <c r="Z70" s="566"/>
      <c r="AA70" s="566"/>
      <c r="AB70" s="566"/>
      <c r="AC70" s="566"/>
      <c r="AD70" s="566"/>
      <c r="AE70" s="566"/>
      <c r="AF70" s="566"/>
      <c r="AG70" s="566"/>
      <c r="AH70" s="566"/>
      <c r="AI70" s="528"/>
      <c r="AJ70" s="566"/>
      <c r="AK70" s="566"/>
      <c r="AL70" s="566"/>
      <c r="AM70" s="566"/>
      <c r="AN70" s="566"/>
      <c r="AO70" s="566"/>
      <c r="AP70" s="566"/>
      <c r="AQ70" s="566"/>
      <c r="AR70" s="381"/>
    </row>
    <row r="71" spans="2:52" ht="15" customHeight="1" x14ac:dyDescent="0.25">
      <c r="B71" s="568"/>
      <c r="C71" s="561" t="s">
        <v>649</v>
      </c>
      <c r="D71" s="381"/>
      <c r="E71" s="381"/>
      <c r="F71" s="569"/>
      <c r="G71" s="569"/>
      <c r="H71" s="570"/>
      <c r="I71" s="570"/>
      <c r="J71" s="570"/>
      <c r="K71" s="570"/>
      <c r="L71" s="570"/>
      <c r="M71" s="570"/>
      <c r="N71" s="570"/>
      <c r="O71" s="570"/>
      <c r="P71" s="570"/>
      <c r="Q71" s="570"/>
      <c r="R71" s="570"/>
      <c r="S71" s="570"/>
      <c r="T71" s="570"/>
      <c r="U71" s="532"/>
      <c r="V71" s="570"/>
      <c r="W71" s="570"/>
      <c r="X71" s="570"/>
      <c r="Y71" s="570"/>
      <c r="Z71" s="570"/>
      <c r="AA71" s="570"/>
      <c r="AB71" s="570"/>
      <c r="AC71" s="570"/>
      <c r="AD71" s="570"/>
      <c r="AE71" s="570"/>
      <c r="AF71" s="570"/>
      <c r="AG71" s="570"/>
      <c r="AH71" s="570"/>
      <c r="AI71" s="528"/>
      <c r="AJ71" s="570"/>
      <c r="AK71" s="570"/>
      <c r="AL71" s="570"/>
      <c r="AM71" s="570"/>
      <c r="AN71" s="570"/>
      <c r="AO71" s="570"/>
      <c r="AP71" s="570"/>
      <c r="AQ71" s="570"/>
      <c r="AR71" s="532"/>
    </row>
    <row r="72" spans="2:52" ht="15" customHeight="1" x14ac:dyDescent="0.2">
      <c r="B72" s="398"/>
      <c r="C72" s="488"/>
      <c r="D72" s="488"/>
      <c r="E72" s="537"/>
      <c r="F72" s="381"/>
      <c r="G72" s="381"/>
      <c r="H72" s="485"/>
      <c r="I72" s="485"/>
      <c r="J72" s="485"/>
      <c r="K72" s="485"/>
      <c r="L72" s="485"/>
      <c r="M72" s="485"/>
      <c r="N72" s="485"/>
      <c r="O72" s="485"/>
      <c r="P72" s="485"/>
      <c r="Q72" s="485"/>
      <c r="R72" s="485"/>
      <c r="S72" s="485"/>
      <c r="T72" s="550"/>
      <c r="U72" s="532"/>
      <c r="V72" s="485"/>
      <c r="W72" s="485"/>
      <c r="X72" s="485"/>
      <c r="Y72" s="485"/>
      <c r="Z72" s="485"/>
      <c r="AA72" s="485"/>
      <c r="AB72" s="485"/>
      <c r="AC72" s="485"/>
      <c r="AD72" s="485"/>
      <c r="AE72" s="485"/>
      <c r="AF72" s="485"/>
      <c r="AG72" s="485"/>
      <c r="AH72" s="485"/>
      <c r="AI72" s="528"/>
      <c r="AJ72" s="381"/>
      <c r="AK72" s="381"/>
      <c r="AL72" s="381"/>
      <c r="AM72" s="381"/>
      <c r="AN72" s="381"/>
      <c r="AO72" s="381"/>
      <c r="AP72" s="381"/>
      <c r="AQ72" s="381"/>
      <c r="AR72" s="381"/>
    </row>
    <row r="73" spans="2:52" ht="15" customHeight="1" x14ac:dyDescent="0.2">
      <c r="B73" s="398"/>
      <c r="C73" s="488"/>
      <c r="D73" s="571" t="s">
        <v>650</v>
      </c>
      <c r="E73" s="537"/>
      <c r="F73" s="381"/>
      <c r="G73" s="381"/>
      <c r="H73" s="485"/>
      <c r="I73" s="485"/>
      <c r="J73" s="485"/>
      <c r="K73" s="485"/>
      <c r="L73" s="485"/>
      <c r="M73" s="485"/>
      <c r="N73" s="485"/>
      <c r="O73" s="485"/>
      <c r="P73" s="485"/>
      <c r="Q73" s="485"/>
      <c r="R73" s="485"/>
      <c r="S73" s="485"/>
      <c r="T73" s="550"/>
      <c r="U73" s="532"/>
      <c r="V73" s="485"/>
      <c r="W73" s="485"/>
      <c r="X73" s="485"/>
      <c r="Y73" s="485"/>
      <c r="Z73" s="485"/>
      <c r="AA73" s="485"/>
      <c r="AB73" s="485"/>
      <c r="AC73" s="485"/>
      <c r="AD73" s="485"/>
      <c r="AE73" s="485"/>
      <c r="AF73" s="485"/>
      <c r="AG73" s="485"/>
      <c r="AH73" s="485"/>
      <c r="AI73" s="528"/>
      <c r="AJ73" s="381"/>
      <c r="AK73" s="381"/>
      <c r="AL73" s="381"/>
      <c r="AM73" s="381"/>
      <c r="AN73" s="381"/>
      <c r="AO73" s="381"/>
      <c r="AP73" s="381"/>
      <c r="AQ73" s="381"/>
      <c r="AR73" s="381"/>
    </row>
    <row r="74" spans="2:52" ht="15" customHeight="1" x14ac:dyDescent="0.2">
      <c r="B74" s="398"/>
      <c r="C74" s="488"/>
      <c r="D74" s="488"/>
      <c r="E74" s="557" t="s">
        <v>644</v>
      </c>
      <c r="F74" s="381"/>
      <c r="G74" s="381"/>
      <c r="H74" s="485"/>
      <c r="I74" s="485"/>
      <c r="J74" s="485"/>
      <c r="K74" s="485"/>
      <c r="L74" s="485"/>
      <c r="M74" s="485"/>
      <c r="N74" s="485"/>
      <c r="O74" s="485"/>
      <c r="P74" s="485"/>
      <c r="Q74" s="485"/>
      <c r="R74" s="485"/>
      <c r="S74" s="485"/>
      <c r="T74" s="550"/>
      <c r="U74" s="532"/>
      <c r="V74" s="485"/>
      <c r="W74" s="485"/>
      <c r="X74" s="485"/>
      <c r="Y74" s="485"/>
      <c r="Z74" s="485"/>
      <c r="AA74" s="485"/>
      <c r="AB74" s="485"/>
      <c r="AC74" s="485"/>
      <c r="AD74" s="485"/>
      <c r="AE74" s="485"/>
      <c r="AF74" s="485"/>
      <c r="AG74" s="485"/>
      <c r="AH74" s="485"/>
      <c r="AI74" s="528"/>
      <c r="AJ74" s="381"/>
      <c r="AK74" s="381"/>
      <c r="AL74" s="381"/>
      <c r="AM74" s="381"/>
      <c r="AN74" s="381"/>
      <c r="AO74" s="381"/>
      <c r="AP74" s="381"/>
      <c r="AQ74" s="381"/>
      <c r="AR74" s="381"/>
    </row>
    <row r="75" spans="2:52" ht="15" customHeight="1" x14ac:dyDescent="0.2">
      <c r="B75" s="398"/>
      <c r="C75" s="488"/>
      <c r="D75" s="510"/>
      <c r="E75" s="539" t="str">
        <f>'Global inputs'!B150</f>
        <v>12 Future Networks</v>
      </c>
      <c r="F75" s="381"/>
      <c r="G75" s="381"/>
      <c r="H75" s="410">
        <v>0</v>
      </c>
      <c r="I75" s="410">
        <v>0</v>
      </c>
      <c r="J75" s="410">
        <v>0</v>
      </c>
      <c r="K75" s="410">
        <v>0</v>
      </c>
      <c r="L75" s="410">
        <v>0</v>
      </c>
      <c r="M75" s="408">
        <f>(SUMIFS('Forecast capex'!$Q$9:$Q$1940,'Forecast capex'!$J$9:$J$1940,M$123,'Forecast capex'!$F$9:$F$1940,$E75)/1000)</f>
        <v>0</v>
      </c>
      <c r="N75" s="408">
        <f>(SUMIFS('Forecast capex'!$Q$9:$Q$1940,'Forecast capex'!$J$9:$J$1940,N$123,'Forecast capex'!$F$9:$F$1940,$E75)/1000)</f>
        <v>236.45333333333332</v>
      </c>
      <c r="O75" s="408">
        <f>(SUMIFS('Forecast capex'!$Q$9:$Q$1940,'Forecast capex'!$J$9:$J$1940,O$123,'Forecast capex'!$F$9:$F$1940,$E75)/1000)</f>
        <v>435.17441666666662</v>
      </c>
      <c r="P75" s="408">
        <f>(SUMIFS('Forecast capex'!$Q$9:$Q$1940,'Forecast capex'!$J$9:$J$1940,P$123,'Forecast capex'!$F$9:$F$1940,$E75)/1000)</f>
        <v>435.17441666666662</v>
      </c>
      <c r="Q75" s="408">
        <f>(SUMIFS('Forecast capex'!$Q$9:$Q$1940,'Forecast capex'!$J$9:$J$1940,Q$123,'Forecast capex'!$F$9:$F$1940,$E75)/1000)</f>
        <v>214.32</v>
      </c>
      <c r="R75" s="408">
        <f>(SUMIFS('Forecast capex'!$Q$9:$Q$1940,'Forecast capex'!$J$9:$J$1940,R$123,'Forecast capex'!$F$9:$F$1940,$E75)/1000)</f>
        <v>214.32</v>
      </c>
      <c r="S75" s="408">
        <f>(SUMIFS('Forecast capex'!$Q$9:$Q$1940,'Forecast capex'!$J$9:$J$1940,S$123,'Forecast capex'!$F$9:$F$1940,$E75)/1000)</f>
        <v>0</v>
      </c>
      <c r="T75" s="408">
        <f>SUM(O75:S75)</f>
        <v>1298.9888333333331</v>
      </c>
      <c r="U75" s="381"/>
      <c r="V75" s="408">
        <f>H75*'Historical capex'!H$155</f>
        <v>0</v>
      </c>
      <c r="W75" s="408">
        <f>I75*'Historical capex'!I$155</f>
        <v>0</v>
      </c>
      <c r="X75" s="408">
        <f>J75*'Historical capex'!J$155</f>
        <v>0</v>
      </c>
      <c r="Y75" s="408">
        <f>K75*'Historical capex'!K$155</f>
        <v>0</v>
      </c>
      <c r="Z75" s="408">
        <f>L75*'Historical capex'!L$155</f>
        <v>0</v>
      </c>
      <c r="AA75" s="408">
        <f>(SUMIFS('Forecast capex'!$X$9:$X$1940, 'Forecast capex'!$J$9:$J$1940,AA$123, 'Forecast capex'!$F$9:$F$1940,$E75))/1000</f>
        <v>0</v>
      </c>
      <c r="AB75" s="408">
        <f>(SUMIFS('Forecast capex'!$X$9:$X$1940, 'Forecast capex'!$J$9:$J$1940,AB$123, 'Forecast capex'!$F$9:$F$1940,$E75))/1000</f>
        <v>241.3279268997928</v>
      </c>
      <c r="AC75" s="408">
        <f>(SUMIFS('Forecast capex'!$X$9:$X$1940, 'Forecast capex'!$J$9:$J$1940,AC$123, 'Forecast capex'!$F$9:$F$1940,$E75))/1000</f>
        <v>451.70312868227666</v>
      </c>
      <c r="AD75" s="408">
        <f>(SUMIFS('Forecast capex'!$X$9:$X$1940, 'Forecast capex'!$J$9:$J$1940,AD$123, 'Forecast capex'!$F$9:$F$1940,$E75))/1000</f>
        <v>459.26426766978062</v>
      </c>
      <c r="AE75" s="408">
        <f>(SUMIFS('Forecast capex'!$X$9:$X$1940, 'Forecast capex'!$J$9:$J$1940,AE$123, 'Forecast capex'!$F$9:$F$1940,$E75))/1000</f>
        <v>230.00140349560752</v>
      </c>
      <c r="AF75" s="408">
        <f>(SUMIFS('Forecast capex'!$X$9:$X$1940, 'Forecast capex'!$J$9:$J$1940,AF$123, 'Forecast capex'!$F$9:$F$1940,$E75))/1000</f>
        <v>234.02482198444687</v>
      </c>
      <c r="AG75" s="408">
        <f>(SUMIFS('Forecast capex'!$X$9:$X$1940, 'Forecast capex'!$J$9:$J$1940,AG$123, 'Forecast capex'!$F$9:$F$1940,$E75))/1000</f>
        <v>0</v>
      </c>
      <c r="AH75" s="408">
        <f>SUM(AC75:AG75)</f>
        <v>1374.9936218321116</v>
      </c>
      <c r="AI75" s="528"/>
      <c r="AJ75" s="408">
        <f>(SUMIFS('Forecast capex'!$AC$9:$AC$1940, 'Forecast capex'!$K$9:$K$1940,AJ$123, 'Forecast capex'!$F$9:$F$1940,$E75)+'Schedule E calculations'!M310*'Schedule E calculations'!M$350)/1000</f>
        <v>0</v>
      </c>
      <c r="AK75" s="408">
        <f>(SUMIFS('Forecast capex'!$AC$9:$AC$1940, 'Forecast capex'!$K$9:$K$1940,AK$123, 'Forecast capex'!$F$9:$F$1940,$E75)+'Schedule E calculations'!N310*'Schedule E calculations'!N$350)/1000</f>
        <v>245.53482592797496</v>
      </c>
      <c r="AL75" s="408">
        <f>(SUMIFS('Forecast capex'!$AC$9:$AC$1940, 'Forecast capex'!$K$9:$K$1940,AL$123, 'Forecast capex'!$F$9:$F$1940,$E75)+'Schedule E calculations'!O310*'Schedule E calculations'!O$350)/1000</f>
        <v>487.86531268445901</v>
      </c>
      <c r="AM75" s="408">
        <f>(SUMIFS('Forecast capex'!$AC$9:$AC$1940, 'Forecast capex'!$K$9:$K$1940,AM$123, 'Forecast capex'!$F$9:$F$1940,$E75)+'Schedule E calculations'!P310*'Schedule E calculations'!P$350)/1000</f>
        <v>468.98429857260305</v>
      </c>
      <c r="AN75" s="408">
        <f>(SUMIFS('Forecast capex'!$AC$9:$AC$1940, 'Forecast capex'!$K$9:$K$1940,AN$123, 'Forecast capex'!$F$9:$F$1940,$E75)+'Schedule E calculations'!Q310*'Schedule E calculations'!Q$350)/1000</f>
        <v>227.95771529116973</v>
      </c>
      <c r="AO75" s="408">
        <f>(SUMIFS('Forecast capex'!$AC$9:$AC$1940, 'Forecast capex'!$K$9:$K$1940,AO$123, 'Forecast capex'!$F$9:$F$1940,$E75)+'Schedule E calculations'!R310*'Schedule E calculations'!R$350)/1000</f>
        <v>240.59051816071786</v>
      </c>
      <c r="AP75" s="408">
        <f>(SUMIFS('Forecast capex'!$AC$9:$AC$1940, 'Forecast capex'!$K$9:$K$1940,AP$123, 'Forecast capex'!$F$9:$F$1940,$E75)+'Schedule E calculations'!S310*'Schedule E calculations'!S$350)/1000</f>
        <v>0</v>
      </c>
      <c r="AQ75" s="408">
        <f>SUM(AL75:AP75)</f>
        <v>1425.3978447089496</v>
      </c>
      <c r="AR75" s="381"/>
    </row>
    <row r="76" spans="2:52" ht="15" customHeight="1" x14ac:dyDescent="0.2">
      <c r="B76" s="398"/>
      <c r="C76" s="488"/>
      <c r="D76" s="510"/>
      <c r="E76" s="539" t="str">
        <f>'Global inputs'!B151</f>
        <v>13 RSE</v>
      </c>
      <c r="F76" s="381"/>
      <c r="G76" s="381"/>
      <c r="H76" s="511">
        <v>2068.8162870238125</v>
      </c>
      <c r="I76" s="511">
        <v>2047.0778419287617</v>
      </c>
      <c r="J76" s="511">
        <v>2238.5378962222067</v>
      </c>
      <c r="K76" s="511">
        <v>1756.0474686034322</v>
      </c>
      <c r="L76" s="511">
        <v>1929.5654508604007</v>
      </c>
      <c r="M76" s="408">
        <f>(SUMIFS('Forecast capex'!$Q$9:$Q$1940,'Forecast capex'!$J$9:$J$1940,M$123,'Forecast capex'!$F$9:$F$1940,$E76)/1000)</f>
        <v>1157.4593187561036</v>
      </c>
      <c r="N76" s="408">
        <f>(SUMIFS('Forecast capex'!$Q$9:$Q$1940,'Forecast capex'!$J$9:$J$1940,N$123,'Forecast capex'!$F$9:$F$1940,$E76)/1000)</f>
        <v>0</v>
      </c>
      <c r="O76" s="408">
        <f>(SUMIFS('Forecast capex'!$Q$9:$Q$1940,'Forecast capex'!$J$9:$J$1940,O$123,'Forecast capex'!$F$9:$F$1940,$E76)/1000)</f>
        <v>0</v>
      </c>
      <c r="P76" s="408">
        <f>(SUMIFS('Forecast capex'!$Q$9:$Q$1940,'Forecast capex'!$J$9:$J$1940,P$123,'Forecast capex'!$F$9:$F$1940,$E76)/1000)</f>
        <v>0</v>
      </c>
      <c r="Q76" s="408">
        <f>(SUMIFS('Forecast capex'!$Q$9:$Q$1940,'Forecast capex'!$J$9:$J$1940,Q$123,'Forecast capex'!$F$9:$F$1940,$E76)/1000)</f>
        <v>0</v>
      </c>
      <c r="R76" s="408">
        <f>(SUMIFS('Forecast capex'!$Q$9:$Q$1940,'Forecast capex'!$J$9:$J$1940,R$123,'Forecast capex'!$F$9:$F$1940,$E76)/1000)</f>
        <v>644.38499999999999</v>
      </c>
      <c r="S76" s="408">
        <f>(SUMIFS('Forecast capex'!$Q$9:$Q$1940,'Forecast capex'!$J$9:$J$1940,S$123,'Forecast capex'!$F$9:$F$1940,$E76)/1000)</f>
        <v>644.38499999999999</v>
      </c>
      <c r="T76" s="408">
        <f>SUM(O76:S76)</f>
        <v>1288.77</v>
      </c>
      <c r="U76" s="381"/>
      <c r="V76" s="408">
        <f>H76*'Historical capex'!H$155</f>
        <v>1943.5143960545236</v>
      </c>
      <c r="W76" s="408">
        <f>I76*'Historical capex'!I$155</f>
        <v>1929.5216418164118</v>
      </c>
      <c r="X76" s="408">
        <f>J76*'Historical capex'!J$155</f>
        <v>2132.8355155579193</v>
      </c>
      <c r="Y76" s="408">
        <f>K76*'Historical capex'!K$155</f>
        <v>1699.6147007685893</v>
      </c>
      <c r="Z76" s="408">
        <f>L76*'Historical capex'!L$155</f>
        <v>1899.1813355762688</v>
      </c>
      <c r="AA76" s="408">
        <f>(SUMIFS('Forecast capex'!$X$9:$X$1940, 'Forecast capex'!$J$9:$J$1940,AA$123, 'Forecast capex'!$F$9:$F$1940,$E76))/1000</f>
        <v>1157.4593187561036</v>
      </c>
      <c r="AB76" s="408">
        <f>(SUMIFS('Forecast capex'!$X$9:$X$1940, 'Forecast capex'!$J$9:$J$1940,AB$123, 'Forecast capex'!$F$9:$F$1940,$E76))/1000</f>
        <v>0</v>
      </c>
      <c r="AC76" s="408">
        <f>(SUMIFS('Forecast capex'!$X$9:$X$1940, 'Forecast capex'!$J$9:$J$1940,AC$123, 'Forecast capex'!$F$9:$F$1940,$E76))/1000</f>
        <v>0</v>
      </c>
      <c r="AD76" s="408">
        <f>(SUMIFS('Forecast capex'!$X$9:$X$1940, 'Forecast capex'!$J$9:$J$1940,AD$123, 'Forecast capex'!$F$9:$F$1940,$E76))/1000</f>
        <v>0</v>
      </c>
      <c r="AE76" s="408">
        <f>(SUMIFS('Forecast capex'!$X$9:$X$1940, 'Forecast capex'!$J$9:$J$1940,AE$123, 'Forecast capex'!$F$9:$F$1940,$E76))/1000</f>
        <v>0</v>
      </c>
      <c r="AF76" s="408">
        <f>(SUMIFS('Forecast capex'!$X$9:$X$1940, 'Forecast capex'!$J$9:$J$1940,AF$123, 'Forecast capex'!$F$9:$F$1940,$E76))/1000</f>
        <v>702.30357235956615</v>
      </c>
      <c r="AG76" s="408">
        <f>(SUMIFS('Forecast capex'!$X$9:$X$1940, 'Forecast capex'!$J$9:$J$1940,AG$123, 'Forecast capex'!$F$9:$F$1940,$E76))/1000</f>
        <v>715.38683735676636</v>
      </c>
      <c r="AH76" s="408">
        <f>SUM(AC76:AG76)</f>
        <v>1417.6904097163324</v>
      </c>
      <c r="AI76" s="528"/>
      <c r="AJ76" s="408">
        <f>(SUMIFS('Forecast capex'!$AC$9:$AC$1940, 'Forecast capex'!$K$9:$K$1940,AJ$123, 'Forecast capex'!$F$9:$F$1940,$E76)+'Schedule E calculations'!M311*'Schedule E calculations'!M$350)/1000</f>
        <v>1061.749681648864</v>
      </c>
      <c r="AK76" s="408">
        <f>(SUMIFS('Forecast capex'!$AC$9:$AC$1940, 'Forecast capex'!$K$9:$K$1940,AK$123, 'Forecast capex'!$F$9:$F$1940,$E76)+'Schedule E calculations'!N311*'Schedule E calculations'!N$350)/1000</f>
        <v>0</v>
      </c>
      <c r="AL76" s="408">
        <f>(SUMIFS('Forecast capex'!$AC$9:$AC$1940, 'Forecast capex'!$K$9:$K$1940,AL$123, 'Forecast capex'!$F$9:$F$1940,$E76)+'Schedule E calculations'!O311*'Schedule E calculations'!O$350)/1000</f>
        <v>0</v>
      </c>
      <c r="AM76" s="408">
        <f>(SUMIFS('Forecast capex'!$AC$9:$AC$1940, 'Forecast capex'!$K$9:$K$1940,AM$123, 'Forecast capex'!$F$9:$F$1940,$E76)+'Schedule E calculations'!P311*'Schedule E calculations'!P$350)/1000</f>
        <v>0</v>
      </c>
      <c r="AN76" s="408">
        <f>(SUMIFS('Forecast capex'!$AC$9:$AC$1940, 'Forecast capex'!$K$9:$K$1940,AN$123, 'Forecast capex'!$F$9:$F$1940,$E76)+'Schedule E calculations'!Q311*'Schedule E calculations'!Q$350)/1000</f>
        <v>0</v>
      </c>
      <c r="AO76" s="408">
        <f>(SUMIFS('Forecast capex'!$AC$9:$AC$1940, 'Forecast capex'!$K$9:$K$1940,AO$123, 'Forecast capex'!$F$9:$F$1940,$E76)+'Schedule E calculations'!R311*'Schedule E calculations'!R$350)/1000</f>
        <v>722.01499603474429</v>
      </c>
      <c r="AP76" s="408">
        <f>(SUMIFS('Forecast capex'!$AC$9:$AC$1940, 'Forecast capex'!$K$9:$K$1940,AP$123, 'Forecast capex'!$F$9:$F$1940,$E76)+'Schedule E calculations'!S311*'Schedule E calculations'!S$350)/1000</f>
        <v>746.26721340330039</v>
      </c>
      <c r="AQ76" s="408">
        <f>SUM(AL76:AP76)</f>
        <v>1468.2822094380447</v>
      </c>
      <c r="AR76" s="381"/>
    </row>
    <row r="77" spans="2:52" ht="15" customHeight="1" thickBot="1" x14ac:dyDescent="0.25">
      <c r="B77" s="398"/>
      <c r="C77" s="488"/>
      <c r="D77" s="488"/>
      <c r="E77" s="541" t="s">
        <v>645</v>
      </c>
      <c r="F77" s="455"/>
      <c r="G77" s="455"/>
      <c r="H77" s="553"/>
      <c r="I77" s="553"/>
      <c r="J77" s="553"/>
      <c r="K77" s="553"/>
      <c r="L77" s="553"/>
      <c r="M77" s="553"/>
      <c r="N77" s="553"/>
      <c r="O77" s="553"/>
      <c r="P77" s="553"/>
      <c r="Q77" s="553"/>
      <c r="R77" s="553"/>
      <c r="S77" s="553"/>
      <c r="T77" s="554"/>
      <c r="U77" s="381"/>
      <c r="V77" s="553"/>
      <c r="W77" s="553"/>
      <c r="X77" s="553"/>
      <c r="Y77" s="553"/>
      <c r="Z77" s="553"/>
      <c r="AA77" s="553"/>
      <c r="AB77" s="553"/>
      <c r="AC77" s="553"/>
      <c r="AD77" s="553"/>
      <c r="AE77" s="553"/>
      <c r="AF77" s="553"/>
      <c r="AG77" s="553"/>
      <c r="AH77" s="553"/>
      <c r="AI77" s="528"/>
      <c r="AJ77" s="553"/>
      <c r="AK77" s="553"/>
      <c r="AL77" s="553"/>
      <c r="AM77" s="553"/>
      <c r="AN77" s="553"/>
      <c r="AO77" s="553"/>
      <c r="AP77" s="553"/>
      <c r="AQ77" s="553"/>
      <c r="AR77" s="381"/>
    </row>
    <row r="78" spans="2:52" s="420" customFormat="1" ht="15" customHeight="1" thickBot="1" x14ac:dyDescent="0.3">
      <c r="B78" s="490"/>
      <c r="C78" s="504"/>
      <c r="D78" s="564"/>
      <c r="E78" s="572" t="s">
        <v>651</v>
      </c>
      <c r="F78" s="548"/>
      <c r="G78" s="548"/>
      <c r="H78" s="543">
        <f>SUM(H75:H76)</f>
        <v>2068.8162870238125</v>
      </c>
      <c r="I78" s="543">
        <f t="shared" ref="I78:S78" si="30">SUM(I75:I76)</f>
        <v>2047.0778419287617</v>
      </c>
      <c r="J78" s="543">
        <f t="shared" si="30"/>
        <v>2238.5378962222067</v>
      </c>
      <c r="K78" s="543">
        <f t="shared" si="30"/>
        <v>1756.0474686034322</v>
      </c>
      <c r="L78" s="543">
        <f t="shared" si="30"/>
        <v>1929.5654508604007</v>
      </c>
      <c r="M78" s="543">
        <f t="shared" si="30"/>
        <v>1157.4593187561036</v>
      </c>
      <c r="N78" s="543">
        <f t="shared" si="30"/>
        <v>236.45333333333332</v>
      </c>
      <c r="O78" s="543">
        <f t="shared" si="30"/>
        <v>435.17441666666662</v>
      </c>
      <c r="P78" s="543">
        <f t="shared" si="30"/>
        <v>435.17441666666662</v>
      </c>
      <c r="Q78" s="543">
        <f t="shared" si="30"/>
        <v>214.32</v>
      </c>
      <c r="R78" s="543">
        <f t="shared" si="30"/>
        <v>858.70499999999993</v>
      </c>
      <c r="S78" s="543">
        <f t="shared" si="30"/>
        <v>644.38499999999999</v>
      </c>
      <c r="T78" s="543">
        <f>SUM(O78:S78)</f>
        <v>2587.7588333333333</v>
      </c>
      <c r="U78" s="548"/>
      <c r="V78" s="543">
        <f>SUM(V76:V76)</f>
        <v>1943.5143960545236</v>
      </c>
      <c r="W78" s="543">
        <f>SUM(W76:W76)</f>
        <v>1929.5216418164118</v>
      </c>
      <c r="X78" s="543">
        <f>SUM(X76:X76)</f>
        <v>2132.8355155579193</v>
      </c>
      <c r="Y78" s="543">
        <f>SUM(Y76:Y76)</f>
        <v>1699.6147007685893</v>
      </c>
      <c r="Z78" s="543">
        <f>SUM(Z76:Z76)</f>
        <v>1899.1813355762688</v>
      </c>
      <c r="AA78" s="543">
        <f t="shared" ref="AA78:AG78" si="31">SUM(AA75:AA76)</f>
        <v>1157.4593187561036</v>
      </c>
      <c r="AB78" s="543">
        <f t="shared" si="31"/>
        <v>241.3279268997928</v>
      </c>
      <c r="AC78" s="543">
        <f t="shared" si="31"/>
        <v>451.70312868227666</v>
      </c>
      <c r="AD78" s="543">
        <f t="shared" si="31"/>
        <v>459.26426766978062</v>
      </c>
      <c r="AE78" s="543">
        <f t="shared" si="31"/>
        <v>230.00140349560752</v>
      </c>
      <c r="AF78" s="543">
        <f t="shared" si="31"/>
        <v>936.32839434401308</v>
      </c>
      <c r="AG78" s="543">
        <f t="shared" si="31"/>
        <v>715.38683735676636</v>
      </c>
      <c r="AH78" s="543">
        <f>SUM(AC78:AG78)</f>
        <v>2792.6840315484442</v>
      </c>
      <c r="AI78" s="544"/>
      <c r="AJ78" s="543">
        <f>SUM(AJ75:AJ76)</f>
        <v>1061.749681648864</v>
      </c>
      <c r="AK78" s="543">
        <f t="shared" ref="AK78:AP78" si="32">SUM(AK75:AK76)</f>
        <v>245.53482592797496</v>
      </c>
      <c r="AL78" s="543">
        <f t="shared" si="32"/>
        <v>487.86531268445901</v>
      </c>
      <c r="AM78" s="543">
        <f t="shared" si="32"/>
        <v>468.98429857260305</v>
      </c>
      <c r="AN78" s="543">
        <f t="shared" si="32"/>
        <v>227.95771529116973</v>
      </c>
      <c r="AO78" s="543">
        <f t="shared" si="32"/>
        <v>962.60551419546209</v>
      </c>
      <c r="AP78" s="543">
        <f t="shared" si="32"/>
        <v>746.26721340330039</v>
      </c>
      <c r="AQ78" s="543">
        <f>SUM(AL78:AP78)</f>
        <v>2893.6800541469943</v>
      </c>
      <c r="AR78" s="548"/>
      <c r="AZ78" s="421"/>
    </row>
    <row r="79" spans="2:52" ht="15" customHeight="1" thickBot="1" x14ac:dyDescent="0.25">
      <c r="B79" s="398"/>
      <c r="C79" s="488"/>
      <c r="D79" s="540" t="s">
        <v>601</v>
      </c>
      <c r="E79" s="488" t="s">
        <v>652</v>
      </c>
      <c r="F79" s="381"/>
      <c r="G79" s="381"/>
      <c r="H79" s="511">
        <v>0</v>
      </c>
      <c r="I79" s="511">
        <v>5.2621882418527095</v>
      </c>
      <c r="J79" s="511">
        <v>41.864096868542262</v>
      </c>
      <c r="K79" s="511">
        <v>0</v>
      </c>
      <c r="L79" s="511">
        <v>24.434551359134478</v>
      </c>
      <c r="M79" s="408">
        <f>'Capex summary'!M73/1000</f>
        <v>0</v>
      </c>
      <c r="N79" s="408">
        <f>'Capex summary'!N73/1000</f>
        <v>0</v>
      </c>
      <c r="O79" s="408">
        <f>'Capex summary'!O73/1000</f>
        <v>0</v>
      </c>
      <c r="P79" s="408">
        <f>'Capex summary'!P73/1000</f>
        <v>0</v>
      </c>
      <c r="Q79" s="408">
        <f>'Capex summary'!Q73/1000</f>
        <v>0</v>
      </c>
      <c r="R79" s="408">
        <f>'Capex summary'!R73/1000</f>
        <v>0</v>
      </c>
      <c r="S79" s="408">
        <f>'Capex summary'!S73/1000</f>
        <v>0</v>
      </c>
      <c r="T79" s="408">
        <f>SUM(O79:S79)</f>
        <v>0</v>
      </c>
      <c r="U79" s="381"/>
      <c r="V79" s="408">
        <f>H79*'Historical capex'!H$155</f>
        <v>0</v>
      </c>
      <c r="W79" s="408">
        <f>I79*'Historical capex'!I$155</f>
        <v>4.96</v>
      </c>
      <c r="X79" s="408">
        <f>J79*'Historical capex'!J$155</f>
        <v>39.887299999999996</v>
      </c>
      <c r="Y79" s="408">
        <f>K79*'Historical capex'!K$155</f>
        <v>0</v>
      </c>
      <c r="Z79" s="408">
        <f>L79*'Historical capex'!L$155</f>
        <v>24.049789999999998</v>
      </c>
      <c r="AA79" s="408">
        <f>'Capex summary'!M93/1000</f>
        <v>0</v>
      </c>
      <c r="AB79" s="408">
        <f>'Capex summary'!N93/1000</f>
        <v>0</v>
      </c>
      <c r="AC79" s="408">
        <f>'Capex summary'!O93/1000</f>
        <v>0</v>
      </c>
      <c r="AD79" s="408">
        <f>'Capex summary'!P93/1000</f>
        <v>0</v>
      </c>
      <c r="AE79" s="408">
        <f>'Capex summary'!Q93/1000</f>
        <v>0</v>
      </c>
      <c r="AF79" s="408">
        <f>'Capex summary'!R93/1000</f>
        <v>0</v>
      </c>
      <c r="AG79" s="408">
        <f>'Capex summary'!S93/1000</f>
        <v>0</v>
      </c>
      <c r="AH79" s="408">
        <f>SUM(AC79:AG79)</f>
        <v>0</v>
      </c>
      <c r="AI79" s="528"/>
      <c r="AJ79" s="408">
        <f>'Commissioned assets summary'!M82/1000</f>
        <v>0</v>
      </c>
      <c r="AK79" s="408">
        <f>'Commissioned assets summary'!N82/1000</f>
        <v>0</v>
      </c>
      <c r="AL79" s="408">
        <f>'Commissioned assets summary'!O82/1000</f>
        <v>0</v>
      </c>
      <c r="AM79" s="408">
        <f>'Commissioned assets summary'!P82/1000</f>
        <v>0</v>
      </c>
      <c r="AN79" s="408">
        <f>'Commissioned assets summary'!Q82/1000</f>
        <v>0</v>
      </c>
      <c r="AO79" s="408">
        <f>'Commissioned assets summary'!R82/1000</f>
        <v>0</v>
      </c>
      <c r="AP79" s="408">
        <f>'Commissioned assets summary'!S82/1000</f>
        <v>0</v>
      </c>
      <c r="AQ79" s="408">
        <f>SUM(AL79:AP79)</f>
        <v>0</v>
      </c>
      <c r="AR79" s="381"/>
    </row>
    <row r="80" spans="2:52" s="420" customFormat="1" ht="15" customHeight="1" thickBot="1" x14ac:dyDescent="0.3">
      <c r="B80" s="490"/>
      <c r="C80" s="504"/>
      <c r="D80" s="504"/>
      <c r="E80" s="529" t="s">
        <v>653</v>
      </c>
      <c r="F80" s="548"/>
      <c r="G80" s="548"/>
      <c r="H80" s="543">
        <f t="shared" ref="H80:T80" si="33">H78-H79</f>
        <v>2068.8162870238125</v>
      </c>
      <c r="I80" s="543">
        <f t="shared" si="33"/>
        <v>2041.8156536869089</v>
      </c>
      <c r="J80" s="543">
        <f t="shared" si="33"/>
        <v>2196.6737993536644</v>
      </c>
      <c r="K80" s="543">
        <f t="shared" si="33"/>
        <v>1756.0474686034322</v>
      </c>
      <c r="L80" s="543">
        <f t="shared" si="33"/>
        <v>1905.1308995012662</v>
      </c>
      <c r="M80" s="543">
        <f t="shared" si="33"/>
        <v>1157.4593187561036</v>
      </c>
      <c r="N80" s="543">
        <f t="shared" si="33"/>
        <v>236.45333333333332</v>
      </c>
      <c r="O80" s="543">
        <f t="shared" si="33"/>
        <v>435.17441666666662</v>
      </c>
      <c r="P80" s="543">
        <f t="shared" si="33"/>
        <v>435.17441666666662</v>
      </c>
      <c r="Q80" s="543">
        <f t="shared" si="33"/>
        <v>214.32</v>
      </c>
      <c r="R80" s="543">
        <f t="shared" si="33"/>
        <v>858.70499999999993</v>
      </c>
      <c r="S80" s="543">
        <f t="shared" si="33"/>
        <v>644.38499999999999</v>
      </c>
      <c r="T80" s="543">
        <f t="shared" si="33"/>
        <v>2587.7588333333333</v>
      </c>
      <c r="U80" s="548"/>
      <c r="V80" s="543">
        <f t="shared" ref="V80:AF80" si="34">V78-V79</f>
        <v>1943.5143960545236</v>
      </c>
      <c r="W80" s="543">
        <f t="shared" si="34"/>
        <v>1924.5616418164118</v>
      </c>
      <c r="X80" s="543">
        <f t="shared" si="34"/>
        <v>2092.9482155579194</v>
      </c>
      <c r="Y80" s="543">
        <f t="shared" si="34"/>
        <v>1699.6147007685893</v>
      </c>
      <c r="Z80" s="543">
        <f t="shared" si="34"/>
        <v>1875.1315455762688</v>
      </c>
      <c r="AA80" s="543">
        <f t="shared" si="34"/>
        <v>1157.4593187561036</v>
      </c>
      <c r="AB80" s="543">
        <f t="shared" si="34"/>
        <v>241.3279268997928</v>
      </c>
      <c r="AC80" s="543">
        <f t="shared" si="34"/>
        <v>451.70312868227666</v>
      </c>
      <c r="AD80" s="543">
        <f t="shared" si="34"/>
        <v>459.26426766978062</v>
      </c>
      <c r="AE80" s="543">
        <f t="shared" si="34"/>
        <v>230.00140349560752</v>
      </c>
      <c r="AF80" s="543">
        <f t="shared" si="34"/>
        <v>936.32839434401308</v>
      </c>
      <c r="AG80" s="543">
        <f>AG78-AG79</f>
        <v>715.38683735676636</v>
      </c>
      <c r="AH80" s="543">
        <f>AH78-AH79</f>
        <v>2792.6840315484442</v>
      </c>
      <c r="AI80" s="544"/>
      <c r="AJ80" s="543">
        <f t="shared" ref="AJ80:AQ80" si="35">AJ78-AJ79</f>
        <v>1061.749681648864</v>
      </c>
      <c r="AK80" s="543">
        <f t="shared" si="35"/>
        <v>245.53482592797496</v>
      </c>
      <c r="AL80" s="543">
        <f t="shared" si="35"/>
        <v>487.86531268445901</v>
      </c>
      <c r="AM80" s="543">
        <f t="shared" si="35"/>
        <v>468.98429857260305</v>
      </c>
      <c r="AN80" s="543">
        <f t="shared" si="35"/>
        <v>227.95771529116973</v>
      </c>
      <c r="AO80" s="543">
        <f t="shared" si="35"/>
        <v>962.60551419546209</v>
      </c>
      <c r="AP80" s="543">
        <f t="shared" si="35"/>
        <v>746.26721340330039</v>
      </c>
      <c r="AQ80" s="543">
        <f t="shared" si="35"/>
        <v>2893.6800541469943</v>
      </c>
      <c r="AR80" s="548"/>
      <c r="AZ80" s="421"/>
    </row>
    <row r="81" spans="2:52" ht="15" customHeight="1" x14ac:dyDescent="0.2">
      <c r="B81" s="398"/>
      <c r="C81" s="488"/>
      <c r="D81" s="488"/>
      <c r="E81" s="529"/>
      <c r="F81" s="455"/>
      <c r="G81" s="455"/>
      <c r="H81" s="566"/>
      <c r="I81" s="566"/>
      <c r="J81" s="566"/>
      <c r="K81" s="566"/>
      <c r="L81" s="566"/>
      <c r="M81" s="566"/>
      <c r="N81" s="566"/>
      <c r="O81" s="566"/>
      <c r="P81" s="566"/>
      <c r="Q81" s="566"/>
      <c r="R81" s="566"/>
      <c r="S81" s="566"/>
      <c r="T81" s="567"/>
      <c r="U81" s="381"/>
      <c r="V81" s="566"/>
      <c r="W81" s="566"/>
      <c r="X81" s="566"/>
      <c r="Y81" s="566"/>
      <c r="Z81" s="566"/>
      <c r="AA81" s="566"/>
      <c r="AB81" s="566"/>
      <c r="AC81" s="566"/>
      <c r="AD81" s="566"/>
      <c r="AE81" s="566"/>
      <c r="AF81" s="566"/>
      <c r="AG81" s="566"/>
      <c r="AH81" s="566"/>
      <c r="AI81" s="528"/>
      <c r="AJ81" s="566"/>
      <c r="AK81" s="566"/>
      <c r="AL81" s="566"/>
      <c r="AM81" s="566"/>
      <c r="AN81" s="566"/>
      <c r="AO81" s="566"/>
      <c r="AP81" s="566"/>
      <c r="AQ81" s="566"/>
      <c r="AR81" s="381"/>
    </row>
    <row r="82" spans="2:52" ht="15" customHeight="1" x14ac:dyDescent="0.2">
      <c r="B82" s="398"/>
      <c r="C82" s="488"/>
      <c r="D82" s="571" t="s">
        <v>654</v>
      </c>
      <c r="E82" s="537"/>
      <c r="F82" s="381"/>
      <c r="G82" s="381"/>
      <c r="H82" s="485"/>
      <c r="I82" s="485"/>
      <c r="J82" s="485"/>
      <c r="K82" s="485"/>
      <c r="L82" s="485"/>
      <c r="M82" s="485"/>
      <c r="N82" s="485"/>
      <c r="O82" s="485"/>
      <c r="P82" s="485"/>
      <c r="Q82" s="485"/>
      <c r="R82" s="485"/>
      <c r="S82" s="485"/>
      <c r="T82" s="550"/>
      <c r="U82" s="532"/>
      <c r="V82" s="485"/>
      <c r="W82" s="485"/>
      <c r="X82" s="485"/>
      <c r="Y82" s="485"/>
      <c r="Z82" s="485"/>
      <c r="AA82" s="485"/>
      <c r="AB82" s="485"/>
      <c r="AC82" s="485"/>
      <c r="AD82" s="485"/>
      <c r="AE82" s="485"/>
      <c r="AF82" s="485"/>
      <c r="AG82" s="485"/>
      <c r="AH82" s="485"/>
      <c r="AI82" s="528"/>
      <c r="AJ82" s="381"/>
      <c r="AK82" s="381"/>
      <c r="AL82" s="381"/>
      <c r="AM82" s="381"/>
      <c r="AN82" s="381"/>
      <c r="AO82" s="381"/>
      <c r="AP82" s="381"/>
      <c r="AQ82" s="381"/>
      <c r="AR82" s="381"/>
    </row>
    <row r="83" spans="2:52" ht="15" customHeight="1" x14ac:dyDescent="0.2">
      <c r="B83" s="398"/>
      <c r="C83" s="488"/>
      <c r="D83" s="488"/>
      <c r="E83" s="557" t="s">
        <v>644</v>
      </c>
      <c r="F83" s="381"/>
      <c r="G83" s="381"/>
      <c r="H83" s="485"/>
      <c r="I83" s="485"/>
      <c r="J83" s="485"/>
      <c r="K83" s="485"/>
      <c r="L83" s="485"/>
      <c r="M83" s="485"/>
      <c r="N83" s="485"/>
      <c r="O83" s="485"/>
      <c r="P83" s="485"/>
      <c r="Q83" s="485"/>
      <c r="R83" s="485"/>
      <c r="S83" s="485"/>
      <c r="T83" s="550"/>
      <c r="U83" s="532"/>
      <c r="V83" s="485"/>
      <c r="W83" s="485"/>
      <c r="X83" s="485"/>
      <c r="Y83" s="485"/>
      <c r="Z83" s="485"/>
      <c r="AA83" s="485"/>
      <c r="AB83" s="485"/>
      <c r="AC83" s="485"/>
      <c r="AD83" s="485"/>
      <c r="AE83" s="485"/>
      <c r="AF83" s="485"/>
      <c r="AG83" s="485"/>
      <c r="AH83" s="485"/>
      <c r="AI83" s="528"/>
      <c r="AJ83" s="381"/>
      <c r="AK83" s="381"/>
      <c r="AL83" s="381"/>
      <c r="AM83" s="381"/>
      <c r="AN83" s="381"/>
      <c r="AO83" s="381"/>
      <c r="AP83" s="381"/>
      <c r="AQ83" s="381"/>
      <c r="AR83" s="381"/>
    </row>
    <row r="84" spans="2:52" ht="15" customHeight="1" x14ac:dyDescent="0.2">
      <c r="B84" s="398"/>
      <c r="C84" s="488"/>
      <c r="D84" s="510"/>
      <c r="E84" s="539"/>
      <c r="F84" s="381"/>
      <c r="G84" s="381"/>
      <c r="H84" s="410">
        <v>0</v>
      </c>
      <c r="I84" s="410">
        <v>0</v>
      </c>
      <c r="J84" s="410">
        <v>0</v>
      </c>
      <c r="K84" s="410">
        <v>0</v>
      </c>
      <c r="L84" s="410">
        <v>0</v>
      </c>
      <c r="M84" s="410">
        <v>0</v>
      </c>
      <c r="N84" s="410">
        <v>0</v>
      </c>
      <c r="O84" s="410">
        <v>0</v>
      </c>
      <c r="P84" s="410">
        <v>0</v>
      </c>
      <c r="Q84" s="410">
        <v>0</v>
      </c>
      <c r="R84" s="410">
        <v>0</v>
      </c>
      <c r="S84" s="410">
        <v>0</v>
      </c>
      <c r="T84" s="410">
        <v>0</v>
      </c>
      <c r="U84" s="381"/>
      <c r="V84" s="410">
        <v>0</v>
      </c>
      <c r="W84" s="410">
        <v>0</v>
      </c>
      <c r="X84" s="410">
        <v>0</v>
      </c>
      <c r="Y84" s="410">
        <v>0</v>
      </c>
      <c r="Z84" s="410">
        <v>0</v>
      </c>
      <c r="AA84" s="410">
        <v>0</v>
      </c>
      <c r="AB84" s="410">
        <v>0</v>
      </c>
      <c r="AC84" s="410">
        <v>0</v>
      </c>
      <c r="AD84" s="410">
        <v>0</v>
      </c>
      <c r="AE84" s="410">
        <v>0</v>
      </c>
      <c r="AF84" s="410">
        <v>0</v>
      </c>
      <c r="AG84" s="410">
        <v>0</v>
      </c>
      <c r="AH84" s="410">
        <v>0</v>
      </c>
      <c r="AI84" s="528"/>
      <c r="AJ84" s="410">
        <v>0</v>
      </c>
      <c r="AK84" s="410">
        <v>0</v>
      </c>
      <c r="AL84" s="410">
        <v>0</v>
      </c>
      <c r="AM84" s="410">
        <v>0</v>
      </c>
      <c r="AN84" s="410">
        <v>0</v>
      </c>
      <c r="AO84" s="410">
        <v>0</v>
      </c>
      <c r="AP84" s="410">
        <v>0</v>
      </c>
      <c r="AQ84" s="410">
        <v>0</v>
      </c>
      <c r="AR84" s="381"/>
    </row>
    <row r="85" spans="2:52" ht="15" customHeight="1" x14ac:dyDescent="0.2">
      <c r="B85" s="398"/>
      <c r="C85" s="488"/>
      <c r="D85" s="510"/>
      <c r="E85" s="539"/>
      <c r="F85" s="381"/>
      <c r="G85" s="381"/>
      <c r="H85" s="410">
        <v>0</v>
      </c>
      <c r="I85" s="410">
        <v>0</v>
      </c>
      <c r="J85" s="410">
        <v>0</v>
      </c>
      <c r="K85" s="410">
        <v>0</v>
      </c>
      <c r="L85" s="410">
        <v>0</v>
      </c>
      <c r="M85" s="410">
        <v>0</v>
      </c>
      <c r="N85" s="410">
        <v>0</v>
      </c>
      <c r="O85" s="410">
        <v>0</v>
      </c>
      <c r="P85" s="410">
        <v>0</v>
      </c>
      <c r="Q85" s="410">
        <v>0</v>
      </c>
      <c r="R85" s="410">
        <v>0</v>
      </c>
      <c r="S85" s="410">
        <v>0</v>
      </c>
      <c r="T85" s="410">
        <v>0</v>
      </c>
      <c r="U85" s="381"/>
      <c r="V85" s="410">
        <v>0</v>
      </c>
      <c r="W85" s="410">
        <v>0</v>
      </c>
      <c r="X85" s="410">
        <v>0</v>
      </c>
      <c r="Y85" s="410">
        <v>0</v>
      </c>
      <c r="Z85" s="410">
        <v>0</v>
      </c>
      <c r="AA85" s="410">
        <v>0</v>
      </c>
      <c r="AB85" s="410">
        <v>0</v>
      </c>
      <c r="AC85" s="410">
        <v>0</v>
      </c>
      <c r="AD85" s="410">
        <v>0</v>
      </c>
      <c r="AE85" s="410">
        <v>0</v>
      </c>
      <c r="AF85" s="410">
        <v>0</v>
      </c>
      <c r="AG85" s="410">
        <v>0</v>
      </c>
      <c r="AH85" s="410">
        <v>0</v>
      </c>
      <c r="AI85" s="528"/>
      <c r="AJ85" s="410">
        <v>0</v>
      </c>
      <c r="AK85" s="410">
        <v>0</v>
      </c>
      <c r="AL85" s="410">
        <v>0</v>
      </c>
      <c r="AM85" s="410">
        <v>0</v>
      </c>
      <c r="AN85" s="410">
        <v>0</v>
      </c>
      <c r="AO85" s="410">
        <v>0</v>
      </c>
      <c r="AP85" s="410">
        <v>0</v>
      </c>
      <c r="AQ85" s="410">
        <v>0</v>
      </c>
      <c r="AR85" s="381"/>
    </row>
    <row r="86" spans="2:52" ht="15" customHeight="1" thickBot="1" x14ac:dyDescent="0.25">
      <c r="B86" s="398"/>
      <c r="C86" s="488"/>
      <c r="D86" s="488"/>
      <c r="E86" s="541" t="s">
        <v>645</v>
      </c>
      <c r="F86" s="455"/>
      <c r="G86" s="455"/>
      <c r="H86" s="553"/>
      <c r="I86" s="553"/>
      <c r="J86" s="553"/>
      <c r="K86" s="553"/>
      <c r="L86" s="553"/>
      <c r="M86" s="553"/>
      <c r="N86" s="553"/>
      <c r="O86" s="553"/>
      <c r="P86" s="553"/>
      <c r="Q86" s="553"/>
      <c r="R86" s="553"/>
      <c r="S86" s="553"/>
      <c r="T86" s="554"/>
      <c r="U86" s="381"/>
      <c r="V86" s="553"/>
      <c r="W86" s="553"/>
      <c r="X86" s="553"/>
      <c r="Y86" s="553"/>
      <c r="Z86" s="553"/>
      <c r="AA86" s="553"/>
      <c r="AB86" s="553"/>
      <c r="AC86" s="553"/>
      <c r="AD86" s="553"/>
      <c r="AE86" s="553"/>
      <c r="AF86" s="553"/>
      <c r="AG86" s="553"/>
      <c r="AH86" s="553"/>
      <c r="AI86" s="528"/>
      <c r="AJ86" s="553"/>
      <c r="AK86" s="553"/>
      <c r="AL86" s="553"/>
      <c r="AM86" s="553"/>
      <c r="AN86" s="553"/>
      <c r="AO86" s="553"/>
      <c r="AP86" s="553"/>
      <c r="AQ86" s="553"/>
      <c r="AR86" s="381"/>
    </row>
    <row r="87" spans="2:52" s="420" customFormat="1" ht="15" customHeight="1" thickBot="1" x14ac:dyDescent="0.3">
      <c r="B87" s="490"/>
      <c r="C87" s="504"/>
      <c r="D87" s="564"/>
      <c r="E87" s="572" t="s">
        <v>655</v>
      </c>
      <c r="F87" s="548"/>
      <c r="G87" s="548"/>
      <c r="H87" s="543">
        <f>SUM(H84:H85)</f>
        <v>0</v>
      </c>
      <c r="I87" s="543">
        <f t="shared" ref="I87:S87" si="36">SUM(I84:I85)</f>
        <v>0</v>
      </c>
      <c r="J87" s="543">
        <f t="shared" si="36"/>
        <v>0</v>
      </c>
      <c r="K87" s="543">
        <f t="shared" si="36"/>
        <v>0</v>
      </c>
      <c r="L87" s="543">
        <f t="shared" si="36"/>
        <v>0</v>
      </c>
      <c r="M87" s="543">
        <f t="shared" si="36"/>
        <v>0</v>
      </c>
      <c r="N87" s="543">
        <f t="shared" si="36"/>
        <v>0</v>
      </c>
      <c r="O87" s="543">
        <f t="shared" si="36"/>
        <v>0</v>
      </c>
      <c r="P87" s="543">
        <f t="shared" si="36"/>
        <v>0</v>
      </c>
      <c r="Q87" s="543">
        <f t="shared" si="36"/>
        <v>0</v>
      </c>
      <c r="R87" s="543">
        <f t="shared" si="36"/>
        <v>0</v>
      </c>
      <c r="S87" s="543">
        <f t="shared" si="36"/>
        <v>0</v>
      </c>
      <c r="T87" s="543">
        <f>SUM(O87:S87)</f>
        <v>0</v>
      </c>
      <c r="U87" s="548"/>
      <c r="V87" s="543">
        <f>SUM(V85:V85)</f>
        <v>0</v>
      </c>
      <c r="W87" s="543">
        <f>SUM(W85:W85)</f>
        <v>0</v>
      </c>
      <c r="X87" s="543">
        <f>SUM(X85:X85)</f>
        <v>0</v>
      </c>
      <c r="Y87" s="543">
        <f>SUM(Y85:Y85)</f>
        <v>0</v>
      </c>
      <c r="Z87" s="543">
        <f>SUM(Z85:Z85)</f>
        <v>0</v>
      </c>
      <c r="AA87" s="543">
        <f t="shared" ref="AA87:AG87" si="37">SUM(AA84:AA85)</f>
        <v>0</v>
      </c>
      <c r="AB87" s="543">
        <f t="shared" si="37"/>
        <v>0</v>
      </c>
      <c r="AC87" s="543">
        <f t="shared" si="37"/>
        <v>0</v>
      </c>
      <c r="AD87" s="543">
        <f t="shared" si="37"/>
        <v>0</v>
      </c>
      <c r="AE87" s="543">
        <f t="shared" si="37"/>
        <v>0</v>
      </c>
      <c r="AF87" s="543">
        <f t="shared" si="37"/>
        <v>0</v>
      </c>
      <c r="AG87" s="543">
        <f t="shared" si="37"/>
        <v>0</v>
      </c>
      <c r="AH87" s="543">
        <f>SUM(AC87:AG87)</f>
        <v>0</v>
      </c>
      <c r="AI87" s="544"/>
      <c r="AJ87" s="543">
        <f>SUM(AJ84:AJ85)</f>
        <v>0</v>
      </c>
      <c r="AK87" s="543">
        <f t="shared" ref="AK87:AP87" si="38">SUM(AK84:AK85)</f>
        <v>0</v>
      </c>
      <c r="AL87" s="543">
        <f t="shared" si="38"/>
        <v>0</v>
      </c>
      <c r="AM87" s="543">
        <f t="shared" si="38"/>
        <v>0</v>
      </c>
      <c r="AN87" s="543">
        <f t="shared" si="38"/>
        <v>0</v>
      </c>
      <c r="AO87" s="543">
        <f t="shared" si="38"/>
        <v>0</v>
      </c>
      <c r="AP87" s="543">
        <f t="shared" si="38"/>
        <v>0</v>
      </c>
      <c r="AQ87" s="543">
        <f>SUM(AL87:AP87)</f>
        <v>0</v>
      </c>
      <c r="AR87" s="548"/>
      <c r="AZ87" s="421"/>
    </row>
    <row r="88" spans="2:52" ht="15" customHeight="1" thickBot="1" x14ac:dyDescent="0.25">
      <c r="B88" s="398"/>
      <c r="C88" s="488"/>
      <c r="D88" s="540" t="s">
        <v>601</v>
      </c>
      <c r="E88" s="488" t="s">
        <v>656</v>
      </c>
      <c r="F88" s="381"/>
      <c r="G88" s="381"/>
      <c r="H88" s="410">
        <v>0</v>
      </c>
      <c r="I88" s="410">
        <v>0</v>
      </c>
      <c r="J88" s="410">
        <v>0</v>
      </c>
      <c r="K88" s="410">
        <v>0</v>
      </c>
      <c r="L88" s="410">
        <v>0</v>
      </c>
      <c r="M88" s="410">
        <v>0</v>
      </c>
      <c r="N88" s="410">
        <v>0</v>
      </c>
      <c r="O88" s="410">
        <v>0</v>
      </c>
      <c r="P88" s="410">
        <v>0</v>
      </c>
      <c r="Q88" s="410">
        <v>0</v>
      </c>
      <c r="R88" s="410">
        <v>0</v>
      </c>
      <c r="S88" s="410">
        <v>0</v>
      </c>
      <c r="T88" s="410">
        <v>0</v>
      </c>
      <c r="U88" s="381"/>
      <c r="V88" s="410">
        <v>0</v>
      </c>
      <c r="W88" s="410">
        <v>0</v>
      </c>
      <c r="X88" s="410">
        <v>0</v>
      </c>
      <c r="Y88" s="410">
        <v>0</v>
      </c>
      <c r="Z88" s="410">
        <v>0</v>
      </c>
      <c r="AA88" s="410">
        <v>0</v>
      </c>
      <c r="AB88" s="410">
        <v>0</v>
      </c>
      <c r="AC88" s="410">
        <v>0</v>
      </c>
      <c r="AD88" s="410">
        <v>0</v>
      </c>
      <c r="AE88" s="410">
        <v>0</v>
      </c>
      <c r="AF88" s="410">
        <v>0</v>
      </c>
      <c r="AG88" s="410">
        <v>0</v>
      </c>
      <c r="AH88" s="410">
        <v>0</v>
      </c>
      <c r="AI88" s="528"/>
      <c r="AJ88" s="410">
        <v>0</v>
      </c>
      <c r="AK88" s="410">
        <v>0</v>
      </c>
      <c r="AL88" s="410">
        <v>0</v>
      </c>
      <c r="AM88" s="410">
        <v>0</v>
      </c>
      <c r="AN88" s="410">
        <v>0</v>
      </c>
      <c r="AO88" s="410">
        <v>0</v>
      </c>
      <c r="AP88" s="410">
        <v>0</v>
      </c>
      <c r="AQ88" s="410">
        <v>0</v>
      </c>
      <c r="AR88" s="381"/>
    </row>
    <row r="89" spans="2:52" s="420" customFormat="1" ht="15" customHeight="1" thickBot="1" x14ac:dyDescent="0.3">
      <c r="B89" s="490"/>
      <c r="C89" s="504"/>
      <c r="D89" s="504"/>
      <c r="E89" s="529" t="s">
        <v>657</v>
      </c>
      <c r="F89" s="548"/>
      <c r="G89" s="548"/>
      <c r="H89" s="543">
        <f t="shared" ref="H89:T89" si="39">H87-H88</f>
        <v>0</v>
      </c>
      <c r="I89" s="543">
        <f t="shared" si="39"/>
        <v>0</v>
      </c>
      <c r="J89" s="543">
        <f t="shared" si="39"/>
        <v>0</v>
      </c>
      <c r="K89" s="543">
        <f t="shared" si="39"/>
        <v>0</v>
      </c>
      <c r="L89" s="543">
        <f t="shared" si="39"/>
        <v>0</v>
      </c>
      <c r="M89" s="543">
        <f t="shared" si="39"/>
        <v>0</v>
      </c>
      <c r="N89" s="543">
        <f t="shared" si="39"/>
        <v>0</v>
      </c>
      <c r="O89" s="543">
        <f t="shared" si="39"/>
        <v>0</v>
      </c>
      <c r="P89" s="543">
        <f t="shared" si="39"/>
        <v>0</v>
      </c>
      <c r="Q89" s="543">
        <f t="shared" si="39"/>
        <v>0</v>
      </c>
      <c r="R89" s="543">
        <f t="shared" si="39"/>
        <v>0</v>
      </c>
      <c r="S89" s="543">
        <f t="shared" si="39"/>
        <v>0</v>
      </c>
      <c r="T89" s="543">
        <f t="shared" si="39"/>
        <v>0</v>
      </c>
      <c r="U89" s="548"/>
      <c r="V89" s="543">
        <f t="shared" ref="V89:AF89" si="40">V87-V88</f>
        <v>0</v>
      </c>
      <c r="W89" s="543">
        <f t="shared" si="40"/>
        <v>0</v>
      </c>
      <c r="X89" s="543">
        <f t="shared" si="40"/>
        <v>0</v>
      </c>
      <c r="Y89" s="543">
        <f t="shared" si="40"/>
        <v>0</v>
      </c>
      <c r="Z89" s="543">
        <f t="shared" si="40"/>
        <v>0</v>
      </c>
      <c r="AA89" s="543">
        <f t="shared" si="40"/>
        <v>0</v>
      </c>
      <c r="AB89" s="543">
        <f t="shared" si="40"/>
        <v>0</v>
      </c>
      <c r="AC89" s="543">
        <f t="shared" si="40"/>
        <v>0</v>
      </c>
      <c r="AD89" s="543">
        <f t="shared" si="40"/>
        <v>0</v>
      </c>
      <c r="AE89" s="543">
        <f t="shared" si="40"/>
        <v>0</v>
      </c>
      <c r="AF89" s="543">
        <f t="shared" si="40"/>
        <v>0</v>
      </c>
      <c r="AG89" s="543">
        <f>AG87-AG88</f>
        <v>0</v>
      </c>
      <c r="AH89" s="543">
        <f>AH87-AH88</f>
        <v>0</v>
      </c>
      <c r="AI89" s="544"/>
      <c r="AJ89" s="543">
        <f t="shared" ref="AJ89:AQ89" si="41">AJ87-AJ88</f>
        <v>0</v>
      </c>
      <c r="AK89" s="543">
        <f t="shared" si="41"/>
        <v>0</v>
      </c>
      <c r="AL89" s="543">
        <f t="shared" si="41"/>
        <v>0</v>
      </c>
      <c r="AM89" s="543">
        <f t="shared" si="41"/>
        <v>0</v>
      </c>
      <c r="AN89" s="543">
        <f t="shared" si="41"/>
        <v>0</v>
      </c>
      <c r="AO89" s="543">
        <f t="shared" si="41"/>
        <v>0</v>
      </c>
      <c r="AP89" s="543">
        <f t="shared" si="41"/>
        <v>0</v>
      </c>
      <c r="AQ89" s="543">
        <f t="shared" si="41"/>
        <v>0</v>
      </c>
      <c r="AR89" s="548"/>
      <c r="AZ89" s="421"/>
    </row>
    <row r="90" spans="2:52" ht="15" customHeight="1" x14ac:dyDescent="0.2">
      <c r="B90" s="398"/>
      <c r="C90" s="488"/>
      <c r="D90" s="488"/>
      <c r="E90" s="529"/>
      <c r="F90" s="455"/>
      <c r="G90" s="455"/>
      <c r="H90" s="566"/>
      <c r="I90" s="566"/>
      <c r="J90" s="566"/>
      <c r="K90" s="566"/>
      <c r="L90" s="566"/>
      <c r="M90" s="566"/>
      <c r="N90" s="566"/>
      <c r="O90" s="566"/>
      <c r="P90" s="566"/>
      <c r="Q90" s="566"/>
      <c r="R90" s="566"/>
      <c r="S90" s="566"/>
      <c r="T90" s="567"/>
      <c r="U90" s="381"/>
      <c r="V90" s="566"/>
      <c r="W90" s="566"/>
      <c r="X90" s="566"/>
      <c r="Y90" s="566"/>
      <c r="Z90" s="566"/>
      <c r="AA90" s="566"/>
      <c r="AB90" s="566"/>
      <c r="AC90" s="566"/>
      <c r="AD90" s="566"/>
      <c r="AE90" s="566"/>
      <c r="AF90" s="566"/>
      <c r="AG90" s="566"/>
      <c r="AH90" s="566"/>
      <c r="AI90" s="528"/>
      <c r="AJ90" s="566"/>
      <c r="AK90" s="566"/>
      <c r="AL90" s="566"/>
      <c r="AM90" s="566"/>
      <c r="AN90" s="566"/>
      <c r="AO90" s="566"/>
      <c r="AP90" s="566"/>
      <c r="AQ90" s="566"/>
      <c r="AR90" s="381"/>
    </row>
    <row r="91" spans="2:52" ht="15" customHeight="1" x14ac:dyDescent="0.2">
      <c r="B91" s="398"/>
      <c r="C91" s="488"/>
      <c r="D91" s="571" t="s">
        <v>658</v>
      </c>
      <c r="E91" s="537"/>
      <c r="F91" s="381"/>
      <c r="G91" s="381"/>
      <c r="H91" s="485"/>
      <c r="I91" s="485"/>
      <c r="J91" s="485"/>
      <c r="K91" s="485"/>
      <c r="L91" s="485"/>
      <c r="M91" s="485"/>
      <c r="N91" s="485"/>
      <c r="O91" s="485"/>
      <c r="P91" s="485"/>
      <c r="Q91" s="485"/>
      <c r="R91" s="485"/>
      <c r="S91" s="485"/>
      <c r="T91" s="550"/>
      <c r="U91" s="532"/>
      <c r="V91" s="485"/>
      <c r="W91" s="485"/>
      <c r="X91" s="485"/>
      <c r="Y91" s="485"/>
      <c r="Z91" s="485"/>
      <c r="AA91" s="485"/>
      <c r="AB91" s="485"/>
      <c r="AC91" s="485"/>
      <c r="AD91" s="485"/>
      <c r="AE91" s="485"/>
      <c r="AF91" s="485"/>
      <c r="AG91" s="485"/>
      <c r="AH91" s="485"/>
      <c r="AI91" s="528"/>
      <c r="AJ91" s="381"/>
      <c r="AK91" s="381"/>
      <c r="AL91" s="381"/>
      <c r="AM91" s="381"/>
      <c r="AN91" s="381"/>
      <c r="AO91" s="381"/>
      <c r="AP91" s="381"/>
      <c r="AQ91" s="381"/>
      <c r="AR91" s="381"/>
    </row>
    <row r="92" spans="2:52" ht="15" customHeight="1" x14ac:dyDescent="0.2">
      <c r="B92" s="398"/>
      <c r="C92" s="488"/>
      <c r="D92" s="488"/>
      <c r="E92" s="557" t="s">
        <v>644</v>
      </c>
      <c r="F92" s="381"/>
      <c r="G92" s="381"/>
      <c r="H92" s="485"/>
      <c r="I92" s="485"/>
      <c r="J92" s="485"/>
      <c r="K92" s="485"/>
      <c r="L92" s="485"/>
      <c r="M92" s="485"/>
      <c r="N92" s="485"/>
      <c r="O92" s="485"/>
      <c r="P92" s="485"/>
      <c r="Q92" s="485"/>
      <c r="R92" s="485"/>
      <c r="S92" s="485"/>
      <c r="T92" s="550"/>
      <c r="U92" s="532"/>
      <c r="V92" s="485"/>
      <c r="W92" s="485"/>
      <c r="X92" s="485"/>
      <c r="Y92" s="485"/>
      <c r="Z92" s="485"/>
      <c r="AA92" s="485"/>
      <c r="AB92" s="485"/>
      <c r="AC92" s="485"/>
      <c r="AD92" s="485"/>
      <c r="AE92" s="485"/>
      <c r="AF92" s="485"/>
      <c r="AG92" s="485"/>
      <c r="AH92" s="485"/>
      <c r="AI92" s="528"/>
      <c r="AJ92" s="381"/>
      <c r="AK92" s="381"/>
      <c r="AL92" s="381"/>
      <c r="AM92" s="381"/>
      <c r="AN92" s="381"/>
      <c r="AO92" s="381"/>
      <c r="AP92" s="381"/>
      <c r="AQ92" s="381"/>
      <c r="AR92" s="381"/>
    </row>
    <row r="93" spans="2:52" ht="15" customHeight="1" x14ac:dyDescent="0.2">
      <c r="B93" s="398"/>
      <c r="C93" s="488"/>
      <c r="D93" s="510"/>
      <c r="E93" s="539"/>
      <c r="F93" s="381"/>
      <c r="G93" s="381"/>
      <c r="H93" s="410">
        <v>0</v>
      </c>
      <c r="I93" s="410">
        <v>0</v>
      </c>
      <c r="J93" s="410">
        <v>0</v>
      </c>
      <c r="K93" s="410">
        <v>0</v>
      </c>
      <c r="L93" s="410">
        <v>0</v>
      </c>
      <c r="M93" s="410">
        <v>0</v>
      </c>
      <c r="N93" s="410">
        <v>0</v>
      </c>
      <c r="O93" s="410">
        <v>0</v>
      </c>
      <c r="P93" s="410">
        <v>0</v>
      </c>
      <c r="Q93" s="410">
        <v>0</v>
      </c>
      <c r="R93" s="410">
        <v>0</v>
      </c>
      <c r="S93" s="410">
        <v>0</v>
      </c>
      <c r="T93" s="410">
        <v>0</v>
      </c>
      <c r="U93" s="381"/>
      <c r="V93" s="410">
        <v>0</v>
      </c>
      <c r="W93" s="410">
        <v>0</v>
      </c>
      <c r="X93" s="410">
        <v>0</v>
      </c>
      <c r="Y93" s="410">
        <v>0</v>
      </c>
      <c r="Z93" s="410">
        <v>0</v>
      </c>
      <c r="AA93" s="410">
        <v>0</v>
      </c>
      <c r="AB93" s="410">
        <v>0</v>
      </c>
      <c r="AC93" s="410">
        <v>0</v>
      </c>
      <c r="AD93" s="410">
        <v>0</v>
      </c>
      <c r="AE93" s="410">
        <v>0</v>
      </c>
      <c r="AF93" s="410">
        <v>0</v>
      </c>
      <c r="AG93" s="410">
        <v>0</v>
      </c>
      <c r="AH93" s="410">
        <v>0</v>
      </c>
      <c r="AI93" s="528"/>
      <c r="AJ93" s="410">
        <v>0</v>
      </c>
      <c r="AK93" s="410">
        <v>0</v>
      </c>
      <c r="AL93" s="410">
        <v>0</v>
      </c>
      <c r="AM93" s="410">
        <v>0</v>
      </c>
      <c r="AN93" s="410">
        <v>0</v>
      </c>
      <c r="AO93" s="410">
        <v>0</v>
      </c>
      <c r="AP93" s="410">
        <v>0</v>
      </c>
      <c r="AQ93" s="410">
        <v>0</v>
      </c>
      <c r="AR93" s="381"/>
    </row>
    <row r="94" spans="2:52" ht="15" customHeight="1" x14ac:dyDescent="0.2">
      <c r="B94" s="398"/>
      <c r="C94" s="488"/>
      <c r="D94" s="510"/>
      <c r="E94" s="539"/>
      <c r="F94" s="381"/>
      <c r="G94" s="381"/>
      <c r="H94" s="410">
        <v>0</v>
      </c>
      <c r="I94" s="410">
        <v>0</v>
      </c>
      <c r="J94" s="410">
        <v>0</v>
      </c>
      <c r="K94" s="410">
        <v>0</v>
      </c>
      <c r="L94" s="410">
        <v>0</v>
      </c>
      <c r="M94" s="410">
        <v>0</v>
      </c>
      <c r="N94" s="410">
        <v>0</v>
      </c>
      <c r="O94" s="410">
        <v>0</v>
      </c>
      <c r="P94" s="410">
        <v>0</v>
      </c>
      <c r="Q94" s="410">
        <v>0</v>
      </c>
      <c r="R94" s="410">
        <v>0</v>
      </c>
      <c r="S94" s="410">
        <v>0</v>
      </c>
      <c r="T94" s="410">
        <v>0</v>
      </c>
      <c r="U94" s="381"/>
      <c r="V94" s="410">
        <v>0</v>
      </c>
      <c r="W94" s="410">
        <v>0</v>
      </c>
      <c r="X94" s="410">
        <v>0</v>
      </c>
      <c r="Y94" s="410">
        <v>0</v>
      </c>
      <c r="Z94" s="410">
        <v>0</v>
      </c>
      <c r="AA94" s="410">
        <v>0</v>
      </c>
      <c r="AB94" s="410">
        <v>0</v>
      </c>
      <c r="AC94" s="410">
        <v>0</v>
      </c>
      <c r="AD94" s="410">
        <v>0</v>
      </c>
      <c r="AE94" s="410">
        <v>0</v>
      </c>
      <c r="AF94" s="410">
        <v>0</v>
      </c>
      <c r="AG94" s="410">
        <v>0</v>
      </c>
      <c r="AH94" s="410">
        <v>0</v>
      </c>
      <c r="AI94" s="528"/>
      <c r="AJ94" s="410">
        <v>0</v>
      </c>
      <c r="AK94" s="410">
        <v>0</v>
      </c>
      <c r="AL94" s="410">
        <v>0</v>
      </c>
      <c r="AM94" s="410">
        <v>0</v>
      </c>
      <c r="AN94" s="410">
        <v>0</v>
      </c>
      <c r="AO94" s="410">
        <v>0</v>
      </c>
      <c r="AP94" s="410">
        <v>0</v>
      </c>
      <c r="AQ94" s="410">
        <v>0</v>
      </c>
      <c r="AR94" s="381"/>
    </row>
    <row r="95" spans="2:52" ht="15" customHeight="1" thickBot="1" x14ac:dyDescent="0.25">
      <c r="B95" s="398"/>
      <c r="C95" s="488"/>
      <c r="D95" s="488"/>
      <c r="E95" s="541" t="s">
        <v>645</v>
      </c>
      <c r="F95" s="455"/>
      <c r="G95" s="455"/>
      <c r="H95" s="553"/>
      <c r="I95" s="553"/>
      <c r="J95" s="553"/>
      <c r="K95" s="553"/>
      <c r="L95" s="553"/>
      <c r="M95" s="553"/>
      <c r="N95" s="553"/>
      <c r="O95" s="553"/>
      <c r="P95" s="553"/>
      <c r="Q95" s="553"/>
      <c r="R95" s="553"/>
      <c r="S95" s="553"/>
      <c r="T95" s="554"/>
      <c r="U95" s="381"/>
      <c r="V95" s="553"/>
      <c r="W95" s="553"/>
      <c r="X95" s="553"/>
      <c r="Y95" s="553"/>
      <c r="Z95" s="553"/>
      <c r="AA95" s="553"/>
      <c r="AB95" s="553"/>
      <c r="AC95" s="553"/>
      <c r="AD95" s="553"/>
      <c r="AE95" s="553"/>
      <c r="AF95" s="553"/>
      <c r="AG95" s="553"/>
      <c r="AH95" s="553"/>
      <c r="AI95" s="528"/>
      <c r="AJ95" s="553"/>
      <c r="AK95" s="553"/>
      <c r="AL95" s="553"/>
      <c r="AM95" s="553"/>
      <c r="AN95" s="553"/>
      <c r="AO95" s="553"/>
      <c r="AP95" s="553"/>
      <c r="AQ95" s="553"/>
      <c r="AR95" s="381"/>
    </row>
    <row r="96" spans="2:52" s="420" customFormat="1" ht="15" customHeight="1" thickBot="1" x14ac:dyDescent="0.3">
      <c r="B96" s="490"/>
      <c r="C96" s="504"/>
      <c r="D96" s="564"/>
      <c r="E96" s="572" t="s">
        <v>659</v>
      </c>
      <c r="F96" s="548"/>
      <c r="G96" s="548"/>
      <c r="H96" s="543">
        <f>SUM(H93:H94)</f>
        <v>0</v>
      </c>
      <c r="I96" s="543">
        <f t="shared" ref="I96:S96" si="42">SUM(I93:I94)</f>
        <v>0</v>
      </c>
      <c r="J96" s="543">
        <f t="shared" si="42"/>
        <v>0</v>
      </c>
      <c r="K96" s="543">
        <f t="shared" si="42"/>
        <v>0</v>
      </c>
      <c r="L96" s="543">
        <f t="shared" si="42"/>
        <v>0</v>
      </c>
      <c r="M96" s="543">
        <f t="shared" si="42"/>
        <v>0</v>
      </c>
      <c r="N96" s="543">
        <f t="shared" si="42"/>
        <v>0</v>
      </c>
      <c r="O96" s="543">
        <f t="shared" si="42"/>
        <v>0</v>
      </c>
      <c r="P96" s="543">
        <f t="shared" si="42"/>
        <v>0</v>
      </c>
      <c r="Q96" s="543">
        <f t="shared" si="42"/>
        <v>0</v>
      </c>
      <c r="R96" s="543">
        <f t="shared" si="42"/>
        <v>0</v>
      </c>
      <c r="S96" s="543">
        <f t="shared" si="42"/>
        <v>0</v>
      </c>
      <c r="T96" s="543">
        <f>SUM(O96:S96)</f>
        <v>0</v>
      </c>
      <c r="U96" s="548"/>
      <c r="V96" s="543">
        <f>SUM(V94:V94)</f>
        <v>0</v>
      </c>
      <c r="W96" s="543">
        <f>SUM(W94:W94)</f>
        <v>0</v>
      </c>
      <c r="X96" s="543">
        <f>SUM(X94:X94)</f>
        <v>0</v>
      </c>
      <c r="Y96" s="543">
        <f>SUM(Y94:Y94)</f>
        <v>0</v>
      </c>
      <c r="Z96" s="543">
        <f>SUM(Z94:Z94)</f>
        <v>0</v>
      </c>
      <c r="AA96" s="543">
        <f t="shared" ref="AA96:AG96" si="43">SUM(AA93:AA94)</f>
        <v>0</v>
      </c>
      <c r="AB96" s="543">
        <f t="shared" si="43"/>
        <v>0</v>
      </c>
      <c r="AC96" s="543">
        <f t="shared" si="43"/>
        <v>0</v>
      </c>
      <c r="AD96" s="543">
        <f t="shared" si="43"/>
        <v>0</v>
      </c>
      <c r="AE96" s="543">
        <f t="shared" si="43"/>
        <v>0</v>
      </c>
      <c r="AF96" s="543">
        <f t="shared" si="43"/>
        <v>0</v>
      </c>
      <c r="AG96" s="543">
        <f t="shared" si="43"/>
        <v>0</v>
      </c>
      <c r="AH96" s="543">
        <f>SUM(AC96:AG96)</f>
        <v>0</v>
      </c>
      <c r="AI96" s="544"/>
      <c r="AJ96" s="543">
        <f>SUM(AJ93:AJ94)</f>
        <v>0</v>
      </c>
      <c r="AK96" s="543">
        <f t="shared" ref="AK96:AP96" si="44">SUM(AK93:AK94)</f>
        <v>0</v>
      </c>
      <c r="AL96" s="543">
        <f t="shared" si="44"/>
        <v>0</v>
      </c>
      <c r="AM96" s="543">
        <f t="shared" si="44"/>
        <v>0</v>
      </c>
      <c r="AN96" s="543">
        <f t="shared" si="44"/>
        <v>0</v>
      </c>
      <c r="AO96" s="543">
        <f t="shared" si="44"/>
        <v>0</v>
      </c>
      <c r="AP96" s="543">
        <f t="shared" si="44"/>
        <v>0</v>
      </c>
      <c r="AQ96" s="543">
        <f>SUM(AL96:AP96)</f>
        <v>0</v>
      </c>
      <c r="AR96" s="548"/>
      <c r="AZ96" s="421"/>
    </row>
    <row r="97" spans="2:52" ht="15" customHeight="1" thickBot="1" x14ac:dyDescent="0.25">
      <c r="B97" s="398"/>
      <c r="C97" s="488"/>
      <c r="D97" s="540" t="s">
        <v>601</v>
      </c>
      <c r="E97" s="488" t="s">
        <v>660</v>
      </c>
      <c r="F97" s="381"/>
      <c r="G97" s="381"/>
      <c r="H97" s="410">
        <v>0</v>
      </c>
      <c r="I97" s="410">
        <v>0</v>
      </c>
      <c r="J97" s="410">
        <v>0</v>
      </c>
      <c r="K97" s="410">
        <v>0</v>
      </c>
      <c r="L97" s="410">
        <v>0</v>
      </c>
      <c r="M97" s="410">
        <v>0</v>
      </c>
      <c r="N97" s="410">
        <v>0</v>
      </c>
      <c r="O97" s="410">
        <v>0</v>
      </c>
      <c r="P97" s="410">
        <v>0</v>
      </c>
      <c r="Q97" s="410">
        <v>0</v>
      </c>
      <c r="R97" s="410">
        <v>0</v>
      </c>
      <c r="S97" s="410">
        <v>0</v>
      </c>
      <c r="T97" s="410">
        <v>0</v>
      </c>
      <c r="U97" s="381"/>
      <c r="V97" s="410">
        <v>0</v>
      </c>
      <c r="W97" s="410">
        <v>0</v>
      </c>
      <c r="X97" s="410">
        <v>0</v>
      </c>
      <c r="Y97" s="410">
        <v>0</v>
      </c>
      <c r="Z97" s="410">
        <v>0</v>
      </c>
      <c r="AA97" s="410">
        <v>0</v>
      </c>
      <c r="AB97" s="410">
        <v>0</v>
      </c>
      <c r="AC97" s="410">
        <v>0</v>
      </c>
      <c r="AD97" s="410">
        <v>0</v>
      </c>
      <c r="AE97" s="410">
        <v>0</v>
      </c>
      <c r="AF97" s="410">
        <v>0</v>
      </c>
      <c r="AG97" s="410">
        <v>0</v>
      </c>
      <c r="AH97" s="410">
        <v>0</v>
      </c>
      <c r="AI97" s="528"/>
      <c r="AJ97" s="410">
        <v>0</v>
      </c>
      <c r="AK97" s="410">
        <v>0</v>
      </c>
      <c r="AL97" s="410">
        <v>0</v>
      </c>
      <c r="AM97" s="410">
        <v>0</v>
      </c>
      <c r="AN97" s="410">
        <v>0</v>
      </c>
      <c r="AO97" s="410">
        <v>0</v>
      </c>
      <c r="AP97" s="410">
        <v>0</v>
      </c>
      <c r="AQ97" s="410">
        <v>0</v>
      </c>
      <c r="AR97" s="381"/>
    </row>
    <row r="98" spans="2:52" s="420" customFormat="1" ht="15" customHeight="1" thickBot="1" x14ac:dyDescent="0.3">
      <c r="B98" s="490"/>
      <c r="C98" s="504"/>
      <c r="D98" s="504"/>
      <c r="E98" s="529" t="s">
        <v>661</v>
      </c>
      <c r="F98" s="548"/>
      <c r="G98" s="548"/>
      <c r="H98" s="543">
        <f t="shared" ref="H98:T98" si="45">H96-H97</f>
        <v>0</v>
      </c>
      <c r="I98" s="543">
        <f t="shared" si="45"/>
        <v>0</v>
      </c>
      <c r="J98" s="543">
        <f t="shared" si="45"/>
        <v>0</v>
      </c>
      <c r="K98" s="543">
        <f t="shared" si="45"/>
        <v>0</v>
      </c>
      <c r="L98" s="543">
        <f t="shared" si="45"/>
        <v>0</v>
      </c>
      <c r="M98" s="543">
        <f t="shared" si="45"/>
        <v>0</v>
      </c>
      <c r="N98" s="543">
        <f t="shared" si="45"/>
        <v>0</v>
      </c>
      <c r="O98" s="543">
        <f t="shared" si="45"/>
        <v>0</v>
      </c>
      <c r="P98" s="543">
        <f t="shared" si="45"/>
        <v>0</v>
      </c>
      <c r="Q98" s="543">
        <f t="shared" si="45"/>
        <v>0</v>
      </c>
      <c r="R98" s="543">
        <f t="shared" si="45"/>
        <v>0</v>
      </c>
      <c r="S98" s="543">
        <f t="shared" si="45"/>
        <v>0</v>
      </c>
      <c r="T98" s="543">
        <f t="shared" si="45"/>
        <v>0</v>
      </c>
      <c r="U98" s="548"/>
      <c r="V98" s="543">
        <f t="shared" ref="V98:AF98" si="46">V96-V97</f>
        <v>0</v>
      </c>
      <c r="W98" s="543">
        <f t="shared" si="46"/>
        <v>0</v>
      </c>
      <c r="X98" s="543">
        <f t="shared" si="46"/>
        <v>0</v>
      </c>
      <c r="Y98" s="543">
        <f t="shared" si="46"/>
        <v>0</v>
      </c>
      <c r="Z98" s="543">
        <f t="shared" si="46"/>
        <v>0</v>
      </c>
      <c r="AA98" s="543">
        <f t="shared" si="46"/>
        <v>0</v>
      </c>
      <c r="AB98" s="543">
        <f t="shared" si="46"/>
        <v>0</v>
      </c>
      <c r="AC98" s="543">
        <f t="shared" si="46"/>
        <v>0</v>
      </c>
      <c r="AD98" s="543">
        <f t="shared" si="46"/>
        <v>0</v>
      </c>
      <c r="AE98" s="543">
        <f t="shared" si="46"/>
        <v>0</v>
      </c>
      <c r="AF98" s="543">
        <f t="shared" si="46"/>
        <v>0</v>
      </c>
      <c r="AG98" s="543">
        <f>AG96-AG97</f>
        <v>0</v>
      </c>
      <c r="AH98" s="543">
        <f>AH96-AH97</f>
        <v>0</v>
      </c>
      <c r="AI98" s="544"/>
      <c r="AJ98" s="543">
        <f t="shared" ref="AJ98:AQ98" si="47">AJ96-AJ97</f>
        <v>0</v>
      </c>
      <c r="AK98" s="543">
        <f t="shared" si="47"/>
        <v>0</v>
      </c>
      <c r="AL98" s="543">
        <f t="shared" si="47"/>
        <v>0</v>
      </c>
      <c r="AM98" s="543">
        <f t="shared" si="47"/>
        <v>0</v>
      </c>
      <c r="AN98" s="543">
        <f t="shared" si="47"/>
        <v>0</v>
      </c>
      <c r="AO98" s="543">
        <f t="shared" si="47"/>
        <v>0</v>
      </c>
      <c r="AP98" s="543">
        <f t="shared" si="47"/>
        <v>0</v>
      </c>
      <c r="AQ98" s="543">
        <f t="shared" si="47"/>
        <v>0</v>
      </c>
      <c r="AR98" s="548"/>
      <c r="AZ98" s="421"/>
    </row>
    <row r="99" spans="2:52" ht="15" customHeight="1" x14ac:dyDescent="0.2">
      <c r="B99" s="398"/>
      <c r="C99" s="488"/>
      <c r="D99" s="488"/>
      <c r="E99" s="529"/>
      <c r="F99" s="455"/>
      <c r="G99" s="455"/>
      <c r="H99" s="566"/>
      <c r="I99" s="566"/>
      <c r="J99" s="566"/>
      <c r="K99" s="566"/>
      <c r="L99" s="566"/>
      <c r="M99" s="566"/>
      <c r="N99" s="566"/>
      <c r="O99" s="566"/>
      <c r="P99" s="566"/>
      <c r="Q99" s="566"/>
      <c r="R99" s="566"/>
      <c r="S99" s="566"/>
      <c r="T99" s="567"/>
      <c r="U99" s="381"/>
      <c r="V99" s="566"/>
      <c r="W99" s="566"/>
      <c r="X99" s="566"/>
      <c r="Y99" s="566"/>
      <c r="Z99" s="566"/>
      <c r="AA99" s="566"/>
      <c r="AB99" s="566"/>
      <c r="AC99" s="566"/>
      <c r="AD99" s="566"/>
      <c r="AE99" s="566"/>
      <c r="AF99" s="566"/>
      <c r="AG99" s="566"/>
      <c r="AH99" s="566"/>
      <c r="AI99" s="528"/>
      <c r="AJ99" s="566"/>
      <c r="AK99" s="566"/>
      <c r="AL99" s="566"/>
      <c r="AM99" s="566"/>
      <c r="AN99" s="566"/>
      <c r="AO99" s="566"/>
      <c r="AP99" s="566"/>
      <c r="AQ99" s="566"/>
      <c r="AR99" s="381"/>
    </row>
    <row r="100" spans="2:52" ht="15" customHeight="1" x14ac:dyDescent="0.25">
      <c r="B100" s="398"/>
      <c r="C100" s="381"/>
      <c r="D100" s="573" t="s">
        <v>662</v>
      </c>
      <c r="E100" s="381"/>
      <c r="F100" s="381"/>
      <c r="G100" s="381"/>
      <c r="H100" s="485"/>
      <c r="I100" s="485"/>
      <c r="J100" s="485"/>
      <c r="K100" s="485"/>
      <c r="L100" s="485"/>
      <c r="M100" s="485"/>
      <c r="N100" s="485"/>
      <c r="O100" s="485"/>
      <c r="P100" s="485"/>
      <c r="Q100" s="485"/>
      <c r="R100" s="485"/>
      <c r="S100" s="485"/>
      <c r="T100" s="550"/>
      <c r="U100" s="532"/>
      <c r="V100" s="485"/>
      <c r="W100" s="485"/>
      <c r="X100" s="485"/>
      <c r="Y100" s="485"/>
      <c r="Z100" s="485"/>
      <c r="AA100" s="485"/>
      <c r="AB100" s="485"/>
      <c r="AC100" s="485"/>
      <c r="AD100" s="485"/>
      <c r="AE100" s="485"/>
      <c r="AF100" s="485"/>
      <c r="AG100" s="485"/>
      <c r="AH100" s="485"/>
      <c r="AI100" s="528"/>
      <c r="AJ100" s="485"/>
      <c r="AK100" s="485"/>
      <c r="AL100" s="485"/>
      <c r="AM100" s="485"/>
      <c r="AN100" s="485"/>
      <c r="AO100" s="485"/>
      <c r="AP100" s="485"/>
      <c r="AQ100" s="485"/>
      <c r="AR100" s="532"/>
    </row>
    <row r="101" spans="2:52" ht="15" customHeight="1" x14ac:dyDescent="0.2">
      <c r="B101" s="398"/>
      <c r="C101" s="488"/>
      <c r="D101" s="571" t="s">
        <v>663</v>
      </c>
      <c r="E101" s="537"/>
      <c r="F101" s="381"/>
      <c r="G101" s="381"/>
      <c r="H101" s="381"/>
      <c r="I101" s="381"/>
      <c r="J101" s="381"/>
      <c r="K101" s="381"/>
      <c r="L101" s="381"/>
      <c r="M101" s="381"/>
      <c r="N101" s="381"/>
      <c r="O101" s="381"/>
      <c r="P101" s="381"/>
      <c r="Q101" s="381"/>
      <c r="R101" s="381"/>
      <c r="S101" s="381"/>
      <c r="T101" s="423"/>
      <c r="U101" s="381"/>
      <c r="V101" s="381"/>
      <c r="W101" s="381"/>
      <c r="X101" s="381"/>
      <c r="Y101" s="381"/>
      <c r="Z101" s="381"/>
      <c r="AA101" s="381"/>
      <c r="AB101" s="381"/>
      <c r="AC101" s="381"/>
      <c r="AD101" s="381"/>
      <c r="AE101" s="381"/>
      <c r="AF101" s="381"/>
      <c r="AG101" s="381"/>
      <c r="AH101" s="381"/>
      <c r="AI101" s="528"/>
      <c r="AJ101" s="381"/>
      <c r="AK101" s="381"/>
      <c r="AL101" s="381"/>
      <c r="AM101" s="381"/>
      <c r="AN101" s="381"/>
      <c r="AO101" s="381"/>
      <c r="AP101" s="381"/>
      <c r="AQ101" s="381"/>
      <c r="AR101" s="381"/>
    </row>
    <row r="102" spans="2:52" ht="15" customHeight="1" x14ac:dyDescent="0.2">
      <c r="B102" s="398"/>
      <c r="C102" s="488"/>
      <c r="D102" s="488"/>
      <c r="E102" s="557" t="s">
        <v>644</v>
      </c>
      <c r="F102" s="381"/>
      <c r="G102" s="381"/>
      <c r="H102" s="381"/>
      <c r="I102" s="381"/>
      <c r="J102" s="381"/>
      <c r="K102" s="381"/>
      <c r="L102" s="381"/>
      <c r="M102" s="381"/>
      <c r="N102" s="381"/>
      <c r="O102" s="381"/>
      <c r="P102" s="381"/>
      <c r="Q102" s="381"/>
      <c r="R102" s="381"/>
      <c r="S102" s="381"/>
      <c r="T102" s="423"/>
      <c r="U102" s="381"/>
      <c r="V102" s="381"/>
      <c r="W102" s="381"/>
      <c r="X102" s="381"/>
      <c r="Y102" s="381"/>
      <c r="Z102" s="381"/>
      <c r="AA102" s="381"/>
      <c r="AB102" s="381"/>
      <c r="AC102" s="381"/>
      <c r="AD102" s="381"/>
      <c r="AE102" s="381"/>
      <c r="AF102" s="381"/>
      <c r="AG102" s="381"/>
      <c r="AH102" s="381"/>
      <c r="AI102" s="528"/>
      <c r="AJ102" s="381"/>
      <c r="AK102" s="381"/>
      <c r="AL102" s="381"/>
      <c r="AM102" s="381"/>
      <c r="AN102" s="381"/>
      <c r="AO102" s="381"/>
      <c r="AP102" s="381"/>
      <c r="AQ102" s="381"/>
      <c r="AR102" s="381"/>
    </row>
    <row r="103" spans="2:52" ht="15" customHeight="1" x14ac:dyDescent="0.2">
      <c r="B103" s="398"/>
      <c r="C103" s="488"/>
      <c r="D103" s="510"/>
      <c r="E103" s="539" t="str">
        <f>'Global inputs'!B146</f>
        <v>14 IT</v>
      </c>
      <c r="F103" s="381"/>
      <c r="G103" s="381"/>
      <c r="H103" s="511">
        <v>0</v>
      </c>
      <c r="I103" s="511">
        <v>0</v>
      </c>
      <c r="J103" s="511">
        <v>0</v>
      </c>
      <c r="K103" s="511">
        <v>345.8535047034286</v>
      </c>
      <c r="L103" s="511">
        <v>294.56321693523222</v>
      </c>
      <c r="M103" s="408">
        <f>(SUMIFS('Forecast capex'!$Q$9:$Q$1940,'Forecast capex'!$J$9:$J$1940,M$123,'Forecast capex'!$F$9:$F$1940,$E103)/1000)</f>
        <v>4489.0018771693713</v>
      </c>
      <c r="N103" s="408">
        <f>(SUMIFS('Forecast capex'!$Q$9:$Q$1940,'Forecast capex'!$J$9:$J$1940,N$123,'Forecast capex'!$F$9:$F$1940,$E103)/1000)</f>
        <v>5005</v>
      </c>
      <c r="O103" s="408">
        <f>(SUMIFS('Forecast capex'!$Q$9:$Q$1940,'Forecast capex'!$J$9:$J$1940,O$123,'Forecast capex'!$F$9:$F$1940,$E103)/1000)</f>
        <v>5359.5</v>
      </c>
      <c r="P103" s="408">
        <f>(SUMIFS('Forecast capex'!$Q$9:$Q$1940,'Forecast capex'!$J$9:$J$1940,P$123,'Forecast capex'!$F$9:$F$1940,$E103)/1000)</f>
        <v>2090</v>
      </c>
      <c r="Q103" s="408">
        <f>(SUMIFS('Forecast capex'!$Q$9:$Q$1940,'Forecast capex'!$J$9:$J$1940,Q$123,'Forecast capex'!$F$9:$F$1940,$E103)/1000)</f>
        <v>1875.726229862559</v>
      </c>
      <c r="R103" s="408">
        <f>(SUMIFS('Forecast capex'!$Q$9:$Q$1940,'Forecast capex'!$J$9:$J$1940,R$123,'Forecast capex'!$F$9:$F$1940,$E103)/1000)</f>
        <v>1674.8721116668441</v>
      </c>
      <c r="S103" s="408">
        <f>(SUMIFS('Forecast capex'!$Q$9:$Q$1940,'Forecast capex'!$J$9:$J$1940,S$123,'Forecast capex'!$F$9:$F$1940,$E103)/1000)</f>
        <v>1500</v>
      </c>
      <c r="T103" s="408">
        <f>SUM(O103:S103)</f>
        <v>12500.098341529403</v>
      </c>
      <c r="U103" s="381"/>
      <c r="V103" s="408">
        <f>H103*'Historical capex'!H$155</f>
        <v>0</v>
      </c>
      <c r="W103" s="408">
        <f>I103*'Historical capex'!I$155</f>
        <v>0</v>
      </c>
      <c r="X103" s="408">
        <f>J103*'Historical capex'!J$155</f>
        <v>0</v>
      </c>
      <c r="Y103" s="408">
        <f>K103*'Historical capex'!K$155</f>
        <v>334.73907249999996</v>
      </c>
      <c r="Z103" s="408">
        <f>L103*'Historical capex'!L$155</f>
        <v>289.92484473705986</v>
      </c>
      <c r="AA103" s="408">
        <f>(SUMIFS('Forecast capex'!$X$9:$X$1940, 'Forecast capex'!$J$9:$J$1940,AA$123, 'Forecast capex'!$F$9:$F$1940,$E103))/1000</f>
        <v>4489.0018771693713</v>
      </c>
      <c r="AB103" s="408">
        <f>(SUMIFS('Forecast capex'!$X$9:$X$1940, 'Forecast capex'!$J$9:$J$1940,AB$123, 'Forecast capex'!$F$9:$F$1940,$E103))/1000</f>
        <v>5108.180363144792</v>
      </c>
      <c r="AC103" s="408">
        <f>(SUMIFS('Forecast capex'!$X$9:$X$1940, 'Forecast capex'!$J$9:$J$1940,AC$123, 'Forecast capex'!$F$9:$F$1940,$E103))/1000</f>
        <v>5563.0635107555427</v>
      </c>
      <c r="AD103" s="408">
        <f>(SUMIFS('Forecast capex'!$X$9:$X$1940, 'Forecast capex'!$J$9:$J$1940,AD$123, 'Forecast capex'!$F$9:$F$1940,$E103))/1000</f>
        <v>2205.6956536695343</v>
      </c>
      <c r="AE103" s="408">
        <f>(SUMIFS('Forecast capex'!$X$9:$X$1940, 'Forecast capex'!$J$9:$J$1940,AE$123, 'Forecast capex'!$F$9:$F$1940,$E103))/1000</f>
        <v>2012.9696969107551</v>
      </c>
      <c r="AF103" s="408">
        <f>(SUMIFS('Forecast capex'!$X$9:$X$1940, 'Forecast capex'!$J$9:$J$1940,AF$123, 'Forecast capex'!$F$9:$F$1940,$E103))/1000</f>
        <v>1828.8617384264082</v>
      </c>
      <c r="AG103" s="408">
        <f>(SUMIFS('Forecast capex'!$X$9:$X$1940, 'Forecast capex'!$J$9:$J$1940,AG$123, 'Forecast capex'!$F$9:$F$1940,$E103))/1000</f>
        <v>1666.5637052196955</v>
      </c>
      <c r="AH103" s="408">
        <f>SUM(AC103:AG103)</f>
        <v>13277.154304981937</v>
      </c>
      <c r="AI103" s="528"/>
      <c r="AJ103" s="408">
        <f>(SUMIFS('Forecast capex'!$AC$9:$AC$1940, 'Forecast capex'!$K$9:$K$1940,AJ$123, 'Forecast capex'!$F$9:$F$1940,$E103)+'Schedule E calculations'!M315*'Schedule E calculations'!M$351)/1000</f>
        <v>4329.8623874941768</v>
      </c>
      <c r="AK103" s="408">
        <f>(SUMIFS('Forecast capex'!$AC$9:$AC$1940, 'Forecast capex'!$K$9:$K$1940,AK$123, 'Forecast capex'!$F$9:$F$1940,$E103)+'Schedule E calculations'!N315*'Schedule E calculations'!N$351)/1000</f>
        <v>3330.1136111095316</v>
      </c>
      <c r="AL103" s="408">
        <f>(SUMIFS('Forecast capex'!$AC$9:$AC$1940, 'Forecast capex'!$K$9:$K$1940,AL$123, 'Forecast capex'!$F$9:$F$1940,$E103)+'Schedule E calculations'!O315*'Schedule E calculations'!O$351)/1000</f>
        <v>7878.8039882515513</v>
      </c>
      <c r="AM103" s="408">
        <f>(SUMIFS('Forecast capex'!$AC$9:$AC$1940, 'Forecast capex'!$K$9:$K$1940,AM$123, 'Forecast capex'!$F$9:$F$1940,$E103)+'Schedule E calculations'!P315*'Schedule E calculations'!P$351)/1000</f>
        <v>2248.3076090792579</v>
      </c>
      <c r="AN103" s="408">
        <f>(SUMIFS('Forecast capex'!$AC$9:$AC$1940, 'Forecast capex'!$K$9:$K$1940,AN$123, 'Forecast capex'!$F$9:$F$1940,$E103)+'Schedule E calculations'!Q315*'Schedule E calculations'!Q$351)/1000</f>
        <v>1998.0930805706787</v>
      </c>
      <c r="AO103" s="408">
        <f>(SUMIFS('Forecast capex'!$AC$9:$AC$1940, 'Forecast capex'!$K$9:$K$1940,AO$123, 'Forecast capex'!$F$9:$F$1940,$E103)+'Schedule E calculations'!R315*'Schedule E calculations'!R$351)/1000</f>
        <v>1877.3189461691693</v>
      </c>
      <c r="AP103" s="408">
        <f>(SUMIFS('Forecast capex'!$AC$9:$AC$1940, 'Forecast capex'!$K$9:$K$1940,AP$123, 'Forecast capex'!$F$9:$F$1940,$E103)+'Schedule E calculations'!S315*'Schedule E calculations'!S$351)/1000</f>
        <v>1738.5025657568012</v>
      </c>
      <c r="AQ103" s="408">
        <f>SUM(AL103:AP103)</f>
        <v>15741.026189827458</v>
      </c>
      <c r="AR103" s="381"/>
    </row>
    <row r="104" spans="2:52" ht="15" customHeight="1" x14ac:dyDescent="0.2">
      <c r="B104" s="398"/>
      <c r="C104" s="488"/>
      <c r="D104" s="510"/>
      <c r="E104" s="539" t="str">
        <f>'Global inputs'!B147</f>
        <v>15 Facilities</v>
      </c>
      <c r="F104" s="381"/>
      <c r="G104" s="381"/>
      <c r="H104" s="511">
        <v>0</v>
      </c>
      <c r="I104" s="511">
        <v>0</v>
      </c>
      <c r="J104" s="511">
        <v>0</v>
      </c>
      <c r="K104" s="511">
        <v>642.29936587779605</v>
      </c>
      <c r="L104" s="511">
        <v>358.94810932924918</v>
      </c>
      <c r="M104" s="408">
        <f>(SUMIFS('Forecast capex'!$Q$9:$Q$1940,'Forecast capex'!$J$9:$J$1940,M$123,'Forecast capex'!$F$9:$F$1940,$E104)/1000)</f>
        <v>4125.6271664176038</v>
      </c>
      <c r="N104" s="408">
        <f>(SUMIFS('Forecast capex'!$Q$9:$Q$1940,'Forecast capex'!$J$9:$J$1940,N$123,'Forecast capex'!$F$9:$F$1940,$E104)/1000)</f>
        <v>1231.9503846071793</v>
      </c>
      <c r="O104" s="408">
        <f>(SUMIFS('Forecast capex'!$Q$9:$Q$1940,'Forecast capex'!$J$9:$J$1940,O$123,'Forecast capex'!$F$9:$F$1940,$E104)/1000)</f>
        <v>1019.1906181356038</v>
      </c>
      <c r="P104" s="408">
        <f>(SUMIFS('Forecast capex'!$Q$9:$Q$1940,'Forecast capex'!$J$9:$J$1940,P$123,'Forecast capex'!$F$9:$F$1940,$E104)/1000)</f>
        <v>812.94506033792754</v>
      </c>
      <c r="Q104" s="408">
        <f>(SUMIFS('Forecast capex'!$Q$9:$Q$1940,'Forecast capex'!$J$9:$J$1940,Q$123,'Forecast capex'!$F$9:$F$1940,$E104)/1000)</f>
        <v>865.35343083439602</v>
      </c>
      <c r="R104" s="408">
        <f>(SUMIFS('Forecast capex'!$Q$9:$Q$1940,'Forecast capex'!$J$9:$J$1940,R$123,'Forecast capex'!$F$9:$F$1940,$E104)/1000)</f>
        <v>559.84032351474866</v>
      </c>
      <c r="S104" s="408">
        <f>(SUMIFS('Forecast capex'!$Q$9:$Q$1940,'Forecast capex'!$J$9:$J$1940,S$123,'Forecast capex'!$F$9:$F$1940,$E104)/1000)</f>
        <v>559.84069999999997</v>
      </c>
      <c r="T104" s="408">
        <f>SUM(O104:S104)</f>
        <v>3817.1701328226754</v>
      </c>
      <c r="U104" s="381"/>
      <c r="V104" s="408">
        <f>H104*'Historical capex'!H$155</f>
        <v>0</v>
      </c>
      <c r="W104" s="408">
        <f>I104*'Historical capex'!I$155</f>
        <v>0</v>
      </c>
      <c r="X104" s="408">
        <f>J104*'Historical capex'!J$155</f>
        <v>0</v>
      </c>
      <c r="Y104" s="408">
        <f>K104*'Historical capex'!K$155</f>
        <v>621.65827750000005</v>
      </c>
      <c r="Z104" s="408">
        <f>L104*'Historical capex'!L$155</f>
        <v>353.29589331863502</v>
      </c>
      <c r="AA104" s="408">
        <f>(SUMIFS('Forecast capex'!$X$9:$X$1940, 'Forecast capex'!$J$9:$J$1940,AA$123, 'Forecast capex'!$F$9:$F$1940,$E104))/1000</f>
        <v>4125.6271664176038</v>
      </c>
      <c r="AB104" s="408">
        <f>(SUMIFS('Forecast capex'!$X$9:$X$1940, 'Forecast capex'!$J$9:$J$1940,AB$123, 'Forecast capex'!$F$9:$F$1940,$E104))/1000</f>
        <v>1257.3476049988146</v>
      </c>
      <c r="AC104" s="408">
        <f>(SUMIFS('Forecast capex'!$X$9:$X$1940, 'Forecast capex'!$J$9:$J$1940,AC$123, 'Forecast capex'!$F$9:$F$1940,$E104))/1000</f>
        <v>1057.901322558926</v>
      </c>
      <c r="AD104" s="408">
        <f>(SUMIFS('Forecast capex'!$X$9:$X$1940, 'Forecast capex'!$J$9:$J$1940,AD$123, 'Forecast capex'!$F$9:$F$1940,$E104))/1000</f>
        <v>857.94707476530346</v>
      </c>
      <c r="AE104" s="408">
        <f>(SUMIFS('Forecast capex'!$X$9:$X$1940, 'Forecast capex'!$J$9:$J$1940,AE$123, 'Forecast capex'!$F$9:$F$1940,$E104))/1000</f>
        <v>928.66976302561704</v>
      </c>
      <c r="AF104" s="408">
        <f>(SUMIFS('Forecast capex'!$X$9:$X$1940, 'Forecast capex'!$J$9:$J$1940,AF$123, 'Forecast capex'!$F$9:$F$1940,$E104))/1000</f>
        <v>611.31267287352659</v>
      </c>
      <c r="AG104" s="408">
        <f>(SUMIFS('Forecast capex'!$X$9:$X$1940, 'Forecast capex'!$J$9:$J$1940,AG$123, 'Forecast capex'!$F$9:$F$1940,$E104))/1000</f>
        <v>622.00679421652524</v>
      </c>
      <c r="AH104" s="408">
        <f>SUM(AC104:AG104)</f>
        <v>4077.8376274398984</v>
      </c>
      <c r="AI104" s="528"/>
      <c r="AJ104" s="408">
        <f>(SUMIFS('Forecast capex'!$AC$9:$AC$1940, 'Forecast capex'!$K$9:$K$1940,AJ$123, 'Forecast capex'!$F$9:$F$1940,$E104)+'Schedule E calculations'!M316*'Schedule E calculations'!M$351)/1000</f>
        <v>3979.3696642336613</v>
      </c>
      <c r="AK104" s="408">
        <f>(SUMIFS('Forecast capex'!$AC$9:$AC$1940, 'Forecast capex'!$K$9:$K$1940,AK$123, 'Forecast capex'!$F$9:$F$1940,$E104)+'Schedule E calculations'!N316*'Schedule E calculations'!N$351)/1000</f>
        <v>1274.7093905204342</v>
      </c>
      <c r="AL104" s="408">
        <f>(SUMIFS('Forecast capex'!$AC$9:$AC$1940, 'Forecast capex'!$K$9:$K$1940,AL$123, 'Forecast capex'!$F$9:$F$1940,$E104)+'Schedule E calculations'!O316*'Schedule E calculations'!O$351)/1000</f>
        <v>1136.4951582376866</v>
      </c>
      <c r="AM104" s="408">
        <f>(SUMIFS('Forecast capex'!$AC$9:$AC$1940, 'Forecast capex'!$K$9:$K$1940,AM$123, 'Forecast capex'!$F$9:$F$1940,$E104)+'Schedule E calculations'!P316*'Schedule E calculations'!P$351)/1000</f>
        <v>874.52180139768382</v>
      </c>
      <c r="AN104" s="408">
        <f>(SUMIFS('Forecast capex'!$AC$9:$AC$1940, 'Forecast capex'!$K$9:$K$1940,AN$123, 'Forecast capex'!$F$9:$F$1940,$E104)+'Schedule E calculations'!Q316*'Schedule E calculations'!Q$351)/1000</f>
        <v>921.80653811350624</v>
      </c>
      <c r="AO104" s="408">
        <f>(SUMIFS('Forecast capex'!$AC$9:$AC$1940, 'Forecast capex'!$K$9:$K$1940,AO$123, 'Forecast capex'!$F$9:$F$1940,$E104)+'Schedule E calculations'!R316*'Schedule E calculations'!R$351)/1000</f>
        <v>627.50990887164153</v>
      </c>
      <c r="AP104" s="408">
        <f>(SUMIFS('Forecast capex'!$AC$9:$AC$1940, 'Forecast capex'!$K$9:$K$1940,AP$123, 'Forecast capex'!$F$9:$F$1940,$E104)+'Schedule E calculations'!S316*'Schedule E calculations'!S$351)/1000</f>
        <v>648.85632891005571</v>
      </c>
      <c r="AQ104" s="408">
        <f t="shared" ref="AQ104" si="48">SUM(AL104:AP104)</f>
        <v>4209.1897355305737</v>
      </c>
      <c r="AR104" s="381"/>
    </row>
    <row r="105" spans="2:52" ht="15" customHeight="1" x14ac:dyDescent="0.2">
      <c r="B105" s="398"/>
      <c r="C105" s="488"/>
      <c r="D105" s="488"/>
      <c r="E105" s="541" t="s">
        <v>645</v>
      </c>
      <c r="F105" s="455"/>
      <c r="G105" s="455"/>
      <c r="H105" s="553"/>
      <c r="I105" s="553"/>
      <c r="J105" s="553"/>
      <c r="K105" s="553"/>
      <c r="L105" s="553"/>
      <c r="M105" s="553"/>
      <c r="N105" s="553"/>
      <c r="O105" s="553"/>
      <c r="P105" s="553"/>
      <c r="Q105" s="553"/>
      <c r="R105" s="553"/>
      <c r="S105" s="553"/>
      <c r="T105" s="553"/>
      <c r="U105" s="381"/>
      <c r="V105" s="553"/>
      <c r="W105" s="553"/>
      <c r="X105" s="553"/>
      <c r="Y105" s="553"/>
      <c r="Z105" s="553"/>
      <c r="AA105" s="553"/>
      <c r="AB105" s="553"/>
      <c r="AC105" s="553"/>
      <c r="AD105" s="553"/>
      <c r="AE105" s="553"/>
      <c r="AF105" s="553"/>
      <c r="AG105" s="553"/>
      <c r="AH105" s="553"/>
      <c r="AI105" s="528"/>
      <c r="AJ105" s="553"/>
      <c r="AK105" s="553"/>
      <c r="AL105" s="553"/>
      <c r="AM105" s="553"/>
      <c r="AN105" s="553"/>
      <c r="AO105" s="553"/>
      <c r="AP105" s="553"/>
      <c r="AQ105" s="553"/>
      <c r="AR105" s="381"/>
    </row>
    <row r="106" spans="2:52" ht="15" customHeight="1" x14ac:dyDescent="0.2">
      <c r="B106" s="398"/>
      <c r="C106" s="488"/>
      <c r="D106" s="488"/>
      <c r="E106" s="541"/>
      <c r="F106" s="455"/>
      <c r="G106" s="455"/>
      <c r="H106" s="553"/>
      <c r="I106" s="553"/>
      <c r="J106" s="553"/>
      <c r="K106" s="553"/>
      <c r="L106" s="553"/>
      <c r="M106" s="553"/>
      <c r="N106" s="553"/>
      <c r="O106" s="553"/>
      <c r="P106" s="553"/>
      <c r="Q106" s="553"/>
      <c r="R106" s="553"/>
      <c r="S106" s="553"/>
      <c r="T106" s="553"/>
      <c r="U106" s="381"/>
      <c r="V106" s="553"/>
      <c r="W106" s="553"/>
      <c r="X106" s="553"/>
      <c r="Y106" s="553"/>
      <c r="Z106" s="553"/>
      <c r="AA106" s="553"/>
      <c r="AB106" s="553"/>
      <c r="AC106" s="553"/>
      <c r="AD106" s="553"/>
      <c r="AE106" s="553"/>
      <c r="AF106" s="553"/>
      <c r="AG106" s="553"/>
      <c r="AH106" s="553"/>
      <c r="AI106" s="528"/>
      <c r="AJ106" s="553"/>
      <c r="AK106" s="553"/>
      <c r="AL106" s="553"/>
      <c r="AM106" s="553"/>
      <c r="AN106" s="553"/>
      <c r="AO106" s="553"/>
      <c r="AP106" s="553"/>
      <c r="AQ106" s="553"/>
      <c r="AR106" s="381"/>
    </row>
    <row r="107" spans="2:52" ht="15" customHeight="1" x14ac:dyDescent="0.2">
      <c r="B107" s="398"/>
      <c r="C107" s="488"/>
      <c r="D107" s="571" t="s">
        <v>664</v>
      </c>
      <c r="E107" s="537"/>
      <c r="F107" s="381"/>
      <c r="G107" s="381"/>
      <c r="H107" s="381"/>
      <c r="I107" s="381"/>
      <c r="J107" s="381"/>
      <c r="K107" s="381"/>
      <c r="L107" s="381"/>
      <c r="M107" s="381"/>
      <c r="N107" s="381"/>
      <c r="O107" s="381"/>
      <c r="P107" s="381"/>
      <c r="Q107" s="381"/>
      <c r="R107" s="381"/>
      <c r="S107" s="381"/>
      <c r="T107" s="423"/>
      <c r="U107" s="381"/>
      <c r="V107" s="381"/>
      <c r="W107" s="381"/>
      <c r="X107" s="381"/>
      <c r="Y107" s="381"/>
      <c r="Z107" s="381"/>
      <c r="AA107" s="381"/>
      <c r="AB107" s="381"/>
      <c r="AC107" s="381"/>
      <c r="AD107" s="381"/>
      <c r="AE107" s="381"/>
      <c r="AF107" s="381"/>
      <c r="AG107" s="381"/>
      <c r="AH107" s="381"/>
      <c r="AI107" s="528"/>
      <c r="AJ107" s="381"/>
      <c r="AK107" s="381"/>
      <c r="AL107" s="381"/>
      <c r="AM107" s="381"/>
      <c r="AN107" s="381"/>
      <c r="AO107" s="381"/>
      <c r="AP107" s="381"/>
      <c r="AQ107" s="381"/>
      <c r="AR107" s="381"/>
    </row>
    <row r="108" spans="2:52" ht="15" customHeight="1" x14ac:dyDescent="0.2">
      <c r="B108" s="398"/>
      <c r="C108" s="488"/>
      <c r="D108" s="488"/>
      <c r="E108" s="557" t="s">
        <v>644</v>
      </c>
      <c r="F108" s="381"/>
      <c r="G108" s="381"/>
      <c r="H108" s="381"/>
      <c r="I108" s="381"/>
      <c r="J108" s="381"/>
      <c r="K108" s="381"/>
      <c r="L108" s="381"/>
      <c r="M108" s="381"/>
      <c r="N108" s="381"/>
      <c r="O108" s="381"/>
      <c r="P108" s="381"/>
      <c r="Q108" s="381"/>
      <c r="R108" s="381"/>
      <c r="S108" s="381"/>
      <c r="T108" s="423"/>
      <c r="U108" s="381"/>
      <c r="V108" s="381"/>
      <c r="W108" s="381"/>
      <c r="X108" s="381"/>
      <c r="Y108" s="381"/>
      <c r="Z108" s="381"/>
      <c r="AA108" s="381"/>
      <c r="AB108" s="381"/>
      <c r="AC108" s="381"/>
      <c r="AD108" s="381"/>
      <c r="AE108" s="381"/>
      <c r="AF108" s="381"/>
      <c r="AG108" s="381"/>
      <c r="AH108" s="381"/>
      <c r="AI108" s="528"/>
      <c r="AJ108" s="381"/>
      <c r="AK108" s="381"/>
      <c r="AL108" s="381"/>
      <c r="AM108" s="381"/>
      <c r="AN108" s="381"/>
      <c r="AO108" s="381"/>
      <c r="AP108" s="381"/>
      <c r="AQ108" s="381"/>
      <c r="AR108" s="381"/>
    </row>
    <row r="109" spans="2:52" ht="15" customHeight="1" x14ac:dyDescent="0.2">
      <c r="B109" s="398"/>
      <c r="C109" s="488"/>
      <c r="D109" s="510"/>
      <c r="E109" s="539"/>
      <c r="F109" s="381"/>
      <c r="G109" s="381"/>
      <c r="H109" s="410">
        <v>0</v>
      </c>
      <c r="I109" s="410">
        <v>0</v>
      </c>
      <c r="J109" s="410">
        <v>0</v>
      </c>
      <c r="K109" s="410">
        <v>0</v>
      </c>
      <c r="L109" s="410">
        <v>0</v>
      </c>
      <c r="M109" s="410">
        <v>0</v>
      </c>
      <c r="N109" s="410">
        <v>0</v>
      </c>
      <c r="O109" s="410">
        <v>0</v>
      </c>
      <c r="P109" s="410">
        <v>0</v>
      </c>
      <c r="Q109" s="410">
        <v>0</v>
      </c>
      <c r="R109" s="410">
        <v>0</v>
      </c>
      <c r="S109" s="410">
        <v>0</v>
      </c>
      <c r="T109" s="410">
        <v>0</v>
      </c>
      <c r="U109" s="381"/>
      <c r="V109" s="410">
        <v>0</v>
      </c>
      <c r="W109" s="410">
        <v>0</v>
      </c>
      <c r="X109" s="410">
        <v>0</v>
      </c>
      <c r="Y109" s="410">
        <v>0</v>
      </c>
      <c r="Z109" s="410">
        <v>0</v>
      </c>
      <c r="AA109" s="410">
        <v>0</v>
      </c>
      <c r="AB109" s="410">
        <v>0</v>
      </c>
      <c r="AC109" s="410">
        <v>0</v>
      </c>
      <c r="AD109" s="410">
        <v>0</v>
      </c>
      <c r="AE109" s="410">
        <v>0</v>
      </c>
      <c r="AF109" s="410">
        <v>0</v>
      </c>
      <c r="AG109" s="410">
        <v>0</v>
      </c>
      <c r="AH109" s="410">
        <v>0</v>
      </c>
      <c r="AI109" s="528"/>
      <c r="AJ109" s="410">
        <v>0</v>
      </c>
      <c r="AK109" s="410">
        <v>0</v>
      </c>
      <c r="AL109" s="410">
        <v>0</v>
      </c>
      <c r="AM109" s="410">
        <v>0</v>
      </c>
      <c r="AN109" s="410">
        <v>0</v>
      </c>
      <c r="AO109" s="410">
        <v>0</v>
      </c>
      <c r="AP109" s="410">
        <v>0</v>
      </c>
      <c r="AQ109" s="410">
        <v>0</v>
      </c>
      <c r="AR109" s="381"/>
    </row>
    <row r="110" spans="2:52" ht="15" customHeight="1" x14ac:dyDescent="0.2">
      <c r="B110" s="398"/>
      <c r="C110" s="488"/>
      <c r="D110" s="510"/>
      <c r="E110" s="539"/>
      <c r="F110" s="381"/>
      <c r="G110" s="381"/>
      <c r="H110" s="410">
        <v>0</v>
      </c>
      <c r="I110" s="410">
        <v>0</v>
      </c>
      <c r="J110" s="410">
        <v>0</v>
      </c>
      <c r="K110" s="410">
        <v>0</v>
      </c>
      <c r="L110" s="410">
        <v>0</v>
      </c>
      <c r="M110" s="410">
        <v>0</v>
      </c>
      <c r="N110" s="410">
        <v>0</v>
      </c>
      <c r="O110" s="410">
        <v>0</v>
      </c>
      <c r="P110" s="410">
        <v>0</v>
      </c>
      <c r="Q110" s="410">
        <v>0</v>
      </c>
      <c r="R110" s="410">
        <v>0</v>
      </c>
      <c r="S110" s="410">
        <v>0</v>
      </c>
      <c r="T110" s="410">
        <v>0</v>
      </c>
      <c r="U110" s="381"/>
      <c r="V110" s="410">
        <v>0</v>
      </c>
      <c r="W110" s="410">
        <v>0</v>
      </c>
      <c r="X110" s="410">
        <v>0</v>
      </c>
      <c r="Y110" s="410">
        <v>0</v>
      </c>
      <c r="Z110" s="410">
        <v>0</v>
      </c>
      <c r="AA110" s="410">
        <v>0</v>
      </c>
      <c r="AB110" s="410">
        <v>0</v>
      </c>
      <c r="AC110" s="410">
        <v>0</v>
      </c>
      <c r="AD110" s="410">
        <v>0</v>
      </c>
      <c r="AE110" s="410">
        <v>0</v>
      </c>
      <c r="AF110" s="410">
        <v>0</v>
      </c>
      <c r="AG110" s="410">
        <v>0</v>
      </c>
      <c r="AH110" s="410">
        <v>0</v>
      </c>
      <c r="AI110" s="528"/>
      <c r="AJ110" s="410">
        <v>0</v>
      </c>
      <c r="AK110" s="410">
        <v>0</v>
      </c>
      <c r="AL110" s="410">
        <v>0</v>
      </c>
      <c r="AM110" s="410">
        <v>0</v>
      </c>
      <c r="AN110" s="410">
        <v>0</v>
      </c>
      <c r="AO110" s="410">
        <v>0</v>
      </c>
      <c r="AP110" s="410">
        <v>0</v>
      </c>
      <c r="AQ110" s="410">
        <v>0</v>
      </c>
      <c r="AR110" s="381"/>
    </row>
    <row r="111" spans="2:52" ht="15" customHeight="1" thickBot="1" x14ac:dyDescent="0.25">
      <c r="B111" s="398"/>
      <c r="C111" s="488"/>
      <c r="D111" s="488"/>
      <c r="E111" s="541" t="s">
        <v>645</v>
      </c>
      <c r="F111" s="455"/>
      <c r="G111" s="455"/>
      <c r="H111" s="553"/>
      <c r="I111" s="553"/>
      <c r="J111" s="553"/>
      <c r="K111" s="553"/>
      <c r="L111" s="553"/>
      <c r="M111" s="553"/>
      <c r="N111" s="553"/>
      <c r="O111" s="553"/>
      <c r="P111" s="553"/>
      <c r="Q111" s="553"/>
      <c r="R111" s="553"/>
      <c r="S111" s="553"/>
      <c r="T111" s="553"/>
      <c r="U111" s="381"/>
      <c r="V111" s="553"/>
      <c r="W111" s="553"/>
      <c r="X111" s="553"/>
      <c r="Y111" s="553"/>
      <c r="Z111" s="553"/>
      <c r="AA111" s="553"/>
      <c r="AB111" s="553"/>
      <c r="AC111" s="553"/>
      <c r="AD111" s="553"/>
      <c r="AE111" s="553"/>
      <c r="AF111" s="553"/>
      <c r="AG111" s="553"/>
      <c r="AH111" s="553"/>
      <c r="AI111" s="528"/>
      <c r="AJ111" s="553"/>
      <c r="AK111" s="553"/>
      <c r="AL111" s="553"/>
      <c r="AM111" s="553"/>
      <c r="AN111" s="553"/>
      <c r="AO111" s="553"/>
      <c r="AP111" s="553"/>
      <c r="AQ111" s="553"/>
      <c r="AR111" s="381"/>
    </row>
    <row r="112" spans="2:52" s="420" customFormat="1" ht="15" customHeight="1" thickBot="1" x14ac:dyDescent="0.3">
      <c r="B112" s="490"/>
      <c r="C112" s="504"/>
      <c r="D112" s="564"/>
      <c r="E112" s="529" t="s">
        <v>665</v>
      </c>
      <c r="F112" s="548"/>
      <c r="G112" s="548"/>
      <c r="H112" s="543">
        <f>SUM(H109:H110)</f>
        <v>0</v>
      </c>
      <c r="I112" s="543">
        <f t="shared" ref="I112:T112" si="49">SUM(I109:I110)</f>
        <v>0</v>
      </c>
      <c r="J112" s="543">
        <f t="shared" si="49"/>
        <v>0</v>
      </c>
      <c r="K112" s="543">
        <f t="shared" si="49"/>
        <v>0</v>
      </c>
      <c r="L112" s="543">
        <f t="shared" si="49"/>
        <v>0</v>
      </c>
      <c r="M112" s="543">
        <f t="shared" si="49"/>
        <v>0</v>
      </c>
      <c r="N112" s="543">
        <f t="shared" si="49"/>
        <v>0</v>
      </c>
      <c r="O112" s="543">
        <f t="shared" si="49"/>
        <v>0</v>
      </c>
      <c r="P112" s="543">
        <f t="shared" si="49"/>
        <v>0</v>
      </c>
      <c r="Q112" s="543">
        <f t="shared" si="49"/>
        <v>0</v>
      </c>
      <c r="R112" s="543">
        <f t="shared" si="49"/>
        <v>0</v>
      </c>
      <c r="S112" s="543">
        <f t="shared" si="49"/>
        <v>0</v>
      </c>
      <c r="T112" s="543">
        <f t="shared" si="49"/>
        <v>0</v>
      </c>
      <c r="U112" s="548"/>
      <c r="V112" s="543">
        <f t="shared" ref="V112:AH112" si="50">SUM(V109:V110)</f>
        <v>0</v>
      </c>
      <c r="W112" s="543">
        <f t="shared" si="50"/>
        <v>0</v>
      </c>
      <c r="X112" s="543">
        <f t="shared" si="50"/>
        <v>0</v>
      </c>
      <c r="Y112" s="543">
        <f t="shared" si="50"/>
        <v>0</v>
      </c>
      <c r="Z112" s="543">
        <f t="shared" si="50"/>
        <v>0</v>
      </c>
      <c r="AA112" s="543">
        <f t="shared" si="50"/>
        <v>0</v>
      </c>
      <c r="AB112" s="543">
        <f t="shared" si="50"/>
        <v>0</v>
      </c>
      <c r="AC112" s="543">
        <f t="shared" si="50"/>
        <v>0</v>
      </c>
      <c r="AD112" s="543">
        <f t="shared" si="50"/>
        <v>0</v>
      </c>
      <c r="AE112" s="543">
        <f t="shared" si="50"/>
        <v>0</v>
      </c>
      <c r="AF112" s="543">
        <f t="shared" si="50"/>
        <v>0</v>
      </c>
      <c r="AG112" s="543">
        <f t="shared" si="50"/>
        <v>0</v>
      </c>
      <c r="AH112" s="543">
        <f t="shared" si="50"/>
        <v>0</v>
      </c>
      <c r="AI112" s="544"/>
      <c r="AJ112" s="543">
        <f t="shared" ref="AJ112:AQ112" si="51">SUM(AJ109:AJ110)</f>
        <v>0</v>
      </c>
      <c r="AK112" s="543">
        <f t="shared" si="51"/>
        <v>0</v>
      </c>
      <c r="AL112" s="543">
        <f t="shared" si="51"/>
        <v>0</v>
      </c>
      <c r="AM112" s="543">
        <f t="shared" si="51"/>
        <v>0</v>
      </c>
      <c r="AN112" s="543">
        <f t="shared" si="51"/>
        <v>0</v>
      </c>
      <c r="AO112" s="543">
        <f t="shared" si="51"/>
        <v>0</v>
      </c>
      <c r="AP112" s="543">
        <f t="shared" si="51"/>
        <v>0</v>
      </c>
      <c r="AQ112" s="543">
        <f t="shared" si="51"/>
        <v>0</v>
      </c>
      <c r="AR112" s="548"/>
      <c r="AZ112" s="421"/>
    </row>
    <row r="113" spans="2:52" ht="15" customHeight="1" thickBot="1" x14ac:dyDescent="0.25">
      <c r="B113" s="398"/>
      <c r="C113" s="488"/>
      <c r="D113" s="488"/>
      <c r="E113" s="541"/>
      <c r="F113" s="455"/>
      <c r="G113" s="455"/>
      <c r="H113" s="553"/>
      <c r="I113" s="553"/>
      <c r="J113" s="553"/>
      <c r="K113" s="553"/>
      <c r="L113" s="553"/>
      <c r="M113" s="553"/>
      <c r="N113" s="553"/>
      <c r="O113" s="553"/>
      <c r="P113" s="553"/>
      <c r="Q113" s="553"/>
      <c r="R113" s="553"/>
      <c r="S113" s="553"/>
      <c r="T113" s="553"/>
      <c r="U113" s="381"/>
      <c r="V113" s="553"/>
      <c r="W113" s="553"/>
      <c r="X113" s="553"/>
      <c r="Y113" s="553"/>
      <c r="Z113" s="553"/>
      <c r="AA113" s="553"/>
      <c r="AB113" s="553"/>
      <c r="AC113" s="553"/>
      <c r="AD113" s="553"/>
      <c r="AE113" s="553"/>
      <c r="AF113" s="553"/>
      <c r="AG113" s="553"/>
      <c r="AH113" s="553"/>
      <c r="AI113" s="528"/>
      <c r="AJ113" s="553"/>
      <c r="AK113" s="553"/>
      <c r="AL113" s="553"/>
      <c r="AM113" s="553"/>
      <c r="AN113" s="553"/>
      <c r="AO113" s="553"/>
      <c r="AP113" s="553"/>
      <c r="AQ113" s="553"/>
      <c r="AR113" s="381"/>
    </row>
    <row r="114" spans="2:52" s="420" customFormat="1" ht="15" customHeight="1" thickBot="1" x14ac:dyDescent="0.3">
      <c r="B114" s="490"/>
      <c r="C114" s="504"/>
      <c r="D114" s="564"/>
      <c r="E114" s="529" t="s">
        <v>666</v>
      </c>
      <c r="F114" s="548"/>
      <c r="G114" s="548"/>
      <c r="H114" s="543">
        <f>SUM(H103:H104,H112)</f>
        <v>0</v>
      </c>
      <c r="I114" s="543">
        <f t="shared" ref="I114:T114" si="52">SUM(I103:I104,I112)</f>
        <v>0</v>
      </c>
      <c r="J114" s="543">
        <f t="shared" si="52"/>
        <v>0</v>
      </c>
      <c r="K114" s="543">
        <f t="shared" si="52"/>
        <v>988.15287058122465</v>
      </c>
      <c r="L114" s="543">
        <f t="shared" si="52"/>
        <v>653.51132626448134</v>
      </c>
      <c r="M114" s="543">
        <f t="shared" si="52"/>
        <v>8614.6290435869741</v>
      </c>
      <c r="N114" s="543">
        <f t="shared" si="52"/>
        <v>6236.9503846071793</v>
      </c>
      <c r="O114" s="543">
        <f t="shared" si="52"/>
        <v>6378.6906181356035</v>
      </c>
      <c r="P114" s="543">
        <f t="shared" si="52"/>
        <v>2902.9450603379273</v>
      </c>
      <c r="Q114" s="543">
        <f t="shared" si="52"/>
        <v>2741.0796606969552</v>
      </c>
      <c r="R114" s="543">
        <f t="shared" si="52"/>
        <v>2234.7124351815928</v>
      </c>
      <c r="S114" s="543">
        <f t="shared" si="52"/>
        <v>2059.8406999999997</v>
      </c>
      <c r="T114" s="543">
        <f t="shared" si="52"/>
        <v>16317.268474352079</v>
      </c>
      <c r="U114" s="548"/>
      <c r="V114" s="543">
        <f t="shared" ref="V114:AH114" si="53">SUM(V103:V104,V112)</f>
        <v>0</v>
      </c>
      <c r="W114" s="543">
        <f t="shared" si="53"/>
        <v>0</v>
      </c>
      <c r="X114" s="543">
        <f t="shared" si="53"/>
        <v>0</v>
      </c>
      <c r="Y114" s="543">
        <f t="shared" si="53"/>
        <v>956.39734999999996</v>
      </c>
      <c r="Z114" s="543">
        <f t="shared" si="53"/>
        <v>643.22073805569494</v>
      </c>
      <c r="AA114" s="543">
        <f t="shared" si="53"/>
        <v>8614.6290435869741</v>
      </c>
      <c r="AB114" s="543">
        <f t="shared" si="53"/>
        <v>6365.5279681436068</v>
      </c>
      <c r="AC114" s="543">
        <f t="shared" si="53"/>
        <v>6620.9648333144687</v>
      </c>
      <c r="AD114" s="543">
        <f t="shared" si="53"/>
        <v>3063.6427284348379</v>
      </c>
      <c r="AE114" s="543">
        <f t="shared" si="53"/>
        <v>2941.6394599363721</v>
      </c>
      <c r="AF114" s="543">
        <f t="shared" si="53"/>
        <v>2440.1744112999349</v>
      </c>
      <c r="AG114" s="543">
        <f t="shared" si="53"/>
        <v>2288.5704994362209</v>
      </c>
      <c r="AH114" s="543">
        <f t="shared" si="53"/>
        <v>17354.991932421835</v>
      </c>
      <c r="AI114" s="544"/>
      <c r="AJ114" s="543">
        <f t="shared" ref="AJ114:AQ114" si="54">SUM(AJ103:AJ104,AJ112)</f>
        <v>8309.2320517278386</v>
      </c>
      <c r="AK114" s="543">
        <f t="shared" si="54"/>
        <v>4604.8230016299658</v>
      </c>
      <c r="AL114" s="543">
        <f t="shared" si="54"/>
        <v>9015.2991464892384</v>
      </c>
      <c r="AM114" s="543">
        <f t="shared" si="54"/>
        <v>3122.8294104769416</v>
      </c>
      <c r="AN114" s="543">
        <f t="shared" si="54"/>
        <v>2919.899618684185</v>
      </c>
      <c r="AO114" s="543">
        <f t="shared" si="54"/>
        <v>2504.8288550408106</v>
      </c>
      <c r="AP114" s="543">
        <f t="shared" si="54"/>
        <v>2387.3588946668569</v>
      </c>
      <c r="AQ114" s="543">
        <f t="shared" si="54"/>
        <v>19950.215925358032</v>
      </c>
      <c r="AR114" s="548"/>
      <c r="AZ114" s="421"/>
    </row>
    <row r="115" spans="2:52" ht="15" customHeight="1" x14ac:dyDescent="0.2">
      <c r="B115" s="398"/>
      <c r="C115" s="488"/>
      <c r="D115" s="540"/>
      <c r="E115" s="529"/>
      <c r="F115" s="381"/>
      <c r="G115" s="381"/>
      <c r="H115" s="530"/>
      <c r="I115" s="530"/>
      <c r="J115" s="530"/>
      <c r="K115" s="530"/>
      <c r="L115" s="530"/>
      <c r="M115" s="530"/>
      <c r="N115" s="530"/>
      <c r="O115" s="530"/>
      <c r="P115" s="530"/>
      <c r="Q115" s="530"/>
      <c r="R115" s="530"/>
      <c r="S115" s="530"/>
      <c r="T115" s="530"/>
      <c r="U115" s="381"/>
      <c r="V115" s="530"/>
      <c r="W115" s="530"/>
      <c r="X115" s="530"/>
      <c r="Y115" s="530"/>
      <c r="Z115" s="530"/>
      <c r="AA115" s="530"/>
      <c r="AB115" s="530"/>
      <c r="AC115" s="530"/>
      <c r="AD115" s="530"/>
      <c r="AE115" s="530"/>
      <c r="AF115" s="530"/>
      <c r="AG115" s="530"/>
      <c r="AH115" s="530"/>
      <c r="AI115" s="528"/>
      <c r="AJ115" s="530"/>
      <c r="AK115" s="530"/>
      <c r="AL115" s="530"/>
      <c r="AM115" s="530"/>
      <c r="AN115" s="530"/>
      <c r="AO115" s="530"/>
      <c r="AP115" s="530"/>
      <c r="AQ115" s="530"/>
      <c r="AR115" s="381"/>
    </row>
    <row r="116" spans="2:52" ht="15" customHeight="1" thickBot="1" x14ac:dyDescent="0.25">
      <c r="B116" s="398"/>
      <c r="C116" s="488"/>
      <c r="D116" s="540"/>
      <c r="E116" s="572"/>
      <c r="F116" s="381"/>
      <c r="G116" s="381"/>
      <c r="H116" s="530"/>
      <c r="I116" s="530"/>
      <c r="J116" s="530"/>
      <c r="K116" s="530"/>
      <c r="L116" s="530"/>
      <c r="M116" s="530"/>
      <c r="N116" s="530"/>
      <c r="O116" s="530"/>
      <c r="P116" s="530"/>
      <c r="Q116" s="530"/>
      <c r="R116" s="530"/>
      <c r="S116" s="530"/>
      <c r="T116" s="530"/>
      <c r="U116" s="381"/>
      <c r="V116" s="530"/>
      <c r="W116" s="530"/>
      <c r="X116" s="530"/>
      <c r="Y116" s="530"/>
      <c r="Z116" s="530"/>
      <c r="AA116" s="530"/>
      <c r="AB116" s="530"/>
      <c r="AC116" s="530"/>
      <c r="AD116" s="530"/>
      <c r="AE116" s="530"/>
      <c r="AF116" s="530"/>
      <c r="AG116" s="530"/>
      <c r="AH116" s="530"/>
      <c r="AI116" s="528"/>
      <c r="AJ116" s="467"/>
      <c r="AK116" s="530"/>
      <c r="AL116" s="530"/>
      <c r="AM116" s="530"/>
      <c r="AN116" s="530"/>
      <c r="AO116" s="530"/>
      <c r="AP116" s="530"/>
      <c r="AQ116" s="530"/>
      <c r="AR116" s="381"/>
    </row>
    <row r="117" spans="2:52" s="420" customFormat="1" ht="15" customHeight="1" thickBot="1" x14ac:dyDescent="0.3">
      <c r="B117" s="490"/>
      <c r="C117" s="504"/>
      <c r="D117" s="564"/>
      <c r="E117" s="529" t="s">
        <v>667</v>
      </c>
      <c r="F117" s="548"/>
      <c r="G117" s="548"/>
      <c r="H117" s="543">
        <f>SUM(H15,H32,H59,H67,H78,H87,H96)</f>
        <v>31042.126924639404</v>
      </c>
      <c r="I117" s="543">
        <f t="shared" ref="I117:T117" si="55">SUM(I15,I32,I59,I67,I78,I87,I96)</f>
        <v>30809.263416008602</v>
      </c>
      <c r="J117" s="543">
        <f t="shared" si="55"/>
        <v>31631.625891552616</v>
      </c>
      <c r="K117" s="543">
        <f t="shared" si="55"/>
        <v>70610.466749861182</v>
      </c>
      <c r="L117" s="543">
        <f t="shared" si="55"/>
        <v>70387.979774045743</v>
      </c>
      <c r="M117" s="543">
        <f t="shared" si="55"/>
        <v>60714.448861724086</v>
      </c>
      <c r="N117" s="543">
        <f t="shared" si="55"/>
        <v>66259.820510983569</v>
      </c>
      <c r="O117" s="543">
        <f t="shared" si="55"/>
        <v>66417.614055666505</v>
      </c>
      <c r="P117" s="543">
        <f t="shared" si="55"/>
        <v>66736.378745452079</v>
      </c>
      <c r="Q117" s="543">
        <f t="shared" si="55"/>
        <v>71477.91377684343</v>
      </c>
      <c r="R117" s="543">
        <f t="shared" si="55"/>
        <v>68517.067757003271</v>
      </c>
      <c r="S117" s="543">
        <f t="shared" si="55"/>
        <v>61894.320050000002</v>
      </c>
      <c r="T117" s="543">
        <f t="shared" si="55"/>
        <v>335043.29438496521</v>
      </c>
      <c r="U117" s="548"/>
      <c r="V117" s="543">
        <f t="shared" ref="V117:AH117" si="56">SUM(V15,V32,V59,V67,V78,V87,V96)</f>
        <v>29162</v>
      </c>
      <c r="W117" s="543">
        <f t="shared" si="56"/>
        <v>29040.000000000004</v>
      </c>
      <c r="X117" s="543">
        <f t="shared" si="56"/>
        <v>30137.999999999993</v>
      </c>
      <c r="Y117" s="543">
        <f t="shared" si="56"/>
        <v>68341.311645544003</v>
      </c>
      <c r="Z117" s="543">
        <f t="shared" si="56"/>
        <v>69279.607683781549</v>
      </c>
      <c r="AA117" s="543">
        <f t="shared" si="56"/>
        <v>60714.448861724086</v>
      </c>
      <c r="AB117" s="543">
        <f t="shared" si="56"/>
        <v>67235.487333120269</v>
      </c>
      <c r="AC117" s="543">
        <f t="shared" si="56"/>
        <v>68325.491467696862</v>
      </c>
      <c r="AD117" s="543">
        <f t="shared" si="56"/>
        <v>70037.338525392726</v>
      </c>
      <c r="AE117" s="543">
        <f t="shared" si="56"/>
        <v>76174.263830622236</v>
      </c>
      <c r="AF117" s="543">
        <f t="shared" si="56"/>
        <v>74482.637833823654</v>
      </c>
      <c r="AG117" s="543">
        <f t="shared" si="56"/>
        <v>68686.583012970601</v>
      </c>
      <c r="AH117" s="543">
        <f t="shared" si="56"/>
        <v>357706.31467050605</v>
      </c>
      <c r="AI117" s="528"/>
      <c r="AJ117" s="543">
        <f t="shared" ref="AJ117:AQ117" si="57">SUM(AJ15,AJ32,AJ59,AJ67,AJ78,AJ87,AJ96)</f>
        <v>58268.354692738227</v>
      </c>
      <c r="AK117" s="543">
        <f t="shared" si="57"/>
        <v>76510.271327764887</v>
      </c>
      <c r="AL117" s="543">
        <f t="shared" si="57"/>
        <v>76485.323304529462</v>
      </c>
      <c r="AM117" s="543">
        <f t="shared" si="57"/>
        <v>69955.601465329033</v>
      </c>
      <c r="AN117" s="543">
        <f t="shared" si="57"/>
        <v>75961.021641001629</v>
      </c>
      <c r="AO117" s="543">
        <f t="shared" si="57"/>
        <v>75530.790620221203</v>
      </c>
      <c r="AP117" s="543">
        <f t="shared" si="57"/>
        <v>72729.528168084013</v>
      </c>
      <c r="AQ117" s="543">
        <f t="shared" si="57"/>
        <v>370662.26519916527</v>
      </c>
      <c r="AR117" s="548"/>
      <c r="AZ117" s="421"/>
    </row>
    <row r="118" spans="2:52" s="420" customFormat="1" ht="15" customHeight="1" thickBot="1" x14ac:dyDescent="0.3">
      <c r="B118" s="490"/>
      <c r="C118" s="504"/>
      <c r="D118" s="564"/>
      <c r="E118" s="529" t="s">
        <v>668</v>
      </c>
      <c r="F118" s="548"/>
      <c r="G118" s="548"/>
      <c r="H118" s="543">
        <f>SUM(H17,H34,H61,H69,H80,H89,H98)</f>
        <v>26321.700508940325</v>
      </c>
      <c r="I118" s="543">
        <f t="shared" ref="I118:T118" si="58">SUM(I17,I34,I61,I69,I80,I89,I98)</f>
        <v>24322.475977153226</v>
      </c>
      <c r="J118" s="543">
        <f t="shared" si="58"/>
        <v>27959.237702206556</v>
      </c>
      <c r="K118" s="543">
        <f t="shared" si="58"/>
        <v>65701.822426007726</v>
      </c>
      <c r="L118" s="543">
        <f t="shared" si="58"/>
        <v>66450.694165676206</v>
      </c>
      <c r="M118" s="543">
        <f t="shared" si="58"/>
        <v>51012.457706572342</v>
      </c>
      <c r="N118" s="543">
        <f t="shared" si="58"/>
        <v>59654.109296401955</v>
      </c>
      <c r="O118" s="543">
        <f t="shared" si="58"/>
        <v>61064.604251831035</v>
      </c>
      <c r="P118" s="543">
        <f t="shared" si="58"/>
        <v>61383.368941616602</v>
      </c>
      <c r="Q118" s="543">
        <f t="shared" si="58"/>
        <v>64505.324722922785</v>
      </c>
      <c r="R118" s="543">
        <f t="shared" si="58"/>
        <v>60649.674178082634</v>
      </c>
      <c r="S118" s="543">
        <f t="shared" si="58"/>
        <v>52833.850850000003</v>
      </c>
      <c r="T118" s="543">
        <f t="shared" si="58"/>
        <v>300436.82294445299</v>
      </c>
      <c r="U118" s="548"/>
      <c r="V118" s="543">
        <f t="shared" ref="V118:AH118" si="59">SUM(V17,V34,V61,V69,V80,V89,V98)</f>
        <v>24727.475411243406</v>
      </c>
      <c r="W118" s="543">
        <f t="shared" si="59"/>
        <v>22925.725060000004</v>
      </c>
      <c r="X118" s="543">
        <f t="shared" si="59"/>
        <v>26639.019718999996</v>
      </c>
      <c r="Y118" s="543">
        <f t="shared" si="59"/>
        <v>63590.412707543983</v>
      </c>
      <c r="Z118" s="543">
        <f t="shared" si="59"/>
        <v>65404.320977692252</v>
      </c>
      <c r="AA118" s="543">
        <f t="shared" si="59"/>
        <v>51012.457706572342</v>
      </c>
      <c r="AB118" s="543">
        <f t="shared" si="59"/>
        <v>60540.579450133635</v>
      </c>
      <c r="AC118" s="543">
        <f t="shared" si="59"/>
        <v>62835.130236569516</v>
      </c>
      <c r="AD118" s="543">
        <f t="shared" si="59"/>
        <v>64434.112998689707</v>
      </c>
      <c r="AE118" s="543">
        <f t="shared" si="59"/>
        <v>68752.911406071857</v>
      </c>
      <c r="AF118" s="543">
        <f t="shared" si="59"/>
        <v>65934.407828713447</v>
      </c>
      <c r="AG118" s="543">
        <f t="shared" si="59"/>
        <v>58636.890509977071</v>
      </c>
      <c r="AH118" s="543">
        <f t="shared" si="59"/>
        <v>320593.4529800216</v>
      </c>
      <c r="AI118" s="528"/>
      <c r="AJ118" s="543">
        <f t="shared" ref="AJ118:AQ118" si="60">SUM(AJ17,AJ34,AJ61,AJ69,AJ80,AJ89,AJ98)</f>
        <v>52383.736151252298</v>
      </c>
      <c r="AK118" s="543">
        <f t="shared" si="60"/>
        <v>66991.162120303081</v>
      </c>
      <c r="AL118" s="543">
        <f t="shared" si="60"/>
        <v>69659.036406597283</v>
      </c>
      <c r="AM118" s="543">
        <f t="shared" si="60"/>
        <v>64397.521656856297</v>
      </c>
      <c r="AN118" s="543">
        <f t="shared" si="60"/>
        <v>69266.919975590179</v>
      </c>
      <c r="AO118" s="543">
        <f t="shared" si="60"/>
        <v>67433.311647334893</v>
      </c>
      <c r="AP118" s="543">
        <f t="shared" si="60"/>
        <v>63280.420664243771</v>
      </c>
      <c r="AQ118" s="543">
        <f t="shared" si="60"/>
        <v>334037.21035062242</v>
      </c>
      <c r="AR118" s="548"/>
      <c r="AZ118" s="421"/>
    </row>
    <row r="119" spans="2:52" ht="15" customHeight="1" x14ac:dyDescent="0.2">
      <c r="B119" s="398"/>
      <c r="C119" s="488"/>
      <c r="D119" s="540"/>
      <c r="E119" s="529"/>
      <c r="F119" s="381"/>
      <c r="G119" s="381"/>
      <c r="H119" s="530"/>
      <c r="I119" s="530"/>
      <c r="J119" s="530"/>
      <c r="K119" s="530"/>
      <c r="L119" s="530"/>
      <c r="M119" s="530"/>
      <c r="N119" s="530"/>
      <c r="O119" s="530"/>
      <c r="P119" s="530"/>
      <c r="Q119" s="530"/>
      <c r="R119" s="530"/>
      <c r="S119" s="530"/>
      <c r="T119" s="530"/>
      <c r="U119" s="381"/>
      <c r="V119" s="530"/>
      <c r="W119" s="530"/>
      <c r="X119" s="530"/>
      <c r="Y119" s="530"/>
      <c r="Z119" s="530"/>
      <c r="AA119" s="530"/>
      <c r="AB119" s="530"/>
      <c r="AC119" s="530"/>
      <c r="AD119" s="530"/>
      <c r="AE119" s="530"/>
      <c r="AF119" s="530"/>
      <c r="AG119" s="530"/>
      <c r="AH119" s="530"/>
      <c r="AI119" s="528"/>
      <c r="AJ119" s="530"/>
      <c r="AK119" s="530"/>
      <c r="AL119" s="530"/>
      <c r="AM119" s="530"/>
      <c r="AN119" s="530"/>
      <c r="AO119" s="530"/>
      <c r="AP119" s="530"/>
      <c r="AQ119" s="530"/>
      <c r="AR119" s="381"/>
    </row>
    <row r="120" spans="2:52" ht="15" customHeight="1" x14ac:dyDescent="0.2">
      <c r="B120" s="381"/>
      <c r="C120" s="381"/>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528"/>
      <c r="AJ120" s="381"/>
      <c r="AK120" s="381"/>
      <c r="AL120" s="381"/>
      <c r="AM120" s="381"/>
      <c r="AN120" s="381"/>
      <c r="AO120" s="381"/>
      <c r="AP120" s="381"/>
      <c r="AQ120" s="381"/>
      <c r="AR120" s="381"/>
    </row>
    <row r="123" spans="2:52" ht="15" x14ac:dyDescent="0.25">
      <c r="D123" s="494" t="s">
        <v>67</v>
      </c>
      <c r="H123" s="371">
        <f t="shared" ref="H123:K123" si="61">I123-1</f>
        <v>2015</v>
      </c>
      <c r="I123" s="371">
        <f t="shared" si="61"/>
        <v>2016</v>
      </c>
      <c r="J123" s="371">
        <f t="shared" si="61"/>
        <v>2017</v>
      </c>
      <c r="K123" s="371">
        <f t="shared" si="61"/>
        <v>2018</v>
      </c>
      <c r="L123" s="371">
        <f>M123-1</f>
        <v>2019</v>
      </c>
      <c r="M123" s="371">
        <v>2020</v>
      </c>
      <c r="N123" s="371">
        <f>M123+1</f>
        <v>2021</v>
      </c>
      <c r="O123" s="371">
        <f t="shared" ref="O123:S123" si="62">N123+1</f>
        <v>2022</v>
      </c>
      <c r="P123" s="371">
        <f t="shared" si="62"/>
        <v>2023</v>
      </c>
      <c r="Q123" s="371">
        <f t="shared" si="62"/>
        <v>2024</v>
      </c>
      <c r="R123" s="371">
        <f t="shared" si="62"/>
        <v>2025</v>
      </c>
      <c r="S123" s="371">
        <f t="shared" si="62"/>
        <v>2026</v>
      </c>
      <c r="T123" s="371"/>
      <c r="U123" s="371"/>
      <c r="V123" s="371">
        <f>H123</f>
        <v>2015</v>
      </c>
      <c r="W123" s="371">
        <f t="shared" ref="W123:AG123" si="63">I123</f>
        <v>2016</v>
      </c>
      <c r="X123" s="371">
        <f t="shared" si="63"/>
        <v>2017</v>
      </c>
      <c r="Y123" s="371">
        <f t="shared" si="63"/>
        <v>2018</v>
      </c>
      <c r="Z123" s="371">
        <f t="shared" si="63"/>
        <v>2019</v>
      </c>
      <c r="AA123" s="371">
        <f t="shared" si="63"/>
        <v>2020</v>
      </c>
      <c r="AB123" s="371">
        <f t="shared" si="63"/>
        <v>2021</v>
      </c>
      <c r="AC123" s="371">
        <f t="shared" si="63"/>
        <v>2022</v>
      </c>
      <c r="AD123" s="371">
        <f t="shared" si="63"/>
        <v>2023</v>
      </c>
      <c r="AE123" s="371">
        <f t="shared" si="63"/>
        <v>2024</v>
      </c>
      <c r="AF123" s="371">
        <f t="shared" si="63"/>
        <v>2025</v>
      </c>
      <c r="AG123" s="371">
        <f t="shared" si="63"/>
        <v>2026</v>
      </c>
      <c r="AH123" s="371"/>
      <c r="AI123" s="371"/>
      <c r="AJ123" s="371">
        <f>AA123</f>
        <v>2020</v>
      </c>
      <c r="AK123" s="371">
        <f t="shared" ref="AK123:AP123" si="64">AB123</f>
        <v>2021</v>
      </c>
      <c r="AL123" s="371">
        <f t="shared" si="64"/>
        <v>2022</v>
      </c>
      <c r="AM123" s="371">
        <f t="shared" si="64"/>
        <v>2023</v>
      </c>
      <c r="AN123" s="371">
        <f t="shared" si="64"/>
        <v>2024</v>
      </c>
      <c r="AO123" s="371">
        <f t="shared" si="64"/>
        <v>2025</v>
      </c>
      <c r="AP123" s="371">
        <f t="shared" si="64"/>
        <v>2026</v>
      </c>
      <c r="AQ123" s="371"/>
      <c r="AR123" s="371"/>
      <c r="AS123" s="371"/>
      <c r="AT123" s="371"/>
    </row>
    <row r="124" spans="2:52" x14ac:dyDescent="0.2">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c r="AJ124" s="371"/>
      <c r="AK124" s="371"/>
      <c r="AL124" s="371"/>
      <c r="AM124" s="371"/>
      <c r="AN124" s="371"/>
      <c r="AO124" s="371"/>
      <c r="AP124" s="371"/>
      <c r="AQ124" s="371"/>
      <c r="AR124" s="371"/>
      <c r="AS124" s="371"/>
      <c r="AT124" s="371"/>
    </row>
    <row r="125" spans="2:52" ht="15" x14ac:dyDescent="0.25">
      <c r="D125" s="494" t="s">
        <v>56</v>
      </c>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71"/>
      <c r="AF125" s="371"/>
      <c r="AG125" s="371"/>
      <c r="AH125" s="371"/>
      <c r="AI125" s="371"/>
      <c r="AJ125" s="371"/>
      <c r="AK125" s="371"/>
      <c r="AL125" s="371"/>
      <c r="AM125" s="371"/>
      <c r="AN125" s="371"/>
      <c r="AO125" s="371"/>
      <c r="AP125" s="371"/>
      <c r="AQ125" s="371"/>
      <c r="AR125" s="371"/>
      <c r="AS125" s="371"/>
      <c r="AT125" s="371"/>
    </row>
    <row r="126" spans="2:52" x14ac:dyDescent="0.2">
      <c r="E126" s="391" t="s">
        <v>669</v>
      </c>
      <c r="H126" s="393">
        <f>H15-'Historical capex'!H157/1000</f>
        <v>0</v>
      </c>
      <c r="I126" s="393">
        <f>I15-'Historical capex'!I157/1000</f>
        <v>0</v>
      </c>
      <c r="J126" s="393">
        <f>J15-'Historical capex'!J157/1000</f>
        <v>0</v>
      </c>
      <c r="K126" s="393">
        <f>K15-'Historical capex'!K157/1000</f>
        <v>0</v>
      </c>
      <c r="L126" s="393">
        <f>L15-'Historical capex'!L157/1000</f>
        <v>0</v>
      </c>
      <c r="M126" s="393">
        <f>M15-('Capex summary'!M17)/1000</f>
        <v>0</v>
      </c>
      <c r="N126" s="393">
        <f>N15-('Capex summary'!N17)/1000</f>
        <v>0</v>
      </c>
      <c r="O126" s="393">
        <f>O15-('Capex summary'!O17)/1000</f>
        <v>0</v>
      </c>
      <c r="P126" s="393">
        <f>P15-('Capex summary'!P17)/1000</f>
        <v>0</v>
      </c>
      <c r="Q126" s="393">
        <f>Q15-('Capex summary'!Q17)/1000</f>
        <v>0</v>
      </c>
      <c r="R126" s="393">
        <f>R15-('Capex summary'!R17)/1000</f>
        <v>0</v>
      </c>
      <c r="S126" s="393">
        <f>S15-('Capex summary'!S17)/1000</f>
        <v>0</v>
      </c>
      <c r="T126" s="393"/>
      <c r="U126" s="393"/>
      <c r="V126" s="393">
        <f>V15-'Historical capex'!H175/1000</f>
        <v>0</v>
      </c>
      <c r="W126" s="393">
        <f>W15-'Historical capex'!I175/1000</f>
        <v>0</v>
      </c>
      <c r="X126" s="393">
        <f>X15-'Historical capex'!J175/1000</f>
        <v>0</v>
      </c>
      <c r="Y126" s="393">
        <f>Y15-'Historical capex'!K175/1000</f>
        <v>0</v>
      </c>
      <c r="Z126" s="393">
        <f>Z15-'Historical capex'!L175/1000</f>
        <v>0</v>
      </c>
      <c r="AA126" s="393">
        <f>AA15-('Capex summary'!M37)/1000</f>
        <v>0</v>
      </c>
      <c r="AB126" s="393">
        <f>AB15-('Capex summary'!N37)/1000</f>
        <v>0</v>
      </c>
      <c r="AC126" s="393">
        <f>AC15-('Capex summary'!O37)/1000</f>
        <v>0</v>
      </c>
      <c r="AD126" s="393">
        <f>AD15-('Capex summary'!P37)/1000</f>
        <v>0</v>
      </c>
      <c r="AE126" s="393">
        <f>AE15-('Capex summary'!Q37)/1000</f>
        <v>0</v>
      </c>
      <c r="AF126" s="393">
        <f>AF15-('Capex summary'!R37)/1000</f>
        <v>0</v>
      </c>
      <c r="AG126" s="393">
        <f>AG15-('Capex summary'!S37)/1000</f>
        <v>0</v>
      </c>
      <c r="AH126" s="371"/>
      <c r="AI126" s="371"/>
      <c r="AJ126" s="393">
        <f>AJ17-'Commissioned assets summary'!M56/1000</f>
        <v>0</v>
      </c>
      <c r="AK126" s="393">
        <f>AK17-'Commissioned assets summary'!N56/1000</f>
        <v>0</v>
      </c>
      <c r="AL126" s="393">
        <f>AL17-'Commissioned assets summary'!O56/1000</f>
        <v>0</v>
      </c>
      <c r="AM126" s="393">
        <f>AM17-'Commissioned assets summary'!P56/1000</f>
        <v>0</v>
      </c>
      <c r="AN126" s="393">
        <f>AN17-'Commissioned assets summary'!Q56/1000</f>
        <v>0</v>
      </c>
      <c r="AO126" s="393">
        <f>AO17-'Commissioned assets summary'!R56/1000</f>
        <v>0</v>
      </c>
      <c r="AP126" s="393">
        <f>AP17-'Commissioned assets summary'!S56/1000</f>
        <v>0</v>
      </c>
      <c r="AQ126" s="371"/>
      <c r="AR126" s="371"/>
      <c r="AS126" s="371"/>
      <c r="AT126" s="371"/>
    </row>
    <row r="127" spans="2:52" x14ac:dyDescent="0.2">
      <c r="E127" s="391" t="s">
        <v>670</v>
      </c>
      <c r="H127" s="393">
        <f>H32-'Historical capex'!H158/1000</f>
        <v>0</v>
      </c>
      <c r="I127" s="393">
        <f>I32-'Historical capex'!I158/1000</f>
        <v>0</v>
      </c>
      <c r="J127" s="393">
        <f>J32-'Historical capex'!J158/1000</f>
        <v>0</v>
      </c>
      <c r="K127" s="393">
        <f>K32-'Historical capex'!K158/1000</f>
        <v>0</v>
      </c>
      <c r="L127" s="393">
        <f>L32-'Historical capex'!L158/1000</f>
        <v>0</v>
      </c>
      <c r="M127" s="393">
        <f>M32-('Capex summary'!M18)/1000</f>
        <v>0</v>
      </c>
      <c r="N127" s="393">
        <f>N32-('Capex summary'!N18)/1000</f>
        <v>0</v>
      </c>
      <c r="O127" s="393">
        <f>O32-('Capex summary'!O18)/1000</f>
        <v>0</v>
      </c>
      <c r="P127" s="393">
        <f>P32-('Capex summary'!P18)/1000</f>
        <v>0</v>
      </c>
      <c r="Q127" s="393">
        <f>Q32-('Capex summary'!Q18)/1000</f>
        <v>0</v>
      </c>
      <c r="R127" s="393">
        <f>R32-('Capex summary'!R18)/1000</f>
        <v>0</v>
      </c>
      <c r="S127" s="393">
        <f>S32-('Capex summary'!S18)/1000</f>
        <v>0</v>
      </c>
      <c r="T127" s="393"/>
      <c r="U127" s="393"/>
      <c r="V127" s="393">
        <f>V32-'Historical capex'!H176/1000</f>
        <v>0</v>
      </c>
      <c r="W127" s="393">
        <f>W32-'Historical capex'!I176/1000</f>
        <v>0</v>
      </c>
      <c r="X127" s="393">
        <f>X32-'Historical capex'!J176/1000</f>
        <v>0</v>
      </c>
      <c r="Y127" s="393">
        <f>Y32-'Historical capex'!K176/1000</f>
        <v>0</v>
      </c>
      <c r="Z127" s="393">
        <f>Z32-'Historical capex'!L176/1000</f>
        <v>0</v>
      </c>
      <c r="AA127" s="393">
        <f>AA32-('Capex summary'!M38)/1000</f>
        <v>0</v>
      </c>
      <c r="AB127" s="393">
        <f>AB32-('Capex summary'!N38)/1000</f>
        <v>0</v>
      </c>
      <c r="AC127" s="393">
        <f>AC32-('Capex summary'!O38)/1000</f>
        <v>0</v>
      </c>
      <c r="AD127" s="393">
        <f>AD32-('Capex summary'!P38)/1000</f>
        <v>0</v>
      </c>
      <c r="AE127" s="393">
        <f>AE32-('Capex summary'!Q38)/1000</f>
        <v>0</v>
      </c>
      <c r="AF127" s="393">
        <f>AF32-('Capex summary'!R38)/1000</f>
        <v>0</v>
      </c>
      <c r="AG127" s="393">
        <f>AG32-('Capex summary'!S38)/1000</f>
        <v>0</v>
      </c>
      <c r="AH127" s="371"/>
      <c r="AI127" s="371"/>
      <c r="AJ127" s="393">
        <f>AJ34-'Commissioned assets summary'!M57/1000</f>
        <v>0</v>
      </c>
      <c r="AK127" s="393">
        <f>AK34-'Commissioned assets summary'!N57/1000</f>
        <v>0</v>
      </c>
      <c r="AL127" s="393">
        <f>AL34-'Commissioned assets summary'!O57/1000</f>
        <v>0</v>
      </c>
      <c r="AM127" s="393">
        <f>AM34-'Commissioned assets summary'!P57/1000</f>
        <v>0</v>
      </c>
      <c r="AN127" s="393">
        <f>AN34-'Commissioned assets summary'!Q57/1000</f>
        <v>0</v>
      </c>
      <c r="AO127" s="393">
        <f>AO34-'Commissioned assets summary'!R57/1000</f>
        <v>0</v>
      </c>
      <c r="AP127" s="393">
        <f>AP34-'Commissioned assets summary'!S57/1000</f>
        <v>0</v>
      </c>
      <c r="AQ127" s="371"/>
      <c r="AR127" s="371"/>
      <c r="AS127" s="371"/>
      <c r="AT127" s="371"/>
    </row>
    <row r="128" spans="2:52" x14ac:dyDescent="0.2">
      <c r="E128" s="391" t="s">
        <v>671</v>
      </c>
      <c r="H128" s="393">
        <f>H59-'Historical capex'!H159/1000</f>
        <v>0</v>
      </c>
      <c r="I128" s="393">
        <f>I59-'Historical capex'!I159/1000</f>
        <v>0</v>
      </c>
      <c r="J128" s="393">
        <f>J59-'Historical capex'!J159/1000</f>
        <v>0</v>
      </c>
      <c r="K128" s="393">
        <f>K59-'Historical capex'!K159/1000</f>
        <v>0</v>
      </c>
      <c r="L128" s="393">
        <f>L59-'Historical capex'!L159/1000</f>
        <v>0</v>
      </c>
      <c r="M128" s="393">
        <f>M59-('Capex summary'!M19)/1000</f>
        <v>0</v>
      </c>
      <c r="N128" s="393">
        <f>N59-('Capex summary'!N19)/1000</f>
        <v>0</v>
      </c>
      <c r="O128" s="393">
        <f>O59-('Capex summary'!O19)/1000</f>
        <v>0</v>
      </c>
      <c r="P128" s="393">
        <f>P59-('Capex summary'!P19)/1000</f>
        <v>0</v>
      </c>
      <c r="Q128" s="393">
        <f>Q59-('Capex summary'!Q19)/1000</f>
        <v>0</v>
      </c>
      <c r="R128" s="393">
        <f>R59-('Capex summary'!R19)/1000</f>
        <v>0</v>
      </c>
      <c r="S128" s="393">
        <f>S59-('Capex summary'!S19)/1000</f>
        <v>0</v>
      </c>
      <c r="T128" s="393"/>
      <c r="U128" s="393"/>
      <c r="V128" s="393">
        <f>V59-'Historical capex'!H177/1000</f>
        <v>0</v>
      </c>
      <c r="W128" s="393">
        <f>W59-'Historical capex'!I177/1000</f>
        <v>0</v>
      </c>
      <c r="X128" s="393">
        <f>X59-'Historical capex'!J177/1000</f>
        <v>0</v>
      </c>
      <c r="Y128" s="393">
        <f>Y59-'Historical capex'!K177/1000</f>
        <v>0</v>
      </c>
      <c r="Z128" s="393">
        <f>Z59-'Historical capex'!L177/1000</f>
        <v>0</v>
      </c>
      <c r="AA128" s="393">
        <f>AA59-('Capex summary'!M39)/1000</f>
        <v>0</v>
      </c>
      <c r="AB128" s="393">
        <f>AB59-('Capex summary'!N39)/1000</f>
        <v>0</v>
      </c>
      <c r="AC128" s="393">
        <f>AC59-('Capex summary'!O39)/1000</f>
        <v>0</v>
      </c>
      <c r="AD128" s="393">
        <f>AD59-('Capex summary'!P39)/1000</f>
        <v>0</v>
      </c>
      <c r="AE128" s="393">
        <f>AE59-('Capex summary'!Q39)/1000</f>
        <v>0</v>
      </c>
      <c r="AF128" s="393">
        <f>AF59-('Capex summary'!R39)/1000</f>
        <v>0</v>
      </c>
      <c r="AG128" s="393">
        <f>AG59-('Capex summary'!S39)/1000</f>
        <v>0</v>
      </c>
      <c r="AH128" s="371"/>
      <c r="AI128" s="371"/>
      <c r="AJ128" s="393">
        <f>AJ61-'Commissioned assets summary'!M58/1000</f>
        <v>0</v>
      </c>
      <c r="AK128" s="393">
        <f>AK61-'Commissioned assets summary'!N58/1000</f>
        <v>0</v>
      </c>
      <c r="AL128" s="393">
        <f>AL61-'Commissioned assets summary'!O58/1000</f>
        <v>0</v>
      </c>
      <c r="AM128" s="393">
        <f>AM61-'Commissioned assets summary'!P58/1000</f>
        <v>0</v>
      </c>
      <c r="AN128" s="393">
        <f>AN61-'Commissioned assets summary'!Q58/1000</f>
        <v>0</v>
      </c>
      <c r="AO128" s="393">
        <f>AO61-'Commissioned assets summary'!R58/1000</f>
        <v>0</v>
      </c>
      <c r="AP128" s="393">
        <f>AP61-'Commissioned assets summary'!S58/1000</f>
        <v>0</v>
      </c>
      <c r="AQ128" s="371"/>
      <c r="AR128" s="371"/>
      <c r="AS128" s="371"/>
      <c r="AT128" s="371"/>
    </row>
    <row r="129" spans="5:46" x14ac:dyDescent="0.2">
      <c r="E129" s="391" t="s">
        <v>672</v>
      </c>
      <c r="H129" s="393">
        <f>H67-'Historical capex'!H160/1000</f>
        <v>0</v>
      </c>
      <c r="I129" s="393">
        <f>I67-'Historical capex'!I160/1000</f>
        <v>0</v>
      </c>
      <c r="J129" s="393">
        <f>J67-'Historical capex'!J160/1000</f>
        <v>0</v>
      </c>
      <c r="K129" s="393">
        <f>K67-'Historical capex'!K160/1000</f>
        <v>0</v>
      </c>
      <c r="L129" s="393">
        <f>L67-'Historical capex'!L160/1000</f>
        <v>0</v>
      </c>
      <c r="M129" s="393">
        <f>M67-('Capex summary'!M20)/1000</f>
        <v>0</v>
      </c>
      <c r="N129" s="393">
        <f>N67-('Capex summary'!N20)/1000</f>
        <v>0</v>
      </c>
      <c r="O129" s="393">
        <f>O67-('Capex summary'!O20)/1000</f>
        <v>0</v>
      </c>
      <c r="P129" s="393">
        <f>P67-('Capex summary'!P20)/1000</f>
        <v>0</v>
      </c>
      <c r="Q129" s="393">
        <f>Q67-('Capex summary'!Q20)/1000</f>
        <v>0</v>
      </c>
      <c r="R129" s="393">
        <f>R67-('Capex summary'!R20)/1000</f>
        <v>0</v>
      </c>
      <c r="S129" s="393">
        <f>S67-('Capex summary'!S20)/1000</f>
        <v>0</v>
      </c>
      <c r="T129" s="393"/>
      <c r="U129" s="393"/>
      <c r="V129" s="393">
        <f>V67-'Historical capex'!H178/1000</f>
        <v>0</v>
      </c>
      <c r="W129" s="393">
        <f>W67-'Historical capex'!I178/1000</f>
        <v>0</v>
      </c>
      <c r="X129" s="393">
        <f>X67-'Historical capex'!J178/1000</f>
        <v>0</v>
      </c>
      <c r="Y129" s="393">
        <f>Y67-'Historical capex'!K178/1000</f>
        <v>0</v>
      </c>
      <c r="Z129" s="393">
        <f>Z67-'Historical capex'!L178/1000</f>
        <v>0</v>
      </c>
      <c r="AA129" s="393">
        <f>AA67-('Capex summary'!M40)/1000</f>
        <v>0</v>
      </c>
      <c r="AB129" s="393">
        <f>AB67-('Capex summary'!N40)/1000</f>
        <v>0</v>
      </c>
      <c r="AC129" s="393">
        <f>AC67-('Capex summary'!O40)/1000</f>
        <v>0</v>
      </c>
      <c r="AD129" s="393">
        <f>AD67-('Capex summary'!P40)/1000</f>
        <v>0</v>
      </c>
      <c r="AE129" s="393">
        <f>AE67-('Capex summary'!Q40)/1000</f>
        <v>0</v>
      </c>
      <c r="AF129" s="393">
        <f>AF67-('Capex summary'!R40)/1000</f>
        <v>0</v>
      </c>
      <c r="AG129" s="393">
        <f>AG67-('Capex summary'!S40)/1000</f>
        <v>0</v>
      </c>
      <c r="AH129" s="371"/>
      <c r="AI129" s="371"/>
      <c r="AJ129" s="393">
        <f>AJ69-'Commissioned assets summary'!M59/1000</f>
        <v>0</v>
      </c>
      <c r="AK129" s="393">
        <f>AK69-'Commissioned assets summary'!N59/1000</f>
        <v>0</v>
      </c>
      <c r="AL129" s="393">
        <f>AL69-'Commissioned assets summary'!O59/1000</f>
        <v>0</v>
      </c>
      <c r="AM129" s="393">
        <f>AM69-'Commissioned assets summary'!P59/1000</f>
        <v>0</v>
      </c>
      <c r="AN129" s="393">
        <f>AN69-'Commissioned assets summary'!Q59/1000</f>
        <v>0</v>
      </c>
      <c r="AO129" s="393">
        <f>AO69-'Commissioned assets summary'!R59/1000</f>
        <v>0</v>
      </c>
      <c r="AP129" s="393">
        <f>AP69-'Commissioned assets summary'!S59/1000</f>
        <v>0</v>
      </c>
      <c r="AQ129" s="371"/>
      <c r="AR129" s="371"/>
      <c r="AS129" s="371"/>
      <c r="AT129" s="371"/>
    </row>
    <row r="130" spans="5:46" x14ac:dyDescent="0.2">
      <c r="E130" s="391" t="s">
        <v>673</v>
      </c>
      <c r="H130" s="393">
        <f>H78-'Historical capex'!H166/1000</f>
        <v>0</v>
      </c>
      <c r="I130" s="393">
        <f>I78-'Historical capex'!I166/1000</f>
        <v>0</v>
      </c>
      <c r="J130" s="393">
        <f>J78-'Historical capex'!J166/1000</f>
        <v>0</v>
      </c>
      <c r="K130" s="393">
        <f>K78-'Historical capex'!K166/1000</f>
        <v>0</v>
      </c>
      <c r="L130" s="393">
        <f>L78-'Historical capex'!L166/1000</f>
        <v>0</v>
      </c>
      <c r="M130" s="393">
        <f>M78-('Capex summary'!M26)/1000</f>
        <v>0</v>
      </c>
      <c r="N130" s="393">
        <f>N78-('Capex summary'!N26)/1000</f>
        <v>0</v>
      </c>
      <c r="O130" s="393">
        <f>O78-('Capex summary'!O26)/1000</f>
        <v>0</v>
      </c>
      <c r="P130" s="393">
        <f>P78-('Capex summary'!P26)/1000</f>
        <v>0</v>
      </c>
      <c r="Q130" s="393">
        <f>Q78-('Capex summary'!Q26)/1000</f>
        <v>0</v>
      </c>
      <c r="R130" s="393">
        <f>R78-('Capex summary'!R26)/1000</f>
        <v>0</v>
      </c>
      <c r="S130" s="393">
        <f>S78-('Capex summary'!S26)/1000</f>
        <v>0</v>
      </c>
      <c r="T130" s="393"/>
      <c r="U130" s="393"/>
      <c r="V130" s="393">
        <f>V78-'Historical capex'!H184/1000</f>
        <v>0</v>
      </c>
      <c r="W130" s="393">
        <f>W78-'Historical capex'!I184/1000</f>
        <v>0</v>
      </c>
      <c r="X130" s="393">
        <f>X78-'Historical capex'!J184/1000</f>
        <v>0</v>
      </c>
      <c r="Y130" s="393">
        <f>Y78-'Historical capex'!K184/1000</f>
        <v>0</v>
      </c>
      <c r="Z130" s="393">
        <f>Z78-'Historical capex'!L184/1000</f>
        <v>0</v>
      </c>
      <c r="AA130" s="393">
        <f>AA78-('Capex summary'!M46)/1000</f>
        <v>0</v>
      </c>
      <c r="AB130" s="393">
        <f>AB78-('Capex summary'!N46)/1000</f>
        <v>0</v>
      </c>
      <c r="AC130" s="393">
        <f>AC78-('Capex summary'!O46)/1000</f>
        <v>0</v>
      </c>
      <c r="AD130" s="393">
        <f>AD78-('Capex summary'!P46)/1000</f>
        <v>0</v>
      </c>
      <c r="AE130" s="393">
        <f>AE78-('Capex summary'!Q46)/1000</f>
        <v>0</v>
      </c>
      <c r="AF130" s="393">
        <f>AF78-('Capex summary'!R46)/1000</f>
        <v>0</v>
      </c>
      <c r="AG130" s="393">
        <f>AG78-('Capex summary'!S46)/1000</f>
        <v>0</v>
      </c>
      <c r="AH130" s="371"/>
      <c r="AI130" s="371"/>
      <c r="AJ130" s="393">
        <f>AJ80-'Commissioned assets summary'!M65/1000</f>
        <v>0</v>
      </c>
      <c r="AK130" s="393">
        <f>AK80-'Commissioned assets summary'!N65/1000</f>
        <v>0</v>
      </c>
      <c r="AL130" s="393">
        <f>AL80-'Commissioned assets summary'!O65/1000</f>
        <v>0</v>
      </c>
      <c r="AM130" s="393">
        <f>AM80-'Commissioned assets summary'!P65/1000</f>
        <v>0</v>
      </c>
      <c r="AN130" s="393">
        <f>AN80-'Commissioned assets summary'!Q65/1000</f>
        <v>0</v>
      </c>
      <c r="AO130" s="393">
        <f>AO80-'Commissioned assets summary'!R65/1000</f>
        <v>0</v>
      </c>
      <c r="AP130" s="393">
        <f>AP80-'Commissioned assets summary'!S65/1000</f>
        <v>0</v>
      </c>
      <c r="AQ130" s="371"/>
      <c r="AR130" s="371"/>
      <c r="AS130" s="371"/>
      <c r="AT130" s="371"/>
    </row>
    <row r="131" spans="5:46" x14ac:dyDescent="0.2">
      <c r="E131" s="391" t="s">
        <v>674</v>
      </c>
      <c r="H131" s="393">
        <f>IF(ABS(H114-'Historical capex'!H170/1000)&lt;0.001,0,1)</f>
        <v>0</v>
      </c>
      <c r="I131" s="393">
        <f>IF(ABS(I114-'Historical capex'!I170/1000)&lt;0.001,0,1)</f>
        <v>0</v>
      </c>
      <c r="J131" s="393">
        <f>IF(ABS(J114-'Historical capex'!J170/1000)&lt;0.001,0,1)</f>
        <v>0</v>
      </c>
      <c r="K131" s="393">
        <f>IF(ABS(K114-'Historical capex'!K170/1000)&lt;0.001,0,1)</f>
        <v>0</v>
      </c>
      <c r="L131" s="393">
        <f>IF(ABS(L114-'Historical capex'!L170/1000)&lt;0.001,0,1)</f>
        <v>0</v>
      </c>
      <c r="M131" s="393">
        <f>M114-('Capex summary'!M30)/1000</f>
        <v>0</v>
      </c>
      <c r="N131" s="393">
        <f>N114-('Capex summary'!N30)/1000</f>
        <v>0</v>
      </c>
      <c r="O131" s="393">
        <f>O114-('Capex summary'!O30)/1000</f>
        <v>0</v>
      </c>
      <c r="P131" s="393">
        <f>P114-('Capex summary'!P30)/1000</f>
        <v>0</v>
      </c>
      <c r="Q131" s="393">
        <f>Q114-('Capex summary'!Q30)/1000</f>
        <v>0</v>
      </c>
      <c r="R131" s="393">
        <f>R114-('Capex summary'!R30)/1000</f>
        <v>0</v>
      </c>
      <c r="S131" s="393">
        <f>S114-('Capex summary'!S30)/1000</f>
        <v>0</v>
      </c>
      <c r="T131" s="393"/>
      <c r="U131" s="393"/>
      <c r="V131" s="393">
        <f>IF(ABS(V114-'Historical capex'!H188/1000)&lt;0.001,0,1)</f>
        <v>0</v>
      </c>
      <c r="W131" s="393">
        <f>IF(ABS(W114-'Historical capex'!I188/1000)&lt;0.001,0,1)</f>
        <v>0</v>
      </c>
      <c r="X131" s="393">
        <f>IF(ABS(X114-'Historical capex'!J188/1000)&lt;0.001,0,1)</f>
        <v>0</v>
      </c>
      <c r="Y131" s="393">
        <f>IF(ABS(Y114-'Historical capex'!K188/1000)&lt;0.001,0,1)</f>
        <v>0</v>
      </c>
      <c r="Z131" s="393">
        <f>Z114-'Historical capex'!L188/1000</f>
        <v>0</v>
      </c>
      <c r="AA131" s="393">
        <f>AA114-('Capex summary'!M50)/1000</f>
        <v>0</v>
      </c>
      <c r="AB131" s="393">
        <f>AB114-('Capex summary'!N50)/1000</f>
        <v>0</v>
      </c>
      <c r="AC131" s="393">
        <f>AC114-('Capex summary'!O50)/1000</f>
        <v>0</v>
      </c>
      <c r="AD131" s="393">
        <f>AD114-('Capex summary'!P50)/1000</f>
        <v>0</v>
      </c>
      <c r="AE131" s="393">
        <f>AE114-('Capex summary'!Q50)/1000</f>
        <v>0</v>
      </c>
      <c r="AF131" s="393">
        <f>AF114-('Capex summary'!R50)/1000</f>
        <v>0</v>
      </c>
      <c r="AG131" s="393">
        <f>AG114-('Capex summary'!S50)/1000</f>
        <v>0</v>
      </c>
      <c r="AH131" s="371"/>
      <c r="AI131" s="371"/>
      <c r="AJ131" s="393">
        <f>AJ114-'Commissioned assets summary'!M69/1000</f>
        <v>0</v>
      </c>
      <c r="AK131" s="393">
        <f>AK114-'Commissioned assets summary'!N69/1000</f>
        <v>0</v>
      </c>
      <c r="AL131" s="393">
        <f>AL114-'Commissioned assets summary'!O69/1000</f>
        <v>0</v>
      </c>
      <c r="AM131" s="393">
        <f>AM114-'Commissioned assets summary'!P69/1000</f>
        <v>0</v>
      </c>
      <c r="AN131" s="393">
        <f>AN114-'Commissioned assets summary'!Q69/1000</f>
        <v>0</v>
      </c>
      <c r="AO131" s="393">
        <f>AO114-'Commissioned assets summary'!R69/1000</f>
        <v>0</v>
      </c>
      <c r="AP131" s="393">
        <f>AP114-'Commissioned assets summary'!S69/1000</f>
        <v>0</v>
      </c>
      <c r="AQ131" s="371"/>
      <c r="AR131" s="371"/>
      <c r="AS131" s="371"/>
      <c r="AT131" s="371"/>
    </row>
    <row r="134" spans="5:46" x14ac:dyDescent="0.2">
      <c r="L134" s="574"/>
      <c r="M134" s="575"/>
      <c r="N134" s="575"/>
      <c r="O134" s="575"/>
      <c r="P134" s="575"/>
      <c r="Q134" s="575"/>
      <c r="R134" s="575"/>
      <c r="S134" s="575"/>
    </row>
    <row r="135" spans="5:46" x14ac:dyDescent="0.2">
      <c r="L135" s="574"/>
      <c r="M135" s="576"/>
      <c r="N135" s="576"/>
      <c r="O135" s="576"/>
      <c r="P135" s="576"/>
      <c r="Q135" s="576"/>
      <c r="R135" s="576"/>
      <c r="S135" s="576"/>
    </row>
    <row r="136" spans="5:46" x14ac:dyDescent="0.2">
      <c r="L136" s="574"/>
      <c r="M136" s="575"/>
      <c r="N136" s="575"/>
      <c r="O136" s="575"/>
      <c r="P136" s="575"/>
      <c r="Q136" s="575"/>
      <c r="R136" s="575"/>
      <c r="S136" s="575"/>
    </row>
    <row r="137" spans="5:46" x14ac:dyDescent="0.2">
      <c r="L137" s="574"/>
      <c r="M137" s="576"/>
      <c r="N137" s="576"/>
      <c r="O137" s="576"/>
      <c r="P137" s="576"/>
      <c r="Q137" s="576"/>
      <c r="R137" s="576"/>
      <c r="S137" s="576"/>
    </row>
    <row r="138" spans="5:46" x14ac:dyDescent="0.2">
      <c r="L138" s="574"/>
      <c r="M138" s="575"/>
      <c r="N138" s="575"/>
      <c r="O138" s="575"/>
      <c r="P138" s="575"/>
      <c r="Q138" s="575"/>
      <c r="R138" s="575"/>
      <c r="S138" s="575"/>
    </row>
  </sheetData>
  <sheetProtection algorithmName="SHA-512" hashValue="Im+SG8h+14sgYjrVDkkwGHHc6DDVZ1EAu33F6VvWFRgZ+JHsJhdhNcw7PS4XFIKhIoRA/m84Bt2G+7gmzqjwNg==" saltValue="t2HBe0IofsIp6igG2gMkpQ==" spinCount="100000" sheet="1" objects="1" scenarios="1"/>
  <mergeCells count="14">
    <mergeCell ref="AH7:AH8"/>
    <mergeCell ref="AJ7:AK7"/>
    <mergeCell ref="AL7:AP7"/>
    <mergeCell ref="AQ7:AQ8"/>
    <mergeCell ref="H6:T6"/>
    <mergeCell ref="V6:AH6"/>
    <mergeCell ref="AJ6:AQ6"/>
    <mergeCell ref="H7:L7"/>
    <mergeCell ref="M7:N7"/>
    <mergeCell ref="O7:S7"/>
    <mergeCell ref="T7:T8"/>
    <mergeCell ref="V7:Z7"/>
    <mergeCell ref="AA7:AB7"/>
    <mergeCell ref="AC7:AG7"/>
  </mergeCells>
  <conditionalFormatting sqref="H126:AG126">
    <cfRule type="cellIs" dxfId="19" priority="7" stopIfTrue="1" operator="equal">
      <formula>0</formula>
    </cfRule>
    <cfRule type="cellIs" dxfId="18" priority="8" stopIfTrue="1" operator="notEqual">
      <formula>0</formula>
    </cfRule>
  </conditionalFormatting>
  <conditionalFormatting sqref="H127:AG131">
    <cfRule type="cellIs" dxfId="17" priority="5" stopIfTrue="1" operator="equal">
      <formula>0</formula>
    </cfRule>
    <cfRule type="cellIs" dxfId="16" priority="6" stopIfTrue="1" operator="notEqual">
      <formula>0</formula>
    </cfRule>
  </conditionalFormatting>
  <conditionalFormatting sqref="AJ126:AP126">
    <cfRule type="cellIs" dxfId="15" priority="3" stopIfTrue="1" operator="equal">
      <formula>0</formula>
    </cfRule>
    <cfRule type="cellIs" dxfId="14" priority="4" stopIfTrue="1" operator="notEqual">
      <formula>0</formula>
    </cfRule>
  </conditionalFormatting>
  <conditionalFormatting sqref="AJ127:AP131">
    <cfRule type="cellIs" dxfId="13" priority="1" stopIfTrue="1" operator="equal">
      <formula>0</formula>
    </cfRule>
    <cfRule type="cellIs" dxfId="12" priority="2" stopIfTrue="1" operator="notEqual">
      <formula>0</formula>
    </cfRule>
  </conditionalFormatting>
  <dataValidations disablePrompts="1" count="1">
    <dataValidation allowBlank="1" showInputMessage="1" showErrorMessage="1" prompt="Please enter text" sqref="E65 E13 E20:E30 E75:E76 E103:E104 E38:E57 E84:E85 E93:E94 E109:E110" xr:uid="{00000000-0002-0000-1300-000000000000}"/>
  </dataValidations>
  <pageMargins left="0.70866141732283472" right="0.70866141732283472" top="0.74803149606299213" bottom="0.74803149606299213" header="0.31496062992125984" footer="0.31496062992125984"/>
  <pageSetup paperSize="9" scale="60" pageOrder="overThenDown" orientation="landscape" r:id="rId1"/>
  <headerFooter>
    <oddFooter>&amp;A</oddFooter>
  </headerFooter>
  <rowBreaks count="1" manualBreakCount="1">
    <brk id="35" min="1" max="44" man="1"/>
  </rowBreaks>
  <colBreaks count="2" manualBreakCount="2">
    <brk id="21" min="1" max="120" man="1"/>
    <brk id="35" min="1" max="12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B76F-1221-4FCC-B251-5BE997DDF214}">
  <sheetPr codeName="Sheet22"/>
  <dimension ref="A1:AO110"/>
  <sheetViews>
    <sheetView showGridLines="0" zoomScaleNormal="100" workbookViewId="0">
      <pane xSplit="3" ySplit="4" topLeftCell="D5" activePane="bottomRight" state="frozen"/>
      <selection pane="topRight" activeCell="B116" sqref="B116"/>
      <selection pane="bottomLeft" activeCell="B116" sqref="B116"/>
      <selection pane="bottomRight" activeCell="D5" sqref="D5"/>
    </sheetView>
  </sheetViews>
  <sheetFormatPr defaultColWidth="8.875" defaultRowHeight="14.25" x14ac:dyDescent="0.2"/>
  <cols>
    <col min="1" max="1" width="2.875" style="479" customWidth="1"/>
    <col min="2" max="2" width="8.875" style="479" customWidth="1"/>
    <col min="3" max="3" width="51.375" style="479" customWidth="1"/>
    <col min="4" max="4" width="2.875" style="479" customWidth="1"/>
    <col min="5" max="17" width="8.625" style="479" customWidth="1"/>
    <col min="18" max="18" width="3.375" style="479" customWidth="1"/>
    <col min="19" max="31" width="8.625" style="479" customWidth="1"/>
    <col min="32" max="32" width="5.25" style="479" customWidth="1"/>
    <col min="33" max="40" width="8.625" style="479" customWidth="1"/>
    <col min="41" max="41" width="4.75" style="479" customWidth="1"/>
    <col min="42" max="16384" width="8.875" style="479"/>
  </cols>
  <sheetData>
    <row r="1" spans="1:41" ht="37.5" customHeight="1" thickBot="1" x14ac:dyDescent="0.25">
      <c r="A1" s="577"/>
      <c r="B1" s="689" t="s">
        <v>675</v>
      </c>
      <c r="C1" s="689"/>
      <c r="D1" s="578"/>
      <c r="E1" s="578" t="s">
        <v>503</v>
      </c>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381"/>
      <c r="AH1" s="381"/>
      <c r="AI1" s="381"/>
      <c r="AJ1" s="381"/>
      <c r="AK1" s="381"/>
      <c r="AL1" s="381"/>
      <c r="AM1" s="381"/>
      <c r="AN1" s="381"/>
      <c r="AO1" s="381"/>
    </row>
    <row r="2" spans="1:41" ht="18.75" customHeight="1" thickBot="1" x14ac:dyDescent="0.3">
      <c r="A2" s="381"/>
      <c r="B2" s="381"/>
      <c r="C2" s="381"/>
      <c r="D2" s="381"/>
      <c r="E2" s="691" t="s">
        <v>625</v>
      </c>
      <c r="F2" s="692"/>
      <c r="G2" s="692"/>
      <c r="H2" s="692"/>
      <c r="I2" s="692"/>
      <c r="J2" s="692"/>
      <c r="K2" s="692"/>
      <c r="L2" s="692"/>
      <c r="M2" s="692"/>
      <c r="N2" s="692"/>
      <c r="O2" s="692"/>
      <c r="P2" s="692"/>
      <c r="Q2" s="693"/>
      <c r="R2" s="381"/>
      <c r="S2" s="699" t="s">
        <v>626</v>
      </c>
      <c r="T2" s="700"/>
      <c r="U2" s="700"/>
      <c r="V2" s="700"/>
      <c r="W2" s="700"/>
      <c r="X2" s="700"/>
      <c r="Y2" s="700"/>
      <c r="Z2" s="700"/>
      <c r="AA2" s="700"/>
      <c r="AB2" s="700"/>
      <c r="AC2" s="700"/>
      <c r="AD2" s="700"/>
      <c r="AE2" s="701"/>
      <c r="AF2" s="533"/>
      <c r="AG2" s="696" t="s">
        <v>676</v>
      </c>
      <c r="AH2" s="697"/>
      <c r="AI2" s="697"/>
      <c r="AJ2" s="697"/>
      <c r="AK2" s="697"/>
      <c r="AL2" s="697"/>
      <c r="AM2" s="697"/>
      <c r="AN2" s="698"/>
      <c r="AO2" s="381"/>
    </row>
    <row r="3" spans="1:41" ht="17.649999999999999" customHeight="1" x14ac:dyDescent="0.2">
      <c r="A3" s="381"/>
      <c r="B3" s="381"/>
      <c r="C3" s="690" t="s">
        <v>503</v>
      </c>
      <c r="D3" s="381"/>
      <c r="E3" s="688" t="s">
        <v>46</v>
      </c>
      <c r="F3" s="688"/>
      <c r="G3" s="688"/>
      <c r="H3" s="688"/>
      <c r="I3" s="688"/>
      <c r="J3" s="688" t="s">
        <v>577</v>
      </c>
      <c r="K3" s="688"/>
      <c r="L3" s="688" t="s">
        <v>578</v>
      </c>
      <c r="M3" s="688"/>
      <c r="N3" s="688"/>
      <c r="O3" s="688"/>
      <c r="P3" s="686"/>
      <c r="Q3" s="684" t="s">
        <v>615</v>
      </c>
      <c r="R3" s="381"/>
      <c r="S3" s="688" t="s">
        <v>46</v>
      </c>
      <c r="T3" s="688"/>
      <c r="U3" s="688"/>
      <c r="V3" s="688"/>
      <c r="W3" s="688"/>
      <c r="X3" s="686" t="s">
        <v>577</v>
      </c>
      <c r="Y3" s="687"/>
      <c r="Z3" s="688" t="s">
        <v>578</v>
      </c>
      <c r="AA3" s="688"/>
      <c r="AB3" s="688"/>
      <c r="AC3" s="688"/>
      <c r="AD3" s="688"/>
      <c r="AE3" s="702" t="s">
        <v>628</v>
      </c>
      <c r="AF3" s="481"/>
      <c r="AG3" s="686" t="s">
        <v>577</v>
      </c>
      <c r="AH3" s="687"/>
      <c r="AI3" s="688" t="s">
        <v>578</v>
      </c>
      <c r="AJ3" s="688"/>
      <c r="AK3" s="688"/>
      <c r="AL3" s="688"/>
      <c r="AM3" s="688"/>
      <c r="AN3" s="694" t="s">
        <v>628</v>
      </c>
      <c r="AO3" s="381"/>
    </row>
    <row r="4" spans="1:41" ht="32.1" customHeight="1" x14ac:dyDescent="0.2">
      <c r="A4" s="398"/>
      <c r="B4" s="381"/>
      <c r="C4" s="690"/>
      <c r="D4" s="579" t="str">
        <f>IF(ISNUMBER(#REF!),"for year ended","")</f>
        <v/>
      </c>
      <c r="E4" s="580" t="s">
        <v>581</v>
      </c>
      <c r="F4" s="502" t="s">
        <v>582</v>
      </c>
      <c r="G4" s="502" t="s">
        <v>583</v>
      </c>
      <c r="H4" s="502" t="s">
        <v>584</v>
      </c>
      <c r="I4" s="502" t="s">
        <v>585</v>
      </c>
      <c r="J4" s="581" t="s">
        <v>586</v>
      </c>
      <c r="K4" s="550" t="s">
        <v>587</v>
      </c>
      <c r="L4" s="581" t="s">
        <v>588</v>
      </c>
      <c r="M4" s="550" t="s">
        <v>589</v>
      </c>
      <c r="N4" s="550" t="s">
        <v>590</v>
      </c>
      <c r="O4" s="550" t="s">
        <v>591</v>
      </c>
      <c r="P4" s="502" t="s">
        <v>592</v>
      </c>
      <c r="Q4" s="685"/>
      <c r="R4" s="562"/>
      <c r="S4" s="582" t="s">
        <v>581</v>
      </c>
      <c r="T4" s="583" t="s">
        <v>582</v>
      </c>
      <c r="U4" s="583" t="s">
        <v>583</v>
      </c>
      <c r="V4" s="583" t="s">
        <v>584</v>
      </c>
      <c r="W4" s="584" t="s">
        <v>585</v>
      </c>
      <c r="X4" s="585" t="s">
        <v>586</v>
      </c>
      <c r="Y4" s="584" t="s">
        <v>587</v>
      </c>
      <c r="Z4" s="585" t="s">
        <v>588</v>
      </c>
      <c r="AA4" s="583" t="s">
        <v>589</v>
      </c>
      <c r="AB4" s="583" t="s">
        <v>590</v>
      </c>
      <c r="AC4" s="583" t="s">
        <v>591</v>
      </c>
      <c r="AD4" s="584" t="s">
        <v>592</v>
      </c>
      <c r="AE4" s="703"/>
      <c r="AF4" s="502"/>
      <c r="AG4" s="585" t="s">
        <v>586</v>
      </c>
      <c r="AH4" s="584" t="s">
        <v>587</v>
      </c>
      <c r="AI4" s="585" t="s">
        <v>588</v>
      </c>
      <c r="AJ4" s="583" t="s">
        <v>589</v>
      </c>
      <c r="AK4" s="583" t="s">
        <v>590</v>
      </c>
      <c r="AL4" s="583" t="s">
        <v>591</v>
      </c>
      <c r="AM4" s="584" t="s">
        <v>592</v>
      </c>
      <c r="AN4" s="695"/>
      <c r="AO4" s="423"/>
    </row>
    <row r="5" spans="1:41" ht="14.65" customHeight="1" x14ac:dyDescent="0.25">
      <c r="A5" s="398"/>
      <c r="B5" s="561" t="s">
        <v>677</v>
      </c>
      <c r="C5" s="537"/>
      <c r="D5" s="423"/>
      <c r="E5" s="586"/>
      <c r="F5" s="586"/>
      <c r="G5" s="586"/>
      <c r="H5" s="586"/>
      <c r="I5" s="586"/>
      <c r="J5" s="586"/>
      <c r="K5" s="586"/>
      <c r="L5" s="586"/>
      <c r="M5" s="586"/>
      <c r="N5" s="586"/>
      <c r="O5" s="586"/>
      <c r="P5" s="586"/>
      <c r="Q5" s="586"/>
      <c r="R5" s="423"/>
      <c r="S5" s="587"/>
      <c r="T5" s="587"/>
      <c r="U5" s="587"/>
      <c r="V5" s="587"/>
      <c r="W5" s="587"/>
      <c r="X5" s="587"/>
      <c r="Y5" s="588"/>
      <c r="Z5" s="588"/>
      <c r="AA5" s="588"/>
      <c r="AB5" s="588"/>
      <c r="AC5" s="588"/>
      <c r="AD5" s="588"/>
      <c r="AE5" s="588"/>
      <c r="AF5" s="588"/>
      <c r="AG5" s="588"/>
      <c r="AH5" s="588"/>
      <c r="AI5" s="588"/>
      <c r="AJ5" s="588"/>
      <c r="AK5" s="588"/>
      <c r="AL5" s="588"/>
      <c r="AM5" s="588"/>
      <c r="AN5" s="588"/>
      <c r="AO5" s="423"/>
    </row>
    <row r="6" spans="1:41" ht="14.65" customHeight="1" x14ac:dyDescent="0.2">
      <c r="A6" s="398"/>
      <c r="B6" s="551"/>
      <c r="C6" s="589" t="s">
        <v>308</v>
      </c>
      <c r="D6" s="381"/>
      <c r="E6" s="408">
        <f>'Historical capex'!H205/1000</f>
        <v>0</v>
      </c>
      <c r="F6" s="408">
        <f>'Historical capex'!I205/1000</f>
        <v>262.57894956825515</v>
      </c>
      <c r="G6" s="408">
        <f>'Historical capex'!J205/1000</f>
        <v>2.0991191115238315</v>
      </c>
      <c r="H6" s="408">
        <f>'Historical capex'!K205/1000</f>
        <v>115.71876637372235</v>
      </c>
      <c r="I6" s="408">
        <f>'Historical capex'!L205/1000</f>
        <v>770.2284878728608</v>
      </c>
      <c r="J6" s="408">
        <f>'Capex summary'!M106/1000</f>
        <v>0</v>
      </c>
      <c r="K6" s="408">
        <f>'Capex summary'!N106/1000</f>
        <v>531.20000000000005</v>
      </c>
      <c r="L6" s="408">
        <f>'Capex summary'!O106/1000</f>
        <v>0</v>
      </c>
      <c r="M6" s="408">
        <f>'Capex summary'!P106/1000</f>
        <v>0</v>
      </c>
      <c r="N6" s="408">
        <f>'Capex summary'!Q106/1000</f>
        <v>0</v>
      </c>
      <c r="O6" s="408">
        <f>'Capex summary'!R106/1000</f>
        <v>0</v>
      </c>
      <c r="P6" s="408">
        <f>'Capex summary'!S106/1000</f>
        <v>0</v>
      </c>
      <c r="Q6" s="408">
        <f>SUM(L6:P6)</f>
        <v>0</v>
      </c>
      <c r="R6" s="381"/>
      <c r="S6" s="408">
        <f>'Historical capex'!H221/1000</f>
        <v>0</v>
      </c>
      <c r="T6" s="408">
        <f>'Historical capex'!I221/1000</f>
        <v>247.5</v>
      </c>
      <c r="U6" s="408">
        <f>'Historical capex'!J221/1000</f>
        <v>2</v>
      </c>
      <c r="V6" s="408">
        <f>'Historical capex'!K221/1000</f>
        <v>112</v>
      </c>
      <c r="W6" s="408">
        <f>'Historical capex'!L221/1000</f>
        <v>758.1</v>
      </c>
      <c r="X6" s="408">
        <f>'Capex summary'!M123/1000</f>
        <v>0</v>
      </c>
      <c r="Y6" s="408">
        <f>'Capex summary'!N123/1000</f>
        <v>538.81376126040038</v>
      </c>
      <c r="Z6" s="408">
        <f>'Capex summary'!O123/1000</f>
        <v>0</v>
      </c>
      <c r="AA6" s="408">
        <f>'Capex summary'!P123/1000</f>
        <v>0</v>
      </c>
      <c r="AB6" s="408">
        <f>'Capex summary'!Q123/1000</f>
        <v>0</v>
      </c>
      <c r="AC6" s="408">
        <f>'Capex summary'!R123/1000</f>
        <v>0</v>
      </c>
      <c r="AD6" s="408">
        <f>'Capex summary'!S123/1000</f>
        <v>0</v>
      </c>
      <c r="AE6" s="408">
        <f>SUM(Z6:AD6)</f>
        <v>0</v>
      </c>
      <c r="AF6" s="533"/>
      <c r="AG6" s="408">
        <f>'Commissioned assets summary'!M99/1000</f>
        <v>0</v>
      </c>
      <c r="AH6" s="408">
        <f>'Commissioned assets summary'!N99/1000</f>
        <v>0</v>
      </c>
      <c r="AI6" s="408">
        <f>'Commissioned assets summary'!O99/1000</f>
        <v>0</v>
      </c>
      <c r="AJ6" s="408">
        <f>'Commissioned assets summary'!P99/1000</f>
        <v>0</v>
      </c>
      <c r="AK6" s="408">
        <f>'Commissioned assets summary'!Q99/1000</f>
        <v>598.37470629549625</v>
      </c>
      <c r="AL6" s="408">
        <f>'Commissioned assets summary'!R99/1000</f>
        <v>0</v>
      </c>
      <c r="AM6" s="408">
        <f>'Commissioned assets summary'!S99/1000</f>
        <v>0</v>
      </c>
      <c r="AN6" s="408">
        <f>SUM(AI6:AM6)</f>
        <v>598.37470629549625</v>
      </c>
      <c r="AO6" s="381"/>
    </row>
    <row r="7" spans="1:41" ht="14.65" customHeight="1" x14ac:dyDescent="0.2">
      <c r="A7" s="398"/>
      <c r="B7" s="551"/>
      <c r="C7" s="589" t="s">
        <v>309</v>
      </c>
      <c r="D7" s="381"/>
      <c r="E7" s="408">
        <f>'Historical capex'!H206/1000</f>
        <v>0</v>
      </c>
      <c r="F7" s="408">
        <f>'Historical capex'!I206/1000</f>
        <v>262.57894956825515</v>
      </c>
      <c r="G7" s="408">
        <f>'Historical capex'!J206/1000</f>
        <v>2.0991191115238315</v>
      </c>
      <c r="H7" s="408">
        <f>'Historical capex'!K206/1000</f>
        <v>115.71876637372235</v>
      </c>
      <c r="I7" s="408">
        <f>'Historical capex'!L206/1000</f>
        <v>770.2284878728608</v>
      </c>
      <c r="J7" s="408">
        <f>'Capex summary'!M107/1000</f>
        <v>0</v>
      </c>
      <c r="K7" s="408">
        <f>'Capex summary'!N107/1000</f>
        <v>431.4</v>
      </c>
      <c r="L7" s="408">
        <f>'Capex summary'!O107/1000</f>
        <v>0</v>
      </c>
      <c r="M7" s="408">
        <f>'Capex summary'!P107/1000</f>
        <v>0</v>
      </c>
      <c r="N7" s="408">
        <f>'Capex summary'!Q107/1000</f>
        <v>0</v>
      </c>
      <c r="O7" s="408">
        <f>'Capex summary'!R107/1000</f>
        <v>0</v>
      </c>
      <c r="P7" s="408">
        <f>'Capex summary'!S107/1000</f>
        <v>0</v>
      </c>
      <c r="Q7" s="408">
        <f t="shared" ref="Q7:Q13" si="0">SUM(L7:P7)</f>
        <v>0</v>
      </c>
      <c r="R7" s="381"/>
      <c r="S7" s="408">
        <f>'Historical capex'!H222/1000</f>
        <v>0</v>
      </c>
      <c r="T7" s="408">
        <f>'Historical capex'!I222/1000</f>
        <v>247.5</v>
      </c>
      <c r="U7" s="408">
        <f>'Historical capex'!J222/1000</f>
        <v>2</v>
      </c>
      <c r="V7" s="408">
        <f>'Historical capex'!K222/1000</f>
        <v>112</v>
      </c>
      <c r="W7" s="408">
        <f>'Historical capex'!L222/1000</f>
        <v>758.1</v>
      </c>
      <c r="X7" s="408">
        <f>'Capex summary'!M124/1000</f>
        <v>0</v>
      </c>
      <c r="Y7" s="408">
        <f>'Capex summary'!N124/1000</f>
        <v>438.155597923588</v>
      </c>
      <c r="Z7" s="408">
        <f>'Capex summary'!O124/1000</f>
        <v>0</v>
      </c>
      <c r="AA7" s="408">
        <f>'Capex summary'!P124/1000</f>
        <v>0</v>
      </c>
      <c r="AB7" s="408">
        <f>'Capex summary'!Q124/1000</f>
        <v>0</v>
      </c>
      <c r="AC7" s="408">
        <f>'Capex summary'!R124/1000</f>
        <v>0</v>
      </c>
      <c r="AD7" s="408">
        <f>'Capex summary'!S124/1000</f>
        <v>0</v>
      </c>
      <c r="AE7" s="408">
        <f t="shared" ref="AE7:AE12" si="1">SUM(Z7:AD7)</f>
        <v>0</v>
      </c>
      <c r="AF7" s="533"/>
      <c r="AG7" s="408">
        <f>'Commissioned assets summary'!M100/1000</f>
        <v>0</v>
      </c>
      <c r="AH7" s="408">
        <f>'Commissioned assets summary'!N100/1000</f>
        <v>0</v>
      </c>
      <c r="AI7" s="408">
        <f>'Commissioned assets summary'!O100/1000</f>
        <v>0</v>
      </c>
      <c r="AJ7" s="408">
        <f>'Commissioned assets summary'!P100/1000</f>
        <v>0</v>
      </c>
      <c r="AK7" s="408">
        <f>'Commissioned assets summary'!Q100/1000</f>
        <v>486.5897014321917</v>
      </c>
      <c r="AL7" s="408">
        <f>'Commissioned assets summary'!R100/1000</f>
        <v>0</v>
      </c>
      <c r="AM7" s="408">
        <f>'Commissioned assets summary'!S100/1000</f>
        <v>0</v>
      </c>
      <c r="AN7" s="408">
        <f t="shared" ref="AN7:AN13" si="2">SUM(AI7:AM7)</f>
        <v>486.5897014321917</v>
      </c>
      <c r="AO7" s="381"/>
    </row>
    <row r="8" spans="1:41" ht="14.65" customHeight="1" x14ac:dyDescent="0.2">
      <c r="A8" s="398"/>
      <c r="B8" s="551"/>
      <c r="C8" s="589" t="s">
        <v>310</v>
      </c>
      <c r="D8" s="381"/>
      <c r="E8" s="408">
        <f>'Historical capex'!H207/1000</f>
        <v>7082.9954240638717</v>
      </c>
      <c r="F8" s="408">
        <f>'Historical capex'!I207/1000</f>
        <v>6996.8006965763343</v>
      </c>
      <c r="G8" s="408">
        <f>'Historical capex'!J207/1000</f>
        <v>24.139869782524066</v>
      </c>
      <c r="H8" s="408">
        <f>'Historical capex'!K207/1000</f>
        <v>5.1660163559697478</v>
      </c>
      <c r="I8" s="408">
        <f>'Historical capex'!L207/1000</f>
        <v>5172.5470833980453</v>
      </c>
      <c r="J8" s="408">
        <f>'Capex summary'!M108/1000</f>
        <v>3366.9283939164179</v>
      </c>
      <c r="K8" s="408">
        <f>'Capex summary'!N108/1000</f>
        <v>1394.5590645224172</v>
      </c>
      <c r="L8" s="408">
        <f>'Capex summary'!O108/1000</f>
        <v>846.09548857348102</v>
      </c>
      <c r="M8" s="408">
        <f>'Capex summary'!P108/1000</f>
        <v>22.378638466429496</v>
      </c>
      <c r="N8" s="408">
        <f>'Capex summary'!Q108/1000</f>
        <v>1947.0404155392011</v>
      </c>
      <c r="O8" s="408">
        <f>'Capex summary'!R108/1000</f>
        <v>29.371962987188716</v>
      </c>
      <c r="P8" s="408">
        <f>'Capex summary'!S108/1000</f>
        <v>30.071300000000004</v>
      </c>
      <c r="Q8" s="408">
        <f t="shared" si="0"/>
        <v>2874.9578055663005</v>
      </c>
      <c r="R8" s="381"/>
      <c r="S8" s="408">
        <f>'Historical capex'!H223/1000</f>
        <v>6654</v>
      </c>
      <c r="T8" s="408">
        <f>'Historical capex'!I223/1000</f>
        <v>6595</v>
      </c>
      <c r="U8" s="408">
        <f>'Historical capex'!J223/1000</f>
        <v>23</v>
      </c>
      <c r="V8" s="408">
        <f>'Historical capex'!K223/1000</f>
        <v>5</v>
      </c>
      <c r="W8" s="408">
        <f>'Historical capex'!L223/1000</f>
        <v>5091.0969999999998</v>
      </c>
      <c r="X8" s="408">
        <f>'Capex summary'!M125/1000</f>
        <v>3366.9283939164179</v>
      </c>
      <c r="Y8" s="408">
        <f>'Capex summary'!N125/1000</f>
        <v>1415.7981240472213</v>
      </c>
      <c r="Z8" s="408">
        <f>'Capex summary'!O125/1000</f>
        <v>871.39513845848001</v>
      </c>
      <c r="AA8" s="408">
        <f>'Capex summary'!P125/1000</f>
        <v>23.49789941742689</v>
      </c>
      <c r="AB8" s="408">
        <f>'Capex summary'!Q125/1000</f>
        <v>2078.1458780178809</v>
      </c>
      <c r="AC8" s="408">
        <f>'Capex summary'!R125/1000</f>
        <v>31.951489545219665</v>
      </c>
      <c r="AD8" s="408">
        <f>'Capex summary'!S125/1000</f>
        <v>33.358946720782839</v>
      </c>
      <c r="AE8" s="408">
        <f t="shared" si="1"/>
        <v>3038.3493521597907</v>
      </c>
      <c r="AF8" s="533"/>
      <c r="AG8" s="408">
        <f>'Commissioned assets summary'!M101/1000</f>
        <v>64.216126014880373</v>
      </c>
      <c r="AH8" s="408">
        <f>'Commissioned assets summary'!N101/1000</f>
        <v>4602.8176502240458</v>
      </c>
      <c r="AI8" s="408">
        <f>'Commissioned assets summary'!O101/1000</f>
        <v>31.511019055034456</v>
      </c>
      <c r="AJ8" s="408">
        <f>'Commissioned assets summary'!P101/1000</f>
        <v>23.995217246326714</v>
      </c>
      <c r="AK8" s="408">
        <f>'Commissioned assets summary'!Q101/1000</f>
        <v>3237.7695353939339</v>
      </c>
      <c r="AL8" s="408">
        <f>'Commissioned assets summary'!R101/1000</f>
        <v>32.848176140738616</v>
      </c>
      <c r="AM8" s="408">
        <f>'Commissioned assets summary'!S101/1000</f>
        <v>34.798918447213069</v>
      </c>
      <c r="AN8" s="408">
        <f t="shared" si="2"/>
        <v>3360.922866283247</v>
      </c>
      <c r="AO8" s="381"/>
    </row>
    <row r="9" spans="1:41" ht="14.65" customHeight="1" x14ac:dyDescent="0.2">
      <c r="A9" s="398"/>
      <c r="B9" s="551"/>
      <c r="C9" s="589" t="s">
        <v>311</v>
      </c>
      <c r="D9" s="381"/>
      <c r="E9" s="408">
        <f>'Historical capex'!H208/1000</f>
        <v>133.05897625608412</v>
      </c>
      <c r="F9" s="408">
        <f>'Historical capex'!I208/1000</f>
        <v>430.7355697968145</v>
      </c>
      <c r="G9" s="408">
        <f>'Historical capex'!J208/1000</f>
        <v>86.06388357247711</v>
      </c>
      <c r="H9" s="408">
        <f>'Historical capex'!K208/1000</f>
        <v>42.361334118951937</v>
      </c>
      <c r="I9" s="408">
        <f>'Historical capex'!L208/1000</f>
        <v>21.833808474327633</v>
      </c>
      <c r="J9" s="408">
        <f>'Capex summary'!M109/1000</f>
        <v>1607.6036814520633</v>
      </c>
      <c r="K9" s="408">
        <f>'Capex summary'!N109/1000</f>
        <v>1191.3657000000005</v>
      </c>
      <c r="L9" s="408">
        <f>'Capex summary'!O109/1000</f>
        <v>1162.0130278090239</v>
      </c>
      <c r="M9" s="408">
        <f>'Capex summary'!P109/1000</f>
        <v>917.52417712360921</v>
      </c>
      <c r="N9" s="408">
        <f>'Capex summary'!Q109/1000</f>
        <v>940.46228155169979</v>
      </c>
      <c r="O9" s="408">
        <f>'Capex summary'!R109/1000</f>
        <v>1204.2504824747373</v>
      </c>
      <c r="P9" s="408">
        <f>'Capex summary'!S109/1000</f>
        <v>1232.9232999999995</v>
      </c>
      <c r="Q9" s="408">
        <f t="shared" si="0"/>
        <v>5457.1732689590699</v>
      </c>
      <c r="R9" s="381"/>
      <c r="S9" s="408">
        <f>'Historical capex'!H224/1000</f>
        <v>125</v>
      </c>
      <c r="T9" s="408">
        <f>'Historical capex'!I224/1000</f>
        <v>406</v>
      </c>
      <c r="U9" s="408">
        <f>'Historical capex'!J224/1000</f>
        <v>82</v>
      </c>
      <c r="V9" s="408">
        <f>'Historical capex'!K224/1000</f>
        <v>41</v>
      </c>
      <c r="W9" s="408">
        <f>'Historical capex'!L224/1000</f>
        <v>21.49</v>
      </c>
      <c r="X9" s="408">
        <f>'Capex summary'!M126/1000</f>
        <v>1607.6036814520633</v>
      </c>
      <c r="Y9" s="408">
        <f>'Capex summary'!N126/1000</f>
        <v>1209.7327906862515</v>
      </c>
      <c r="Z9" s="408">
        <f>'Capex summary'!O126/1000</f>
        <v>1198.308607340228</v>
      </c>
      <c r="AA9" s="408">
        <f>'Capex summary'!P126/1000</f>
        <v>965.64698253643667</v>
      </c>
      <c r="AB9" s="408">
        <f>'Capex summary'!Q126/1000</f>
        <v>1006.7035284130587</v>
      </c>
      <c r="AC9" s="408">
        <f>'Capex summary'!R126/1000</f>
        <v>1315.6251451600431</v>
      </c>
      <c r="AD9" s="408">
        <f>'Capex summary'!S126/1000</f>
        <v>1374.7129017543373</v>
      </c>
      <c r="AE9" s="408">
        <f t="shared" si="1"/>
        <v>5860.997165204104</v>
      </c>
      <c r="AF9" s="533"/>
      <c r="AG9" s="408">
        <f>'Commissioned assets summary'!M102/1000</f>
        <v>1474.6718691017234</v>
      </c>
      <c r="AH9" s="408">
        <f>'Commissioned assets summary'!N102/1000</f>
        <v>1230.8212066307985</v>
      </c>
      <c r="AI9" s="408">
        <f>'Commissioned assets summary'!O102/1000</f>
        <v>1294.242094620801</v>
      </c>
      <c r="AJ9" s="408">
        <f>'Commissioned assets summary'!P102/1000</f>
        <v>986.08427577306236</v>
      </c>
      <c r="AK9" s="408">
        <f>'Commissioned assets summary'!Q102/1000</f>
        <v>997.75841723062695</v>
      </c>
      <c r="AL9" s="408">
        <f>'Commissioned assets summary'!R102/1000</f>
        <v>1352.546848942369</v>
      </c>
      <c r="AM9" s="408">
        <f>'Commissioned assets summary'!S102/1000</f>
        <v>1434.0537354759197</v>
      </c>
      <c r="AN9" s="408">
        <f t="shared" si="2"/>
        <v>6064.6853720427789</v>
      </c>
      <c r="AO9" s="381"/>
    </row>
    <row r="10" spans="1:41" ht="14.65" customHeight="1" x14ac:dyDescent="0.2">
      <c r="A10" s="398"/>
      <c r="B10" s="551"/>
      <c r="C10" s="589" t="s">
        <v>312</v>
      </c>
      <c r="D10" s="381"/>
      <c r="E10" s="408">
        <f>'Historical capex'!H209/1000</f>
        <v>45.772287832092942</v>
      </c>
      <c r="F10" s="408">
        <f>'Historical capex'!I209/1000</f>
        <v>965.44179437217042</v>
      </c>
      <c r="G10" s="408">
        <f>'Historical capex'!J209/1000</f>
        <v>111.25331291076309</v>
      </c>
      <c r="H10" s="408">
        <f>'Historical capex'!K209/1000</f>
        <v>403.98247903683426</v>
      </c>
      <c r="I10" s="408">
        <f>'Historical capex'!L209/1000</f>
        <v>1168.9113922176043</v>
      </c>
      <c r="J10" s="408">
        <f>'Capex summary'!M110/1000</f>
        <v>1176.2953766722414</v>
      </c>
      <c r="K10" s="408">
        <f>'Capex summary'!N110/1000</f>
        <v>871.73100000000011</v>
      </c>
      <c r="L10" s="408">
        <f>'Capex summary'!O110/1000</f>
        <v>850.25343498221241</v>
      </c>
      <c r="M10" s="408">
        <f>'Capex summary'!P110/1000</f>
        <v>671.35915399288501</v>
      </c>
      <c r="N10" s="408">
        <f>'Capex summary'!Q110/1000</f>
        <v>688.14313284270736</v>
      </c>
      <c r="O10" s="408">
        <f>'Capex summary'!R110/1000</f>
        <v>881.15888961566134</v>
      </c>
      <c r="P10" s="408">
        <f>'Capex summary'!S110/1000</f>
        <v>902.13900000000001</v>
      </c>
      <c r="Q10" s="408">
        <f>SUM(L10:P10)</f>
        <v>3993.0536114334664</v>
      </c>
      <c r="R10" s="381"/>
      <c r="S10" s="408">
        <f>'Historical capex'!H225/1000</f>
        <v>43</v>
      </c>
      <c r="T10" s="408">
        <f>'Historical capex'!I225/1000</f>
        <v>910</v>
      </c>
      <c r="U10" s="408">
        <f>'Historical capex'!J225/1000</f>
        <v>106</v>
      </c>
      <c r="V10" s="408">
        <f>'Historical capex'!K225/1000</f>
        <v>391</v>
      </c>
      <c r="W10" s="408">
        <f>'Historical capex'!L225/1000</f>
        <v>1150.5050000000001</v>
      </c>
      <c r="X10" s="408">
        <f>'Capex summary'!M127/1000</f>
        <v>1176.2953766722414</v>
      </c>
      <c r="Y10" s="408">
        <f>'Capex summary'!N127/1000</f>
        <v>885.47134163583883</v>
      </c>
      <c r="Z10" s="408">
        <f>'Capex summary'!O127/1000</f>
        <v>876.68942009152954</v>
      </c>
      <c r="AA10" s="408">
        <f>'Capex summary'!P127/1000</f>
        <v>708.42609880137275</v>
      </c>
      <c r="AB10" s="408">
        <f>'Capex summary'!Q127/1000</f>
        <v>740.01227166142144</v>
      </c>
      <c r="AC10" s="408">
        <f>'Capex summary'!R127/1000</f>
        <v>969.84148503454958</v>
      </c>
      <c r="AD10" s="408">
        <f>'Capex summary'!S127/1000</f>
        <v>1016.2876051302575</v>
      </c>
      <c r="AE10" s="408">
        <f t="shared" si="1"/>
        <v>4311.256880719131</v>
      </c>
      <c r="AF10" s="533"/>
      <c r="AG10" s="408">
        <f>'Commissioned assets summary'!M103/1000</f>
        <v>1079.0281969037001</v>
      </c>
      <c r="AH10" s="408">
        <f>'Commissioned assets summary'!N103/1000</f>
        <v>900.9071371298171</v>
      </c>
      <c r="AI10" s="408">
        <f>'Commissioned assets summary'!O103/1000</f>
        <v>946.87490721578627</v>
      </c>
      <c r="AJ10" s="408">
        <f>'Commissioned assets summary'!P103/1000</f>
        <v>723.41947855558954</v>
      </c>
      <c r="AK10" s="408">
        <f>'Commissioned assets summary'!Q103/1000</f>
        <v>733.43685808677128</v>
      </c>
      <c r="AL10" s="408">
        <f>'Commissioned assets summary'!R103/1000</f>
        <v>997.05911625571377</v>
      </c>
      <c r="AM10" s="408">
        <f>'Commissioned assets summary'!S103/1000</f>
        <v>1060.1566585976238</v>
      </c>
      <c r="AN10" s="408">
        <f t="shared" si="2"/>
        <v>4460.9470187114848</v>
      </c>
      <c r="AO10" s="381"/>
    </row>
    <row r="11" spans="1:41" ht="14.65" customHeight="1" x14ac:dyDescent="0.2">
      <c r="A11" s="398"/>
      <c r="B11" s="551"/>
      <c r="C11" s="589" t="s">
        <v>313</v>
      </c>
      <c r="D11" s="381"/>
      <c r="E11" s="408">
        <f>'Historical capex'!H210/1000</f>
        <v>36.192041541654888</v>
      </c>
      <c r="F11" s="408">
        <f>'Historical capex'!I210/1000</f>
        <v>178.23540819178533</v>
      </c>
      <c r="G11" s="408">
        <f>'Historical capex'!J210/1000</f>
        <v>0</v>
      </c>
      <c r="H11" s="408">
        <f>'Historical capex'!K210/1000</f>
        <v>154.98049067909244</v>
      </c>
      <c r="I11" s="408">
        <f>'Historical capex'!L210/1000</f>
        <v>109.16701037457214</v>
      </c>
      <c r="J11" s="408">
        <f>'Capex summary'!M111/1000</f>
        <v>509.72799655797115</v>
      </c>
      <c r="K11" s="408">
        <f>'Capex summary'!N111/1000</f>
        <v>377.75009999999997</v>
      </c>
      <c r="L11" s="408">
        <f>'Capex summary'!O111/1000</f>
        <v>368.44315515895875</v>
      </c>
      <c r="M11" s="408">
        <f>'Capex summary'!P111/1000</f>
        <v>290.92230006358352</v>
      </c>
      <c r="N11" s="408">
        <f>'Capex summary'!Q111/1000</f>
        <v>298.19535756517314</v>
      </c>
      <c r="O11" s="408">
        <f>'Capex summary'!R111/1000</f>
        <v>381.83551883345331</v>
      </c>
      <c r="P11" s="408">
        <f>'Capex summary'!S111/1000</f>
        <v>390.92690000000005</v>
      </c>
      <c r="Q11" s="408">
        <f t="shared" si="0"/>
        <v>1730.3232316211688</v>
      </c>
      <c r="R11" s="381"/>
      <c r="S11" s="408">
        <f>'Historical capex'!H226/1000</f>
        <v>34</v>
      </c>
      <c r="T11" s="408">
        <f>'Historical capex'!I226/1000</f>
        <v>168</v>
      </c>
      <c r="U11" s="408">
        <f>'Historical capex'!J226/1000</f>
        <v>0</v>
      </c>
      <c r="V11" s="408">
        <f>'Historical capex'!K226/1000</f>
        <v>150</v>
      </c>
      <c r="W11" s="408">
        <f>'Historical capex'!L226/1000</f>
        <v>107.44799999999999</v>
      </c>
      <c r="X11" s="408">
        <f>'Capex summary'!M128/1000</f>
        <v>509.72799655797115</v>
      </c>
      <c r="Y11" s="408">
        <f>'Capex summary'!N128/1000</f>
        <v>380.32960417415859</v>
      </c>
      <c r="Z11" s="408">
        <f>'Capex summary'!O128/1000</f>
        <v>373.01588060965855</v>
      </c>
      <c r="AA11" s="408">
        <f>'Capex summary'!P128/1000</f>
        <v>299.68829868706791</v>
      </c>
      <c r="AB11" s="408">
        <f>'Capex summary'!Q128/1000</f>
        <v>311.640871557151</v>
      </c>
      <c r="AC11" s="408">
        <f>'Capex summary'!R128/1000</f>
        <v>406.39920505121592</v>
      </c>
      <c r="AD11" s="408">
        <f>'Capex summary'!S128/1000</f>
        <v>423.74375325333722</v>
      </c>
      <c r="AE11" s="408">
        <f t="shared" si="1"/>
        <v>1814.4880091584305</v>
      </c>
      <c r="AF11" s="533"/>
      <c r="AG11" s="408">
        <f>'Commissioned assets summary'!M104/1000</f>
        <v>467.57888532493661</v>
      </c>
      <c r="AH11" s="408">
        <f>'Commissioned assets summary'!N104/1000</f>
        <v>386.9596211089725</v>
      </c>
      <c r="AI11" s="408">
        <f>'Commissioned assets summary'!O104/1000</f>
        <v>402.87856708184063</v>
      </c>
      <c r="AJ11" s="408">
        <f>'Commissioned assets summary'!P104/1000</f>
        <v>306.03100751401956</v>
      </c>
      <c r="AK11" s="408">
        <f>'Commissioned assets summary'!Q104/1000</f>
        <v>308.87177204931174</v>
      </c>
      <c r="AL11" s="408">
        <f>'Commissioned assets summary'!R104/1000</f>
        <v>417.80439225174501</v>
      </c>
      <c r="AM11" s="408">
        <f>'Commissioned assets summary'!S104/1000</f>
        <v>442.03506889478956</v>
      </c>
      <c r="AN11" s="408">
        <f t="shared" si="2"/>
        <v>1877.6208077917067</v>
      </c>
      <c r="AO11" s="381"/>
    </row>
    <row r="12" spans="1:41" ht="14.65" customHeight="1" x14ac:dyDescent="0.2">
      <c r="A12" s="398"/>
      <c r="B12" s="551"/>
      <c r="C12" s="589" t="s">
        <v>314</v>
      </c>
      <c r="D12" s="381"/>
      <c r="E12" s="408">
        <f>'Historical capex'!H211/1000</f>
        <v>41.514400591898251</v>
      </c>
      <c r="F12" s="408">
        <f>'Historical capex'!I211/1000</f>
        <v>246.13461131246544</v>
      </c>
      <c r="G12" s="408">
        <f>'Historical capex'!J211/1000</f>
        <v>3.1486786672857479</v>
      </c>
      <c r="H12" s="408">
        <f>'Historical capex'!K211/1000</f>
        <v>363.68755146027024</v>
      </c>
      <c r="I12" s="408">
        <f>'Historical capex'!L211/1000</f>
        <v>181.94400129242058</v>
      </c>
      <c r="J12" s="408">
        <f>'Capex summary'!M112/1000</f>
        <v>568.54276539158332</v>
      </c>
      <c r="K12" s="408">
        <f>'Capex summary'!N112/1000</f>
        <v>421.33665000000002</v>
      </c>
      <c r="L12" s="408">
        <f>'Capex summary'!O112/1000</f>
        <v>410.9558269080693</v>
      </c>
      <c r="M12" s="408">
        <f>'Capex summary'!P112/1000</f>
        <v>324.49025776322776</v>
      </c>
      <c r="N12" s="408">
        <f>'Capex summary'!Q112/1000</f>
        <v>332.60251420730845</v>
      </c>
      <c r="O12" s="408">
        <f>'Capex summary'!R112/1000</f>
        <v>425.89346331423639</v>
      </c>
      <c r="P12" s="408">
        <f>'Capex summary'!S112/1000</f>
        <v>436.03384999999997</v>
      </c>
      <c r="Q12" s="408">
        <f t="shared" si="0"/>
        <v>1929.9759121928419</v>
      </c>
      <c r="R12" s="381"/>
      <c r="S12" s="408">
        <f>'Historical capex'!H227/1000</f>
        <v>39</v>
      </c>
      <c r="T12" s="408">
        <f>'Historical capex'!I227/1000</f>
        <v>232</v>
      </c>
      <c r="U12" s="408">
        <f>'Historical capex'!J227/1000</f>
        <v>3</v>
      </c>
      <c r="V12" s="408">
        <f>'Historical capex'!K227/1000</f>
        <v>352</v>
      </c>
      <c r="W12" s="408">
        <f>'Historical capex'!L227/1000</f>
        <v>179.07900000000001</v>
      </c>
      <c r="X12" s="408">
        <f>'Capex summary'!M129/1000</f>
        <v>568.54276539158332</v>
      </c>
      <c r="Y12" s="408">
        <f>'Capex summary'!N129/1000</f>
        <v>428.26170236004532</v>
      </c>
      <c r="Z12" s="408">
        <f>'Capex summary'!O129/1000</f>
        <v>424.28919957381902</v>
      </c>
      <c r="AA12" s="408">
        <f>'Capex summary'!P129/1000</f>
        <v>341.22929782991986</v>
      </c>
      <c r="AB12" s="408">
        <f>'Capex summary'!Q129/1000</f>
        <v>355.45439119515152</v>
      </c>
      <c r="AC12" s="408">
        <f>'Capex summary'!R129/1000</f>
        <v>463.69250152150903</v>
      </c>
      <c r="AD12" s="408">
        <f>'Capex summary'!S129/1000</f>
        <v>483.63880211391125</v>
      </c>
      <c r="AE12" s="408">
        <f t="shared" si="1"/>
        <v>2068.3041922343104</v>
      </c>
      <c r="AF12" s="533"/>
      <c r="AG12" s="408">
        <f>'Commissioned assets summary'!M105/1000</f>
        <v>521.53029517012169</v>
      </c>
      <c r="AH12" s="408">
        <f>'Commissioned assets summary'!N105/1000</f>
        <v>435.72728565415866</v>
      </c>
      <c r="AI12" s="408">
        <f>'Commissioned assets summary'!O105/1000</f>
        <v>458.25669532680803</v>
      </c>
      <c r="AJ12" s="408">
        <f>'Commissioned assets summary'!P105/1000</f>
        <v>348.4511950105645</v>
      </c>
      <c r="AK12" s="408">
        <f>'Commissioned assets summary'!Q105/1000</f>
        <v>352.29598461388474</v>
      </c>
      <c r="AL12" s="408">
        <f>'Commissioned assets summary'!R105/1000</f>
        <v>476.70556778148853</v>
      </c>
      <c r="AM12" s="408">
        <f>'Commissioned assets summary'!S105/1000</f>
        <v>504.51554641515548</v>
      </c>
      <c r="AN12" s="408">
        <f t="shared" si="2"/>
        <v>2140.2249891479014</v>
      </c>
      <c r="AO12" s="381"/>
    </row>
    <row r="13" spans="1:41" ht="14.65" customHeight="1" thickBot="1" x14ac:dyDescent="0.25">
      <c r="A13" s="398"/>
      <c r="B13" s="551"/>
      <c r="C13" s="589" t="s">
        <v>315</v>
      </c>
      <c r="D13" s="381"/>
      <c r="E13" s="408">
        <f>'Historical capex'!H212/1000</f>
        <v>3.1934154301460196</v>
      </c>
      <c r="F13" s="408">
        <f>'Historical capex'!I212/1000</f>
        <v>184.60095848434906</v>
      </c>
      <c r="G13" s="408">
        <f>'Historical capex'!J212/1000</f>
        <v>54.577096899619626</v>
      </c>
      <c r="H13" s="408">
        <f>'Historical capex'!K212/1000</f>
        <v>5351.9929447846589</v>
      </c>
      <c r="I13" s="408">
        <f>'Historical capex'!L212/1000</f>
        <v>192.09789063129588</v>
      </c>
      <c r="J13" s="408">
        <f>'Capex summary'!M113/1000</f>
        <v>21.225708979693604</v>
      </c>
      <c r="K13" s="408">
        <f>'Capex summary'!N113/1000</f>
        <v>18.427485477582849</v>
      </c>
      <c r="L13" s="408">
        <f>'Capex summary'!O113/1000</f>
        <v>47.345483175629461</v>
      </c>
      <c r="M13" s="408">
        <f>'Capex summary'!P113/1000</f>
        <v>11.189319233214748</v>
      </c>
      <c r="N13" s="408">
        <f>'Capex summary'!Q113/1000</f>
        <v>89.525941102933999</v>
      </c>
      <c r="O13" s="408">
        <f>'Capex summary'!R113/1000</f>
        <v>14.685981493594358</v>
      </c>
      <c r="P13" s="408">
        <f>'Capex summary'!S113/1000</f>
        <v>15.035650000000002</v>
      </c>
      <c r="Q13" s="408">
        <f t="shared" si="0"/>
        <v>177.78237500537259</v>
      </c>
      <c r="R13" s="381"/>
      <c r="S13" s="408">
        <f>'Historical capex'!H228/1000</f>
        <v>3</v>
      </c>
      <c r="T13" s="408">
        <f>'Historical capex'!I228/1000</f>
        <v>174</v>
      </c>
      <c r="U13" s="408">
        <f>'Historical capex'!J228/1000</f>
        <v>52</v>
      </c>
      <c r="V13" s="408">
        <f>'Historical capex'!K228/1000</f>
        <v>5180</v>
      </c>
      <c r="W13" s="408">
        <f>'Historical capex'!L228/1000</f>
        <v>189.07300000000001</v>
      </c>
      <c r="X13" s="408">
        <f>'Capex summary'!M130/1000</f>
        <v>21.225708979693604</v>
      </c>
      <c r="Y13" s="408">
        <f>'Capex summary'!N130/1000</f>
        <v>18.681695290779313</v>
      </c>
      <c r="Z13" s="408">
        <f>'Capex summary'!O130/1000</f>
        <v>48.737923149571131</v>
      </c>
      <c r="AA13" s="408">
        <f>'Capex summary'!P130/1000</f>
        <v>11.748949708713445</v>
      </c>
      <c r="AB13" s="408">
        <f>'Capex summary'!Q130/1000</f>
        <v>95.500487221629683</v>
      </c>
      <c r="AC13" s="408">
        <f>'Capex summary'!R130/1000</f>
        <v>15.975744772609833</v>
      </c>
      <c r="AD13" s="408">
        <f>'Capex summary'!S130/1000</f>
        <v>16.67947336039142</v>
      </c>
      <c r="AE13" s="408">
        <f>SUM(Z13:AD13)</f>
        <v>188.64257821291551</v>
      </c>
      <c r="AF13" s="533"/>
      <c r="AG13" s="408">
        <f>'Commissioned assets summary'!M106/1000</f>
        <v>19.470567463382213</v>
      </c>
      <c r="AH13" s="408">
        <f>'Commissioned assets summary'!N106/1000</f>
        <v>14.986042652032308</v>
      </c>
      <c r="AI13" s="408">
        <f>'Commissioned assets summary'!O106/1000</f>
        <v>15.755509527517228</v>
      </c>
      <c r="AJ13" s="408">
        <f>'Commissioned assets summary'!P106/1000</f>
        <v>11.997608623163357</v>
      </c>
      <c r="AK13" s="408">
        <f>'Commissioned assets summary'!Q106/1000</f>
        <v>135.66394052218675</v>
      </c>
      <c r="AL13" s="408">
        <f>'Commissioned assets summary'!R106/1000</f>
        <v>16.424088070369308</v>
      </c>
      <c r="AM13" s="408">
        <f>'Commissioned assets summary'!S106/1000</f>
        <v>17.399459223606534</v>
      </c>
      <c r="AN13" s="408">
        <f t="shared" si="2"/>
        <v>197.24060596684319</v>
      </c>
      <c r="AO13" s="381"/>
    </row>
    <row r="14" spans="1:41" s="494" customFormat="1" ht="14.65" customHeight="1" thickBot="1" x14ac:dyDescent="0.3">
      <c r="A14" s="490"/>
      <c r="B14" s="504"/>
      <c r="C14" s="529" t="s">
        <v>678</v>
      </c>
      <c r="D14" s="548"/>
      <c r="E14" s="496">
        <f>SUM(E6:E13)</f>
        <v>7342.7265457157482</v>
      </c>
      <c r="F14" s="496">
        <f>SUM(F6:F13)</f>
        <v>9527.1069378704287</v>
      </c>
      <c r="G14" s="496">
        <f>SUM(G6:G13)</f>
        <v>283.38108005571729</v>
      </c>
      <c r="H14" s="496">
        <f>SUM(H6:H13)</f>
        <v>6553.6083491832223</v>
      </c>
      <c r="I14" s="496">
        <f>SUM(I6:I13)</f>
        <v>8386.9581621339858</v>
      </c>
      <c r="J14" s="496">
        <f t="shared" ref="J14:P14" si="3">SUM(J6:J13)</f>
        <v>7250.3239229699702</v>
      </c>
      <c r="K14" s="496">
        <f t="shared" si="3"/>
        <v>5237.7700000000013</v>
      </c>
      <c r="L14" s="496">
        <f t="shared" si="3"/>
        <v>3685.1064166073747</v>
      </c>
      <c r="M14" s="496">
        <f t="shared" si="3"/>
        <v>2237.8638466429502</v>
      </c>
      <c r="N14" s="496">
        <f t="shared" si="3"/>
        <v>4295.9696428090238</v>
      </c>
      <c r="O14" s="496">
        <f t="shared" si="3"/>
        <v>2937.1962987188708</v>
      </c>
      <c r="P14" s="496">
        <f t="shared" si="3"/>
        <v>3007.1299999999992</v>
      </c>
      <c r="Q14" s="496">
        <f>SUM(Q6:Q13)</f>
        <v>16163.26620477822</v>
      </c>
      <c r="R14" s="419"/>
      <c r="S14" s="496">
        <f>SUM(S6:S13)</f>
        <v>6898</v>
      </c>
      <c r="T14" s="496">
        <f>SUM(T6:T13)</f>
        <v>8980</v>
      </c>
      <c r="U14" s="496">
        <f>SUM(U6:U13)</f>
        <v>270</v>
      </c>
      <c r="V14" s="496">
        <f>SUM(V6:V13)</f>
        <v>6343</v>
      </c>
      <c r="W14" s="496">
        <f>SUM(W6:W13)</f>
        <v>8254.8919999999998</v>
      </c>
      <c r="X14" s="496">
        <f t="shared" ref="X14:AE14" si="4">SUM(X6:X13)</f>
        <v>7250.3239229699702</v>
      </c>
      <c r="Y14" s="496">
        <f t="shared" si="4"/>
        <v>5315.2446173782828</v>
      </c>
      <c r="Z14" s="496">
        <f t="shared" si="4"/>
        <v>3792.4361692232865</v>
      </c>
      <c r="AA14" s="496">
        <f t="shared" si="4"/>
        <v>2350.2375269809372</v>
      </c>
      <c r="AB14" s="496">
        <f t="shared" si="4"/>
        <v>4587.4574280662928</v>
      </c>
      <c r="AC14" s="496">
        <f t="shared" si="4"/>
        <v>3203.4855710851471</v>
      </c>
      <c r="AD14" s="496">
        <f t="shared" si="4"/>
        <v>3348.4214823330176</v>
      </c>
      <c r="AE14" s="496">
        <f t="shared" si="4"/>
        <v>17282.038177688682</v>
      </c>
      <c r="AF14" s="586"/>
      <c r="AG14" s="496">
        <f t="shared" ref="AG14:AN14" si="5">SUM(AG6:AG13)</f>
        <v>3626.495939978744</v>
      </c>
      <c r="AH14" s="496">
        <f t="shared" si="5"/>
        <v>7572.2189433998255</v>
      </c>
      <c r="AI14" s="496">
        <f t="shared" si="5"/>
        <v>3149.5187928277874</v>
      </c>
      <c r="AJ14" s="496">
        <f t="shared" si="5"/>
        <v>2399.9787827227256</v>
      </c>
      <c r="AK14" s="496">
        <f t="shared" si="5"/>
        <v>6850.7609156244034</v>
      </c>
      <c r="AL14" s="496">
        <f t="shared" si="5"/>
        <v>3293.3881894424239</v>
      </c>
      <c r="AM14" s="496">
        <f t="shared" si="5"/>
        <v>3492.9593870543085</v>
      </c>
      <c r="AN14" s="496">
        <f t="shared" si="5"/>
        <v>19186.606067671648</v>
      </c>
      <c r="AO14" s="419"/>
    </row>
    <row r="15" spans="1:41" ht="14.65" customHeight="1" thickBot="1" x14ac:dyDescent="0.25">
      <c r="A15" s="540"/>
      <c r="B15" s="590" t="s">
        <v>679</v>
      </c>
      <c r="C15" s="551" t="s">
        <v>637</v>
      </c>
      <c r="D15" s="381"/>
      <c r="E15" s="408">
        <f>'Historical capex'!H216/1000</f>
        <v>18.096020770827444</v>
      </c>
      <c r="F15" s="408">
        <f>'Historical capex'!I216/1000</f>
        <v>23.340351072733792</v>
      </c>
      <c r="G15" s="408">
        <f>'Historical capex'!J216/1000</f>
        <v>28.33810800557173</v>
      </c>
      <c r="H15" s="408">
        <f>'Historical capex'!K216/1000</f>
        <v>0</v>
      </c>
      <c r="I15" s="408">
        <f>'Historical capex'!L216/1000</f>
        <v>0</v>
      </c>
      <c r="J15" s="408">
        <f>'Capex summary'!M116/1000</f>
        <v>0</v>
      </c>
      <c r="K15" s="408">
        <f>'Capex summary'!N116/1000</f>
        <v>0</v>
      </c>
      <c r="L15" s="408">
        <f>'Capex summary'!O116/1000</f>
        <v>0</v>
      </c>
      <c r="M15" s="408">
        <f>'Capex summary'!P116/1000</f>
        <v>0</v>
      </c>
      <c r="N15" s="408">
        <f>'Capex summary'!Q116/1000</f>
        <v>0</v>
      </c>
      <c r="O15" s="408">
        <f>'Capex summary'!R116/1000</f>
        <v>0</v>
      </c>
      <c r="P15" s="408">
        <f>'Capex summary'!S116/1000</f>
        <v>0</v>
      </c>
      <c r="Q15" s="408">
        <f>SUM(L15:P15)</f>
        <v>0</v>
      </c>
      <c r="R15" s="381"/>
      <c r="S15" s="408">
        <f>'Historical capex'!H232/1000</f>
        <v>17</v>
      </c>
      <c r="T15" s="408">
        <f>'Historical capex'!I232/1000</f>
        <v>22</v>
      </c>
      <c r="U15" s="408">
        <f>'Historical capex'!J232/1000</f>
        <v>27</v>
      </c>
      <c r="V15" s="408">
        <f>'Historical capex'!K232/1000</f>
        <v>0</v>
      </c>
      <c r="W15" s="408">
        <f>'Historical capex'!L232/1000</f>
        <v>0</v>
      </c>
      <c r="X15" s="408">
        <f>'Capex summary'!M133/1000</f>
        <v>0</v>
      </c>
      <c r="Y15" s="408">
        <f>'Capex summary'!N133/1000</f>
        <v>0</v>
      </c>
      <c r="Z15" s="408">
        <f>'Capex summary'!O133/1000</f>
        <v>0</v>
      </c>
      <c r="AA15" s="408">
        <f>'Capex summary'!P133/1000</f>
        <v>0</v>
      </c>
      <c r="AB15" s="408">
        <f>'Capex summary'!Q133/1000</f>
        <v>0</v>
      </c>
      <c r="AC15" s="408">
        <f>'Capex summary'!R133/1000</f>
        <v>0</v>
      </c>
      <c r="AD15" s="408">
        <f>'Capex summary'!S133/1000</f>
        <v>0</v>
      </c>
      <c r="AE15" s="408">
        <f>SUM(Z15:AD15)</f>
        <v>0</v>
      </c>
      <c r="AF15" s="533"/>
      <c r="AG15" s="408">
        <f xml:space="preserve"> 'Commissioned assets summary'!M$183/1000</f>
        <v>0</v>
      </c>
      <c r="AH15" s="408">
        <f xml:space="preserve"> 'Commissioned assets summary'!N$183/1000</f>
        <v>0</v>
      </c>
      <c r="AI15" s="408">
        <f xml:space="preserve"> 'Commissioned assets summary'!O$183/1000</f>
        <v>0</v>
      </c>
      <c r="AJ15" s="408">
        <f xml:space="preserve"> 'Commissioned assets summary'!P$183/1000</f>
        <v>0</v>
      </c>
      <c r="AK15" s="408">
        <f xml:space="preserve"> 'Commissioned assets summary'!Q$183/1000</f>
        <v>0</v>
      </c>
      <c r="AL15" s="408">
        <f xml:space="preserve"> 'Commissioned assets summary'!R$183/1000</f>
        <v>0</v>
      </c>
      <c r="AM15" s="408">
        <f xml:space="preserve"> 'Commissioned assets summary'!S$183/1000</f>
        <v>0</v>
      </c>
      <c r="AN15" s="408">
        <f xml:space="preserve"> 'Commissioned assets summary'!T$183/1000</f>
        <v>0</v>
      </c>
      <c r="AO15" s="381"/>
    </row>
    <row r="16" spans="1:41" s="494" customFormat="1" ht="14.65" customHeight="1" thickBot="1" x14ac:dyDescent="0.3">
      <c r="A16" s="490"/>
      <c r="B16" s="504"/>
      <c r="C16" s="529" t="s">
        <v>317</v>
      </c>
      <c r="D16" s="548"/>
      <c r="E16" s="496">
        <f>E14-E15</f>
        <v>7324.6305249449206</v>
      </c>
      <c r="F16" s="496">
        <f>F14-F15</f>
        <v>9503.7665867976957</v>
      </c>
      <c r="G16" s="496">
        <f>G14-G15</f>
        <v>255.04297205014555</v>
      </c>
      <c r="H16" s="496">
        <f>H14-H15</f>
        <v>6553.6083491832223</v>
      </c>
      <c r="I16" s="496">
        <f>I14-I15</f>
        <v>8386.9581621339858</v>
      </c>
      <c r="J16" s="496">
        <f t="shared" ref="J16:P16" si="6">J14-J15</f>
        <v>7250.3239229699702</v>
      </c>
      <c r="K16" s="496">
        <f t="shared" si="6"/>
        <v>5237.7700000000013</v>
      </c>
      <c r="L16" s="496">
        <f t="shared" si="6"/>
        <v>3685.1064166073747</v>
      </c>
      <c r="M16" s="496">
        <f t="shared" si="6"/>
        <v>2237.8638466429502</v>
      </c>
      <c r="N16" s="496">
        <f t="shared" si="6"/>
        <v>4295.9696428090238</v>
      </c>
      <c r="O16" s="496">
        <f t="shared" si="6"/>
        <v>2937.1962987188708</v>
      </c>
      <c r="P16" s="496">
        <f t="shared" si="6"/>
        <v>3007.1299999999992</v>
      </c>
      <c r="Q16" s="496">
        <f>Q14-Q15</f>
        <v>16163.26620477822</v>
      </c>
      <c r="R16" s="419"/>
      <c r="S16" s="496">
        <f>S14-S15</f>
        <v>6881</v>
      </c>
      <c r="T16" s="496">
        <f>T14-T15</f>
        <v>8958</v>
      </c>
      <c r="U16" s="496">
        <f>U14-U15</f>
        <v>243</v>
      </c>
      <c r="V16" s="496">
        <f>V14-V15</f>
        <v>6343</v>
      </c>
      <c r="W16" s="496">
        <f>W14-W15</f>
        <v>8254.8919999999998</v>
      </c>
      <c r="X16" s="496">
        <f t="shared" ref="X16:AE16" si="7">X14-X15</f>
        <v>7250.3239229699702</v>
      </c>
      <c r="Y16" s="496">
        <f t="shared" si="7"/>
        <v>5315.2446173782828</v>
      </c>
      <c r="Z16" s="496">
        <f t="shared" si="7"/>
        <v>3792.4361692232865</v>
      </c>
      <c r="AA16" s="496">
        <f t="shared" si="7"/>
        <v>2350.2375269809372</v>
      </c>
      <c r="AB16" s="496">
        <f t="shared" si="7"/>
        <v>4587.4574280662928</v>
      </c>
      <c r="AC16" s="496">
        <f t="shared" si="7"/>
        <v>3203.4855710851471</v>
      </c>
      <c r="AD16" s="496">
        <f t="shared" si="7"/>
        <v>3348.4214823330176</v>
      </c>
      <c r="AE16" s="496">
        <f t="shared" si="7"/>
        <v>17282.038177688682</v>
      </c>
      <c r="AF16" s="586"/>
      <c r="AG16" s="496">
        <f t="shared" ref="AG16:AN16" si="8">AG14-AG15</f>
        <v>3626.495939978744</v>
      </c>
      <c r="AH16" s="496">
        <f t="shared" si="8"/>
        <v>7572.2189433998255</v>
      </c>
      <c r="AI16" s="496">
        <f t="shared" si="8"/>
        <v>3149.5187928277874</v>
      </c>
      <c r="AJ16" s="496">
        <f t="shared" si="8"/>
        <v>2399.9787827227256</v>
      </c>
      <c r="AK16" s="496">
        <f t="shared" si="8"/>
        <v>6850.7609156244034</v>
      </c>
      <c r="AL16" s="496">
        <f t="shared" si="8"/>
        <v>3293.3881894424239</v>
      </c>
      <c r="AM16" s="496">
        <f t="shared" si="8"/>
        <v>3492.9593870543085</v>
      </c>
      <c r="AN16" s="496">
        <f t="shared" si="8"/>
        <v>19186.606067671648</v>
      </c>
      <c r="AO16" s="419"/>
    </row>
    <row r="17" spans="1:41" ht="14.65" customHeight="1" x14ac:dyDescent="0.2">
      <c r="A17" s="398"/>
      <c r="B17" s="488"/>
      <c r="C17" s="529"/>
      <c r="D17" s="381"/>
      <c r="E17" s="542"/>
      <c r="F17" s="542"/>
      <c r="G17" s="542"/>
      <c r="H17" s="542"/>
      <c r="I17" s="542"/>
      <c r="J17" s="542"/>
      <c r="K17" s="542"/>
      <c r="L17" s="542"/>
      <c r="M17" s="542"/>
      <c r="N17" s="542"/>
      <c r="O17" s="542"/>
      <c r="P17" s="542"/>
      <c r="Q17" s="586"/>
      <c r="R17" s="423"/>
      <c r="S17" s="586"/>
      <c r="T17" s="586"/>
      <c r="U17" s="586"/>
      <c r="V17" s="586"/>
      <c r="W17" s="586"/>
      <c r="X17" s="586"/>
      <c r="Y17" s="586"/>
      <c r="Z17" s="586"/>
      <c r="AA17" s="586"/>
      <c r="AB17" s="586"/>
      <c r="AC17" s="586"/>
      <c r="AD17" s="586"/>
      <c r="AE17" s="586"/>
      <c r="AF17" s="423"/>
      <c r="AG17" s="586"/>
      <c r="AH17" s="586"/>
      <c r="AI17" s="586"/>
      <c r="AJ17" s="586"/>
      <c r="AK17" s="586"/>
      <c r="AL17" s="586"/>
      <c r="AM17" s="586"/>
      <c r="AN17" s="586"/>
      <c r="AO17" s="423"/>
    </row>
    <row r="18" spans="1:41" ht="14.65" customHeight="1" x14ac:dyDescent="0.2">
      <c r="A18" s="568"/>
      <c r="B18" s="381"/>
      <c r="C18" s="381"/>
      <c r="D18" s="591" t="str">
        <f>IF(ISNUMBER(#REF!),"for year ended","")</f>
        <v/>
      </c>
      <c r="E18" s="592" t="str">
        <f>IF(ISNUMBER(#REF!),DATE(YEAR(#REF!),MONTH(#REF!),DAY(#REF!))-1,"")</f>
        <v/>
      </c>
      <c r="F18" s="570"/>
      <c r="G18" s="570"/>
      <c r="H18" s="570"/>
      <c r="I18" s="570"/>
      <c r="J18" s="570"/>
      <c r="K18" s="570"/>
      <c r="L18" s="570"/>
      <c r="M18" s="570"/>
      <c r="N18" s="570"/>
      <c r="O18" s="570"/>
      <c r="P18" s="570"/>
      <c r="Q18" s="586"/>
      <c r="R18" s="593"/>
      <c r="S18" s="586"/>
      <c r="T18" s="586"/>
      <c r="U18" s="586"/>
      <c r="V18" s="586"/>
      <c r="W18" s="586"/>
      <c r="X18" s="586"/>
      <c r="Y18" s="586"/>
      <c r="Z18" s="586"/>
      <c r="AA18" s="586"/>
      <c r="AB18" s="586"/>
      <c r="AC18" s="586"/>
      <c r="AD18" s="586"/>
      <c r="AE18" s="586"/>
      <c r="AF18" s="423"/>
      <c r="AG18" s="586"/>
      <c r="AH18" s="586"/>
      <c r="AI18" s="586"/>
      <c r="AJ18" s="586"/>
      <c r="AK18" s="586"/>
      <c r="AL18" s="586"/>
      <c r="AM18" s="586"/>
      <c r="AN18" s="586"/>
      <c r="AO18" s="423"/>
    </row>
    <row r="19" spans="1:41" ht="14.65" customHeight="1" x14ac:dyDescent="0.25">
      <c r="A19" s="398"/>
      <c r="B19" s="561" t="s">
        <v>680</v>
      </c>
      <c r="C19" s="381"/>
      <c r="D19" s="423"/>
      <c r="E19" s="563" t="s">
        <v>503</v>
      </c>
      <c r="F19" s="563"/>
      <c r="G19" s="563"/>
      <c r="H19" s="563"/>
      <c r="I19" s="563"/>
      <c r="J19" s="563"/>
      <c r="K19" s="563"/>
      <c r="L19" s="563"/>
      <c r="M19" s="563"/>
      <c r="N19" s="563"/>
      <c r="O19" s="563"/>
      <c r="P19" s="563"/>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row>
    <row r="20" spans="1:41" ht="14.65" customHeight="1" x14ac:dyDescent="0.2">
      <c r="A20" s="398"/>
      <c r="B20" s="488"/>
      <c r="C20" s="589" t="s">
        <v>308</v>
      </c>
      <c r="D20" s="381"/>
      <c r="E20" s="408">
        <f>'Historical capex'!H241/1000</f>
        <v>334.24414835528336</v>
      </c>
      <c r="F20" s="408">
        <f>'Historical capex'!I241/1000</f>
        <v>60.472727779355736</v>
      </c>
      <c r="G20" s="408">
        <f>'Historical capex'!J241/1000</f>
        <v>1375.9725776038717</v>
      </c>
      <c r="H20" s="408">
        <f>'Historical capex'!K241/1000</f>
        <v>2000.2815330314861</v>
      </c>
      <c r="I20" s="408">
        <f>'Historical capex'!L241/1000</f>
        <v>2348.1570135136922</v>
      </c>
      <c r="J20" s="408">
        <f>'Capex summary'!M142/1000</f>
        <v>939.32222207031259</v>
      </c>
      <c r="K20" s="408">
        <f>'Capex summary'!N142/1000</f>
        <v>6770.0479999999998</v>
      </c>
      <c r="L20" s="408">
        <f>'Capex summary'!O142/1000</f>
        <v>6291.1394</v>
      </c>
      <c r="M20" s="408">
        <f>'Capex summary'!P142/1000</f>
        <v>7481.2537999999995</v>
      </c>
      <c r="N20" s="408">
        <f>'Capex summary'!Q142/1000</f>
        <v>910.49520000000007</v>
      </c>
      <c r="O20" s="408">
        <f>'Capex summary'!R142/1000</f>
        <v>378.22540000000004</v>
      </c>
      <c r="P20" s="408">
        <f>'Capex summary'!S142/1000</f>
        <v>387.64179999999999</v>
      </c>
      <c r="Q20" s="408">
        <f>SUM(L20:P20)</f>
        <v>15448.755599999997</v>
      </c>
      <c r="R20" s="381"/>
      <c r="S20" s="408">
        <f>'Historical capex'!H257/1000</f>
        <v>314</v>
      </c>
      <c r="T20" s="408">
        <f>'Historical capex'!I257/1000</f>
        <v>57</v>
      </c>
      <c r="U20" s="408">
        <f>'Historical capex'!J257/1000</f>
        <v>1311</v>
      </c>
      <c r="V20" s="408">
        <f>'Historical capex'!K257/1000</f>
        <v>1936</v>
      </c>
      <c r="W20" s="408">
        <f>'Historical capex'!L257/1000</f>
        <v>2311.1815000000001</v>
      </c>
      <c r="X20" s="408">
        <f>'Capex summary'!M159/1000</f>
        <v>939.32222207031259</v>
      </c>
      <c r="Y20" s="408">
        <f>'Capex summary'!N159/1000</f>
        <v>6867.0840112828528</v>
      </c>
      <c r="Z20" s="408">
        <f>'Capex summary'!O159/1000</f>
        <v>6477.5221802051865</v>
      </c>
      <c r="AA20" s="408">
        <f>'Capex summary'!P159/1000</f>
        <v>7877.3644114130248</v>
      </c>
      <c r="AB20" s="408">
        <f>'Capex summary'!Q159/1000</f>
        <v>975.9826625435046</v>
      </c>
      <c r="AC20" s="408">
        <f>'Capex summary'!R159/1000</f>
        <v>414.5707272847111</v>
      </c>
      <c r="AD20" s="408">
        <f>'Capex summary'!S159/1000</f>
        <v>434.48011201187262</v>
      </c>
      <c r="AE20" s="408">
        <f>SUM(Z20:AD20)</f>
        <v>16179.920093458299</v>
      </c>
      <c r="AF20" s="381"/>
      <c r="AG20" s="408">
        <f>'Commissioned assets summary'!M117/1000</f>
        <v>991.90858647203981</v>
      </c>
      <c r="AH20" s="408">
        <f>'Commissioned assets summary'!N117/1000</f>
        <v>6986.7930289031247</v>
      </c>
      <c r="AI20" s="408">
        <f>'Commissioned assets summary'!O117/1000</f>
        <v>6996.0958496905723</v>
      </c>
      <c r="AJ20" s="408">
        <f>'Commissioned assets summary'!P117/1000</f>
        <v>8044.0837294653984</v>
      </c>
      <c r="AK20" s="408">
        <f>'Commissioned assets summary'!Q117/1000</f>
        <v>967.31052304843354</v>
      </c>
      <c r="AL20" s="408">
        <f>'Commissioned assets summary'!R117/1000</f>
        <v>426.20524008339055</v>
      </c>
      <c r="AM20" s="408">
        <f>'Commissioned assets summary'!S117/1000</f>
        <v>453.23487313277906</v>
      </c>
      <c r="AN20" s="408">
        <f>SUM(AI20:AM20)</f>
        <v>16886.930215420576</v>
      </c>
      <c r="AO20" s="381"/>
    </row>
    <row r="21" spans="1:41" ht="14.65" customHeight="1" x14ac:dyDescent="0.2">
      <c r="A21" s="398"/>
      <c r="B21" s="488"/>
      <c r="C21" s="589" t="s">
        <v>309</v>
      </c>
      <c r="D21" s="381"/>
      <c r="E21" s="408">
        <f>'Historical capex'!H242/1000</f>
        <v>334.24414835528336</v>
      </c>
      <c r="F21" s="408">
        <f>'Historical capex'!I242/1000</f>
        <v>60.472727779355736</v>
      </c>
      <c r="G21" s="408">
        <f>'Historical capex'!J242/1000</f>
        <v>1375.9725776038717</v>
      </c>
      <c r="H21" s="408">
        <f>'Historical capex'!K242/1000</f>
        <v>2000.2815330314861</v>
      </c>
      <c r="I21" s="408">
        <f>'Historical capex'!L242/1000</f>
        <v>2348.1570135136922</v>
      </c>
      <c r="J21" s="408">
        <f>'Capex summary'!M143/1000</f>
        <v>2702.6452646484377</v>
      </c>
      <c r="K21" s="408">
        <f>'Capex summary'!N143/1000</f>
        <v>552.75800000000004</v>
      </c>
      <c r="L21" s="408">
        <f>'Capex summary'!O143/1000</f>
        <v>401.94690000000003</v>
      </c>
      <c r="M21" s="408">
        <f>'Capex summary'!P143/1000</f>
        <v>285</v>
      </c>
      <c r="N21" s="408">
        <f>'Capex summary'!Q143/1000</f>
        <v>2050.0999999999995</v>
      </c>
      <c r="O21" s="408">
        <f>'Capex summary'!R143/1000</f>
        <v>3076.8599999999997</v>
      </c>
      <c r="P21" s="408">
        <f>'Capex summary'!S143/1000</f>
        <v>2890.7416999999996</v>
      </c>
      <c r="Q21" s="408">
        <f t="shared" ref="Q21:Q27" si="9">SUM(L21:P21)</f>
        <v>8704.6485999999986</v>
      </c>
      <c r="R21" s="381"/>
      <c r="S21" s="408">
        <f>'Historical capex'!H258/1000</f>
        <v>314</v>
      </c>
      <c r="T21" s="408">
        <f>'Historical capex'!I258/1000</f>
        <v>57</v>
      </c>
      <c r="U21" s="408">
        <f>'Historical capex'!J258/1000</f>
        <v>1311</v>
      </c>
      <c r="V21" s="408">
        <f>'Historical capex'!K258/1000</f>
        <v>1936</v>
      </c>
      <c r="W21" s="408">
        <f>'Historical capex'!L258/1000</f>
        <v>2311.1815000000001</v>
      </c>
      <c r="X21" s="408">
        <f>'Capex summary'!M160/1000</f>
        <v>2702.6452646484377</v>
      </c>
      <c r="Y21" s="408">
        <f>'Capex summary'!N160/1000</f>
        <v>561.621944817751</v>
      </c>
      <c r="Z21" s="408">
        <f>'Capex summary'!O160/1000</f>
        <v>414.86490430817611</v>
      </c>
      <c r="AA21" s="408">
        <f>'Capex summary'!P160/1000</f>
        <v>299.82512394572342</v>
      </c>
      <c r="AB21" s="408">
        <f>'Capex summary'!Q160/1000</f>
        <v>2203.9958550325082</v>
      </c>
      <c r="AC21" s="408">
        <f>'Capex summary'!R160/1000</f>
        <v>3385.6589385078123</v>
      </c>
      <c r="AD21" s="408">
        <f>'Capex summary'!S160/1000</f>
        <v>3255.3900132801837</v>
      </c>
      <c r="AE21" s="408">
        <f t="shared" ref="AE21:AE27" si="10">SUM(Z21:AD21)</f>
        <v>9559.7348350744032</v>
      </c>
      <c r="AF21" s="381"/>
      <c r="AG21" s="408">
        <f>'Commissioned assets summary'!M118/1000</f>
        <v>0</v>
      </c>
      <c r="AH21" s="408">
        <f>'Commissioned assets summary'!N118/1000</f>
        <v>6785.7966046070014</v>
      </c>
      <c r="AI21" s="408">
        <f>'Commissioned assets summary'!O118/1000</f>
        <v>503.56791604871802</v>
      </c>
      <c r="AJ21" s="408">
        <f>'Commissioned assets summary'!P118/1000</f>
        <v>306.17072859069532</v>
      </c>
      <c r="AK21" s="408">
        <f>'Commissioned assets summary'!Q118/1000</f>
        <v>2121.474524351564</v>
      </c>
      <c r="AL21" s="408">
        <f>'Commissioned assets summary'!R118/1000</f>
        <v>328.07588562922763</v>
      </c>
      <c r="AM21" s="408">
        <f>'Commissioned assets summary'!S118/1000</f>
        <v>6535.3857181890062</v>
      </c>
      <c r="AN21" s="408">
        <f t="shared" ref="AN21:AN27" si="11">SUM(AI21:AM21)</f>
        <v>9794.6747728092123</v>
      </c>
      <c r="AO21" s="381"/>
    </row>
    <row r="22" spans="1:41" ht="14.65" customHeight="1" x14ac:dyDescent="0.2">
      <c r="A22" s="398"/>
      <c r="B22" s="488"/>
      <c r="C22" s="589" t="s">
        <v>310</v>
      </c>
      <c r="D22" s="381"/>
      <c r="E22" s="408">
        <f>'Historical capex'!H243/1000</f>
        <v>1581.8051097323284</v>
      </c>
      <c r="F22" s="408">
        <f>'Historical capex'!I243/1000</f>
        <v>406.33429367532011</v>
      </c>
      <c r="G22" s="408">
        <f>'Historical capex'!J243/1000</f>
        <v>897.373420176438</v>
      </c>
      <c r="H22" s="408">
        <f>'Historical capex'!K243/1000</f>
        <v>7718.0284358188037</v>
      </c>
      <c r="I22" s="408">
        <f>'Historical capex'!L243/1000</f>
        <v>11995.617311618094</v>
      </c>
      <c r="J22" s="408">
        <f>'Capex summary'!M144/1000</f>
        <v>7726.6643885406511</v>
      </c>
      <c r="K22" s="408">
        <f>'Capex summary'!N144/1000</f>
        <v>11172.096635000002</v>
      </c>
      <c r="L22" s="408">
        <f>'Capex summary'!O144/1000</f>
        <v>12168.9837035</v>
      </c>
      <c r="M22" s="408">
        <f>'Capex summary'!P144/1000</f>
        <v>8241.76887575</v>
      </c>
      <c r="N22" s="408">
        <f>'Capex summary'!Q144/1000</f>
        <v>11457.9931775</v>
      </c>
      <c r="O22" s="408">
        <f>'Capex summary'!R144/1000</f>
        <v>11054.07247675</v>
      </c>
      <c r="P22" s="408">
        <f>'Capex summary'!S144/1000</f>
        <v>6478.8917000000001</v>
      </c>
      <c r="Q22" s="408">
        <f t="shared" si="9"/>
        <v>49401.709933500002</v>
      </c>
      <c r="R22" s="381"/>
      <c r="S22" s="408">
        <f>'Historical capex'!H259/1000</f>
        <v>1486</v>
      </c>
      <c r="T22" s="408">
        <f>'Historical capex'!I259/1000</f>
        <v>383</v>
      </c>
      <c r="U22" s="408">
        <f>'Historical capex'!J259/1000</f>
        <v>855</v>
      </c>
      <c r="V22" s="408">
        <f>'Historical capex'!K259/1000</f>
        <v>7470</v>
      </c>
      <c r="W22" s="408">
        <f>'Historical capex'!L259/1000</f>
        <v>11806.727000000001</v>
      </c>
      <c r="X22" s="408">
        <f>'Capex summary'!M161/1000</f>
        <v>7726.6643885406511</v>
      </c>
      <c r="Y22" s="408">
        <f>'Capex summary'!N161/1000</f>
        <v>11325.735787956512</v>
      </c>
      <c r="Z22" s="408">
        <f>'Capex summary'!O161/1000</f>
        <v>12496.806305824935</v>
      </c>
      <c r="AA22" s="408">
        <f>'Capex summary'!P161/1000</f>
        <v>8635.4802789357273</v>
      </c>
      <c r="AB22" s="408">
        <f>'Capex summary'!Q161/1000</f>
        <v>12160.505522845669</v>
      </c>
      <c r="AC22" s="408">
        <f>'Capex summary'!R161/1000</f>
        <v>11951.127227343457</v>
      </c>
      <c r="AD22" s="408">
        <f>'Capex summary'!S161/1000</f>
        <v>7146.7477649468128</v>
      </c>
      <c r="AE22" s="408">
        <f t="shared" si="10"/>
        <v>52390.667099896607</v>
      </c>
      <c r="AF22" s="381"/>
      <c r="AG22" s="408">
        <f>'Commissioned assets summary'!M119/1000</f>
        <v>7087.7510093029241</v>
      </c>
      <c r="AH22" s="408">
        <f>'Commissioned assets summary'!N119/1000</f>
        <v>7786.2791952053585</v>
      </c>
      <c r="AI22" s="408">
        <f>'Commissioned assets summary'!O119/1000</f>
        <v>15910.969857791517</v>
      </c>
      <c r="AJ22" s="408">
        <f>'Commissioned assets summary'!P119/1000</f>
        <v>7638.0007592310067</v>
      </c>
      <c r="AK22" s="408">
        <f>'Commissioned assets summary'!Q119/1000</f>
        <v>11029.569108804</v>
      </c>
      <c r="AL22" s="408">
        <f>'Commissioned assets summary'!R119/1000</f>
        <v>14822.143389288613</v>
      </c>
      <c r="AM22" s="408">
        <f>'Commissioned assets summary'!S119/1000</f>
        <v>6446.1775909936705</v>
      </c>
      <c r="AN22" s="408">
        <f t="shared" si="11"/>
        <v>55846.860706108811</v>
      </c>
      <c r="AO22" s="381"/>
    </row>
    <row r="23" spans="1:41" ht="14.65" customHeight="1" x14ac:dyDescent="0.2">
      <c r="A23" s="398"/>
      <c r="B23" s="488"/>
      <c r="C23" s="589" t="s">
        <v>311</v>
      </c>
      <c r="D23" s="381"/>
      <c r="E23" s="408">
        <f>'Historical capex'!H244/1000</f>
        <v>4494.1999820254987</v>
      </c>
      <c r="F23" s="408">
        <f>'Historical capex'!I244/1000</f>
        <v>4037.8807355829458</v>
      </c>
      <c r="G23" s="408">
        <f>'Historical capex'!J244/1000</f>
        <v>5362.1997703876277</v>
      </c>
      <c r="H23" s="408">
        <f>'Historical capex'!K244/1000</f>
        <v>33083.168743630267</v>
      </c>
      <c r="I23" s="408">
        <f>'Historical capex'!L244/1000</f>
        <v>19580.680343602449</v>
      </c>
      <c r="J23" s="408">
        <f>'Capex summary'!M145/1000</f>
        <v>19510.25</v>
      </c>
      <c r="K23" s="408">
        <f>'Capex summary'!N145/1000</f>
        <v>22196.3</v>
      </c>
      <c r="L23" s="408">
        <f>'Capex summary'!O145/1000</f>
        <v>24688.858499999998</v>
      </c>
      <c r="M23" s="408">
        <f>'Capex summary'!P145/1000</f>
        <v>27683.845499999999</v>
      </c>
      <c r="N23" s="408">
        <f>'Capex summary'!Q145/1000</f>
        <v>27546.656999999999</v>
      </c>
      <c r="O23" s="408">
        <f>'Capex summary'!R145/1000</f>
        <v>23652.5625</v>
      </c>
      <c r="P23" s="408">
        <f>'Capex summary'!S145/1000</f>
        <v>22378.792000000001</v>
      </c>
      <c r="Q23" s="408">
        <f t="shared" si="9"/>
        <v>125950.71550000001</v>
      </c>
      <c r="R23" s="381"/>
      <c r="S23" s="408">
        <f>'Historical capex'!H260/1000</f>
        <v>4222</v>
      </c>
      <c r="T23" s="408">
        <f>'Historical capex'!I260/1000</f>
        <v>3806</v>
      </c>
      <c r="U23" s="408">
        <f>'Historical capex'!J260/1000</f>
        <v>5109</v>
      </c>
      <c r="V23" s="408">
        <f>'Historical capex'!K260/1000</f>
        <v>32020</v>
      </c>
      <c r="W23" s="408">
        <f>'Historical capex'!L260/1000</f>
        <v>19272.350999999999</v>
      </c>
      <c r="X23" s="408">
        <f>'Capex summary'!M162/1000</f>
        <v>19510.25</v>
      </c>
      <c r="Y23" s="408">
        <f>'Capex summary'!N162/1000</f>
        <v>22550.82168957968</v>
      </c>
      <c r="Z23" s="408">
        <f>'Capex summary'!O162/1000</f>
        <v>25474.496576814912</v>
      </c>
      <c r="AA23" s="408">
        <f>'Capex summary'!P162/1000</f>
        <v>29132.41692237668</v>
      </c>
      <c r="AB23" s="408">
        <f>'Capex summary'!Q162/1000</f>
        <v>29478.462723566605</v>
      </c>
      <c r="AC23" s="408">
        <f>'Capex summary'!R162/1000</f>
        <v>25834.431106102762</v>
      </c>
      <c r="AD23" s="408">
        <f>'Capex summary'!S162/1000</f>
        <v>24944.894845911851</v>
      </c>
      <c r="AE23" s="408">
        <f t="shared" si="10"/>
        <v>134864.70217477283</v>
      </c>
      <c r="AF23" s="381"/>
      <c r="AG23" s="408">
        <f>'Commissioned assets summary'!M120/1000</f>
        <v>21023.159715848986</v>
      </c>
      <c r="AH23" s="408">
        <f>'Commissioned assets summary'!N120/1000</f>
        <v>23963.428151074113</v>
      </c>
      <c r="AI23" s="408">
        <f>'Commissioned assets summary'!O120/1000</f>
        <v>27513.918874511055</v>
      </c>
      <c r="AJ23" s="408">
        <f>'Commissioned assets summary'!P120/1000</f>
        <v>29748.985666546887</v>
      </c>
      <c r="AK23" s="408">
        <f>'Commissioned assets summary'!Q120/1000</f>
        <v>29216.530467339024</v>
      </c>
      <c r="AL23" s="408">
        <f>'Commissioned assets summary'!R120/1000</f>
        <v>26559.448574941402</v>
      </c>
      <c r="AM23" s="408">
        <f>'Commissioned assets summary'!S120/1000</f>
        <v>26021.665752305886</v>
      </c>
      <c r="AN23" s="408">
        <f t="shared" si="11"/>
        <v>139060.54933564426</v>
      </c>
      <c r="AO23" s="381"/>
    </row>
    <row r="24" spans="1:41" ht="14.65" customHeight="1" x14ac:dyDescent="0.2">
      <c r="A24" s="398"/>
      <c r="B24" s="488"/>
      <c r="C24" s="589" t="s">
        <v>312</v>
      </c>
      <c r="D24" s="381"/>
      <c r="E24" s="408">
        <f>'Historical capex'!H245/1000</f>
        <v>331.05073292513737</v>
      </c>
      <c r="F24" s="408">
        <f>'Historical capex'!I245/1000</f>
        <v>361.77544162737377</v>
      </c>
      <c r="G24" s="408">
        <f>'Historical capex'!J245/1000</f>
        <v>926.76108773777185</v>
      </c>
      <c r="H24" s="408">
        <f>'Historical capex'!K245/1000</f>
        <v>1243.9767385175153</v>
      </c>
      <c r="I24" s="408">
        <f>'Historical capex'!L245/1000</f>
        <v>2482.4887835530567</v>
      </c>
      <c r="J24" s="408">
        <f>'Capex summary'!M146/1000</f>
        <v>827</v>
      </c>
      <c r="K24" s="408">
        <f>'Capex summary'!N146/1000</f>
        <v>1907.2038516809023</v>
      </c>
      <c r="L24" s="408">
        <f>'Capex summary'!O146/1000</f>
        <v>2310.0193625000002</v>
      </c>
      <c r="M24" s="408">
        <f>'Capex summary'!P146/1000</f>
        <v>2302.4454499999997</v>
      </c>
      <c r="N24" s="408">
        <f>'Capex summary'!Q146/1000</f>
        <v>2466.6541499999994</v>
      </c>
      <c r="O24" s="408">
        <f>'Capex summary'!R146/1000</f>
        <v>2303.63105</v>
      </c>
      <c r="P24" s="408">
        <f>'Capex summary'!S146/1000</f>
        <v>1826.8525500000001</v>
      </c>
      <c r="Q24" s="408">
        <f t="shared" si="9"/>
        <v>11209.6025625</v>
      </c>
      <c r="R24" s="381"/>
      <c r="S24" s="408">
        <f>'Historical capex'!H261/1000</f>
        <v>311</v>
      </c>
      <c r="T24" s="408">
        <f>'Historical capex'!I261/1000</f>
        <v>341</v>
      </c>
      <c r="U24" s="408">
        <f>'Historical capex'!J261/1000</f>
        <v>883</v>
      </c>
      <c r="V24" s="408">
        <f>'Historical capex'!K261/1000</f>
        <v>1204</v>
      </c>
      <c r="W24" s="408">
        <f>'Historical capex'!L261/1000</f>
        <v>2443.3980000000001</v>
      </c>
      <c r="X24" s="408">
        <f>'Capex summary'!M163/1000</f>
        <v>827</v>
      </c>
      <c r="Y24" s="408">
        <f>'Capex summary'!N163/1000</f>
        <v>1938.523136443994</v>
      </c>
      <c r="Z24" s="408">
        <f>'Capex summary'!O163/1000</f>
        <v>2385.0406470091543</v>
      </c>
      <c r="AA24" s="408">
        <f>'Capex summary'!P163/1000</f>
        <v>2423.8947652583329</v>
      </c>
      <c r="AB24" s="408">
        <f>'Capex summary'!Q163/1000</f>
        <v>2641.372430851744</v>
      </c>
      <c r="AC24" s="408">
        <f>'Capex summary'!R163/1000</f>
        <v>2517.0664435983545</v>
      </c>
      <c r="AD24" s="408">
        <f>'Capex summary'!S163/1000</f>
        <v>2035.5340193508762</v>
      </c>
      <c r="AE24" s="408">
        <f t="shared" si="10"/>
        <v>12002.908306068462</v>
      </c>
      <c r="AF24" s="381"/>
      <c r="AG24" s="408">
        <f>'Commissioned assets summary'!M121/1000</f>
        <v>758.61585154219495</v>
      </c>
      <c r="AH24" s="408">
        <f>'Commissioned assets summary'!N121/1000</f>
        <v>1911.891313133769</v>
      </c>
      <c r="AI24" s="408">
        <f>'Commissioned assets summary'!O121/1000</f>
        <v>2637.4825644728526</v>
      </c>
      <c r="AJ24" s="408">
        <f>'Commissioned assets summary'!P121/1000</f>
        <v>2418.0948300079094</v>
      </c>
      <c r="AK24" s="408">
        <f>'Commissioned assets summary'!Q121/1000</f>
        <v>2564.057106321749</v>
      </c>
      <c r="AL24" s="408">
        <f>'Commissioned assets summary'!R121/1000</f>
        <v>2680.2802604308495</v>
      </c>
      <c r="AM24" s="408">
        <f>'Commissioned assets summary'!S121/1000</f>
        <v>2112.5926878785517</v>
      </c>
      <c r="AN24" s="408">
        <f t="shared" si="11"/>
        <v>12412.507449111912</v>
      </c>
      <c r="AO24" s="381"/>
    </row>
    <row r="25" spans="1:41" ht="14.65" customHeight="1" x14ac:dyDescent="0.2">
      <c r="A25" s="398"/>
      <c r="B25" s="488"/>
      <c r="C25" s="589" t="s">
        <v>313</v>
      </c>
      <c r="D25" s="381"/>
      <c r="E25" s="408">
        <f>'Historical capex'!H246/1000</f>
        <v>655.71463498998276</v>
      </c>
      <c r="F25" s="408">
        <f>'Historical capex'!I246/1000</f>
        <v>590.93525215966918</v>
      </c>
      <c r="G25" s="408">
        <f>'Historical capex'!J246/1000</f>
        <v>417.72470319324253</v>
      </c>
      <c r="H25" s="408">
        <f>'Historical capex'!K246/1000</f>
        <v>2992.1566733776776</v>
      </c>
      <c r="I25" s="408">
        <f>'Historical capex'!L246/1000</f>
        <v>580.65433759755513</v>
      </c>
      <c r="J25" s="408">
        <f>'Capex summary'!M147/1000</f>
        <v>3408.8956599891667</v>
      </c>
      <c r="K25" s="408">
        <f>'Capex summary'!N147/1000</f>
        <v>3119.297</v>
      </c>
      <c r="L25" s="408">
        <f>'Capex summary'!O147/1000</f>
        <v>3462.1211000000003</v>
      </c>
      <c r="M25" s="408">
        <f>'Capex summary'!P147/1000</f>
        <v>5168.5538500000002</v>
      </c>
      <c r="N25" s="408">
        <f>'Capex summary'!Q147/1000</f>
        <v>6582.9803500000007</v>
      </c>
      <c r="O25" s="408">
        <f>'Capex summary'!R147/1000</f>
        <v>6946.9624000000003</v>
      </c>
      <c r="P25" s="408">
        <f>'Capex summary'!S147/1000</f>
        <v>6333.9483000000009</v>
      </c>
      <c r="Q25" s="408">
        <f t="shared" si="9"/>
        <v>28494.566000000003</v>
      </c>
      <c r="R25" s="381"/>
      <c r="S25" s="408">
        <f>'Historical capex'!H262/1000</f>
        <v>616</v>
      </c>
      <c r="T25" s="408">
        <f>'Historical capex'!I262/1000</f>
        <v>557</v>
      </c>
      <c r="U25" s="408">
        <f>'Historical capex'!J262/1000</f>
        <v>398</v>
      </c>
      <c r="V25" s="408">
        <f>'Historical capex'!K262/1000</f>
        <v>2896</v>
      </c>
      <c r="W25" s="408">
        <f>'Historical capex'!L262/1000</f>
        <v>571.51099999999997</v>
      </c>
      <c r="X25" s="408">
        <f>'Capex summary'!M164/1000</f>
        <v>3408.8956599891667</v>
      </c>
      <c r="Y25" s="408">
        <f>'Capex summary'!N164/1000</f>
        <v>3145.0949965257214</v>
      </c>
      <c r="Z25" s="408">
        <f>'Capex summary'!O164/1000</f>
        <v>3514.1574161879098</v>
      </c>
      <c r="AA25" s="408">
        <f>'Capex summary'!P164/1000</f>
        <v>5344.8292090319737</v>
      </c>
      <c r="AB25" s="408">
        <f>'Capex summary'!Q164/1000</f>
        <v>6902.3801932625647</v>
      </c>
      <c r="AC25" s="408">
        <f>'Capex summary'!R164/1000</f>
        <v>7417.358309238859</v>
      </c>
      <c r="AD25" s="408">
        <f>'Capex summary'!S164/1000</f>
        <v>6890.0810646969048</v>
      </c>
      <c r="AE25" s="408">
        <f t="shared" si="10"/>
        <v>30068.806192418211</v>
      </c>
      <c r="AF25" s="381"/>
      <c r="AG25" s="408">
        <f>'Commissioned assets summary'!M122/1000</f>
        <v>3127.0160627825562</v>
      </c>
      <c r="AH25" s="408">
        <f>'Commissioned assets summary'!N122/1000</f>
        <v>3155.1762973251107</v>
      </c>
      <c r="AI25" s="408">
        <f>'Commissioned assets summary'!O122/1000</f>
        <v>3841.0342147972101</v>
      </c>
      <c r="AJ25" s="408">
        <f>'Commissioned assets summary'!P122/1000</f>
        <v>5430.607195113761</v>
      </c>
      <c r="AK25" s="408">
        <f>'Commissioned assets summary'!Q122/1000</f>
        <v>6801.4697617455467</v>
      </c>
      <c r="AL25" s="408">
        <f>'Commissioned assets summary'!R122/1000</f>
        <v>7681.6241013440604</v>
      </c>
      <c r="AM25" s="408">
        <f>'Commissioned assets summary'!S122/1000</f>
        <v>7201.8221899184855</v>
      </c>
      <c r="AN25" s="408">
        <f t="shared" si="11"/>
        <v>30956.557462919063</v>
      </c>
      <c r="AO25" s="381"/>
    </row>
    <row r="26" spans="1:41" ht="14.65" customHeight="1" x14ac:dyDescent="0.2">
      <c r="A26" s="398"/>
      <c r="B26" s="488"/>
      <c r="C26" s="589" t="s">
        <v>314</v>
      </c>
      <c r="D26" s="381"/>
      <c r="E26" s="408">
        <f>'Historical capex'!H247/1000</f>
        <v>205.44305933939393</v>
      </c>
      <c r="F26" s="408">
        <f>'Historical capex'!I247/1000</f>
        <v>155.95598216781215</v>
      </c>
      <c r="G26" s="408">
        <f>'Historical capex'!J247/1000</f>
        <v>898.42297973220002</v>
      </c>
      <c r="H26" s="408">
        <f>'Historical capex'!K247/1000</f>
        <v>1813.2717409453815</v>
      </c>
      <c r="I26" s="408">
        <f>'Historical capex'!L247/1000</f>
        <v>553.56476871198061</v>
      </c>
      <c r="J26" s="408">
        <f>'Capex summary'!M148/1000</f>
        <v>1598.5644800106813</v>
      </c>
      <c r="K26" s="408">
        <f>'Capex summary'!N148/1000</f>
        <v>3867.2750000000001</v>
      </c>
      <c r="L26" s="408">
        <f>'Capex summary'!O148/1000</f>
        <v>3777.2712499999998</v>
      </c>
      <c r="M26" s="408">
        <f>'Capex summary'!P148/1000</f>
        <v>3815.2</v>
      </c>
      <c r="N26" s="408">
        <f>'Capex summary'!Q148/1000</f>
        <v>3850.9675000000002</v>
      </c>
      <c r="O26" s="408">
        <f>'Capex summary'!R148/1000</f>
        <v>3879.3249999999998</v>
      </c>
      <c r="P26" s="408">
        <f>'Capex summary'!S148/1000</f>
        <v>2527.9499999999998</v>
      </c>
      <c r="Q26" s="408">
        <f t="shared" si="9"/>
        <v>17850.713749999999</v>
      </c>
      <c r="R26" s="381"/>
      <c r="S26" s="408">
        <f>'Historical capex'!H263/1000</f>
        <v>193</v>
      </c>
      <c r="T26" s="408">
        <f>'Historical capex'!I263/1000</f>
        <v>147</v>
      </c>
      <c r="U26" s="408">
        <f>'Historical capex'!J263/1000</f>
        <v>856</v>
      </c>
      <c r="V26" s="408">
        <f>'Historical capex'!K263/1000</f>
        <v>1755</v>
      </c>
      <c r="W26" s="408">
        <f>'Historical capex'!L263/1000</f>
        <v>544.84799999999996</v>
      </c>
      <c r="X26" s="408">
        <f>'Capex summary'!M165/1000</f>
        <v>1598.5644800106813</v>
      </c>
      <c r="Y26" s="408">
        <f>'Capex summary'!N165/1000</f>
        <v>3938.1171652657354</v>
      </c>
      <c r="Z26" s="408">
        <f>'Capex summary'!O165/1000</f>
        <v>3884.4551663034636</v>
      </c>
      <c r="AA26" s="408">
        <f>'Capex summary'!P165/1000</f>
        <v>4003.544903384874</v>
      </c>
      <c r="AB26" s="408">
        <f>'Capex summary'!Q165/1000</f>
        <v>4112.3038748355839</v>
      </c>
      <c r="AC26" s="408">
        <f>'Capex summary'!R165/1000</f>
        <v>4230.4982924353235</v>
      </c>
      <c r="AD26" s="408">
        <f>'Capex summary'!S165/1000</f>
        <v>2814.2748571286297</v>
      </c>
      <c r="AE26" s="408">
        <f t="shared" si="10"/>
        <v>19045.077094087876</v>
      </c>
      <c r="AF26" s="381"/>
      <c r="AG26" s="408">
        <f>'Commissioned assets summary'!M123/1000</f>
        <v>1466.3801139642192</v>
      </c>
      <c r="AH26" s="408">
        <f>'Commissioned assets summary'!N123/1000</f>
        <v>3936.8287280480654</v>
      </c>
      <c r="AI26" s="408">
        <f>'Commissioned assets summary'!O123/1000</f>
        <v>4266.6200327145571</v>
      </c>
      <c r="AJ26" s="408">
        <f>'Commissioned assets summary'!P123/1000</f>
        <v>4042.5083290470525</v>
      </c>
      <c r="AK26" s="408">
        <f>'Commissioned assets summary'!Q123/1000</f>
        <v>4054.3541839459754</v>
      </c>
      <c r="AL26" s="408">
        <f>'Commissioned assets summary'!R123/1000</f>
        <v>4420.0891426711078</v>
      </c>
      <c r="AM26" s="408">
        <f>'Commissioned assets summary'!S123/1000</f>
        <v>2935.7557977167185</v>
      </c>
      <c r="AN26" s="408">
        <f t="shared" si="11"/>
        <v>19719.327486095415</v>
      </c>
      <c r="AO26" s="381"/>
    </row>
    <row r="27" spans="1:41" ht="14.65" customHeight="1" thickBot="1" x14ac:dyDescent="0.25">
      <c r="A27" s="398"/>
      <c r="B27" s="488"/>
      <c r="C27" s="589" t="s">
        <v>315</v>
      </c>
      <c r="D27" s="381"/>
      <c r="E27" s="408">
        <f>'Historical capex'!H248/1000</f>
        <v>47.901231452190295</v>
      </c>
      <c r="F27" s="408">
        <f>'Historical capex'!I248/1000</f>
        <v>172.93078294798221</v>
      </c>
      <c r="G27" s="408">
        <f>'Historical capex'!J248/1000</f>
        <v>7771.9885104169871</v>
      </c>
      <c r="H27" s="408">
        <f>'Historical capex'!K248/1000</f>
        <v>1601.4650703506218</v>
      </c>
      <c r="I27" s="408">
        <f>'Historical capex'!L248/1000</f>
        <v>734.92761884352092</v>
      </c>
      <c r="J27" s="408">
        <f>'Capex summary'!M149/1000</f>
        <v>0</v>
      </c>
      <c r="K27" s="408">
        <f>'Capex summary'!N149/1000</f>
        <v>191.1</v>
      </c>
      <c r="L27" s="408">
        <f>'Capex summary'!O149/1000</f>
        <v>275.31</v>
      </c>
      <c r="M27" s="408">
        <f>'Capex summary'!P149/1000</f>
        <v>163.59</v>
      </c>
      <c r="N27" s="408">
        <f>'Capex summary'!Q149/1000</f>
        <v>480.79500000000002</v>
      </c>
      <c r="O27" s="408">
        <f>'Capex summary'!R149/1000</f>
        <v>317.20499999999998</v>
      </c>
      <c r="P27" s="408">
        <f>'Capex summary'!S149/1000</f>
        <v>317.20499999999998</v>
      </c>
      <c r="Q27" s="408">
        <f t="shared" si="9"/>
        <v>1554.1049999999998</v>
      </c>
      <c r="R27" s="381"/>
      <c r="S27" s="408">
        <f>'Historical capex'!H264/1000</f>
        <v>45</v>
      </c>
      <c r="T27" s="408">
        <f>'Historical capex'!I264/1000</f>
        <v>163</v>
      </c>
      <c r="U27" s="408">
        <f>'Historical capex'!J264/1000</f>
        <v>7405</v>
      </c>
      <c r="V27" s="408">
        <f>'Historical capex'!K264/1000</f>
        <v>1550</v>
      </c>
      <c r="W27" s="408">
        <f>'Historical capex'!L264/1000</f>
        <v>723.35500000000002</v>
      </c>
      <c r="X27" s="408">
        <f>'Capex summary'!M166/1000</f>
        <v>0</v>
      </c>
      <c r="Y27" s="408">
        <f>'Capex summary'!N166/1000</f>
        <v>193.73625199221794</v>
      </c>
      <c r="Z27" s="408">
        <f>'Capex summary'!O166/1000</f>
        <v>283.40692125865149</v>
      </c>
      <c r="AA27" s="408">
        <f>'Capex summary'!P166/1000</f>
        <v>171.77190522396316</v>
      </c>
      <c r="AB27" s="408">
        <f>'Capex summary'!Q166/1000</f>
        <v>512.88102853820374</v>
      </c>
      <c r="AC27" s="408">
        <f>'Capex summary'!R166/1000</f>
        <v>345.06281536620838</v>
      </c>
      <c r="AD27" s="408">
        <f>'Capex summary'!S166/1000</f>
        <v>351.88451096447176</v>
      </c>
      <c r="AE27" s="408">
        <f t="shared" si="10"/>
        <v>1665.0071813514985</v>
      </c>
      <c r="AF27" s="381"/>
      <c r="AG27" s="408">
        <f>'Commissioned assets summary'!M124/1000</f>
        <v>7836.4775899999995</v>
      </c>
      <c r="AH27" s="408">
        <f>'Commissioned assets summary'!N124/1000</f>
        <v>106.13804870269323</v>
      </c>
      <c r="AI27" s="408">
        <f>'Commissioned assets summary'!O124/1000</f>
        <v>398.69275862578905</v>
      </c>
      <c r="AJ27" s="408">
        <f>'Commissioned assets summary'!P124/1000</f>
        <v>85.564559217010299</v>
      </c>
      <c r="AK27" s="408">
        <f>'Commissioned assets summary'!Q124/1000</f>
        <v>529.8292349561226</v>
      </c>
      <c r="AL27" s="408">
        <f>'Commissioned assets summary'!R124/1000</f>
        <v>400.69966258836308</v>
      </c>
      <c r="AM27" s="408">
        <f>'Commissioned assets summary'!S124/1000</f>
        <v>345.56121461964221</v>
      </c>
      <c r="AN27" s="408">
        <f t="shared" si="11"/>
        <v>1760.3474300069272</v>
      </c>
      <c r="AO27" s="381"/>
    </row>
    <row r="28" spans="1:41" s="494" customFormat="1" ht="14.65" customHeight="1" thickBot="1" x14ac:dyDescent="0.3">
      <c r="A28" s="490"/>
      <c r="B28" s="504"/>
      <c r="C28" s="529" t="s">
        <v>640</v>
      </c>
      <c r="D28" s="548"/>
      <c r="E28" s="496">
        <f>SUM(E20:E27)</f>
        <v>7984.6030471750992</v>
      </c>
      <c r="F28" s="496">
        <f>SUM(F20:F27)</f>
        <v>5846.7579437198146</v>
      </c>
      <c r="G28" s="496">
        <f>SUM(G20:G27)</f>
        <v>19026.415626852009</v>
      </c>
      <c r="H28" s="496">
        <f>SUM(H20:H27)</f>
        <v>52452.630468703239</v>
      </c>
      <c r="I28" s="496">
        <f>SUM(I20:I27)</f>
        <v>40624.247190954025</v>
      </c>
      <c r="J28" s="496">
        <f t="shared" ref="J28:P28" si="12">SUM(J20:J27)</f>
        <v>36713.342015259252</v>
      </c>
      <c r="K28" s="496">
        <f t="shared" si="12"/>
        <v>49776.078486680904</v>
      </c>
      <c r="L28" s="496">
        <f t="shared" si="12"/>
        <v>53375.650216000002</v>
      </c>
      <c r="M28" s="496">
        <f t="shared" si="12"/>
        <v>55141.657475749991</v>
      </c>
      <c r="N28" s="496">
        <f t="shared" si="12"/>
        <v>55346.6423775</v>
      </c>
      <c r="O28" s="496">
        <f t="shared" si="12"/>
        <v>51608.843826750002</v>
      </c>
      <c r="P28" s="496">
        <f t="shared" si="12"/>
        <v>43142.023050000003</v>
      </c>
      <c r="Q28" s="496">
        <f>SUM(Q20:Q27)</f>
        <v>258614.81694600001</v>
      </c>
      <c r="R28" s="419"/>
      <c r="S28" s="496">
        <f>SUM(S20:S27)</f>
        <v>7501</v>
      </c>
      <c r="T28" s="496">
        <f>SUM(T20:T27)</f>
        <v>5511</v>
      </c>
      <c r="U28" s="496">
        <f>SUM(U20:U27)</f>
        <v>18128</v>
      </c>
      <c r="V28" s="496">
        <f>SUM(V20:V27)</f>
        <v>50767</v>
      </c>
      <c r="W28" s="496">
        <f>SUM(W20:W27)</f>
        <v>39984.553</v>
      </c>
      <c r="X28" s="496">
        <f t="shared" ref="X28:AD28" si="13">SUM(X20:X27)</f>
        <v>36713.342015259252</v>
      </c>
      <c r="Y28" s="496">
        <f t="shared" si="13"/>
        <v>50520.734983864466</v>
      </c>
      <c r="Z28" s="496">
        <f t="shared" si="13"/>
        <v>54930.750117912394</v>
      </c>
      <c r="AA28" s="496">
        <f t="shared" si="13"/>
        <v>57889.127519570291</v>
      </c>
      <c r="AB28" s="496">
        <f t="shared" si="13"/>
        <v>58987.884291476381</v>
      </c>
      <c r="AC28" s="496">
        <f t="shared" si="13"/>
        <v>56095.773859877496</v>
      </c>
      <c r="AD28" s="496">
        <f t="shared" si="13"/>
        <v>47873.287188291601</v>
      </c>
      <c r="AE28" s="496">
        <f>SUM(AE20:AE27)</f>
        <v>275776.82297712815</v>
      </c>
      <c r="AF28" s="419"/>
      <c r="AG28" s="496">
        <f t="shared" ref="AG28:AN28" si="14">SUM(AG20:AG27)</f>
        <v>42291.308929912921</v>
      </c>
      <c r="AH28" s="496">
        <f t="shared" si="14"/>
        <v>54632.331366999228</v>
      </c>
      <c r="AI28" s="496">
        <f t="shared" si="14"/>
        <v>62068.382068652274</v>
      </c>
      <c r="AJ28" s="496">
        <f t="shared" si="14"/>
        <v>57714.015797219727</v>
      </c>
      <c r="AK28" s="496">
        <f t="shared" si="14"/>
        <v>57284.594910512416</v>
      </c>
      <c r="AL28" s="496">
        <f t="shared" si="14"/>
        <v>57318.566256977014</v>
      </c>
      <c r="AM28" s="496">
        <f t="shared" si="14"/>
        <v>52052.195824754737</v>
      </c>
      <c r="AN28" s="496">
        <f t="shared" si="14"/>
        <v>286437.75485811621</v>
      </c>
      <c r="AO28" s="419"/>
    </row>
    <row r="29" spans="1:41" ht="14.65" customHeight="1" thickBot="1" x14ac:dyDescent="0.25">
      <c r="A29" s="540"/>
      <c r="B29" s="590" t="s">
        <v>679</v>
      </c>
      <c r="C29" s="551" t="s">
        <v>641</v>
      </c>
      <c r="D29" s="381"/>
      <c r="E29" s="408">
        <f>'Historical capex'!H252/1000</f>
        <v>0</v>
      </c>
      <c r="F29" s="408">
        <f>'Historical capex'!I252/1000</f>
        <v>27.584051267776299</v>
      </c>
      <c r="G29" s="408">
        <f>'Historical capex'!J252/1000</f>
        <v>27.288548449809813</v>
      </c>
      <c r="H29" s="408">
        <f>'Historical capex'!K252/1000</f>
        <v>0</v>
      </c>
      <c r="I29" s="408">
        <f>'Historical capex'!L252/1000</f>
        <v>21.770816565281176</v>
      </c>
      <c r="J29" s="408">
        <f>'Capex summary'!M152/1000</f>
        <v>0</v>
      </c>
      <c r="K29" s="408">
        <f>'Capex summary'!N152/1000</f>
        <v>0</v>
      </c>
      <c r="L29" s="408">
        <f>'Capex summary'!O152/1000</f>
        <v>0</v>
      </c>
      <c r="M29" s="408">
        <f>'Capex summary'!P152/1000</f>
        <v>0</v>
      </c>
      <c r="N29" s="408">
        <f>'Capex summary'!Q152/1000</f>
        <v>0</v>
      </c>
      <c r="O29" s="408">
        <f>'Capex summary'!R152/1000</f>
        <v>0</v>
      </c>
      <c r="P29" s="408">
        <f>'Capex summary'!S152/1000</f>
        <v>0</v>
      </c>
      <c r="Q29" s="408">
        <f>SUM(L29:P29)</f>
        <v>0</v>
      </c>
      <c r="R29" s="381"/>
      <c r="S29" s="408">
        <f>'Historical capex'!H268/1000</f>
        <v>0</v>
      </c>
      <c r="T29" s="408">
        <f>'Historical capex'!I268/1000</f>
        <v>26</v>
      </c>
      <c r="U29" s="408">
        <f>'Historical capex'!J268/1000</f>
        <v>26</v>
      </c>
      <c r="V29" s="408">
        <f>'Historical capex'!K268/1000</f>
        <v>0</v>
      </c>
      <c r="W29" s="408">
        <f>'Historical capex'!L268/1000</f>
        <v>21.428000000000001</v>
      </c>
      <c r="X29" s="408">
        <f>'Capex summary'!M169/1000</f>
        <v>0</v>
      </c>
      <c r="Y29" s="408">
        <f>'Capex summary'!N169/1000</f>
        <v>0</v>
      </c>
      <c r="Z29" s="408">
        <f>'Capex summary'!O169/1000</f>
        <v>0</v>
      </c>
      <c r="AA29" s="408">
        <f>'Capex summary'!P169/1000</f>
        <v>0</v>
      </c>
      <c r="AB29" s="408">
        <f>'Capex summary'!Q169/1000</f>
        <v>0</v>
      </c>
      <c r="AC29" s="408">
        <f>'Capex summary'!R169/1000</f>
        <v>0</v>
      </c>
      <c r="AD29" s="408">
        <f>'Capex summary'!S169/1000</f>
        <v>0</v>
      </c>
      <c r="AE29" s="408">
        <f>SUM(Z29:AD29)</f>
        <v>0</v>
      </c>
      <c r="AF29" s="381"/>
      <c r="AG29" s="408">
        <f xml:space="preserve"> 'Commissioned assets summary'!M$184/1000</f>
        <v>0</v>
      </c>
      <c r="AH29" s="408">
        <f xml:space="preserve"> 'Commissioned assets summary'!N$184/1000</f>
        <v>0</v>
      </c>
      <c r="AI29" s="408">
        <f xml:space="preserve"> 'Commissioned assets summary'!O$184/1000</f>
        <v>0</v>
      </c>
      <c r="AJ29" s="408">
        <f xml:space="preserve"> 'Commissioned assets summary'!P$184/1000</f>
        <v>0</v>
      </c>
      <c r="AK29" s="408">
        <f xml:space="preserve"> 'Commissioned assets summary'!Q$184/1000</f>
        <v>0</v>
      </c>
      <c r="AL29" s="408">
        <f xml:space="preserve"> 'Commissioned assets summary'!R$184/1000</f>
        <v>0</v>
      </c>
      <c r="AM29" s="408">
        <f xml:space="preserve"> 'Commissioned assets summary'!S$184/1000</f>
        <v>0</v>
      </c>
      <c r="AN29" s="408">
        <f xml:space="preserve"> 'Commissioned assets summary'!T$184/1000</f>
        <v>0</v>
      </c>
      <c r="AO29" s="381"/>
    </row>
    <row r="30" spans="1:41" s="494" customFormat="1" ht="14.65" customHeight="1" thickBot="1" x14ac:dyDescent="0.3">
      <c r="A30" s="490"/>
      <c r="B30" s="504"/>
      <c r="C30" s="529" t="s">
        <v>642</v>
      </c>
      <c r="D30" s="548"/>
      <c r="E30" s="496">
        <f>E28-E29</f>
        <v>7984.6030471750992</v>
      </c>
      <c r="F30" s="496">
        <f>F28-F29</f>
        <v>5819.1738924520387</v>
      </c>
      <c r="G30" s="496">
        <f>G28-G29</f>
        <v>18999.127078402198</v>
      </c>
      <c r="H30" s="496">
        <f>H28-H29</f>
        <v>52452.630468703239</v>
      </c>
      <c r="I30" s="496">
        <f>I28-I29</f>
        <v>40602.476374388745</v>
      </c>
      <c r="J30" s="496">
        <f t="shared" ref="J30:Q30" si="15">J28-J29</f>
        <v>36713.342015259252</v>
      </c>
      <c r="K30" s="496">
        <f t="shared" si="15"/>
        <v>49776.078486680904</v>
      </c>
      <c r="L30" s="496">
        <f t="shared" si="15"/>
        <v>53375.650216000002</v>
      </c>
      <c r="M30" s="496">
        <f t="shared" si="15"/>
        <v>55141.657475749991</v>
      </c>
      <c r="N30" s="496">
        <f t="shared" si="15"/>
        <v>55346.6423775</v>
      </c>
      <c r="O30" s="496">
        <f t="shared" si="15"/>
        <v>51608.843826750002</v>
      </c>
      <c r="P30" s="496">
        <f t="shared" si="15"/>
        <v>43142.023050000003</v>
      </c>
      <c r="Q30" s="496">
        <f t="shared" si="15"/>
        <v>258614.81694600001</v>
      </c>
      <c r="R30" s="419"/>
      <c r="S30" s="496">
        <f>S28-S29</f>
        <v>7501</v>
      </c>
      <c r="T30" s="496">
        <f>T28-T29</f>
        <v>5485</v>
      </c>
      <c r="U30" s="496">
        <f>U28-U29</f>
        <v>18102</v>
      </c>
      <c r="V30" s="496">
        <f>V28-V29</f>
        <v>50767</v>
      </c>
      <c r="W30" s="496">
        <f>W28-W29</f>
        <v>39963.125</v>
      </c>
      <c r="X30" s="496">
        <f t="shared" ref="X30:AD30" si="16">X28-X29</f>
        <v>36713.342015259252</v>
      </c>
      <c r="Y30" s="496">
        <f t="shared" si="16"/>
        <v>50520.734983864466</v>
      </c>
      <c r="Z30" s="496">
        <f t="shared" si="16"/>
        <v>54930.750117912394</v>
      </c>
      <c r="AA30" s="496">
        <f t="shared" si="16"/>
        <v>57889.127519570291</v>
      </c>
      <c r="AB30" s="496">
        <f t="shared" si="16"/>
        <v>58987.884291476381</v>
      </c>
      <c r="AC30" s="496">
        <f t="shared" si="16"/>
        <v>56095.773859877496</v>
      </c>
      <c r="AD30" s="496">
        <f t="shared" si="16"/>
        <v>47873.287188291601</v>
      </c>
      <c r="AE30" s="496">
        <f>AE28-AE29</f>
        <v>275776.82297712815</v>
      </c>
      <c r="AF30" s="419"/>
      <c r="AG30" s="496">
        <f t="shared" ref="AG30:AM30" si="17">AG28-AG29</f>
        <v>42291.308929912921</v>
      </c>
      <c r="AH30" s="496">
        <f t="shared" si="17"/>
        <v>54632.331366999228</v>
      </c>
      <c r="AI30" s="496">
        <f t="shared" si="17"/>
        <v>62068.382068652274</v>
      </c>
      <c r="AJ30" s="496">
        <f t="shared" si="17"/>
        <v>57714.015797219727</v>
      </c>
      <c r="AK30" s="496">
        <f t="shared" si="17"/>
        <v>57284.594910512416</v>
      </c>
      <c r="AL30" s="496">
        <f t="shared" si="17"/>
        <v>57318.566256977014</v>
      </c>
      <c r="AM30" s="496">
        <f t="shared" si="17"/>
        <v>52052.195824754737</v>
      </c>
      <c r="AN30" s="496">
        <f>AN28-AN29</f>
        <v>286437.75485811621</v>
      </c>
      <c r="AO30" s="419"/>
    </row>
    <row r="31" spans="1:41" ht="14.65" customHeight="1" x14ac:dyDescent="0.2">
      <c r="A31" s="398"/>
      <c r="B31" s="488"/>
      <c r="C31" s="529"/>
      <c r="D31" s="381"/>
      <c r="E31" s="530"/>
      <c r="F31" s="530"/>
      <c r="G31" s="530"/>
      <c r="H31" s="530"/>
      <c r="I31" s="530"/>
      <c r="J31" s="530"/>
      <c r="K31" s="530"/>
      <c r="L31" s="530"/>
      <c r="M31" s="530"/>
      <c r="N31" s="530"/>
      <c r="O31" s="530"/>
      <c r="P31" s="530"/>
      <c r="Q31" s="530"/>
      <c r="R31" s="381"/>
      <c r="S31" s="530"/>
      <c r="T31" s="530"/>
      <c r="U31" s="530"/>
      <c r="V31" s="530"/>
      <c r="W31" s="530"/>
      <c r="X31" s="530"/>
      <c r="Y31" s="530"/>
      <c r="Z31" s="530"/>
      <c r="AA31" s="381"/>
      <c r="AB31" s="530"/>
      <c r="AC31" s="530"/>
      <c r="AD31" s="530"/>
      <c r="AE31" s="530"/>
      <c r="AF31" s="381"/>
      <c r="AG31" s="381"/>
      <c r="AH31" s="381"/>
      <c r="AI31" s="381"/>
      <c r="AJ31" s="381"/>
      <c r="AK31" s="381"/>
      <c r="AL31" s="381"/>
      <c r="AM31" s="381"/>
      <c r="AN31" s="381"/>
      <c r="AO31" s="381"/>
    </row>
    <row r="32" spans="1:41" ht="14.65" customHeight="1" x14ac:dyDescent="0.2"/>
    <row r="33" spans="3:40" x14ac:dyDescent="0.2">
      <c r="C33" s="391" t="s">
        <v>681</v>
      </c>
      <c r="E33" s="393">
        <f>E16-'Historical capex'!H217/1000</f>
        <v>0</v>
      </c>
      <c r="F33" s="393">
        <f>F16-'Historical capex'!I217/1000</f>
        <v>0</v>
      </c>
      <c r="G33" s="393">
        <f>G16-'Historical capex'!J217/1000</f>
        <v>0</v>
      </c>
      <c r="H33" s="393">
        <f>H16-'Historical capex'!K217/1000</f>
        <v>0</v>
      </c>
      <c r="I33" s="393">
        <f>I16-'Historical capex'!L217/1000</f>
        <v>0</v>
      </c>
      <c r="J33" s="393">
        <f>J16-'Capex summary'!M117/1000</f>
        <v>0</v>
      </c>
      <c r="K33" s="393">
        <f>K16-'Capex summary'!N117/1000</f>
        <v>0</v>
      </c>
      <c r="L33" s="393">
        <f>L16-'Capex summary'!O117/1000</f>
        <v>0</v>
      </c>
      <c r="M33" s="393">
        <f>M16-'Capex summary'!P117/1000</f>
        <v>0</v>
      </c>
      <c r="N33" s="393">
        <f>N16-'Capex summary'!Q117/1000</f>
        <v>0</v>
      </c>
      <c r="O33" s="393">
        <f>O16-'Capex summary'!R117/1000</f>
        <v>0</v>
      </c>
      <c r="P33" s="393">
        <f>P16-'Capex summary'!S117/1000</f>
        <v>0</v>
      </c>
      <c r="Q33" s="393"/>
      <c r="R33" s="393"/>
      <c r="S33" s="393">
        <f>S16-'Historical capex'!H233/1000</f>
        <v>0</v>
      </c>
      <c r="T33" s="393">
        <f>T16-'Historical capex'!I233/1000</f>
        <v>0</v>
      </c>
      <c r="U33" s="393">
        <f>U16-'Historical capex'!J233/1000</f>
        <v>0</v>
      </c>
      <c r="V33" s="393">
        <f>V16-'Historical capex'!K233/1000</f>
        <v>0</v>
      </c>
      <c r="W33" s="393">
        <f>W16-'Historical capex'!L233/1000</f>
        <v>0</v>
      </c>
      <c r="X33" s="393">
        <f>X16-'Capex summary'!M134/1000</f>
        <v>0</v>
      </c>
      <c r="Y33" s="393">
        <f>Y16-'Capex summary'!N134/1000</f>
        <v>0</v>
      </c>
      <c r="Z33" s="393">
        <f>Z16-'Capex summary'!O134/1000</f>
        <v>0</v>
      </c>
      <c r="AA33" s="393">
        <f>AA16-'Capex summary'!P134/1000</f>
        <v>0</v>
      </c>
      <c r="AB33" s="393">
        <f>AB16-'Capex summary'!Q134/1000</f>
        <v>0</v>
      </c>
      <c r="AC33" s="393">
        <f>AC16-'Capex summary'!R134/1000</f>
        <v>0</v>
      </c>
      <c r="AD33" s="393">
        <f>AD16-'Capex summary'!S134/1000</f>
        <v>0</v>
      </c>
      <c r="AE33" s="393"/>
      <c r="AF33" s="393"/>
      <c r="AG33" s="393">
        <f>AG16-'Commissioned assets summary'!M108/1000</f>
        <v>0</v>
      </c>
      <c r="AH33" s="393">
        <f>AH16-'Commissioned assets summary'!N108/1000</f>
        <v>0</v>
      </c>
      <c r="AI33" s="393">
        <f>AI16-'Commissioned assets summary'!O108/1000</f>
        <v>0</v>
      </c>
      <c r="AJ33" s="393">
        <f>AJ16-'Commissioned assets summary'!P108/1000</f>
        <v>0</v>
      </c>
      <c r="AK33" s="393">
        <f>AK16-'Commissioned assets summary'!Q108/1000</f>
        <v>0</v>
      </c>
      <c r="AL33" s="393">
        <f>AL16-'Commissioned assets summary'!R108/1000</f>
        <v>0</v>
      </c>
      <c r="AM33" s="393">
        <f>AM16-'Commissioned assets summary'!S108/1000</f>
        <v>0</v>
      </c>
      <c r="AN33" s="393"/>
    </row>
    <row r="34" spans="3:40" x14ac:dyDescent="0.2">
      <c r="C34" s="391" t="s">
        <v>682</v>
      </c>
      <c r="E34" s="393">
        <f>E30-'Historical capex'!H253/1000</f>
        <v>0</v>
      </c>
      <c r="F34" s="393">
        <f>F30-'Historical capex'!I253/1000</f>
        <v>0</v>
      </c>
      <c r="G34" s="393">
        <f>G30-'Historical capex'!J253/1000</f>
        <v>0</v>
      </c>
      <c r="H34" s="393">
        <f>H30-'Historical capex'!K253/1000</f>
        <v>0</v>
      </c>
      <c r="I34" s="393">
        <f>I30-'Historical capex'!L253/1000</f>
        <v>0</v>
      </c>
      <c r="J34" s="393">
        <f>J30-'Capex summary'!M153/1000</f>
        <v>0</v>
      </c>
      <c r="K34" s="393">
        <f>K30-'Capex summary'!N153/1000</f>
        <v>0</v>
      </c>
      <c r="L34" s="393">
        <f>L30-'Capex summary'!O153/1000</f>
        <v>0</v>
      </c>
      <c r="M34" s="393">
        <f>M30-'Capex summary'!P153/1000</f>
        <v>0</v>
      </c>
      <c r="N34" s="393">
        <f>N30-'Capex summary'!Q153/1000</f>
        <v>0</v>
      </c>
      <c r="O34" s="393">
        <f>O30-'Capex summary'!R153/1000</f>
        <v>0</v>
      </c>
      <c r="P34" s="393">
        <f>P30-'Capex summary'!S153/1000</f>
        <v>0</v>
      </c>
      <c r="Q34" s="393"/>
      <c r="R34" s="393"/>
      <c r="S34" s="393">
        <f>S30-'Historical capex'!H269/1000</f>
        <v>0</v>
      </c>
      <c r="T34" s="393">
        <f>T30-'Historical capex'!I269/1000</f>
        <v>0</v>
      </c>
      <c r="U34" s="393">
        <f>U30-'Historical capex'!J269/1000</f>
        <v>0</v>
      </c>
      <c r="V34" s="393">
        <f>V30-'Historical capex'!K269/1000</f>
        <v>0</v>
      </c>
      <c r="W34" s="393">
        <f>W30-'Historical capex'!L269/1000</f>
        <v>0</v>
      </c>
      <c r="X34" s="393">
        <f>X30-'Capex summary'!M170/1000</f>
        <v>0</v>
      </c>
      <c r="Y34" s="393">
        <f>Y30-'Capex summary'!N170/1000</f>
        <v>0</v>
      </c>
      <c r="Z34" s="393">
        <f>Z30-'Capex summary'!O170/1000</f>
        <v>0</v>
      </c>
      <c r="AA34" s="393">
        <f>AA30-'Capex summary'!P170/1000</f>
        <v>0</v>
      </c>
      <c r="AB34" s="393">
        <f>AB30-'Capex summary'!Q170/1000</f>
        <v>0</v>
      </c>
      <c r="AC34" s="393">
        <f>AC30-'Capex summary'!R170/1000</f>
        <v>0</v>
      </c>
      <c r="AD34" s="393">
        <f>AD30-'Capex summary'!S170/1000</f>
        <v>0</v>
      </c>
      <c r="AE34" s="393"/>
      <c r="AF34" s="393"/>
      <c r="AG34" s="393">
        <f>AG30-'Commissioned assets summary'!M126/1000</f>
        <v>0</v>
      </c>
      <c r="AH34" s="393">
        <f>AH30-'Commissioned assets summary'!N126/1000</f>
        <v>0</v>
      </c>
      <c r="AI34" s="393">
        <f>AI30-'Commissioned assets summary'!O126/1000</f>
        <v>0</v>
      </c>
      <c r="AJ34" s="393">
        <f>AJ30-'Commissioned assets summary'!P126/1000</f>
        <v>0</v>
      </c>
      <c r="AK34" s="393">
        <f>AK30-'Commissioned assets summary'!Q126/1000</f>
        <v>0</v>
      </c>
      <c r="AL34" s="393">
        <f>AL30-'Commissioned assets summary'!R126/1000</f>
        <v>0</v>
      </c>
      <c r="AM34" s="393">
        <f>AM30-'Commissioned assets summary'!S126/1000</f>
        <v>0</v>
      </c>
      <c r="AN34" s="393"/>
    </row>
    <row r="39" spans="3:40" ht="14.65" customHeight="1" x14ac:dyDescent="0.2"/>
    <row r="41" spans="3:40" ht="14.65" customHeight="1" x14ac:dyDescent="0.2"/>
    <row r="43" spans="3:40" ht="14.65" customHeight="1" x14ac:dyDescent="0.2"/>
    <row r="47" spans="3:40" ht="14.65" customHeight="1" x14ac:dyDescent="0.2"/>
    <row r="70" ht="14.65" customHeight="1" x14ac:dyDescent="0.2"/>
    <row r="84" ht="14.65" customHeight="1" x14ac:dyDescent="0.2"/>
    <row r="91" ht="14.65" customHeight="1" x14ac:dyDescent="0.2"/>
    <row r="96" ht="14.65" customHeight="1" x14ac:dyDescent="0.2"/>
    <row r="109" ht="14.65" customHeight="1" x14ac:dyDescent="0.2"/>
    <row r="110" ht="14.65" customHeight="1" x14ac:dyDescent="0.2"/>
  </sheetData>
  <sheetProtection algorithmName="SHA-512" hashValue="Q4pf9Mk8y1Qm4W4g5ZBgnQ1A/4Jda+OXZCkcFUx9aitzzedt4/FydaDfuWyr74bXjraePuq7wym7bLxO9/9WEw==" saltValue="j5pFwIoD3WG1eUNqy5gt9w==" spinCount="100000" sheet="1" objects="1" scenarios="1"/>
  <mergeCells count="16">
    <mergeCell ref="AG3:AH3"/>
    <mergeCell ref="AI3:AM3"/>
    <mergeCell ref="AN3:AN4"/>
    <mergeCell ref="AG2:AN2"/>
    <mergeCell ref="S2:AE2"/>
    <mergeCell ref="AE3:AE4"/>
    <mergeCell ref="S3:W3"/>
    <mergeCell ref="Q3:Q4"/>
    <mergeCell ref="X3:Y3"/>
    <mergeCell ref="Z3:AD3"/>
    <mergeCell ref="B1:C1"/>
    <mergeCell ref="C3:C4"/>
    <mergeCell ref="E2:Q2"/>
    <mergeCell ref="J3:K3"/>
    <mergeCell ref="L3:P3"/>
    <mergeCell ref="E3:I3"/>
  </mergeCells>
  <conditionalFormatting sqref="E33:AN34">
    <cfRule type="cellIs" dxfId="11" priority="1" stopIfTrue="1" operator="equal">
      <formula>0</formula>
    </cfRule>
    <cfRule type="cellIs" dxfId="10" priority="2" stopIfTrue="1" operator="notEqual">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B468-6C8E-4DA7-9B87-DABCA0EE5AE8}">
  <sheetPr codeName="Sheet23"/>
  <dimension ref="A1:AJ94"/>
  <sheetViews>
    <sheetView showGridLines="0" zoomScale="85" zoomScaleNormal="85" workbookViewId="0">
      <pane xSplit="7" ySplit="4" topLeftCell="H5" activePane="bottomRight" state="frozen"/>
      <selection pane="topRight" activeCell="B116" sqref="B116"/>
      <selection pane="bottomLeft" activeCell="B116" sqref="B116"/>
      <selection pane="bottomRight" activeCell="H5" sqref="H5"/>
    </sheetView>
  </sheetViews>
  <sheetFormatPr defaultColWidth="7.875" defaultRowHeight="14.25" x14ac:dyDescent="0.2"/>
  <cols>
    <col min="1" max="1" width="3.875" style="479" customWidth="1"/>
    <col min="2" max="2" width="2.875" style="479" customWidth="1"/>
    <col min="3" max="3" width="6.5" style="479" customWidth="1"/>
    <col min="4" max="4" width="7.25" style="479" customWidth="1"/>
    <col min="5" max="5" width="13.75" style="479" customWidth="1"/>
    <col min="6" max="6" width="59" style="479" customWidth="1"/>
    <col min="7" max="8" width="2.875" style="479" customWidth="1"/>
    <col min="9" max="9" width="14" style="479" customWidth="1"/>
    <col min="10" max="10" width="11.25" style="479" customWidth="1"/>
    <col min="11" max="21" width="8.625" style="479" customWidth="1"/>
    <col min="22" max="22" width="3.375" style="479" customWidth="1"/>
    <col min="23" max="35" width="8.625" style="479" customWidth="1"/>
    <col min="36" max="36" width="5" style="479" customWidth="1"/>
    <col min="37" max="16384" width="7.875" style="479"/>
  </cols>
  <sheetData>
    <row r="1" spans="1:36" ht="26.1" customHeight="1" thickBot="1" x14ac:dyDescent="0.3">
      <c r="A1" s="594"/>
      <c r="B1" s="381"/>
      <c r="C1" s="595" t="s">
        <v>683</v>
      </c>
      <c r="D1" s="573"/>
      <c r="E1" s="573"/>
      <c r="F1" s="568"/>
      <c r="G1" s="381"/>
      <c r="H1" s="381"/>
      <c r="I1" s="381" t="s">
        <v>503</v>
      </c>
      <c r="J1" s="381"/>
      <c r="K1" s="381"/>
      <c r="L1" s="381"/>
      <c r="M1" s="381"/>
      <c r="N1" s="381"/>
      <c r="O1" s="381"/>
      <c r="P1" s="381"/>
      <c r="Q1" s="381"/>
      <c r="R1" s="381"/>
      <c r="S1" s="381"/>
      <c r="T1" s="381"/>
      <c r="U1" s="381"/>
      <c r="V1" s="381"/>
      <c r="W1" s="381"/>
      <c r="X1" s="381"/>
      <c r="Y1" s="381"/>
      <c r="Z1" s="381"/>
      <c r="AA1" s="381"/>
      <c r="AB1" s="381"/>
      <c r="AC1" s="381"/>
      <c r="AD1" s="381"/>
      <c r="AE1" s="381"/>
      <c r="AF1" s="398"/>
      <c r="AG1" s="398"/>
      <c r="AH1" s="398"/>
      <c r="AI1" s="398"/>
      <c r="AJ1" s="398"/>
    </row>
    <row r="2" spans="1:36" ht="25.35" customHeight="1" thickBot="1" x14ac:dyDescent="0.25">
      <c r="A2" s="381"/>
      <c r="B2" s="381"/>
      <c r="C2" s="515" t="s">
        <v>684</v>
      </c>
      <c r="D2" s="381"/>
      <c r="E2" s="381"/>
      <c r="F2" s="381"/>
      <c r="G2" s="381"/>
      <c r="H2" s="381"/>
      <c r="I2" s="691" t="s">
        <v>685</v>
      </c>
      <c r="J2" s="692"/>
      <c r="K2" s="692"/>
      <c r="L2" s="692"/>
      <c r="M2" s="692"/>
      <c r="N2" s="692"/>
      <c r="O2" s="692"/>
      <c r="P2" s="692"/>
      <c r="Q2" s="692"/>
      <c r="R2" s="692"/>
      <c r="S2" s="692"/>
      <c r="T2" s="692"/>
      <c r="U2" s="693"/>
      <c r="V2" s="381"/>
      <c r="W2" s="691" t="s">
        <v>686</v>
      </c>
      <c r="X2" s="692"/>
      <c r="Y2" s="692"/>
      <c r="Z2" s="692"/>
      <c r="AA2" s="692"/>
      <c r="AB2" s="692"/>
      <c r="AC2" s="692"/>
      <c r="AD2" s="692"/>
      <c r="AE2" s="692"/>
      <c r="AF2" s="692"/>
      <c r="AG2" s="692"/>
      <c r="AH2" s="692"/>
      <c r="AI2" s="693"/>
      <c r="AJ2" s="398"/>
    </row>
    <row r="3" spans="1:36" ht="32.65" customHeight="1" x14ac:dyDescent="0.2">
      <c r="A3" s="381"/>
      <c r="B3" s="381"/>
      <c r="C3" s="381"/>
      <c r="D3" s="381"/>
      <c r="E3" s="596" t="s">
        <v>505</v>
      </c>
      <c r="F3" s="597" t="s">
        <v>506</v>
      </c>
      <c r="G3" s="568"/>
      <c r="H3" s="568"/>
      <c r="I3" s="708" t="s">
        <v>46</v>
      </c>
      <c r="J3" s="708"/>
      <c r="K3" s="708"/>
      <c r="L3" s="708"/>
      <c r="M3" s="708"/>
      <c r="N3" s="706" t="s">
        <v>577</v>
      </c>
      <c r="O3" s="707"/>
      <c r="P3" s="708" t="s">
        <v>578</v>
      </c>
      <c r="Q3" s="708"/>
      <c r="R3" s="708"/>
      <c r="S3" s="708"/>
      <c r="T3" s="709"/>
      <c r="U3" s="704" t="s">
        <v>628</v>
      </c>
      <c r="V3" s="381"/>
      <c r="W3" s="708" t="s">
        <v>46</v>
      </c>
      <c r="X3" s="708"/>
      <c r="Y3" s="708"/>
      <c r="Z3" s="708"/>
      <c r="AA3" s="708"/>
      <c r="AB3" s="706" t="s">
        <v>577</v>
      </c>
      <c r="AC3" s="707"/>
      <c r="AD3" s="708" t="s">
        <v>578</v>
      </c>
      <c r="AE3" s="708"/>
      <c r="AF3" s="708"/>
      <c r="AG3" s="708"/>
      <c r="AH3" s="709"/>
      <c r="AI3" s="704" t="s">
        <v>628</v>
      </c>
      <c r="AJ3" s="398"/>
    </row>
    <row r="4" spans="1:36" ht="40.35" customHeight="1" x14ac:dyDescent="0.2">
      <c r="A4" s="381"/>
      <c r="B4" s="398"/>
      <c r="C4" s="381"/>
      <c r="D4" s="381"/>
      <c r="E4" s="381"/>
      <c r="F4" s="381"/>
      <c r="G4" s="579" t="str">
        <f>IF(ISNUMBER(#REF!),"for year ended","")</f>
        <v/>
      </c>
      <c r="H4" s="579" t="str">
        <f>IF(ISNUMBER(#REF!),"for year ended","")</f>
        <v/>
      </c>
      <c r="I4" s="598" t="s">
        <v>581</v>
      </c>
      <c r="J4" s="502" t="s">
        <v>582</v>
      </c>
      <c r="K4" s="502" t="s">
        <v>583</v>
      </c>
      <c r="L4" s="502" t="s">
        <v>584</v>
      </c>
      <c r="M4" s="502" t="s">
        <v>585</v>
      </c>
      <c r="N4" s="550" t="s">
        <v>586</v>
      </c>
      <c r="O4" s="550" t="s">
        <v>587</v>
      </c>
      <c r="P4" s="550" t="s">
        <v>588</v>
      </c>
      <c r="Q4" s="550" t="s">
        <v>589</v>
      </c>
      <c r="R4" s="550" t="s">
        <v>590</v>
      </c>
      <c r="S4" s="550" t="s">
        <v>591</v>
      </c>
      <c r="T4" s="502" t="s">
        <v>592</v>
      </c>
      <c r="U4" s="705"/>
      <c r="V4" s="517"/>
      <c r="W4" s="386" t="s">
        <v>581</v>
      </c>
      <c r="X4" s="486" t="s">
        <v>582</v>
      </c>
      <c r="Y4" s="486" t="s">
        <v>583</v>
      </c>
      <c r="Z4" s="486" t="s">
        <v>584</v>
      </c>
      <c r="AA4" s="486" t="s">
        <v>585</v>
      </c>
      <c r="AB4" s="485" t="s">
        <v>586</v>
      </c>
      <c r="AC4" s="485" t="s">
        <v>587</v>
      </c>
      <c r="AD4" s="485" t="s">
        <v>588</v>
      </c>
      <c r="AE4" s="485" t="s">
        <v>589</v>
      </c>
      <c r="AF4" s="485" t="s">
        <v>590</v>
      </c>
      <c r="AG4" s="485" t="s">
        <v>591</v>
      </c>
      <c r="AH4" s="486" t="s">
        <v>592</v>
      </c>
      <c r="AI4" s="705"/>
      <c r="AJ4" s="398"/>
    </row>
    <row r="5" spans="1:36" ht="17.100000000000001" customHeight="1" x14ac:dyDescent="0.25">
      <c r="A5" s="381"/>
      <c r="B5" s="398"/>
      <c r="C5" s="561" t="s">
        <v>687</v>
      </c>
      <c r="D5" s="561" t="s">
        <v>241</v>
      </c>
      <c r="E5" s="381"/>
      <c r="F5" s="381"/>
      <c r="G5" s="423"/>
      <c r="H5" s="423"/>
      <c r="I5" s="586"/>
      <c r="J5" s="586"/>
      <c r="K5" s="586"/>
      <c r="L5" s="586"/>
      <c r="M5" s="586"/>
      <c r="N5" s="586"/>
      <c r="O5" s="586"/>
      <c r="P5" s="586"/>
      <c r="Q5" s="586"/>
      <c r="R5" s="586"/>
      <c r="S5" s="586"/>
      <c r="T5" s="586"/>
      <c r="U5" s="533"/>
      <c r="V5" s="381"/>
      <c r="W5" s="533"/>
      <c r="X5" s="533"/>
      <c r="Y5" s="533"/>
      <c r="Z5" s="533"/>
      <c r="AA5" s="533"/>
      <c r="AB5" s="533"/>
      <c r="AC5" s="533"/>
      <c r="AD5" s="533"/>
      <c r="AE5" s="533"/>
      <c r="AF5" s="533"/>
      <c r="AG5" s="533"/>
      <c r="AH5" s="533"/>
      <c r="AI5" s="533"/>
      <c r="AJ5" s="398"/>
    </row>
    <row r="6" spans="1:36" ht="14.65" customHeight="1" x14ac:dyDescent="0.2">
      <c r="A6" s="381"/>
      <c r="B6" s="398"/>
      <c r="C6" s="488"/>
      <c r="D6" s="497"/>
      <c r="E6" s="510"/>
      <c r="F6" s="539" t="s">
        <v>414</v>
      </c>
      <c r="G6" s="381"/>
      <c r="H6" s="381"/>
      <c r="I6" s="408">
        <f>'Historical opex'!H49/1000</f>
        <v>4380.3014983502899</v>
      </c>
      <c r="J6" s="408">
        <f>'Historical opex'!I49/1000</f>
        <v>4408.1435776004046</v>
      </c>
      <c r="K6" s="408">
        <f>'Historical opex'!J49/1000</f>
        <v>5912.1689776068724</v>
      </c>
      <c r="L6" s="408">
        <f>'Historical opex'!K49/1000</f>
        <v>4392.1471058454799</v>
      </c>
      <c r="M6" s="408">
        <f>'Historical opex'!L49/1000</f>
        <v>4873.7449628361865</v>
      </c>
      <c r="N6" s="408">
        <f>'Opex summary'!M54/1000</f>
        <v>3950.9434999999999</v>
      </c>
      <c r="O6" s="408">
        <f>'Opex summary'!N54/1000</f>
        <v>4682.517703769292</v>
      </c>
      <c r="P6" s="408">
        <f>'Opex summary'!O54/1000</f>
        <v>4627.6203848450468</v>
      </c>
      <c r="Q6" s="408">
        <f>'Opex summary'!P54/1000</f>
        <v>4585.728445365984</v>
      </c>
      <c r="R6" s="408">
        <f>'Opex summary'!Q54/1000</f>
        <v>4506.0119413954244</v>
      </c>
      <c r="S6" s="408">
        <f>'Opex summary'!R54/1000</f>
        <v>4440.1206203921101</v>
      </c>
      <c r="T6" s="408">
        <f>'Opex summary'!S54/1000</f>
        <v>4343.6626255583014</v>
      </c>
      <c r="U6" s="408">
        <f>SUM(P6:T6)</f>
        <v>22503.144017556864</v>
      </c>
      <c r="V6" s="381"/>
      <c r="W6" s="408">
        <f>'Historical opex'!H87/1000</f>
        <v>4114.9999999999991</v>
      </c>
      <c r="X6" s="408">
        <f>'Historical opex'!I87/1000</f>
        <v>4155</v>
      </c>
      <c r="Y6" s="408">
        <f>'Historical opex'!J87/1000</f>
        <v>5633</v>
      </c>
      <c r="Z6" s="408">
        <f>'Historical opex'!K87/1000</f>
        <v>4251.0000000000009</v>
      </c>
      <c r="AA6" s="408">
        <f>'Historical opex'!L87/1000</f>
        <v>4797</v>
      </c>
      <c r="AB6" s="408">
        <f>'Opex summary'!M80/1000</f>
        <v>3950.9434999999999</v>
      </c>
      <c r="AC6" s="408">
        <f>'Opex summary'!N80/1000</f>
        <v>4746.5444157406391</v>
      </c>
      <c r="AD6" s="408">
        <f>'Opex summary'!O80/1000</f>
        <v>4756.5739635536156</v>
      </c>
      <c r="AE6" s="408">
        <f>'Opex summary'!P80/1000</f>
        <v>4784.9870139170716</v>
      </c>
      <c r="AF6" s="408">
        <f>'Opex summary'!Q80/1000</f>
        <v>4781.5917791276152</v>
      </c>
      <c r="AG6" s="408">
        <f>'Opex summary'!R80/1000</f>
        <v>4801.6544301383219</v>
      </c>
      <c r="AH6" s="408">
        <f>'Opex summary'!S80/1000</f>
        <v>4787.0623837759986</v>
      </c>
      <c r="AI6" s="408">
        <f>SUM(AD6:AH6)</f>
        <v>23911.869570512623</v>
      </c>
      <c r="AJ6" s="398"/>
    </row>
    <row r="7" spans="1:36" ht="14.65" customHeight="1" thickBot="1" x14ac:dyDescent="0.25">
      <c r="A7" s="381"/>
      <c r="B7" s="398"/>
      <c r="C7" s="488"/>
      <c r="D7" s="488"/>
      <c r="E7" s="455"/>
      <c r="F7" s="541"/>
      <c r="G7" s="455"/>
      <c r="H7" s="455"/>
      <c r="I7" s="553"/>
      <c r="J7" s="553"/>
      <c r="K7" s="553"/>
      <c r="L7" s="553"/>
      <c r="M7" s="553"/>
      <c r="N7" s="553"/>
      <c r="O7" s="553"/>
      <c r="P7" s="553"/>
      <c r="Q7" s="553"/>
      <c r="R7" s="553"/>
      <c r="S7" s="553"/>
      <c r="T7" s="553"/>
      <c r="U7" s="554"/>
      <c r="V7" s="381"/>
      <c r="W7" s="553"/>
      <c r="X7" s="553"/>
      <c r="Y7" s="553"/>
      <c r="Z7" s="553"/>
      <c r="AA7" s="553"/>
      <c r="AB7" s="553"/>
      <c r="AC7" s="553"/>
      <c r="AD7" s="553"/>
      <c r="AE7" s="599"/>
      <c r="AF7" s="599"/>
      <c r="AG7" s="599"/>
      <c r="AH7" s="553"/>
      <c r="AI7" s="553"/>
      <c r="AJ7" s="398"/>
    </row>
    <row r="8" spans="1:36" s="494" customFormat="1" ht="14.65" customHeight="1" thickBot="1" x14ac:dyDescent="0.3">
      <c r="A8" s="548"/>
      <c r="B8" s="490"/>
      <c r="C8" s="504"/>
      <c r="D8" s="504"/>
      <c r="E8" s="529" t="s">
        <v>503</v>
      </c>
      <c r="F8" s="600" t="str">
        <f>CONCATENATE("Total"," ",D5)</f>
        <v>Total Service interruptions and emergencies</v>
      </c>
      <c r="G8" s="419"/>
      <c r="H8" s="419"/>
      <c r="I8" s="496">
        <f>SUM(I6:I6)</f>
        <v>4380.3014983502899</v>
      </c>
      <c r="J8" s="496">
        <f t="shared" ref="J8:U8" si="0">SUM(J6:J6)</f>
        <v>4408.1435776004046</v>
      </c>
      <c r="K8" s="496">
        <f t="shared" si="0"/>
        <v>5912.1689776068724</v>
      </c>
      <c r="L8" s="496">
        <f t="shared" si="0"/>
        <v>4392.1471058454799</v>
      </c>
      <c r="M8" s="496">
        <f t="shared" si="0"/>
        <v>4873.7449628361865</v>
      </c>
      <c r="N8" s="496">
        <f t="shared" si="0"/>
        <v>3950.9434999999999</v>
      </c>
      <c r="O8" s="496">
        <f t="shared" si="0"/>
        <v>4682.517703769292</v>
      </c>
      <c r="P8" s="496">
        <f t="shared" si="0"/>
        <v>4627.6203848450468</v>
      </c>
      <c r="Q8" s="496">
        <f t="shared" si="0"/>
        <v>4585.728445365984</v>
      </c>
      <c r="R8" s="496">
        <f t="shared" si="0"/>
        <v>4506.0119413954244</v>
      </c>
      <c r="S8" s="496">
        <f t="shared" si="0"/>
        <v>4440.1206203921101</v>
      </c>
      <c r="T8" s="496">
        <f t="shared" si="0"/>
        <v>4343.6626255583014</v>
      </c>
      <c r="U8" s="496">
        <f t="shared" si="0"/>
        <v>22503.144017556864</v>
      </c>
      <c r="V8" s="419"/>
      <c r="W8" s="496">
        <f t="shared" ref="W8:AI8" si="1">SUM(W6:W6)</f>
        <v>4114.9999999999991</v>
      </c>
      <c r="X8" s="496">
        <f t="shared" si="1"/>
        <v>4155</v>
      </c>
      <c r="Y8" s="496">
        <f t="shared" si="1"/>
        <v>5633</v>
      </c>
      <c r="Z8" s="496">
        <f t="shared" si="1"/>
        <v>4251.0000000000009</v>
      </c>
      <c r="AA8" s="496">
        <f t="shared" si="1"/>
        <v>4797</v>
      </c>
      <c r="AB8" s="496">
        <f t="shared" si="1"/>
        <v>3950.9434999999999</v>
      </c>
      <c r="AC8" s="496">
        <f t="shared" si="1"/>
        <v>4746.5444157406391</v>
      </c>
      <c r="AD8" s="496">
        <f t="shared" si="1"/>
        <v>4756.5739635536156</v>
      </c>
      <c r="AE8" s="496">
        <f t="shared" si="1"/>
        <v>4784.9870139170716</v>
      </c>
      <c r="AF8" s="496">
        <f t="shared" si="1"/>
        <v>4781.5917791276152</v>
      </c>
      <c r="AG8" s="496">
        <f t="shared" si="1"/>
        <v>4801.6544301383219</v>
      </c>
      <c r="AH8" s="496">
        <f t="shared" si="1"/>
        <v>4787.0623837759986</v>
      </c>
      <c r="AI8" s="496">
        <f t="shared" si="1"/>
        <v>23911.869570512623</v>
      </c>
      <c r="AJ8" s="601"/>
    </row>
    <row r="9" spans="1:36" ht="14.65" customHeight="1" x14ac:dyDescent="0.25">
      <c r="A9" s="381"/>
      <c r="B9" s="398"/>
      <c r="C9" s="488"/>
      <c r="D9" s="488"/>
      <c r="E9" s="529"/>
      <c r="F9" s="602"/>
      <c r="G9" s="423"/>
      <c r="H9" s="423"/>
      <c r="I9" s="467"/>
      <c r="J9" s="467"/>
      <c r="K9" s="467"/>
      <c r="L9" s="467"/>
      <c r="M9" s="467"/>
      <c r="N9" s="467"/>
      <c r="O9" s="467"/>
      <c r="P9" s="467"/>
      <c r="Q9" s="467"/>
      <c r="R9" s="467"/>
      <c r="S9" s="467"/>
      <c r="T9" s="467"/>
      <c r="U9" s="467"/>
      <c r="V9" s="423"/>
      <c r="W9" s="467"/>
      <c r="X9" s="467"/>
      <c r="Y9" s="467"/>
      <c r="Z9" s="467"/>
      <c r="AA9" s="467"/>
      <c r="AB9" s="467"/>
      <c r="AC9" s="467"/>
      <c r="AD9" s="467"/>
      <c r="AE9" s="467"/>
      <c r="AF9" s="467"/>
      <c r="AG9" s="467"/>
      <c r="AH9" s="467"/>
      <c r="AI9" s="467"/>
      <c r="AJ9" s="509"/>
    </row>
    <row r="10" spans="1:36" ht="14.65" customHeight="1" x14ac:dyDescent="0.25">
      <c r="A10" s="381"/>
      <c r="B10" s="398"/>
      <c r="C10" s="561" t="s">
        <v>688</v>
      </c>
      <c r="D10" s="561" t="s">
        <v>243</v>
      </c>
      <c r="E10" s="381"/>
      <c r="F10" s="423"/>
      <c r="G10" s="423"/>
      <c r="H10" s="423"/>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2"/>
      <c r="AI10" s="562"/>
      <c r="AJ10" s="509"/>
    </row>
    <row r="11" spans="1:36" ht="14.65" customHeight="1" x14ac:dyDescent="0.2">
      <c r="A11" s="381"/>
      <c r="B11" s="398"/>
      <c r="C11" s="488"/>
      <c r="D11" s="497"/>
      <c r="E11" s="510"/>
      <c r="F11" s="539" t="s">
        <v>415</v>
      </c>
      <c r="G11" s="381"/>
      <c r="H11" s="381"/>
      <c r="I11" s="408">
        <f>'Historical opex'!H52/1000</f>
        <v>3852.3234805661482</v>
      </c>
      <c r="J11" s="408">
        <f>'Historical opex'!I52/1000</f>
        <v>5566.6737308470092</v>
      </c>
      <c r="K11" s="408">
        <f>'Historical opex'!J52/1000</f>
        <v>3882.3207967633271</v>
      </c>
      <c r="L11" s="408">
        <f>'Historical opex'!K52/1000</f>
        <v>5700.1824471770196</v>
      </c>
      <c r="M11" s="408">
        <f>'Historical opex'!L52/1000</f>
        <v>5754.6156909535466</v>
      </c>
      <c r="N11" s="408">
        <f>'Opex summary'!M57/1000</f>
        <v>5579.5090609341451</v>
      </c>
      <c r="O11" s="408">
        <f>'Opex summary'!N57/1000</f>
        <v>4020</v>
      </c>
      <c r="P11" s="408">
        <f>'Opex summary'!O57/1000</f>
        <v>4095.75763699446</v>
      </c>
      <c r="Q11" s="408">
        <f>'Opex summary'!P57/1000</f>
        <v>3797.3561950003923</v>
      </c>
      <c r="R11" s="408">
        <f>'Opex summary'!Q57/1000</f>
        <v>2782.7150334069656</v>
      </c>
      <c r="S11" s="408">
        <f>'Opex summary'!R57/1000</f>
        <v>2729.6863025436896</v>
      </c>
      <c r="T11" s="408">
        <f>'Opex summary'!S57/1000</f>
        <v>2659.3930723261419</v>
      </c>
      <c r="U11" s="408">
        <f>SUM(P11:T11)</f>
        <v>16064.90824027165</v>
      </c>
      <c r="V11" s="381"/>
      <c r="W11" s="408">
        <f>'Historical opex'!H90/1000</f>
        <v>3619</v>
      </c>
      <c r="X11" s="408">
        <f>'Historical opex'!I90/1000</f>
        <v>5247</v>
      </c>
      <c r="Y11" s="408">
        <f>'Historical opex'!J90/1000</f>
        <v>3699</v>
      </c>
      <c r="Z11" s="408">
        <f>'Historical opex'!K90/1000</f>
        <v>5517</v>
      </c>
      <c r="AA11" s="408">
        <f>'Historical opex'!L90/1000</f>
        <v>5664</v>
      </c>
      <c r="AB11" s="408">
        <f>'Opex summary'!M83/1000</f>
        <v>5579.5090609341451</v>
      </c>
      <c r="AC11" s="408">
        <f>'Opex summary'!N83/1000</f>
        <v>4074.967732832622</v>
      </c>
      <c r="AD11" s="408">
        <f>'Opex summary'!O83/1000</f>
        <v>4209.8902928499538</v>
      </c>
      <c r="AE11" s="408">
        <f>'Opex summary'!P83/1000</f>
        <v>3962.3584991510024</v>
      </c>
      <c r="AF11" s="408">
        <f>'Opex summary'!Q83/1000</f>
        <v>2952.9010354271327</v>
      </c>
      <c r="AG11" s="408">
        <f>'Opex summary'!R83/1000</f>
        <v>2951.9491581603274</v>
      </c>
      <c r="AH11" s="408">
        <f>'Opex summary'!S83/1000</f>
        <v>2930.863107392152</v>
      </c>
      <c r="AI11" s="408">
        <f>SUM(AD11:AH11)</f>
        <v>17007.962092980568</v>
      </c>
      <c r="AJ11" s="398"/>
    </row>
    <row r="12" spans="1:36" ht="14.65" customHeight="1" thickBot="1" x14ac:dyDescent="0.25">
      <c r="A12" s="381"/>
      <c r="B12" s="398"/>
      <c r="C12" s="488"/>
      <c r="D12" s="488"/>
      <c r="E12" s="529" t="s">
        <v>503</v>
      </c>
      <c r="F12" s="541"/>
      <c r="G12" s="381"/>
      <c r="H12" s="381"/>
      <c r="I12" s="592" t="str">
        <f>IF(ISNUMBER(#REF!),DATE(YEAR(#REF!)+5,MONTH(#REF!),DAY(#REF!))-1,"")</f>
        <v/>
      </c>
      <c r="J12" s="592" t="str">
        <f>IF(ISNUMBER(#REF!),DATE(YEAR(#REF!)+5,MONTH(#REF!),DAY(#REF!))-1,"")</f>
        <v/>
      </c>
      <c r="K12" s="592" t="str">
        <f>IF(ISNUMBER(#REF!),DATE(YEAR(#REF!)+5,MONTH(#REF!),DAY(#REF!))-1,"")</f>
        <v/>
      </c>
      <c r="L12" s="592" t="str">
        <f>IF(ISNUMBER(#REF!),DATE(YEAR(#REF!)+5,MONTH(#REF!),DAY(#REF!))-1,"")</f>
        <v/>
      </c>
      <c r="M12" s="592" t="str">
        <f>IF(ISNUMBER(#REF!),DATE(YEAR(#REF!)+5,MONTH(#REF!),DAY(#REF!))-1,"")</f>
        <v/>
      </c>
      <c r="N12" s="592" t="str">
        <f>IF(ISNUMBER(#REF!),DATE(YEAR(#REF!)+5,MONTH(#REF!),DAY(#REF!))-1,"")</f>
        <v/>
      </c>
      <c r="O12" s="592" t="str">
        <f>IF(ISNUMBER(#REF!),DATE(YEAR(#REF!)+5,MONTH(#REF!),DAY(#REF!))-1,"")</f>
        <v/>
      </c>
      <c r="P12" s="592" t="str">
        <f>IF(ISNUMBER(#REF!),DATE(YEAR(#REF!)+5,MONTH(#REF!),DAY(#REF!))-1,"")</f>
        <v/>
      </c>
      <c r="Q12" s="592" t="str">
        <f>IF(ISNUMBER(#REF!),DATE(YEAR(#REF!)+5,MONTH(#REF!),DAY(#REF!))-1,"")</f>
        <v/>
      </c>
      <c r="R12" s="592" t="str">
        <f>IF(ISNUMBER(#REF!),DATE(YEAR(#REF!)+5,MONTH(#REF!),DAY(#REF!))-1,"")</f>
        <v/>
      </c>
      <c r="S12" s="592" t="str">
        <f>IF(ISNUMBER(#REF!),DATE(YEAR(#REF!)+5,MONTH(#REF!),DAY(#REF!))-1,"")</f>
        <v/>
      </c>
      <c r="T12" s="592" t="str">
        <f>IF(ISNUMBER(#REF!),DATE(YEAR(#REF!)+5,MONTH(#REF!),DAY(#REF!))-1,"")</f>
        <v/>
      </c>
      <c r="U12" s="570"/>
      <c r="V12" s="562"/>
      <c r="W12" s="592" t="str">
        <f>IF(ISNUMBER(#REF!),DATE(YEAR(#REF!)+5,MONTH(#REF!),DAY(#REF!))-1,"")</f>
        <v/>
      </c>
      <c r="X12" s="592" t="str">
        <f>IF(ISNUMBER(#REF!),DATE(YEAR(#REF!)+5,MONTH(#REF!),DAY(#REF!))-1,"")</f>
        <v/>
      </c>
      <c r="Y12" s="592" t="str">
        <f>IF(ISNUMBER(#REF!),DATE(YEAR(#REF!)+5,MONTH(#REF!),DAY(#REF!))-1,"")</f>
        <v/>
      </c>
      <c r="Z12" s="592" t="str">
        <f>IF(ISNUMBER(#REF!),DATE(YEAR(#REF!)+5,MONTH(#REF!),DAY(#REF!))-1,"")</f>
        <v/>
      </c>
      <c r="AA12" s="592" t="str">
        <f>IF(ISNUMBER(#REF!),DATE(YEAR(#REF!)+5,MONTH(#REF!),DAY(#REF!))-1,"")</f>
        <v/>
      </c>
      <c r="AB12" s="592" t="str">
        <f>IF(ISNUMBER(#REF!),DATE(YEAR(#REF!)+5,MONTH(#REF!),DAY(#REF!))-1,"")</f>
        <v/>
      </c>
      <c r="AC12" s="592" t="str">
        <f>IF(ISNUMBER(#REF!),DATE(YEAR(#REF!)+5,MONTH(#REF!),DAY(#REF!))-1,"")</f>
        <v/>
      </c>
      <c r="AD12" s="592" t="str">
        <f>IF(ISNUMBER(#REF!),DATE(YEAR(#REF!)+5,MONTH(#REF!),DAY(#REF!))-1,"")</f>
        <v/>
      </c>
      <c r="AE12" s="592" t="str">
        <f>IF(ISNUMBER(#REF!),DATE(YEAR(#REF!)+5,MONTH(#REF!),DAY(#REF!))-1,"")</f>
        <v/>
      </c>
      <c r="AF12" s="592" t="str">
        <f>IF(ISNUMBER(#REF!),DATE(YEAR(#REF!)+5,MONTH(#REF!),DAY(#REF!))-1,"")</f>
        <v/>
      </c>
      <c r="AG12" s="592" t="str">
        <f>IF(ISNUMBER(#REF!),DATE(YEAR(#REF!)+5,MONTH(#REF!),DAY(#REF!))-1,"")</f>
        <v/>
      </c>
      <c r="AH12" s="592" t="str">
        <f>IF(ISNUMBER(#REF!),DATE(YEAR(#REF!)+5,MONTH(#REF!),DAY(#REF!))-1,"")</f>
        <v/>
      </c>
      <c r="AI12" s="570"/>
      <c r="AJ12" s="509"/>
    </row>
    <row r="13" spans="1:36" s="494" customFormat="1" ht="14.65" customHeight="1" thickBot="1" x14ac:dyDescent="0.3">
      <c r="A13" s="548"/>
      <c r="B13" s="490"/>
      <c r="C13" s="504"/>
      <c r="D13" s="564" t="s">
        <v>503</v>
      </c>
      <c r="E13" s="548"/>
      <c r="F13" s="600" t="str">
        <f>CONCATENATE("Total"," ",D10)</f>
        <v>Total Vegetation management</v>
      </c>
      <c r="G13" s="419"/>
      <c r="H13" s="419"/>
      <c r="I13" s="496">
        <f>SUM(I11:I11)</f>
        <v>3852.3234805661482</v>
      </c>
      <c r="J13" s="496">
        <f t="shared" ref="J13:U13" si="2">SUM(J11:J11)</f>
        <v>5566.6737308470092</v>
      </c>
      <c r="K13" s="496">
        <f t="shared" si="2"/>
        <v>3882.3207967633271</v>
      </c>
      <c r="L13" s="496">
        <f t="shared" si="2"/>
        <v>5700.1824471770196</v>
      </c>
      <c r="M13" s="496">
        <f t="shared" si="2"/>
        <v>5754.6156909535466</v>
      </c>
      <c r="N13" s="496">
        <f t="shared" si="2"/>
        <v>5579.5090609341451</v>
      </c>
      <c r="O13" s="496">
        <f t="shared" si="2"/>
        <v>4020</v>
      </c>
      <c r="P13" s="496">
        <f t="shared" si="2"/>
        <v>4095.75763699446</v>
      </c>
      <c r="Q13" s="496">
        <f t="shared" si="2"/>
        <v>3797.3561950003923</v>
      </c>
      <c r="R13" s="496">
        <f t="shared" si="2"/>
        <v>2782.7150334069656</v>
      </c>
      <c r="S13" s="496">
        <f t="shared" si="2"/>
        <v>2729.6863025436896</v>
      </c>
      <c r="T13" s="496">
        <f t="shared" si="2"/>
        <v>2659.3930723261419</v>
      </c>
      <c r="U13" s="496">
        <f t="shared" si="2"/>
        <v>16064.90824027165</v>
      </c>
      <c r="V13" s="419"/>
      <c r="W13" s="496">
        <f t="shared" ref="W13:AI13" si="3">SUM(W11:W11)</f>
        <v>3619</v>
      </c>
      <c r="X13" s="496">
        <f t="shared" si="3"/>
        <v>5247</v>
      </c>
      <c r="Y13" s="496">
        <f t="shared" si="3"/>
        <v>3699</v>
      </c>
      <c r="Z13" s="496">
        <f t="shared" si="3"/>
        <v>5517</v>
      </c>
      <c r="AA13" s="496">
        <f t="shared" si="3"/>
        <v>5664</v>
      </c>
      <c r="AB13" s="496">
        <f t="shared" si="3"/>
        <v>5579.5090609341451</v>
      </c>
      <c r="AC13" s="496">
        <f t="shared" si="3"/>
        <v>4074.967732832622</v>
      </c>
      <c r="AD13" s="496">
        <f t="shared" si="3"/>
        <v>4209.8902928499538</v>
      </c>
      <c r="AE13" s="496">
        <f t="shared" si="3"/>
        <v>3962.3584991510024</v>
      </c>
      <c r="AF13" s="496">
        <f t="shared" si="3"/>
        <v>2952.9010354271327</v>
      </c>
      <c r="AG13" s="496">
        <f t="shared" si="3"/>
        <v>2951.9491581603274</v>
      </c>
      <c r="AH13" s="496">
        <f t="shared" si="3"/>
        <v>2930.863107392152</v>
      </c>
      <c r="AI13" s="496">
        <f t="shared" si="3"/>
        <v>17007.962092980568</v>
      </c>
      <c r="AJ13" s="601"/>
    </row>
    <row r="14" spans="1:36" ht="14.65" customHeight="1" x14ac:dyDescent="0.2">
      <c r="A14" s="381"/>
      <c r="B14" s="398"/>
      <c r="C14" s="488"/>
      <c r="D14" s="488"/>
      <c r="E14" s="529"/>
      <c r="F14" s="572"/>
      <c r="G14" s="423"/>
      <c r="H14" s="423"/>
      <c r="I14" s="542"/>
      <c r="J14" s="542"/>
      <c r="K14" s="542"/>
      <c r="L14" s="542"/>
      <c r="M14" s="542"/>
      <c r="N14" s="542"/>
      <c r="O14" s="542"/>
      <c r="P14" s="542"/>
      <c r="Q14" s="542"/>
      <c r="R14" s="542"/>
      <c r="S14" s="542"/>
      <c r="T14" s="542"/>
      <c r="U14" s="542"/>
      <c r="V14" s="423"/>
      <c r="W14" s="542"/>
      <c r="X14" s="542"/>
      <c r="Y14" s="542"/>
      <c r="Z14" s="542"/>
      <c r="AA14" s="542"/>
      <c r="AB14" s="542"/>
      <c r="AC14" s="542"/>
      <c r="AD14" s="542"/>
      <c r="AE14" s="542"/>
      <c r="AF14" s="542"/>
      <c r="AG14" s="542"/>
      <c r="AH14" s="542"/>
      <c r="AI14" s="542"/>
      <c r="AJ14" s="509"/>
    </row>
    <row r="15" spans="1:36" ht="14.65" customHeight="1" x14ac:dyDescent="0.2">
      <c r="A15" s="381"/>
      <c r="B15" s="568"/>
      <c r="C15" s="381"/>
      <c r="D15" s="381"/>
      <c r="E15" s="381"/>
      <c r="F15" s="423"/>
      <c r="G15" s="591" t="str">
        <f>IF(ISNUMBER(#REF!),"for year ended","")</f>
        <v/>
      </c>
      <c r="H15" s="591" t="str">
        <f>IF(ISNUMBER(#REF!),"for year ended","")</f>
        <v/>
      </c>
      <c r="I15" s="570"/>
      <c r="J15" s="570"/>
      <c r="K15" s="570"/>
      <c r="L15" s="570"/>
      <c r="M15" s="570"/>
      <c r="N15" s="570"/>
      <c r="O15" s="570"/>
      <c r="P15" s="570"/>
      <c r="Q15" s="570"/>
      <c r="R15" s="570"/>
      <c r="S15" s="570"/>
      <c r="T15" s="570"/>
      <c r="U15" s="570"/>
      <c r="V15" s="593"/>
      <c r="W15" s="592" t="str">
        <f>IF(ISNUMBER(#REF!),DATE(YEAR(#REF!),MONTH(#REF!),DAY(#REF!))-1,"")</f>
        <v/>
      </c>
      <c r="X15" s="570"/>
      <c r="Y15" s="570"/>
      <c r="Z15" s="570"/>
      <c r="AA15" s="570"/>
      <c r="AB15" s="570"/>
      <c r="AC15" s="570"/>
      <c r="AD15" s="592" t="str">
        <f>IF(ISNUMBER(#REF!),DATE(YEAR(#REF!)+1,MONTH(#REF!),DAY(#REF!))-1,"")</f>
        <v/>
      </c>
      <c r="AE15" s="592" t="str">
        <f>IF(ISNUMBER(#REF!),DATE(YEAR(#REF!)+2,MONTH(#REF!),DAY(#REF!))-1,"")</f>
        <v/>
      </c>
      <c r="AF15" s="592" t="str">
        <f>IF(ISNUMBER(#REF!),DATE(YEAR(#REF!)+3,MONTH(#REF!),DAY(#REF!))-1,"")</f>
        <v/>
      </c>
      <c r="AG15" s="592" t="str">
        <f>IF(ISNUMBER(#REF!),DATE(YEAR(#REF!)+4,MONTH(#REF!),DAY(#REF!))-1,"")</f>
        <v/>
      </c>
      <c r="AH15" s="592" t="str">
        <f>IF(ISNUMBER(#REF!),DATE(YEAR(#REF!)+5,MONTH(#REF!),DAY(#REF!))-1,"")</f>
        <v/>
      </c>
      <c r="AI15" s="570"/>
      <c r="AJ15" s="509"/>
    </row>
    <row r="16" spans="1:36" ht="14.65" customHeight="1" x14ac:dyDescent="0.25">
      <c r="A16" s="381"/>
      <c r="B16" s="398"/>
      <c r="C16" s="561" t="s">
        <v>689</v>
      </c>
      <c r="D16" s="561" t="s">
        <v>244</v>
      </c>
      <c r="E16" s="381"/>
      <c r="F16" s="423"/>
      <c r="G16" s="423"/>
      <c r="H16" s="423"/>
      <c r="I16" s="563" t="s">
        <v>503</v>
      </c>
      <c r="J16" s="563"/>
      <c r="K16" s="563"/>
      <c r="L16" s="563"/>
      <c r="M16" s="563"/>
      <c r="N16" s="563"/>
      <c r="O16" s="563"/>
      <c r="P16" s="563"/>
      <c r="Q16" s="563"/>
      <c r="R16" s="563"/>
      <c r="S16" s="563"/>
      <c r="T16" s="563"/>
      <c r="U16" s="603"/>
      <c r="V16" s="593"/>
      <c r="W16" s="563" t="s">
        <v>503</v>
      </c>
      <c r="X16" s="563"/>
      <c r="Y16" s="563"/>
      <c r="Z16" s="563"/>
      <c r="AA16" s="563"/>
      <c r="AB16" s="563"/>
      <c r="AC16" s="563"/>
      <c r="AD16" s="423"/>
      <c r="AE16" s="423"/>
      <c r="AF16" s="423"/>
      <c r="AG16" s="423"/>
      <c r="AH16" s="603"/>
      <c r="AI16" s="603"/>
      <c r="AJ16" s="509"/>
    </row>
    <row r="17" spans="1:36" ht="14.65" customHeight="1" x14ac:dyDescent="0.2">
      <c r="A17" s="381"/>
      <c r="B17" s="398"/>
      <c r="C17" s="488"/>
      <c r="D17" s="488"/>
      <c r="E17" s="510"/>
      <c r="F17" s="552" t="s">
        <v>416</v>
      </c>
      <c r="G17" s="381"/>
      <c r="H17" s="381"/>
      <c r="I17" s="408">
        <f>'Historical opex'!H55/1000</f>
        <v>3499.3347809266515</v>
      </c>
      <c r="J17" s="408">
        <f>'Historical opex'!I55/1000</f>
        <v>4526.9586223101305</v>
      </c>
      <c r="K17" s="408">
        <f>'Historical opex'!J55/1000</f>
        <v>5009.3368790498225</v>
      </c>
      <c r="L17" s="408">
        <f>'Historical opex'!K55/1000</f>
        <v>4718.1148492155526</v>
      </c>
      <c r="M17" s="408">
        <f>'Historical opex'!L55/1000</f>
        <v>4544.1420752317563</v>
      </c>
      <c r="N17" s="408">
        <f>'Opex summary'!M60/1000</f>
        <v>4907.0129999999999</v>
      </c>
      <c r="O17" s="408">
        <f>'Opex summary'!N60/1000</f>
        <v>5618.5634552856873</v>
      </c>
      <c r="P17" s="408">
        <f>'Opex summary'!O60/1000</f>
        <v>6499.7755278537961</v>
      </c>
      <c r="Q17" s="408">
        <f>'Opex summary'!P60/1000</f>
        <v>5998.1912647408999</v>
      </c>
      <c r="R17" s="408">
        <f>'Opex summary'!Q60/1000</f>
        <v>6458.9569118335276</v>
      </c>
      <c r="S17" s="408">
        <f>'Opex summary'!R60/1000</f>
        <v>5604.279498974317</v>
      </c>
      <c r="T17" s="408">
        <f>'Opex summary'!S60/1000</f>
        <v>5970.2500994486581</v>
      </c>
      <c r="U17" s="408">
        <f>SUM(P17:T17)</f>
        <v>30531.453302851198</v>
      </c>
      <c r="V17" s="381"/>
      <c r="W17" s="408">
        <f>'Historical opex'!H93/1000</f>
        <v>3287.3907490012757</v>
      </c>
      <c r="X17" s="408">
        <f>'Historical opex'!I93/1000</f>
        <v>4266.9919308612107</v>
      </c>
      <c r="Y17" s="408">
        <f>'Historical opex'!J93/1000</f>
        <v>4772.7990770503266</v>
      </c>
      <c r="Z17" s="408">
        <f>'Historical opex'!K93/1000</f>
        <v>4566.4923648212907</v>
      </c>
      <c r="AA17" s="408">
        <f>'Historical opex'!L93/1000</f>
        <v>4472.5872406342824</v>
      </c>
      <c r="AB17" s="408">
        <f>'Opex summary'!M86/1000</f>
        <v>4907.0129999999999</v>
      </c>
      <c r="AC17" s="408">
        <f>'Opex summary'!N86/1000</f>
        <v>5693.2099473375456</v>
      </c>
      <c r="AD17" s="408">
        <f>'Opex summary'!O86/1000</f>
        <v>6676.5709755407652</v>
      </c>
      <c r="AE17" s="408">
        <f>'Opex summary'!P86/1000</f>
        <v>6250.4408517965367</v>
      </c>
      <c r="AF17" s="408">
        <f>'Opex summary'!Q86/1000</f>
        <v>6844.4195993546509</v>
      </c>
      <c r="AG17" s="408">
        <f>'Opex summary'!R86/1000</f>
        <v>6050.2629710993651</v>
      </c>
      <c r="AH17" s="408">
        <f>'Opex summary'!S86/1000</f>
        <v>6566.4136859445225</v>
      </c>
      <c r="AI17" s="408">
        <f>SUM(AD17:AH17)</f>
        <v>32388.108083735839</v>
      </c>
      <c r="AJ17" s="398"/>
    </row>
    <row r="18" spans="1:36" ht="14.65" customHeight="1" x14ac:dyDescent="0.2">
      <c r="A18" s="381"/>
      <c r="B18" s="398"/>
      <c r="C18" s="488"/>
      <c r="D18" s="488"/>
      <c r="E18" s="510"/>
      <c r="F18" s="539" t="s">
        <v>417</v>
      </c>
      <c r="G18" s="381"/>
      <c r="H18" s="381"/>
      <c r="I18" s="408">
        <f>'Historical opex'!H56/1000</f>
        <v>800.06685985993988</v>
      </c>
      <c r="J18" s="408">
        <f>'Historical opex'!I56/1000</f>
        <v>888.00282656410934</v>
      </c>
      <c r="K18" s="408">
        <f>'Historical opex'!J56/1000</f>
        <v>1739.3310644992969</v>
      </c>
      <c r="L18" s="408">
        <f>'Historical opex'!K56/1000</f>
        <v>1256.8996680990579</v>
      </c>
      <c r="M18" s="408">
        <f>'Historical opex'!L56/1000</f>
        <v>1485.8092181667785</v>
      </c>
      <c r="N18" s="408">
        <f>'Opex summary'!M61/1000</f>
        <v>2668.5880000000002</v>
      </c>
      <c r="O18" s="408">
        <f>'Opex summary'!N61/1000</f>
        <v>3216.595284521793</v>
      </c>
      <c r="P18" s="408">
        <f>'Opex summary'!O61/1000</f>
        <v>3665.0505202252862</v>
      </c>
      <c r="Q18" s="408">
        <f>'Opex summary'!P61/1000</f>
        <v>3612.7407588338156</v>
      </c>
      <c r="R18" s="408">
        <f>'Opex summary'!Q61/1000</f>
        <v>3231.5704227844649</v>
      </c>
      <c r="S18" s="408">
        <f>'Opex summary'!R61/1000</f>
        <v>3125.5274239516584</v>
      </c>
      <c r="T18" s="408">
        <f>'Opex summary'!S61/1000</f>
        <v>2744.4416095293377</v>
      </c>
      <c r="U18" s="408">
        <f>SUM(P18:T18)</f>
        <v>16379.330735324564</v>
      </c>
      <c r="V18" s="381"/>
      <c r="W18" s="408">
        <f>'Historical opex'!H94/1000</f>
        <v>751.60925099872463</v>
      </c>
      <c r="X18" s="408">
        <f>'Historical opex'!I94/1000</f>
        <v>837.00806913879035</v>
      </c>
      <c r="Y18" s="408">
        <f>'Historical opex'!J94/1000</f>
        <v>1657.2009229496741</v>
      </c>
      <c r="Z18" s="408">
        <f>'Historical opex'!K94/1000</f>
        <v>1216.5076351787088</v>
      </c>
      <c r="AA18" s="408">
        <f>'Historical opex'!L94/1000</f>
        <v>1462.4127593657181</v>
      </c>
      <c r="AB18" s="408">
        <f>'Opex summary'!M87/1000</f>
        <v>2668.5880000000002</v>
      </c>
      <c r="AC18" s="408">
        <f>'Opex summary'!N87/1000</f>
        <v>3259.3299721783364</v>
      </c>
      <c r="AD18" s="408">
        <f>'Opex summary'!O87/1000</f>
        <v>3764.740770256512</v>
      </c>
      <c r="AE18" s="408">
        <f>'Opex summary'!P87/1000</f>
        <v>3764.6719534777494</v>
      </c>
      <c r="AF18" s="408">
        <f>'Opex summary'!Q87/1000</f>
        <v>3424.4266125816293</v>
      </c>
      <c r="AG18" s="408">
        <f>'Opex summary'!R87/1000</f>
        <v>3374.2540574129503</v>
      </c>
      <c r="AH18" s="408">
        <f>'Opex summary'!S87/1000</f>
        <v>3018.4897860063311</v>
      </c>
      <c r="AI18" s="408">
        <f>SUM(AD18:AH18)</f>
        <v>17346.583179735171</v>
      </c>
      <c r="AJ18" s="398"/>
    </row>
    <row r="19" spans="1:36" ht="14.65" customHeight="1" thickBot="1" x14ac:dyDescent="0.25">
      <c r="A19" s="381"/>
      <c r="B19" s="398"/>
      <c r="C19" s="488"/>
      <c r="D19" s="488"/>
      <c r="E19" s="529" t="s">
        <v>503</v>
      </c>
      <c r="F19" s="541"/>
      <c r="G19" s="381"/>
      <c r="H19" s="381"/>
      <c r="I19" s="570"/>
      <c r="J19" s="570"/>
      <c r="K19" s="570"/>
      <c r="L19" s="570"/>
      <c r="M19" s="570"/>
      <c r="N19" s="570"/>
      <c r="O19" s="570"/>
      <c r="P19" s="570"/>
      <c r="Q19" s="570"/>
      <c r="R19" s="570"/>
      <c r="S19" s="570"/>
      <c r="T19" s="570"/>
      <c r="U19" s="570"/>
      <c r="V19" s="381"/>
      <c r="W19" s="570"/>
      <c r="X19" s="570"/>
      <c r="Y19" s="570"/>
      <c r="Z19" s="570"/>
      <c r="AA19" s="570"/>
      <c r="AB19" s="570"/>
      <c r="AC19" s="570"/>
      <c r="AD19" s="570"/>
      <c r="AE19" s="570"/>
      <c r="AF19" s="570"/>
      <c r="AG19" s="570"/>
      <c r="AH19" s="570"/>
      <c r="AI19" s="570"/>
      <c r="AJ19" s="398"/>
    </row>
    <row r="20" spans="1:36" s="494" customFormat="1" ht="14.65" customHeight="1" thickBot="1" x14ac:dyDescent="0.3">
      <c r="A20" s="548"/>
      <c r="B20" s="490"/>
      <c r="C20" s="504"/>
      <c r="D20" s="564" t="s">
        <v>503</v>
      </c>
      <c r="E20" s="548"/>
      <c r="F20" s="604" t="str">
        <f>CONCATENATE("Total"," ",D16)</f>
        <v>Total Routine and corrective maintenance and inspection</v>
      </c>
      <c r="G20" s="419"/>
      <c r="H20" s="419"/>
      <c r="I20" s="496">
        <f t="shared" ref="I20:U20" si="4">SUM(I17:I18)</f>
        <v>4299.4016407865911</v>
      </c>
      <c r="J20" s="496">
        <f t="shared" si="4"/>
        <v>5414.96144887424</v>
      </c>
      <c r="K20" s="496">
        <f t="shared" si="4"/>
        <v>6748.6679435491196</v>
      </c>
      <c r="L20" s="496">
        <f t="shared" si="4"/>
        <v>5975.0145173146102</v>
      </c>
      <c r="M20" s="496">
        <f t="shared" si="4"/>
        <v>6029.9512933985352</v>
      </c>
      <c r="N20" s="496">
        <f t="shared" si="4"/>
        <v>7575.6010000000006</v>
      </c>
      <c r="O20" s="496">
        <f t="shared" si="4"/>
        <v>8835.1587398074807</v>
      </c>
      <c r="P20" s="496">
        <f t="shared" si="4"/>
        <v>10164.826048079081</v>
      </c>
      <c r="Q20" s="496">
        <f t="shared" si="4"/>
        <v>9610.9320235747145</v>
      </c>
      <c r="R20" s="496">
        <f t="shared" si="4"/>
        <v>9690.5273346179929</v>
      </c>
      <c r="S20" s="496">
        <f t="shared" si="4"/>
        <v>8729.8069229259745</v>
      </c>
      <c r="T20" s="496">
        <f t="shared" si="4"/>
        <v>8714.6917089779963</v>
      </c>
      <c r="U20" s="496">
        <f t="shared" si="4"/>
        <v>46910.784038175763</v>
      </c>
      <c r="V20" s="419"/>
      <c r="W20" s="496">
        <f t="shared" ref="W20:AB20" si="5">SUM(W17:W18)</f>
        <v>4039.0000000000005</v>
      </c>
      <c r="X20" s="496">
        <f t="shared" si="5"/>
        <v>5104.0000000000009</v>
      </c>
      <c r="Y20" s="496">
        <f t="shared" si="5"/>
        <v>6430.0000000000009</v>
      </c>
      <c r="Z20" s="496">
        <f t="shared" si="5"/>
        <v>5783</v>
      </c>
      <c r="AA20" s="496">
        <f t="shared" si="5"/>
        <v>5935</v>
      </c>
      <c r="AB20" s="496">
        <f t="shared" si="5"/>
        <v>7575.6010000000006</v>
      </c>
      <c r="AC20" s="496">
        <f t="shared" ref="AC20:AI20" si="6">SUM(AC17:AC18)</f>
        <v>8952.5399195158825</v>
      </c>
      <c r="AD20" s="496">
        <f t="shared" si="6"/>
        <v>10441.311745797277</v>
      </c>
      <c r="AE20" s="496">
        <f t="shared" si="6"/>
        <v>10015.112805274286</v>
      </c>
      <c r="AF20" s="496">
        <f t="shared" si="6"/>
        <v>10268.846211936281</v>
      </c>
      <c r="AG20" s="496">
        <f t="shared" si="6"/>
        <v>9424.5170285123149</v>
      </c>
      <c r="AH20" s="496">
        <f t="shared" si="6"/>
        <v>9584.9034719508527</v>
      </c>
      <c r="AI20" s="496">
        <f t="shared" si="6"/>
        <v>49734.69126347101</v>
      </c>
      <c r="AJ20" s="601"/>
    </row>
    <row r="21" spans="1:36" ht="14.65" customHeight="1" x14ac:dyDescent="0.2">
      <c r="A21" s="381"/>
      <c r="B21" s="398"/>
      <c r="C21" s="488"/>
      <c r="D21" s="488"/>
      <c r="E21" s="529"/>
      <c r="F21" s="572"/>
      <c r="G21" s="423"/>
      <c r="H21" s="423"/>
      <c r="I21" s="542"/>
      <c r="J21" s="542"/>
      <c r="K21" s="542"/>
      <c r="L21" s="542"/>
      <c r="M21" s="542"/>
      <c r="N21" s="542"/>
      <c r="O21" s="542"/>
      <c r="P21" s="542"/>
      <c r="Q21" s="542"/>
      <c r="R21" s="542"/>
      <c r="S21" s="542"/>
      <c r="T21" s="542"/>
      <c r="U21" s="542"/>
      <c r="V21" s="423"/>
      <c r="W21" s="542"/>
      <c r="X21" s="542"/>
      <c r="Y21" s="542"/>
      <c r="Z21" s="542"/>
      <c r="AA21" s="542"/>
      <c r="AB21" s="542"/>
      <c r="AC21" s="542"/>
      <c r="AD21" s="542"/>
      <c r="AE21" s="542"/>
      <c r="AF21" s="542"/>
      <c r="AG21" s="542"/>
      <c r="AH21" s="542"/>
      <c r="AI21" s="542"/>
      <c r="AJ21" s="509"/>
    </row>
    <row r="22" spans="1:36" ht="14.65" customHeight="1" x14ac:dyDescent="0.25">
      <c r="A22" s="381"/>
      <c r="B22" s="398"/>
      <c r="C22" s="518" t="s">
        <v>503</v>
      </c>
      <c r="D22" s="381"/>
      <c r="E22" s="529"/>
      <c r="F22" s="423"/>
      <c r="G22" s="423"/>
      <c r="H22" s="423"/>
      <c r="I22" s="562"/>
      <c r="J22" s="562"/>
      <c r="K22" s="562"/>
      <c r="L22" s="562"/>
      <c r="M22" s="562"/>
      <c r="N22" s="562"/>
      <c r="O22" s="562"/>
      <c r="P22" s="562"/>
      <c r="Q22" s="562"/>
      <c r="R22" s="562"/>
      <c r="S22" s="562"/>
      <c r="T22" s="562"/>
      <c r="U22" s="562"/>
      <c r="V22" s="593"/>
      <c r="W22" s="562"/>
      <c r="X22" s="562"/>
      <c r="Y22" s="562"/>
      <c r="Z22" s="562"/>
      <c r="AA22" s="562"/>
      <c r="AB22" s="562"/>
      <c r="AC22" s="562"/>
      <c r="AD22" s="562"/>
      <c r="AE22" s="562"/>
      <c r="AF22" s="562"/>
      <c r="AG22" s="562"/>
      <c r="AH22" s="562"/>
      <c r="AI22" s="562"/>
      <c r="AJ22" s="509"/>
    </row>
    <row r="23" spans="1:36" ht="14.65" customHeight="1" x14ac:dyDescent="0.25">
      <c r="A23" s="381"/>
      <c r="B23" s="398"/>
      <c r="C23" s="561" t="s">
        <v>690</v>
      </c>
      <c r="D23" s="561" t="s">
        <v>100</v>
      </c>
      <c r="E23" s="381"/>
      <c r="F23" s="423"/>
      <c r="G23" s="423"/>
      <c r="H23" s="423"/>
      <c r="I23" s="563" t="s">
        <v>503</v>
      </c>
      <c r="J23" s="563"/>
      <c r="K23" s="563"/>
      <c r="L23" s="563"/>
      <c r="M23" s="563"/>
      <c r="N23" s="563"/>
      <c r="O23" s="563"/>
      <c r="P23" s="563"/>
      <c r="Q23" s="563"/>
      <c r="R23" s="563"/>
      <c r="S23" s="563"/>
      <c r="T23" s="563"/>
      <c r="U23" s="423"/>
      <c r="V23" s="423"/>
      <c r="W23" s="563" t="s">
        <v>503</v>
      </c>
      <c r="X23" s="563"/>
      <c r="Y23" s="563"/>
      <c r="Z23" s="563"/>
      <c r="AA23" s="563"/>
      <c r="AB23" s="563"/>
      <c r="AC23" s="563"/>
      <c r="AD23" s="423"/>
      <c r="AE23" s="423"/>
      <c r="AF23" s="423"/>
      <c r="AG23" s="423"/>
      <c r="AH23" s="423"/>
      <c r="AI23" s="423"/>
      <c r="AJ23" s="509"/>
    </row>
    <row r="24" spans="1:36" ht="14.65" customHeight="1" x14ac:dyDescent="0.2">
      <c r="A24" s="381"/>
      <c r="B24" s="398"/>
      <c r="C24" s="488"/>
      <c r="D24" s="488"/>
      <c r="E24" s="510"/>
      <c r="F24" s="552" t="s">
        <v>417</v>
      </c>
      <c r="G24" s="381"/>
      <c r="H24" s="381"/>
      <c r="I24" s="408">
        <f>'Historical opex'!H60/1000</f>
        <v>619.52259344832783</v>
      </c>
      <c r="J24" s="408">
        <f>'Historical opex'!I60/1000</f>
        <v>948.46699359200045</v>
      </c>
      <c r="K24" s="408">
        <f>'Historical opex'!J60/1000</f>
        <v>292.82711605757453</v>
      </c>
      <c r="L24" s="408">
        <f>'Historical opex'!K60/1000</f>
        <v>657.11728047935196</v>
      </c>
      <c r="M24" s="408">
        <f>'Historical opex'!L60/1000</f>
        <v>357.63148361858197</v>
      </c>
      <c r="N24" s="408">
        <f>'Opex summary'!M22/1000</f>
        <v>0</v>
      </c>
      <c r="O24" s="408">
        <f>'Opex summary'!N22/1000</f>
        <v>0</v>
      </c>
      <c r="P24" s="408">
        <f>'Opex summary'!O22/1000</f>
        <v>0</v>
      </c>
      <c r="Q24" s="408">
        <f>'Opex summary'!P22/1000</f>
        <v>0</v>
      </c>
      <c r="R24" s="408">
        <f>'Opex summary'!Q22/1000</f>
        <v>0</v>
      </c>
      <c r="S24" s="408">
        <f>'Opex summary'!R22/1000</f>
        <v>0</v>
      </c>
      <c r="T24" s="408">
        <f>'Opex summary'!S22/1000</f>
        <v>0</v>
      </c>
      <c r="U24" s="408">
        <f>'Opex summary'!T22/1000</f>
        <v>0</v>
      </c>
      <c r="V24" s="381"/>
      <c r="W24" s="408">
        <f>'Historical opex'!H98/1000</f>
        <v>582.00000000000011</v>
      </c>
      <c r="X24" s="408">
        <f>'Historical opex'!I98/1000</f>
        <v>894</v>
      </c>
      <c r="Y24" s="408">
        <f>'Historical opex'!J98/1000</f>
        <v>279</v>
      </c>
      <c r="Z24" s="408">
        <f>'Historical opex'!K98/1000</f>
        <v>636.00000000000011</v>
      </c>
      <c r="AA24" s="408">
        <f>'Historical opex'!L98/1000</f>
        <v>352</v>
      </c>
      <c r="AB24" s="408">
        <f>'Historical opex'!M98/1000</f>
        <v>0</v>
      </c>
      <c r="AC24" s="408">
        <f>'Historical opex'!N98/1000</f>
        <v>0</v>
      </c>
      <c r="AD24" s="408">
        <f>'Opex summary'!O38/1000</f>
        <v>0</v>
      </c>
      <c r="AE24" s="408">
        <f>'Opex summary'!P38/1000</f>
        <v>0</v>
      </c>
      <c r="AF24" s="408">
        <f>'Opex summary'!Q38/1000</f>
        <v>0</v>
      </c>
      <c r="AG24" s="408">
        <f>'Opex summary'!R38/1000</f>
        <v>0</v>
      </c>
      <c r="AH24" s="408">
        <f>'Opex summary'!S38/1000</f>
        <v>0</v>
      </c>
      <c r="AI24" s="408">
        <f>SUM(AD24:AH24)</f>
        <v>0</v>
      </c>
      <c r="AJ24" s="398"/>
    </row>
    <row r="25" spans="1:36" ht="14.65" customHeight="1" thickBot="1" x14ac:dyDescent="0.25">
      <c r="A25" s="381"/>
      <c r="B25" s="398"/>
      <c r="C25" s="488"/>
      <c r="D25" s="488"/>
      <c r="E25" s="529" t="s">
        <v>503</v>
      </c>
      <c r="F25" s="541"/>
      <c r="G25" s="455"/>
      <c r="H25" s="455"/>
      <c r="I25" s="553"/>
      <c r="J25" s="553"/>
      <c r="K25" s="553"/>
      <c r="L25" s="553"/>
      <c r="M25" s="553"/>
      <c r="N25" s="553"/>
      <c r="O25" s="553"/>
      <c r="P25" s="553"/>
      <c r="Q25" s="553"/>
      <c r="R25" s="553"/>
      <c r="S25" s="553"/>
      <c r="T25" s="553"/>
      <c r="U25" s="553"/>
      <c r="V25" s="381"/>
      <c r="W25" s="553"/>
      <c r="X25" s="553"/>
      <c r="Y25" s="553"/>
      <c r="Z25" s="553"/>
      <c r="AA25" s="553"/>
      <c r="AB25" s="553"/>
      <c r="AC25" s="553"/>
      <c r="AD25" s="553"/>
      <c r="AE25" s="599"/>
      <c r="AF25" s="599"/>
      <c r="AG25" s="599"/>
      <c r="AH25" s="553"/>
      <c r="AI25" s="553"/>
      <c r="AJ25" s="398"/>
    </row>
    <row r="26" spans="1:36" s="494" customFormat="1" ht="14.65" customHeight="1" thickBot="1" x14ac:dyDescent="0.3">
      <c r="A26" s="548"/>
      <c r="B26" s="490"/>
      <c r="C26" s="504"/>
      <c r="D26" s="564" t="s">
        <v>503</v>
      </c>
      <c r="E26" s="548"/>
      <c r="F26" s="600" t="str">
        <f>CONCATENATE("Total"," ",D23)</f>
        <v>Total Asset replacement and renewal</v>
      </c>
      <c r="G26" s="419"/>
      <c r="H26" s="419"/>
      <c r="I26" s="496">
        <f t="shared" ref="I26:U26" si="7">SUM(I24:I24)</f>
        <v>619.52259344832783</v>
      </c>
      <c r="J26" s="496">
        <f t="shared" si="7"/>
        <v>948.46699359200045</v>
      </c>
      <c r="K26" s="496">
        <f t="shared" si="7"/>
        <v>292.82711605757453</v>
      </c>
      <c r="L26" s="496">
        <f t="shared" si="7"/>
        <v>657.11728047935196</v>
      </c>
      <c r="M26" s="496">
        <f t="shared" si="7"/>
        <v>357.63148361858197</v>
      </c>
      <c r="N26" s="496">
        <f t="shared" si="7"/>
        <v>0</v>
      </c>
      <c r="O26" s="496">
        <f t="shared" si="7"/>
        <v>0</v>
      </c>
      <c r="P26" s="496">
        <f t="shared" si="7"/>
        <v>0</v>
      </c>
      <c r="Q26" s="496">
        <f t="shared" si="7"/>
        <v>0</v>
      </c>
      <c r="R26" s="496">
        <f t="shared" si="7"/>
        <v>0</v>
      </c>
      <c r="S26" s="496">
        <f t="shared" si="7"/>
        <v>0</v>
      </c>
      <c r="T26" s="496">
        <f t="shared" si="7"/>
        <v>0</v>
      </c>
      <c r="U26" s="496">
        <f t="shared" si="7"/>
        <v>0</v>
      </c>
      <c r="V26" s="419"/>
      <c r="W26" s="496">
        <f t="shared" ref="W26:AI26" si="8">SUM(W24:W24)</f>
        <v>582.00000000000011</v>
      </c>
      <c r="X26" s="496">
        <f t="shared" si="8"/>
        <v>894</v>
      </c>
      <c r="Y26" s="496">
        <f t="shared" si="8"/>
        <v>279</v>
      </c>
      <c r="Z26" s="496">
        <f t="shared" si="8"/>
        <v>636.00000000000011</v>
      </c>
      <c r="AA26" s="496">
        <f t="shared" si="8"/>
        <v>352</v>
      </c>
      <c r="AB26" s="496">
        <f t="shared" si="8"/>
        <v>0</v>
      </c>
      <c r="AC26" s="496">
        <f t="shared" si="8"/>
        <v>0</v>
      </c>
      <c r="AD26" s="496">
        <f t="shared" si="8"/>
        <v>0</v>
      </c>
      <c r="AE26" s="496">
        <f t="shared" si="8"/>
        <v>0</v>
      </c>
      <c r="AF26" s="496">
        <f t="shared" si="8"/>
        <v>0</v>
      </c>
      <c r="AG26" s="496">
        <f t="shared" si="8"/>
        <v>0</v>
      </c>
      <c r="AH26" s="496">
        <f t="shared" si="8"/>
        <v>0</v>
      </c>
      <c r="AI26" s="496">
        <f t="shared" si="8"/>
        <v>0</v>
      </c>
      <c r="AJ26" s="601"/>
    </row>
    <row r="27" spans="1:36" ht="14.65" customHeight="1" x14ac:dyDescent="0.25">
      <c r="A27" s="381"/>
      <c r="B27" s="398"/>
      <c r="C27" s="488"/>
      <c r="D27" s="540"/>
      <c r="E27" s="381"/>
      <c r="F27" s="605"/>
      <c r="G27" s="423"/>
      <c r="H27" s="423"/>
      <c r="I27" s="467"/>
      <c r="J27" s="467"/>
      <c r="K27" s="467"/>
      <c r="L27" s="467"/>
      <c r="M27" s="467"/>
      <c r="N27" s="467"/>
      <c r="O27" s="467"/>
      <c r="P27" s="467"/>
      <c r="Q27" s="467"/>
      <c r="R27" s="467"/>
      <c r="S27" s="467"/>
      <c r="T27" s="467"/>
      <c r="U27" s="467"/>
      <c r="V27" s="423"/>
      <c r="W27" s="467"/>
      <c r="X27" s="467"/>
      <c r="Y27" s="467"/>
      <c r="Z27" s="467"/>
      <c r="AA27" s="467"/>
      <c r="AB27" s="467"/>
      <c r="AC27" s="467"/>
      <c r="AD27" s="467"/>
      <c r="AE27" s="467"/>
      <c r="AF27" s="467"/>
      <c r="AG27" s="467"/>
      <c r="AH27" s="467"/>
      <c r="AI27" s="467"/>
      <c r="AJ27" s="509"/>
    </row>
    <row r="28" spans="1:36" ht="14.65" customHeight="1" thickBot="1" x14ac:dyDescent="0.3">
      <c r="A28" s="381"/>
      <c r="B28" s="398"/>
      <c r="C28" s="488"/>
      <c r="D28" s="540"/>
      <c r="E28" s="381"/>
      <c r="F28" s="605"/>
      <c r="G28" s="423"/>
      <c r="H28" s="423"/>
      <c r="I28" s="467"/>
      <c r="J28" s="467"/>
      <c r="K28" s="467"/>
      <c r="L28" s="467"/>
      <c r="M28" s="467"/>
      <c r="N28" s="467"/>
      <c r="O28" s="467"/>
      <c r="P28" s="467"/>
      <c r="Q28" s="467"/>
      <c r="R28" s="467"/>
      <c r="S28" s="467"/>
      <c r="T28" s="467"/>
      <c r="U28" s="467"/>
      <c r="V28" s="423"/>
      <c r="W28" s="467"/>
      <c r="X28" s="467"/>
      <c r="Y28" s="467"/>
      <c r="Z28" s="467"/>
      <c r="AA28" s="467"/>
      <c r="AB28" s="467"/>
      <c r="AC28" s="467"/>
      <c r="AD28" s="467"/>
      <c r="AE28" s="467"/>
      <c r="AF28" s="467"/>
      <c r="AG28" s="467"/>
      <c r="AH28" s="467"/>
      <c r="AI28" s="467"/>
      <c r="AJ28" s="509"/>
    </row>
    <row r="29" spans="1:36" s="494" customFormat="1" ht="14.65" customHeight="1" thickBot="1" x14ac:dyDescent="0.3">
      <c r="A29" s="548"/>
      <c r="B29" s="490"/>
      <c r="C29" s="504"/>
      <c r="D29" s="564"/>
      <c r="E29" s="548"/>
      <c r="F29" s="605" t="s">
        <v>245</v>
      </c>
      <c r="G29" s="419"/>
      <c r="H29" s="419"/>
      <c r="I29" s="496">
        <f t="shared" ref="I29:U29" si="9">I8+I13+I20+I26</f>
        <v>13151.549213151357</v>
      </c>
      <c r="J29" s="496">
        <f t="shared" si="9"/>
        <v>16338.245750913657</v>
      </c>
      <c r="K29" s="496">
        <f t="shared" si="9"/>
        <v>16835.984833976894</v>
      </c>
      <c r="L29" s="496">
        <f t="shared" si="9"/>
        <v>16724.461350816462</v>
      </c>
      <c r="M29" s="496">
        <f t="shared" si="9"/>
        <v>17015.943430806848</v>
      </c>
      <c r="N29" s="496">
        <f t="shared" si="9"/>
        <v>17106.053560934146</v>
      </c>
      <c r="O29" s="496">
        <f t="shared" si="9"/>
        <v>17537.676443576773</v>
      </c>
      <c r="P29" s="496">
        <f t="shared" si="9"/>
        <v>18888.204069918589</v>
      </c>
      <c r="Q29" s="496">
        <f t="shared" si="9"/>
        <v>17994.016663941089</v>
      </c>
      <c r="R29" s="496">
        <f t="shared" si="9"/>
        <v>16979.254309420383</v>
      </c>
      <c r="S29" s="496">
        <f t="shared" si="9"/>
        <v>15899.613845861775</v>
      </c>
      <c r="T29" s="496">
        <f t="shared" si="9"/>
        <v>15717.74740686244</v>
      </c>
      <c r="U29" s="496">
        <f t="shared" si="9"/>
        <v>85478.836296004272</v>
      </c>
      <c r="V29" s="419"/>
      <c r="W29" s="496">
        <f t="shared" ref="W29:AI29" si="10">W8+W13+W20+W26</f>
        <v>12355</v>
      </c>
      <c r="X29" s="496">
        <f t="shared" si="10"/>
        <v>15400</v>
      </c>
      <c r="Y29" s="496">
        <f t="shared" si="10"/>
        <v>16041</v>
      </c>
      <c r="Z29" s="496">
        <f t="shared" si="10"/>
        <v>16187</v>
      </c>
      <c r="AA29" s="496">
        <f t="shared" si="10"/>
        <v>16748</v>
      </c>
      <c r="AB29" s="496">
        <f t="shared" si="10"/>
        <v>17106.053560934146</v>
      </c>
      <c r="AC29" s="496">
        <f t="shared" si="10"/>
        <v>17774.052068089142</v>
      </c>
      <c r="AD29" s="496">
        <f t="shared" si="10"/>
        <v>19407.776002200844</v>
      </c>
      <c r="AE29" s="496">
        <f t="shared" si="10"/>
        <v>18762.45831834236</v>
      </c>
      <c r="AF29" s="496">
        <f t="shared" si="10"/>
        <v>18003.339026491027</v>
      </c>
      <c r="AG29" s="496">
        <f t="shared" si="10"/>
        <v>17178.120616810964</v>
      </c>
      <c r="AH29" s="496">
        <f t="shared" si="10"/>
        <v>17302.828963119005</v>
      </c>
      <c r="AI29" s="496">
        <f t="shared" si="10"/>
        <v>90654.5229269642</v>
      </c>
      <c r="AJ29" s="601"/>
    </row>
    <row r="30" spans="1:36" ht="14.65" customHeight="1" x14ac:dyDescent="0.2">
      <c r="A30" s="381"/>
      <c r="B30" s="398"/>
      <c r="C30" s="488"/>
      <c r="D30" s="540"/>
      <c r="E30" s="529"/>
      <c r="F30" s="497"/>
      <c r="G30" s="423"/>
      <c r="H30" s="423"/>
      <c r="I30" s="467"/>
      <c r="J30" s="467"/>
      <c r="K30" s="467"/>
      <c r="L30" s="467"/>
      <c r="M30" s="467"/>
      <c r="N30" s="467"/>
      <c r="O30" s="467"/>
      <c r="P30" s="467"/>
      <c r="Q30" s="467"/>
      <c r="R30" s="467"/>
      <c r="S30" s="467"/>
      <c r="T30" s="467"/>
      <c r="U30" s="467"/>
      <c r="V30" s="423"/>
      <c r="W30" s="467"/>
      <c r="X30" s="467"/>
      <c r="Y30" s="467"/>
      <c r="Z30" s="467"/>
      <c r="AA30" s="467"/>
      <c r="AB30" s="467"/>
      <c r="AC30" s="467"/>
      <c r="AD30" s="467"/>
      <c r="AE30" s="467"/>
      <c r="AF30" s="467"/>
      <c r="AG30" s="467"/>
      <c r="AH30" s="467"/>
      <c r="AI30" s="467"/>
      <c r="AJ30" s="509"/>
    </row>
    <row r="31" spans="1:36" ht="14.65" customHeight="1" x14ac:dyDescent="0.2"/>
    <row r="32" spans="1:36" x14ac:dyDescent="0.2">
      <c r="F32" s="391" t="s">
        <v>691</v>
      </c>
      <c r="I32" s="393">
        <f>I29-'Historical opex'!H19/1000</f>
        <v>0</v>
      </c>
      <c r="J32" s="393">
        <f>J29-'Historical opex'!I19/1000</f>
        <v>0</v>
      </c>
      <c r="K32" s="393">
        <f>K29-'Historical opex'!J19/1000</f>
        <v>0</v>
      </c>
      <c r="L32" s="393">
        <f>L29-'Historical opex'!K19/1000</f>
        <v>0</v>
      </c>
      <c r="M32" s="393">
        <f>M29-'Historical opex'!L19/1000</f>
        <v>0</v>
      </c>
      <c r="N32" s="393">
        <f>N29-'Opex summary'!M23/1000</f>
        <v>0</v>
      </c>
      <c r="O32" s="393">
        <f>O29-'Opex summary'!N23/1000</f>
        <v>0</v>
      </c>
      <c r="P32" s="393">
        <f>P29-'Opex summary'!O23/1000</f>
        <v>0</v>
      </c>
      <c r="Q32" s="393">
        <f>Q29-'Opex summary'!P23/1000</f>
        <v>0</v>
      </c>
      <c r="R32" s="393">
        <f>R29-'Opex summary'!Q23/1000</f>
        <v>0</v>
      </c>
      <c r="S32" s="393">
        <f>S29-'Opex summary'!R23/1000</f>
        <v>0</v>
      </c>
      <c r="T32" s="393">
        <f>T29-'Opex summary'!S23/1000</f>
        <v>0</v>
      </c>
      <c r="U32" s="393"/>
      <c r="V32" s="393"/>
      <c r="W32" s="393">
        <f>W29-'Historical opex'!H33/1000</f>
        <v>0</v>
      </c>
      <c r="X32" s="393">
        <f>X29-'Historical opex'!I33/1000</f>
        <v>0</v>
      </c>
      <c r="Y32" s="393">
        <f>Y29-'Historical opex'!J33/1000</f>
        <v>0</v>
      </c>
      <c r="Z32" s="393">
        <f>Z29-'Historical opex'!K33/1000</f>
        <v>0</v>
      </c>
      <c r="AA32" s="393">
        <f>AA29-'Historical opex'!L33/1000</f>
        <v>0</v>
      </c>
      <c r="AB32" s="393">
        <f>AB29-'Opex summary'!M39/1000</f>
        <v>0</v>
      </c>
      <c r="AC32" s="393">
        <f>AC29-'Opex summary'!N39/1000</f>
        <v>0</v>
      </c>
      <c r="AD32" s="393">
        <f>AD29-'Opex summary'!O39/1000</f>
        <v>0</v>
      </c>
      <c r="AE32" s="393">
        <f>AE29-'Opex summary'!P39/1000</f>
        <v>0</v>
      </c>
      <c r="AF32" s="393">
        <f>AF29-'Opex summary'!Q39/1000</f>
        <v>0</v>
      </c>
      <c r="AG32" s="393">
        <f>AG29-'Opex summary'!R39/1000</f>
        <v>0</v>
      </c>
      <c r="AH32" s="393">
        <f>AH29-'Opex summary'!S39/1000</f>
        <v>0</v>
      </c>
      <c r="AI32" s="393"/>
    </row>
    <row r="33" spans="9:21" x14ac:dyDescent="0.2">
      <c r="I33" s="606"/>
      <c r="J33" s="607"/>
      <c r="K33" s="607"/>
      <c r="L33" s="607"/>
      <c r="M33" s="607"/>
      <c r="Q33" s="607"/>
    </row>
    <row r="34" spans="9:21" x14ac:dyDescent="0.2">
      <c r="J34" s="607"/>
    </row>
    <row r="36" spans="9:21" x14ac:dyDescent="0.2">
      <c r="I36" s="513"/>
      <c r="K36" s="513"/>
      <c r="U36" s="607"/>
    </row>
    <row r="37" spans="9:21" x14ac:dyDescent="0.2">
      <c r="I37" s="608"/>
    </row>
    <row r="38" spans="9:21" x14ac:dyDescent="0.2">
      <c r="I38" s="609"/>
    </row>
    <row r="54" ht="14.65" customHeight="1" x14ac:dyDescent="0.2"/>
    <row r="68" ht="14.65" customHeight="1" x14ac:dyDescent="0.2"/>
    <row r="75" ht="14.65" customHeight="1" x14ac:dyDescent="0.2"/>
    <row r="80" ht="14.65" customHeight="1" x14ac:dyDescent="0.2"/>
    <row r="93" ht="14.65" customHeight="1" x14ac:dyDescent="0.2"/>
    <row r="94" ht="14.65" customHeight="1" x14ac:dyDescent="0.2"/>
  </sheetData>
  <sheetProtection algorithmName="SHA-512" hashValue="OkLmkeVf2dZLW9obxnzLzXZwsM0dNkFsVHizM9WYXHs4aD1i8cqE5vcuoLXu+9luXdkYk9SVqfEWLPI+Ngv2+g==" saltValue="HcUkzcGEPtTqojXcg/D+WA==" spinCount="100000" sheet="1" objects="1" scenarios="1"/>
  <mergeCells count="10">
    <mergeCell ref="AI3:AI4"/>
    <mergeCell ref="I2:U2"/>
    <mergeCell ref="W2:AI2"/>
    <mergeCell ref="AB3:AC3"/>
    <mergeCell ref="AD3:AH3"/>
    <mergeCell ref="W3:AA3"/>
    <mergeCell ref="I3:M3"/>
    <mergeCell ref="N3:O3"/>
    <mergeCell ref="P3:T3"/>
    <mergeCell ref="U3:U4"/>
  </mergeCells>
  <conditionalFormatting sqref="I32:AI32">
    <cfRule type="cellIs" dxfId="9" priority="3" stopIfTrue="1" operator="equal">
      <formula>0</formula>
    </cfRule>
    <cfRule type="cellIs" dxfId="8" priority="4" stopIfTrue="1" operator="notEqual">
      <formula>0</formula>
    </cfRule>
  </conditionalFormatting>
  <dataValidations count="1">
    <dataValidation allowBlank="1" showInputMessage="1" showErrorMessage="1" prompt="Please enter text" sqref="F6 F11 F17:F18 F24" xr:uid="{00000000-0002-0000-0700-000000000000}"/>
  </dataValidations>
  <pageMargins left="0.70866141732283472" right="0.70866141732283472" top="0.74803149606299213" bottom="0.74803149606299213" header="0.31496062992125984" footer="0.31496062992125984"/>
  <pageSetup paperSize="9" scale="55" orientation="landscape" r:id="rId1"/>
  <headerFooter>
    <oddFooter>&amp;A</oddFooter>
  </headerFooter>
  <colBreaks count="1" manualBreakCount="1">
    <brk id="21" max="3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C1AB-51D3-442E-A0CE-DB64A557F201}">
  <sheetPr codeName="Sheet24"/>
  <dimension ref="A1:AH85"/>
  <sheetViews>
    <sheetView showGridLines="0" zoomScale="95" zoomScaleNormal="95" workbookViewId="0">
      <pane xSplit="5" ySplit="4" topLeftCell="F5" activePane="bottomRight" state="frozen"/>
      <selection pane="topRight" activeCell="B116" sqref="B116"/>
      <selection pane="bottomLeft" activeCell="B116" sqref="B116"/>
      <selection pane="bottomRight" activeCell="F5" sqref="F5"/>
    </sheetView>
  </sheetViews>
  <sheetFormatPr defaultColWidth="7.875" defaultRowHeight="14.25" x14ac:dyDescent="0.2"/>
  <cols>
    <col min="1" max="1" width="2.875" style="479" customWidth="1"/>
    <col min="2" max="2" width="5.25" style="479" customWidth="1"/>
    <col min="3" max="3" width="7.25" style="479" customWidth="1"/>
    <col min="4" max="4" width="10.125" style="479" customWidth="1"/>
    <col min="5" max="5" width="32.25" style="479" customWidth="1"/>
    <col min="6" max="6" width="2.875" style="479" customWidth="1"/>
    <col min="7" max="19" width="8.625" style="479" customWidth="1"/>
    <col min="20" max="20" width="3.375" style="479" customWidth="1"/>
    <col min="21" max="33" width="8.625" style="479" customWidth="1"/>
    <col min="34" max="34" width="4.875" style="479" customWidth="1"/>
    <col min="35" max="16384" width="7.875" style="479"/>
  </cols>
  <sheetData>
    <row r="1" spans="1:34" ht="17.649999999999999" customHeight="1" thickBot="1" x14ac:dyDescent="0.3">
      <c r="A1" s="594"/>
      <c r="B1" s="610" t="s">
        <v>692</v>
      </c>
      <c r="C1" s="610"/>
      <c r="D1" s="610"/>
      <c r="E1" s="381"/>
      <c r="F1" s="381"/>
      <c r="G1" s="381" t="s">
        <v>503</v>
      </c>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row>
    <row r="2" spans="1:34" ht="18.75" customHeight="1" thickBot="1" x14ac:dyDescent="0.25">
      <c r="A2" s="381"/>
      <c r="B2" s="381"/>
      <c r="C2" s="381"/>
      <c r="D2" s="381"/>
      <c r="E2" s="381"/>
      <c r="F2" s="381"/>
      <c r="G2" s="691" t="s">
        <v>685</v>
      </c>
      <c r="H2" s="692"/>
      <c r="I2" s="692"/>
      <c r="J2" s="692"/>
      <c r="K2" s="692"/>
      <c r="L2" s="692"/>
      <c r="M2" s="692"/>
      <c r="N2" s="692"/>
      <c r="O2" s="692"/>
      <c r="P2" s="692"/>
      <c r="Q2" s="692"/>
      <c r="R2" s="692"/>
      <c r="S2" s="693"/>
      <c r="T2" s="381"/>
      <c r="U2" s="699" t="s">
        <v>693</v>
      </c>
      <c r="V2" s="700"/>
      <c r="W2" s="700"/>
      <c r="X2" s="700"/>
      <c r="Y2" s="700"/>
      <c r="Z2" s="700"/>
      <c r="AA2" s="700"/>
      <c r="AB2" s="700"/>
      <c r="AC2" s="700"/>
      <c r="AD2" s="700"/>
      <c r="AE2" s="700"/>
      <c r="AF2" s="700"/>
      <c r="AG2" s="701"/>
      <c r="AH2" s="381"/>
    </row>
    <row r="3" spans="1:34" ht="31.35" customHeight="1" thickBot="1" x14ac:dyDescent="0.3">
      <c r="A3" s="381"/>
      <c r="B3" s="381"/>
      <c r="C3" s="381"/>
      <c r="D3" s="611" t="s">
        <v>505</v>
      </c>
      <c r="E3" s="597" t="s">
        <v>506</v>
      </c>
      <c r="F3" s="381"/>
      <c r="G3" s="710" t="s">
        <v>46</v>
      </c>
      <c r="H3" s="711"/>
      <c r="I3" s="711"/>
      <c r="J3" s="711"/>
      <c r="K3" s="712"/>
      <c r="L3" s="710" t="s">
        <v>577</v>
      </c>
      <c r="M3" s="712"/>
      <c r="N3" s="710" t="s">
        <v>578</v>
      </c>
      <c r="O3" s="711"/>
      <c r="P3" s="711"/>
      <c r="Q3" s="711"/>
      <c r="R3" s="712"/>
      <c r="S3" s="612" t="s">
        <v>503</v>
      </c>
      <c r="T3" s="381"/>
      <c r="U3" s="713" t="s">
        <v>46</v>
      </c>
      <c r="V3" s="713"/>
      <c r="W3" s="713"/>
      <c r="X3" s="713"/>
      <c r="Y3" s="713"/>
      <c r="Z3" s="713" t="s">
        <v>577</v>
      </c>
      <c r="AA3" s="713"/>
      <c r="AB3" s="713" t="s">
        <v>578</v>
      </c>
      <c r="AC3" s="713"/>
      <c r="AD3" s="713"/>
      <c r="AE3" s="713"/>
      <c r="AF3" s="714"/>
      <c r="AG3" s="612" t="s">
        <v>503</v>
      </c>
      <c r="AH3" s="381"/>
    </row>
    <row r="4" spans="1:34" ht="40.35" customHeight="1" x14ac:dyDescent="0.2">
      <c r="A4" s="398"/>
      <c r="B4" s="381"/>
      <c r="C4" s="381"/>
      <c r="D4" s="381"/>
      <c r="E4" s="381"/>
      <c r="F4" s="579" t="str">
        <f>IF(ISNUMBER(#REF!),"for year ended","")</f>
        <v/>
      </c>
      <c r="G4" s="598" t="s">
        <v>581</v>
      </c>
      <c r="H4" s="502" t="s">
        <v>582</v>
      </c>
      <c r="I4" s="502" t="s">
        <v>583</v>
      </c>
      <c r="J4" s="502" t="s">
        <v>584</v>
      </c>
      <c r="K4" s="502" t="s">
        <v>585</v>
      </c>
      <c r="L4" s="550" t="s">
        <v>586</v>
      </c>
      <c r="M4" s="550" t="s">
        <v>587</v>
      </c>
      <c r="N4" s="550" t="s">
        <v>588</v>
      </c>
      <c r="O4" s="550" t="s">
        <v>589</v>
      </c>
      <c r="P4" s="550" t="s">
        <v>590</v>
      </c>
      <c r="Q4" s="550" t="s">
        <v>591</v>
      </c>
      <c r="R4" s="502" t="s">
        <v>592</v>
      </c>
      <c r="S4" s="613" t="s">
        <v>628</v>
      </c>
      <c r="T4" s="562"/>
      <c r="U4" s="598" t="s">
        <v>581</v>
      </c>
      <c r="V4" s="502" t="s">
        <v>582</v>
      </c>
      <c r="W4" s="502" t="s">
        <v>583</v>
      </c>
      <c r="X4" s="502" t="s">
        <v>584</v>
      </c>
      <c r="Y4" s="502" t="s">
        <v>585</v>
      </c>
      <c r="Z4" s="550" t="s">
        <v>586</v>
      </c>
      <c r="AA4" s="550" t="s">
        <v>587</v>
      </c>
      <c r="AB4" s="550" t="s">
        <v>588</v>
      </c>
      <c r="AC4" s="550" t="s">
        <v>589</v>
      </c>
      <c r="AD4" s="550" t="s">
        <v>590</v>
      </c>
      <c r="AE4" s="550" t="s">
        <v>591</v>
      </c>
      <c r="AF4" s="502" t="s">
        <v>592</v>
      </c>
      <c r="AG4" s="613" t="s">
        <v>628</v>
      </c>
      <c r="AH4" s="423"/>
    </row>
    <row r="5" spans="1:34" ht="14.65" customHeight="1" x14ac:dyDescent="0.2">
      <c r="A5" s="398"/>
      <c r="B5" s="488"/>
      <c r="C5" s="540"/>
      <c r="D5" s="529"/>
      <c r="E5" s="488"/>
      <c r="F5" s="423"/>
      <c r="G5" s="467"/>
      <c r="H5" s="467"/>
      <c r="I5" s="467"/>
      <c r="J5" s="467"/>
      <c r="K5" s="467"/>
      <c r="L5" s="467"/>
      <c r="M5" s="467"/>
      <c r="N5" s="467"/>
      <c r="O5" s="467"/>
      <c r="P5" s="467"/>
      <c r="Q5" s="467"/>
      <c r="R5" s="467"/>
      <c r="S5" s="467"/>
      <c r="T5" s="423"/>
      <c r="U5" s="467"/>
      <c r="V5" s="467"/>
      <c r="W5" s="467"/>
      <c r="X5" s="467"/>
      <c r="Y5" s="467"/>
      <c r="Z5" s="467"/>
      <c r="AA5" s="467"/>
      <c r="AB5" s="467"/>
      <c r="AC5" s="467"/>
      <c r="AD5" s="467"/>
      <c r="AE5" s="467"/>
      <c r="AF5" s="467"/>
      <c r="AG5" s="467"/>
      <c r="AH5" s="423"/>
    </row>
    <row r="6" spans="1:34" ht="15.75" x14ac:dyDescent="0.25">
      <c r="A6" s="398"/>
      <c r="B6" s="561" t="s">
        <v>694</v>
      </c>
      <c r="C6" s="614" t="s">
        <v>246</v>
      </c>
      <c r="D6" s="568"/>
      <c r="E6" s="381"/>
      <c r="F6" s="423"/>
      <c r="G6" s="563" t="s">
        <v>503</v>
      </c>
      <c r="H6" s="563"/>
      <c r="I6" s="563"/>
      <c r="J6" s="563"/>
      <c r="K6" s="563"/>
      <c r="L6" s="563"/>
      <c r="M6" s="563"/>
      <c r="N6" s="423"/>
      <c r="O6" s="423"/>
      <c r="P6" s="423"/>
      <c r="Q6" s="423"/>
      <c r="R6" s="423"/>
      <c r="S6" s="423"/>
      <c r="T6" s="423"/>
      <c r="U6" s="563" t="s">
        <v>503</v>
      </c>
      <c r="V6" s="563"/>
      <c r="W6" s="563"/>
      <c r="X6" s="563"/>
      <c r="Y6" s="563"/>
      <c r="Z6" s="563"/>
      <c r="AA6" s="563"/>
      <c r="AB6" s="423"/>
      <c r="AC6" s="423"/>
      <c r="AD6" s="423"/>
      <c r="AE6" s="423"/>
      <c r="AF6" s="423"/>
      <c r="AG6" s="423"/>
      <c r="AH6" s="423"/>
    </row>
    <row r="7" spans="1:34" ht="14.65" customHeight="1" x14ac:dyDescent="0.2">
      <c r="A7" s="398"/>
      <c r="B7" s="488"/>
      <c r="C7" s="488"/>
      <c r="D7" s="510"/>
      <c r="E7" s="552" t="s">
        <v>422</v>
      </c>
      <c r="F7" s="381"/>
      <c r="G7" s="408">
        <f>'Historical opex'!H71/1000</f>
        <v>4105.5473157277102</v>
      </c>
      <c r="H7" s="408">
        <f>'Historical opex'!I71/1000</f>
        <v>3971.3878667559402</v>
      </c>
      <c r="I7" s="408">
        <f>'Historical opex'!J71/1000</f>
        <v>4058.16190561657</v>
      </c>
      <c r="J7" s="408">
        <f>'Historical opex'!K71/1000</f>
        <v>11037.0051751724</v>
      </c>
      <c r="K7" s="408">
        <f>'Historical opex'!L71/1000</f>
        <v>13038.1868542827</v>
      </c>
      <c r="L7" s="408">
        <f>'Opex summary'!M70/1000</f>
        <v>15037.20362722065</v>
      </c>
      <c r="M7" s="408">
        <f>'Opex summary'!N70/1000</f>
        <v>15742.414692267996</v>
      </c>
      <c r="N7" s="408">
        <f>'Opex summary'!O70/1000</f>
        <v>10837.885158531237</v>
      </c>
      <c r="O7" s="408">
        <f>'Opex summary'!P70/1000</f>
        <v>11951.518671515867</v>
      </c>
      <c r="P7" s="408">
        <f>'Opex summary'!Q70/1000</f>
        <v>10651.434570748075</v>
      </c>
      <c r="Q7" s="408">
        <f>'Opex summary'!R70/1000</f>
        <v>10169.31810325735</v>
      </c>
      <c r="R7" s="408">
        <f>'Opex summary'!S70/1000</f>
        <v>9622.0289805252942</v>
      </c>
      <c r="S7" s="408">
        <f>SUM(N7:R7)</f>
        <v>53232.185484577829</v>
      </c>
      <c r="T7" s="381"/>
      <c r="U7" s="408">
        <f>'Historical opex'!H109/1000</f>
        <v>3856.8868400000028</v>
      </c>
      <c r="V7" s="408">
        <f>'Historical opex'!I109/1000</f>
        <v>3743.3255736541587</v>
      </c>
      <c r="W7" s="408">
        <f>'Historical opex'!J109/1000</f>
        <v>3866.5380000000032</v>
      </c>
      <c r="X7" s="408">
        <f>'Historical opex'!K109/1000</f>
        <v>10682.317296980926</v>
      </c>
      <c r="Y7" s="408">
        <f>'Historical opex'!L109/1000</f>
        <v>12832.879606321801</v>
      </c>
      <c r="Z7" s="408">
        <f>'Opex summary'!M96/1000</f>
        <v>15037.20362722065</v>
      </c>
      <c r="AA7" s="408">
        <f>'Opex summary'!N96/1000</f>
        <v>15972.139048512052</v>
      </c>
      <c r="AB7" s="408">
        <f>'Opex summary'!O96/1000</f>
        <v>11158.059679531309</v>
      </c>
      <c r="AC7" s="408">
        <f>'Opex summary'!P96/1000</f>
        <v>12511.948698873317</v>
      </c>
      <c r="AD7" s="408">
        <f>'Opex summary'!Q96/1000</f>
        <v>11339.336334491669</v>
      </c>
      <c r="AE7" s="408">
        <f>'Opex summary'!R96/1000</f>
        <v>11039.463840871089</v>
      </c>
      <c r="AF7" s="408">
        <f>'Opex summary'!S96/1000</f>
        <v>10652.398825849123</v>
      </c>
      <c r="AG7" s="408">
        <f>SUM(AB7:AF7)</f>
        <v>56701.207379616506</v>
      </c>
      <c r="AH7" s="381"/>
    </row>
    <row r="8" spans="1:34" ht="14.65" customHeight="1" x14ac:dyDescent="0.2">
      <c r="A8" s="398"/>
      <c r="B8" s="488"/>
      <c r="C8" s="488"/>
      <c r="D8" s="510"/>
      <c r="E8" s="552" t="s">
        <v>423</v>
      </c>
      <c r="F8" s="381"/>
      <c r="G8" s="408">
        <v>0</v>
      </c>
      <c r="H8" s="408">
        <v>0</v>
      </c>
      <c r="I8" s="408">
        <v>0</v>
      </c>
      <c r="J8" s="408">
        <v>0</v>
      </c>
      <c r="K8" s="408">
        <v>0</v>
      </c>
      <c r="L8" s="408">
        <f>'Opex summary'!M71/1000</f>
        <v>0</v>
      </c>
      <c r="M8" s="408">
        <f>'Opex summary'!N71/1000</f>
        <v>0</v>
      </c>
      <c r="N8" s="408">
        <f>'Opex summary'!O71/1000</f>
        <v>264.77670153846157</v>
      </c>
      <c r="O8" s="408">
        <f>'Opex summary'!P71/1000</f>
        <v>593.59182637393985</v>
      </c>
      <c r="P8" s="408">
        <f>'Opex summary'!Q71/1000</f>
        <v>581.52198906097203</v>
      </c>
      <c r="Q8" s="408">
        <f>'Opex summary'!R71/1000</f>
        <v>698.99986102720095</v>
      </c>
      <c r="R8" s="408">
        <f>'Opex summary'!S71/1000</f>
        <v>862.42001050605643</v>
      </c>
      <c r="S8" s="408">
        <f>SUM(N8:R8)</f>
        <v>3001.3103885066307</v>
      </c>
      <c r="T8" s="381"/>
      <c r="U8" s="408"/>
      <c r="V8" s="408"/>
      <c r="W8" s="408"/>
      <c r="X8" s="408"/>
      <c r="Y8" s="408"/>
      <c r="Z8" s="408">
        <f>'Opex summary'!M97/1000</f>
        <v>0</v>
      </c>
      <c r="AA8" s="408">
        <f>'Opex summary'!N97/1000</f>
        <v>0</v>
      </c>
      <c r="AB8" s="408">
        <f>'Opex summary'!O97/1000</f>
        <v>272.50757816710592</v>
      </c>
      <c r="AC8" s="408">
        <f>'Opex summary'!P97/1000</f>
        <v>621.04373860510236</v>
      </c>
      <c r="AD8" s="408">
        <f>'Opex summary'!Q97/1000</f>
        <v>618.8075542548595</v>
      </c>
      <c r="AE8" s="408">
        <f>'Opex summary'!R97/1000</f>
        <v>758.4950815991873</v>
      </c>
      <c r="AF8" s="408">
        <f>'Opex summary'!S97/1000</f>
        <v>954.29159487977313</v>
      </c>
      <c r="AG8" s="408">
        <f>SUM(AB8:AF8)</f>
        <v>3225.1455475060284</v>
      </c>
      <c r="AH8" s="381"/>
    </row>
    <row r="9" spans="1:34" ht="15" thickBot="1" x14ac:dyDescent="0.25">
      <c r="A9" s="398"/>
      <c r="B9" s="488"/>
      <c r="C9" s="488"/>
      <c r="D9" s="529" t="s">
        <v>503</v>
      </c>
      <c r="E9" s="541"/>
      <c r="F9" s="455"/>
      <c r="G9" s="553"/>
      <c r="H9" s="553"/>
      <c r="I9" s="553"/>
      <c r="J9" s="553"/>
      <c r="K9" s="553"/>
      <c r="L9" s="553"/>
      <c r="M9" s="553"/>
      <c r="N9" s="553"/>
      <c r="O9" s="553"/>
      <c r="P9" s="553"/>
      <c r="Q9" s="553"/>
      <c r="R9" s="553"/>
      <c r="S9" s="554"/>
      <c r="T9" s="381"/>
      <c r="U9" s="553"/>
      <c r="V9" s="553"/>
      <c r="W9" s="553"/>
      <c r="X9" s="553"/>
      <c r="Y9" s="553"/>
      <c r="Z9" s="553"/>
      <c r="AA9" s="553"/>
      <c r="AB9" s="553"/>
      <c r="AC9" s="599"/>
      <c r="AD9" s="599"/>
      <c r="AE9" s="599"/>
      <c r="AF9" s="553"/>
      <c r="AG9" s="553"/>
      <c r="AH9" s="381"/>
    </row>
    <row r="10" spans="1:34" s="494" customFormat="1" ht="15.75" thickBot="1" x14ac:dyDescent="0.3">
      <c r="A10" s="490"/>
      <c r="B10" s="504"/>
      <c r="C10" s="564" t="s">
        <v>503</v>
      </c>
      <c r="D10" s="548"/>
      <c r="E10" s="604" t="str">
        <f>CONCATENATE("Total"," ",C6)</f>
        <v>Total System operations and network support</v>
      </c>
      <c r="F10" s="419"/>
      <c r="G10" s="496">
        <f t="shared" ref="G10:R10" si="0">SUM(G7:G8)</f>
        <v>4105.5473157277102</v>
      </c>
      <c r="H10" s="496">
        <f t="shared" si="0"/>
        <v>3971.3878667559402</v>
      </c>
      <c r="I10" s="496">
        <f t="shared" si="0"/>
        <v>4058.16190561657</v>
      </c>
      <c r="J10" s="496">
        <f t="shared" si="0"/>
        <v>11037.0051751724</v>
      </c>
      <c r="K10" s="496">
        <f t="shared" si="0"/>
        <v>13038.1868542827</v>
      </c>
      <c r="L10" s="496">
        <f t="shared" si="0"/>
        <v>15037.20362722065</v>
      </c>
      <c r="M10" s="496">
        <f t="shared" si="0"/>
        <v>15742.414692267996</v>
      </c>
      <c r="N10" s="496">
        <f t="shared" si="0"/>
        <v>11102.661860069698</v>
      </c>
      <c r="O10" s="496">
        <f t="shared" si="0"/>
        <v>12545.110497889807</v>
      </c>
      <c r="P10" s="496">
        <f t="shared" si="0"/>
        <v>11232.956559809047</v>
      </c>
      <c r="Q10" s="496">
        <f t="shared" si="0"/>
        <v>10868.317964284552</v>
      </c>
      <c r="R10" s="496">
        <f t="shared" si="0"/>
        <v>10484.448991031351</v>
      </c>
      <c r="S10" s="496">
        <f>SUM(S7:S8)</f>
        <v>56233.495873084459</v>
      </c>
      <c r="T10" s="419"/>
      <c r="U10" s="496">
        <f t="shared" ref="U10:AF10" si="1">SUM(U7:U8)</f>
        <v>3856.8868400000028</v>
      </c>
      <c r="V10" s="496">
        <f t="shared" si="1"/>
        <v>3743.3255736541587</v>
      </c>
      <c r="W10" s="496">
        <f t="shared" si="1"/>
        <v>3866.5380000000032</v>
      </c>
      <c r="X10" s="496">
        <f t="shared" si="1"/>
        <v>10682.317296980926</v>
      </c>
      <c r="Y10" s="496">
        <f t="shared" si="1"/>
        <v>12832.879606321801</v>
      </c>
      <c r="Z10" s="496">
        <f t="shared" si="1"/>
        <v>15037.20362722065</v>
      </c>
      <c r="AA10" s="496">
        <f t="shared" si="1"/>
        <v>15972.139048512052</v>
      </c>
      <c r="AB10" s="496">
        <f t="shared" si="1"/>
        <v>11430.567257698414</v>
      </c>
      <c r="AC10" s="496">
        <f t="shared" si="1"/>
        <v>13132.992437478419</v>
      </c>
      <c r="AD10" s="496">
        <f t="shared" si="1"/>
        <v>11958.143888746528</v>
      </c>
      <c r="AE10" s="496">
        <f t="shared" si="1"/>
        <v>11797.958922470276</v>
      </c>
      <c r="AF10" s="496">
        <f t="shared" si="1"/>
        <v>11606.690420728895</v>
      </c>
      <c r="AG10" s="496">
        <f>SUM(AG7:AG8)</f>
        <v>59926.352927122534</v>
      </c>
      <c r="AH10" s="419"/>
    </row>
    <row r="11" spans="1:34" x14ac:dyDescent="0.2">
      <c r="A11" s="488"/>
      <c r="B11" s="488"/>
      <c r="C11" s="540"/>
      <c r="D11" s="529"/>
      <c r="E11" s="497"/>
      <c r="F11" s="423"/>
      <c r="G11" s="467"/>
      <c r="H11" s="467"/>
      <c r="I11" s="467"/>
      <c r="J11" s="467"/>
      <c r="K11" s="467"/>
      <c r="L11" s="467"/>
      <c r="M11" s="467"/>
      <c r="N11" s="467"/>
      <c r="O11" s="467"/>
      <c r="P11" s="467"/>
      <c r="Q11" s="467"/>
      <c r="R11" s="467"/>
      <c r="S11" s="467"/>
      <c r="T11" s="423"/>
      <c r="U11" s="467"/>
      <c r="V11" s="467"/>
      <c r="W11" s="467"/>
      <c r="X11" s="467"/>
      <c r="Y11" s="467"/>
      <c r="Z11" s="467"/>
      <c r="AA11" s="467"/>
      <c r="AB11" s="467"/>
      <c r="AC11" s="467"/>
      <c r="AD11" s="467"/>
      <c r="AE11" s="467"/>
      <c r="AF11" s="467"/>
      <c r="AG11" s="467"/>
      <c r="AH11" s="423"/>
    </row>
    <row r="12" spans="1:34" ht="14.65" customHeight="1" x14ac:dyDescent="0.25">
      <c r="A12" s="398"/>
      <c r="B12" s="561" t="s">
        <v>695</v>
      </c>
      <c r="C12" s="561" t="s">
        <v>68</v>
      </c>
      <c r="D12" s="381"/>
      <c r="E12" s="423"/>
      <c r="F12" s="423"/>
      <c r="G12" s="563"/>
      <c r="H12" s="563"/>
      <c r="I12" s="563"/>
      <c r="J12" s="563"/>
      <c r="K12" s="563"/>
      <c r="L12" s="563"/>
      <c r="M12" s="563"/>
      <c r="N12" s="563"/>
      <c r="O12" s="563"/>
      <c r="P12" s="563"/>
      <c r="Q12" s="563"/>
      <c r="R12" s="563"/>
      <c r="S12" s="423"/>
      <c r="T12" s="423"/>
      <c r="U12" s="563" t="s">
        <v>503</v>
      </c>
      <c r="V12" s="563"/>
      <c r="W12" s="563"/>
      <c r="X12" s="563"/>
      <c r="Y12" s="563"/>
      <c r="Z12" s="563"/>
      <c r="AA12" s="563"/>
      <c r="AB12" s="423"/>
      <c r="AC12" s="423"/>
      <c r="AD12" s="423"/>
      <c r="AE12" s="423"/>
      <c r="AF12" s="423"/>
      <c r="AG12" s="423"/>
      <c r="AH12" s="423"/>
    </row>
    <row r="13" spans="1:34" ht="14.65" customHeight="1" x14ac:dyDescent="0.2">
      <c r="A13" s="398"/>
      <c r="B13" s="488"/>
      <c r="C13" s="488"/>
      <c r="D13" s="510"/>
      <c r="E13" s="552" t="s">
        <v>418</v>
      </c>
      <c r="F13" s="381"/>
      <c r="G13" s="408">
        <f>'Historical opex'!H65/1000</f>
        <v>522.53327640989721</v>
      </c>
      <c r="H13" s="408">
        <f>'Historical opex'!I65/1000</f>
        <v>163.38887610568153</v>
      </c>
      <c r="I13" s="408">
        <f>'Historical opex'!J65/1000</f>
        <v>159.56120166309674</v>
      </c>
      <c r="J13" s="408">
        <f>'Historical opex'!K65/1000</f>
        <v>3674.6274934234907</v>
      </c>
      <c r="K13" s="408">
        <f>'Historical opex'!L65/1000</f>
        <v>7660.0899358933766</v>
      </c>
      <c r="L13" s="408">
        <f>'Opex summary'!M64/1000</f>
        <v>9761.3572095588934</v>
      </c>
      <c r="M13" s="408">
        <f>'Opex summary'!N64/1000</f>
        <v>8445.8178135142116</v>
      </c>
      <c r="N13" s="408">
        <f>'Opex summary'!O64/1000</f>
        <v>5292.9116937096896</v>
      </c>
      <c r="O13" s="408">
        <f>'Opex summary'!P64/1000</f>
        <v>6307.0783603763566</v>
      </c>
      <c r="P13" s="408">
        <f>'Opex summary'!Q64/1000</f>
        <v>5464.809366757404</v>
      </c>
      <c r="Q13" s="408">
        <f>'Opex summary'!R64/1000</f>
        <v>5035.0403731384522</v>
      </c>
      <c r="R13" s="408">
        <f>'Opex summary'!S64/1000</f>
        <v>5035.0403731384522</v>
      </c>
      <c r="S13" s="408">
        <f>SUM(N13:R13)</f>
        <v>27134.880167120355</v>
      </c>
      <c r="T13" s="381"/>
      <c r="U13" s="408">
        <f>'Historical opex'!H103/1000</f>
        <v>490.88502999999997</v>
      </c>
      <c r="V13" s="408">
        <f>'Historical opex'!I103/1000</f>
        <v>154.00604999999999</v>
      </c>
      <c r="W13" s="408">
        <f>'Historical opex'!J103/1000</f>
        <v>152.02681999999999</v>
      </c>
      <c r="X13" s="408">
        <f>'Historical opex'!K103/1000</f>
        <v>3556.5387720628901</v>
      </c>
      <c r="Y13" s="408">
        <f>'Historical opex'!L103/1000</f>
        <v>7539.4694844879996</v>
      </c>
      <c r="Z13" s="408">
        <f>'Opex summary'!M90/1000</f>
        <v>9761.3572095588934</v>
      </c>
      <c r="AA13" s="408">
        <f>'Opex summary'!N90/1000</f>
        <v>8567.8541059770305</v>
      </c>
      <c r="AB13" s="408">
        <f>'Opex summary'!O90/1000</f>
        <v>5447.4526600130812</v>
      </c>
      <c r="AC13" s="408">
        <f>'Opex summary'!P90/1000</f>
        <v>6598.7625680949504</v>
      </c>
      <c r="AD13" s="408">
        <f>'Opex summary'!Q90/1000</f>
        <v>5815.1976749371597</v>
      </c>
      <c r="AE13" s="408">
        <f>'Opex summary'!R90/1000</f>
        <v>5463.5967352935404</v>
      </c>
      <c r="AF13" s="408">
        <f>'Opex summary'!S90/1000</f>
        <v>5571.4114346058504</v>
      </c>
      <c r="AG13" s="408">
        <f>SUM(AB13:AF13)</f>
        <v>28896.421072944584</v>
      </c>
      <c r="AH13" s="381"/>
    </row>
    <row r="14" spans="1:34" ht="14.65" customHeight="1" x14ac:dyDescent="0.2">
      <c r="A14" s="398"/>
      <c r="B14" s="488"/>
      <c r="C14" s="488"/>
      <c r="D14" s="510"/>
      <c r="E14" s="552" t="s">
        <v>419</v>
      </c>
      <c r="F14" s="381"/>
      <c r="G14" s="408">
        <f>'Historical opex'!H66/1000</f>
        <v>0</v>
      </c>
      <c r="H14" s="408">
        <f>'Historical opex'!I66/1000</f>
        <v>56.568088620646634</v>
      </c>
      <c r="I14" s="408">
        <f>'Historical opex'!J66/1000</f>
        <v>862.9375600726097</v>
      </c>
      <c r="J14" s="408">
        <f>'Historical opex'!K66/1000</f>
        <v>869.69143616122312</v>
      </c>
      <c r="K14" s="408">
        <f>'Historical opex'!L66/1000</f>
        <v>1656.7499173832148</v>
      </c>
      <c r="L14" s="408">
        <f>'Opex summary'!M65/1000</f>
        <v>2349.1587000000004</v>
      </c>
      <c r="M14" s="408">
        <f>'Opex summary'!N65/1000</f>
        <v>3064.6587000000004</v>
      </c>
      <c r="N14" s="408">
        <f>'Opex summary'!O65/1000</f>
        <v>3465.3138200000003</v>
      </c>
      <c r="O14" s="408">
        <f>'Opex summary'!P65/1000</f>
        <v>3304.4963000000002</v>
      </c>
      <c r="P14" s="408">
        <f>'Opex summary'!Q65/1000</f>
        <v>3477.4963000000002</v>
      </c>
      <c r="Q14" s="408">
        <f>'Opex summary'!R65/1000</f>
        <v>3418.1834700000004</v>
      </c>
      <c r="R14" s="408">
        <f>'Opex summary'!S65/1000</f>
        <v>3366.6834700000004</v>
      </c>
      <c r="S14" s="408">
        <f>SUM(N14:R14)</f>
        <v>17032.173360000001</v>
      </c>
      <c r="T14" s="381"/>
      <c r="U14" s="408">
        <f>'Historical opex'!H104/1000</f>
        <v>0</v>
      </c>
      <c r="V14" s="408">
        <f>'Historical opex'!I104/1000</f>
        <v>53.319589999999998</v>
      </c>
      <c r="W14" s="408">
        <f>'Historical opex'!J104/1000</f>
        <v>822.19018000000005</v>
      </c>
      <c r="X14" s="408">
        <f>'Historical opex'!K104/1000</f>
        <v>841.74282100000005</v>
      </c>
      <c r="Y14" s="408">
        <f>'Historical opex'!L104/1000</f>
        <v>1630.6617219999998</v>
      </c>
      <c r="Z14" s="408">
        <f>'Opex summary'!M91/1000</f>
        <v>2349.1587000000004</v>
      </c>
      <c r="AA14" s="408">
        <f>'Opex summary'!N91/1000</f>
        <v>3108.940922713055</v>
      </c>
      <c r="AB14" s="408">
        <f>'Opex summary'!O91/1000</f>
        <v>3566.4930909339455</v>
      </c>
      <c r="AC14" s="408">
        <f>'Opex summary'!P91/1000</f>
        <v>3457.3197358447092</v>
      </c>
      <c r="AD14" s="408">
        <f>'Opex summary'!Q91/1000</f>
        <v>3700.4636467971959</v>
      </c>
      <c r="AE14" s="408">
        <f>'Opex summary'!R91/1000</f>
        <v>3709.1214098220721</v>
      </c>
      <c r="AF14" s="408">
        <f>'Opex summary'!S91/1000</f>
        <v>3725.3283770125449</v>
      </c>
      <c r="AG14" s="408">
        <f>SUM(AB14:AF14)</f>
        <v>18158.726260410465</v>
      </c>
      <c r="AH14" s="381"/>
    </row>
    <row r="15" spans="1:34" ht="14.65" customHeight="1" x14ac:dyDescent="0.2">
      <c r="A15" s="398"/>
      <c r="B15" s="488"/>
      <c r="C15" s="488"/>
      <c r="D15" s="510"/>
      <c r="E15" s="552" t="s">
        <v>420</v>
      </c>
      <c r="F15" s="381"/>
      <c r="G15" s="408">
        <f>'Historical opex'!H67/1000</f>
        <v>619.03801348106197</v>
      </c>
      <c r="H15" s="408">
        <f>'Historical opex'!I67/1000</f>
        <v>561.071922982057</v>
      </c>
      <c r="I15" s="408">
        <f>'Historical opex'!J67/1000</f>
        <v>732.33103215355504</v>
      </c>
      <c r="J15" s="408">
        <f>'Historical opex'!K67/1000</f>
        <v>780.66274523327604</v>
      </c>
      <c r="K15" s="408">
        <f>'Historical opex'!L67/1000</f>
        <v>753.42886634661295</v>
      </c>
      <c r="L15" s="408">
        <f>'Opex summary'!M66/1000</f>
        <v>148.00906763347587</v>
      </c>
      <c r="M15" s="408">
        <f>'Opex summary'!N66/1000</f>
        <v>240.75789296684857</v>
      </c>
      <c r="N15" s="408">
        <f>'Opex summary'!O66/1000</f>
        <v>282.88879251821237</v>
      </c>
      <c r="O15" s="408">
        <f>'Opex summary'!P66/1000</f>
        <v>299.34719838141137</v>
      </c>
      <c r="P15" s="408">
        <f>'Opex summary'!Q66/1000</f>
        <v>300.92663820791199</v>
      </c>
      <c r="Q15" s="408">
        <f>'Opex summary'!R66/1000</f>
        <v>507.11747283977826</v>
      </c>
      <c r="R15" s="408">
        <f>'Opex summary'!S66/1000</f>
        <v>524.95218469858071</v>
      </c>
      <c r="S15" s="408">
        <f>SUM(N15:R15)</f>
        <v>1915.2322866458949</v>
      </c>
      <c r="T15" s="381"/>
      <c r="U15" s="408">
        <f>'Historical opex'!H105/1000</f>
        <v>581.54476956299709</v>
      </c>
      <c r="V15" s="408">
        <f>'Historical opex'!I105/1000</f>
        <v>528.8516126916802</v>
      </c>
      <c r="W15" s="408">
        <f>'Historical opex'!J105/1000</f>
        <v>697.75081188406466</v>
      </c>
      <c r="X15" s="408">
        <f>'Historical opex'!K105/1000</f>
        <v>755.57517770066431</v>
      </c>
      <c r="Y15" s="408">
        <f>'Historical opex'!L105/1000</f>
        <v>741.56491556781953</v>
      </c>
      <c r="Z15" s="408">
        <f>'Opex summary'!M92/1000</f>
        <v>148.00906763347587</v>
      </c>
      <c r="AA15" s="408">
        <f>'Opex summary'!N92/1000</f>
        <v>243.39622326261298</v>
      </c>
      <c r="AB15" s="408">
        <f>'Opex summary'!O92/1000</f>
        <v>289.45330393749424</v>
      </c>
      <c r="AC15" s="408">
        <f>'Opex summary'!P92/1000</f>
        <v>309.4257954857207</v>
      </c>
      <c r="AD15" s="408">
        <f>'Opex summary'!Q92/1000</f>
        <v>316.21429423544873</v>
      </c>
      <c r="AE15" s="408">
        <f>'Opex summary'!R92/1000</f>
        <v>541.85893046841022</v>
      </c>
      <c r="AF15" s="408">
        <f>'Opex summary'!S92/1000</f>
        <v>570.36675623624353</v>
      </c>
      <c r="AG15" s="408">
        <f>SUM(AB15:AF15)</f>
        <v>2027.3190803633174</v>
      </c>
      <c r="AH15" s="381"/>
    </row>
    <row r="16" spans="1:34" x14ac:dyDescent="0.2">
      <c r="A16" s="398"/>
      <c r="B16" s="488"/>
      <c r="C16" s="488"/>
      <c r="D16" s="510"/>
      <c r="E16" s="539" t="s">
        <v>421</v>
      </c>
      <c r="F16" s="381"/>
      <c r="G16" s="408">
        <f>'Historical opex'!H68/1000</f>
        <v>4786.6847416017999</v>
      </c>
      <c r="H16" s="408">
        <f>'Historical opex'!I68/1000</f>
        <v>5603.0920307310626</v>
      </c>
      <c r="I16" s="408">
        <f>'Historical opex'!J68/1000</f>
        <v>6164.4828953957212</v>
      </c>
      <c r="J16" s="408">
        <f>'Historical opex'!K68/1000</f>
        <v>4394.9771684236566</v>
      </c>
      <c r="K16" s="408">
        <f>'Historical opex'!L68/1000</f>
        <v>3306.7766412579986</v>
      </c>
      <c r="L16" s="408">
        <f>'Opex summary'!M67/1000</f>
        <v>2836.8889357454855</v>
      </c>
      <c r="M16" s="408">
        <f>'Opex summary'!N67/1000</f>
        <v>2847.867997873077</v>
      </c>
      <c r="N16" s="408">
        <f>'Opex summary'!O67/1000</f>
        <v>2824.1477979987812</v>
      </c>
      <c r="O16" s="408">
        <f>'Opex summary'!P67/1000</f>
        <v>2923.2315119063751</v>
      </c>
      <c r="P16" s="408">
        <f>'Opex summary'!Q67/1000</f>
        <v>2928.8275974573089</v>
      </c>
      <c r="Q16" s="408">
        <f>'Opex summary'!R67/1000</f>
        <v>2899.6153412175918</v>
      </c>
      <c r="R16" s="408">
        <f>'Opex summary'!S67/1000</f>
        <v>2923.0963336242321</v>
      </c>
      <c r="S16" s="408">
        <f>SUM(N16:R16)</f>
        <v>14498.918582204289</v>
      </c>
      <c r="T16" s="381"/>
      <c r="U16" s="408">
        <f>'Historical opex'!H106/1000</f>
        <v>4496.7698499999988</v>
      </c>
      <c r="V16" s="408">
        <f>'Historical opex'!I106/1000</f>
        <v>5281.3269300000011</v>
      </c>
      <c r="W16" s="408">
        <f>'Historical opex'!J106/1000</f>
        <v>5873.3998099999999</v>
      </c>
      <c r="X16" s="408">
        <f>'Historical opex'!K106/1000</f>
        <v>4253.7391150000003</v>
      </c>
      <c r="Y16" s="408">
        <f>'Historical opex'!L106/1000</f>
        <v>3254.7061179999996</v>
      </c>
      <c r="Z16" s="408">
        <f>'Opex summary'!M93/1000</f>
        <v>2836.8889357454855</v>
      </c>
      <c r="AA16" s="408">
        <f>'Opex summary'!N93/1000</f>
        <v>2879.0761810172994</v>
      </c>
      <c r="AB16" s="408">
        <f>'Opex summary'!O93/1000</f>
        <v>2889.6829162502731</v>
      </c>
      <c r="AC16" s="408">
        <f>'Opex summary'!P93/1000</f>
        <v>3021.6525855306768</v>
      </c>
      <c r="AD16" s="408">
        <f>'Opex summary'!Q93/1000</f>
        <v>3077.617711687572</v>
      </c>
      <c r="AE16" s="408">
        <f>'Opex summary'!R93/1000</f>
        <v>3098.261353062011</v>
      </c>
      <c r="AF16" s="408">
        <f>'Opex summary'!S93/1000</f>
        <v>3175.9787321060694</v>
      </c>
      <c r="AG16" s="408">
        <f>SUM(AB16:AF16)</f>
        <v>15263.193298636601</v>
      </c>
      <c r="AH16" s="381"/>
    </row>
    <row r="17" spans="1:34" ht="15" thickBot="1" x14ac:dyDescent="0.25">
      <c r="A17" s="398"/>
      <c r="B17" s="488"/>
      <c r="C17" s="488"/>
      <c r="D17" s="529" t="s">
        <v>503</v>
      </c>
      <c r="E17" s="541"/>
      <c r="F17" s="455"/>
      <c r="G17" s="553"/>
      <c r="H17" s="553"/>
      <c r="I17" s="553"/>
      <c r="J17" s="553"/>
      <c r="K17" s="553"/>
      <c r="L17" s="553"/>
      <c r="M17" s="553"/>
      <c r="N17" s="553"/>
      <c r="O17" s="553"/>
      <c r="P17" s="553"/>
      <c r="Q17" s="553"/>
      <c r="R17" s="553"/>
      <c r="S17" s="553"/>
      <c r="T17" s="381"/>
      <c r="U17" s="553"/>
      <c r="V17" s="553"/>
      <c r="W17" s="553"/>
      <c r="X17" s="553"/>
      <c r="Y17" s="553"/>
      <c r="Z17" s="553"/>
      <c r="AA17" s="553"/>
      <c r="AB17" s="553"/>
      <c r="AC17" s="599"/>
      <c r="AD17" s="599"/>
      <c r="AE17" s="599"/>
      <c r="AF17" s="553"/>
      <c r="AG17" s="553"/>
      <c r="AH17" s="381"/>
    </row>
    <row r="18" spans="1:34" s="494" customFormat="1" ht="15.75" thickBot="1" x14ac:dyDescent="0.3">
      <c r="A18" s="490"/>
      <c r="B18" s="504"/>
      <c r="C18" s="564" t="s">
        <v>503</v>
      </c>
      <c r="D18" s="548"/>
      <c r="E18" s="600" t="str">
        <f>CONCATENATE("Total"," ",C12)</f>
        <v>Total Business support</v>
      </c>
      <c r="F18" s="419"/>
      <c r="G18" s="496">
        <f>SUM(G13:G16)</f>
        <v>5928.2560314927596</v>
      </c>
      <c r="H18" s="496">
        <f t="shared" ref="H18:S18" si="2">SUM(H13:H16)</f>
        <v>6384.1209184394475</v>
      </c>
      <c r="I18" s="496">
        <f t="shared" si="2"/>
        <v>7919.3126892849832</v>
      </c>
      <c r="J18" s="496">
        <f t="shared" si="2"/>
        <v>9719.9588432416458</v>
      </c>
      <c r="K18" s="496">
        <f t="shared" si="2"/>
        <v>13377.045360881202</v>
      </c>
      <c r="L18" s="496">
        <f t="shared" si="2"/>
        <v>15095.413912937856</v>
      </c>
      <c r="M18" s="496">
        <f t="shared" si="2"/>
        <v>14599.102404354137</v>
      </c>
      <c r="N18" s="496">
        <f t="shared" si="2"/>
        <v>11865.262104226684</v>
      </c>
      <c r="O18" s="496">
        <f t="shared" si="2"/>
        <v>12834.153370664142</v>
      </c>
      <c r="P18" s="496">
        <f t="shared" si="2"/>
        <v>12172.059902422625</v>
      </c>
      <c r="Q18" s="496">
        <f t="shared" si="2"/>
        <v>11859.956657195822</v>
      </c>
      <c r="R18" s="496">
        <f t="shared" si="2"/>
        <v>11849.772361461266</v>
      </c>
      <c r="S18" s="496">
        <f t="shared" si="2"/>
        <v>60581.204395970533</v>
      </c>
      <c r="T18" s="419"/>
      <c r="U18" s="496">
        <f t="shared" ref="U18:Z18" si="3">SUM(U13:U16)</f>
        <v>5569.1996495629955</v>
      </c>
      <c r="V18" s="496">
        <f t="shared" si="3"/>
        <v>6017.5041826916813</v>
      </c>
      <c r="W18" s="496">
        <f t="shared" si="3"/>
        <v>7545.3676218840646</v>
      </c>
      <c r="X18" s="496">
        <f t="shared" si="3"/>
        <v>9407.595885763556</v>
      </c>
      <c r="Y18" s="496">
        <f t="shared" si="3"/>
        <v>13166.402240055821</v>
      </c>
      <c r="Z18" s="496">
        <f t="shared" si="3"/>
        <v>15095.413912937856</v>
      </c>
      <c r="AA18" s="496">
        <f t="shared" ref="AA18:AG18" si="4">SUM(AA13:AA16)</f>
        <v>14799.267432969997</v>
      </c>
      <c r="AB18" s="496">
        <f t="shared" si="4"/>
        <v>12193.081971134794</v>
      </c>
      <c r="AC18" s="496">
        <f t="shared" si="4"/>
        <v>13387.160684956058</v>
      </c>
      <c r="AD18" s="496">
        <f t="shared" si="4"/>
        <v>12909.493327657376</v>
      </c>
      <c r="AE18" s="496">
        <f t="shared" si="4"/>
        <v>12812.838428646033</v>
      </c>
      <c r="AF18" s="496">
        <f t="shared" si="4"/>
        <v>13043.085299960709</v>
      </c>
      <c r="AG18" s="496">
        <f t="shared" si="4"/>
        <v>64345.659712354973</v>
      </c>
      <c r="AH18" s="419"/>
    </row>
    <row r="19" spans="1:34" ht="15" x14ac:dyDescent="0.25">
      <c r="A19" s="398"/>
      <c r="B19" s="488"/>
      <c r="C19" s="540"/>
      <c r="D19" s="381"/>
      <c r="E19" s="605"/>
      <c r="F19" s="423"/>
      <c r="G19" s="467"/>
      <c r="H19" s="467"/>
      <c r="I19" s="467"/>
      <c r="J19" s="467"/>
      <c r="K19" s="467"/>
      <c r="L19" s="467"/>
      <c r="M19" s="467"/>
      <c r="N19" s="467"/>
      <c r="O19" s="467"/>
      <c r="P19" s="467"/>
      <c r="Q19" s="467"/>
      <c r="R19" s="467"/>
      <c r="S19" s="467"/>
      <c r="T19" s="423"/>
      <c r="U19" s="467"/>
      <c r="V19" s="467"/>
      <c r="W19" s="467"/>
      <c r="X19" s="467"/>
      <c r="Y19" s="467"/>
      <c r="Z19" s="467"/>
      <c r="AA19" s="467"/>
      <c r="AB19" s="467"/>
      <c r="AC19" s="467"/>
      <c r="AD19" s="467"/>
      <c r="AE19" s="467"/>
      <c r="AF19" s="467"/>
      <c r="AG19" s="467"/>
      <c r="AH19" s="423"/>
    </row>
    <row r="20" spans="1:34" ht="15.75" thickBot="1" x14ac:dyDescent="0.3">
      <c r="A20" s="398"/>
      <c r="B20" s="488"/>
      <c r="C20" s="540"/>
      <c r="D20" s="381"/>
      <c r="E20" s="605"/>
      <c r="F20" s="423"/>
      <c r="G20" s="467"/>
      <c r="H20" s="467"/>
      <c r="I20" s="467"/>
      <c r="J20" s="467"/>
      <c r="K20" s="467"/>
      <c r="L20" s="467"/>
      <c r="M20" s="467"/>
      <c r="N20" s="467"/>
      <c r="O20" s="467"/>
      <c r="P20" s="467"/>
      <c r="Q20" s="467"/>
      <c r="R20" s="467"/>
      <c r="S20" s="467"/>
      <c r="T20" s="423"/>
      <c r="U20" s="467"/>
      <c r="V20" s="467"/>
      <c r="W20" s="467"/>
      <c r="X20" s="467"/>
      <c r="Y20" s="467"/>
      <c r="Z20" s="467"/>
      <c r="AA20" s="467"/>
      <c r="AB20" s="467"/>
      <c r="AC20" s="467"/>
      <c r="AD20" s="467"/>
      <c r="AE20" s="467"/>
      <c r="AF20" s="467"/>
      <c r="AG20" s="467"/>
      <c r="AH20" s="423"/>
    </row>
    <row r="21" spans="1:34" s="494" customFormat="1" ht="15.75" thickBot="1" x14ac:dyDescent="0.3">
      <c r="A21" s="490"/>
      <c r="B21" s="504"/>
      <c r="C21" s="564"/>
      <c r="D21" s="548"/>
      <c r="E21" s="605" t="s">
        <v>696</v>
      </c>
      <c r="F21" s="419"/>
      <c r="G21" s="496">
        <f t="shared" ref="G21:S21" si="5">G10+G18</f>
        <v>10033.80334722047</v>
      </c>
      <c r="H21" s="496">
        <f t="shared" si="5"/>
        <v>10355.508785195387</v>
      </c>
      <c r="I21" s="496">
        <f t="shared" si="5"/>
        <v>11977.474594901552</v>
      </c>
      <c r="J21" s="496">
        <f t="shared" si="5"/>
        <v>20756.964018414044</v>
      </c>
      <c r="K21" s="496">
        <f t="shared" si="5"/>
        <v>26415.232215163902</v>
      </c>
      <c r="L21" s="496">
        <f t="shared" si="5"/>
        <v>30132.617540158506</v>
      </c>
      <c r="M21" s="496">
        <f t="shared" si="5"/>
        <v>30341.517096622134</v>
      </c>
      <c r="N21" s="496">
        <f t="shared" si="5"/>
        <v>22967.92396429638</v>
      </c>
      <c r="O21" s="496">
        <f t="shared" si="5"/>
        <v>25379.26386855395</v>
      </c>
      <c r="P21" s="496">
        <f t="shared" si="5"/>
        <v>23405.016462231673</v>
      </c>
      <c r="Q21" s="496">
        <f t="shared" si="5"/>
        <v>22728.274621480374</v>
      </c>
      <c r="R21" s="496">
        <f t="shared" si="5"/>
        <v>22334.221352492619</v>
      </c>
      <c r="S21" s="496">
        <f t="shared" si="5"/>
        <v>116814.700269055</v>
      </c>
      <c r="T21" s="419"/>
      <c r="U21" s="496">
        <f t="shared" ref="U21:AG21" si="6">U10+U18</f>
        <v>9426.0864895629984</v>
      </c>
      <c r="V21" s="496">
        <f t="shared" si="6"/>
        <v>9760.82975634584</v>
      </c>
      <c r="W21" s="496">
        <f t="shared" si="6"/>
        <v>11411.905621884067</v>
      </c>
      <c r="X21" s="496">
        <f t="shared" si="6"/>
        <v>20089.91318274448</v>
      </c>
      <c r="Y21" s="496">
        <f t="shared" si="6"/>
        <v>25999.28184637762</v>
      </c>
      <c r="Z21" s="496">
        <f t="shared" si="6"/>
        <v>30132.617540158506</v>
      </c>
      <c r="AA21" s="496">
        <f t="shared" si="6"/>
        <v>30771.406481482049</v>
      </c>
      <c r="AB21" s="496">
        <f t="shared" si="6"/>
        <v>23623.649228833208</v>
      </c>
      <c r="AC21" s="496">
        <f t="shared" si="6"/>
        <v>26520.153122434476</v>
      </c>
      <c r="AD21" s="496">
        <f t="shared" si="6"/>
        <v>24867.637216403906</v>
      </c>
      <c r="AE21" s="496">
        <f t="shared" si="6"/>
        <v>24610.797351116307</v>
      </c>
      <c r="AF21" s="496">
        <f t="shared" si="6"/>
        <v>24649.775720689606</v>
      </c>
      <c r="AG21" s="496">
        <f t="shared" si="6"/>
        <v>124272.0126394775</v>
      </c>
      <c r="AH21" s="419"/>
    </row>
    <row r="22" spans="1:34" ht="14.65" customHeight="1" x14ac:dyDescent="0.2">
      <c r="A22" s="381"/>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row>
    <row r="23" spans="1:34" x14ac:dyDescent="0.2">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row>
    <row r="24" spans="1:34" x14ac:dyDescent="0.2">
      <c r="E24" s="391" t="s">
        <v>697</v>
      </c>
      <c r="G24" s="393">
        <f>IF(ABS(G21-('Historical opex'!H23/1000))&lt;1,0,1)</f>
        <v>0</v>
      </c>
      <c r="H24" s="393">
        <f>IF(ABS(H21-('Historical opex'!I23/1000))&lt;1,0,1)</f>
        <v>0</v>
      </c>
      <c r="I24" s="393">
        <f>IF(ABS(I21-('Historical opex'!J23/1000))&lt;1,0,1)</f>
        <v>0</v>
      </c>
      <c r="J24" s="393">
        <f>IF(ABS(J21-('Historical opex'!K23/1000))&lt;1,0,1)</f>
        <v>0</v>
      </c>
      <c r="K24" s="393">
        <f>IF(ABS(K21-('Historical opex'!L23/1000))&lt;1,0,1)</f>
        <v>0</v>
      </c>
      <c r="L24" s="393">
        <f>L21-'Opex summary'!M27/1000</f>
        <v>0</v>
      </c>
      <c r="M24" s="393">
        <f>M21-'Opex summary'!N27/1000</f>
        <v>0</v>
      </c>
      <c r="N24" s="393">
        <f>N21-'Opex summary'!O27/1000</f>
        <v>0</v>
      </c>
      <c r="O24" s="393">
        <f>O21-'Opex summary'!P27/1000</f>
        <v>0</v>
      </c>
      <c r="P24" s="393">
        <f>P21-'Opex summary'!Q27/1000</f>
        <v>0</v>
      </c>
      <c r="Q24" s="393">
        <f>Q21-'Opex summary'!R27/1000</f>
        <v>0</v>
      </c>
      <c r="R24" s="393">
        <f>R21-'Opex summary'!S27/1000</f>
        <v>0</v>
      </c>
      <c r="S24" s="393"/>
      <c r="U24" s="393">
        <f>IF(ABS(U21-'Historical opex'!H37/1000)&lt;1,0,1)</f>
        <v>0</v>
      </c>
      <c r="V24" s="393">
        <f>IF(ABS(V21-'Historical opex'!I37/1000)&lt;1,0,1)</f>
        <v>0</v>
      </c>
      <c r="W24" s="393">
        <f>IF(ABS(W21-'Historical opex'!J37/1000)&lt;1,0,1)</f>
        <v>0</v>
      </c>
      <c r="X24" s="393">
        <f>IF(ABS(X21-'Historical opex'!K37/1000)&lt;1,0,1)</f>
        <v>0</v>
      </c>
      <c r="Y24" s="393">
        <f>IF(ABS(Y21-'Historical opex'!L37/1000)&lt;1,0,1)</f>
        <v>0</v>
      </c>
      <c r="Z24" s="393">
        <f>Z21-'Opex summary'!M43/1000</f>
        <v>0</v>
      </c>
      <c r="AA24" s="393">
        <f>AA21-'Opex summary'!N43/1000</f>
        <v>0</v>
      </c>
      <c r="AB24" s="393">
        <f>AB21-'Opex summary'!O43/1000</f>
        <v>0</v>
      </c>
      <c r="AC24" s="393">
        <f>AC21-'Opex summary'!P43/1000</f>
        <v>0</v>
      </c>
      <c r="AD24" s="393">
        <f>AD21-'Opex summary'!Q43/1000</f>
        <v>0</v>
      </c>
      <c r="AE24" s="393">
        <f>AE21-'Opex summary'!R43/1000</f>
        <v>0</v>
      </c>
      <c r="AF24" s="393">
        <f>AF21-'Opex summary'!S43/1000</f>
        <v>0</v>
      </c>
    </row>
    <row r="45" ht="14.65" customHeight="1" x14ac:dyDescent="0.2"/>
    <row r="59" ht="14.65" customHeight="1" x14ac:dyDescent="0.2"/>
    <row r="66" ht="14.65" customHeight="1" x14ac:dyDescent="0.2"/>
    <row r="71" ht="14.65" customHeight="1" x14ac:dyDescent="0.2"/>
    <row r="84" ht="14.65" customHeight="1" x14ac:dyDescent="0.2"/>
    <row r="85" ht="14.65" customHeight="1" x14ac:dyDescent="0.2"/>
  </sheetData>
  <sheetProtection algorithmName="SHA-512" hashValue="9x/Z7iimxIvsBD6cA7mPsuaiXw51ub/M0zR2Edov/59kN4Wiwns8CEEbCBPVEhoYZt/zI+d7rcvk+pHYQuqgdg==" saltValue="mHFP4Yx8gKdd9zleF2UMJw==" spinCount="100000" sheet="1" objects="1" scenarios="1"/>
  <mergeCells count="8">
    <mergeCell ref="G2:S2"/>
    <mergeCell ref="U2:AG2"/>
    <mergeCell ref="G3:K3"/>
    <mergeCell ref="L3:M3"/>
    <mergeCell ref="N3:R3"/>
    <mergeCell ref="U3:Y3"/>
    <mergeCell ref="Z3:AA3"/>
    <mergeCell ref="AB3:AF3"/>
  </mergeCells>
  <conditionalFormatting sqref="G24:R24">
    <cfRule type="cellIs" dxfId="7" priority="5" stopIfTrue="1" operator="equal">
      <formula>0</formula>
    </cfRule>
    <cfRule type="cellIs" dxfId="6" priority="6" stopIfTrue="1" operator="notEqual">
      <formula>0</formula>
    </cfRule>
  </conditionalFormatting>
  <conditionalFormatting sqref="S24">
    <cfRule type="cellIs" dxfId="5" priority="3" stopIfTrue="1" operator="equal">
      <formula>0</formula>
    </cfRule>
    <cfRule type="cellIs" dxfId="4" priority="4" stopIfTrue="1" operator="notEqual">
      <formula>0</formula>
    </cfRule>
  </conditionalFormatting>
  <conditionalFormatting sqref="U24:AF24">
    <cfRule type="cellIs" dxfId="3" priority="1" stopIfTrue="1" operator="equal">
      <formula>0</formula>
    </cfRule>
    <cfRule type="cellIs" dxfId="2" priority="2" stopIfTrue="1" operator="notEqual">
      <formula>0</formula>
    </cfRule>
  </conditionalFormatting>
  <dataValidations disablePrompts="1" count="1">
    <dataValidation allowBlank="1" showInputMessage="1" showErrorMessage="1" prompt="Please enter text" sqref="E7:E8 E13:E16" xr:uid="{00000000-0002-0000-0800-000000000000}"/>
  </dataValidations>
  <pageMargins left="0.70866141732283472" right="0.70866141732283472" top="0.74803149606299213" bottom="0.74803149606299213" header="0.31496062992125984" footer="0.31496062992125984"/>
  <pageSetup paperSize="9" scale="65" orientation="landscape" r:id="rId1"/>
  <headerFooter>
    <oddFooter>&amp;A</oddFooter>
  </headerFooter>
  <colBreaks count="1" manualBreakCount="1">
    <brk id="20"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A2:N118"/>
  <sheetViews>
    <sheetView showGridLines="0" zoomScale="96" zoomScaleNormal="96" workbookViewId="0"/>
  </sheetViews>
  <sheetFormatPr defaultColWidth="0" defaultRowHeight="14.25" x14ac:dyDescent="0.2"/>
  <cols>
    <col min="1" max="1" width="2.75" style="479" customWidth="1"/>
    <col min="2" max="2" width="3.25" style="479" customWidth="1"/>
    <col min="3" max="3" width="33.75" style="479" customWidth="1"/>
    <col min="4" max="4" width="3.5" style="479" customWidth="1"/>
    <col min="5" max="12" width="8.625" style="479" customWidth="1"/>
    <col min="13" max="13" width="4.25" style="479" customWidth="1"/>
    <col min="14" max="14" width="2.75" style="479" customWidth="1"/>
    <col min="15" max="16384" width="8.125" style="479" hidden="1"/>
  </cols>
  <sheetData>
    <row r="2" spans="2:13" ht="13.35" customHeight="1" x14ac:dyDescent="0.2">
      <c r="B2" s="615"/>
      <c r="C2" s="615"/>
      <c r="D2" s="615"/>
      <c r="E2" s="615"/>
      <c r="F2" s="615"/>
      <c r="G2" s="615"/>
      <c r="H2" s="615"/>
      <c r="I2" s="615"/>
      <c r="J2" s="615"/>
      <c r="K2" s="615"/>
      <c r="L2" s="615"/>
      <c r="M2" s="615"/>
    </row>
    <row r="3" spans="2:13" ht="30.75" customHeight="1" x14ac:dyDescent="0.2">
      <c r="B3" s="615"/>
      <c r="C3" s="616" t="s">
        <v>698</v>
      </c>
      <c r="D3" s="615"/>
      <c r="E3" s="615"/>
      <c r="F3" s="615"/>
      <c r="G3" s="615"/>
      <c r="H3" s="615"/>
      <c r="I3" s="615"/>
      <c r="J3" s="615"/>
      <c r="K3" s="615"/>
      <c r="L3" s="615"/>
      <c r="M3" s="615"/>
    </row>
    <row r="4" spans="2:13" ht="18" customHeight="1" x14ac:dyDescent="0.2">
      <c r="B4" s="615"/>
      <c r="C4" s="617" t="s">
        <v>699</v>
      </c>
      <c r="D4" s="615"/>
      <c r="E4" s="615"/>
      <c r="F4" s="615"/>
      <c r="G4" s="615"/>
      <c r="H4" s="615"/>
      <c r="I4" s="615"/>
      <c r="J4" s="615"/>
      <c r="K4" s="615"/>
      <c r="L4" s="615"/>
      <c r="M4" s="615"/>
    </row>
    <row r="5" spans="2:13" ht="17.850000000000001" customHeight="1" x14ac:dyDescent="0.2">
      <c r="B5" s="615"/>
      <c r="C5" s="617" t="s">
        <v>700</v>
      </c>
      <c r="D5" s="615"/>
      <c r="E5" s="615"/>
      <c r="F5" s="615"/>
      <c r="G5" s="615"/>
      <c r="H5" s="615"/>
      <c r="I5" s="615"/>
      <c r="J5" s="615"/>
      <c r="K5" s="615"/>
      <c r="L5" s="615"/>
      <c r="M5" s="615"/>
    </row>
    <row r="6" spans="2:13" ht="20.85" customHeight="1" thickBot="1" x14ac:dyDescent="0.25">
      <c r="B6" s="488"/>
      <c r="C6" s="488"/>
      <c r="D6" s="488"/>
      <c r="E6" s="488"/>
      <c r="F6" s="488"/>
      <c r="G6" s="488"/>
      <c r="H6" s="488"/>
      <c r="I6" s="488"/>
      <c r="J6" s="488"/>
      <c r="K6" s="488"/>
      <c r="L6" s="488"/>
      <c r="M6" s="529"/>
    </row>
    <row r="7" spans="2:13" ht="21" customHeight="1" thickBot="1" x14ac:dyDescent="0.25">
      <c r="B7" s="381"/>
      <c r="C7" s="618" t="s">
        <v>701</v>
      </c>
      <c r="D7" s="381"/>
      <c r="E7" s="699" t="s">
        <v>676</v>
      </c>
      <c r="F7" s="700"/>
      <c r="G7" s="700"/>
      <c r="H7" s="700"/>
      <c r="I7" s="700"/>
      <c r="J7" s="700"/>
      <c r="K7" s="700"/>
      <c r="L7" s="701"/>
      <c r="M7" s="529"/>
    </row>
    <row r="8" spans="2:13" ht="14.85" customHeight="1" x14ac:dyDescent="0.2">
      <c r="B8" s="381"/>
      <c r="C8" s="690" t="s">
        <v>503</v>
      </c>
      <c r="D8" s="381"/>
      <c r="E8" s="686" t="s">
        <v>577</v>
      </c>
      <c r="F8" s="687"/>
      <c r="G8" s="688" t="s">
        <v>578</v>
      </c>
      <c r="H8" s="688"/>
      <c r="I8" s="688"/>
      <c r="J8" s="688"/>
      <c r="K8" s="688"/>
      <c r="L8" s="715" t="s">
        <v>628</v>
      </c>
      <c r="M8" s="529"/>
    </row>
    <row r="9" spans="2:13" ht="14.85" customHeight="1" x14ac:dyDescent="0.2">
      <c r="B9" s="398"/>
      <c r="C9" s="690"/>
      <c r="D9" s="579" t="str">
        <f>IF(ISNUMBER(#REF!),"for year ended","")</f>
        <v/>
      </c>
      <c r="E9" s="585" t="s">
        <v>586</v>
      </c>
      <c r="F9" s="584" t="s">
        <v>587</v>
      </c>
      <c r="G9" s="585" t="s">
        <v>588</v>
      </c>
      <c r="H9" s="583" t="s">
        <v>589</v>
      </c>
      <c r="I9" s="583" t="s">
        <v>590</v>
      </c>
      <c r="J9" s="583" t="s">
        <v>591</v>
      </c>
      <c r="K9" s="584" t="s">
        <v>592</v>
      </c>
      <c r="L9" s="716"/>
      <c r="M9" s="572"/>
    </row>
    <row r="10" spans="2:13" ht="14.85" customHeight="1" x14ac:dyDescent="0.2">
      <c r="B10" s="398"/>
      <c r="C10" s="537"/>
      <c r="D10" s="381"/>
      <c r="E10" s="510"/>
      <c r="F10" s="510"/>
      <c r="G10" s="510"/>
      <c r="H10" s="510"/>
      <c r="I10" s="510"/>
      <c r="J10" s="510"/>
      <c r="K10" s="510"/>
      <c r="L10" s="510"/>
      <c r="M10" s="529"/>
    </row>
    <row r="11" spans="2:13" ht="14.85" customHeight="1" x14ac:dyDescent="0.2">
      <c r="B11" s="398"/>
      <c r="C11" s="589" t="s">
        <v>308</v>
      </c>
      <c r="D11" s="381"/>
      <c r="E11" s="408">
        <f>'Commissioned assets summary'!M24/1000</f>
        <v>1042.3994894063649</v>
      </c>
      <c r="F11" s="408">
        <f>'Commissioned assets summary'!N24/1000</f>
        <v>7038.13236611906</v>
      </c>
      <c r="G11" s="408">
        <f>'Commissioned assets summary'!O24/1000</f>
        <v>7048.2718478779689</v>
      </c>
      <c r="H11" s="408">
        <f>'Commissioned assets summary'!P24/1000</f>
        <v>8094.3962125189946</v>
      </c>
      <c r="I11" s="408">
        <f>'Commissioned assets summary'!Q24/1000</f>
        <v>1616.0266499209736</v>
      </c>
      <c r="J11" s="408">
        <f>'Commissioned assets summary'!R24/1000</f>
        <v>479.86797255867157</v>
      </c>
      <c r="K11" s="408">
        <f>'Commissioned assets summary'!S24/1000</f>
        <v>509.32792951859568</v>
      </c>
      <c r="L11" s="408">
        <f t="shared" ref="L11:L19" si="0">SUM(G11:K11)</f>
        <v>17747.890612395204</v>
      </c>
      <c r="M11" s="529"/>
    </row>
    <row r="12" spans="2:13" ht="14.85" customHeight="1" x14ac:dyDescent="0.2">
      <c r="B12" s="398"/>
      <c r="C12" s="589" t="s">
        <v>309</v>
      </c>
      <c r="D12" s="381"/>
      <c r="E12" s="408">
        <f>'Commissioned assets summary'!M25/1000</f>
        <v>46.084956475972113</v>
      </c>
      <c r="F12" s="408">
        <f>'Commissioned assets summary'!N25/1000</f>
        <v>6827.3269512986517</v>
      </c>
      <c r="G12" s="408">
        <f>'Commissioned assets summary'!O25/1000</f>
        <v>542.09029699175721</v>
      </c>
      <c r="H12" s="408">
        <f>'Commissioned assets summary'!P25/1000</f>
        <v>343.44816571380744</v>
      </c>
      <c r="I12" s="408">
        <f>'Commissioned assets summary'!Q25/1000</f>
        <v>2651.6433560275318</v>
      </c>
      <c r="J12" s="408">
        <f>'Commissioned assets summary'!R25/1000</f>
        <v>378.27971284800105</v>
      </c>
      <c r="K12" s="408">
        <f>'Commissioned assets summary'!S25/1000</f>
        <v>6592.9771287385674</v>
      </c>
      <c r="L12" s="408">
        <f t="shared" si="0"/>
        <v>10508.438660319665</v>
      </c>
      <c r="M12" s="529"/>
    </row>
    <row r="13" spans="2:13" ht="14.85" customHeight="1" x14ac:dyDescent="0.2">
      <c r="B13" s="398"/>
      <c r="C13" s="589" t="s">
        <v>310</v>
      </c>
      <c r="D13" s="381"/>
      <c r="E13" s="408">
        <f>'Commissioned assets summary'!M26/1000</f>
        <v>7269.303934169694</v>
      </c>
      <c r="F13" s="408">
        <f>'Commissioned assets summary'!N26/1000</f>
        <v>12484.371951886911</v>
      </c>
      <c r="G13" s="408">
        <f>'Commissioned assets summary'!O26/1000</f>
        <v>16022.293585000418</v>
      </c>
      <c r="H13" s="408">
        <f>'Commissioned assets summary'!P26/1000</f>
        <v>7739.021009981886</v>
      </c>
      <c r="I13" s="408">
        <f>'Commissioned assets summary'!Q26/1000</f>
        <v>14372.296933541707</v>
      </c>
      <c r="J13" s="408">
        <f>'Commissioned assets summary'!R26/1000</f>
        <v>14983.100447833791</v>
      </c>
      <c r="K13" s="408">
        <f>'Commissioned assets summary'!S26/1000</f>
        <v>6637.1162029965308</v>
      </c>
      <c r="L13" s="408">
        <f t="shared" si="0"/>
        <v>59753.828179354328</v>
      </c>
      <c r="M13" s="529"/>
    </row>
    <row r="14" spans="2:13" ht="15" customHeight="1" x14ac:dyDescent="0.2">
      <c r="B14" s="398"/>
      <c r="C14" s="589" t="s">
        <v>311</v>
      </c>
      <c r="D14" s="381"/>
      <c r="E14" s="408">
        <f>'Commissioned assets summary'!M27/1000</f>
        <v>23024.095249756039</v>
      </c>
      <c r="F14" s="408">
        <f>'Commissioned assets summary'!N27/1000</f>
        <v>25664.806990201956</v>
      </c>
      <c r="G14" s="408">
        <f>'Commissioned assets summary'!O27/1000</f>
        <v>29242.009546937534</v>
      </c>
      <c r="H14" s="408">
        <f>'Commissioned assets summary'!P27/1000</f>
        <v>31153.287068811231</v>
      </c>
      <c r="I14" s="408">
        <f>'Commissioned assets summary'!Q27/1000</f>
        <v>30707.486028760562</v>
      </c>
      <c r="J14" s="408">
        <f>'Commissioned assets summary'!R27/1000</f>
        <v>28480.730698377072</v>
      </c>
      <c r="K14" s="408">
        <f>'Commissioned assets summary'!S27/1000</f>
        <v>28109.1537391643</v>
      </c>
      <c r="L14" s="408">
        <f t="shared" si="0"/>
        <v>147692.6670820507</v>
      </c>
      <c r="M14" s="529"/>
    </row>
    <row r="15" spans="2:13" ht="14.85" customHeight="1" x14ac:dyDescent="0.2">
      <c r="B15" s="398"/>
      <c r="C15" s="589" t="s">
        <v>312</v>
      </c>
      <c r="D15" s="381"/>
      <c r="E15" s="408">
        <f>'Commissioned assets summary'!M28/1000</f>
        <v>3965.3731121869282</v>
      </c>
      <c r="F15" s="408">
        <f>'Commissioned assets summary'!N28/1000</f>
        <v>4619.2168687629483</v>
      </c>
      <c r="G15" s="408">
        <f>'Commissioned assets summary'!O28/1000</f>
        <v>5173.0080858924357</v>
      </c>
      <c r="H15" s="408">
        <f>'Commissioned assets summary'!P28/1000</f>
        <v>4678.7362358364344</v>
      </c>
      <c r="I15" s="408">
        <f>'Commissioned assets summary'!Q28/1000</f>
        <v>5256.7457340931469</v>
      </c>
      <c r="J15" s="408">
        <f>'Commissioned assets summary'!R28/1000</f>
        <v>6014.7771672850886</v>
      </c>
      <c r="K15" s="408">
        <f>'Commissioned assets summary'!S28/1000</f>
        <v>5956.7235038831122</v>
      </c>
      <c r="L15" s="408">
        <f t="shared" si="0"/>
        <v>27079.990726990218</v>
      </c>
      <c r="M15" s="529"/>
    </row>
    <row r="16" spans="2:13" ht="14.85" customHeight="1" x14ac:dyDescent="0.2">
      <c r="B16" s="398"/>
      <c r="C16" s="589" t="s">
        <v>313</v>
      </c>
      <c r="D16" s="381"/>
      <c r="E16" s="408">
        <f>'Commissioned assets summary'!M29/1000</f>
        <v>5348.6273033032794</v>
      </c>
      <c r="F16" s="408">
        <f>'Commissioned assets summary'!N29/1000</f>
        <v>4961.1211142285556</v>
      </c>
      <c r="G16" s="408">
        <f>'Commissioned assets summary'!O29/1000</f>
        <v>5434.2141822820395</v>
      </c>
      <c r="H16" s="408">
        <f>'Commissioned assets summary'!P29/1000</f>
        <v>6881.7336633304967</v>
      </c>
      <c r="I16" s="408">
        <f>'Commissioned assets summary'!Q29/1000</f>
        <v>8651.4258710586255</v>
      </c>
      <c r="J16" s="408">
        <f>'Commissioned assets summary'!R29/1000</f>
        <v>9968.7592261246045</v>
      </c>
      <c r="K16" s="408">
        <f>'Commissioned assets summary'!S29/1000</f>
        <v>9908.1695882995809</v>
      </c>
      <c r="L16" s="408">
        <f t="shared" si="0"/>
        <v>40844.302531095353</v>
      </c>
      <c r="M16" s="529"/>
    </row>
    <row r="17" spans="2:13" ht="14.85" customHeight="1" x14ac:dyDescent="0.2">
      <c r="B17" s="398"/>
      <c r="C17" s="589" t="s">
        <v>314</v>
      </c>
      <c r="D17" s="381"/>
      <c r="E17" s="408">
        <f>'Commissioned assets summary'!M30/1000</f>
        <v>3829.1102151846289</v>
      </c>
      <c r="F17" s="408">
        <f>'Commissioned assets summary'!N30/1000</f>
        <v>5027.2500505451626</v>
      </c>
      <c r="G17" s="408">
        <f>'Commissioned assets summary'!O30/1000</f>
        <v>5292.915639652655</v>
      </c>
      <c r="H17" s="408">
        <f>'Commissioned assets summary'!P30/1000</f>
        <v>4938.5074857026702</v>
      </c>
      <c r="I17" s="408">
        <f>'Commissioned assets summary'!Q30/1000</f>
        <v>5115.330860132849</v>
      </c>
      <c r="J17" s="408">
        <f>'Commissioned assets summary'!R30/1000</f>
        <v>6467.0234685311061</v>
      </c>
      <c r="K17" s="408">
        <f>'Commissioned assets summary'!S30/1000</f>
        <v>5200.2804734186439</v>
      </c>
      <c r="L17" s="408">
        <f t="shared" si="0"/>
        <v>27014.057927437927</v>
      </c>
      <c r="M17" s="529"/>
    </row>
    <row r="18" spans="2:13" ht="14.85" customHeight="1" x14ac:dyDescent="0.2">
      <c r="B18" s="398"/>
      <c r="C18" s="589" t="s">
        <v>315</v>
      </c>
      <c r="D18" s="381"/>
      <c r="E18" s="408">
        <f>'Commissioned assets summary'!M31/1000</f>
        <v>7858.7418907693791</v>
      </c>
      <c r="F18" s="408">
        <f>'Commissioned assets summary'!N31/1000</f>
        <v>368.93582725983833</v>
      </c>
      <c r="G18" s="408">
        <f>'Commissioned assets summary'!O31/1000</f>
        <v>904.23322196245772</v>
      </c>
      <c r="H18" s="408">
        <f>'Commissioned assets summary'!P31/1000</f>
        <v>568.39181496076242</v>
      </c>
      <c r="I18" s="408">
        <f>'Commissioned assets summary'!Q31/1000</f>
        <v>895.96454205475197</v>
      </c>
      <c r="J18" s="408">
        <f>'Commissioned assets summary'!R31/1000</f>
        <v>660.77295377654821</v>
      </c>
      <c r="K18" s="408">
        <f>'Commissioned assets summary'!S31/1000</f>
        <v>366.672098224438</v>
      </c>
      <c r="L18" s="408">
        <f t="shared" si="0"/>
        <v>3396.0346309789584</v>
      </c>
      <c r="M18" s="529"/>
    </row>
    <row r="19" spans="2:13" ht="14.85" customHeight="1" thickBot="1" x14ac:dyDescent="0.25">
      <c r="B19" s="398"/>
      <c r="C19" s="589" t="s">
        <v>316</v>
      </c>
      <c r="D19" s="381"/>
      <c r="E19" s="408">
        <f>'Commissioned assets summary'!M32/1000</f>
        <v>8309.2320517278367</v>
      </c>
      <c r="F19" s="408">
        <f>'Commissioned assets summary'!N32/1000</f>
        <v>4604.8230016299658</v>
      </c>
      <c r="G19" s="408">
        <f>'Commissioned assets summary'!O32/1000</f>
        <v>9015.2991464892384</v>
      </c>
      <c r="H19" s="408">
        <f>'Commissioned assets summary'!P32/1000</f>
        <v>3122.8294104769411</v>
      </c>
      <c r="I19" s="408">
        <f>'Commissioned assets summary'!Q32/1000</f>
        <v>2919.8996186841841</v>
      </c>
      <c r="J19" s="408">
        <f>'Commissioned assets summary'!R32/1000</f>
        <v>2504.8288550408101</v>
      </c>
      <c r="K19" s="408">
        <f>'Commissioned assets summary'!S32/1000</f>
        <v>2387.3588946668574</v>
      </c>
      <c r="L19" s="408">
        <f t="shared" si="0"/>
        <v>19950.215925358032</v>
      </c>
      <c r="M19" s="529"/>
    </row>
    <row r="20" spans="2:13" s="494" customFormat="1" ht="14.85" customHeight="1" thickBot="1" x14ac:dyDescent="0.3">
      <c r="B20" s="490"/>
      <c r="C20" s="619" t="s">
        <v>295</v>
      </c>
      <c r="D20" s="548"/>
      <c r="E20" s="496">
        <f>SUM(E11:E19)</f>
        <v>60692.968202980119</v>
      </c>
      <c r="F20" s="496">
        <f t="shared" ref="F20:K20" si="1">SUM(F11:F19)</f>
        <v>71595.985121933045</v>
      </c>
      <c r="G20" s="496">
        <f t="shared" si="1"/>
        <v>78674.335553086494</v>
      </c>
      <c r="H20" s="496">
        <f t="shared" si="1"/>
        <v>67520.35106733322</v>
      </c>
      <c r="I20" s="496">
        <f t="shared" si="1"/>
        <v>72186.819594274319</v>
      </c>
      <c r="J20" s="496">
        <f t="shared" si="1"/>
        <v>69938.140502375696</v>
      </c>
      <c r="K20" s="496">
        <f t="shared" si="1"/>
        <v>65667.779558910624</v>
      </c>
      <c r="L20" s="496">
        <f>SUM(L11:L19)</f>
        <v>353987.42627598031</v>
      </c>
      <c r="M20" s="572"/>
    </row>
    <row r="21" spans="2:13" ht="14.85" customHeight="1" x14ac:dyDescent="0.2">
      <c r="B21" s="398"/>
      <c r="C21" s="620"/>
      <c r="D21" s="381"/>
      <c r="E21" s="621"/>
      <c r="F21" s="621"/>
      <c r="G21" s="621"/>
      <c r="H21" s="621"/>
      <c r="I21" s="621"/>
      <c r="J21" s="621"/>
      <c r="K21" s="621"/>
      <c r="L21" s="621"/>
      <c r="M21" s="572"/>
    </row>
    <row r="22" spans="2:13" ht="14.85" customHeight="1" x14ac:dyDescent="0.2"/>
    <row r="23" spans="2:13" ht="14.85" customHeight="1" x14ac:dyDescent="0.2">
      <c r="C23" s="391" t="s">
        <v>702</v>
      </c>
      <c r="E23" s="393">
        <f>E20-'Commissioned assets summary'!M33/1000</f>
        <v>0</v>
      </c>
      <c r="F23" s="393">
        <f>F20-'Commissioned assets summary'!N33/1000</f>
        <v>0</v>
      </c>
      <c r="G23" s="393">
        <f>G20-'Commissioned assets summary'!O33/1000</f>
        <v>0</v>
      </c>
      <c r="H23" s="393">
        <f>H20-'Commissioned assets summary'!P33/1000</f>
        <v>0</v>
      </c>
      <c r="I23" s="393">
        <f>I20-'Commissioned assets summary'!Q33/1000</f>
        <v>0</v>
      </c>
      <c r="J23" s="393">
        <f>J20-'Commissioned assets summary'!R33/1000</f>
        <v>0</v>
      </c>
      <c r="K23" s="393">
        <f>K20-'Commissioned assets summary'!S33/1000</f>
        <v>0</v>
      </c>
      <c r="L23" s="393"/>
    </row>
    <row r="24" spans="2:13" ht="14.85" customHeight="1" x14ac:dyDescent="0.2"/>
    <row r="25" spans="2:13" ht="14.85" customHeight="1" x14ac:dyDescent="0.2"/>
    <row r="26" spans="2:13" ht="14.85" customHeight="1" x14ac:dyDescent="0.2"/>
    <row r="27" spans="2:13" ht="14.85" customHeight="1" x14ac:dyDescent="0.2"/>
    <row r="28" spans="2:13" ht="14.85" customHeight="1" x14ac:dyDescent="0.2"/>
    <row r="29" spans="2:13" ht="14.85" customHeight="1" x14ac:dyDescent="0.2"/>
    <row r="30" spans="2:13" ht="14.85" customHeight="1" x14ac:dyDescent="0.2"/>
    <row r="31" spans="2:13" ht="14.85" customHeight="1" x14ac:dyDescent="0.2"/>
    <row r="32" spans="2:13" ht="14.85" customHeight="1" x14ac:dyDescent="0.2"/>
    <row r="33" ht="13.35" customHeight="1" x14ac:dyDescent="0.2"/>
    <row r="34" ht="17.100000000000001" customHeight="1" x14ac:dyDescent="0.2"/>
    <row r="35" ht="14.85" customHeight="1" x14ac:dyDescent="0.2"/>
    <row r="36" ht="14.85" customHeight="1" x14ac:dyDescent="0.2"/>
    <row r="37" ht="22.35" customHeight="1" x14ac:dyDescent="0.2"/>
    <row r="38" ht="14.85" customHeight="1" x14ac:dyDescent="0.2"/>
    <row r="39" ht="14.85" customHeight="1" x14ac:dyDescent="0.2"/>
    <row r="40" ht="14.85" customHeight="1" x14ac:dyDescent="0.2"/>
    <row r="41" ht="14.85" customHeight="1" x14ac:dyDescent="0.2"/>
    <row r="42" ht="14.85" customHeight="1" x14ac:dyDescent="0.2"/>
    <row r="43" ht="14.85" customHeight="1" x14ac:dyDescent="0.2"/>
    <row r="44" ht="14.85" customHeight="1" x14ac:dyDescent="0.2"/>
    <row r="45" ht="14.85" customHeight="1" x14ac:dyDescent="0.2"/>
    <row r="46" ht="14.85" customHeight="1" x14ac:dyDescent="0.2"/>
    <row r="47" ht="14.85" customHeight="1" x14ac:dyDescent="0.2"/>
    <row r="48" ht="14.85" customHeight="1" x14ac:dyDescent="0.2"/>
    <row r="49" ht="14.85" customHeight="1" x14ac:dyDescent="0.2"/>
    <row r="50" ht="14.85" customHeight="1" x14ac:dyDescent="0.2"/>
    <row r="51" ht="14.85" customHeight="1" x14ac:dyDescent="0.2"/>
    <row r="52" ht="14.85" customHeight="1" x14ac:dyDescent="0.2"/>
    <row r="53" ht="14.85" customHeight="1" x14ac:dyDescent="0.2"/>
    <row r="54" ht="14.85" customHeight="1" x14ac:dyDescent="0.2"/>
    <row r="55" ht="14.85" customHeight="1" x14ac:dyDescent="0.2"/>
    <row r="56" ht="14.85" customHeight="1" x14ac:dyDescent="0.2"/>
    <row r="57" ht="14.85" customHeight="1" x14ac:dyDescent="0.2"/>
    <row r="58" ht="14.85" customHeight="1" x14ac:dyDescent="0.2"/>
    <row r="59" ht="14.85" customHeight="1" x14ac:dyDescent="0.2"/>
    <row r="60" ht="14.85" customHeight="1" x14ac:dyDescent="0.2"/>
    <row r="61" ht="14.85" customHeight="1" x14ac:dyDescent="0.2"/>
    <row r="62" ht="14.85" customHeight="1" x14ac:dyDescent="0.2"/>
    <row r="63" ht="14.85" customHeight="1" x14ac:dyDescent="0.2"/>
    <row r="64" ht="14.85" customHeight="1" x14ac:dyDescent="0.2"/>
    <row r="65" ht="14.85" customHeight="1" x14ac:dyDescent="0.2"/>
    <row r="66" ht="14.85" customHeight="1" x14ac:dyDescent="0.2"/>
    <row r="67" ht="14.85" customHeight="1" x14ac:dyDescent="0.2"/>
    <row r="68" ht="14.85" customHeight="1" x14ac:dyDescent="0.2"/>
    <row r="69" ht="14.85" customHeight="1" x14ac:dyDescent="0.2"/>
    <row r="70" ht="14.85" customHeight="1" x14ac:dyDescent="0.2"/>
    <row r="71" ht="14.85" customHeight="1" x14ac:dyDescent="0.2"/>
    <row r="72" ht="14.85" customHeight="1" x14ac:dyDescent="0.2"/>
    <row r="73" ht="14.85" customHeight="1" x14ac:dyDescent="0.2"/>
    <row r="74" ht="14.85" customHeight="1" x14ac:dyDescent="0.2"/>
    <row r="75" ht="14.85" customHeight="1" x14ac:dyDescent="0.2"/>
    <row r="76" ht="14.85" customHeight="1" x14ac:dyDescent="0.2"/>
    <row r="77" ht="14.85" customHeight="1" x14ac:dyDescent="0.2"/>
    <row r="78" ht="14.85" customHeight="1" x14ac:dyDescent="0.2"/>
    <row r="79" ht="14.85" customHeight="1" x14ac:dyDescent="0.2"/>
    <row r="80" ht="14.85" customHeight="1" x14ac:dyDescent="0.2"/>
    <row r="81" ht="14.85" customHeight="1" x14ac:dyDescent="0.2"/>
    <row r="82" ht="14.85" customHeight="1" x14ac:dyDescent="0.2"/>
    <row r="83" ht="14.85" customHeight="1" x14ac:dyDescent="0.2"/>
    <row r="84" ht="14.85" customHeight="1" x14ac:dyDescent="0.2"/>
    <row r="85" ht="14.85" customHeight="1" x14ac:dyDescent="0.2"/>
    <row r="86" ht="14.85" customHeight="1" x14ac:dyDescent="0.2"/>
    <row r="87" ht="14.85" customHeight="1" x14ac:dyDescent="0.2"/>
    <row r="88" ht="14.85" customHeight="1" x14ac:dyDescent="0.2"/>
    <row r="89" ht="14.85" customHeight="1" x14ac:dyDescent="0.2"/>
    <row r="90" ht="14.85" customHeight="1" x14ac:dyDescent="0.2"/>
    <row r="91" ht="14.85" customHeight="1" x14ac:dyDescent="0.2"/>
    <row r="92" ht="14.85" customHeight="1" x14ac:dyDescent="0.2"/>
    <row r="93" ht="14.85" customHeight="1" x14ac:dyDescent="0.2"/>
    <row r="94" ht="14.85" customHeight="1" x14ac:dyDescent="0.2"/>
    <row r="95" ht="14.85" customHeight="1" x14ac:dyDescent="0.2"/>
    <row r="96" ht="14.85" customHeight="1" x14ac:dyDescent="0.2"/>
    <row r="97" ht="14.85" customHeight="1" x14ac:dyDescent="0.2"/>
    <row r="98" ht="14.85" customHeight="1" x14ac:dyDescent="0.2"/>
    <row r="99" ht="14.85" customHeight="1" x14ac:dyDescent="0.2"/>
    <row r="100" ht="14.85" customHeight="1" x14ac:dyDescent="0.2"/>
    <row r="101" ht="14.85" customHeight="1" x14ac:dyDescent="0.2"/>
    <row r="102" ht="14.85" customHeight="1" x14ac:dyDescent="0.2"/>
    <row r="103" ht="14.85" customHeight="1" x14ac:dyDescent="0.2"/>
    <row r="104" ht="14.85" customHeight="1" x14ac:dyDescent="0.2"/>
    <row r="105" ht="14.85" customHeight="1" x14ac:dyDescent="0.2"/>
    <row r="106" ht="14.85" customHeight="1" x14ac:dyDescent="0.2"/>
    <row r="107" ht="14.85" customHeight="1" x14ac:dyDescent="0.2"/>
    <row r="108" ht="14.85" customHeight="1" x14ac:dyDescent="0.2"/>
    <row r="109" ht="14.85" customHeight="1" x14ac:dyDescent="0.2"/>
    <row r="110" ht="14.85" customHeight="1" x14ac:dyDescent="0.2"/>
    <row r="111" ht="14.85" customHeight="1" x14ac:dyDescent="0.2"/>
    <row r="112" ht="14.85" customHeight="1" x14ac:dyDescent="0.2"/>
    <row r="113" ht="14.85" customHeight="1" x14ac:dyDescent="0.2"/>
    <row r="114" ht="14.85" customHeight="1" x14ac:dyDescent="0.2"/>
    <row r="115" ht="14.85" customHeight="1" x14ac:dyDescent="0.2"/>
    <row r="118" ht="14.85" customHeight="1" x14ac:dyDescent="0.2"/>
  </sheetData>
  <sheetProtection algorithmName="SHA-512" hashValue="rPkoXB5CYb2EjfmLXOvhQxc0IRoNdv9M/nh0rR7YVKREFoVU3KhHckKKP2YbtaCVNJ95MPdSlP8fIV7vPrgEyw==" saltValue="jXk9a1TLtJGeZkT624E45g==" spinCount="100000" sheet="1" objects="1" scenarios="1"/>
  <mergeCells count="5">
    <mergeCell ref="E7:L7"/>
    <mergeCell ref="C8:C9"/>
    <mergeCell ref="E8:F8"/>
    <mergeCell ref="G8:K8"/>
    <mergeCell ref="L8:L9"/>
  </mergeCells>
  <conditionalFormatting sqref="E23:L23">
    <cfRule type="cellIs" dxfId="1" priority="1" stopIfTrue="1" operator="equal">
      <formula>0</formula>
    </cfRule>
    <cfRule type="cellIs" dxfId="0" priority="2" stopIfTrue="1" operator="notEqual">
      <formula>0</formula>
    </cfRule>
  </conditionalFormatting>
  <pageMargins left="0.70866141732283472" right="0.70866141732283472" top="0.74803149606299213" bottom="0.74803149606299213" header="0.31496062992125984" footer="0.31496062992125984"/>
  <pageSetup paperSize="9" scale="81" fitToHeight="0" orientation="landscape" r:id="rId1"/>
  <headerFoot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2:Q32"/>
  <sheetViews>
    <sheetView showGridLines="0" zoomScale="85" zoomScaleNormal="85" workbookViewId="0"/>
  </sheetViews>
  <sheetFormatPr defaultColWidth="0" defaultRowHeight="14.25" x14ac:dyDescent="0.2"/>
  <cols>
    <col min="1" max="2" width="2.75" style="83" customWidth="1"/>
    <col min="3" max="3" width="46.875" style="83" customWidth="1"/>
    <col min="4" max="15" width="8.625" style="83" customWidth="1"/>
    <col min="16" max="17" width="2.75" style="83" customWidth="1"/>
    <col min="18" max="16384" width="8.75" style="83" hidden="1"/>
  </cols>
  <sheetData>
    <row r="2" spans="2:16" x14ac:dyDescent="0.2">
      <c r="B2" s="84"/>
      <c r="C2" s="84"/>
      <c r="D2" s="84"/>
      <c r="E2" s="84"/>
      <c r="F2" s="84"/>
      <c r="G2" s="84"/>
      <c r="H2" s="84"/>
      <c r="I2" s="84"/>
      <c r="J2" s="84"/>
      <c r="K2" s="84"/>
      <c r="L2" s="84"/>
      <c r="M2" s="84"/>
      <c r="N2" s="84"/>
      <c r="O2" s="84"/>
      <c r="P2" s="84"/>
    </row>
    <row r="3" spans="2:16" s="11" customFormat="1" ht="18" x14ac:dyDescent="0.25">
      <c r="B3" s="85"/>
      <c r="C3" s="1" t="s">
        <v>703</v>
      </c>
      <c r="D3" s="85"/>
      <c r="E3" s="85"/>
      <c r="F3" s="85"/>
      <c r="G3" s="85"/>
      <c r="H3" s="85"/>
      <c r="I3" s="85"/>
      <c r="J3" s="85"/>
      <c r="K3" s="85"/>
      <c r="L3" s="85"/>
      <c r="M3" s="85"/>
      <c r="N3" s="85"/>
      <c r="O3" s="85"/>
      <c r="P3" s="85"/>
    </row>
    <row r="4" spans="2:16" ht="19.350000000000001" customHeight="1" x14ac:dyDescent="0.2">
      <c r="B4" s="84"/>
      <c r="C4" s="86" t="s">
        <v>704</v>
      </c>
      <c r="D4" s="84"/>
      <c r="E4" s="84"/>
      <c r="F4" s="84"/>
      <c r="G4" s="84"/>
      <c r="H4" s="84"/>
      <c r="I4" s="84"/>
      <c r="J4" s="84"/>
      <c r="K4" s="84"/>
      <c r="L4" s="84"/>
      <c r="M4" s="84"/>
      <c r="N4" s="84"/>
      <c r="O4" s="84"/>
      <c r="P4" s="84"/>
    </row>
    <row r="5" spans="2:16" ht="19.350000000000001" customHeight="1" x14ac:dyDescent="0.2">
      <c r="B5" s="84"/>
      <c r="C5" s="86" t="s">
        <v>705</v>
      </c>
      <c r="D5" s="84"/>
      <c r="E5" s="84"/>
      <c r="F5" s="84"/>
      <c r="G5" s="84"/>
      <c r="H5" s="84"/>
      <c r="I5" s="84"/>
      <c r="J5" s="84"/>
      <c r="K5" s="84"/>
      <c r="L5" s="84"/>
      <c r="M5" s="84"/>
      <c r="N5" s="84"/>
      <c r="O5" s="84"/>
      <c r="P5" s="84"/>
    </row>
    <row r="6" spans="2:16" x14ac:dyDescent="0.2">
      <c r="B6" s="84"/>
      <c r="C6" s="84"/>
      <c r="D6" s="84"/>
      <c r="E6" s="84"/>
      <c r="F6" s="84"/>
      <c r="G6" s="84"/>
      <c r="H6" s="84"/>
      <c r="I6" s="84"/>
      <c r="J6" s="84"/>
      <c r="K6" s="84"/>
      <c r="L6" s="84"/>
      <c r="M6" s="84"/>
      <c r="N6" s="84"/>
      <c r="O6" s="84"/>
      <c r="P6" s="84"/>
    </row>
    <row r="7" spans="2:16" ht="14.85" customHeight="1" x14ac:dyDescent="0.2">
      <c r="B7" s="84"/>
      <c r="C7" s="717" t="s">
        <v>706</v>
      </c>
      <c r="D7" s="719" t="s">
        <v>707</v>
      </c>
      <c r="E7" s="720"/>
      <c r="F7" s="720"/>
      <c r="G7" s="720"/>
      <c r="H7" s="721"/>
      <c r="I7" s="722" t="s">
        <v>577</v>
      </c>
      <c r="J7" s="723"/>
      <c r="K7" s="719" t="s">
        <v>578</v>
      </c>
      <c r="L7" s="720"/>
      <c r="M7" s="720"/>
      <c r="N7" s="720"/>
      <c r="O7" s="721"/>
      <c r="P7" s="84"/>
    </row>
    <row r="8" spans="2:16" x14ac:dyDescent="0.2">
      <c r="B8" s="84"/>
      <c r="C8" s="718"/>
      <c r="D8" s="2" t="s">
        <v>581</v>
      </c>
      <c r="E8" s="3" t="s">
        <v>582</v>
      </c>
      <c r="F8" s="3" t="s">
        <v>583</v>
      </c>
      <c r="G8" s="3" t="s">
        <v>584</v>
      </c>
      <c r="H8" s="4" t="s">
        <v>585</v>
      </c>
      <c r="I8" s="5" t="s">
        <v>586</v>
      </c>
      <c r="J8" s="6" t="s">
        <v>587</v>
      </c>
      <c r="K8" s="5" t="s">
        <v>588</v>
      </c>
      <c r="L8" s="7" t="s">
        <v>589</v>
      </c>
      <c r="M8" s="7" t="s">
        <v>590</v>
      </c>
      <c r="N8" s="7" t="s">
        <v>591</v>
      </c>
      <c r="O8" s="8" t="s">
        <v>592</v>
      </c>
      <c r="P8" s="84"/>
    </row>
    <row r="9" spans="2:16" x14ac:dyDescent="0.2">
      <c r="B9" s="84"/>
      <c r="C9" s="87" t="s">
        <v>503</v>
      </c>
      <c r="D9" s="88"/>
      <c r="E9" s="88"/>
      <c r="F9" s="88"/>
      <c r="G9" s="88"/>
      <c r="H9" s="88"/>
      <c r="I9" s="88"/>
      <c r="J9" s="88"/>
      <c r="K9" s="88"/>
      <c r="L9" s="88"/>
      <c r="M9" s="88"/>
      <c r="N9" s="88"/>
      <c r="O9" s="88"/>
      <c r="P9" s="84"/>
    </row>
    <row r="10" spans="2:16" x14ac:dyDescent="0.2">
      <c r="B10" s="84"/>
      <c r="C10" s="116" t="s">
        <v>708</v>
      </c>
      <c r="D10" s="115"/>
      <c r="E10" s="115"/>
      <c r="F10" s="115"/>
      <c r="G10" s="115"/>
      <c r="H10" s="115"/>
      <c r="I10" s="115"/>
      <c r="J10" s="115"/>
      <c r="K10" s="115"/>
      <c r="L10" s="115"/>
      <c r="M10" s="115"/>
      <c r="N10" s="115"/>
      <c r="O10" s="115"/>
      <c r="P10" s="84"/>
    </row>
    <row r="11" spans="2:16" x14ac:dyDescent="0.2">
      <c r="B11" s="84"/>
      <c r="C11" s="9" t="s">
        <v>709</v>
      </c>
      <c r="D11" s="115">
        <f>Escalators!I13</f>
        <v>0</v>
      </c>
      <c r="E11" s="115">
        <f>Escalators!J13</f>
        <v>3.3430837477064212E-3</v>
      </c>
      <c r="F11" s="115">
        <f>Escalators!K13</f>
        <v>1.0828821419724299E-2</v>
      </c>
      <c r="G11" s="115">
        <f>Escalators!L13</f>
        <v>1.5830655035640184E-2</v>
      </c>
      <c r="H11" s="115">
        <f>Escalators!M13</f>
        <v>1.6933821878353239E-2</v>
      </c>
      <c r="I11" s="115"/>
      <c r="J11" s="115"/>
      <c r="K11" s="115"/>
      <c r="L11" s="115"/>
      <c r="M11" s="115"/>
      <c r="N11" s="115"/>
      <c r="O11" s="115"/>
      <c r="P11" s="84"/>
    </row>
    <row r="12" spans="2:16" x14ac:dyDescent="0.2">
      <c r="B12" s="84"/>
      <c r="C12" s="9"/>
      <c r="D12" s="115"/>
      <c r="E12" s="115"/>
      <c r="F12" s="115"/>
      <c r="G12" s="115"/>
      <c r="H12" s="117"/>
      <c r="I12" s="115"/>
      <c r="J12" s="115"/>
      <c r="K12" s="115"/>
      <c r="L12" s="115"/>
      <c r="M12" s="115"/>
      <c r="N12" s="115"/>
      <c r="O12" s="115"/>
      <c r="P12" s="84"/>
    </row>
    <row r="13" spans="2:16" x14ac:dyDescent="0.2">
      <c r="B13" s="84"/>
      <c r="C13" s="116" t="s">
        <v>710</v>
      </c>
      <c r="D13" s="115"/>
      <c r="E13" s="115"/>
      <c r="F13" s="115"/>
      <c r="G13" s="115"/>
      <c r="H13" s="115"/>
      <c r="I13" s="115"/>
      <c r="J13" s="115"/>
      <c r="K13" s="115"/>
      <c r="L13" s="115"/>
      <c r="M13" s="115"/>
      <c r="N13" s="115"/>
      <c r="O13" s="115"/>
      <c r="P13" s="84"/>
    </row>
    <row r="14" spans="2:16" x14ac:dyDescent="0.2">
      <c r="B14" s="84"/>
      <c r="C14" s="9" t="str">
        <f>'Escalators '!B116</f>
        <v>Labour</v>
      </c>
      <c r="D14" s="115"/>
      <c r="E14" s="115"/>
      <c r="F14" s="115"/>
      <c r="G14" s="115"/>
      <c r="H14" s="117"/>
      <c r="I14" s="115">
        <f>'Escalators '!M116</f>
        <v>2.194196753341238E-2</v>
      </c>
      <c r="J14" s="115">
        <f>'Escalators '!N116</f>
        <v>1.2090065535794368E-2</v>
      </c>
      <c r="K14" s="115">
        <f>'Escalators '!O116</f>
        <v>1.4995926130191581E-2</v>
      </c>
      <c r="L14" s="115">
        <f>'Escalators '!P116</f>
        <v>2.0843544971353191E-2</v>
      </c>
      <c r="M14" s="115">
        <f>'Escalators '!Q116</f>
        <v>1.5684466439009337E-2</v>
      </c>
      <c r="N14" s="115">
        <f>'Escalators '!R116</f>
        <v>2.0341230511594345E-2</v>
      </c>
      <c r="O14" s="115">
        <f>'Escalators '!S116</f>
        <v>2.0341230511594345E-2</v>
      </c>
      <c r="P14" s="89"/>
    </row>
    <row r="15" spans="2:16" x14ac:dyDescent="0.2">
      <c r="B15" s="84"/>
      <c r="C15" s="9" t="str">
        <f>'Escalators '!B117</f>
        <v>Cables</v>
      </c>
      <c r="D15" s="115"/>
      <c r="E15" s="115"/>
      <c r="F15" s="115"/>
      <c r="G15" s="115"/>
      <c r="H15" s="117"/>
      <c r="I15" s="115">
        <f>'Escalators '!M117</f>
        <v>-4.3176805222146397E-2</v>
      </c>
      <c r="J15" s="115">
        <f>'Escalators '!N117</f>
        <v>2.3988872918318815E-2</v>
      </c>
      <c r="K15" s="115">
        <f>'Escalators '!O117</f>
        <v>1.5203656805197419E-2</v>
      </c>
      <c r="L15" s="115">
        <f>'Escalators '!P117</f>
        <v>2.9596088405076548E-2</v>
      </c>
      <c r="M15" s="115">
        <f>'Escalators '!Q117</f>
        <v>2.6997748022768896E-2</v>
      </c>
      <c r="N15" s="115">
        <f>'Escalators '!R117</f>
        <v>3.0902682425895112E-2</v>
      </c>
      <c r="O15" s="115">
        <f>'Escalators '!S117</f>
        <v>3.0904999999999901E-2</v>
      </c>
      <c r="P15" s="84"/>
    </row>
    <row r="16" spans="2:16" x14ac:dyDescent="0.2">
      <c r="B16" s="84"/>
      <c r="C16" s="9" t="str">
        <f>'Escalators '!B118</f>
        <v>Conductor</v>
      </c>
      <c r="D16" s="115"/>
      <c r="E16" s="115"/>
      <c r="F16" s="115"/>
      <c r="G16" s="115"/>
      <c r="H16" s="117"/>
      <c r="I16" s="115">
        <f>'Escalators '!M118</f>
        <v>-4.1757349535112787E-2</v>
      </c>
      <c r="J16" s="115">
        <f>'Escalators '!N118</f>
        <v>2.3305412371134038E-2</v>
      </c>
      <c r="K16" s="115">
        <f>'Escalators '!O118</f>
        <v>1.5397743003345843E-2</v>
      </c>
      <c r="L16" s="115">
        <f>'Escalators '!P118</f>
        <v>2.9792926142103493E-2</v>
      </c>
      <c r="M16" s="115">
        <f>'Escalators '!Q118</f>
        <v>2.719408901020004E-2</v>
      </c>
      <c r="N16" s="115">
        <f>'Escalators '!R118</f>
        <v>3.1099769957004586E-2</v>
      </c>
      <c r="O16" s="115">
        <f>'Escalators '!S118</f>
        <v>3.1099999999999905E-2</v>
      </c>
      <c r="P16" s="84"/>
    </row>
    <row r="17" spans="2:16" x14ac:dyDescent="0.2">
      <c r="B17" s="84"/>
      <c r="C17" s="9" t="str">
        <f>'Escalators '!B119</f>
        <v>Transformers</v>
      </c>
      <c r="D17" s="115"/>
      <c r="E17" s="115"/>
      <c r="F17" s="115"/>
      <c r="G17" s="115"/>
      <c r="H17" s="117"/>
      <c r="I17" s="115">
        <f>'Escalators '!M119</f>
        <v>-4.5615938016582251E-2</v>
      </c>
      <c r="J17" s="115">
        <f>'Escalators '!N119</f>
        <v>5.5132330908980835E-3</v>
      </c>
      <c r="K17" s="115">
        <f>'Escalators '!O119</f>
        <v>3.1661612775785442E-3</v>
      </c>
      <c r="L17" s="115">
        <f>'Escalators '!P119</f>
        <v>1.6653213106361052E-2</v>
      </c>
      <c r="M17" s="115">
        <f>'Escalators '!Q119</f>
        <v>1.4222728824878184E-2</v>
      </c>
      <c r="N17" s="115">
        <f>'Escalators '!R119</f>
        <v>1.7916560216869368E-2</v>
      </c>
      <c r="O17" s="115">
        <f>'Escalators '!S119</f>
        <v>1.7939650855970976E-2</v>
      </c>
      <c r="P17" s="84"/>
    </row>
    <row r="18" spans="2:16" x14ac:dyDescent="0.2">
      <c r="B18" s="84"/>
      <c r="C18" s="9" t="str">
        <f>'Escalators '!B120</f>
        <v>Switchgear</v>
      </c>
      <c r="D18" s="115"/>
      <c r="E18" s="115"/>
      <c r="F18" s="115"/>
      <c r="G18" s="115"/>
      <c r="H18" s="117"/>
      <c r="I18" s="115">
        <f>'Escalators '!M120</f>
        <v>-5.9263592343236443E-2</v>
      </c>
      <c r="J18" s="115">
        <f>'Escalators '!N120</f>
        <v>1.9950494472174396E-2</v>
      </c>
      <c r="K18" s="115">
        <f>'Escalators '!O120</f>
        <v>6.7244438926272465E-3</v>
      </c>
      <c r="L18" s="115">
        <f>'Escalators '!P120</f>
        <v>2.0996666615157866E-2</v>
      </c>
      <c r="M18" s="115">
        <f>'Escalators '!Q120</f>
        <v>1.8420028165434199E-2</v>
      </c>
      <c r="N18" s="115">
        <f>'Escalators '!R120</f>
        <v>2.2292347664161771E-2</v>
      </c>
      <c r="O18" s="115">
        <f>'Escalators '!S120</f>
        <v>2.2324999999999928E-2</v>
      </c>
      <c r="P18" s="84"/>
    </row>
    <row r="19" spans="2:16" x14ac:dyDescent="0.2">
      <c r="B19" s="84"/>
      <c r="C19" s="9" t="str">
        <f>'Escalators '!B121</f>
        <v>Other</v>
      </c>
      <c r="D19" s="115"/>
      <c r="E19" s="115"/>
      <c r="F19" s="115"/>
      <c r="G19" s="115"/>
      <c r="H19" s="117"/>
      <c r="I19" s="115">
        <f>'Escalators '!M121</f>
        <v>2.8680688336520044E-2</v>
      </c>
      <c r="J19" s="115">
        <f>'Escalators '!N121</f>
        <v>2.0615457171786478E-2</v>
      </c>
      <c r="K19" s="115">
        <f>'Escalators '!O121</f>
        <v>1.701556910340507E-2</v>
      </c>
      <c r="L19" s="115">
        <f>'Escalators '!P121</f>
        <v>1.6739177808136052E-2</v>
      </c>
      <c r="M19" s="115">
        <f>'Escalators '!Q121</f>
        <v>1.6877139988744627E-2</v>
      </c>
      <c r="N19" s="115">
        <f>'Escalators '!R121</f>
        <v>1.7493017119420307E-2</v>
      </c>
      <c r="O19" s="115">
        <f>'Escalators '!S121</f>
        <v>1.7493017119420307E-2</v>
      </c>
      <c r="P19" s="84"/>
    </row>
    <row r="20" spans="2:16" x14ac:dyDescent="0.2">
      <c r="B20" s="84"/>
      <c r="C20" s="9"/>
      <c r="D20" s="115"/>
      <c r="E20" s="115"/>
      <c r="F20" s="115"/>
      <c r="G20" s="115"/>
      <c r="H20" s="117"/>
      <c r="I20" s="115"/>
      <c r="J20" s="115"/>
      <c r="K20" s="115"/>
      <c r="L20" s="115"/>
      <c r="M20" s="115"/>
      <c r="N20" s="115"/>
      <c r="O20" s="115"/>
      <c r="P20" s="84"/>
    </row>
    <row r="21" spans="2:16" x14ac:dyDescent="0.2">
      <c r="B21" s="84"/>
      <c r="C21" s="116" t="s">
        <v>711</v>
      </c>
      <c r="D21" s="115"/>
      <c r="E21" s="115"/>
      <c r="F21" s="115"/>
      <c r="G21" s="115"/>
      <c r="H21" s="115"/>
      <c r="I21" s="115"/>
      <c r="J21" s="115"/>
      <c r="K21" s="115"/>
      <c r="L21" s="115"/>
      <c r="M21" s="115"/>
      <c r="N21" s="115"/>
      <c r="O21" s="115"/>
      <c r="P21" s="84"/>
    </row>
    <row r="22" spans="2:16" x14ac:dyDescent="0.2">
      <c r="B22" s="84"/>
      <c r="C22" s="9" t="s">
        <v>709</v>
      </c>
      <c r="D22" s="115">
        <f>Escalators!I13</f>
        <v>0</v>
      </c>
      <c r="E22" s="115">
        <f>Escalators!J13</f>
        <v>3.3430837477064212E-3</v>
      </c>
      <c r="F22" s="115">
        <f>Escalators!K13</f>
        <v>1.0828821419724299E-2</v>
      </c>
      <c r="G22" s="115">
        <f>Escalators!L13</f>
        <v>1.5830655035640184E-2</v>
      </c>
      <c r="H22" s="115">
        <f>Escalators!M13</f>
        <v>1.6933821878353239E-2</v>
      </c>
      <c r="I22" s="115"/>
      <c r="J22" s="115"/>
      <c r="K22" s="115"/>
      <c r="L22" s="115"/>
      <c r="M22" s="115"/>
      <c r="N22" s="115"/>
      <c r="O22" s="115"/>
      <c r="P22" s="84"/>
    </row>
    <row r="23" spans="2:16" x14ac:dyDescent="0.2">
      <c r="B23" s="84"/>
      <c r="C23" s="9"/>
      <c r="D23" s="115"/>
      <c r="E23" s="115"/>
      <c r="F23" s="115"/>
      <c r="G23" s="115"/>
      <c r="H23" s="117"/>
      <c r="I23" s="115"/>
      <c r="J23" s="115"/>
      <c r="K23" s="115"/>
      <c r="L23" s="115"/>
      <c r="M23" s="115"/>
      <c r="N23" s="115"/>
      <c r="O23" s="115"/>
      <c r="P23" s="84"/>
    </row>
    <row r="24" spans="2:16" x14ac:dyDescent="0.2">
      <c r="B24" s="84"/>
      <c r="C24" s="116" t="s">
        <v>712</v>
      </c>
      <c r="D24" s="115"/>
      <c r="E24" s="115"/>
      <c r="F24" s="115"/>
      <c r="G24" s="115"/>
      <c r="H24" s="115"/>
      <c r="I24" s="115"/>
      <c r="J24" s="115"/>
      <c r="K24" s="115"/>
      <c r="L24" s="115"/>
      <c r="M24" s="115"/>
      <c r="N24" s="115"/>
      <c r="O24" s="115"/>
      <c r="P24" s="84"/>
    </row>
    <row r="25" spans="2:16" x14ac:dyDescent="0.2">
      <c r="B25" s="84"/>
      <c r="C25" s="9" t="str">
        <f>'Escalators '!B136</f>
        <v>LCI - All sectors</v>
      </c>
      <c r="D25" s="115"/>
      <c r="E25" s="115"/>
      <c r="F25" s="115"/>
      <c r="G25" s="115"/>
      <c r="H25" s="117"/>
      <c r="I25" s="115">
        <f>'Escalators '!M136</f>
        <v>2.5316455696202445E-2</v>
      </c>
      <c r="J25" s="115">
        <f>'Escalators '!N136</f>
        <v>1.4837191664034188E-2</v>
      </c>
      <c r="K25" s="115">
        <f>'Escalators '!O136</f>
        <v>1.4806669149541429E-2</v>
      </c>
      <c r="L25" s="115">
        <f>'Escalators '!P136</f>
        <v>1.7265572940899254E-2</v>
      </c>
      <c r="M25" s="115">
        <f>'Escalators '!Q136</f>
        <v>1.7135528277707923E-2</v>
      </c>
      <c r="N25" s="115">
        <f>'Escalators '!R136</f>
        <v>2.0048233690236783E-2</v>
      </c>
      <c r="O25" s="115">
        <f>'Escalators '!S136</f>
        <v>2.0048233690236783E-2</v>
      </c>
      <c r="P25" s="84"/>
    </row>
    <row r="26" spans="2:16" x14ac:dyDescent="0.2">
      <c r="B26" s="84"/>
      <c r="C26" s="9" t="str">
        <f>'Escalators '!B137</f>
        <v>LCI - Electricity, gas, and water</v>
      </c>
      <c r="D26" s="115"/>
      <c r="E26" s="115"/>
      <c r="F26" s="115"/>
      <c r="G26" s="115"/>
      <c r="H26" s="117"/>
      <c r="I26" s="115">
        <f>'Escalators '!M137</f>
        <v>2.0270685159420543E-2</v>
      </c>
      <c r="J26" s="115">
        <f>'Escalators '!N137</f>
        <v>2.4721833410174199E-2</v>
      </c>
      <c r="K26" s="115">
        <f>'Escalators '!O137</f>
        <v>2.025733514908401E-2</v>
      </c>
      <c r="L26" s="115">
        <f>'Escalators '!P137</f>
        <v>2.4255608664784933E-2</v>
      </c>
      <c r="M26" s="115">
        <f>'Escalators '!Q137</f>
        <v>2.6901506037616763E-2</v>
      </c>
      <c r="N26" s="115">
        <f>'Escalators '!R137</f>
        <v>2.1437983369818614E-2</v>
      </c>
      <c r="O26" s="115">
        <f>'Escalators '!S137</f>
        <v>2.0023828190443904E-2</v>
      </c>
      <c r="P26" s="84"/>
    </row>
    <row r="27" spans="2:16" x14ac:dyDescent="0.2">
      <c r="B27" s="84"/>
      <c r="C27" s="9" t="str">
        <f>'Escalators '!B138</f>
        <v>LCI - Professional and technical</v>
      </c>
      <c r="D27" s="115"/>
      <c r="E27" s="115"/>
      <c r="F27" s="115"/>
      <c r="G27" s="115"/>
      <c r="H27" s="117"/>
      <c r="I27" s="115">
        <f>'Escalators '!M138</f>
        <v>2.1088023151142554E-2</v>
      </c>
      <c r="J27" s="115">
        <f>'Escalators '!N138</f>
        <v>2.4636054474843849E-2</v>
      </c>
      <c r="K27" s="115">
        <f>'Escalators '!O138</f>
        <v>2.0171836633210649E-2</v>
      </c>
      <c r="L27" s="115">
        <f>'Escalators '!P138</f>
        <v>2.4169859166669028E-2</v>
      </c>
      <c r="M27" s="115">
        <f>'Escalators '!Q138</f>
        <v>2.6815590162646341E-2</v>
      </c>
      <c r="N27" s="115">
        <f>'Escalators '!R138</f>
        <v>2.1352410740720362E-2</v>
      </c>
      <c r="O27" s="115">
        <f>'Escalators '!S138</f>
        <v>1.9933914750939863E-2</v>
      </c>
      <c r="P27" s="84"/>
    </row>
    <row r="28" spans="2:16" x14ac:dyDescent="0.2">
      <c r="B28" s="84"/>
      <c r="C28" s="9" t="str">
        <f>'Escalators '!B139</f>
        <v>PPI - Inputs</v>
      </c>
      <c r="D28" s="115"/>
      <c r="E28" s="115"/>
      <c r="F28" s="115"/>
      <c r="G28" s="115"/>
      <c r="H28" s="117"/>
      <c r="I28" s="115">
        <f>'Escalators '!M139</f>
        <v>1.2163336229365829E-2</v>
      </c>
      <c r="J28" s="115">
        <f>'Escalators '!N139</f>
        <v>1.0958437388084663E-2</v>
      </c>
      <c r="K28" s="115">
        <f>'Escalators '!O139</f>
        <v>1.2114083340629467E-2</v>
      </c>
      <c r="L28" s="115">
        <f>'Escalators '!P139</f>
        <v>1.0226017046247371E-2</v>
      </c>
      <c r="M28" s="115">
        <f>'Escalators '!Q139</f>
        <v>1.6575283625202886E-2</v>
      </c>
      <c r="N28" s="115">
        <f>'Escalators '!R139</f>
        <v>1.684977385133779E-2</v>
      </c>
      <c r="O28" s="115">
        <f>'Escalators '!S139</f>
        <v>1.684977385133779E-2</v>
      </c>
      <c r="P28" s="84"/>
    </row>
    <row r="29" spans="2:16" x14ac:dyDescent="0.2">
      <c r="B29" s="84"/>
      <c r="C29" s="9" t="str">
        <f>'Escalators '!B140</f>
        <v>PPI-O Heavy and civil engineering</v>
      </c>
      <c r="D29" s="115"/>
      <c r="E29" s="115"/>
      <c r="F29" s="115"/>
      <c r="G29" s="115"/>
      <c r="H29" s="117"/>
      <c r="I29" s="115">
        <f>'Escalators '!M140</f>
        <v>3.7685963914650955E-2</v>
      </c>
      <c r="J29" s="115">
        <f>'Escalators '!N140</f>
        <v>3.9348669465753661E-2</v>
      </c>
      <c r="K29" s="115">
        <f>'Escalators '!O140</f>
        <v>3.4584401367375062E-2</v>
      </c>
      <c r="L29" s="115">
        <f>'Escalators '!P140</f>
        <v>3.3577042073390517E-2</v>
      </c>
      <c r="M29" s="115">
        <f>'Escalators '!Q140</f>
        <v>3.0665889239730459E-2</v>
      </c>
      <c r="N29" s="115">
        <f>'Escalators '!R140</f>
        <v>3.1412480351794558E-2</v>
      </c>
      <c r="O29" s="115">
        <f>'Escalators '!S140</f>
        <v>3.1496237330193688E-2</v>
      </c>
      <c r="P29" s="84"/>
    </row>
    <row r="30" spans="2:16" x14ac:dyDescent="0.2">
      <c r="B30" s="84"/>
      <c r="C30" s="9" t="str">
        <f>'Escalators '!B141</f>
        <v>PPI-O Professional services</v>
      </c>
      <c r="D30" s="115"/>
      <c r="E30" s="115"/>
      <c r="F30" s="115"/>
      <c r="G30" s="115"/>
      <c r="H30" s="117"/>
      <c r="I30" s="115">
        <f>'Escalators '!M141</f>
        <v>2.8400365727168309E-2</v>
      </c>
      <c r="J30" s="115">
        <f>'Escalators '!N141</f>
        <v>2.8230063957071838E-2</v>
      </c>
      <c r="K30" s="115">
        <f>'Escalators '!O141</f>
        <v>2.3504096380690953E-2</v>
      </c>
      <c r="L30" s="115">
        <f>'Escalators '!P141</f>
        <v>2.2504846955821556E-2</v>
      </c>
      <c r="M30" s="115">
        <f>'Escalators '!Q141</f>
        <v>1.9617117688334851E-2</v>
      </c>
      <c r="N30" s="115">
        <f>'Escalators '!R141</f>
        <v>2.035769508735652E-2</v>
      </c>
      <c r="O30" s="115">
        <f>'Escalators '!S141</f>
        <v>2.0440777640623242E-2</v>
      </c>
      <c r="P30" s="84"/>
    </row>
    <row r="31" spans="2:16" x14ac:dyDescent="0.2">
      <c r="B31" s="84"/>
      <c r="C31" s="84"/>
      <c r="D31" s="84"/>
      <c r="E31" s="84"/>
      <c r="F31" s="84"/>
      <c r="G31" s="84"/>
      <c r="H31" s="84"/>
      <c r="I31" s="84"/>
      <c r="J31" s="84"/>
      <c r="K31" s="84"/>
      <c r="L31" s="84"/>
      <c r="M31" s="84"/>
      <c r="N31" s="84"/>
      <c r="O31" s="84"/>
      <c r="P31" s="84"/>
    </row>
    <row r="32" spans="2:16" ht="20.100000000000001" customHeight="1" x14ac:dyDescent="0.2">
      <c r="B32" s="84"/>
      <c r="C32" s="10"/>
      <c r="D32" s="84"/>
      <c r="E32" s="84"/>
      <c r="F32" s="84"/>
      <c r="G32" s="84"/>
      <c r="H32" s="84"/>
      <c r="I32" s="84"/>
      <c r="J32" s="84"/>
      <c r="K32" s="84"/>
      <c r="L32" s="84"/>
      <c r="M32" s="84"/>
      <c r="N32" s="84"/>
      <c r="O32" s="84"/>
      <c r="P32" s="84"/>
    </row>
  </sheetData>
  <sheetProtection algorithmName="SHA-512" hashValue="SZgQO0G4n/DprsLHn5TgyQ/0FNoHMK/NawbM8P0cTvBBXgsqANkOspwCmRl9QW9gkpwilaOGqHQ8swi2wc7E6g==" saltValue="sj4WnQoG/+uGfdRwRjlGwQ==" spinCount="100000" sheet="1" objects="1" scenarios="1"/>
  <mergeCells count="4">
    <mergeCell ref="C7:C8"/>
    <mergeCell ref="D7:H7"/>
    <mergeCell ref="I7:J7"/>
    <mergeCell ref="K7:O7"/>
  </mergeCells>
  <pageMargins left="0.70866141732283472" right="0.70866141732283472" top="0.74803149606299213" bottom="0.74803149606299213" header="0.31496062992125984" footer="0.31496062992125984"/>
  <pageSetup paperSize="9" scale="77" orientation="landscape" r:id="rId1"/>
  <headerFooter>
    <oddFooter>&amp;A</oddFooter>
  </headerFooter>
  <colBreaks count="1" manualBreakCount="1">
    <brk id="16" min="1" max="3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sheetPr>
  <dimension ref="A1:AA2817"/>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 customHeight="1" x14ac:dyDescent="0.2"/>
  <cols>
    <col min="1" max="1" width="2.75" style="15" customWidth="1"/>
    <col min="2" max="2" width="35.75" style="15" customWidth="1"/>
    <col min="3" max="3" width="15.75" style="25" customWidth="1"/>
    <col min="4" max="5" width="15.75" style="15" customWidth="1"/>
    <col min="6" max="7" width="2.75" style="15" customWidth="1"/>
    <col min="8" max="20" width="10.75" style="15" customWidth="1"/>
    <col min="21" max="21" width="2.75" style="15" customWidth="1"/>
    <col min="22" max="22" width="8.75" style="15" customWidth="1"/>
    <col min="23" max="24" width="9.375" style="15" customWidth="1"/>
    <col min="25" max="27" width="8.75" style="15" customWidth="1"/>
    <col min="28" max="16384" width="9.375" style="15" hidden="1"/>
  </cols>
  <sheetData>
    <row r="1" spans="1:24" ht="12" customHeight="1" x14ac:dyDescent="0.2">
      <c r="A1" s="13"/>
      <c r="B1" s="13"/>
      <c r="C1" s="14"/>
      <c r="D1" s="13"/>
      <c r="E1" s="13"/>
      <c r="F1" s="13"/>
      <c r="G1" s="13"/>
      <c r="H1" s="13"/>
      <c r="I1" s="13"/>
      <c r="J1" s="13"/>
      <c r="K1" s="13"/>
      <c r="L1" s="13"/>
      <c r="M1" s="13"/>
      <c r="N1" s="13"/>
      <c r="O1" s="13"/>
      <c r="P1" s="13"/>
      <c r="Q1" s="13"/>
      <c r="R1" s="13"/>
      <c r="S1" s="13"/>
      <c r="T1" s="13"/>
      <c r="U1" s="13"/>
      <c r="V1" s="13"/>
      <c r="W1" s="13"/>
      <c r="X1" s="13"/>
    </row>
    <row r="2" spans="1:24" s="13" customFormat="1" ht="15" customHeight="1" x14ac:dyDescent="0.25">
      <c r="B2" s="212" t="str">
        <f ca="1">MID(CELL("filename",B2),FIND("]",CELL("filename",B2))+1,255)</f>
        <v>Global inputs</v>
      </c>
      <c r="C2" s="41" t="str">
        <f>IF(D15=0,"Model: Ok","Model: Error")</f>
        <v>Model: Ok</v>
      </c>
      <c r="D2" s="17"/>
      <c r="E2" s="17"/>
      <c r="F2" s="18"/>
      <c r="G2" s="18"/>
      <c r="H2" s="18"/>
      <c r="I2" s="18"/>
      <c r="J2" s="18"/>
      <c r="K2" s="18"/>
      <c r="L2" s="18"/>
      <c r="M2" s="18"/>
      <c r="N2" s="18"/>
      <c r="O2" s="18"/>
      <c r="P2" s="18"/>
      <c r="Q2" s="18"/>
      <c r="R2" s="18"/>
      <c r="S2" s="18"/>
      <c r="T2" s="18"/>
    </row>
    <row r="3" spans="1:24" s="12" customFormat="1" ht="12" customHeight="1" x14ac:dyDescent="0.2">
      <c r="B3" s="43" t="s">
        <v>42</v>
      </c>
      <c r="C3" s="44"/>
      <c r="D3" s="45"/>
      <c r="E3" s="45"/>
      <c r="F3" s="43"/>
      <c r="G3" s="46"/>
      <c r="H3" s="213">
        <f t="shared" ref="H3:S3" si="0">IF(G3="",$D$11,G4+1)</f>
        <v>41730</v>
      </c>
      <c r="I3" s="213">
        <f t="shared" si="0"/>
        <v>42095</v>
      </c>
      <c r="J3" s="213">
        <f t="shared" si="0"/>
        <v>42461</v>
      </c>
      <c r="K3" s="213">
        <f t="shared" si="0"/>
        <v>42826</v>
      </c>
      <c r="L3" s="213">
        <f t="shared" si="0"/>
        <v>43191</v>
      </c>
      <c r="M3" s="213">
        <f t="shared" si="0"/>
        <v>43556</v>
      </c>
      <c r="N3" s="213">
        <f t="shared" si="0"/>
        <v>43922</v>
      </c>
      <c r="O3" s="213">
        <f t="shared" si="0"/>
        <v>44287</v>
      </c>
      <c r="P3" s="213">
        <f t="shared" si="0"/>
        <v>44652</v>
      </c>
      <c r="Q3" s="213">
        <f t="shared" si="0"/>
        <v>45017</v>
      </c>
      <c r="R3" s="213">
        <f t="shared" si="0"/>
        <v>45383</v>
      </c>
      <c r="S3" s="213">
        <f t="shared" si="0"/>
        <v>45748</v>
      </c>
      <c r="T3" s="213"/>
    </row>
    <row r="4" spans="1:24" s="12" customFormat="1" ht="12" customHeight="1" x14ac:dyDescent="0.2">
      <c r="B4" s="43" t="s">
        <v>43</v>
      </c>
      <c r="C4" s="44"/>
      <c r="D4" s="47"/>
      <c r="E4" s="47"/>
      <c r="F4" s="43"/>
      <c r="G4" s="46"/>
      <c r="H4" s="213">
        <f t="shared" ref="H4:S4" si="1">EOMONTH(H3,11)</f>
        <v>42094</v>
      </c>
      <c r="I4" s="213">
        <f t="shared" si="1"/>
        <v>42460</v>
      </c>
      <c r="J4" s="213">
        <f t="shared" si="1"/>
        <v>42825</v>
      </c>
      <c r="K4" s="213">
        <f t="shared" si="1"/>
        <v>43190</v>
      </c>
      <c r="L4" s="213">
        <f t="shared" si="1"/>
        <v>43555</v>
      </c>
      <c r="M4" s="213">
        <f t="shared" si="1"/>
        <v>43921</v>
      </c>
      <c r="N4" s="213">
        <f t="shared" si="1"/>
        <v>44286</v>
      </c>
      <c r="O4" s="213">
        <f t="shared" si="1"/>
        <v>44651</v>
      </c>
      <c r="P4" s="213">
        <f t="shared" si="1"/>
        <v>45016</v>
      </c>
      <c r="Q4" s="213">
        <f t="shared" si="1"/>
        <v>45382</v>
      </c>
      <c r="R4" s="213">
        <f t="shared" si="1"/>
        <v>45747</v>
      </c>
      <c r="S4" s="213">
        <f t="shared" si="1"/>
        <v>46112</v>
      </c>
      <c r="T4" s="213"/>
    </row>
    <row r="5" spans="1:24" s="12" customFormat="1" ht="12" customHeight="1" x14ac:dyDescent="0.2">
      <c r="B5" s="43" t="s">
        <v>44</v>
      </c>
      <c r="C5" s="44"/>
      <c r="D5" s="47"/>
      <c r="E5" s="47"/>
      <c r="F5" s="43"/>
      <c r="G5" s="46"/>
      <c r="H5" s="214" t="str">
        <f>"RY"&amp;RIGHT(YEAR(H4),2)</f>
        <v>RY15</v>
      </c>
      <c r="I5" s="214" t="str">
        <f t="shared" ref="I5:S5" si="2">"RY"&amp;RIGHT(YEAR(I4),2)</f>
        <v>RY16</v>
      </c>
      <c r="J5" s="214" t="str">
        <f t="shared" si="2"/>
        <v>RY17</v>
      </c>
      <c r="K5" s="214" t="str">
        <f t="shared" si="2"/>
        <v>RY18</v>
      </c>
      <c r="L5" s="214" t="str">
        <f t="shared" si="2"/>
        <v>RY19</v>
      </c>
      <c r="M5" s="214" t="str">
        <f t="shared" si="2"/>
        <v>RY20</v>
      </c>
      <c r="N5" s="214" t="str">
        <f t="shared" si="2"/>
        <v>RY21</v>
      </c>
      <c r="O5" s="214" t="str">
        <f t="shared" si="2"/>
        <v>RY22</v>
      </c>
      <c r="P5" s="214" t="str">
        <f t="shared" si="2"/>
        <v>RY23</v>
      </c>
      <c r="Q5" s="214" t="str">
        <f t="shared" si="2"/>
        <v>RY24</v>
      </c>
      <c r="R5" s="214" t="str">
        <f t="shared" si="2"/>
        <v>RY25</v>
      </c>
      <c r="S5" s="214" t="str">
        <f t="shared" si="2"/>
        <v>RY26</v>
      </c>
      <c r="T5" s="214"/>
    </row>
    <row r="6" spans="1:24" s="12" customFormat="1" ht="12" customHeight="1" x14ac:dyDescent="0.2">
      <c r="B6" s="43" t="s">
        <v>45</v>
      </c>
      <c r="C6" s="44"/>
      <c r="D6" s="47"/>
      <c r="E6" s="47"/>
      <c r="F6" s="43"/>
      <c r="G6" s="46"/>
      <c r="H6" s="215" t="s">
        <v>46</v>
      </c>
      <c r="I6" s="216"/>
      <c r="J6" s="216"/>
      <c r="K6" s="216"/>
      <c r="L6" s="216"/>
      <c r="M6" s="215" t="s">
        <v>47</v>
      </c>
      <c r="N6" s="216"/>
      <c r="O6" s="215" t="s">
        <v>48</v>
      </c>
      <c r="P6" s="216"/>
      <c r="Q6" s="216"/>
      <c r="R6" s="216"/>
      <c r="S6" s="216"/>
      <c r="T6" s="215" t="s">
        <v>49</v>
      </c>
    </row>
    <row r="7" spans="1:24" ht="12" customHeight="1" x14ac:dyDescent="0.2">
      <c r="B7" s="18"/>
      <c r="C7" s="16"/>
      <c r="D7" s="19"/>
      <c r="E7" s="19"/>
      <c r="F7" s="18"/>
      <c r="G7" s="18"/>
      <c r="H7" s="18"/>
      <c r="I7" s="18"/>
      <c r="J7" s="18"/>
      <c r="K7" s="18"/>
      <c r="L7" s="18"/>
      <c r="M7" s="18"/>
      <c r="N7" s="18"/>
      <c r="O7" s="18"/>
      <c r="P7" s="18"/>
      <c r="Q7" s="18"/>
      <c r="R7" s="18"/>
      <c r="S7" s="18"/>
      <c r="T7" s="18"/>
    </row>
    <row r="8" spans="1:24" ht="12" customHeight="1" x14ac:dyDescent="0.2">
      <c r="B8" s="18"/>
      <c r="C8" s="16"/>
      <c r="D8" s="19"/>
      <c r="E8" s="19"/>
      <c r="F8" s="18"/>
      <c r="G8" s="18"/>
      <c r="H8" s="18"/>
      <c r="I8" s="18"/>
      <c r="J8" s="18"/>
      <c r="K8" s="18"/>
      <c r="L8" s="18"/>
      <c r="M8" s="18"/>
      <c r="N8" s="18"/>
      <c r="O8" s="18"/>
      <c r="P8" s="18"/>
      <c r="Q8" s="18"/>
      <c r="R8" s="18"/>
      <c r="S8" s="18"/>
      <c r="T8" s="18"/>
    </row>
    <row r="9" spans="1:24" s="13" customFormat="1" ht="12" customHeight="1" x14ac:dyDescent="0.2">
      <c r="A9" s="15"/>
      <c r="B9" s="49" t="s">
        <v>50</v>
      </c>
      <c r="C9" s="50" t="s">
        <v>51</v>
      </c>
      <c r="D9" s="51" t="s">
        <v>52</v>
      </c>
      <c r="E9" s="50" t="s">
        <v>53</v>
      </c>
      <c r="F9" s="18"/>
      <c r="G9" s="20"/>
      <c r="H9" s="20"/>
      <c r="I9" s="20"/>
      <c r="J9" s="20"/>
      <c r="K9" s="18"/>
      <c r="L9" s="18"/>
      <c r="M9" s="18"/>
      <c r="N9" s="18"/>
      <c r="O9" s="18"/>
      <c r="P9" s="18"/>
      <c r="Q9" s="18"/>
      <c r="R9" s="18"/>
      <c r="S9" s="18"/>
      <c r="T9" s="18"/>
    </row>
    <row r="10" spans="1:24" s="13" customFormat="1" ht="12" customHeight="1" x14ac:dyDescent="0.2">
      <c r="A10" s="15"/>
      <c r="B10" s="21"/>
      <c r="C10" s="22"/>
      <c r="D10" s="23"/>
      <c r="E10" s="23"/>
      <c r="F10" s="18"/>
      <c r="G10" s="20"/>
      <c r="H10" s="20"/>
      <c r="I10" s="20"/>
      <c r="J10" s="20"/>
      <c r="K10" s="18"/>
      <c r="L10" s="18"/>
      <c r="M10" s="18"/>
      <c r="N10" s="18"/>
      <c r="O10" s="18"/>
      <c r="P10" s="18"/>
      <c r="Q10" s="18"/>
      <c r="R10" s="18"/>
      <c r="S10" s="18"/>
      <c r="T10" s="18"/>
    </row>
    <row r="11" spans="1:24" s="13" customFormat="1" ht="12" customHeight="1" x14ac:dyDescent="0.2">
      <c r="A11" s="15"/>
      <c r="B11" s="24" t="s">
        <v>54</v>
      </c>
      <c r="C11" s="22" t="s">
        <v>55</v>
      </c>
      <c r="D11" s="183">
        <v>41730</v>
      </c>
      <c r="E11" s="123"/>
      <c r="F11" s="18"/>
      <c r="G11" s="18"/>
      <c r="H11" s="18"/>
      <c r="I11" s="18"/>
    </row>
    <row r="12" spans="1:24" s="13" customFormat="1" ht="12" customHeight="1" x14ac:dyDescent="0.2">
      <c r="A12" s="15"/>
      <c r="B12" s="15"/>
      <c r="C12" s="25"/>
    </row>
    <row r="13" spans="1:24" s="13" customFormat="1" ht="12" customHeight="1" x14ac:dyDescent="0.2">
      <c r="A13" s="15"/>
      <c r="B13" s="33" t="s">
        <v>56</v>
      </c>
      <c r="C13" s="34" t="s">
        <v>51</v>
      </c>
      <c r="D13" s="35" t="s">
        <v>52</v>
      </c>
      <c r="E13" s="50" t="s">
        <v>53</v>
      </c>
      <c r="V13" s="15"/>
    </row>
    <row r="15" spans="1:24" ht="12" customHeight="1" x14ac:dyDescent="0.2">
      <c r="B15" s="15" t="s">
        <v>57</v>
      </c>
      <c r="C15" s="15" t="s">
        <v>58</v>
      </c>
      <c r="D15" s="36">
        <f>SUM(D20:D122)</f>
        <v>0</v>
      </c>
      <c r="E15" s="36"/>
    </row>
    <row r="17" spans="2:5" ht="12" customHeight="1" x14ac:dyDescent="0.2">
      <c r="B17" s="37" t="s">
        <v>14</v>
      </c>
      <c r="C17" s="15"/>
    </row>
    <row r="18" spans="2:5" ht="12" customHeight="1" x14ac:dyDescent="0.2">
      <c r="B18" s="26"/>
      <c r="C18" s="15"/>
    </row>
    <row r="19" spans="2:5" ht="12" customHeight="1" x14ac:dyDescent="0.2">
      <c r="B19" s="64" t="s">
        <v>59</v>
      </c>
      <c r="C19" s="13"/>
      <c r="D19" s="13"/>
      <c r="E19" s="13"/>
    </row>
    <row r="20" spans="2:5" ht="12" customHeight="1" x14ac:dyDescent="0.2">
      <c r="B20" s="13" t="str">
        <f>Escalators!B73</f>
        <v>Error check 1</v>
      </c>
      <c r="C20" s="13" t="s">
        <v>58</v>
      </c>
      <c r="D20" s="36">
        <f>Escalators!D73</f>
        <v>0</v>
      </c>
      <c r="E20" s="36"/>
    </row>
    <row r="21" spans="2:5" ht="12" customHeight="1" x14ac:dyDescent="0.2">
      <c r="B21" s="13" t="str">
        <f>Escalators!B83</f>
        <v>Error check 2</v>
      </c>
      <c r="C21" s="13" t="s">
        <v>58</v>
      </c>
      <c r="D21" s="36">
        <f>Escalators!D83</f>
        <v>0</v>
      </c>
      <c r="E21" s="36"/>
    </row>
    <row r="22" spans="2:5" ht="12" customHeight="1" x14ac:dyDescent="0.2">
      <c r="B22" s="13" t="str">
        <f>Escalators!B93</f>
        <v>Error check 3</v>
      </c>
      <c r="C22" s="13" t="s">
        <v>58</v>
      </c>
      <c r="D22" s="36">
        <f>Escalators!D93</f>
        <v>0</v>
      </c>
      <c r="E22" s="36"/>
    </row>
    <row r="23" spans="2:5" ht="12" customHeight="1" x14ac:dyDescent="0.2">
      <c r="B23" s="13" t="str">
        <f>Escalators!B103</f>
        <v>Error check 4</v>
      </c>
      <c r="C23" s="13" t="s">
        <v>58</v>
      </c>
      <c r="D23" s="36">
        <f>Escalators!D103</f>
        <v>0</v>
      </c>
      <c r="E23" s="36"/>
    </row>
    <row r="24" spans="2:5" ht="12" customHeight="1" x14ac:dyDescent="0.2">
      <c r="B24" s="13" t="str">
        <f>Escalators!B113</f>
        <v>Error check 5</v>
      </c>
      <c r="C24" s="13" t="s">
        <v>58</v>
      </c>
      <c r="D24" s="36">
        <f>Escalators!D113</f>
        <v>0</v>
      </c>
      <c r="E24" s="36"/>
    </row>
    <row r="25" spans="2:5" ht="12" customHeight="1" x14ac:dyDescent="0.2">
      <c r="B25" s="13" t="str">
        <f>Escalators!B123</f>
        <v>Error check 6</v>
      </c>
      <c r="C25" s="13" t="s">
        <v>58</v>
      </c>
      <c r="D25" s="36">
        <f>Escalators!D123</f>
        <v>0</v>
      </c>
      <c r="E25" s="36"/>
    </row>
    <row r="26" spans="2:5" ht="12" customHeight="1" x14ac:dyDescent="0.2">
      <c r="B26" s="13"/>
      <c r="C26" s="13"/>
      <c r="D26" s="36"/>
      <c r="E26" s="36"/>
    </row>
    <row r="27" spans="2:5" ht="12" customHeight="1" x14ac:dyDescent="0.2">
      <c r="B27" s="64" t="s">
        <v>60</v>
      </c>
      <c r="C27" s="13"/>
      <c r="D27" s="13"/>
      <c r="E27" s="13"/>
    </row>
    <row r="28" spans="2:5" ht="12" customHeight="1" x14ac:dyDescent="0.2">
      <c r="B28" s="13" t="str">
        <f>'Works under construction'!B120</f>
        <v>Error check 1</v>
      </c>
      <c r="C28" s="13" t="s">
        <v>58</v>
      </c>
      <c r="D28" s="36">
        <f>'Works under construction'!D120</f>
        <v>0</v>
      </c>
      <c r="E28" s="36"/>
    </row>
    <row r="29" spans="2:5" ht="12" customHeight="1" x14ac:dyDescent="0.2">
      <c r="B29" s="13" t="str">
        <f>'Works under construction'!B121</f>
        <v>Error check 2</v>
      </c>
      <c r="C29" s="13" t="s">
        <v>58</v>
      </c>
      <c r="D29" s="36">
        <f>'Works under construction'!D121</f>
        <v>0</v>
      </c>
      <c r="E29" s="36"/>
    </row>
    <row r="30" spans="2:5" ht="12" customHeight="1" x14ac:dyDescent="0.2">
      <c r="B30" s="13" t="str">
        <f>'Works under construction'!B122</f>
        <v>Error check 3</v>
      </c>
      <c r="C30" s="13" t="s">
        <v>58</v>
      </c>
      <c r="D30" s="36">
        <f>'Works under construction'!D122</f>
        <v>0</v>
      </c>
      <c r="E30" s="36"/>
    </row>
    <row r="31" spans="2:5" ht="12" customHeight="1" x14ac:dyDescent="0.2">
      <c r="B31" s="13" t="str">
        <f>'Works under construction'!B123</f>
        <v>Error check 4</v>
      </c>
      <c r="C31" s="13" t="s">
        <v>58</v>
      </c>
      <c r="D31" s="36">
        <f>'Works under construction'!D123</f>
        <v>0</v>
      </c>
      <c r="E31" s="36"/>
    </row>
    <row r="32" spans="2:5" ht="12" customHeight="1" x14ac:dyDescent="0.2">
      <c r="B32" s="13"/>
      <c r="C32" s="13"/>
      <c r="D32" s="13"/>
      <c r="E32" s="13"/>
    </row>
    <row r="33" spans="2:5" ht="12" customHeight="1" x14ac:dyDescent="0.2">
      <c r="B33" s="63" t="s">
        <v>12</v>
      </c>
      <c r="C33" s="13"/>
      <c r="D33" s="13"/>
      <c r="E33" s="13"/>
    </row>
    <row r="34" spans="2:5" ht="12" customHeight="1" x14ac:dyDescent="0.2">
      <c r="B34" s="64"/>
      <c r="C34" s="13"/>
      <c r="D34" s="13"/>
      <c r="E34" s="13"/>
    </row>
    <row r="35" spans="2:5" ht="12" customHeight="1" x14ac:dyDescent="0.2">
      <c r="B35" s="64" t="s">
        <v>59</v>
      </c>
      <c r="C35" s="13"/>
      <c r="D35" s="13"/>
      <c r="E35" s="13"/>
    </row>
    <row r="36" spans="2:5" ht="12" customHeight="1" x14ac:dyDescent="0.2">
      <c r="B36" s="13" t="str">
        <f>'Escalators '!B39</f>
        <v>Error check 1</v>
      </c>
      <c r="C36" s="13" t="s">
        <v>58</v>
      </c>
      <c r="D36" s="36">
        <f>'Escalators '!D39</f>
        <v>0</v>
      </c>
      <c r="E36" s="36"/>
    </row>
    <row r="37" spans="2:5" ht="12" customHeight="1" x14ac:dyDescent="0.2">
      <c r="B37" s="13" t="str">
        <f>'Escalators '!B53</f>
        <v>Error check 2</v>
      </c>
      <c r="C37" s="13" t="s">
        <v>58</v>
      </c>
      <c r="D37" s="36">
        <f>'Escalators '!D53</f>
        <v>0</v>
      </c>
      <c r="E37" s="36"/>
    </row>
    <row r="38" spans="2:5" ht="12" customHeight="1" x14ac:dyDescent="0.2">
      <c r="B38" s="13" t="str">
        <f>'Escalators '!B67</f>
        <v>Error check 3</v>
      </c>
      <c r="C38" s="13" t="s">
        <v>58</v>
      </c>
      <c r="D38" s="36">
        <f>'Escalators '!D67</f>
        <v>0</v>
      </c>
      <c r="E38" s="36"/>
    </row>
    <row r="39" spans="2:5" ht="12" customHeight="1" x14ac:dyDescent="0.2">
      <c r="B39" s="13" t="str">
        <f>'Escalators '!B81</f>
        <v>Error check 4</v>
      </c>
      <c r="C39" s="13" t="s">
        <v>58</v>
      </c>
      <c r="D39" s="36">
        <f>'Escalators '!D81</f>
        <v>0</v>
      </c>
      <c r="E39" s="36"/>
    </row>
    <row r="40" spans="2:5" ht="12" customHeight="1" x14ac:dyDescent="0.2">
      <c r="B40" s="13" t="str">
        <f>'Escalators '!B95</f>
        <v>Error check 5</v>
      </c>
      <c r="C40" s="13" t="s">
        <v>58</v>
      </c>
      <c r="D40" s="36">
        <f>'Escalators '!D95</f>
        <v>0</v>
      </c>
      <c r="E40" s="36"/>
    </row>
    <row r="41" spans="2:5" ht="12" customHeight="1" x14ac:dyDescent="0.2">
      <c r="B41" s="13" t="str">
        <f>'Escalators '!B109</f>
        <v>Error check 6</v>
      </c>
      <c r="C41" s="13" t="s">
        <v>58</v>
      </c>
      <c r="D41" s="36">
        <f>'Escalators '!D109</f>
        <v>0</v>
      </c>
      <c r="E41" s="36"/>
    </row>
    <row r="42" spans="2:5" ht="12" customHeight="1" x14ac:dyDescent="0.2">
      <c r="B42" s="64"/>
      <c r="C42" s="13"/>
      <c r="D42" s="13"/>
      <c r="E42" s="13"/>
    </row>
    <row r="43" spans="2:5" ht="12" customHeight="1" x14ac:dyDescent="0.2">
      <c r="B43" s="64" t="s">
        <v>61</v>
      </c>
      <c r="C43" s="13"/>
      <c r="D43" s="13"/>
      <c r="E43" s="13"/>
    </row>
    <row r="44" spans="2:5" ht="12" customHeight="1" x14ac:dyDescent="0.2">
      <c r="B44" s="13" t="str">
        <f>'Opex summary'!B31</f>
        <v>Error check 1</v>
      </c>
      <c r="C44" s="13" t="s">
        <v>58</v>
      </c>
      <c r="D44" s="36">
        <f>'Opex summary'!D31</f>
        <v>0</v>
      </c>
      <c r="E44" s="36"/>
    </row>
    <row r="45" spans="2:5" ht="12" customHeight="1" x14ac:dyDescent="0.2">
      <c r="B45" s="13" t="str">
        <f>'Opex summary'!B47</f>
        <v>Error check 2</v>
      </c>
      <c r="C45" s="13" t="s">
        <v>58</v>
      </c>
      <c r="D45" s="36">
        <f>'Opex summary'!D47</f>
        <v>0</v>
      </c>
      <c r="E45" s="36"/>
    </row>
    <row r="46" spans="2:5" ht="12" customHeight="1" x14ac:dyDescent="0.2">
      <c r="B46" s="13" t="str">
        <f>'Opex summary'!B75</f>
        <v>Error check 3</v>
      </c>
      <c r="C46" s="13" t="s">
        <v>58</v>
      </c>
      <c r="D46" s="36">
        <f>'Opex summary'!D75</f>
        <v>0</v>
      </c>
      <c r="E46" s="36"/>
    </row>
    <row r="47" spans="2:5" ht="12" customHeight="1" x14ac:dyDescent="0.2">
      <c r="B47" s="13" t="str">
        <f>'Opex summary'!B101</f>
        <v>Error check 4</v>
      </c>
      <c r="C47" s="13" t="s">
        <v>58</v>
      </c>
      <c r="D47" s="36">
        <f>'Opex summary'!D101</f>
        <v>0</v>
      </c>
      <c r="E47" s="36"/>
    </row>
    <row r="48" spans="2:5" ht="12" customHeight="1" x14ac:dyDescent="0.2">
      <c r="B48" s="13"/>
      <c r="C48" s="13"/>
      <c r="D48" s="13"/>
      <c r="E48" s="13"/>
    </row>
    <row r="49" spans="2:5" ht="12" customHeight="1" x14ac:dyDescent="0.2">
      <c r="B49" s="64" t="s">
        <v>62</v>
      </c>
      <c r="C49" s="13"/>
      <c r="D49" s="13"/>
      <c r="E49" s="13"/>
    </row>
    <row r="50" spans="2:5" ht="12" customHeight="1" x14ac:dyDescent="0.2">
      <c r="B50" s="13" t="str">
        <f>'Capex summary'!B33</f>
        <v>Error check 1</v>
      </c>
      <c r="C50" s="13" t="s">
        <v>58</v>
      </c>
      <c r="D50" s="36">
        <f>'Capex summary'!D33</f>
        <v>0</v>
      </c>
      <c r="E50" s="36"/>
    </row>
    <row r="51" spans="2:5" ht="12" customHeight="1" x14ac:dyDescent="0.2">
      <c r="B51" s="13" t="str">
        <f>'Capex summary'!B58</f>
        <v>Error check 2</v>
      </c>
      <c r="C51" s="13" t="s">
        <v>58</v>
      </c>
      <c r="D51" s="36">
        <f>'Capex summary'!D58</f>
        <v>0</v>
      </c>
      <c r="E51" s="36"/>
    </row>
    <row r="52" spans="2:5" ht="12" customHeight="1" x14ac:dyDescent="0.2">
      <c r="B52" s="13" t="str">
        <f>'Capex summary'!B80</f>
        <v>Error check 3</v>
      </c>
      <c r="C52" s="13" t="s">
        <v>58</v>
      </c>
      <c r="D52" s="36">
        <f>'Capex summary'!D80</f>
        <v>0</v>
      </c>
      <c r="E52" s="36"/>
    </row>
    <row r="53" spans="2:5" ht="12" customHeight="1" x14ac:dyDescent="0.2">
      <c r="B53" s="13" t="str">
        <f>'Capex summary'!B100</f>
        <v>Error check 4</v>
      </c>
      <c r="C53" s="13" t="s">
        <v>58</v>
      </c>
      <c r="D53" s="36">
        <f>'Capex summary'!D100</f>
        <v>0</v>
      </c>
      <c r="E53" s="36"/>
    </row>
    <row r="54" spans="2:5" ht="12" customHeight="1" x14ac:dyDescent="0.2">
      <c r="B54" s="13" t="str">
        <f>'Capex summary'!B119</f>
        <v>Error check 5</v>
      </c>
      <c r="C54" s="13" t="s">
        <v>58</v>
      </c>
      <c r="D54" s="36">
        <f>'Capex summary'!D119</f>
        <v>0</v>
      </c>
      <c r="E54" s="36"/>
    </row>
    <row r="55" spans="2:5" ht="12" customHeight="1" x14ac:dyDescent="0.2">
      <c r="B55" s="13" t="str">
        <f>'Capex summary'!B136</f>
        <v>Error check 6</v>
      </c>
      <c r="C55" s="13" t="s">
        <v>58</v>
      </c>
      <c r="D55" s="36">
        <f>'Capex summary'!D136</f>
        <v>0</v>
      </c>
      <c r="E55" s="36"/>
    </row>
    <row r="56" spans="2:5" ht="12" customHeight="1" x14ac:dyDescent="0.2">
      <c r="B56" s="13" t="str">
        <f>'Capex summary'!B155</f>
        <v>Error check 7</v>
      </c>
      <c r="C56" s="13" t="s">
        <v>58</v>
      </c>
      <c r="D56" s="36">
        <f>'Capex summary'!D155</f>
        <v>0</v>
      </c>
      <c r="E56" s="36"/>
    </row>
    <row r="57" spans="2:5" ht="12" customHeight="1" x14ac:dyDescent="0.2">
      <c r="B57" s="13" t="str">
        <f>'Capex summary'!B172</f>
        <v>Error check 8</v>
      </c>
      <c r="C57" s="13" t="s">
        <v>58</v>
      </c>
      <c r="D57" s="36">
        <f>'Capex summary'!D172</f>
        <v>0</v>
      </c>
      <c r="E57" s="36"/>
    </row>
    <row r="58" spans="2:5" ht="12" customHeight="1" x14ac:dyDescent="0.2">
      <c r="B58" s="13"/>
      <c r="C58" s="13"/>
      <c r="D58" s="36"/>
      <c r="E58" s="36"/>
    </row>
    <row r="59" spans="2:5" ht="12" customHeight="1" x14ac:dyDescent="0.2">
      <c r="B59" s="64" t="s">
        <v>63</v>
      </c>
      <c r="C59" s="13"/>
      <c r="D59" s="36"/>
      <c r="E59" s="36"/>
    </row>
    <row r="60" spans="2:5" ht="12" customHeight="1" x14ac:dyDescent="0.2">
      <c r="B60" s="13" t="str">
        <f>'Commissioned assets allocation'!B29</f>
        <v>Error check 1</v>
      </c>
      <c r="C60" s="13" t="s">
        <v>58</v>
      </c>
      <c r="D60" s="36">
        <f>'Commissioned assets allocation'!D29</f>
        <v>0</v>
      </c>
      <c r="E60" s="36"/>
    </row>
    <row r="61" spans="2:5" ht="12" customHeight="1" x14ac:dyDescent="0.2">
      <c r="B61" s="13" t="str">
        <f>'Commissioned assets allocation'!B42</f>
        <v>Error check 2</v>
      </c>
      <c r="C61" s="13" t="s">
        <v>58</v>
      </c>
      <c r="D61" s="36">
        <f>'Commissioned assets allocation'!D42</f>
        <v>0</v>
      </c>
      <c r="E61" s="36"/>
    </row>
    <row r="62" spans="2:5" ht="12" customHeight="1" x14ac:dyDescent="0.2">
      <c r="B62" s="13" t="str">
        <f>'Commissioned assets allocation'!B62</f>
        <v>Error check 3</v>
      </c>
      <c r="C62" s="13" t="s">
        <v>58</v>
      </c>
      <c r="D62" s="36">
        <f>'Commissioned assets allocation'!D62</f>
        <v>0</v>
      </c>
      <c r="E62" s="36"/>
    </row>
    <row r="63" spans="2:5" ht="12" customHeight="1" x14ac:dyDescent="0.2">
      <c r="B63" s="13" t="str">
        <f>'Commissioned assets allocation'!B82</f>
        <v>Error check 4</v>
      </c>
      <c r="C63" s="13" t="s">
        <v>58</v>
      </c>
      <c r="D63" s="36">
        <f>'Commissioned assets allocation'!D82</f>
        <v>0</v>
      </c>
      <c r="E63" s="36"/>
    </row>
    <row r="64" spans="2:5" ht="12" customHeight="1" x14ac:dyDescent="0.2">
      <c r="B64" s="13" t="str">
        <f>'Commissioned assets allocation'!B98</f>
        <v>Error check 5</v>
      </c>
      <c r="C64" s="13" t="s">
        <v>58</v>
      </c>
      <c r="D64" s="36">
        <f>'Commissioned assets allocation'!D98</f>
        <v>0</v>
      </c>
      <c r="E64" s="36"/>
    </row>
    <row r="65" spans="2:5" ht="12" customHeight="1" x14ac:dyDescent="0.2">
      <c r="B65" s="13" t="str">
        <f>'Commissioned assets allocation'!B114</f>
        <v>Error check 6</v>
      </c>
      <c r="C65" s="13" t="s">
        <v>58</v>
      </c>
      <c r="D65" s="36">
        <f>'Commissioned assets allocation'!D114</f>
        <v>0</v>
      </c>
      <c r="E65" s="36"/>
    </row>
    <row r="66" spans="2:5" ht="12" customHeight="1" x14ac:dyDescent="0.2">
      <c r="B66" s="13" t="str">
        <f>'Commissioned assets allocation'!B130</f>
        <v>Error check 7</v>
      </c>
      <c r="C66" s="13" t="s">
        <v>58</v>
      </c>
      <c r="D66" s="36">
        <f>'Commissioned assets allocation'!D130</f>
        <v>0</v>
      </c>
      <c r="E66" s="36"/>
    </row>
    <row r="67" spans="2:5" ht="12" customHeight="1" x14ac:dyDescent="0.2">
      <c r="B67" s="13" t="str">
        <f>'Commissioned assets allocation'!B142</f>
        <v>Error check 8</v>
      </c>
      <c r="C67" s="13" t="s">
        <v>58</v>
      </c>
      <c r="D67" s="36">
        <f>'Commissioned assets allocation'!D142</f>
        <v>0</v>
      </c>
      <c r="E67" s="36"/>
    </row>
    <row r="68" spans="2:5" ht="12" customHeight="1" x14ac:dyDescent="0.2">
      <c r="B68" s="13" t="str">
        <f>'Commissioned assets allocation'!B158</f>
        <v>Error check 9</v>
      </c>
      <c r="C68" s="13" t="s">
        <v>58</v>
      </c>
      <c r="D68" s="36">
        <f>'Commissioned assets allocation'!D158</f>
        <v>0</v>
      </c>
      <c r="E68" s="36"/>
    </row>
    <row r="69" spans="2:5" ht="12" customHeight="1" x14ac:dyDescent="0.2">
      <c r="B69" s="13" t="str">
        <f>'Commissioned assets allocation'!B174</f>
        <v>Error check 10</v>
      </c>
      <c r="C69" s="13" t="s">
        <v>58</v>
      </c>
      <c r="D69" s="36">
        <f>'Commissioned assets allocation'!D174</f>
        <v>0</v>
      </c>
      <c r="E69" s="36"/>
    </row>
    <row r="70" spans="2:5" ht="12" customHeight="1" x14ac:dyDescent="0.2">
      <c r="B70" s="13" t="str">
        <f>'Commissioned assets allocation'!B189</f>
        <v>Error check 11</v>
      </c>
      <c r="C70" s="13" t="s">
        <v>58</v>
      </c>
      <c r="D70" s="36">
        <f>'Commissioned assets allocation'!D189</f>
        <v>0</v>
      </c>
      <c r="E70" s="36"/>
    </row>
    <row r="71" spans="2:5" ht="12" customHeight="1" x14ac:dyDescent="0.2">
      <c r="B71" s="13" t="str">
        <f>'Commissioned assets allocation'!B204</f>
        <v>Error check 12</v>
      </c>
      <c r="C71" s="13" t="s">
        <v>58</v>
      </c>
      <c r="D71" s="36">
        <f>'Commissioned assets allocation'!D204</f>
        <v>0</v>
      </c>
      <c r="E71" s="36"/>
    </row>
    <row r="72" spans="2:5" s="13" customFormat="1" ht="12" customHeight="1" x14ac:dyDescent="0.2">
      <c r="D72" s="36"/>
      <c r="E72" s="36"/>
    </row>
    <row r="73" spans="2:5" ht="12" customHeight="1" x14ac:dyDescent="0.2">
      <c r="B73" s="64" t="s">
        <v>64</v>
      </c>
      <c r="C73" s="13"/>
      <c r="D73" s="13"/>
      <c r="E73" s="13"/>
    </row>
    <row r="74" spans="2:5" ht="12" customHeight="1" x14ac:dyDescent="0.2">
      <c r="B74" s="13" t="str">
        <f>'Commissioned assets summary'!B35</f>
        <v>Error check 1</v>
      </c>
      <c r="C74" s="13" t="s">
        <v>58</v>
      </c>
      <c r="D74" s="36">
        <f>'Commissioned assets summary'!D35</f>
        <v>0</v>
      </c>
      <c r="E74" s="36"/>
    </row>
    <row r="75" spans="2:5" ht="12" customHeight="1" x14ac:dyDescent="0.2">
      <c r="B75" s="13" t="str">
        <f>'Commissioned assets summary'!B50</f>
        <v>Error check 2</v>
      </c>
      <c r="C75" s="13" t="s">
        <v>58</v>
      </c>
      <c r="D75" s="36">
        <f>'Commissioned assets summary'!D50</f>
        <v>0</v>
      </c>
      <c r="E75" s="36"/>
    </row>
    <row r="76" spans="2:5" ht="12" customHeight="1" x14ac:dyDescent="0.2">
      <c r="B76" s="13" t="str">
        <f>'Commissioned assets summary'!B72</f>
        <v>Error check 3</v>
      </c>
      <c r="C76" s="13" t="s">
        <v>58</v>
      </c>
      <c r="D76" s="36">
        <f>'Commissioned assets summary'!D72</f>
        <v>0</v>
      </c>
      <c r="E76" s="36"/>
    </row>
    <row r="77" spans="2:5" ht="12" customHeight="1" x14ac:dyDescent="0.2">
      <c r="B77" s="13" t="str">
        <f>'Commissioned assets summary'!B92</f>
        <v>Error check 4</v>
      </c>
      <c r="C77" s="13" t="s">
        <v>58</v>
      </c>
      <c r="D77" s="36">
        <f>'Commissioned assets summary'!D92</f>
        <v>0</v>
      </c>
      <c r="E77" s="36"/>
    </row>
    <row r="78" spans="2:5" ht="12" customHeight="1" x14ac:dyDescent="0.2">
      <c r="B78" s="13" t="str">
        <f>'Commissioned assets summary'!B110</f>
        <v>Error check 5</v>
      </c>
      <c r="C78" s="13" t="s">
        <v>58</v>
      </c>
      <c r="D78" s="36">
        <f>'Commissioned assets summary'!D110</f>
        <v>0</v>
      </c>
      <c r="E78" s="36"/>
    </row>
    <row r="79" spans="2:5" ht="12" customHeight="1" x14ac:dyDescent="0.2">
      <c r="B79" s="13" t="str">
        <f>'Commissioned assets summary'!B128</f>
        <v>Error check 6</v>
      </c>
      <c r="C79" s="13" t="s">
        <v>58</v>
      </c>
      <c r="D79" s="36">
        <f>'Commissioned assets summary'!D128</f>
        <v>0</v>
      </c>
      <c r="E79" s="36"/>
    </row>
    <row r="80" spans="2:5" ht="12" customHeight="1" x14ac:dyDescent="0.2">
      <c r="B80" s="13" t="str">
        <f>'Commissioned assets summary'!B145</f>
        <v>Error check 7</v>
      </c>
      <c r="C80" s="13" t="s">
        <v>58</v>
      </c>
      <c r="D80" s="36">
        <f>'Commissioned assets summary'!D145</f>
        <v>0</v>
      </c>
      <c r="E80" s="36"/>
    </row>
    <row r="81" spans="2:5" ht="12" customHeight="1" x14ac:dyDescent="0.2">
      <c r="B81" s="13" t="str">
        <f>'Commissioned assets summary'!B158</f>
        <v>Error check 8</v>
      </c>
      <c r="C81" s="13" t="s">
        <v>58</v>
      </c>
      <c r="D81" s="36">
        <f>'Commissioned assets summary'!D158</f>
        <v>0</v>
      </c>
      <c r="E81" s="36"/>
    </row>
    <row r="82" spans="2:5" ht="12" customHeight="1" x14ac:dyDescent="0.2">
      <c r="B82" s="13" t="str">
        <f>'Commissioned assets summary'!B178</f>
        <v>Error check 9</v>
      </c>
      <c r="C82" s="13" t="s">
        <v>58</v>
      </c>
      <c r="D82" s="36">
        <f>'Commissioned assets summary'!D178</f>
        <v>0</v>
      </c>
      <c r="E82" s="36"/>
    </row>
    <row r="83" spans="2:5" ht="12" customHeight="1" x14ac:dyDescent="0.2">
      <c r="B83" s="13" t="str">
        <f>'Commissioned assets summary'!B198</f>
        <v>Error check 10</v>
      </c>
      <c r="C83" s="13" t="s">
        <v>58</v>
      </c>
      <c r="D83" s="36">
        <f>'Commissioned assets summary'!D198</f>
        <v>0</v>
      </c>
      <c r="E83" s="36"/>
    </row>
    <row r="84" spans="2:5" ht="12" customHeight="1" x14ac:dyDescent="0.2">
      <c r="B84" s="13" t="str">
        <f>'Commissioned assets summary'!B214</f>
        <v>Error check 11</v>
      </c>
      <c r="C84" s="13" t="s">
        <v>58</v>
      </c>
      <c r="D84" s="36">
        <f>'Commissioned assets summary'!D214</f>
        <v>0</v>
      </c>
      <c r="E84" s="36"/>
    </row>
    <row r="85" spans="2:5" ht="12" customHeight="1" x14ac:dyDescent="0.2">
      <c r="B85" s="13" t="str">
        <f>'Commissioned assets summary'!B230</f>
        <v>Error check 12</v>
      </c>
      <c r="C85" s="13" t="s">
        <v>58</v>
      </c>
      <c r="D85" s="36">
        <f>'Commissioned assets summary'!D230</f>
        <v>0</v>
      </c>
      <c r="E85" s="36"/>
    </row>
    <row r="86" spans="2:5" ht="12" customHeight="1" x14ac:dyDescent="0.2">
      <c r="B86" s="13" t="str">
        <f>'Commissioned assets summary'!B247</f>
        <v>Error check 13</v>
      </c>
      <c r="C86" s="13" t="s">
        <v>58</v>
      </c>
      <c r="D86" s="36">
        <f>'Commissioned assets summary'!D247</f>
        <v>0</v>
      </c>
      <c r="E86" s="36"/>
    </row>
    <row r="87" spans="2:5" ht="12" customHeight="1" x14ac:dyDescent="0.2">
      <c r="B87" s="13" t="str">
        <f>'Commissioned assets summary'!B262</f>
        <v>Error check 14</v>
      </c>
      <c r="C87" s="13" t="s">
        <v>58</v>
      </c>
      <c r="D87" s="36">
        <f>'Commissioned assets summary'!D262</f>
        <v>0</v>
      </c>
      <c r="E87" s="36"/>
    </row>
    <row r="88" spans="2:5" ht="12" customHeight="1" x14ac:dyDescent="0.2">
      <c r="B88" s="13" t="str">
        <f>'Commissioned assets summary'!B282</f>
        <v>Error check 15</v>
      </c>
      <c r="C88" s="13" t="s">
        <v>58</v>
      </c>
      <c r="D88" s="36">
        <f>'Commissioned assets summary'!D282</f>
        <v>0</v>
      </c>
      <c r="E88" s="36"/>
    </row>
    <row r="89" spans="2:5" ht="12" customHeight="1" x14ac:dyDescent="0.2">
      <c r="B89" s="13" t="str">
        <f>'Commissioned assets summary'!B302</f>
        <v>Error check 16</v>
      </c>
      <c r="C89" s="13" t="s">
        <v>58</v>
      </c>
      <c r="D89" s="36">
        <f>'Commissioned assets summary'!D302</f>
        <v>0</v>
      </c>
      <c r="E89" s="36"/>
    </row>
    <row r="90" spans="2:5" ht="12" customHeight="1" x14ac:dyDescent="0.2">
      <c r="B90" s="13" t="str">
        <f>'Commissioned assets summary'!B318</f>
        <v>Error check 17</v>
      </c>
      <c r="C90" s="13" t="s">
        <v>58</v>
      </c>
      <c r="D90" s="36">
        <f>'Commissioned assets summary'!D318</f>
        <v>0</v>
      </c>
      <c r="E90" s="36"/>
    </row>
    <row r="91" spans="2:5" ht="12" customHeight="1" x14ac:dyDescent="0.2">
      <c r="B91" s="13" t="str">
        <f>'Commissioned assets summary'!B334</f>
        <v>Error check 18</v>
      </c>
      <c r="C91" s="13" t="s">
        <v>58</v>
      </c>
      <c r="D91" s="36">
        <f>'Commissioned assets summary'!D334</f>
        <v>0</v>
      </c>
      <c r="E91" s="36"/>
    </row>
    <row r="92" spans="2:5" ht="12" customHeight="1" x14ac:dyDescent="0.2">
      <c r="B92" s="13" t="str">
        <f>'Commissioned assets summary'!B351</f>
        <v>Error check 19</v>
      </c>
      <c r="C92" s="13" t="s">
        <v>58</v>
      </c>
      <c r="D92" s="36">
        <f>'Commissioned assets summary'!D351</f>
        <v>0</v>
      </c>
      <c r="E92" s="36"/>
    </row>
    <row r="93" spans="2:5" ht="12" customHeight="1" x14ac:dyDescent="0.2">
      <c r="B93" s="13" t="str">
        <f>'Commissioned assets summary'!B366</f>
        <v>Error check 20</v>
      </c>
      <c r="C93" s="13" t="s">
        <v>58</v>
      </c>
      <c r="D93" s="36">
        <f>'Commissioned assets summary'!D366</f>
        <v>0</v>
      </c>
      <c r="E93" s="36"/>
    </row>
    <row r="94" spans="2:5" ht="12" customHeight="1" x14ac:dyDescent="0.2">
      <c r="B94" s="13" t="str">
        <f>'Commissioned assets summary'!B386</f>
        <v>Error check 21</v>
      </c>
      <c r="C94" s="13" t="s">
        <v>58</v>
      </c>
      <c r="D94" s="36">
        <f>'Commissioned assets summary'!D386</f>
        <v>0</v>
      </c>
      <c r="E94" s="36"/>
    </row>
    <row r="95" spans="2:5" ht="12" customHeight="1" x14ac:dyDescent="0.2">
      <c r="B95" s="13" t="str">
        <f>'Commissioned assets summary'!B406</f>
        <v>Error check 22</v>
      </c>
      <c r="C95" s="13" t="s">
        <v>58</v>
      </c>
      <c r="D95" s="36">
        <f>'Commissioned assets summary'!D406</f>
        <v>0</v>
      </c>
      <c r="E95" s="36"/>
    </row>
    <row r="96" spans="2:5" ht="12" customHeight="1" x14ac:dyDescent="0.2">
      <c r="B96" s="13" t="str">
        <f>'Commissioned assets summary'!B422</f>
        <v>Error check 23</v>
      </c>
      <c r="C96" s="13" t="s">
        <v>58</v>
      </c>
      <c r="D96" s="36">
        <f>'Commissioned assets summary'!D422</f>
        <v>0</v>
      </c>
      <c r="E96" s="36"/>
    </row>
    <row r="97" spans="2:5" ht="12" customHeight="1" x14ac:dyDescent="0.2">
      <c r="B97" s="13" t="str">
        <f>'Commissioned assets summary'!B438</f>
        <v>Error check 24</v>
      </c>
      <c r="C97" s="13" t="s">
        <v>58</v>
      </c>
      <c r="D97" s="36">
        <f>'Commissioned assets summary'!D438</f>
        <v>0</v>
      </c>
      <c r="E97" s="36"/>
    </row>
    <row r="98" spans="2:5" ht="12" customHeight="1" x14ac:dyDescent="0.2">
      <c r="B98" s="13"/>
      <c r="C98" s="13"/>
      <c r="D98" s="13"/>
      <c r="E98" s="13"/>
    </row>
    <row r="99" spans="2:5" ht="12" customHeight="1" x14ac:dyDescent="0.2">
      <c r="B99" s="64" t="s">
        <v>65</v>
      </c>
      <c r="C99" s="13"/>
      <c r="D99" s="13"/>
      <c r="E99" s="13"/>
    </row>
    <row r="100" spans="2:5" ht="12" customHeight="1" x14ac:dyDescent="0.2">
      <c r="B100" s="13" t="str">
        <f>'Schedule E calculations'!B26</f>
        <v>Error check 1</v>
      </c>
      <c r="C100" s="13" t="s">
        <v>58</v>
      </c>
      <c r="D100" s="36">
        <f>'Schedule E calculations'!C26</f>
        <v>0</v>
      </c>
      <c r="E100" s="36"/>
    </row>
    <row r="101" spans="2:5" ht="12" customHeight="1" x14ac:dyDescent="0.2">
      <c r="B101" s="13" t="str">
        <f>'Schedule E calculations'!B36</f>
        <v>Error check 2</v>
      </c>
      <c r="C101" s="13" t="s">
        <v>58</v>
      </c>
      <c r="D101" s="36">
        <f>'Schedule E calculations'!C36</f>
        <v>0</v>
      </c>
      <c r="E101" s="36"/>
    </row>
    <row r="102" spans="2:5" ht="12" customHeight="1" x14ac:dyDescent="0.2">
      <c r="B102" s="13" t="str">
        <f>'Schedule E calculations'!B46</f>
        <v>Error check 3</v>
      </c>
      <c r="C102" s="13" t="s">
        <v>58</v>
      </c>
      <c r="D102" s="36">
        <f>'Schedule E calculations'!C46</f>
        <v>0</v>
      </c>
      <c r="E102" s="36"/>
    </row>
    <row r="103" spans="2:5" ht="12" customHeight="1" x14ac:dyDescent="0.2">
      <c r="B103" s="13" t="str">
        <f>'Schedule E calculations'!B56</f>
        <v>Error check 4</v>
      </c>
      <c r="C103" s="13" t="s">
        <v>58</v>
      </c>
      <c r="D103" s="36">
        <f>'Schedule E calculations'!C56</f>
        <v>0</v>
      </c>
      <c r="E103" s="36"/>
    </row>
    <row r="104" spans="2:5" ht="12" customHeight="1" x14ac:dyDescent="0.2">
      <c r="B104" s="13" t="str">
        <f>'Schedule E calculations'!B66</f>
        <v>Error check 5</v>
      </c>
      <c r="C104" s="13" t="s">
        <v>58</v>
      </c>
      <c r="D104" s="36">
        <f>'Schedule E calculations'!C66</f>
        <v>0</v>
      </c>
      <c r="E104" s="36"/>
    </row>
    <row r="105" spans="2:5" ht="12" customHeight="1" x14ac:dyDescent="0.2">
      <c r="B105" s="13" t="str">
        <f>'Schedule E calculations'!B73</f>
        <v>Error check 6</v>
      </c>
      <c r="C105" s="13" t="s">
        <v>58</v>
      </c>
      <c r="D105" s="36">
        <f>'Schedule E calculations'!C73</f>
        <v>0</v>
      </c>
      <c r="E105" s="36"/>
    </row>
    <row r="106" spans="2:5" ht="12" customHeight="1" x14ac:dyDescent="0.2">
      <c r="B106" s="13" t="str">
        <f>'Schedule E calculations'!B78</f>
        <v>Error check 7</v>
      </c>
      <c r="C106" s="13" t="s">
        <v>58</v>
      </c>
      <c r="D106" s="36">
        <f>'Schedule E calculations'!C78</f>
        <v>0</v>
      </c>
      <c r="E106" s="36"/>
    </row>
    <row r="107" spans="2:5" ht="12" customHeight="1" x14ac:dyDescent="0.2">
      <c r="B107" s="13" t="str">
        <f>'Schedule E calculations'!B83</f>
        <v>Error check 8</v>
      </c>
      <c r="C107" s="13" t="s">
        <v>58</v>
      </c>
      <c r="D107" s="36">
        <f>'Schedule E calculations'!C83</f>
        <v>0</v>
      </c>
      <c r="E107" s="36"/>
    </row>
    <row r="108" spans="2:5" ht="12" customHeight="1" x14ac:dyDescent="0.2">
      <c r="B108" s="13" t="str">
        <f>'Schedule E calculations'!B99</f>
        <v>Error check 9</v>
      </c>
      <c r="C108" s="13" t="s">
        <v>58</v>
      </c>
      <c r="D108" s="36">
        <f>'Schedule E calculations'!C99</f>
        <v>0</v>
      </c>
      <c r="E108" s="36"/>
    </row>
    <row r="109" spans="2:5" ht="12" customHeight="1" x14ac:dyDescent="0.2">
      <c r="B109" s="13" t="str">
        <f>'Schedule E calculations'!B113</f>
        <v>Error check 10</v>
      </c>
      <c r="C109" s="13" t="s">
        <v>58</v>
      </c>
      <c r="D109" s="36">
        <f>'Schedule E calculations'!C113</f>
        <v>0</v>
      </c>
      <c r="E109" s="36"/>
    </row>
    <row r="110" spans="2:5" ht="12" customHeight="1" x14ac:dyDescent="0.2">
      <c r="B110" s="13" t="str">
        <f>'Schedule E calculations'!B127</f>
        <v>Error check 11</v>
      </c>
      <c r="C110" s="13" t="s">
        <v>58</v>
      </c>
      <c r="D110" s="36">
        <f>'Schedule E calculations'!C127</f>
        <v>0</v>
      </c>
      <c r="E110" s="36"/>
    </row>
    <row r="111" spans="2:5" ht="12" customHeight="1" x14ac:dyDescent="0.2">
      <c r="B111" s="13" t="str">
        <f>'Schedule E calculations'!B153</f>
        <v>Error check 12</v>
      </c>
      <c r="C111" s="13" t="s">
        <v>58</v>
      </c>
      <c r="D111" s="36">
        <f>'Schedule E calculations'!C153</f>
        <v>0</v>
      </c>
      <c r="E111" s="36"/>
    </row>
    <row r="112" spans="2:5" ht="12" customHeight="1" x14ac:dyDescent="0.2">
      <c r="B112" s="13" t="str">
        <f>'Schedule E calculations'!B177</f>
        <v>Error check 13</v>
      </c>
      <c r="C112" s="13" t="s">
        <v>58</v>
      </c>
      <c r="D112" s="36">
        <f>'Schedule E calculations'!C177</f>
        <v>0</v>
      </c>
      <c r="E112" s="36"/>
    </row>
    <row r="113" spans="2:19" ht="12" customHeight="1" x14ac:dyDescent="0.2">
      <c r="B113" s="13" t="str">
        <f>'Schedule E calculations'!B201</f>
        <v>Error check 14</v>
      </c>
      <c r="C113" s="13" t="s">
        <v>58</v>
      </c>
      <c r="D113" s="36">
        <f>'Schedule E calculations'!C201</f>
        <v>0</v>
      </c>
      <c r="E113" s="36"/>
    </row>
    <row r="114" spans="2:19" ht="12" customHeight="1" x14ac:dyDescent="0.2">
      <c r="B114" s="13" t="str">
        <f>'Schedule E calculations'!B208</f>
        <v>Error check 15</v>
      </c>
      <c r="C114" s="13" t="s">
        <v>58</v>
      </c>
      <c r="D114" s="36">
        <f>'Schedule E calculations'!C208</f>
        <v>0</v>
      </c>
      <c r="E114" s="36"/>
    </row>
    <row r="115" spans="2:19" ht="12" customHeight="1" x14ac:dyDescent="0.2">
      <c r="B115" s="13" t="str">
        <f>'Schedule E calculations'!B213</f>
        <v>Error check 16</v>
      </c>
      <c r="C115" s="13" t="s">
        <v>58</v>
      </c>
      <c r="D115" s="36">
        <f>'Schedule E calculations'!C213</f>
        <v>0</v>
      </c>
      <c r="E115" s="36"/>
    </row>
    <row r="116" spans="2:19" ht="12" customHeight="1" x14ac:dyDescent="0.2">
      <c r="B116" s="13" t="str">
        <f>'Schedule E calculations'!B218</f>
        <v>Error check 17</v>
      </c>
      <c r="C116" s="13" t="s">
        <v>58</v>
      </c>
      <c r="D116" s="36">
        <f>'Schedule E calculations'!C218</f>
        <v>0</v>
      </c>
      <c r="E116" s="36"/>
    </row>
    <row r="117" spans="2:19" ht="12" customHeight="1" x14ac:dyDescent="0.2">
      <c r="B117" s="13" t="str">
        <f>'Schedule E calculations'!B226</f>
        <v>Error check 18</v>
      </c>
      <c r="C117" s="13" t="s">
        <v>58</v>
      </c>
      <c r="D117" s="36">
        <f>'Schedule E calculations'!C226</f>
        <v>0</v>
      </c>
      <c r="E117" s="36"/>
    </row>
    <row r="118" spans="2:19" ht="12" customHeight="1" x14ac:dyDescent="0.2">
      <c r="B118" s="13" t="str">
        <f>'Schedule E calculations'!B232</f>
        <v>Error check 19</v>
      </c>
      <c r="C118" s="13" t="s">
        <v>58</v>
      </c>
      <c r="D118" s="36">
        <f>'Schedule E calculations'!C232</f>
        <v>0</v>
      </c>
      <c r="E118" s="36"/>
    </row>
    <row r="119" spans="2:19" ht="12" customHeight="1" x14ac:dyDescent="0.2">
      <c r="B119" s="13" t="str">
        <f>'Schedule E calculations'!B238</f>
        <v>Error check 20</v>
      </c>
      <c r="C119" s="13" t="s">
        <v>58</v>
      </c>
      <c r="D119" s="36">
        <f>'Schedule E calculations'!C238</f>
        <v>0</v>
      </c>
      <c r="E119" s="36"/>
    </row>
    <row r="120" spans="2:19" ht="12" customHeight="1" x14ac:dyDescent="0.2">
      <c r="B120" s="13" t="str">
        <f>'Schedule E calculations'!B246</f>
        <v>Error check 21</v>
      </c>
      <c r="C120" s="13" t="s">
        <v>58</v>
      </c>
      <c r="D120" s="36">
        <f>'Schedule E calculations'!C246</f>
        <v>0</v>
      </c>
      <c r="E120" s="36"/>
      <c r="L120" s="13"/>
      <c r="M120" s="13"/>
    </row>
    <row r="121" spans="2:19" ht="12" customHeight="1" x14ac:dyDescent="0.2">
      <c r="B121" s="13" t="str">
        <f>'Schedule E calculations'!B252</f>
        <v>Error check 22</v>
      </c>
      <c r="C121" s="13" t="s">
        <v>58</v>
      </c>
      <c r="D121" s="36">
        <f>'Schedule E calculations'!C252</f>
        <v>0</v>
      </c>
      <c r="E121" s="36"/>
    </row>
    <row r="122" spans="2:19" ht="12" customHeight="1" x14ac:dyDescent="0.2">
      <c r="B122" s="13" t="str">
        <f>'Schedule E calculations'!B258</f>
        <v>Error check 23</v>
      </c>
      <c r="C122" s="13" t="s">
        <v>58</v>
      </c>
      <c r="D122" s="36">
        <f>'Schedule E calculations'!C258</f>
        <v>0</v>
      </c>
      <c r="E122" s="36"/>
    </row>
    <row r="123" spans="2:19" ht="12" customHeight="1" x14ac:dyDescent="0.2">
      <c r="B123" s="13"/>
      <c r="C123" s="13"/>
      <c r="D123" s="13"/>
      <c r="E123" s="13"/>
    </row>
    <row r="124" spans="2:19" ht="12" customHeight="1" x14ac:dyDescent="0.2">
      <c r="B124" s="33" t="s">
        <v>66</v>
      </c>
      <c r="C124" s="34" t="s">
        <v>51</v>
      </c>
      <c r="D124" s="35" t="s">
        <v>52</v>
      </c>
      <c r="E124" s="50" t="s">
        <v>53</v>
      </c>
    </row>
    <row r="126" spans="2:19" ht="12" customHeight="1" x14ac:dyDescent="0.2">
      <c r="B126" s="15" t="s">
        <v>67</v>
      </c>
      <c r="C126" s="25" t="s">
        <v>67</v>
      </c>
      <c r="L126" s="13">
        <f>YEAR(L4)</f>
        <v>2019</v>
      </c>
      <c r="M126" s="13">
        <f t="shared" ref="M126:S126" si="3">YEAR(M4)</f>
        <v>2020</v>
      </c>
      <c r="N126" s="13">
        <f t="shared" si="3"/>
        <v>2021</v>
      </c>
      <c r="O126" s="13">
        <f t="shared" si="3"/>
        <v>2022</v>
      </c>
      <c r="P126" s="13">
        <f t="shared" si="3"/>
        <v>2023</v>
      </c>
      <c r="Q126" s="13">
        <f t="shared" si="3"/>
        <v>2024</v>
      </c>
      <c r="R126" s="13">
        <f t="shared" si="3"/>
        <v>2025</v>
      </c>
      <c r="S126" s="13">
        <f t="shared" si="3"/>
        <v>2026</v>
      </c>
    </row>
    <row r="127" spans="2:19" ht="12" customHeight="1" x14ac:dyDescent="0.2">
      <c r="B127" s="53" t="s">
        <v>68</v>
      </c>
      <c r="C127" s="25" t="s">
        <v>69</v>
      </c>
      <c r="L127" s="185">
        <v>0.93579389436278471</v>
      </c>
      <c r="M127" s="185">
        <v>0.9772285687272837</v>
      </c>
      <c r="N127" s="185">
        <v>0.98578441028066921</v>
      </c>
      <c r="O127" s="185">
        <v>0.99643344348088236</v>
      </c>
      <c r="P127" s="185">
        <v>1</v>
      </c>
      <c r="Q127" s="185">
        <v>1</v>
      </c>
      <c r="R127" s="185">
        <v>1</v>
      </c>
      <c r="S127" s="185">
        <v>1</v>
      </c>
    </row>
    <row r="128" spans="2:19" ht="12" customHeight="1" x14ac:dyDescent="0.2">
      <c r="B128" s="53" t="s">
        <v>70</v>
      </c>
      <c r="C128" s="25" t="s">
        <v>71</v>
      </c>
      <c r="D128" s="184" t="s">
        <v>72</v>
      </c>
      <c r="L128" s="143"/>
      <c r="M128" s="143"/>
      <c r="N128" s="143"/>
      <c r="O128" s="143"/>
      <c r="P128" s="143"/>
      <c r="Q128" s="143"/>
      <c r="R128" s="143"/>
      <c r="S128" s="143"/>
    </row>
    <row r="129" spans="1:12" ht="12" customHeight="1" x14ac:dyDescent="0.2">
      <c r="B129"/>
    </row>
    <row r="130" spans="1:12" ht="12" customHeight="1" x14ac:dyDescent="0.2">
      <c r="B130" s="33" t="s">
        <v>73</v>
      </c>
      <c r="C130" s="34"/>
      <c r="D130" s="35"/>
      <c r="E130" s="50"/>
    </row>
    <row r="132" spans="1:12" ht="12" customHeight="1" x14ac:dyDescent="0.2">
      <c r="B132" s="63" t="s">
        <v>74</v>
      </c>
      <c r="C132" s="63" t="s">
        <v>75</v>
      </c>
      <c r="L132"/>
    </row>
    <row r="133" spans="1:12" ht="12" customHeight="1" x14ac:dyDescent="0.2">
      <c r="B133" s="63"/>
      <c r="C133" s="63"/>
      <c r="L133"/>
    </row>
    <row r="134" spans="1:12" ht="12" customHeight="1" x14ac:dyDescent="0.2">
      <c r="A134" s="53"/>
      <c r="B134" s="13" t="s">
        <v>76</v>
      </c>
      <c r="C134" s="80" t="s">
        <v>77</v>
      </c>
    </row>
    <row r="135" spans="1:12" ht="12" customHeight="1" x14ac:dyDescent="0.2">
      <c r="A135" s="53"/>
      <c r="B135" s="13" t="s">
        <v>78</v>
      </c>
      <c r="C135" s="80" t="s">
        <v>77</v>
      </c>
    </row>
    <row r="136" spans="1:12" ht="12" customHeight="1" x14ac:dyDescent="0.2">
      <c r="A136" s="53"/>
      <c r="B136" s="13" t="s">
        <v>79</v>
      </c>
      <c r="C136" s="80" t="s">
        <v>77</v>
      </c>
    </row>
    <row r="137" spans="1:12" ht="12" customHeight="1" x14ac:dyDescent="0.2">
      <c r="A137" s="53"/>
      <c r="B137" s="13" t="s">
        <v>80</v>
      </c>
      <c r="C137" s="80" t="s">
        <v>77</v>
      </c>
    </row>
    <row r="138" spans="1:12" ht="12" customHeight="1" x14ac:dyDescent="0.2">
      <c r="A138" s="53"/>
      <c r="B138" s="13" t="s">
        <v>81</v>
      </c>
      <c r="C138" s="80" t="s">
        <v>77</v>
      </c>
    </row>
    <row r="139" spans="1:12" ht="12" customHeight="1" x14ac:dyDescent="0.2">
      <c r="A139" s="53"/>
      <c r="B139" s="13" t="s">
        <v>82</v>
      </c>
      <c r="C139" s="80" t="s">
        <v>77</v>
      </c>
    </row>
    <row r="140" spans="1:12" ht="12" customHeight="1" x14ac:dyDescent="0.2">
      <c r="A140" s="53"/>
      <c r="B140" s="13" t="s">
        <v>83</v>
      </c>
      <c r="C140" s="80" t="s">
        <v>77</v>
      </c>
    </row>
    <row r="141" spans="1:12" ht="12" customHeight="1" x14ac:dyDescent="0.2">
      <c r="A141" s="53"/>
      <c r="B141" s="13" t="s">
        <v>84</v>
      </c>
      <c r="C141" s="80" t="s">
        <v>77</v>
      </c>
      <c r="H141"/>
    </row>
    <row r="142" spans="1:12" ht="12" customHeight="1" x14ac:dyDescent="0.2">
      <c r="A142" s="53"/>
      <c r="B142" s="13" t="s">
        <v>85</v>
      </c>
      <c r="C142" s="80" t="s">
        <v>77</v>
      </c>
      <c r="H142"/>
    </row>
    <row r="143" spans="1:12" ht="12" customHeight="1" x14ac:dyDescent="0.2">
      <c r="A143" s="53"/>
      <c r="B143" s="13" t="s">
        <v>86</v>
      </c>
      <c r="C143" s="80" t="s">
        <v>77</v>
      </c>
      <c r="H143"/>
    </row>
    <row r="144" spans="1:12" ht="12" customHeight="1" x14ac:dyDescent="0.2">
      <c r="A144" s="53"/>
      <c r="B144" s="13" t="s">
        <v>87</v>
      </c>
      <c r="C144" s="80" t="s">
        <v>77</v>
      </c>
      <c r="H144"/>
    </row>
    <row r="145" spans="1:8" ht="12" customHeight="1" x14ac:dyDescent="0.2">
      <c r="A145" s="53"/>
      <c r="B145" s="13" t="s">
        <v>88</v>
      </c>
      <c r="C145" s="80" t="s">
        <v>77</v>
      </c>
      <c r="H145"/>
    </row>
    <row r="146" spans="1:8" ht="12" customHeight="1" x14ac:dyDescent="0.2">
      <c r="A146" s="53"/>
      <c r="B146" s="53" t="s">
        <v>89</v>
      </c>
      <c r="C146" s="80" t="s">
        <v>90</v>
      </c>
      <c r="H146"/>
    </row>
    <row r="147" spans="1:8" ht="12" customHeight="1" x14ac:dyDescent="0.2">
      <c r="A147" s="53"/>
      <c r="B147" s="53" t="s">
        <v>91</v>
      </c>
      <c r="C147" s="80" t="s">
        <v>90</v>
      </c>
      <c r="H147"/>
    </row>
    <row r="148" spans="1:8" ht="12" customHeight="1" x14ac:dyDescent="0.2">
      <c r="A148" s="53"/>
      <c r="B148" s="53" t="s">
        <v>92</v>
      </c>
      <c r="C148" s="80" t="s">
        <v>93</v>
      </c>
      <c r="H148"/>
    </row>
    <row r="149" spans="1:8" ht="12" customHeight="1" x14ac:dyDescent="0.2">
      <c r="A149" s="53"/>
      <c r="B149" s="53" t="s">
        <v>94</v>
      </c>
      <c r="C149" s="80" t="s">
        <v>95</v>
      </c>
      <c r="H149"/>
    </row>
    <row r="150" spans="1:8" ht="12" customHeight="1" x14ac:dyDescent="0.2">
      <c r="A150" s="53"/>
      <c r="B150" s="53" t="s">
        <v>96</v>
      </c>
      <c r="C150" s="80" t="s">
        <v>97</v>
      </c>
      <c r="H150"/>
    </row>
    <row r="151" spans="1:8" ht="12" customHeight="1" x14ac:dyDescent="0.2">
      <c r="A151" s="53"/>
      <c r="B151" s="53" t="s">
        <v>98</v>
      </c>
      <c r="C151" s="80" t="s">
        <v>97</v>
      </c>
      <c r="H151"/>
    </row>
    <row r="152" spans="1:8" ht="12" customHeight="1" x14ac:dyDescent="0.2">
      <c r="A152" s="53"/>
      <c r="B152" s="53" t="s">
        <v>99</v>
      </c>
      <c r="C152" s="80" t="s">
        <v>100</v>
      </c>
      <c r="H152"/>
    </row>
    <row r="153" spans="1:8" ht="12" customHeight="1" x14ac:dyDescent="0.2">
      <c r="A153" s="53"/>
      <c r="B153" s="53" t="s">
        <v>101</v>
      </c>
      <c r="C153" s="80" t="s">
        <v>100</v>
      </c>
      <c r="H153"/>
    </row>
    <row r="154" spans="1:8" ht="12" customHeight="1" x14ac:dyDescent="0.2">
      <c r="A154" s="53"/>
      <c r="B154" s="53" t="s">
        <v>102</v>
      </c>
      <c r="C154" s="80" t="s">
        <v>100</v>
      </c>
      <c r="H154"/>
    </row>
    <row r="155" spans="1:8" ht="12" customHeight="1" x14ac:dyDescent="0.2">
      <c r="A155" s="53"/>
      <c r="B155" s="53" t="s">
        <v>103</v>
      </c>
      <c r="C155" s="80" t="s">
        <v>100</v>
      </c>
      <c r="H155"/>
    </row>
    <row r="156" spans="1:8" ht="12" customHeight="1" x14ac:dyDescent="0.2">
      <c r="A156" s="53"/>
      <c r="B156" s="53" t="s">
        <v>104</v>
      </c>
      <c r="C156" s="80" t="s">
        <v>100</v>
      </c>
      <c r="H156"/>
    </row>
    <row r="157" spans="1:8" ht="12" customHeight="1" x14ac:dyDescent="0.2">
      <c r="A157" s="53"/>
      <c r="B157" s="53" t="s">
        <v>105</v>
      </c>
      <c r="C157" s="80" t="s">
        <v>100</v>
      </c>
      <c r="H157"/>
    </row>
    <row r="158" spans="1:8" ht="12" customHeight="1" x14ac:dyDescent="0.2">
      <c r="A158" s="53"/>
      <c r="B158" s="53" t="s">
        <v>106</v>
      </c>
      <c r="C158" s="80" t="s">
        <v>100</v>
      </c>
      <c r="H158"/>
    </row>
    <row r="159" spans="1:8" ht="12" customHeight="1" x14ac:dyDescent="0.2">
      <c r="A159" s="53"/>
      <c r="B159" s="53" t="s">
        <v>107</v>
      </c>
      <c r="C159" s="80" t="s">
        <v>100</v>
      </c>
      <c r="H159"/>
    </row>
    <row r="160" spans="1:8" ht="12" customHeight="1" x14ac:dyDescent="0.2">
      <c r="A160" s="53"/>
      <c r="B160" s="53" t="s">
        <v>108</v>
      </c>
      <c r="C160" s="80" t="s">
        <v>100</v>
      </c>
    </row>
    <row r="161" spans="1:12" ht="12" customHeight="1" x14ac:dyDescent="0.2">
      <c r="A161" s="53"/>
      <c r="B161" s="53" t="s">
        <v>109</v>
      </c>
      <c r="C161" s="80" t="s">
        <v>100</v>
      </c>
      <c r="H161"/>
    </row>
    <row r="162" spans="1:12" ht="12" customHeight="1" x14ac:dyDescent="0.2">
      <c r="A162" s="53"/>
      <c r="B162" s="53" t="s">
        <v>110</v>
      </c>
      <c r="C162" s="80" t="s">
        <v>100</v>
      </c>
    </row>
    <row r="163" spans="1:12" ht="12" customHeight="1" x14ac:dyDescent="0.2">
      <c r="A163" s="53"/>
      <c r="B163" s="53" t="s">
        <v>111</v>
      </c>
      <c r="C163" s="80" t="s">
        <v>100</v>
      </c>
      <c r="H163"/>
    </row>
    <row r="164" spans="1:12" ht="12" customHeight="1" x14ac:dyDescent="0.2">
      <c r="A164" s="53"/>
      <c r="B164" s="53" t="s">
        <v>112</v>
      </c>
      <c r="C164" s="80" t="s">
        <v>100</v>
      </c>
      <c r="H164"/>
    </row>
    <row r="165" spans="1:12" ht="12" customHeight="1" x14ac:dyDescent="0.2">
      <c r="A165" s="53"/>
      <c r="B165" s="53" t="s">
        <v>113</v>
      </c>
      <c r="C165" s="80" t="s">
        <v>100</v>
      </c>
    </row>
    <row r="166" spans="1:12" ht="12" customHeight="1" x14ac:dyDescent="0.2">
      <c r="A166" s="53"/>
      <c r="B166" s="53" t="s">
        <v>114</v>
      </c>
      <c r="C166" s="80" t="s">
        <v>100</v>
      </c>
    </row>
    <row r="167" spans="1:12" ht="12" customHeight="1" x14ac:dyDescent="0.2">
      <c r="A167" s="53"/>
      <c r="B167" s="53" t="s">
        <v>115</v>
      </c>
      <c r="C167" s="80" t="s">
        <v>100</v>
      </c>
    </row>
    <row r="168" spans="1:12" ht="12" customHeight="1" x14ac:dyDescent="0.2">
      <c r="A168" s="53"/>
      <c r="B168" s="53" t="s">
        <v>116</v>
      </c>
      <c r="C168" s="80" t="s">
        <v>100</v>
      </c>
    </row>
    <row r="169" spans="1:12" ht="12" customHeight="1" x14ac:dyDescent="0.2">
      <c r="A169" s="53"/>
      <c r="B169" s="53" t="s">
        <v>117</v>
      </c>
      <c r="C169" s="80" t="s">
        <v>100</v>
      </c>
    </row>
    <row r="170" spans="1:12" ht="12" customHeight="1" x14ac:dyDescent="0.2">
      <c r="A170" s="53"/>
      <c r="B170" s="53" t="s">
        <v>118</v>
      </c>
      <c r="C170" s="80" t="s">
        <v>100</v>
      </c>
    </row>
    <row r="171" spans="1:12" ht="12" customHeight="1" x14ac:dyDescent="0.2">
      <c r="A171" s="53"/>
      <c r="B171" s="53" t="s">
        <v>119</v>
      </c>
      <c r="C171" s="80" t="s">
        <v>100</v>
      </c>
    </row>
    <row r="172" spans="1:12" ht="12" customHeight="1" x14ac:dyDescent="0.2">
      <c r="H172"/>
      <c r="L172"/>
    </row>
    <row r="173" spans="1:12" ht="12" customHeight="1" x14ac:dyDescent="0.2">
      <c r="B173" s="63" t="s">
        <v>120</v>
      </c>
      <c r="H173"/>
      <c r="L173"/>
    </row>
    <row r="174" spans="1:12" ht="12" customHeight="1" x14ac:dyDescent="0.2">
      <c r="H174"/>
      <c r="L174"/>
    </row>
    <row r="175" spans="1:12" ht="12" customHeight="1" x14ac:dyDescent="0.2">
      <c r="B175" s="80" t="s">
        <v>95</v>
      </c>
      <c r="H175"/>
      <c r="L175"/>
    </row>
    <row r="176" spans="1:12" ht="12" customHeight="1" x14ac:dyDescent="0.2">
      <c r="B176" s="122" t="s">
        <v>77</v>
      </c>
      <c r="H176"/>
      <c r="L176"/>
    </row>
    <row r="177" spans="2:12" ht="12" customHeight="1" x14ac:dyDescent="0.2">
      <c r="B177" s="80" t="s">
        <v>93</v>
      </c>
      <c r="H177"/>
      <c r="L177"/>
    </row>
    <row r="178" spans="2:12" ht="12" customHeight="1" x14ac:dyDescent="0.2">
      <c r="B178" s="80" t="s">
        <v>97</v>
      </c>
      <c r="H178"/>
      <c r="L178"/>
    </row>
    <row r="179" spans="2:12" ht="12" customHeight="1" x14ac:dyDescent="0.2">
      <c r="B179" s="80" t="s">
        <v>121</v>
      </c>
      <c r="H179"/>
      <c r="L179"/>
    </row>
    <row r="180" spans="2:12" ht="12" customHeight="1" x14ac:dyDescent="0.2">
      <c r="B180" s="80" t="s">
        <v>122</v>
      </c>
      <c r="H180"/>
      <c r="L180"/>
    </row>
    <row r="181" spans="2:12" ht="12" customHeight="1" x14ac:dyDescent="0.2">
      <c r="B181" s="80" t="s">
        <v>90</v>
      </c>
      <c r="H181"/>
      <c r="L181"/>
    </row>
    <row r="182" spans="2:12" ht="12" customHeight="1" x14ac:dyDescent="0.2">
      <c r="B182" s="80" t="s">
        <v>100</v>
      </c>
      <c r="H182"/>
      <c r="L182"/>
    </row>
    <row r="183" spans="2:12" ht="12" customHeight="1" x14ac:dyDescent="0.2">
      <c r="B183" s="27"/>
      <c r="H183"/>
      <c r="L183"/>
    </row>
    <row r="184" spans="2:12" ht="12" customHeight="1" x14ac:dyDescent="0.2">
      <c r="B184" s="63" t="s">
        <v>123</v>
      </c>
      <c r="C184" s="63" t="s">
        <v>124</v>
      </c>
      <c r="L184"/>
    </row>
    <row r="185" spans="2:12" ht="12" customHeight="1" x14ac:dyDescent="0.2">
      <c r="B185"/>
    </row>
    <row r="186" spans="2:12" ht="12" customHeight="1" x14ac:dyDescent="0.2">
      <c r="B186" s="128" t="s">
        <v>125</v>
      </c>
      <c r="C186" s="129"/>
      <c r="D186" s="139" t="s">
        <v>126</v>
      </c>
    </row>
    <row r="187" spans="2:12" ht="12" customHeight="1" x14ac:dyDescent="0.2">
      <c r="B187" s="130" t="s">
        <v>127</v>
      </c>
      <c r="C187" s="133">
        <v>0.08</v>
      </c>
      <c r="D187" s="140" t="s">
        <v>128</v>
      </c>
    </row>
    <row r="188" spans="2:12" ht="12" customHeight="1" x14ac:dyDescent="0.2">
      <c r="B188" s="130" t="s">
        <v>129</v>
      </c>
      <c r="C188" s="133">
        <v>0.1</v>
      </c>
      <c r="D188" s="140" t="s">
        <v>130</v>
      </c>
    </row>
    <row r="189" spans="2:12" ht="12" customHeight="1" x14ac:dyDescent="0.2">
      <c r="B189" s="132"/>
      <c r="C189" s="13"/>
      <c r="D189" s="13"/>
    </row>
    <row r="190" spans="2:12" ht="12" customHeight="1" x14ac:dyDescent="0.2">
      <c r="B190" s="128" t="s">
        <v>131</v>
      </c>
      <c r="C190" s="129"/>
      <c r="D190" s="139"/>
    </row>
    <row r="191" spans="2:12" ht="12" customHeight="1" x14ac:dyDescent="0.2">
      <c r="B191" s="130" t="s">
        <v>132</v>
      </c>
      <c r="C191" s="133">
        <v>0.08</v>
      </c>
      <c r="D191" s="140" t="s">
        <v>133</v>
      </c>
    </row>
    <row r="192" spans="2:12" ht="12" customHeight="1" x14ac:dyDescent="0.2">
      <c r="B192" s="130" t="s">
        <v>134</v>
      </c>
      <c r="C192" s="133">
        <v>0.08</v>
      </c>
      <c r="D192" s="140" t="s">
        <v>133</v>
      </c>
    </row>
    <row r="193" spans="2:4" ht="12" customHeight="1" x14ac:dyDescent="0.2">
      <c r="B193" s="131"/>
      <c r="C193" s="157"/>
      <c r="D193" s="140"/>
    </row>
    <row r="194" spans="2:4" ht="12" customHeight="1" x14ac:dyDescent="0.2">
      <c r="B194" s="128" t="s">
        <v>135</v>
      </c>
      <c r="C194" s="13"/>
      <c r="D194" s="13"/>
    </row>
    <row r="195" spans="2:4" ht="12" customHeight="1" x14ac:dyDescent="0.2">
      <c r="B195" s="130" t="s">
        <v>136</v>
      </c>
      <c r="C195" s="133">
        <v>0</v>
      </c>
      <c r="D195" s="140" t="s">
        <v>137</v>
      </c>
    </row>
    <row r="196" spans="2:4" ht="12" customHeight="1" x14ac:dyDescent="0.2">
      <c r="B196" s="130" t="s">
        <v>138</v>
      </c>
      <c r="C196" s="133">
        <v>0.08</v>
      </c>
      <c r="D196" s="140" t="s">
        <v>139</v>
      </c>
    </row>
    <row r="197" spans="2:4" ht="12" customHeight="1" x14ac:dyDescent="0.2">
      <c r="B197" s="130" t="s">
        <v>140</v>
      </c>
      <c r="C197" s="133">
        <v>0.08</v>
      </c>
      <c r="D197" s="140" t="s">
        <v>139</v>
      </c>
    </row>
    <row r="198" spans="2:4" ht="12" customHeight="1" x14ac:dyDescent="0.2">
      <c r="B198" s="130" t="s">
        <v>141</v>
      </c>
      <c r="C198" s="133">
        <v>0.08</v>
      </c>
      <c r="D198" s="140" t="s">
        <v>142</v>
      </c>
    </row>
    <row r="199" spans="2:4" ht="12" customHeight="1" x14ac:dyDescent="0.2">
      <c r="B199" s="130" t="s">
        <v>143</v>
      </c>
      <c r="C199" s="133">
        <v>0.08</v>
      </c>
      <c r="D199" s="140" t="s">
        <v>142</v>
      </c>
    </row>
    <row r="200" spans="2:4" ht="12" customHeight="1" x14ac:dyDescent="0.2">
      <c r="B200" s="130" t="s">
        <v>144</v>
      </c>
      <c r="C200" s="133">
        <v>0.08</v>
      </c>
      <c r="D200" s="140" t="s">
        <v>145</v>
      </c>
    </row>
    <row r="201" spans="2:4" ht="12" customHeight="1" x14ac:dyDescent="0.2">
      <c r="B201" s="130" t="s">
        <v>146</v>
      </c>
      <c r="C201" s="133">
        <v>0.08</v>
      </c>
      <c r="D201" s="140" t="s">
        <v>142</v>
      </c>
    </row>
    <row r="202" spans="2:4" ht="12" customHeight="1" x14ac:dyDescent="0.2">
      <c r="B202" s="130" t="s">
        <v>147</v>
      </c>
      <c r="C202" s="133">
        <v>0.08</v>
      </c>
      <c r="D202" s="140" t="s">
        <v>145</v>
      </c>
    </row>
    <row r="203" spans="2:4" ht="12" customHeight="1" x14ac:dyDescent="0.2">
      <c r="B203" s="130" t="s">
        <v>148</v>
      </c>
      <c r="C203" s="133">
        <v>0.08</v>
      </c>
      <c r="D203" s="140" t="s">
        <v>145</v>
      </c>
    </row>
    <row r="204" spans="2:4" ht="12" customHeight="1" x14ac:dyDescent="0.2">
      <c r="B204" s="158"/>
      <c r="C204" s="13"/>
      <c r="D204" s="135"/>
    </row>
    <row r="205" spans="2:4" ht="12" customHeight="1" x14ac:dyDescent="0.2">
      <c r="B205" s="160" t="s">
        <v>149</v>
      </c>
      <c r="C205" s="13"/>
      <c r="D205" s="135"/>
    </row>
    <row r="206" spans="2:4" ht="12" customHeight="1" x14ac:dyDescent="0.2">
      <c r="B206" s="159" t="s">
        <v>150</v>
      </c>
      <c r="C206" s="133">
        <v>0.08</v>
      </c>
      <c r="D206" s="140" t="s">
        <v>128</v>
      </c>
    </row>
    <row r="207" spans="2:4" ht="12" customHeight="1" x14ac:dyDescent="0.2">
      <c r="B207" s="130" t="s">
        <v>151</v>
      </c>
      <c r="C207" s="133">
        <v>0.1</v>
      </c>
      <c r="D207" s="140" t="s">
        <v>130</v>
      </c>
    </row>
    <row r="208" spans="2:4" ht="12" customHeight="1" x14ac:dyDescent="0.2">
      <c r="B208" s="130" t="s">
        <v>152</v>
      </c>
      <c r="C208" s="133">
        <v>0.08</v>
      </c>
      <c r="D208" s="140" t="s">
        <v>128</v>
      </c>
    </row>
    <row r="209" spans="2:4" ht="12" customHeight="1" x14ac:dyDescent="0.2">
      <c r="B209" s="130" t="s">
        <v>153</v>
      </c>
      <c r="C209" s="133">
        <v>0.08</v>
      </c>
      <c r="D209" s="140" t="s">
        <v>128</v>
      </c>
    </row>
    <row r="210" spans="2:4" ht="12" customHeight="1" x14ac:dyDescent="0.2">
      <c r="B210" s="130" t="s">
        <v>154</v>
      </c>
      <c r="C210" s="133">
        <v>0.1</v>
      </c>
      <c r="D210" s="140" t="s">
        <v>130</v>
      </c>
    </row>
    <row r="211" spans="2:4" ht="12" customHeight="1" x14ac:dyDescent="0.2">
      <c r="B211" s="131"/>
      <c r="C211" s="141"/>
      <c r="D211" s="135"/>
    </row>
    <row r="212" spans="2:4" ht="12" customHeight="1" x14ac:dyDescent="0.2">
      <c r="B212" s="128" t="s">
        <v>155</v>
      </c>
      <c r="C212" s="141"/>
      <c r="D212" s="135"/>
    </row>
    <row r="213" spans="2:4" ht="12" customHeight="1" x14ac:dyDescent="0.2">
      <c r="B213" s="130" t="s">
        <v>156</v>
      </c>
      <c r="C213" s="133">
        <v>0.08</v>
      </c>
      <c r="D213" s="140" t="s">
        <v>133</v>
      </c>
    </row>
    <row r="214" spans="2:4" ht="12" customHeight="1" x14ac:dyDescent="0.2">
      <c r="B214" s="130" t="s">
        <v>157</v>
      </c>
      <c r="C214" s="133">
        <v>0.08</v>
      </c>
      <c r="D214" s="140" t="s">
        <v>133</v>
      </c>
    </row>
    <row r="215" spans="2:4" ht="12" customHeight="1" x14ac:dyDescent="0.2">
      <c r="B215" s="130" t="s">
        <v>158</v>
      </c>
      <c r="C215" s="133">
        <v>0.08</v>
      </c>
      <c r="D215" s="140" t="s">
        <v>133</v>
      </c>
    </row>
    <row r="216" spans="2:4" ht="12" customHeight="1" x14ac:dyDescent="0.2">
      <c r="B216" s="130" t="s">
        <v>159</v>
      </c>
      <c r="C216" s="133">
        <v>0.08</v>
      </c>
      <c r="D216" s="140" t="s">
        <v>133</v>
      </c>
    </row>
    <row r="217" spans="2:4" ht="12" customHeight="1" x14ac:dyDescent="0.2">
      <c r="B217" s="130" t="s">
        <v>160</v>
      </c>
      <c r="C217" s="133">
        <v>0.08</v>
      </c>
      <c r="D217" s="140" t="s">
        <v>133</v>
      </c>
    </row>
    <row r="218" spans="2:4" ht="12" customHeight="1" x14ac:dyDescent="0.2">
      <c r="B218" s="130" t="s">
        <v>161</v>
      </c>
      <c r="C218" s="133">
        <v>0.08</v>
      </c>
      <c r="D218" s="140" t="s">
        <v>133</v>
      </c>
    </row>
    <row r="219" spans="2:4" ht="12" customHeight="1" x14ac:dyDescent="0.2">
      <c r="B219" s="135"/>
      <c r="C219" s="141"/>
      <c r="D219" s="135"/>
    </row>
    <row r="220" spans="2:4" ht="12" customHeight="1" x14ac:dyDescent="0.2">
      <c r="B220" s="128" t="s">
        <v>162</v>
      </c>
      <c r="C220" s="141"/>
      <c r="D220" s="135"/>
    </row>
    <row r="221" spans="2:4" ht="12" customHeight="1" x14ac:dyDescent="0.2">
      <c r="B221" s="130" t="s">
        <v>163</v>
      </c>
      <c r="C221" s="133">
        <v>0.08</v>
      </c>
      <c r="D221" s="140" t="s">
        <v>139</v>
      </c>
    </row>
    <row r="222" spans="2:4" ht="12" customHeight="1" x14ac:dyDescent="0.2">
      <c r="B222" s="130" t="s">
        <v>164</v>
      </c>
      <c r="C222" s="133">
        <v>0.08</v>
      </c>
      <c r="D222" s="140" t="s">
        <v>139</v>
      </c>
    </row>
    <row r="223" spans="2:4" ht="12" customHeight="1" x14ac:dyDescent="0.2">
      <c r="B223" s="130" t="s">
        <v>165</v>
      </c>
      <c r="C223" s="133">
        <v>0.1</v>
      </c>
      <c r="D223" s="140" t="s">
        <v>166</v>
      </c>
    </row>
    <row r="224" spans="2:4" ht="12" customHeight="1" x14ac:dyDescent="0.2">
      <c r="B224" s="128"/>
      <c r="C224" s="141"/>
      <c r="D224" s="135"/>
    </row>
    <row r="225" spans="2:4" ht="12" customHeight="1" x14ac:dyDescent="0.2">
      <c r="B225" s="128" t="s">
        <v>167</v>
      </c>
      <c r="C225" s="141"/>
      <c r="D225" s="135"/>
    </row>
    <row r="226" spans="2:4" ht="12" customHeight="1" x14ac:dyDescent="0.2">
      <c r="B226" s="130" t="s">
        <v>168</v>
      </c>
      <c r="C226" s="133">
        <v>0.08</v>
      </c>
      <c r="D226" s="140" t="s">
        <v>142</v>
      </c>
    </row>
    <row r="227" spans="2:4" ht="12" customHeight="1" x14ac:dyDescent="0.2">
      <c r="B227" s="130" t="s">
        <v>169</v>
      </c>
      <c r="C227" s="133">
        <v>0.08</v>
      </c>
      <c r="D227" s="140" t="s">
        <v>142</v>
      </c>
    </row>
    <row r="228" spans="2:4" ht="12" customHeight="1" x14ac:dyDescent="0.2">
      <c r="B228" s="130" t="s">
        <v>170</v>
      </c>
      <c r="C228" s="133">
        <v>0.08</v>
      </c>
      <c r="D228" s="140" t="s">
        <v>142</v>
      </c>
    </row>
    <row r="229" spans="2:4" ht="12" customHeight="1" x14ac:dyDescent="0.2">
      <c r="B229" s="130" t="s">
        <v>171</v>
      </c>
      <c r="C229" s="133">
        <v>0.08</v>
      </c>
      <c r="D229" s="140" t="s">
        <v>142</v>
      </c>
    </row>
    <row r="230" spans="2:4" ht="12" customHeight="1" x14ac:dyDescent="0.2">
      <c r="B230" s="130" t="s">
        <v>172</v>
      </c>
      <c r="C230" s="133">
        <v>0.08</v>
      </c>
      <c r="D230" s="140" t="s">
        <v>142</v>
      </c>
    </row>
    <row r="231" spans="2:4" ht="12" customHeight="1" x14ac:dyDescent="0.2">
      <c r="B231" s="130" t="s">
        <v>173</v>
      </c>
      <c r="C231" s="133">
        <v>0.08</v>
      </c>
      <c r="D231" s="140" t="s">
        <v>142</v>
      </c>
    </row>
    <row r="232" spans="2:4" ht="12" customHeight="1" x14ac:dyDescent="0.2">
      <c r="B232" s="131"/>
      <c r="C232" s="141"/>
      <c r="D232" s="135"/>
    </row>
    <row r="233" spans="2:4" ht="12" customHeight="1" x14ac:dyDescent="0.2">
      <c r="B233" s="128" t="s">
        <v>174</v>
      </c>
      <c r="C233" s="141"/>
      <c r="D233" s="135"/>
    </row>
    <row r="234" spans="2:4" ht="12" customHeight="1" x14ac:dyDescent="0.2">
      <c r="B234" s="130" t="s">
        <v>175</v>
      </c>
      <c r="C234" s="133">
        <v>0.1</v>
      </c>
      <c r="D234" s="140" t="s">
        <v>166</v>
      </c>
    </row>
    <row r="235" spans="2:4" ht="12" customHeight="1" x14ac:dyDescent="0.2">
      <c r="B235" s="130" t="s">
        <v>176</v>
      </c>
      <c r="C235" s="133">
        <v>0.1</v>
      </c>
      <c r="D235" s="140" t="s">
        <v>166</v>
      </c>
    </row>
    <row r="236" spans="2:4" ht="12" customHeight="1" x14ac:dyDescent="0.2">
      <c r="B236" s="131"/>
      <c r="C236" s="141"/>
      <c r="D236" s="135"/>
    </row>
    <row r="237" spans="2:4" ht="12" customHeight="1" x14ac:dyDescent="0.2">
      <c r="B237" s="128" t="s">
        <v>177</v>
      </c>
      <c r="C237" s="141"/>
      <c r="D237" s="135"/>
    </row>
    <row r="238" spans="2:4" ht="12" customHeight="1" x14ac:dyDescent="0.2">
      <c r="B238" s="130" t="s">
        <v>178</v>
      </c>
      <c r="C238" s="133">
        <v>0</v>
      </c>
      <c r="D238" s="140" t="s">
        <v>137</v>
      </c>
    </row>
    <row r="239" spans="2:4" ht="12" customHeight="1" x14ac:dyDescent="0.2">
      <c r="B239" s="130" t="s">
        <v>179</v>
      </c>
      <c r="C239" s="133">
        <v>0.13</v>
      </c>
      <c r="D239" s="140" t="s">
        <v>180</v>
      </c>
    </row>
    <row r="240" spans="2:4" ht="12" customHeight="1" x14ac:dyDescent="0.2">
      <c r="B240" s="130" t="s">
        <v>181</v>
      </c>
      <c r="C240" s="133">
        <v>0.5</v>
      </c>
      <c r="D240" s="140" t="s">
        <v>182</v>
      </c>
    </row>
    <row r="241" spans="2:4" ht="12" customHeight="1" x14ac:dyDescent="0.2">
      <c r="B241" s="130" t="s">
        <v>183</v>
      </c>
      <c r="C241" s="133">
        <v>0.5</v>
      </c>
      <c r="D241" s="140" t="s">
        <v>184</v>
      </c>
    </row>
    <row r="242" spans="2:4" ht="12" customHeight="1" x14ac:dyDescent="0.2">
      <c r="B242" s="130" t="s">
        <v>185</v>
      </c>
      <c r="C242" s="133">
        <v>0.2</v>
      </c>
      <c r="D242" s="140"/>
    </row>
    <row r="243" spans="2:4" ht="12" customHeight="1" x14ac:dyDescent="0.2">
      <c r="B243" s="130" t="s">
        <v>186</v>
      </c>
      <c r="C243" s="133">
        <v>0.2</v>
      </c>
      <c r="D243" s="140"/>
    </row>
    <row r="244" spans="2:4" ht="12" customHeight="1" x14ac:dyDescent="0.2">
      <c r="B244"/>
    </row>
    <row r="245" spans="2:4" ht="12" customHeight="1" x14ac:dyDescent="0.2">
      <c r="B245"/>
    </row>
    <row r="246" spans="2:4" ht="12" customHeight="1" x14ac:dyDescent="0.2">
      <c r="B246"/>
    </row>
    <row r="247" spans="2:4" ht="12" customHeight="1" x14ac:dyDescent="0.2">
      <c r="B247"/>
    </row>
    <row r="248" spans="2:4" ht="12" customHeight="1" x14ac:dyDescent="0.2">
      <c r="B248"/>
    </row>
    <row r="249" spans="2:4" ht="12" customHeight="1" x14ac:dyDescent="0.2">
      <c r="B249"/>
    </row>
    <row r="250" spans="2:4" ht="12" customHeight="1" x14ac:dyDescent="0.2">
      <c r="B250"/>
    </row>
    <row r="251" spans="2:4" ht="12" customHeight="1" x14ac:dyDescent="0.2">
      <c r="B251"/>
    </row>
    <row r="252" spans="2:4" ht="12" customHeight="1" x14ac:dyDescent="0.2">
      <c r="B252"/>
    </row>
    <row r="253" spans="2:4" ht="12" customHeight="1" x14ac:dyDescent="0.2">
      <c r="B253"/>
    </row>
    <row r="254" spans="2:4" ht="12" customHeight="1" x14ac:dyDescent="0.2">
      <c r="B254"/>
    </row>
    <row r="255" spans="2:4" ht="12" customHeight="1" x14ac:dyDescent="0.2">
      <c r="B255"/>
    </row>
    <row r="256" spans="2:4" ht="12" customHeight="1" x14ac:dyDescent="0.2">
      <c r="B256"/>
    </row>
    <row r="257" spans="2:2" ht="12" customHeight="1" x14ac:dyDescent="0.2">
      <c r="B257"/>
    </row>
    <row r="258" spans="2:2" ht="12" customHeight="1" x14ac:dyDescent="0.2">
      <c r="B258"/>
    </row>
    <row r="259" spans="2:2" ht="12" customHeight="1" x14ac:dyDescent="0.2">
      <c r="B259"/>
    </row>
    <row r="260" spans="2:2" ht="12" customHeight="1" x14ac:dyDescent="0.2">
      <c r="B260"/>
    </row>
    <row r="261" spans="2:2" ht="12" customHeight="1" x14ac:dyDescent="0.2">
      <c r="B261"/>
    </row>
    <row r="262" spans="2:2" ht="12" customHeight="1" x14ac:dyDescent="0.2">
      <c r="B262"/>
    </row>
    <row r="263" spans="2:2" ht="12" customHeight="1" x14ac:dyDescent="0.2">
      <c r="B263"/>
    </row>
    <row r="264" spans="2:2" ht="12" customHeight="1" x14ac:dyDescent="0.2">
      <c r="B264"/>
    </row>
    <row r="265" spans="2:2" ht="12" customHeight="1" x14ac:dyDescent="0.2">
      <c r="B265"/>
    </row>
    <row r="266" spans="2:2" ht="12" customHeight="1" x14ac:dyDescent="0.2">
      <c r="B266"/>
    </row>
    <row r="267" spans="2:2" ht="12" customHeight="1" x14ac:dyDescent="0.2">
      <c r="B267"/>
    </row>
    <row r="268" spans="2:2" ht="12" customHeight="1" x14ac:dyDescent="0.2">
      <c r="B268"/>
    </row>
    <row r="269" spans="2:2" ht="12" customHeight="1" x14ac:dyDescent="0.2">
      <c r="B269"/>
    </row>
    <row r="270" spans="2:2" ht="12" customHeight="1" x14ac:dyDescent="0.2">
      <c r="B270"/>
    </row>
    <row r="271" spans="2:2" ht="12" customHeight="1" x14ac:dyDescent="0.2">
      <c r="B271"/>
    </row>
    <row r="272" spans="2:2" ht="12" customHeight="1" x14ac:dyDescent="0.2">
      <c r="B272"/>
    </row>
    <row r="273" spans="2:2" ht="12" customHeight="1" x14ac:dyDescent="0.2">
      <c r="B273"/>
    </row>
    <row r="274" spans="2:2" ht="12" customHeight="1" x14ac:dyDescent="0.2">
      <c r="B274"/>
    </row>
    <row r="275" spans="2:2" ht="12" customHeight="1" x14ac:dyDescent="0.2">
      <c r="B275"/>
    </row>
    <row r="276" spans="2:2" ht="12" customHeight="1" x14ac:dyDescent="0.2">
      <c r="B276"/>
    </row>
    <row r="277" spans="2:2" ht="12" customHeight="1" x14ac:dyDescent="0.2">
      <c r="B277"/>
    </row>
    <row r="278" spans="2:2" ht="12" customHeight="1" x14ac:dyDescent="0.2">
      <c r="B278"/>
    </row>
    <row r="279" spans="2:2" ht="12" customHeight="1" x14ac:dyDescent="0.2">
      <c r="B279"/>
    </row>
    <row r="280" spans="2:2" ht="12" customHeight="1" x14ac:dyDescent="0.2">
      <c r="B280"/>
    </row>
    <row r="281" spans="2:2" ht="12" customHeight="1" x14ac:dyDescent="0.2">
      <c r="B281"/>
    </row>
    <row r="282" spans="2:2" ht="12" customHeight="1" x14ac:dyDescent="0.2">
      <c r="B282"/>
    </row>
    <row r="283" spans="2:2" ht="12" customHeight="1" x14ac:dyDescent="0.2">
      <c r="B283"/>
    </row>
    <row r="284" spans="2:2" ht="12" customHeight="1" x14ac:dyDescent="0.2">
      <c r="B284"/>
    </row>
    <row r="285" spans="2:2" ht="12" customHeight="1" x14ac:dyDescent="0.2">
      <c r="B285"/>
    </row>
    <row r="286" spans="2:2" ht="12" customHeight="1" x14ac:dyDescent="0.2">
      <c r="B286"/>
    </row>
    <row r="287" spans="2:2" ht="12" customHeight="1" x14ac:dyDescent="0.2">
      <c r="B287"/>
    </row>
    <row r="288" spans="2:2" ht="12" customHeight="1" x14ac:dyDescent="0.2">
      <c r="B288"/>
    </row>
    <row r="289" spans="2:2" ht="12" customHeight="1" x14ac:dyDescent="0.2">
      <c r="B289"/>
    </row>
    <row r="290" spans="2:2" ht="12" customHeight="1" x14ac:dyDescent="0.2">
      <c r="B290"/>
    </row>
    <row r="291" spans="2:2" ht="12" customHeight="1" x14ac:dyDescent="0.2">
      <c r="B291"/>
    </row>
    <row r="292" spans="2:2" ht="12" customHeight="1" x14ac:dyDescent="0.2">
      <c r="B292"/>
    </row>
    <row r="293" spans="2:2" ht="12" customHeight="1" x14ac:dyDescent="0.2">
      <c r="B293"/>
    </row>
    <row r="294" spans="2:2" ht="12" customHeight="1" x14ac:dyDescent="0.2">
      <c r="B294"/>
    </row>
    <row r="295" spans="2:2" ht="12" customHeight="1" x14ac:dyDescent="0.2">
      <c r="B295"/>
    </row>
    <row r="296" spans="2:2" ht="12" customHeight="1" x14ac:dyDescent="0.2">
      <c r="B296"/>
    </row>
    <row r="297" spans="2:2" ht="12" customHeight="1" x14ac:dyDescent="0.2">
      <c r="B297"/>
    </row>
    <row r="298" spans="2:2" ht="12" customHeight="1" x14ac:dyDescent="0.2">
      <c r="B298"/>
    </row>
    <row r="299" spans="2:2" ht="12" customHeight="1" x14ac:dyDescent="0.2">
      <c r="B299"/>
    </row>
    <row r="300" spans="2:2" ht="12" customHeight="1" x14ac:dyDescent="0.2">
      <c r="B300"/>
    </row>
    <row r="301" spans="2:2" ht="12" customHeight="1" x14ac:dyDescent="0.2">
      <c r="B301"/>
    </row>
    <row r="302" spans="2:2" ht="12" customHeight="1" x14ac:dyDescent="0.2">
      <c r="B302"/>
    </row>
    <row r="303" spans="2:2" ht="12" customHeight="1" x14ac:dyDescent="0.2">
      <c r="B303"/>
    </row>
    <row r="304" spans="2:2" ht="12" customHeight="1" x14ac:dyDescent="0.2">
      <c r="B304"/>
    </row>
    <row r="305" spans="2:2" ht="12" customHeight="1" x14ac:dyDescent="0.2">
      <c r="B305"/>
    </row>
    <row r="306" spans="2:2" ht="12" customHeight="1" x14ac:dyDescent="0.2">
      <c r="B306"/>
    </row>
    <row r="307" spans="2:2" ht="12" customHeight="1" x14ac:dyDescent="0.2">
      <c r="B307"/>
    </row>
    <row r="308" spans="2:2" ht="12" customHeight="1" x14ac:dyDescent="0.2">
      <c r="B308"/>
    </row>
    <row r="309" spans="2:2" ht="12" customHeight="1" x14ac:dyDescent="0.2">
      <c r="B309"/>
    </row>
    <row r="310" spans="2:2" ht="12" customHeight="1" x14ac:dyDescent="0.2">
      <c r="B310"/>
    </row>
    <row r="311" spans="2:2" ht="12" customHeight="1" x14ac:dyDescent="0.2">
      <c r="B311"/>
    </row>
    <row r="312" spans="2:2" ht="12" customHeight="1" x14ac:dyDescent="0.2">
      <c r="B312"/>
    </row>
    <row r="313" spans="2:2" ht="12" customHeight="1" x14ac:dyDescent="0.2">
      <c r="B313"/>
    </row>
    <row r="314" spans="2:2" ht="12" customHeight="1" x14ac:dyDescent="0.2">
      <c r="B314"/>
    </row>
    <row r="315" spans="2:2" ht="12" customHeight="1" x14ac:dyDescent="0.2">
      <c r="B315"/>
    </row>
    <row r="316" spans="2:2" ht="12" customHeight="1" x14ac:dyDescent="0.2">
      <c r="B316"/>
    </row>
    <row r="317" spans="2:2" ht="12" customHeight="1" x14ac:dyDescent="0.2">
      <c r="B317"/>
    </row>
    <row r="318" spans="2:2" ht="12" customHeight="1" x14ac:dyDescent="0.2">
      <c r="B318"/>
    </row>
    <row r="319" spans="2:2" ht="12" customHeight="1" x14ac:dyDescent="0.2">
      <c r="B319"/>
    </row>
    <row r="320" spans="2:2" ht="12" customHeight="1" x14ac:dyDescent="0.2">
      <c r="B320"/>
    </row>
    <row r="321" spans="2:2" ht="12" customHeight="1" x14ac:dyDescent="0.2">
      <c r="B321"/>
    </row>
    <row r="322" spans="2:2" ht="12" customHeight="1" x14ac:dyDescent="0.2">
      <c r="B322"/>
    </row>
    <row r="323" spans="2:2" ht="12" customHeight="1" x14ac:dyDescent="0.2">
      <c r="B323"/>
    </row>
    <row r="324" spans="2:2" ht="12" customHeight="1" x14ac:dyDescent="0.2">
      <c r="B324"/>
    </row>
    <row r="325" spans="2:2" ht="12" customHeight="1" x14ac:dyDescent="0.2">
      <c r="B325"/>
    </row>
    <row r="326" spans="2:2" ht="12" customHeight="1" x14ac:dyDescent="0.2">
      <c r="B326"/>
    </row>
    <row r="327" spans="2:2" ht="12" customHeight="1" x14ac:dyDescent="0.2">
      <c r="B327"/>
    </row>
    <row r="328" spans="2:2" ht="12" customHeight="1" x14ac:dyDescent="0.2">
      <c r="B328"/>
    </row>
    <row r="329" spans="2:2" ht="12" customHeight="1" x14ac:dyDescent="0.2">
      <c r="B329"/>
    </row>
    <row r="330" spans="2:2" ht="12" customHeight="1" x14ac:dyDescent="0.2">
      <c r="B330"/>
    </row>
    <row r="331" spans="2:2" ht="12" customHeight="1" x14ac:dyDescent="0.2">
      <c r="B331"/>
    </row>
    <row r="332" spans="2:2" ht="12" customHeight="1" x14ac:dyDescent="0.2">
      <c r="B332"/>
    </row>
    <row r="333" spans="2:2" ht="12" customHeight="1" x14ac:dyDescent="0.2">
      <c r="B333"/>
    </row>
    <row r="334" spans="2:2" ht="12" customHeight="1" x14ac:dyDescent="0.2">
      <c r="B334"/>
    </row>
    <row r="335" spans="2:2" ht="12" customHeight="1" x14ac:dyDescent="0.2">
      <c r="B335"/>
    </row>
    <row r="336" spans="2:2" ht="12" customHeight="1" x14ac:dyDescent="0.2">
      <c r="B336"/>
    </row>
    <row r="337" spans="2:2" ht="12" customHeight="1" x14ac:dyDescent="0.2">
      <c r="B337"/>
    </row>
    <row r="338" spans="2:2" ht="12" customHeight="1" x14ac:dyDescent="0.2">
      <c r="B338"/>
    </row>
    <row r="339" spans="2:2" ht="12" customHeight="1" x14ac:dyDescent="0.2">
      <c r="B339"/>
    </row>
    <row r="340" spans="2:2" ht="12" customHeight="1" x14ac:dyDescent="0.2">
      <c r="B340"/>
    </row>
    <row r="341" spans="2:2" ht="12" customHeight="1" x14ac:dyDescent="0.2">
      <c r="B341"/>
    </row>
    <row r="342" spans="2:2" ht="12" customHeight="1" x14ac:dyDescent="0.2">
      <c r="B342"/>
    </row>
    <row r="343" spans="2:2" ht="12" customHeight="1" x14ac:dyDescent="0.2">
      <c r="B343"/>
    </row>
    <row r="344" spans="2:2" ht="12" customHeight="1" x14ac:dyDescent="0.2">
      <c r="B344"/>
    </row>
    <row r="345" spans="2:2" ht="12" customHeight="1" x14ac:dyDescent="0.2">
      <c r="B345"/>
    </row>
    <row r="346" spans="2:2" ht="12" customHeight="1" x14ac:dyDescent="0.2">
      <c r="B346"/>
    </row>
    <row r="347" spans="2:2" ht="12" customHeight="1" x14ac:dyDescent="0.2">
      <c r="B347"/>
    </row>
    <row r="348" spans="2:2" ht="12" customHeight="1" x14ac:dyDescent="0.2">
      <c r="B348"/>
    </row>
    <row r="349" spans="2:2" ht="12" customHeight="1" x14ac:dyDescent="0.2">
      <c r="B349"/>
    </row>
    <row r="350" spans="2:2" ht="12" customHeight="1" x14ac:dyDescent="0.2">
      <c r="B350"/>
    </row>
    <row r="351" spans="2:2" ht="12" customHeight="1" x14ac:dyDescent="0.2">
      <c r="B351"/>
    </row>
    <row r="352" spans="2:2" ht="12" customHeight="1" x14ac:dyDescent="0.2">
      <c r="B352"/>
    </row>
    <row r="353" spans="2:2" ht="12" customHeight="1" x14ac:dyDescent="0.2">
      <c r="B353"/>
    </row>
    <row r="354" spans="2:2" ht="12" customHeight="1" x14ac:dyDescent="0.2">
      <c r="B354"/>
    </row>
    <row r="355" spans="2:2" ht="12" customHeight="1" x14ac:dyDescent="0.2">
      <c r="B355"/>
    </row>
    <row r="356" spans="2:2" ht="12" customHeight="1" x14ac:dyDescent="0.2">
      <c r="B356"/>
    </row>
    <row r="357" spans="2:2" ht="12" customHeight="1" x14ac:dyDescent="0.2">
      <c r="B357"/>
    </row>
    <row r="358" spans="2:2" ht="12" customHeight="1" x14ac:dyDescent="0.2">
      <c r="B358"/>
    </row>
    <row r="359" spans="2:2" ht="12" customHeight="1" x14ac:dyDescent="0.2">
      <c r="B359"/>
    </row>
    <row r="360" spans="2:2" ht="12" customHeight="1" x14ac:dyDescent="0.2">
      <c r="B360"/>
    </row>
    <row r="361" spans="2:2" ht="12" customHeight="1" x14ac:dyDescent="0.2">
      <c r="B361"/>
    </row>
    <row r="362" spans="2:2" ht="12" customHeight="1" x14ac:dyDescent="0.2">
      <c r="B362"/>
    </row>
    <row r="363" spans="2:2" ht="12" customHeight="1" x14ac:dyDescent="0.2">
      <c r="B363"/>
    </row>
    <row r="364" spans="2:2" ht="12" customHeight="1" x14ac:dyDescent="0.2">
      <c r="B364"/>
    </row>
    <row r="365" spans="2:2" ht="12" customHeight="1" x14ac:dyDescent="0.2">
      <c r="B365"/>
    </row>
    <row r="366" spans="2:2" ht="12" customHeight="1" x14ac:dyDescent="0.2">
      <c r="B366"/>
    </row>
    <row r="367" spans="2:2" ht="12" customHeight="1" x14ac:dyDescent="0.2">
      <c r="B367"/>
    </row>
    <row r="368" spans="2:2" ht="12" customHeight="1" x14ac:dyDescent="0.2">
      <c r="B368"/>
    </row>
    <row r="369" spans="2:2" ht="12" customHeight="1" x14ac:dyDescent="0.2">
      <c r="B369"/>
    </row>
    <row r="370" spans="2:2" ht="12" customHeight="1" x14ac:dyDescent="0.2">
      <c r="B370"/>
    </row>
    <row r="371" spans="2:2" ht="12" customHeight="1" x14ac:dyDescent="0.2">
      <c r="B371"/>
    </row>
    <row r="372" spans="2:2" ht="12" customHeight="1" x14ac:dyDescent="0.2">
      <c r="B372"/>
    </row>
    <row r="373" spans="2:2" ht="12" customHeight="1" x14ac:dyDescent="0.2">
      <c r="B373"/>
    </row>
    <row r="374" spans="2:2" ht="12" customHeight="1" x14ac:dyDescent="0.2">
      <c r="B374"/>
    </row>
    <row r="375" spans="2:2" ht="12" customHeight="1" x14ac:dyDescent="0.2">
      <c r="B375"/>
    </row>
    <row r="376" spans="2:2" ht="12" customHeight="1" x14ac:dyDescent="0.2">
      <c r="B376"/>
    </row>
    <row r="377" spans="2:2" ht="12" customHeight="1" x14ac:dyDescent="0.2">
      <c r="B377"/>
    </row>
    <row r="378" spans="2:2" ht="12" customHeight="1" x14ac:dyDescent="0.2">
      <c r="B378"/>
    </row>
    <row r="379" spans="2:2" ht="12" customHeight="1" x14ac:dyDescent="0.2">
      <c r="B379"/>
    </row>
    <row r="380" spans="2:2" ht="12" customHeight="1" x14ac:dyDescent="0.2">
      <c r="B380"/>
    </row>
    <row r="381" spans="2:2" ht="12" customHeight="1" x14ac:dyDescent="0.2">
      <c r="B381"/>
    </row>
    <row r="382" spans="2:2" ht="12" customHeight="1" x14ac:dyDescent="0.2">
      <c r="B382"/>
    </row>
    <row r="383" spans="2:2" ht="12" customHeight="1" x14ac:dyDescent="0.2">
      <c r="B383"/>
    </row>
    <row r="384" spans="2:2" ht="12" customHeight="1" x14ac:dyDescent="0.2">
      <c r="B384"/>
    </row>
    <row r="385" spans="2:2" ht="12" customHeight="1" x14ac:dyDescent="0.2">
      <c r="B385"/>
    </row>
    <row r="386" spans="2:2" ht="12" customHeight="1" x14ac:dyDescent="0.2">
      <c r="B386"/>
    </row>
    <row r="387" spans="2:2" ht="12" customHeight="1" x14ac:dyDescent="0.2">
      <c r="B387"/>
    </row>
    <row r="388" spans="2:2" ht="12" customHeight="1" x14ac:dyDescent="0.2">
      <c r="B388"/>
    </row>
    <row r="389" spans="2:2" ht="12" customHeight="1" x14ac:dyDescent="0.2">
      <c r="B389"/>
    </row>
    <row r="390" spans="2:2" ht="12" customHeight="1" x14ac:dyDescent="0.2">
      <c r="B390"/>
    </row>
    <row r="391" spans="2:2" ht="12" customHeight="1" x14ac:dyDescent="0.2">
      <c r="B391"/>
    </row>
    <row r="392" spans="2:2" ht="12" customHeight="1" x14ac:dyDescent="0.2">
      <c r="B392"/>
    </row>
    <row r="393" spans="2:2" ht="12" customHeight="1" x14ac:dyDescent="0.2">
      <c r="B393"/>
    </row>
    <row r="394" spans="2:2" ht="12" customHeight="1" x14ac:dyDescent="0.2">
      <c r="B394"/>
    </row>
    <row r="395" spans="2:2" ht="12" customHeight="1" x14ac:dyDescent="0.2">
      <c r="B395"/>
    </row>
    <row r="396" spans="2:2" ht="12" customHeight="1" x14ac:dyDescent="0.2">
      <c r="B396"/>
    </row>
    <row r="397" spans="2:2" ht="12" customHeight="1" x14ac:dyDescent="0.2">
      <c r="B397"/>
    </row>
    <row r="398" spans="2:2" ht="12" customHeight="1" x14ac:dyDescent="0.2">
      <c r="B398"/>
    </row>
    <row r="399" spans="2:2" ht="12" customHeight="1" x14ac:dyDescent="0.2">
      <c r="B399"/>
    </row>
    <row r="400" spans="2:2" ht="12" customHeight="1" x14ac:dyDescent="0.2">
      <c r="B400"/>
    </row>
    <row r="401" spans="2:2" ht="12" customHeight="1" x14ac:dyDescent="0.2">
      <c r="B401"/>
    </row>
    <row r="402" spans="2:2" ht="12" customHeight="1" x14ac:dyDescent="0.2">
      <c r="B402"/>
    </row>
    <row r="403" spans="2:2" ht="12" customHeight="1" x14ac:dyDescent="0.2">
      <c r="B403"/>
    </row>
    <row r="404" spans="2:2" ht="12" customHeight="1" x14ac:dyDescent="0.2">
      <c r="B404"/>
    </row>
    <row r="405" spans="2:2" ht="12" customHeight="1" x14ac:dyDescent="0.2">
      <c r="B405"/>
    </row>
    <row r="406" spans="2:2" ht="12" customHeight="1" x14ac:dyDescent="0.2">
      <c r="B406"/>
    </row>
    <row r="407" spans="2:2" ht="12" customHeight="1" x14ac:dyDescent="0.2">
      <c r="B407"/>
    </row>
    <row r="408" spans="2:2" ht="12" customHeight="1" x14ac:dyDescent="0.2">
      <c r="B408"/>
    </row>
    <row r="409" spans="2:2" ht="12" customHeight="1" x14ac:dyDescent="0.2">
      <c r="B409"/>
    </row>
    <row r="410" spans="2:2" ht="12" customHeight="1" x14ac:dyDescent="0.2">
      <c r="B410"/>
    </row>
    <row r="411" spans="2:2" ht="12" customHeight="1" x14ac:dyDescent="0.2">
      <c r="B411"/>
    </row>
    <row r="412" spans="2:2" ht="12" customHeight="1" x14ac:dyDescent="0.2">
      <c r="B412"/>
    </row>
    <row r="413" spans="2:2" ht="12" customHeight="1" x14ac:dyDescent="0.2">
      <c r="B413"/>
    </row>
    <row r="414" spans="2:2" ht="12" customHeight="1" x14ac:dyDescent="0.2">
      <c r="B414"/>
    </row>
    <row r="415" spans="2:2" ht="12" customHeight="1" x14ac:dyDescent="0.2">
      <c r="B415"/>
    </row>
    <row r="416" spans="2:2" ht="12" customHeight="1" x14ac:dyDescent="0.2">
      <c r="B416"/>
    </row>
    <row r="417" spans="2:2" ht="12" customHeight="1" x14ac:dyDescent="0.2">
      <c r="B417"/>
    </row>
    <row r="418" spans="2:2" ht="12" customHeight="1" x14ac:dyDescent="0.2">
      <c r="B418"/>
    </row>
    <row r="419" spans="2:2" ht="12" customHeight="1" x14ac:dyDescent="0.2">
      <c r="B419"/>
    </row>
    <row r="420" spans="2:2" ht="12" customHeight="1" x14ac:dyDescent="0.2">
      <c r="B420"/>
    </row>
    <row r="421" spans="2:2" ht="12" customHeight="1" x14ac:dyDescent="0.2">
      <c r="B421"/>
    </row>
    <row r="422" spans="2:2" ht="12" customHeight="1" x14ac:dyDescent="0.2">
      <c r="B422"/>
    </row>
    <row r="423" spans="2:2" ht="12" customHeight="1" x14ac:dyDescent="0.2">
      <c r="B423"/>
    </row>
    <row r="424" spans="2:2" ht="12" customHeight="1" x14ac:dyDescent="0.2">
      <c r="B424"/>
    </row>
    <row r="425" spans="2:2" ht="12" customHeight="1" x14ac:dyDescent="0.2">
      <c r="B425"/>
    </row>
    <row r="426" spans="2:2" ht="12" customHeight="1" x14ac:dyDescent="0.2">
      <c r="B426"/>
    </row>
    <row r="427" spans="2:2" ht="12" customHeight="1" x14ac:dyDescent="0.2">
      <c r="B427"/>
    </row>
    <row r="428" spans="2:2" ht="12" customHeight="1" x14ac:dyDescent="0.2">
      <c r="B428"/>
    </row>
    <row r="429" spans="2:2" ht="12" customHeight="1" x14ac:dyDescent="0.2">
      <c r="B429"/>
    </row>
    <row r="430" spans="2:2" ht="12" customHeight="1" x14ac:dyDescent="0.2">
      <c r="B430"/>
    </row>
    <row r="431" spans="2:2" ht="12" customHeight="1" x14ac:dyDescent="0.2">
      <c r="B431"/>
    </row>
    <row r="432" spans="2:2" ht="12" customHeight="1" x14ac:dyDescent="0.2">
      <c r="B432"/>
    </row>
    <row r="433" spans="2:2" ht="12" customHeight="1" x14ac:dyDescent="0.2">
      <c r="B433"/>
    </row>
    <row r="434" spans="2:2" ht="12" customHeight="1" x14ac:dyDescent="0.2">
      <c r="B434"/>
    </row>
    <row r="435" spans="2:2" ht="12" customHeight="1" x14ac:dyDescent="0.2">
      <c r="B435"/>
    </row>
    <row r="436" spans="2:2" ht="12" customHeight="1" x14ac:dyDescent="0.2">
      <c r="B436"/>
    </row>
    <row r="437" spans="2:2" ht="12" customHeight="1" x14ac:dyDescent="0.2">
      <c r="B437"/>
    </row>
    <row r="438" spans="2:2" ht="12" customHeight="1" x14ac:dyDescent="0.2">
      <c r="B438"/>
    </row>
    <row r="439" spans="2:2" ht="12" customHeight="1" x14ac:dyDescent="0.2">
      <c r="B439"/>
    </row>
    <row r="440" spans="2:2" ht="12" customHeight="1" x14ac:dyDescent="0.2">
      <c r="B440"/>
    </row>
    <row r="441" spans="2:2" ht="12" customHeight="1" x14ac:dyDescent="0.2">
      <c r="B441"/>
    </row>
    <row r="442" spans="2:2" ht="12" customHeight="1" x14ac:dyDescent="0.2">
      <c r="B442"/>
    </row>
    <row r="443" spans="2:2" ht="12" customHeight="1" x14ac:dyDescent="0.2">
      <c r="B443"/>
    </row>
    <row r="444" spans="2:2" ht="12" customHeight="1" x14ac:dyDescent="0.2">
      <c r="B444"/>
    </row>
    <row r="445" spans="2:2" ht="12" customHeight="1" x14ac:dyDescent="0.2">
      <c r="B445"/>
    </row>
    <row r="446" spans="2:2" ht="12" customHeight="1" x14ac:dyDescent="0.2">
      <c r="B446"/>
    </row>
    <row r="447" spans="2:2" ht="12" customHeight="1" x14ac:dyDescent="0.2">
      <c r="B447"/>
    </row>
    <row r="448" spans="2:2" ht="12" customHeight="1" x14ac:dyDescent="0.2">
      <c r="B448"/>
    </row>
    <row r="449" spans="2:2" ht="12" customHeight="1" x14ac:dyDescent="0.2">
      <c r="B449"/>
    </row>
    <row r="450" spans="2:2" ht="12" customHeight="1" x14ac:dyDescent="0.2">
      <c r="B450"/>
    </row>
    <row r="451" spans="2:2" ht="12" customHeight="1" x14ac:dyDescent="0.2">
      <c r="B451"/>
    </row>
    <row r="452" spans="2:2" ht="12" customHeight="1" x14ac:dyDescent="0.2">
      <c r="B452"/>
    </row>
    <row r="453" spans="2:2" ht="12" customHeight="1" x14ac:dyDescent="0.2">
      <c r="B453"/>
    </row>
    <row r="454" spans="2:2" ht="12" customHeight="1" x14ac:dyDescent="0.2">
      <c r="B454"/>
    </row>
    <row r="455" spans="2:2" ht="12" customHeight="1" x14ac:dyDescent="0.2">
      <c r="B455"/>
    </row>
    <row r="456" spans="2:2" ht="12" customHeight="1" x14ac:dyDescent="0.2">
      <c r="B456"/>
    </row>
    <row r="457" spans="2:2" ht="12" customHeight="1" x14ac:dyDescent="0.2">
      <c r="B457"/>
    </row>
    <row r="458" spans="2:2" ht="12" customHeight="1" x14ac:dyDescent="0.2">
      <c r="B458"/>
    </row>
    <row r="459" spans="2:2" ht="12" customHeight="1" x14ac:dyDescent="0.2">
      <c r="B459"/>
    </row>
    <row r="460" spans="2:2" ht="12" customHeight="1" x14ac:dyDescent="0.2">
      <c r="B460"/>
    </row>
    <row r="461" spans="2:2" ht="12" customHeight="1" x14ac:dyDescent="0.2">
      <c r="B461"/>
    </row>
    <row r="462" spans="2:2" ht="12" customHeight="1" x14ac:dyDescent="0.2">
      <c r="B462"/>
    </row>
    <row r="463" spans="2:2" ht="12" customHeight="1" x14ac:dyDescent="0.2">
      <c r="B463"/>
    </row>
    <row r="464" spans="2:2" ht="12" customHeight="1" x14ac:dyDescent="0.2">
      <c r="B464"/>
    </row>
    <row r="465" spans="2:2" ht="12" customHeight="1" x14ac:dyDescent="0.2">
      <c r="B465"/>
    </row>
    <row r="466" spans="2:2" ht="12" customHeight="1" x14ac:dyDescent="0.2">
      <c r="B466"/>
    </row>
    <row r="467" spans="2:2" ht="12" customHeight="1" x14ac:dyDescent="0.2">
      <c r="B467"/>
    </row>
    <row r="468" spans="2:2" ht="12" customHeight="1" x14ac:dyDescent="0.2">
      <c r="B468"/>
    </row>
    <row r="469" spans="2:2" ht="12" customHeight="1" x14ac:dyDescent="0.2">
      <c r="B469"/>
    </row>
    <row r="470" spans="2:2" ht="12" customHeight="1" x14ac:dyDescent="0.2">
      <c r="B470"/>
    </row>
    <row r="471" spans="2:2" ht="12" customHeight="1" x14ac:dyDescent="0.2">
      <c r="B471"/>
    </row>
    <row r="472" spans="2:2" ht="12" customHeight="1" x14ac:dyDescent="0.2">
      <c r="B472"/>
    </row>
    <row r="473" spans="2:2" ht="12" customHeight="1" x14ac:dyDescent="0.2">
      <c r="B473"/>
    </row>
    <row r="474" spans="2:2" ht="12" customHeight="1" x14ac:dyDescent="0.2">
      <c r="B474"/>
    </row>
    <row r="475" spans="2:2" ht="12" customHeight="1" x14ac:dyDescent="0.2">
      <c r="B475"/>
    </row>
    <row r="476" spans="2:2" ht="12" customHeight="1" x14ac:dyDescent="0.2">
      <c r="B476"/>
    </row>
    <row r="477" spans="2:2" ht="12" customHeight="1" x14ac:dyDescent="0.2">
      <c r="B477"/>
    </row>
    <row r="478" spans="2:2" ht="12" customHeight="1" x14ac:dyDescent="0.2">
      <c r="B478"/>
    </row>
    <row r="479" spans="2:2" ht="12" customHeight="1" x14ac:dyDescent="0.2">
      <c r="B479"/>
    </row>
    <row r="480" spans="2:2" ht="12" customHeight="1" x14ac:dyDescent="0.2">
      <c r="B480"/>
    </row>
    <row r="481" spans="2:2" ht="12" customHeight="1" x14ac:dyDescent="0.2">
      <c r="B481"/>
    </row>
    <row r="482" spans="2:2" ht="12" customHeight="1" x14ac:dyDescent="0.2">
      <c r="B482"/>
    </row>
    <row r="483" spans="2:2" ht="12" customHeight="1" x14ac:dyDescent="0.2">
      <c r="B483"/>
    </row>
    <row r="484" spans="2:2" ht="12" customHeight="1" x14ac:dyDescent="0.2">
      <c r="B484"/>
    </row>
    <row r="485" spans="2:2" ht="12" customHeight="1" x14ac:dyDescent="0.2">
      <c r="B485"/>
    </row>
    <row r="486" spans="2:2" ht="12" customHeight="1" x14ac:dyDescent="0.2">
      <c r="B486"/>
    </row>
    <row r="487" spans="2:2" ht="12" customHeight="1" x14ac:dyDescent="0.2">
      <c r="B487"/>
    </row>
    <row r="488" spans="2:2" ht="12" customHeight="1" x14ac:dyDescent="0.2">
      <c r="B488"/>
    </row>
    <row r="489" spans="2:2" ht="12" customHeight="1" x14ac:dyDescent="0.2">
      <c r="B489"/>
    </row>
    <row r="490" spans="2:2" ht="12" customHeight="1" x14ac:dyDescent="0.2">
      <c r="B490"/>
    </row>
    <row r="491" spans="2:2" ht="12" customHeight="1" x14ac:dyDescent="0.2">
      <c r="B491"/>
    </row>
    <row r="492" spans="2:2" ht="12" customHeight="1" x14ac:dyDescent="0.2">
      <c r="B492"/>
    </row>
    <row r="493" spans="2:2" ht="12" customHeight="1" x14ac:dyDescent="0.2">
      <c r="B493"/>
    </row>
    <row r="494" spans="2:2" ht="12" customHeight="1" x14ac:dyDescent="0.2">
      <c r="B494"/>
    </row>
    <row r="495" spans="2:2" ht="12" customHeight="1" x14ac:dyDescent="0.2">
      <c r="B495"/>
    </row>
    <row r="496" spans="2:2" ht="12" customHeight="1" x14ac:dyDescent="0.2">
      <c r="B496"/>
    </row>
    <row r="497" spans="2:2" ht="12" customHeight="1" x14ac:dyDescent="0.2">
      <c r="B497"/>
    </row>
    <row r="498" spans="2:2" ht="12" customHeight="1" x14ac:dyDescent="0.2">
      <c r="B498"/>
    </row>
    <row r="499" spans="2:2" ht="12" customHeight="1" x14ac:dyDescent="0.2">
      <c r="B499"/>
    </row>
    <row r="500" spans="2:2" ht="12" customHeight="1" x14ac:dyDescent="0.2">
      <c r="B500"/>
    </row>
    <row r="501" spans="2:2" ht="12" customHeight="1" x14ac:dyDescent="0.2">
      <c r="B501"/>
    </row>
    <row r="502" spans="2:2" ht="12" customHeight="1" x14ac:dyDescent="0.2">
      <c r="B502"/>
    </row>
    <row r="503" spans="2:2" ht="12" customHeight="1" x14ac:dyDescent="0.2">
      <c r="B503"/>
    </row>
    <row r="504" spans="2:2" ht="12" customHeight="1" x14ac:dyDescent="0.2">
      <c r="B504"/>
    </row>
    <row r="505" spans="2:2" ht="12" customHeight="1" x14ac:dyDescent="0.2">
      <c r="B505"/>
    </row>
    <row r="506" spans="2:2" ht="12" customHeight="1" x14ac:dyDescent="0.2">
      <c r="B506"/>
    </row>
    <row r="507" spans="2:2" ht="12" customHeight="1" x14ac:dyDescent="0.2">
      <c r="B507"/>
    </row>
    <row r="508" spans="2:2" ht="12" customHeight="1" x14ac:dyDescent="0.2">
      <c r="B508"/>
    </row>
    <row r="509" spans="2:2" ht="12" customHeight="1" x14ac:dyDescent="0.2">
      <c r="B509"/>
    </row>
    <row r="510" spans="2:2" ht="12" customHeight="1" x14ac:dyDescent="0.2">
      <c r="B510"/>
    </row>
    <row r="511" spans="2:2" ht="12" customHeight="1" x14ac:dyDescent="0.2">
      <c r="B511"/>
    </row>
    <row r="512" spans="2:2" ht="12" customHeight="1" x14ac:dyDescent="0.2">
      <c r="B512"/>
    </row>
    <row r="513" spans="2:2" ht="12" customHeight="1" x14ac:dyDescent="0.2">
      <c r="B513"/>
    </row>
    <row r="514" spans="2:2" ht="12" customHeight="1" x14ac:dyDescent="0.2">
      <c r="B514"/>
    </row>
    <row r="515" spans="2:2" ht="12" customHeight="1" x14ac:dyDescent="0.2">
      <c r="B515"/>
    </row>
    <row r="516" spans="2:2" ht="12" customHeight="1" x14ac:dyDescent="0.2">
      <c r="B516"/>
    </row>
    <row r="517" spans="2:2" ht="12" customHeight="1" x14ac:dyDescent="0.2">
      <c r="B517"/>
    </row>
    <row r="518" spans="2:2" ht="12" customHeight="1" x14ac:dyDescent="0.2">
      <c r="B518"/>
    </row>
    <row r="519" spans="2:2" ht="12" customHeight="1" x14ac:dyDescent="0.2">
      <c r="B519"/>
    </row>
    <row r="520" spans="2:2" ht="12" customHeight="1" x14ac:dyDescent="0.2">
      <c r="B520"/>
    </row>
    <row r="521" spans="2:2" ht="12" customHeight="1" x14ac:dyDescent="0.2">
      <c r="B521"/>
    </row>
    <row r="522" spans="2:2" ht="12" customHeight="1" x14ac:dyDescent="0.2">
      <c r="B522"/>
    </row>
    <row r="523" spans="2:2" ht="12" customHeight="1" x14ac:dyDescent="0.2">
      <c r="B523"/>
    </row>
    <row r="524" spans="2:2" ht="12" customHeight="1" x14ac:dyDescent="0.2">
      <c r="B524"/>
    </row>
    <row r="525" spans="2:2" ht="12" customHeight="1" x14ac:dyDescent="0.2">
      <c r="B525"/>
    </row>
    <row r="526" spans="2:2" ht="12" customHeight="1" x14ac:dyDescent="0.2">
      <c r="B526"/>
    </row>
    <row r="527" spans="2:2" ht="12" customHeight="1" x14ac:dyDescent="0.2">
      <c r="B527"/>
    </row>
    <row r="528" spans="2:2" ht="12" customHeight="1" x14ac:dyDescent="0.2">
      <c r="B528"/>
    </row>
    <row r="529" spans="2:2" ht="12" customHeight="1" x14ac:dyDescent="0.2">
      <c r="B529"/>
    </row>
    <row r="530" spans="2:2" ht="12" customHeight="1" x14ac:dyDescent="0.2">
      <c r="B530"/>
    </row>
    <row r="531" spans="2:2" ht="12" customHeight="1" x14ac:dyDescent="0.2">
      <c r="B531"/>
    </row>
    <row r="532" spans="2:2" ht="12" customHeight="1" x14ac:dyDescent="0.2">
      <c r="B532"/>
    </row>
    <row r="533" spans="2:2" ht="12" customHeight="1" x14ac:dyDescent="0.2">
      <c r="B533"/>
    </row>
    <row r="534" spans="2:2" ht="12" customHeight="1" x14ac:dyDescent="0.2">
      <c r="B534"/>
    </row>
    <row r="535" spans="2:2" ht="12" customHeight="1" x14ac:dyDescent="0.2">
      <c r="B535"/>
    </row>
    <row r="536" spans="2:2" ht="12" customHeight="1" x14ac:dyDescent="0.2">
      <c r="B536"/>
    </row>
    <row r="537" spans="2:2" ht="12" customHeight="1" x14ac:dyDescent="0.2">
      <c r="B537"/>
    </row>
    <row r="538" spans="2:2" ht="12" customHeight="1" x14ac:dyDescent="0.2">
      <c r="B538"/>
    </row>
    <row r="539" spans="2:2" ht="12" customHeight="1" x14ac:dyDescent="0.2">
      <c r="B539"/>
    </row>
    <row r="540" spans="2:2" ht="12" customHeight="1" x14ac:dyDescent="0.2">
      <c r="B540"/>
    </row>
    <row r="541" spans="2:2" ht="12" customHeight="1" x14ac:dyDescent="0.2">
      <c r="B541"/>
    </row>
    <row r="542" spans="2:2" ht="12" customHeight="1" x14ac:dyDescent="0.2">
      <c r="B542"/>
    </row>
    <row r="543" spans="2:2" ht="12" customHeight="1" x14ac:dyDescent="0.2">
      <c r="B543"/>
    </row>
    <row r="544" spans="2:2" ht="12" customHeight="1" x14ac:dyDescent="0.2">
      <c r="B544"/>
    </row>
    <row r="545" spans="2:2" ht="12" customHeight="1" x14ac:dyDescent="0.2">
      <c r="B545"/>
    </row>
    <row r="546" spans="2:2" ht="12" customHeight="1" x14ac:dyDescent="0.2">
      <c r="B546"/>
    </row>
    <row r="547" spans="2:2" ht="12" customHeight="1" x14ac:dyDescent="0.2">
      <c r="B547"/>
    </row>
    <row r="548" spans="2:2" ht="12" customHeight="1" x14ac:dyDescent="0.2">
      <c r="B548"/>
    </row>
    <row r="549" spans="2:2" ht="12" customHeight="1" x14ac:dyDescent="0.2">
      <c r="B549"/>
    </row>
    <row r="550" spans="2:2" ht="12" customHeight="1" x14ac:dyDescent="0.2">
      <c r="B550"/>
    </row>
    <row r="551" spans="2:2" ht="12" customHeight="1" x14ac:dyDescent="0.2">
      <c r="B551"/>
    </row>
    <row r="552" spans="2:2" ht="12" customHeight="1" x14ac:dyDescent="0.2">
      <c r="B552"/>
    </row>
    <row r="553" spans="2:2" ht="12" customHeight="1" x14ac:dyDescent="0.2">
      <c r="B553"/>
    </row>
    <row r="554" spans="2:2" ht="12" customHeight="1" x14ac:dyDescent="0.2">
      <c r="B554"/>
    </row>
    <row r="555" spans="2:2" ht="12" customHeight="1" x14ac:dyDescent="0.2">
      <c r="B555"/>
    </row>
    <row r="556" spans="2:2" ht="12" customHeight="1" x14ac:dyDescent="0.2">
      <c r="B556"/>
    </row>
    <row r="557" spans="2:2" ht="12" customHeight="1" x14ac:dyDescent="0.2">
      <c r="B557"/>
    </row>
    <row r="558" spans="2:2" ht="12" customHeight="1" x14ac:dyDescent="0.2">
      <c r="B558"/>
    </row>
    <row r="559" spans="2:2" ht="12" customHeight="1" x14ac:dyDescent="0.2">
      <c r="B559"/>
    </row>
    <row r="560" spans="2:2" ht="12" customHeight="1" x14ac:dyDescent="0.2">
      <c r="B560"/>
    </row>
    <row r="561" spans="2:2" ht="12" customHeight="1" x14ac:dyDescent="0.2">
      <c r="B561"/>
    </row>
    <row r="562" spans="2:2" ht="12" customHeight="1" x14ac:dyDescent="0.2">
      <c r="B562"/>
    </row>
    <row r="563" spans="2:2" ht="12" customHeight="1" x14ac:dyDescent="0.2">
      <c r="B563"/>
    </row>
    <row r="564" spans="2:2" ht="12" customHeight="1" x14ac:dyDescent="0.2">
      <c r="B564"/>
    </row>
    <row r="565" spans="2:2" ht="12" customHeight="1" x14ac:dyDescent="0.2">
      <c r="B565"/>
    </row>
    <row r="566" spans="2:2" ht="12" customHeight="1" x14ac:dyDescent="0.2">
      <c r="B566"/>
    </row>
    <row r="567" spans="2:2" ht="12" customHeight="1" x14ac:dyDescent="0.2">
      <c r="B567"/>
    </row>
    <row r="568" spans="2:2" ht="12" customHeight="1" x14ac:dyDescent="0.2">
      <c r="B568"/>
    </row>
    <row r="569" spans="2:2" ht="12" customHeight="1" x14ac:dyDescent="0.2">
      <c r="B569"/>
    </row>
    <row r="570" spans="2:2" ht="12" customHeight="1" x14ac:dyDescent="0.2">
      <c r="B570"/>
    </row>
    <row r="571" spans="2:2" ht="12" customHeight="1" x14ac:dyDescent="0.2">
      <c r="B571"/>
    </row>
    <row r="572" spans="2:2" ht="12" customHeight="1" x14ac:dyDescent="0.2">
      <c r="B572"/>
    </row>
    <row r="573" spans="2:2" ht="12" customHeight="1" x14ac:dyDescent="0.2">
      <c r="B573"/>
    </row>
    <row r="574" spans="2:2" ht="12" customHeight="1" x14ac:dyDescent="0.2">
      <c r="B574"/>
    </row>
    <row r="575" spans="2:2" ht="12" customHeight="1" x14ac:dyDescent="0.2">
      <c r="B575"/>
    </row>
    <row r="576" spans="2:2" ht="12" customHeight="1" x14ac:dyDescent="0.2">
      <c r="B576"/>
    </row>
    <row r="577" spans="2:2" ht="12" customHeight="1" x14ac:dyDescent="0.2">
      <c r="B577"/>
    </row>
    <row r="578" spans="2:2" ht="12" customHeight="1" x14ac:dyDescent="0.2">
      <c r="B578"/>
    </row>
    <row r="579" spans="2:2" ht="12" customHeight="1" x14ac:dyDescent="0.2">
      <c r="B579"/>
    </row>
    <row r="580" spans="2:2" ht="12" customHeight="1" x14ac:dyDescent="0.2">
      <c r="B580"/>
    </row>
    <row r="581" spans="2:2" ht="12" customHeight="1" x14ac:dyDescent="0.2">
      <c r="B581"/>
    </row>
    <row r="582" spans="2:2" ht="12" customHeight="1" x14ac:dyDescent="0.2">
      <c r="B582"/>
    </row>
    <row r="583" spans="2:2" ht="12" customHeight="1" x14ac:dyDescent="0.2">
      <c r="B583"/>
    </row>
    <row r="584" spans="2:2" ht="12" customHeight="1" x14ac:dyDescent="0.2">
      <c r="B584"/>
    </row>
    <row r="585" spans="2:2" ht="12" customHeight="1" x14ac:dyDescent="0.2">
      <c r="B585"/>
    </row>
    <row r="586" spans="2:2" ht="12" customHeight="1" x14ac:dyDescent="0.2">
      <c r="B586"/>
    </row>
    <row r="587" spans="2:2" ht="12" customHeight="1" x14ac:dyDescent="0.2">
      <c r="B587"/>
    </row>
    <row r="588" spans="2:2" ht="12" customHeight="1" x14ac:dyDescent="0.2">
      <c r="B588"/>
    </row>
    <row r="589" spans="2:2" ht="12" customHeight="1" x14ac:dyDescent="0.2">
      <c r="B589"/>
    </row>
    <row r="590" spans="2:2" ht="12" customHeight="1" x14ac:dyDescent="0.2">
      <c r="B590"/>
    </row>
    <row r="591" spans="2:2" ht="12" customHeight="1" x14ac:dyDescent="0.2">
      <c r="B591"/>
    </row>
    <row r="592" spans="2:2" ht="12" customHeight="1" x14ac:dyDescent="0.2">
      <c r="B592"/>
    </row>
    <row r="593" spans="2:2" ht="12" customHeight="1" x14ac:dyDescent="0.2">
      <c r="B593"/>
    </row>
    <row r="594" spans="2:2" ht="12" customHeight="1" x14ac:dyDescent="0.2">
      <c r="B594"/>
    </row>
    <row r="595" spans="2:2" ht="12" customHeight="1" x14ac:dyDescent="0.2">
      <c r="B595"/>
    </row>
    <row r="596" spans="2:2" ht="12" customHeight="1" x14ac:dyDescent="0.2">
      <c r="B596"/>
    </row>
    <row r="597" spans="2:2" ht="12" customHeight="1" x14ac:dyDescent="0.2">
      <c r="B597"/>
    </row>
    <row r="598" spans="2:2" ht="12" customHeight="1" x14ac:dyDescent="0.2">
      <c r="B598"/>
    </row>
    <row r="599" spans="2:2" ht="12" customHeight="1" x14ac:dyDescent="0.2">
      <c r="B599"/>
    </row>
    <row r="600" spans="2:2" ht="12" customHeight="1" x14ac:dyDescent="0.2">
      <c r="B600"/>
    </row>
    <row r="601" spans="2:2" ht="12" customHeight="1" x14ac:dyDescent="0.2">
      <c r="B601"/>
    </row>
    <row r="602" spans="2:2" ht="12" customHeight="1" x14ac:dyDescent="0.2">
      <c r="B602"/>
    </row>
    <row r="603" spans="2:2" ht="12" customHeight="1" x14ac:dyDescent="0.2">
      <c r="B603"/>
    </row>
    <row r="604" spans="2:2" ht="12" customHeight="1" x14ac:dyDescent="0.2">
      <c r="B604"/>
    </row>
    <row r="605" spans="2:2" ht="12" customHeight="1" x14ac:dyDescent="0.2">
      <c r="B605"/>
    </row>
    <row r="606" spans="2:2" ht="12" customHeight="1" x14ac:dyDescent="0.2">
      <c r="B606"/>
    </row>
    <row r="607" spans="2:2" ht="12" customHeight="1" x14ac:dyDescent="0.2">
      <c r="B607"/>
    </row>
    <row r="608" spans="2:2" ht="12" customHeight="1" x14ac:dyDescent="0.2">
      <c r="B608"/>
    </row>
    <row r="609" spans="2:2" ht="12" customHeight="1" x14ac:dyDescent="0.2">
      <c r="B609"/>
    </row>
    <row r="610" spans="2:2" ht="12" customHeight="1" x14ac:dyDescent="0.2">
      <c r="B610"/>
    </row>
    <row r="611" spans="2:2" ht="12" customHeight="1" x14ac:dyDescent="0.2">
      <c r="B611"/>
    </row>
    <row r="612" spans="2:2" ht="12" customHeight="1" x14ac:dyDescent="0.2">
      <c r="B612"/>
    </row>
    <row r="613" spans="2:2" ht="12" customHeight="1" x14ac:dyDescent="0.2">
      <c r="B613"/>
    </row>
    <row r="614" spans="2:2" ht="12" customHeight="1" x14ac:dyDescent="0.2">
      <c r="B614"/>
    </row>
    <row r="615" spans="2:2" ht="12" customHeight="1" x14ac:dyDescent="0.2">
      <c r="B615"/>
    </row>
    <row r="616" spans="2:2" ht="12" customHeight="1" x14ac:dyDescent="0.2">
      <c r="B616"/>
    </row>
    <row r="617" spans="2:2" ht="12" customHeight="1" x14ac:dyDescent="0.2">
      <c r="B617"/>
    </row>
    <row r="618" spans="2:2" ht="12" customHeight="1" x14ac:dyDescent="0.2">
      <c r="B618"/>
    </row>
    <row r="619" spans="2:2" ht="12" customHeight="1" x14ac:dyDescent="0.2">
      <c r="B619"/>
    </row>
    <row r="620" spans="2:2" ht="12" customHeight="1" x14ac:dyDescent="0.2">
      <c r="B620"/>
    </row>
    <row r="621" spans="2:2" ht="12" customHeight="1" x14ac:dyDescent="0.2">
      <c r="B621"/>
    </row>
    <row r="622" spans="2:2" ht="12" customHeight="1" x14ac:dyDescent="0.2">
      <c r="B622"/>
    </row>
    <row r="623" spans="2:2" ht="12" customHeight="1" x14ac:dyDescent="0.2">
      <c r="B623"/>
    </row>
    <row r="624" spans="2:2" ht="12" customHeight="1" x14ac:dyDescent="0.2">
      <c r="B624"/>
    </row>
    <row r="625" spans="2:2" ht="12" customHeight="1" x14ac:dyDescent="0.2">
      <c r="B625"/>
    </row>
    <row r="626" spans="2:2" ht="12" customHeight="1" x14ac:dyDescent="0.2">
      <c r="B626"/>
    </row>
    <row r="627" spans="2:2" ht="12" customHeight="1" x14ac:dyDescent="0.2">
      <c r="B627"/>
    </row>
    <row r="628" spans="2:2" ht="12" customHeight="1" x14ac:dyDescent="0.2">
      <c r="B628"/>
    </row>
    <row r="629" spans="2:2" ht="12" customHeight="1" x14ac:dyDescent="0.2">
      <c r="B629"/>
    </row>
    <row r="630" spans="2:2" ht="12" customHeight="1" x14ac:dyDescent="0.2">
      <c r="B630"/>
    </row>
    <row r="631" spans="2:2" ht="12" customHeight="1" x14ac:dyDescent="0.2">
      <c r="B631"/>
    </row>
    <row r="632" spans="2:2" ht="12" customHeight="1" x14ac:dyDescent="0.2">
      <c r="B632"/>
    </row>
    <row r="633" spans="2:2" ht="12" customHeight="1" x14ac:dyDescent="0.2">
      <c r="B633"/>
    </row>
    <row r="634" spans="2:2" ht="12" customHeight="1" x14ac:dyDescent="0.2">
      <c r="B634"/>
    </row>
    <row r="635" spans="2:2" ht="12" customHeight="1" x14ac:dyDescent="0.2">
      <c r="B635"/>
    </row>
    <row r="636" spans="2:2" ht="12" customHeight="1" x14ac:dyDescent="0.2">
      <c r="B636"/>
    </row>
    <row r="637" spans="2:2" ht="12" customHeight="1" x14ac:dyDescent="0.2">
      <c r="B637"/>
    </row>
    <row r="638" spans="2:2" ht="12" customHeight="1" x14ac:dyDescent="0.2">
      <c r="B638"/>
    </row>
    <row r="639" spans="2:2" ht="12" customHeight="1" x14ac:dyDescent="0.2">
      <c r="B639"/>
    </row>
    <row r="640" spans="2:2" ht="12" customHeight="1" x14ac:dyDescent="0.2">
      <c r="B640"/>
    </row>
    <row r="641" spans="2:2" ht="12" customHeight="1" x14ac:dyDescent="0.2">
      <c r="B641"/>
    </row>
    <row r="642" spans="2:2" ht="12" customHeight="1" x14ac:dyDescent="0.2">
      <c r="B642"/>
    </row>
    <row r="643" spans="2:2" ht="12" customHeight="1" x14ac:dyDescent="0.2">
      <c r="B643"/>
    </row>
    <row r="644" spans="2:2" ht="12" customHeight="1" x14ac:dyDescent="0.2">
      <c r="B644"/>
    </row>
    <row r="645" spans="2:2" ht="12" customHeight="1" x14ac:dyDescent="0.2">
      <c r="B645"/>
    </row>
    <row r="646" spans="2:2" ht="12" customHeight="1" x14ac:dyDescent="0.2">
      <c r="B646"/>
    </row>
    <row r="647" spans="2:2" ht="12" customHeight="1" x14ac:dyDescent="0.2">
      <c r="B647"/>
    </row>
    <row r="648" spans="2:2" ht="12" customHeight="1" x14ac:dyDescent="0.2">
      <c r="B648"/>
    </row>
    <row r="649" spans="2:2" ht="12" customHeight="1" x14ac:dyDescent="0.2">
      <c r="B649"/>
    </row>
    <row r="650" spans="2:2" ht="12" customHeight="1" x14ac:dyDescent="0.2">
      <c r="B650"/>
    </row>
    <row r="651" spans="2:2" ht="12" customHeight="1" x14ac:dyDescent="0.2">
      <c r="B651"/>
    </row>
    <row r="652" spans="2:2" ht="12" customHeight="1" x14ac:dyDescent="0.2">
      <c r="B652"/>
    </row>
    <row r="653" spans="2:2" ht="12" customHeight="1" x14ac:dyDescent="0.2">
      <c r="B653"/>
    </row>
    <row r="654" spans="2:2" ht="12" customHeight="1" x14ac:dyDescent="0.2">
      <c r="B654"/>
    </row>
    <row r="655" spans="2:2" ht="12" customHeight="1" x14ac:dyDescent="0.2">
      <c r="B655"/>
    </row>
    <row r="656" spans="2:2" ht="12" customHeight="1" x14ac:dyDescent="0.2">
      <c r="B656"/>
    </row>
    <row r="657" spans="2:2" ht="12" customHeight="1" x14ac:dyDescent="0.2">
      <c r="B657"/>
    </row>
    <row r="658" spans="2:2" ht="12" customHeight="1" x14ac:dyDescent="0.2">
      <c r="B658"/>
    </row>
    <row r="659" spans="2:2" ht="12" customHeight="1" x14ac:dyDescent="0.2">
      <c r="B659"/>
    </row>
    <row r="660" spans="2:2" ht="12" customHeight="1" x14ac:dyDescent="0.2">
      <c r="B660"/>
    </row>
    <row r="661" spans="2:2" ht="12" customHeight="1" x14ac:dyDescent="0.2">
      <c r="B661"/>
    </row>
    <row r="662" spans="2:2" ht="12" customHeight="1" x14ac:dyDescent="0.2">
      <c r="B662"/>
    </row>
    <row r="663" spans="2:2" ht="12" customHeight="1" x14ac:dyDescent="0.2">
      <c r="B663"/>
    </row>
    <row r="664" spans="2:2" ht="12" customHeight="1" x14ac:dyDescent="0.2">
      <c r="B664"/>
    </row>
    <row r="665" spans="2:2" ht="12" customHeight="1" x14ac:dyDescent="0.2">
      <c r="B665"/>
    </row>
    <row r="666" spans="2:2" ht="12" customHeight="1" x14ac:dyDescent="0.2">
      <c r="B666"/>
    </row>
    <row r="667" spans="2:2" ht="12" customHeight="1" x14ac:dyDescent="0.2">
      <c r="B667"/>
    </row>
    <row r="668" spans="2:2" ht="12" customHeight="1" x14ac:dyDescent="0.2">
      <c r="B668"/>
    </row>
    <row r="669" spans="2:2" ht="12" customHeight="1" x14ac:dyDescent="0.2">
      <c r="B669"/>
    </row>
    <row r="670" spans="2:2" ht="12" customHeight="1" x14ac:dyDescent="0.2">
      <c r="B670"/>
    </row>
    <row r="671" spans="2:2" ht="12" customHeight="1" x14ac:dyDescent="0.2">
      <c r="B671"/>
    </row>
    <row r="672" spans="2:2" ht="12" customHeight="1" x14ac:dyDescent="0.2">
      <c r="B672"/>
    </row>
    <row r="673" spans="2:2" ht="12" customHeight="1" x14ac:dyDescent="0.2">
      <c r="B673"/>
    </row>
    <row r="674" spans="2:2" ht="12" customHeight="1" x14ac:dyDescent="0.2">
      <c r="B674"/>
    </row>
    <row r="675" spans="2:2" ht="12" customHeight="1" x14ac:dyDescent="0.2">
      <c r="B675"/>
    </row>
    <row r="676" spans="2:2" ht="12" customHeight="1" x14ac:dyDescent="0.2">
      <c r="B676"/>
    </row>
    <row r="677" spans="2:2" ht="12" customHeight="1" x14ac:dyDescent="0.2">
      <c r="B677"/>
    </row>
    <row r="678" spans="2:2" ht="12" customHeight="1" x14ac:dyDescent="0.2">
      <c r="B678"/>
    </row>
    <row r="679" spans="2:2" ht="12" customHeight="1" x14ac:dyDescent="0.2">
      <c r="B679"/>
    </row>
    <row r="680" spans="2:2" ht="12" customHeight="1" x14ac:dyDescent="0.2">
      <c r="B680"/>
    </row>
    <row r="681" spans="2:2" ht="12" customHeight="1" x14ac:dyDescent="0.2">
      <c r="B681"/>
    </row>
    <row r="682" spans="2:2" ht="12" customHeight="1" x14ac:dyDescent="0.2">
      <c r="B682"/>
    </row>
    <row r="683" spans="2:2" ht="12" customHeight="1" x14ac:dyDescent="0.2">
      <c r="B683"/>
    </row>
    <row r="684" spans="2:2" ht="12" customHeight="1" x14ac:dyDescent="0.2">
      <c r="B684"/>
    </row>
    <row r="685" spans="2:2" ht="12" customHeight="1" x14ac:dyDescent="0.2">
      <c r="B685"/>
    </row>
    <row r="686" spans="2:2" ht="12" customHeight="1" x14ac:dyDescent="0.2">
      <c r="B686"/>
    </row>
    <row r="687" spans="2:2" ht="12" customHeight="1" x14ac:dyDescent="0.2">
      <c r="B687"/>
    </row>
    <row r="688" spans="2:2" ht="12" customHeight="1" x14ac:dyDescent="0.2">
      <c r="B688"/>
    </row>
    <row r="689" spans="2:2" ht="12" customHeight="1" x14ac:dyDescent="0.2">
      <c r="B689"/>
    </row>
    <row r="690" spans="2:2" ht="12" customHeight="1" x14ac:dyDescent="0.2">
      <c r="B690"/>
    </row>
    <row r="691" spans="2:2" ht="12" customHeight="1" x14ac:dyDescent="0.2">
      <c r="B691"/>
    </row>
    <row r="692" spans="2:2" ht="12" customHeight="1" x14ac:dyDescent="0.2">
      <c r="B692"/>
    </row>
    <row r="693" spans="2:2" ht="12" customHeight="1" x14ac:dyDescent="0.2">
      <c r="B693"/>
    </row>
    <row r="694" spans="2:2" ht="12" customHeight="1" x14ac:dyDescent="0.2">
      <c r="B694"/>
    </row>
    <row r="695" spans="2:2" ht="12" customHeight="1" x14ac:dyDescent="0.2">
      <c r="B695"/>
    </row>
    <row r="696" spans="2:2" ht="12" customHeight="1" x14ac:dyDescent="0.2">
      <c r="B696"/>
    </row>
    <row r="697" spans="2:2" ht="12" customHeight="1" x14ac:dyDescent="0.2">
      <c r="B697"/>
    </row>
    <row r="698" spans="2:2" ht="12" customHeight="1" x14ac:dyDescent="0.2">
      <c r="B698"/>
    </row>
    <row r="699" spans="2:2" ht="12" customHeight="1" x14ac:dyDescent="0.2">
      <c r="B699"/>
    </row>
    <row r="700" spans="2:2" ht="12" customHeight="1" x14ac:dyDescent="0.2">
      <c r="B700"/>
    </row>
    <row r="701" spans="2:2" ht="12" customHeight="1" x14ac:dyDescent="0.2">
      <c r="B701"/>
    </row>
    <row r="702" spans="2:2" ht="12" customHeight="1" x14ac:dyDescent="0.2">
      <c r="B702"/>
    </row>
    <row r="703" spans="2:2" ht="12" customHeight="1" x14ac:dyDescent="0.2">
      <c r="B703"/>
    </row>
    <row r="704" spans="2:2" ht="12" customHeight="1" x14ac:dyDescent="0.2">
      <c r="B704"/>
    </row>
    <row r="705" spans="2:2" ht="12" customHeight="1" x14ac:dyDescent="0.2">
      <c r="B705"/>
    </row>
    <row r="706" spans="2:2" ht="12" customHeight="1" x14ac:dyDescent="0.2">
      <c r="B706"/>
    </row>
    <row r="707" spans="2:2" ht="12" customHeight="1" x14ac:dyDescent="0.2">
      <c r="B707"/>
    </row>
    <row r="708" spans="2:2" ht="12" customHeight="1" x14ac:dyDescent="0.2">
      <c r="B708"/>
    </row>
    <row r="709" spans="2:2" ht="12" customHeight="1" x14ac:dyDescent="0.2">
      <c r="B709"/>
    </row>
    <row r="710" spans="2:2" ht="12" customHeight="1" x14ac:dyDescent="0.2">
      <c r="B710"/>
    </row>
    <row r="711" spans="2:2" ht="12" customHeight="1" x14ac:dyDescent="0.2">
      <c r="B711"/>
    </row>
    <row r="712" spans="2:2" ht="12" customHeight="1" x14ac:dyDescent="0.2">
      <c r="B712"/>
    </row>
    <row r="713" spans="2:2" ht="12" customHeight="1" x14ac:dyDescent="0.2">
      <c r="B713"/>
    </row>
    <row r="714" spans="2:2" ht="12" customHeight="1" x14ac:dyDescent="0.2">
      <c r="B714"/>
    </row>
    <row r="715" spans="2:2" ht="12" customHeight="1" x14ac:dyDescent="0.2">
      <c r="B715"/>
    </row>
    <row r="716" spans="2:2" ht="12" customHeight="1" x14ac:dyDescent="0.2">
      <c r="B716"/>
    </row>
    <row r="717" spans="2:2" ht="12" customHeight="1" x14ac:dyDescent="0.2">
      <c r="B717"/>
    </row>
    <row r="718" spans="2:2" ht="12" customHeight="1" x14ac:dyDescent="0.2">
      <c r="B718"/>
    </row>
    <row r="719" spans="2:2" ht="12" customHeight="1" x14ac:dyDescent="0.2">
      <c r="B719"/>
    </row>
    <row r="720" spans="2:2" ht="12" customHeight="1" x14ac:dyDescent="0.2">
      <c r="B720"/>
    </row>
    <row r="721" spans="2:2" ht="12" customHeight="1" x14ac:dyDescent="0.2">
      <c r="B721"/>
    </row>
    <row r="722" spans="2:2" ht="12" customHeight="1" x14ac:dyDescent="0.2">
      <c r="B722"/>
    </row>
    <row r="723" spans="2:2" ht="12" customHeight="1" x14ac:dyDescent="0.2">
      <c r="B723"/>
    </row>
    <row r="724" spans="2:2" ht="12" customHeight="1" x14ac:dyDescent="0.2">
      <c r="B724"/>
    </row>
    <row r="725" spans="2:2" ht="12" customHeight="1" x14ac:dyDescent="0.2">
      <c r="B725"/>
    </row>
    <row r="726" spans="2:2" ht="12" customHeight="1" x14ac:dyDescent="0.2">
      <c r="B726"/>
    </row>
    <row r="727" spans="2:2" ht="12" customHeight="1" x14ac:dyDescent="0.2">
      <c r="B727"/>
    </row>
    <row r="728" spans="2:2" ht="12" customHeight="1" x14ac:dyDescent="0.2">
      <c r="B728"/>
    </row>
    <row r="729" spans="2:2" ht="12" customHeight="1" x14ac:dyDescent="0.2">
      <c r="B729"/>
    </row>
    <row r="730" spans="2:2" ht="12" customHeight="1" x14ac:dyDescent="0.2">
      <c r="B730"/>
    </row>
    <row r="731" spans="2:2" ht="12" customHeight="1" x14ac:dyDescent="0.2">
      <c r="B731"/>
    </row>
    <row r="732" spans="2:2" ht="12" customHeight="1" x14ac:dyDescent="0.2">
      <c r="B732"/>
    </row>
    <row r="733" spans="2:2" ht="12" customHeight="1" x14ac:dyDescent="0.2">
      <c r="B733"/>
    </row>
    <row r="734" spans="2:2" ht="12" customHeight="1" x14ac:dyDescent="0.2">
      <c r="B734"/>
    </row>
    <row r="735" spans="2:2" ht="12" customHeight="1" x14ac:dyDescent="0.2">
      <c r="B735"/>
    </row>
    <row r="736" spans="2:2" ht="12" customHeight="1" x14ac:dyDescent="0.2">
      <c r="B736"/>
    </row>
    <row r="737" spans="2:2" ht="12" customHeight="1" x14ac:dyDescent="0.2">
      <c r="B737"/>
    </row>
    <row r="738" spans="2:2" ht="12" customHeight="1" x14ac:dyDescent="0.2">
      <c r="B738"/>
    </row>
    <row r="739" spans="2:2" ht="12" customHeight="1" x14ac:dyDescent="0.2">
      <c r="B739"/>
    </row>
    <row r="740" spans="2:2" ht="12" customHeight="1" x14ac:dyDescent="0.2">
      <c r="B740"/>
    </row>
    <row r="741" spans="2:2" ht="12" customHeight="1" x14ac:dyDescent="0.2">
      <c r="B741"/>
    </row>
    <row r="742" spans="2:2" ht="12" customHeight="1" x14ac:dyDescent="0.2">
      <c r="B742"/>
    </row>
    <row r="743" spans="2:2" ht="12" customHeight="1" x14ac:dyDescent="0.2">
      <c r="B743"/>
    </row>
    <row r="744" spans="2:2" ht="12" customHeight="1" x14ac:dyDescent="0.2">
      <c r="B744"/>
    </row>
    <row r="745" spans="2:2" ht="12" customHeight="1" x14ac:dyDescent="0.2">
      <c r="B745"/>
    </row>
    <row r="746" spans="2:2" ht="12" customHeight="1" x14ac:dyDescent="0.2">
      <c r="B746"/>
    </row>
    <row r="747" spans="2:2" ht="12" customHeight="1" x14ac:dyDescent="0.2">
      <c r="B747"/>
    </row>
    <row r="748" spans="2:2" ht="12" customHeight="1" x14ac:dyDescent="0.2">
      <c r="B748"/>
    </row>
    <row r="749" spans="2:2" ht="12" customHeight="1" x14ac:dyDescent="0.2">
      <c r="B749"/>
    </row>
    <row r="750" spans="2:2" ht="12" customHeight="1" x14ac:dyDescent="0.2">
      <c r="B750"/>
    </row>
    <row r="751" spans="2:2" ht="12" customHeight="1" x14ac:dyDescent="0.2">
      <c r="B751"/>
    </row>
    <row r="752" spans="2:2" ht="12" customHeight="1" x14ac:dyDescent="0.2">
      <c r="B752"/>
    </row>
    <row r="753" spans="2:2" ht="12" customHeight="1" x14ac:dyDescent="0.2">
      <c r="B753"/>
    </row>
    <row r="754" spans="2:2" ht="12" customHeight="1" x14ac:dyDescent="0.2">
      <c r="B754"/>
    </row>
    <row r="755" spans="2:2" ht="12" customHeight="1" x14ac:dyDescent="0.2">
      <c r="B755"/>
    </row>
    <row r="756" spans="2:2" ht="12" customHeight="1" x14ac:dyDescent="0.2">
      <c r="B756"/>
    </row>
    <row r="757" spans="2:2" ht="12" customHeight="1" x14ac:dyDescent="0.2">
      <c r="B757"/>
    </row>
    <row r="758" spans="2:2" ht="12" customHeight="1" x14ac:dyDescent="0.2">
      <c r="B758"/>
    </row>
    <row r="759" spans="2:2" ht="12" customHeight="1" x14ac:dyDescent="0.2">
      <c r="B759"/>
    </row>
    <row r="760" spans="2:2" ht="12" customHeight="1" x14ac:dyDescent="0.2">
      <c r="B760"/>
    </row>
    <row r="761" spans="2:2" ht="12" customHeight="1" x14ac:dyDescent="0.2">
      <c r="B761"/>
    </row>
    <row r="762" spans="2:2" ht="12" customHeight="1" x14ac:dyDescent="0.2">
      <c r="B762"/>
    </row>
    <row r="763" spans="2:2" ht="12" customHeight="1" x14ac:dyDescent="0.2">
      <c r="B763"/>
    </row>
    <row r="764" spans="2:2" ht="12" customHeight="1" x14ac:dyDescent="0.2">
      <c r="B764"/>
    </row>
    <row r="765" spans="2:2" ht="12" customHeight="1" x14ac:dyDescent="0.2">
      <c r="B765"/>
    </row>
    <row r="766" spans="2:2" ht="12" customHeight="1" x14ac:dyDescent="0.2">
      <c r="B766"/>
    </row>
    <row r="767" spans="2:2" ht="12" customHeight="1" x14ac:dyDescent="0.2">
      <c r="B767"/>
    </row>
    <row r="768" spans="2:2" ht="12" customHeight="1" x14ac:dyDescent="0.2">
      <c r="B768"/>
    </row>
    <row r="769" spans="2:2" ht="12" customHeight="1" x14ac:dyDescent="0.2">
      <c r="B769"/>
    </row>
    <row r="770" spans="2:2" ht="12" customHeight="1" x14ac:dyDescent="0.2">
      <c r="B770"/>
    </row>
    <row r="771" spans="2:2" ht="12" customHeight="1" x14ac:dyDescent="0.2">
      <c r="B771"/>
    </row>
    <row r="772" spans="2:2" ht="12" customHeight="1" x14ac:dyDescent="0.2">
      <c r="B772"/>
    </row>
    <row r="773" spans="2:2" ht="12" customHeight="1" x14ac:dyDescent="0.2">
      <c r="B773"/>
    </row>
    <row r="774" spans="2:2" ht="12" customHeight="1" x14ac:dyDescent="0.2">
      <c r="B774"/>
    </row>
    <row r="775" spans="2:2" ht="12" customHeight="1" x14ac:dyDescent="0.2">
      <c r="B775"/>
    </row>
    <row r="776" spans="2:2" ht="12" customHeight="1" x14ac:dyDescent="0.2">
      <c r="B776"/>
    </row>
    <row r="777" spans="2:2" ht="12" customHeight="1" x14ac:dyDescent="0.2">
      <c r="B777"/>
    </row>
    <row r="778" spans="2:2" ht="12" customHeight="1" x14ac:dyDescent="0.2">
      <c r="B778"/>
    </row>
    <row r="779" spans="2:2" ht="12" customHeight="1" x14ac:dyDescent="0.2">
      <c r="B779"/>
    </row>
    <row r="780" spans="2:2" ht="12" customHeight="1" x14ac:dyDescent="0.2">
      <c r="B780"/>
    </row>
    <row r="781" spans="2:2" ht="12" customHeight="1" x14ac:dyDescent="0.2">
      <c r="B781"/>
    </row>
    <row r="782" spans="2:2" ht="12" customHeight="1" x14ac:dyDescent="0.2">
      <c r="B782"/>
    </row>
    <row r="783" spans="2:2" ht="12" customHeight="1" x14ac:dyDescent="0.2">
      <c r="B783"/>
    </row>
    <row r="784" spans="2:2" ht="12" customHeight="1" x14ac:dyDescent="0.2">
      <c r="B784"/>
    </row>
    <row r="785" spans="2:2" ht="12" customHeight="1" x14ac:dyDescent="0.2">
      <c r="B785"/>
    </row>
    <row r="786" spans="2:2" ht="12" customHeight="1" x14ac:dyDescent="0.2">
      <c r="B786"/>
    </row>
    <row r="787" spans="2:2" ht="12" customHeight="1" x14ac:dyDescent="0.2">
      <c r="B787"/>
    </row>
    <row r="788" spans="2:2" ht="12" customHeight="1" x14ac:dyDescent="0.2">
      <c r="B788"/>
    </row>
    <row r="789" spans="2:2" ht="12" customHeight="1" x14ac:dyDescent="0.2">
      <c r="B789"/>
    </row>
    <row r="790" spans="2:2" ht="12" customHeight="1" x14ac:dyDescent="0.2">
      <c r="B790"/>
    </row>
    <row r="791" spans="2:2" ht="12" customHeight="1" x14ac:dyDescent="0.2">
      <c r="B791"/>
    </row>
    <row r="792" spans="2:2" ht="12" customHeight="1" x14ac:dyDescent="0.2">
      <c r="B792"/>
    </row>
    <row r="793" spans="2:2" ht="12" customHeight="1" x14ac:dyDescent="0.2">
      <c r="B793"/>
    </row>
    <row r="794" spans="2:2" ht="12" customHeight="1" x14ac:dyDescent="0.2">
      <c r="B794"/>
    </row>
    <row r="795" spans="2:2" ht="12" customHeight="1" x14ac:dyDescent="0.2">
      <c r="B795"/>
    </row>
    <row r="796" spans="2:2" ht="12" customHeight="1" x14ac:dyDescent="0.2">
      <c r="B796"/>
    </row>
    <row r="797" spans="2:2" ht="12" customHeight="1" x14ac:dyDescent="0.2">
      <c r="B797"/>
    </row>
    <row r="798" spans="2:2" ht="12" customHeight="1" x14ac:dyDescent="0.2">
      <c r="B798"/>
    </row>
    <row r="799" spans="2:2" ht="12" customHeight="1" x14ac:dyDescent="0.2">
      <c r="B799"/>
    </row>
    <row r="800" spans="2:2" ht="12" customHeight="1" x14ac:dyDescent="0.2">
      <c r="B800"/>
    </row>
    <row r="801" spans="2:2" ht="12" customHeight="1" x14ac:dyDescent="0.2">
      <c r="B801"/>
    </row>
    <row r="802" spans="2:2" ht="12" customHeight="1" x14ac:dyDescent="0.2">
      <c r="B802"/>
    </row>
    <row r="803" spans="2:2" ht="12" customHeight="1" x14ac:dyDescent="0.2">
      <c r="B803"/>
    </row>
    <row r="804" spans="2:2" ht="12" customHeight="1" x14ac:dyDescent="0.2">
      <c r="B804"/>
    </row>
    <row r="805" spans="2:2" ht="12" customHeight="1" x14ac:dyDescent="0.2">
      <c r="B805"/>
    </row>
    <row r="806" spans="2:2" ht="12" customHeight="1" x14ac:dyDescent="0.2">
      <c r="B806"/>
    </row>
    <row r="807" spans="2:2" ht="12" customHeight="1" x14ac:dyDescent="0.2">
      <c r="B807"/>
    </row>
    <row r="808" spans="2:2" ht="12" customHeight="1" x14ac:dyDescent="0.2">
      <c r="B808"/>
    </row>
    <row r="809" spans="2:2" ht="12" customHeight="1" x14ac:dyDescent="0.2">
      <c r="B809"/>
    </row>
    <row r="810" spans="2:2" ht="12" customHeight="1" x14ac:dyDescent="0.2">
      <c r="B810"/>
    </row>
    <row r="811" spans="2:2" ht="12" customHeight="1" x14ac:dyDescent="0.2">
      <c r="B811"/>
    </row>
    <row r="812" spans="2:2" ht="12" customHeight="1" x14ac:dyDescent="0.2">
      <c r="B812"/>
    </row>
    <row r="813" spans="2:2" ht="12" customHeight="1" x14ac:dyDescent="0.2">
      <c r="B813"/>
    </row>
    <row r="814" spans="2:2" ht="12" customHeight="1" x14ac:dyDescent="0.2">
      <c r="B814"/>
    </row>
    <row r="815" spans="2:2" ht="12" customHeight="1" x14ac:dyDescent="0.2">
      <c r="B815"/>
    </row>
    <row r="816" spans="2:2" ht="12" customHeight="1" x14ac:dyDescent="0.2">
      <c r="B816"/>
    </row>
    <row r="817" spans="2:2" ht="12" customHeight="1" x14ac:dyDescent="0.2">
      <c r="B817"/>
    </row>
    <row r="818" spans="2:2" ht="12" customHeight="1" x14ac:dyDescent="0.2">
      <c r="B818"/>
    </row>
    <row r="819" spans="2:2" ht="12" customHeight="1" x14ac:dyDescent="0.2">
      <c r="B819"/>
    </row>
    <row r="820" spans="2:2" ht="12" customHeight="1" x14ac:dyDescent="0.2">
      <c r="B820"/>
    </row>
    <row r="821" spans="2:2" ht="12" customHeight="1" x14ac:dyDescent="0.2">
      <c r="B821"/>
    </row>
    <row r="822" spans="2:2" ht="12" customHeight="1" x14ac:dyDescent="0.2">
      <c r="B822"/>
    </row>
    <row r="823" spans="2:2" ht="12" customHeight="1" x14ac:dyDescent="0.2">
      <c r="B823"/>
    </row>
    <row r="824" spans="2:2" ht="12" customHeight="1" x14ac:dyDescent="0.2">
      <c r="B824"/>
    </row>
    <row r="825" spans="2:2" ht="12" customHeight="1" x14ac:dyDescent="0.2">
      <c r="B825"/>
    </row>
    <row r="826" spans="2:2" ht="12" customHeight="1" x14ac:dyDescent="0.2">
      <c r="B826"/>
    </row>
    <row r="827" spans="2:2" ht="12" customHeight="1" x14ac:dyDescent="0.2">
      <c r="B827"/>
    </row>
    <row r="828" spans="2:2" ht="12" customHeight="1" x14ac:dyDescent="0.2">
      <c r="B828"/>
    </row>
    <row r="829" spans="2:2" ht="12" customHeight="1" x14ac:dyDescent="0.2">
      <c r="B829"/>
    </row>
    <row r="830" spans="2:2" ht="12" customHeight="1" x14ac:dyDescent="0.2">
      <c r="B830"/>
    </row>
    <row r="831" spans="2:2" ht="12" customHeight="1" x14ac:dyDescent="0.2">
      <c r="B831"/>
    </row>
    <row r="832" spans="2:2" ht="12" customHeight="1" x14ac:dyDescent="0.2">
      <c r="B832"/>
    </row>
    <row r="833" spans="2:2" ht="12" customHeight="1" x14ac:dyDescent="0.2">
      <c r="B833"/>
    </row>
    <row r="834" spans="2:2" ht="12" customHeight="1" x14ac:dyDescent="0.2">
      <c r="B834"/>
    </row>
    <row r="835" spans="2:2" ht="12" customHeight="1" x14ac:dyDescent="0.2">
      <c r="B835"/>
    </row>
    <row r="836" spans="2:2" ht="12" customHeight="1" x14ac:dyDescent="0.2">
      <c r="B836"/>
    </row>
    <row r="837" spans="2:2" ht="12" customHeight="1" x14ac:dyDescent="0.2">
      <c r="B837"/>
    </row>
    <row r="838" spans="2:2" ht="12" customHeight="1" x14ac:dyDescent="0.2">
      <c r="B838"/>
    </row>
    <row r="839" spans="2:2" ht="12" customHeight="1" x14ac:dyDescent="0.2">
      <c r="B839"/>
    </row>
    <row r="840" spans="2:2" ht="12" customHeight="1" x14ac:dyDescent="0.2">
      <c r="B840"/>
    </row>
    <row r="841" spans="2:2" ht="12" customHeight="1" x14ac:dyDescent="0.2">
      <c r="B841"/>
    </row>
    <row r="842" spans="2:2" ht="12" customHeight="1" x14ac:dyDescent="0.2">
      <c r="B842"/>
    </row>
    <row r="843" spans="2:2" ht="12" customHeight="1" x14ac:dyDescent="0.2">
      <c r="B843"/>
    </row>
    <row r="844" spans="2:2" ht="12" customHeight="1" x14ac:dyDescent="0.2">
      <c r="B844"/>
    </row>
    <row r="845" spans="2:2" ht="12" customHeight="1" x14ac:dyDescent="0.2">
      <c r="B845"/>
    </row>
    <row r="846" spans="2:2" ht="12" customHeight="1" x14ac:dyDescent="0.2">
      <c r="B846"/>
    </row>
    <row r="847" spans="2:2" ht="12" customHeight="1" x14ac:dyDescent="0.2">
      <c r="B847"/>
    </row>
    <row r="848" spans="2:2" ht="12" customHeight="1" x14ac:dyDescent="0.2">
      <c r="B848"/>
    </row>
    <row r="849" spans="2:2" ht="12" customHeight="1" x14ac:dyDescent="0.2">
      <c r="B849"/>
    </row>
    <row r="850" spans="2:2" ht="12" customHeight="1" x14ac:dyDescent="0.2">
      <c r="B850"/>
    </row>
    <row r="851" spans="2:2" ht="12" customHeight="1" x14ac:dyDescent="0.2">
      <c r="B851"/>
    </row>
    <row r="852" spans="2:2" ht="12" customHeight="1" x14ac:dyDescent="0.2">
      <c r="B852"/>
    </row>
    <row r="853" spans="2:2" ht="12" customHeight="1" x14ac:dyDescent="0.2">
      <c r="B853"/>
    </row>
    <row r="854" spans="2:2" ht="12" customHeight="1" x14ac:dyDescent="0.2">
      <c r="B854"/>
    </row>
    <row r="855" spans="2:2" ht="12" customHeight="1" x14ac:dyDescent="0.2">
      <c r="B855"/>
    </row>
    <row r="856" spans="2:2" ht="12" customHeight="1" x14ac:dyDescent="0.2">
      <c r="B856"/>
    </row>
    <row r="857" spans="2:2" ht="12" customHeight="1" x14ac:dyDescent="0.2">
      <c r="B857"/>
    </row>
    <row r="858" spans="2:2" ht="12" customHeight="1" x14ac:dyDescent="0.2">
      <c r="B858"/>
    </row>
    <row r="859" spans="2:2" ht="12" customHeight="1" x14ac:dyDescent="0.2">
      <c r="B859"/>
    </row>
    <row r="860" spans="2:2" ht="12" customHeight="1" x14ac:dyDescent="0.2">
      <c r="B860"/>
    </row>
    <row r="861" spans="2:2" ht="12" customHeight="1" x14ac:dyDescent="0.2">
      <c r="B861"/>
    </row>
    <row r="862" spans="2:2" ht="12" customHeight="1" x14ac:dyDescent="0.2">
      <c r="B862"/>
    </row>
    <row r="863" spans="2:2" ht="12" customHeight="1" x14ac:dyDescent="0.2">
      <c r="B863"/>
    </row>
    <row r="864" spans="2:2" ht="12" customHeight="1" x14ac:dyDescent="0.2">
      <c r="B864"/>
    </row>
    <row r="865" spans="2:2" ht="12" customHeight="1" x14ac:dyDescent="0.2">
      <c r="B865"/>
    </row>
    <row r="866" spans="2:2" ht="12" customHeight="1" x14ac:dyDescent="0.2">
      <c r="B866"/>
    </row>
    <row r="867" spans="2:2" ht="12" customHeight="1" x14ac:dyDescent="0.2">
      <c r="B867"/>
    </row>
    <row r="868" spans="2:2" ht="12" customHeight="1" x14ac:dyDescent="0.2">
      <c r="B868"/>
    </row>
    <row r="869" spans="2:2" ht="12" customHeight="1" x14ac:dyDescent="0.2">
      <c r="B869"/>
    </row>
    <row r="870" spans="2:2" ht="12" customHeight="1" x14ac:dyDescent="0.2">
      <c r="B870"/>
    </row>
    <row r="871" spans="2:2" ht="12" customHeight="1" x14ac:dyDescent="0.2">
      <c r="B871"/>
    </row>
    <row r="872" spans="2:2" ht="12" customHeight="1" x14ac:dyDescent="0.2">
      <c r="B872"/>
    </row>
    <row r="873" spans="2:2" ht="12" customHeight="1" x14ac:dyDescent="0.2">
      <c r="B873"/>
    </row>
    <row r="874" spans="2:2" ht="12" customHeight="1" x14ac:dyDescent="0.2">
      <c r="B874"/>
    </row>
    <row r="875" spans="2:2" ht="12" customHeight="1" x14ac:dyDescent="0.2">
      <c r="B875"/>
    </row>
    <row r="876" spans="2:2" ht="12" customHeight="1" x14ac:dyDescent="0.2">
      <c r="B876"/>
    </row>
    <row r="877" spans="2:2" ht="12" customHeight="1" x14ac:dyDescent="0.2">
      <c r="B877"/>
    </row>
    <row r="878" spans="2:2" ht="12" customHeight="1" x14ac:dyDescent="0.2">
      <c r="B878"/>
    </row>
    <row r="879" spans="2:2" ht="12" customHeight="1" x14ac:dyDescent="0.2">
      <c r="B879"/>
    </row>
    <row r="880" spans="2:2" ht="12" customHeight="1" x14ac:dyDescent="0.2">
      <c r="B880"/>
    </row>
    <row r="881" spans="2:2" ht="12" customHeight="1" x14ac:dyDescent="0.2">
      <c r="B881"/>
    </row>
    <row r="882" spans="2:2" ht="12" customHeight="1" x14ac:dyDescent="0.2">
      <c r="B882"/>
    </row>
    <row r="883" spans="2:2" ht="12" customHeight="1" x14ac:dyDescent="0.2">
      <c r="B883"/>
    </row>
    <row r="884" spans="2:2" ht="12" customHeight="1" x14ac:dyDescent="0.2">
      <c r="B884"/>
    </row>
    <row r="885" spans="2:2" ht="12" customHeight="1" x14ac:dyDescent="0.2">
      <c r="B885"/>
    </row>
    <row r="886" spans="2:2" ht="12" customHeight="1" x14ac:dyDescent="0.2">
      <c r="B886"/>
    </row>
    <row r="887" spans="2:2" ht="12" customHeight="1" x14ac:dyDescent="0.2">
      <c r="B887"/>
    </row>
    <row r="888" spans="2:2" ht="12" customHeight="1" x14ac:dyDescent="0.2">
      <c r="B888"/>
    </row>
    <row r="889" spans="2:2" ht="12" customHeight="1" x14ac:dyDescent="0.2">
      <c r="B889"/>
    </row>
    <row r="890" spans="2:2" ht="12" customHeight="1" x14ac:dyDescent="0.2">
      <c r="B890"/>
    </row>
    <row r="891" spans="2:2" ht="12" customHeight="1" x14ac:dyDescent="0.2">
      <c r="B891"/>
    </row>
    <row r="892" spans="2:2" ht="12" customHeight="1" x14ac:dyDescent="0.2">
      <c r="B892"/>
    </row>
    <row r="893" spans="2:2" ht="12" customHeight="1" x14ac:dyDescent="0.2">
      <c r="B893"/>
    </row>
    <row r="894" spans="2:2" ht="12" customHeight="1" x14ac:dyDescent="0.2">
      <c r="B894"/>
    </row>
    <row r="895" spans="2:2" ht="12" customHeight="1" x14ac:dyDescent="0.2">
      <c r="B895"/>
    </row>
    <row r="896" spans="2:2" ht="12" customHeight="1" x14ac:dyDescent="0.2">
      <c r="B896"/>
    </row>
    <row r="897" spans="2:2" ht="12" customHeight="1" x14ac:dyDescent="0.2">
      <c r="B897"/>
    </row>
    <row r="898" spans="2:2" ht="12" customHeight="1" x14ac:dyDescent="0.2">
      <c r="B898"/>
    </row>
    <row r="899" spans="2:2" ht="12" customHeight="1" x14ac:dyDescent="0.2">
      <c r="B899"/>
    </row>
    <row r="900" spans="2:2" ht="12" customHeight="1" x14ac:dyDescent="0.2">
      <c r="B900"/>
    </row>
    <row r="901" spans="2:2" ht="12" customHeight="1" x14ac:dyDescent="0.2">
      <c r="B901"/>
    </row>
    <row r="902" spans="2:2" ht="12" customHeight="1" x14ac:dyDescent="0.2">
      <c r="B902"/>
    </row>
    <row r="903" spans="2:2" ht="12" customHeight="1" x14ac:dyDescent="0.2">
      <c r="B903"/>
    </row>
    <row r="904" spans="2:2" ht="12" customHeight="1" x14ac:dyDescent="0.2">
      <c r="B904"/>
    </row>
    <row r="905" spans="2:2" ht="12" customHeight="1" x14ac:dyDescent="0.2">
      <c r="B905"/>
    </row>
    <row r="906" spans="2:2" ht="12" customHeight="1" x14ac:dyDescent="0.2">
      <c r="B906"/>
    </row>
    <row r="907" spans="2:2" ht="12" customHeight="1" x14ac:dyDescent="0.2">
      <c r="B907"/>
    </row>
    <row r="908" spans="2:2" ht="12" customHeight="1" x14ac:dyDescent="0.2">
      <c r="B908"/>
    </row>
    <row r="909" spans="2:2" ht="12" customHeight="1" x14ac:dyDescent="0.2">
      <c r="B909"/>
    </row>
    <row r="910" spans="2:2" ht="12" customHeight="1" x14ac:dyDescent="0.2">
      <c r="B910"/>
    </row>
    <row r="911" spans="2:2" ht="12" customHeight="1" x14ac:dyDescent="0.2">
      <c r="B911"/>
    </row>
    <row r="912" spans="2:2" ht="12" customHeight="1" x14ac:dyDescent="0.2">
      <c r="B912"/>
    </row>
    <row r="913" spans="2:2" ht="12" customHeight="1" x14ac:dyDescent="0.2">
      <c r="B913"/>
    </row>
    <row r="914" spans="2:2" ht="12" customHeight="1" x14ac:dyDescent="0.2">
      <c r="B914"/>
    </row>
    <row r="915" spans="2:2" ht="12" customHeight="1" x14ac:dyDescent="0.2">
      <c r="B915"/>
    </row>
    <row r="916" spans="2:2" ht="12" customHeight="1" x14ac:dyDescent="0.2">
      <c r="B916"/>
    </row>
    <row r="917" spans="2:2" ht="12" customHeight="1" x14ac:dyDescent="0.2">
      <c r="B917"/>
    </row>
    <row r="918" spans="2:2" ht="12" customHeight="1" x14ac:dyDescent="0.2">
      <c r="B918"/>
    </row>
    <row r="919" spans="2:2" ht="12" customHeight="1" x14ac:dyDescent="0.2">
      <c r="B919"/>
    </row>
    <row r="920" spans="2:2" ht="12" customHeight="1" x14ac:dyDescent="0.2">
      <c r="B920"/>
    </row>
    <row r="921" spans="2:2" ht="12" customHeight="1" x14ac:dyDescent="0.2">
      <c r="B921"/>
    </row>
    <row r="922" spans="2:2" ht="12" customHeight="1" x14ac:dyDescent="0.2">
      <c r="B922"/>
    </row>
    <row r="923" spans="2:2" ht="12" customHeight="1" x14ac:dyDescent="0.2">
      <c r="B923"/>
    </row>
    <row r="924" spans="2:2" ht="12" customHeight="1" x14ac:dyDescent="0.2">
      <c r="B924"/>
    </row>
    <row r="925" spans="2:2" ht="12" customHeight="1" x14ac:dyDescent="0.2">
      <c r="B925"/>
    </row>
    <row r="926" spans="2:2" ht="12" customHeight="1" x14ac:dyDescent="0.2">
      <c r="B926"/>
    </row>
    <row r="927" spans="2:2" ht="12" customHeight="1" x14ac:dyDescent="0.2">
      <c r="B927"/>
    </row>
    <row r="928" spans="2:2" ht="12" customHeight="1" x14ac:dyDescent="0.2">
      <c r="B928"/>
    </row>
    <row r="929" spans="2:2" ht="12" customHeight="1" x14ac:dyDescent="0.2">
      <c r="B929"/>
    </row>
    <row r="930" spans="2:2" ht="12" customHeight="1" x14ac:dyDescent="0.2">
      <c r="B930"/>
    </row>
    <row r="931" spans="2:2" ht="12" customHeight="1" x14ac:dyDescent="0.2">
      <c r="B931"/>
    </row>
    <row r="932" spans="2:2" ht="12" customHeight="1" x14ac:dyDescent="0.2">
      <c r="B932"/>
    </row>
    <row r="933" spans="2:2" ht="12" customHeight="1" x14ac:dyDescent="0.2">
      <c r="B933"/>
    </row>
    <row r="934" spans="2:2" ht="12" customHeight="1" x14ac:dyDescent="0.2">
      <c r="B934"/>
    </row>
    <row r="935" spans="2:2" ht="12" customHeight="1" x14ac:dyDescent="0.2">
      <c r="B935"/>
    </row>
    <row r="936" spans="2:2" ht="12" customHeight="1" x14ac:dyDescent="0.2">
      <c r="B936"/>
    </row>
    <row r="937" spans="2:2" ht="12" customHeight="1" x14ac:dyDescent="0.2">
      <c r="B937"/>
    </row>
    <row r="938" spans="2:2" ht="12" customHeight="1" x14ac:dyDescent="0.2">
      <c r="B938"/>
    </row>
    <row r="939" spans="2:2" ht="12" customHeight="1" x14ac:dyDescent="0.2">
      <c r="B939"/>
    </row>
    <row r="940" spans="2:2" ht="12" customHeight="1" x14ac:dyDescent="0.2">
      <c r="B940"/>
    </row>
    <row r="941" spans="2:2" ht="12" customHeight="1" x14ac:dyDescent="0.2">
      <c r="B941"/>
    </row>
    <row r="942" spans="2:2" ht="12" customHeight="1" x14ac:dyDescent="0.2">
      <c r="B942"/>
    </row>
    <row r="943" spans="2:2" ht="12" customHeight="1" x14ac:dyDescent="0.2">
      <c r="B943"/>
    </row>
    <row r="944" spans="2:2" ht="12" customHeight="1" x14ac:dyDescent="0.2">
      <c r="B944"/>
    </row>
    <row r="945" spans="2:2" ht="12" customHeight="1" x14ac:dyDescent="0.2">
      <c r="B945"/>
    </row>
    <row r="946" spans="2:2" ht="12" customHeight="1" x14ac:dyDescent="0.2">
      <c r="B946"/>
    </row>
    <row r="947" spans="2:2" ht="12" customHeight="1" x14ac:dyDescent="0.2">
      <c r="B947"/>
    </row>
    <row r="948" spans="2:2" ht="12" customHeight="1" x14ac:dyDescent="0.2">
      <c r="B948"/>
    </row>
    <row r="949" spans="2:2" ht="12" customHeight="1" x14ac:dyDescent="0.2">
      <c r="B949"/>
    </row>
    <row r="950" spans="2:2" ht="12" customHeight="1" x14ac:dyDescent="0.2">
      <c r="B950"/>
    </row>
    <row r="951" spans="2:2" ht="12" customHeight="1" x14ac:dyDescent="0.2">
      <c r="B951"/>
    </row>
    <row r="952" spans="2:2" ht="12" customHeight="1" x14ac:dyDescent="0.2">
      <c r="B952"/>
    </row>
    <row r="953" spans="2:2" ht="12" customHeight="1" x14ac:dyDescent="0.2">
      <c r="B953"/>
    </row>
    <row r="954" spans="2:2" ht="12" customHeight="1" x14ac:dyDescent="0.2">
      <c r="B954"/>
    </row>
    <row r="955" spans="2:2" ht="12" customHeight="1" x14ac:dyDescent="0.2">
      <c r="B955"/>
    </row>
    <row r="956" spans="2:2" ht="12" customHeight="1" x14ac:dyDescent="0.2">
      <c r="B956"/>
    </row>
    <row r="957" spans="2:2" ht="12" customHeight="1" x14ac:dyDescent="0.2">
      <c r="B957"/>
    </row>
    <row r="958" spans="2:2" ht="12" customHeight="1" x14ac:dyDescent="0.2">
      <c r="B958"/>
    </row>
    <row r="959" spans="2:2" ht="12" customHeight="1" x14ac:dyDescent="0.2">
      <c r="B959"/>
    </row>
    <row r="960" spans="2:2" ht="12" customHeight="1" x14ac:dyDescent="0.2">
      <c r="B960"/>
    </row>
    <row r="961" spans="2:2" ht="12" customHeight="1" x14ac:dyDescent="0.2">
      <c r="B961"/>
    </row>
    <row r="962" spans="2:2" ht="12" customHeight="1" x14ac:dyDescent="0.2">
      <c r="B962"/>
    </row>
    <row r="963" spans="2:2" ht="12" customHeight="1" x14ac:dyDescent="0.2">
      <c r="B963"/>
    </row>
    <row r="964" spans="2:2" ht="12" customHeight="1" x14ac:dyDescent="0.2">
      <c r="B964"/>
    </row>
    <row r="965" spans="2:2" ht="12" customHeight="1" x14ac:dyDescent="0.2">
      <c r="B965"/>
    </row>
    <row r="966" spans="2:2" ht="12" customHeight="1" x14ac:dyDescent="0.2">
      <c r="B966"/>
    </row>
    <row r="967" spans="2:2" ht="12" customHeight="1" x14ac:dyDescent="0.2">
      <c r="B967"/>
    </row>
    <row r="968" spans="2:2" ht="12" customHeight="1" x14ac:dyDescent="0.2">
      <c r="B968"/>
    </row>
    <row r="969" spans="2:2" ht="12" customHeight="1" x14ac:dyDescent="0.2">
      <c r="B969"/>
    </row>
    <row r="970" spans="2:2" ht="12" customHeight="1" x14ac:dyDescent="0.2">
      <c r="B970"/>
    </row>
    <row r="971" spans="2:2" ht="12" customHeight="1" x14ac:dyDescent="0.2">
      <c r="B971"/>
    </row>
    <row r="972" spans="2:2" ht="12" customHeight="1" x14ac:dyDescent="0.2">
      <c r="B972"/>
    </row>
    <row r="973" spans="2:2" ht="12" customHeight="1" x14ac:dyDescent="0.2">
      <c r="B973"/>
    </row>
    <row r="974" spans="2:2" ht="12" customHeight="1" x14ac:dyDescent="0.2">
      <c r="B974"/>
    </row>
    <row r="975" spans="2:2" ht="12" customHeight="1" x14ac:dyDescent="0.2">
      <c r="B975"/>
    </row>
    <row r="976" spans="2:2" ht="12" customHeight="1" x14ac:dyDescent="0.2">
      <c r="B976"/>
    </row>
    <row r="977" spans="2:2" ht="12" customHeight="1" x14ac:dyDescent="0.2">
      <c r="B977"/>
    </row>
    <row r="978" spans="2:2" ht="12" customHeight="1" x14ac:dyDescent="0.2">
      <c r="B978"/>
    </row>
    <row r="979" spans="2:2" ht="12" customHeight="1" x14ac:dyDescent="0.2">
      <c r="B979"/>
    </row>
    <row r="980" spans="2:2" ht="12" customHeight="1" x14ac:dyDescent="0.2">
      <c r="B980"/>
    </row>
    <row r="981" spans="2:2" ht="12" customHeight="1" x14ac:dyDescent="0.2">
      <c r="B981"/>
    </row>
    <row r="982" spans="2:2" ht="12" customHeight="1" x14ac:dyDescent="0.2">
      <c r="B982"/>
    </row>
    <row r="983" spans="2:2" ht="12" customHeight="1" x14ac:dyDescent="0.2">
      <c r="B983"/>
    </row>
    <row r="984" spans="2:2" ht="12" customHeight="1" x14ac:dyDescent="0.2">
      <c r="B984"/>
    </row>
    <row r="985" spans="2:2" ht="12" customHeight="1" x14ac:dyDescent="0.2">
      <c r="B985"/>
    </row>
    <row r="986" spans="2:2" ht="12" customHeight="1" x14ac:dyDescent="0.2">
      <c r="B986"/>
    </row>
    <row r="987" spans="2:2" ht="12" customHeight="1" x14ac:dyDescent="0.2">
      <c r="B987"/>
    </row>
    <row r="988" spans="2:2" ht="12" customHeight="1" x14ac:dyDescent="0.2">
      <c r="B988"/>
    </row>
    <row r="989" spans="2:2" ht="12" customHeight="1" x14ac:dyDescent="0.2">
      <c r="B989"/>
    </row>
    <row r="990" spans="2:2" ht="12" customHeight="1" x14ac:dyDescent="0.2">
      <c r="B990"/>
    </row>
    <row r="991" spans="2:2" ht="12" customHeight="1" x14ac:dyDescent="0.2">
      <c r="B991"/>
    </row>
    <row r="992" spans="2:2" ht="12" customHeight="1" x14ac:dyDescent="0.2">
      <c r="B992"/>
    </row>
    <row r="993" spans="2:2" ht="12" customHeight="1" x14ac:dyDescent="0.2">
      <c r="B993"/>
    </row>
    <row r="994" spans="2:2" ht="12" customHeight="1" x14ac:dyDescent="0.2">
      <c r="B994"/>
    </row>
    <row r="995" spans="2:2" ht="12" customHeight="1" x14ac:dyDescent="0.2">
      <c r="B995"/>
    </row>
    <row r="996" spans="2:2" ht="12" customHeight="1" x14ac:dyDescent="0.2">
      <c r="B996"/>
    </row>
    <row r="997" spans="2:2" ht="12" customHeight="1" x14ac:dyDescent="0.2">
      <c r="B997"/>
    </row>
    <row r="998" spans="2:2" ht="12" customHeight="1" x14ac:dyDescent="0.2">
      <c r="B998"/>
    </row>
    <row r="999" spans="2:2" ht="12" customHeight="1" x14ac:dyDescent="0.2">
      <c r="B999"/>
    </row>
    <row r="1000" spans="2:2" ht="12" customHeight="1" x14ac:dyDescent="0.2">
      <c r="B1000"/>
    </row>
    <row r="1001" spans="2:2" ht="12" customHeight="1" x14ac:dyDescent="0.2">
      <c r="B1001"/>
    </row>
    <row r="1002" spans="2:2" ht="12" customHeight="1" x14ac:dyDescent="0.2">
      <c r="B1002"/>
    </row>
    <row r="1003" spans="2:2" ht="12" customHeight="1" x14ac:dyDescent="0.2">
      <c r="B1003"/>
    </row>
    <row r="1004" spans="2:2" ht="12" customHeight="1" x14ac:dyDescent="0.2">
      <c r="B1004"/>
    </row>
    <row r="1005" spans="2:2" ht="12" customHeight="1" x14ac:dyDescent="0.2">
      <c r="B1005"/>
    </row>
    <row r="1006" spans="2:2" ht="12" customHeight="1" x14ac:dyDescent="0.2">
      <c r="B1006"/>
    </row>
    <row r="1007" spans="2:2" ht="12" customHeight="1" x14ac:dyDescent="0.2">
      <c r="B1007"/>
    </row>
    <row r="1008" spans="2:2" ht="12" customHeight="1" x14ac:dyDescent="0.2">
      <c r="B1008"/>
    </row>
    <row r="1009" spans="2:2" ht="12" customHeight="1" x14ac:dyDescent="0.2">
      <c r="B1009"/>
    </row>
    <row r="1010" spans="2:2" ht="12" customHeight="1" x14ac:dyDescent="0.2">
      <c r="B1010"/>
    </row>
    <row r="1011" spans="2:2" ht="12" customHeight="1" x14ac:dyDescent="0.2">
      <c r="B1011"/>
    </row>
    <row r="1012" spans="2:2" ht="12" customHeight="1" x14ac:dyDescent="0.2">
      <c r="B1012"/>
    </row>
    <row r="1013" spans="2:2" ht="12" customHeight="1" x14ac:dyDescent="0.2">
      <c r="B1013"/>
    </row>
    <row r="1014" spans="2:2" ht="12" customHeight="1" x14ac:dyDescent="0.2">
      <c r="B1014"/>
    </row>
    <row r="1015" spans="2:2" ht="12" customHeight="1" x14ac:dyDescent="0.2">
      <c r="B1015"/>
    </row>
    <row r="1016" spans="2:2" ht="12" customHeight="1" x14ac:dyDescent="0.2">
      <c r="B1016"/>
    </row>
    <row r="1017" spans="2:2" ht="12" customHeight="1" x14ac:dyDescent="0.2">
      <c r="B1017"/>
    </row>
    <row r="1018" spans="2:2" ht="12" customHeight="1" x14ac:dyDescent="0.2">
      <c r="B1018"/>
    </row>
    <row r="1019" spans="2:2" ht="12" customHeight="1" x14ac:dyDescent="0.2">
      <c r="B1019"/>
    </row>
    <row r="1020" spans="2:2" ht="12" customHeight="1" x14ac:dyDescent="0.2">
      <c r="B1020"/>
    </row>
    <row r="1021" spans="2:2" ht="12" customHeight="1" x14ac:dyDescent="0.2">
      <c r="B1021"/>
    </row>
    <row r="1022" spans="2:2" ht="12" customHeight="1" x14ac:dyDescent="0.2">
      <c r="B1022"/>
    </row>
    <row r="1023" spans="2:2" ht="12" customHeight="1" x14ac:dyDescent="0.2">
      <c r="B1023"/>
    </row>
    <row r="1024" spans="2:2" ht="12" customHeight="1" x14ac:dyDescent="0.2">
      <c r="B1024"/>
    </row>
    <row r="1025" spans="2:2" ht="12" customHeight="1" x14ac:dyDescent="0.2">
      <c r="B1025"/>
    </row>
    <row r="1026" spans="2:2" ht="12" customHeight="1" x14ac:dyDescent="0.2">
      <c r="B1026"/>
    </row>
    <row r="1027" spans="2:2" ht="12" customHeight="1" x14ac:dyDescent="0.2">
      <c r="B1027"/>
    </row>
    <row r="1028" spans="2:2" ht="12" customHeight="1" x14ac:dyDescent="0.2">
      <c r="B1028"/>
    </row>
    <row r="1029" spans="2:2" ht="12" customHeight="1" x14ac:dyDescent="0.2">
      <c r="B1029"/>
    </row>
    <row r="1030" spans="2:2" ht="12" customHeight="1" x14ac:dyDescent="0.2">
      <c r="B1030"/>
    </row>
    <row r="1031" spans="2:2" ht="12" customHeight="1" x14ac:dyDescent="0.2">
      <c r="B1031"/>
    </row>
    <row r="1032" spans="2:2" ht="12" customHeight="1" x14ac:dyDescent="0.2">
      <c r="B1032"/>
    </row>
    <row r="1033" spans="2:2" ht="12" customHeight="1" x14ac:dyDescent="0.2">
      <c r="B1033"/>
    </row>
    <row r="1034" spans="2:2" ht="12" customHeight="1" x14ac:dyDescent="0.2">
      <c r="B1034"/>
    </row>
    <row r="1035" spans="2:2" ht="12" customHeight="1" x14ac:dyDescent="0.2">
      <c r="B1035"/>
    </row>
    <row r="1036" spans="2:2" ht="12" customHeight="1" x14ac:dyDescent="0.2">
      <c r="B1036"/>
    </row>
    <row r="1037" spans="2:2" ht="12" customHeight="1" x14ac:dyDescent="0.2">
      <c r="B1037"/>
    </row>
    <row r="1038" spans="2:2" ht="12" customHeight="1" x14ac:dyDescent="0.2">
      <c r="B1038"/>
    </row>
    <row r="1039" spans="2:2" ht="12" customHeight="1" x14ac:dyDescent="0.2">
      <c r="B1039"/>
    </row>
    <row r="1040" spans="2:2" ht="12" customHeight="1" x14ac:dyDescent="0.2">
      <c r="B1040"/>
    </row>
    <row r="1041" spans="2:2" ht="12" customHeight="1" x14ac:dyDescent="0.2">
      <c r="B1041"/>
    </row>
    <row r="1042" spans="2:2" ht="12" customHeight="1" x14ac:dyDescent="0.2">
      <c r="B1042"/>
    </row>
    <row r="1043" spans="2:2" ht="12" customHeight="1" x14ac:dyDescent="0.2">
      <c r="B1043"/>
    </row>
    <row r="1044" spans="2:2" ht="12" customHeight="1" x14ac:dyDescent="0.2">
      <c r="B1044"/>
    </row>
    <row r="1045" spans="2:2" ht="12" customHeight="1" x14ac:dyDescent="0.2">
      <c r="B1045"/>
    </row>
    <row r="1046" spans="2:2" ht="12" customHeight="1" x14ac:dyDescent="0.2">
      <c r="B1046"/>
    </row>
    <row r="1047" spans="2:2" ht="12" customHeight="1" x14ac:dyDescent="0.2">
      <c r="B1047"/>
    </row>
    <row r="1048" spans="2:2" ht="12" customHeight="1" x14ac:dyDescent="0.2">
      <c r="B1048"/>
    </row>
    <row r="1049" spans="2:2" ht="12" customHeight="1" x14ac:dyDescent="0.2">
      <c r="B1049"/>
    </row>
    <row r="1050" spans="2:2" ht="12" customHeight="1" x14ac:dyDescent="0.2">
      <c r="B1050"/>
    </row>
    <row r="1051" spans="2:2" ht="12" customHeight="1" x14ac:dyDescent="0.2">
      <c r="B1051"/>
    </row>
    <row r="1052" spans="2:2" ht="12" customHeight="1" x14ac:dyDescent="0.2">
      <c r="B1052"/>
    </row>
    <row r="1053" spans="2:2" ht="12" customHeight="1" x14ac:dyDescent="0.2">
      <c r="B1053"/>
    </row>
    <row r="1054" spans="2:2" ht="12" customHeight="1" x14ac:dyDescent="0.2">
      <c r="B1054"/>
    </row>
    <row r="1055" spans="2:2" ht="12" customHeight="1" x14ac:dyDescent="0.2">
      <c r="B1055"/>
    </row>
    <row r="1056" spans="2:2" ht="12" customHeight="1" x14ac:dyDescent="0.2">
      <c r="B1056"/>
    </row>
    <row r="1057" spans="2:2" ht="12" customHeight="1" x14ac:dyDescent="0.2">
      <c r="B1057"/>
    </row>
    <row r="1058" spans="2:2" ht="12" customHeight="1" x14ac:dyDescent="0.2">
      <c r="B1058"/>
    </row>
    <row r="1059" spans="2:2" ht="12" customHeight="1" x14ac:dyDescent="0.2">
      <c r="B1059"/>
    </row>
    <row r="1060" spans="2:2" ht="12" customHeight="1" x14ac:dyDescent="0.2">
      <c r="B1060"/>
    </row>
    <row r="1061" spans="2:2" ht="12" customHeight="1" x14ac:dyDescent="0.2">
      <c r="B1061"/>
    </row>
    <row r="1062" spans="2:2" ht="12" customHeight="1" x14ac:dyDescent="0.2">
      <c r="B1062"/>
    </row>
    <row r="1063" spans="2:2" ht="12" customHeight="1" x14ac:dyDescent="0.2">
      <c r="B1063"/>
    </row>
    <row r="1064" spans="2:2" ht="12" customHeight="1" x14ac:dyDescent="0.2">
      <c r="B1064"/>
    </row>
    <row r="1065" spans="2:2" ht="12" customHeight="1" x14ac:dyDescent="0.2">
      <c r="B1065"/>
    </row>
    <row r="1066" spans="2:2" ht="12" customHeight="1" x14ac:dyDescent="0.2">
      <c r="B1066"/>
    </row>
    <row r="1067" spans="2:2" ht="12" customHeight="1" x14ac:dyDescent="0.2">
      <c r="B1067"/>
    </row>
    <row r="1068" spans="2:2" ht="12" customHeight="1" x14ac:dyDescent="0.2">
      <c r="B1068"/>
    </row>
    <row r="1069" spans="2:2" ht="12" customHeight="1" x14ac:dyDescent="0.2">
      <c r="B1069"/>
    </row>
    <row r="1070" spans="2:2" ht="12" customHeight="1" x14ac:dyDescent="0.2">
      <c r="B1070"/>
    </row>
    <row r="1071" spans="2:2" ht="12" customHeight="1" x14ac:dyDescent="0.2">
      <c r="B1071"/>
    </row>
    <row r="1072" spans="2:2" ht="12" customHeight="1" x14ac:dyDescent="0.2">
      <c r="B1072"/>
    </row>
    <row r="1073" spans="2:2" ht="12" customHeight="1" x14ac:dyDescent="0.2">
      <c r="B1073"/>
    </row>
    <row r="1074" spans="2:2" ht="12" customHeight="1" x14ac:dyDescent="0.2">
      <c r="B1074"/>
    </row>
    <row r="1075" spans="2:2" ht="12" customHeight="1" x14ac:dyDescent="0.2">
      <c r="B1075"/>
    </row>
    <row r="1076" spans="2:2" ht="12" customHeight="1" x14ac:dyDescent="0.2">
      <c r="B1076"/>
    </row>
    <row r="1077" spans="2:2" ht="12" customHeight="1" x14ac:dyDescent="0.2">
      <c r="B1077"/>
    </row>
    <row r="1078" spans="2:2" ht="12" customHeight="1" x14ac:dyDescent="0.2">
      <c r="B1078"/>
    </row>
    <row r="1079" spans="2:2" ht="12" customHeight="1" x14ac:dyDescent="0.2">
      <c r="B1079"/>
    </row>
    <row r="1080" spans="2:2" ht="12" customHeight="1" x14ac:dyDescent="0.2">
      <c r="B1080"/>
    </row>
    <row r="1081" spans="2:2" ht="12" customHeight="1" x14ac:dyDescent="0.2">
      <c r="B1081"/>
    </row>
    <row r="1082" spans="2:2" ht="12" customHeight="1" x14ac:dyDescent="0.2">
      <c r="B1082"/>
    </row>
    <row r="1083" spans="2:2" ht="12" customHeight="1" x14ac:dyDescent="0.2">
      <c r="B1083"/>
    </row>
    <row r="1084" spans="2:2" ht="12" customHeight="1" x14ac:dyDescent="0.2">
      <c r="B1084"/>
    </row>
    <row r="1085" spans="2:2" ht="12" customHeight="1" x14ac:dyDescent="0.2">
      <c r="B1085"/>
    </row>
    <row r="1086" spans="2:2" ht="12" customHeight="1" x14ac:dyDescent="0.2">
      <c r="B1086"/>
    </row>
    <row r="1087" spans="2:2" ht="12" customHeight="1" x14ac:dyDescent="0.2">
      <c r="B1087"/>
    </row>
    <row r="1088" spans="2:2" ht="12" customHeight="1" x14ac:dyDescent="0.2">
      <c r="B1088"/>
    </row>
    <row r="1089" spans="2:2" ht="12" customHeight="1" x14ac:dyDescent="0.2">
      <c r="B1089"/>
    </row>
    <row r="1090" spans="2:2" ht="12" customHeight="1" x14ac:dyDescent="0.2">
      <c r="B1090"/>
    </row>
    <row r="1091" spans="2:2" ht="12" customHeight="1" x14ac:dyDescent="0.2">
      <c r="B1091"/>
    </row>
    <row r="1092" spans="2:2" ht="12" customHeight="1" x14ac:dyDescent="0.2">
      <c r="B1092"/>
    </row>
    <row r="1093" spans="2:2" ht="12" customHeight="1" x14ac:dyDescent="0.2">
      <c r="B1093"/>
    </row>
    <row r="1094" spans="2:2" ht="12" customHeight="1" x14ac:dyDescent="0.2">
      <c r="B1094"/>
    </row>
    <row r="1095" spans="2:2" ht="12" customHeight="1" x14ac:dyDescent="0.2">
      <c r="B1095"/>
    </row>
    <row r="1096" spans="2:2" ht="12" customHeight="1" x14ac:dyDescent="0.2">
      <c r="B1096"/>
    </row>
    <row r="1097" spans="2:2" ht="12" customHeight="1" x14ac:dyDescent="0.2">
      <c r="B1097"/>
    </row>
    <row r="1098" spans="2:2" ht="12" customHeight="1" x14ac:dyDescent="0.2">
      <c r="B1098"/>
    </row>
    <row r="1099" spans="2:2" ht="12" customHeight="1" x14ac:dyDescent="0.2">
      <c r="B1099"/>
    </row>
    <row r="1100" spans="2:2" ht="12" customHeight="1" x14ac:dyDescent="0.2">
      <c r="B1100"/>
    </row>
    <row r="1101" spans="2:2" ht="12" customHeight="1" x14ac:dyDescent="0.2">
      <c r="B1101"/>
    </row>
    <row r="1102" spans="2:2" ht="12" customHeight="1" x14ac:dyDescent="0.2">
      <c r="B1102"/>
    </row>
    <row r="1103" spans="2:2" ht="12" customHeight="1" x14ac:dyDescent="0.2">
      <c r="B1103"/>
    </row>
    <row r="1104" spans="2:2" ht="12" customHeight="1" x14ac:dyDescent="0.2">
      <c r="B1104"/>
    </row>
    <row r="1105" spans="2:2" ht="12" customHeight="1" x14ac:dyDescent="0.2">
      <c r="B1105"/>
    </row>
    <row r="1106" spans="2:2" ht="12" customHeight="1" x14ac:dyDescent="0.2">
      <c r="B1106"/>
    </row>
    <row r="1107" spans="2:2" ht="12" customHeight="1" x14ac:dyDescent="0.2">
      <c r="B1107"/>
    </row>
    <row r="1108" spans="2:2" ht="12" customHeight="1" x14ac:dyDescent="0.2">
      <c r="B1108"/>
    </row>
    <row r="1109" spans="2:2" ht="12" customHeight="1" x14ac:dyDescent="0.2">
      <c r="B1109"/>
    </row>
    <row r="1110" spans="2:2" ht="12" customHeight="1" x14ac:dyDescent="0.2">
      <c r="B1110"/>
    </row>
    <row r="1111" spans="2:2" ht="12" customHeight="1" x14ac:dyDescent="0.2">
      <c r="B1111"/>
    </row>
    <row r="1112" spans="2:2" ht="12" customHeight="1" x14ac:dyDescent="0.2">
      <c r="B1112"/>
    </row>
    <row r="1113" spans="2:2" ht="12" customHeight="1" x14ac:dyDescent="0.2">
      <c r="B1113"/>
    </row>
    <row r="1114" spans="2:2" ht="12" customHeight="1" x14ac:dyDescent="0.2">
      <c r="B1114"/>
    </row>
    <row r="1115" spans="2:2" ht="12" customHeight="1" x14ac:dyDescent="0.2">
      <c r="B1115"/>
    </row>
    <row r="1116" spans="2:2" ht="12" customHeight="1" x14ac:dyDescent="0.2">
      <c r="B1116"/>
    </row>
    <row r="1117" spans="2:2" ht="12" customHeight="1" x14ac:dyDescent="0.2">
      <c r="B1117"/>
    </row>
    <row r="1118" spans="2:2" ht="12" customHeight="1" x14ac:dyDescent="0.2">
      <c r="B1118"/>
    </row>
    <row r="1119" spans="2:2" ht="12" customHeight="1" x14ac:dyDescent="0.2">
      <c r="B1119"/>
    </row>
    <row r="1120" spans="2:2" ht="12" customHeight="1" x14ac:dyDescent="0.2">
      <c r="B1120"/>
    </row>
    <row r="1121" spans="2:2" ht="12" customHeight="1" x14ac:dyDescent="0.2">
      <c r="B1121"/>
    </row>
    <row r="1122" spans="2:2" ht="12" customHeight="1" x14ac:dyDescent="0.2">
      <c r="B1122"/>
    </row>
    <row r="1123" spans="2:2" ht="12" customHeight="1" x14ac:dyDescent="0.2">
      <c r="B1123"/>
    </row>
    <row r="1124" spans="2:2" ht="12" customHeight="1" x14ac:dyDescent="0.2">
      <c r="B1124"/>
    </row>
    <row r="1125" spans="2:2" ht="12" customHeight="1" x14ac:dyDescent="0.2">
      <c r="B1125"/>
    </row>
    <row r="1126" spans="2:2" ht="12" customHeight="1" x14ac:dyDescent="0.2">
      <c r="B1126"/>
    </row>
    <row r="1127" spans="2:2" ht="12" customHeight="1" x14ac:dyDescent="0.2">
      <c r="B1127"/>
    </row>
    <row r="1128" spans="2:2" ht="12" customHeight="1" x14ac:dyDescent="0.2">
      <c r="B1128"/>
    </row>
    <row r="1129" spans="2:2" ht="12" customHeight="1" x14ac:dyDescent="0.2">
      <c r="B1129"/>
    </row>
    <row r="1130" spans="2:2" ht="12" customHeight="1" x14ac:dyDescent="0.2">
      <c r="B1130"/>
    </row>
    <row r="1131" spans="2:2" ht="12" customHeight="1" x14ac:dyDescent="0.2">
      <c r="B1131"/>
    </row>
    <row r="1132" spans="2:2" ht="12" customHeight="1" x14ac:dyDescent="0.2">
      <c r="B1132"/>
    </row>
    <row r="1133" spans="2:2" ht="12" customHeight="1" x14ac:dyDescent="0.2">
      <c r="B1133"/>
    </row>
    <row r="1134" spans="2:2" ht="12" customHeight="1" x14ac:dyDescent="0.2">
      <c r="B1134"/>
    </row>
    <row r="1135" spans="2:2" ht="12" customHeight="1" x14ac:dyDescent="0.2">
      <c r="B1135"/>
    </row>
    <row r="1136" spans="2:2" ht="12" customHeight="1" x14ac:dyDescent="0.2">
      <c r="B1136"/>
    </row>
    <row r="1137" spans="2:2" ht="12" customHeight="1" x14ac:dyDescent="0.2">
      <c r="B1137"/>
    </row>
    <row r="1138" spans="2:2" ht="12" customHeight="1" x14ac:dyDescent="0.2">
      <c r="B1138"/>
    </row>
    <row r="1139" spans="2:2" ht="12" customHeight="1" x14ac:dyDescent="0.2">
      <c r="B1139"/>
    </row>
    <row r="1140" spans="2:2" ht="12" customHeight="1" x14ac:dyDescent="0.2">
      <c r="B1140"/>
    </row>
    <row r="1141" spans="2:2" ht="12" customHeight="1" x14ac:dyDescent="0.2">
      <c r="B1141"/>
    </row>
    <row r="1142" spans="2:2" ht="12" customHeight="1" x14ac:dyDescent="0.2">
      <c r="B1142"/>
    </row>
    <row r="1143" spans="2:2" ht="12" customHeight="1" x14ac:dyDescent="0.2">
      <c r="B1143"/>
    </row>
    <row r="1144" spans="2:2" ht="12" customHeight="1" x14ac:dyDescent="0.2">
      <c r="B1144"/>
    </row>
    <row r="1145" spans="2:2" ht="12" customHeight="1" x14ac:dyDescent="0.2">
      <c r="B1145"/>
    </row>
    <row r="1146" spans="2:2" ht="12" customHeight="1" x14ac:dyDescent="0.2">
      <c r="B1146"/>
    </row>
    <row r="1147" spans="2:2" ht="12" customHeight="1" x14ac:dyDescent="0.2">
      <c r="B1147"/>
    </row>
    <row r="1148" spans="2:2" ht="12" customHeight="1" x14ac:dyDescent="0.2">
      <c r="B1148"/>
    </row>
    <row r="1149" spans="2:2" ht="12" customHeight="1" x14ac:dyDescent="0.2">
      <c r="B1149"/>
    </row>
    <row r="1150" spans="2:2" ht="12" customHeight="1" x14ac:dyDescent="0.2">
      <c r="B1150"/>
    </row>
    <row r="1151" spans="2:2" ht="12" customHeight="1" x14ac:dyDescent="0.2">
      <c r="B1151"/>
    </row>
    <row r="1152" spans="2:2" ht="12" customHeight="1" x14ac:dyDescent="0.2">
      <c r="B1152"/>
    </row>
    <row r="1153" spans="2:2" ht="12" customHeight="1" x14ac:dyDescent="0.2">
      <c r="B1153"/>
    </row>
    <row r="1154" spans="2:2" ht="12" customHeight="1" x14ac:dyDescent="0.2">
      <c r="B1154"/>
    </row>
    <row r="1155" spans="2:2" ht="12" customHeight="1" x14ac:dyDescent="0.2">
      <c r="B1155"/>
    </row>
    <row r="1156" spans="2:2" ht="12" customHeight="1" x14ac:dyDescent="0.2">
      <c r="B1156"/>
    </row>
    <row r="1157" spans="2:2" ht="12" customHeight="1" x14ac:dyDescent="0.2">
      <c r="B1157"/>
    </row>
    <row r="1158" spans="2:2" ht="12" customHeight="1" x14ac:dyDescent="0.2">
      <c r="B1158"/>
    </row>
    <row r="1159" spans="2:2" ht="12" customHeight="1" x14ac:dyDescent="0.2">
      <c r="B1159"/>
    </row>
    <row r="1160" spans="2:2" ht="12" customHeight="1" x14ac:dyDescent="0.2">
      <c r="B1160"/>
    </row>
    <row r="1161" spans="2:2" ht="12" customHeight="1" x14ac:dyDescent="0.2">
      <c r="B1161"/>
    </row>
    <row r="1162" spans="2:2" ht="12" customHeight="1" x14ac:dyDescent="0.2">
      <c r="B1162"/>
    </row>
    <row r="1163" spans="2:2" ht="12" customHeight="1" x14ac:dyDescent="0.2">
      <c r="B1163"/>
    </row>
    <row r="1164" spans="2:2" ht="12" customHeight="1" x14ac:dyDescent="0.2">
      <c r="B1164"/>
    </row>
    <row r="1165" spans="2:2" ht="12" customHeight="1" x14ac:dyDescent="0.2">
      <c r="B1165"/>
    </row>
    <row r="1166" spans="2:2" ht="12" customHeight="1" x14ac:dyDescent="0.2">
      <c r="B1166"/>
    </row>
    <row r="1167" spans="2:2" ht="12" customHeight="1" x14ac:dyDescent="0.2">
      <c r="B1167"/>
    </row>
    <row r="1168" spans="2:2" ht="12" customHeight="1" x14ac:dyDescent="0.2">
      <c r="B1168"/>
    </row>
    <row r="1169" spans="2:2" ht="12" customHeight="1" x14ac:dyDescent="0.2">
      <c r="B1169"/>
    </row>
    <row r="1170" spans="2:2" ht="12" customHeight="1" x14ac:dyDescent="0.2">
      <c r="B1170"/>
    </row>
    <row r="1171" spans="2:2" ht="12" customHeight="1" x14ac:dyDescent="0.2">
      <c r="B1171"/>
    </row>
    <row r="1172" spans="2:2" ht="12" customHeight="1" x14ac:dyDescent="0.2">
      <c r="B1172"/>
    </row>
    <row r="1173" spans="2:2" ht="12" customHeight="1" x14ac:dyDescent="0.2">
      <c r="B1173"/>
    </row>
    <row r="1174" spans="2:2" ht="12" customHeight="1" x14ac:dyDescent="0.2">
      <c r="B1174"/>
    </row>
    <row r="1175" spans="2:2" ht="12" customHeight="1" x14ac:dyDescent="0.2">
      <c r="B1175"/>
    </row>
    <row r="1176" spans="2:2" ht="12" customHeight="1" x14ac:dyDescent="0.2">
      <c r="B1176"/>
    </row>
    <row r="1177" spans="2:2" ht="12" customHeight="1" x14ac:dyDescent="0.2">
      <c r="B1177"/>
    </row>
    <row r="1178" spans="2:2" ht="12" customHeight="1" x14ac:dyDescent="0.2">
      <c r="B1178"/>
    </row>
    <row r="1179" spans="2:2" ht="12" customHeight="1" x14ac:dyDescent="0.2">
      <c r="B1179"/>
    </row>
    <row r="1180" spans="2:2" ht="12" customHeight="1" x14ac:dyDescent="0.2">
      <c r="B1180"/>
    </row>
    <row r="1181" spans="2:2" ht="12" customHeight="1" x14ac:dyDescent="0.2">
      <c r="B1181"/>
    </row>
    <row r="1182" spans="2:2" ht="12" customHeight="1" x14ac:dyDescent="0.2">
      <c r="B1182"/>
    </row>
    <row r="1183" spans="2:2" ht="12" customHeight="1" x14ac:dyDescent="0.2">
      <c r="B1183"/>
    </row>
    <row r="1184" spans="2:2" ht="12" customHeight="1" x14ac:dyDescent="0.2">
      <c r="B1184"/>
    </row>
    <row r="1185" spans="2:2" ht="12" customHeight="1" x14ac:dyDescent="0.2">
      <c r="B1185"/>
    </row>
    <row r="1186" spans="2:2" ht="12" customHeight="1" x14ac:dyDescent="0.2">
      <c r="B1186"/>
    </row>
    <row r="1187" spans="2:2" ht="12" customHeight="1" x14ac:dyDescent="0.2">
      <c r="B1187"/>
    </row>
    <row r="1188" spans="2:2" ht="12" customHeight="1" x14ac:dyDescent="0.2">
      <c r="B1188"/>
    </row>
    <row r="1189" spans="2:2" ht="12" customHeight="1" x14ac:dyDescent="0.2">
      <c r="B1189"/>
    </row>
    <row r="1190" spans="2:2" ht="12" customHeight="1" x14ac:dyDescent="0.2">
      <c r="B1190"/>
    </row>
    <row r="1191" spans="2:2" ht="12" customHeight="1" x14ac:dyDescent="0.2">
      <c r="B1191"/>
    </row>
    <row r="1192" spans="2:2" ht="12" customHeight="1" x14ac:dyDescent="0.2">
      <c r="B1192"/>
    </row>
    <row r="1193" spans="2:2" ht="12" customHeight="1" x14ac:dyDescent="0.2">
      <c r="B1193"/>
    </row>
    <row r="1194" spans="2:2" ht="12" customHeight="1" x14ac:dyDescent="0.2">
      <c r="B1194"/>
    </row>
    <row r="1195" spans="2:2" ht="12" customHeight="1" x14ac:dyDescent="0.2">
      <c r="B1195"/>
    </row>
    <row r="1196" spans="2:2" ht="12" customHeight="1" x14ac:dyDescent="0.2">
      <c r="B1196"/>
    </row>
    <row r="1197" spans="2:2" ht="12" customHeight="1" x14ac:dyDescent="0.2">
      <c r="B1197"/>
    </row>
    <row r="1198" spans="2:2" ht="12" customHeight="1" x14ac:dyDescent="0.2">
      <c r="B1198"/>
    </row>
    <row r="1199" spans="2:2" ht="12" customHeight="1" x14ac:dyDescent="0.2">
      <c r="B1199"/>
    </row>
    <row r="1200" spans="2:2" ht="12" customHeight="1" x14ac:dyDescent="0.2">
      <c r="B1200"/>
    </row>
    <row r="1201" spans="2:2" ht="12" customHeight="1" x14ac:dyDescent="0.2">
      <c r="B1201"/>
    </row>
    <row r="1202" spans="2:2" ht="12" customHeight="1" x14ac:dyDescent="0.2">
      <c r="B1202"/>
    </row>
    <row r="1203" spans="2:2" ht="12" customHeight="1" x14ac:dyDescent="0.2">
      <c r="B1203"/>
    </row>
    <row r="1204" spans="2:2" ht="12" customHeight="1" x14ac:dyDescent="0.2">
      <c r="B1204"/>
    </row>
    <row r="1205" spans="2:2" ht="12" customHeight="1" x14ac:dyDescent="0.2">
      <c r="B1205"/>
    </row>
    <row r="1206" spans="2:2" ht="12" customHeight="1" x14ac:dyDescent="0.2">
      <c r="B1206"/>
    </row>
    <row r="1207" spans="2:2" ht="12" customHeight="1" x14ac:dyDescent="0.2">
      <c r="B1207"/>
    </row>
    <row r="1208" spans="2:2" ht="12" customHeight="1" x14ac:dyDescent="0.2">
      <c r="B1208"/>
    </row>
    <row r="1209" spans="2:2" ht="12" customHeight="1" x14ac:dyDescent="0.2">
      <c r="B1209"/>
    </row>
    <row r="1210" spans="2:2" ht="12" customHeight="1" x14ac:dyDescent="0.2">
      <c r="B1210"/>
    </row>
    <row r="1211" spans="2:2" ht="12" customHeight="1" x14ac:dyDescent="0.2">
      <c r="B1211"/>
    </row>
    <row r="1212" spans="2:2" ht="12" customHeight="1" x14ac:dyDescent="0.2">
      <c r="B1212"/>
    </row>
    <row r="1213" spans="2:2" ht="12" customHeight="1" x14ac:dyDescent="0.2">
      <c r="B1213"/>
    </row>
    <row r="1214" spans="2:2" ht="12" customHeight="1" x14ac:dyDescent="0.2">
      <c r="B1214"/>
    </row>
    <row r="1215" spans="2:2" ht="12" customHeight="1" x14ac:dyDescent="0.2">
      <c r="B1215"/>
    </row>
    <row r="1216" spans="2:2" ht="12" customHeight="1" x14ac:dyDescent="0.2">
      <c r="B1216"/>
    </row>
    <row r="1217" spans="2:2" ht="12" customHeight="1" x14ac:dyDescent="0.2">
      <c r="B1217"/>
    </row>
    <row r="1218" spans="2:2" ht="12" customHeight="1" x14ac:dyDescent="0.2">
      <c r="B1218"/>
    </row>
    <row r="1219" spans="2:2" ht="12" customHeight="1" x14ac:dyDescent="0.2">
      <c r="B1219"/>
    </row>
    <row r="1220" spans="2:2" ht="12" customHeight="1" x14ac:dyDescent="0.2">
      <c r="B1220"/>
    </row>
    <row r="1221" spans="2:2" ht="12" customHeight="1" x14ac:dyDescent="0.2">
      <c r="B1221"/>
    </row>
    <row r="1222" spans="2:2" ht="12" customHeight="1" x14ac:dyDescent="0.2">
      <c r="B1222"/>
    </row>
    <row r="1223" spans="2:2" ht="12" customHeight="1" x14ac:dyDescent="0.2">
      <c r="B1223"/>
    </row>
    <row r="1224" spans="2:2" ht="12" customHeight="1" x14ac:dyDescent="0.2">
      <c r="B1224"/>
    </row>
    <row r="1225" spans="2:2" ht="12" customHeight="1" x14ac:dyDescent="0.2">
      <c r="B1225"/>
    </row>
    <row r="1226" spans="2:2" ht="12" customHeight="1" x14ac:dyDescent="0.2">
      <c r="B1226"/>
    </row>
    <row r="1227" spans="2:2" ht="12" customHeight="1" x14ac:dyDescent="0.2">
      <c r="B1227"/>
    </row>
    <row r="1228" spans="2:2" ht="12" customHeight="1" x14ac:dyDescent="0.2">
      <c r="B1228"/>
    </row>
    <row r="1229" spans="2:2" ht="12" customHeight="1" x14ac:dyDescent="0.2">
      <c r="B1229"/>
    </row>
    <row r="1230" spans="2:2" ht="12" customHeight="1" x14ac:dyDescent="0.2">
      <c r="B1230"/>
    </row>
    <row r="1231" spans="2:2" ht="12" customHeight="1" x14ac:dyDescent="0.2">
      <c r="B1231"/>
    </row>
    <row r="1232" spans="2:2" ht="12" customHeight="1" x14ac:dyDescent="0.2">
      <c r="B1232"/>
    </row>
    <row r="1233" spans="2:2" ht="12" customHeight="1" x14ac:dyDescent="0.2">
      <c r="B1233"/>
    </row>
    <row r="1234" spans="2:2" ht="12" customHeight="1" x14ac:dyDescent="0.2">
      <c r="B1234"/>
    </row>
    <row r="1235" spans="2:2" ht="12" customHeight="1" x14ac:dyDescent="0.2">
      <c r="B1235"/>
    </row>
    <row r="1236" spans="2:2" ht="12" customHeight="1" x14ac:dyDescent="0.2">
      <c r="B1236"/>
    </row>
    <row r="1237" spans="2:2" ht="12" customHeight="1" x14ac:dyDescent="0.2">
      <c r="B1237"/>
    </row>
    <row r="1238" spans="2:2" ht="12" customHeight="1" x14ac:dyDescent="0.2">
      <c r="B1238"/>
    </row>
    <row r="1239" spans="2:2" ht="12" customHeight="1" x14ac:dyDescent="0.2">
      <c r="B1239"/>
    </row>
    <row r="1240" spans="2:2" ht="12" customHeight="1" x14ac:dyDescent="0.2">
      <c r="B1240"/>
    </row>
    <row r="1241" spans="2:2" ht="12" customHeight="1" x14ac:dyDescent="0.2">
      <c r="B1241"/>
    </row>
    <row r="1242" spans="2:2" ht="12" customHeight="1" x14ac:dyDescent="0.2">
      <c r="B1242"/>
    </row>
    <row r="1243" spans="2:2" ht="12" customHeight="1" x14ac:dyDescent="0.2">
      <c r="B1243"/>
    </row>
    <row r="1244" spans="2:2" ht="12" customHeight="1" x14ac:dyDescent="0.2">
      <c r="B1244"/>
    </row>
    <row r="1245" spans="2:2" ht="12" customHeight="1" x14ac:dyDescent="0.2">
      <c r="B1245"/>
    </row>
    <row r="1246" spans="2:2" ht="12" customHeight="1" x14ac:dyDescent="0.2">
      <c r="B1246"/>
    </row>
    <row r="1247" spans="2:2" ht="12" customHeight="1" x14ac:dyDescent="0.2">
      <c r="B1247"/>
    </row>
    <row r="1248" spans="2:2" ht="12" customHeight="1" x14ac:dyDescent="0.2">
      <c r="B1248"/>
    </row>
    <row r="1249" spans="2:2" ht="12" customHeight="1" x14ac:dyDescent="0.2">
      <c r="B1249"/>
    </row>
    <row r="1250" spans="2:2" ht="12" customHeight="1" x14ac:dyDescent="0.2">
      <c r="B1250"/>
    </row>
    <row r="1251" spans="2:2" ht="12" customHeight="1" x14ac:dyDescent="0.2">
      <c r="B1251"/>
    </row>
    <row r="1252" spans="2:2" ht="12" customHeight="1" x14ac:dyDescent="0.2">
      <c r="B1252"/>
    </row>
    <row r="1253" spans="2:2" ht="12" customHeight="1" x14ac:dyDescent="0.2">
      <c r="B1253"/>
    </row>
    <row r="1254" spans="2:2" ht="12" customHeight="1" x14ac:dyDescent="0.2">
      <c r="B1254"/>
    </row>
    <row r="1255" spans="2:2" ht="12" customHeight="1" x14ac:dyDescent="0.2">
      <c r="B1255"/>
    </row>
    <row r="1256" spans="2:2" ht="12" customHeight="1" x14ac:dyDescent="0.2">
      <c r="B1256"/>
    </row>
    <row r="1257" spans="2:2" ht="12" customHeight="1" x14ac:dyDescent="0.2">
      <c r="B1257"/>
    </row>
    <row r="1258" spans="2:2" ht="12" customHeight="1" x14ac:dyDescent="0.2">
      <c r="B1258"/>
    </row>
    <row r="1259" spans="2:2" ht="12" customHeight="1" x14ac:dyDescent="0.2">
      <c r="B1259"/>
    </row>
    <row r="1260" spans="2:2" ht="12" customHeight="1" x14ac:dyDescent="0.2">
      <c r="B1260"/>
    </row>
    <row r="1261" spans="2:2" ht="12" customHeight="1" x14ac:dyDescent="0.2">
      <c r="B1261"/>
    </row>
    <row r="1262" spans="2:2" ht="12" customHeight="1" x14ac:dyDescent="0.2">
      <c r="B1262"/>
    </row>
    <row r="1263" spans="2:2" ht="12" customHeight="1" x14ac:dyDescent="0.2">
      <c r="B1263"/>
    </row>
    <row r="1264" spans="2:2" ht="12" customHeight="1" x14ac:dyDescent="0.2">
      <c r="B1264"/>
    </row>
    <row r="1265" spans="2:2" ht="12" customHeight="1" x14ac:dyDescent="0.2">
      <c r="B1265"/>
    </row>
    <row r="1266" spans="2:2" ht="12" customHeight="1" x14ac:dyDescent="0.2">
      <c r="B1266"/>
    </row>
    <row r="1267" spans="2:2" ht="12" customHeight="1" x14ac:dyDescent="0.2">
      <c r="B1267"/>
    </row>
    <row r="1268" spans="2:2" ht="12" customHeight="1" x14ac:dyDescent="0.2">
      <c r="B1268"/>
    </row>
    <row r="1269" spans="2:2" ht="12" customHeight="1" x14ac:dyDescent="0.2">
      <c r="B1269"/>
    </row>
    <row r="1270" spans="2:2" ht="12" customHeight="1" x14ac:dyDescent="0.2">
      <c r="B1270"/>
    </row>
    <row r="1271" spans="2:2" ht="12" customHeight="1" x14ac:dyDescent="0.2">
      <c r="B1271"/>
    </row>
    <row r="1272" spans="2:2" ht="12" customHeight="1" x14ac:dyDescent="0.2">
      <c r="B1272"/>
    </row>
    <row r="1273" spans="2:2" ht="12" customHeight="1" x14ac:dyDescent="0.2">
      <c r="B1273"/>
    </row>
    <row r="1274" spans="2:2" ht="12" customHeight="1" x14ac:dyDescent="0.2">
      <c r="B1274"/>
    </row>
    <row r="1275" spans="2:2" ht="12" customHeight="1" x14ac:dyDescent="0.2">
      <c r="B1275"/>
    </row>
    <row r="1276" spans="2:2" ht="12" customHeight="1" x14ac:dyDescent="0.2">
      <c r="B1276"/>
    </row>
    <row r="1277" spans="2:2" ht="12" customHeight="1" x14ac:dyDescent="0.2">
      <c r="B1277"/>
    </row>
    <row r="1278" spans="2:2" ht="12" customHeight="1" x14ac:dyDescent="0.2">
      <c r="B1278"/>
    </row>
    <row r="1279" spans="2:2" ht="12" customHeight="1" x14ac:dyDescent="0.2">
      <c r="B1279"/>
    </row>
    <row r="1280" spans="2:2" ht="12" customHeight="1" x14ac:dyDescent="0.2">
      <c r="B1280"/>
    </row>
    <row r="1281" spans="2:2" ht="12" customHeight="1" x14ac:dyDescent="0.2">
      <c r="B1281"/>
    </row>
    <row r="1282" spans="2:2" ht="12" customHeight="1" x14ac:dyDescent="0.2">
      <c r="B1282"/>
    </row>
    <row r="1283" spans="2:2" ht="12" customHeight="1" x14ac:dyDescent="0.2">
      <c r="B1283"/>
    </row>
    <row r="1284" spans="2:2" ht="12" customHeight="1" x14ac:dyDescent="0.2">
      <c r="B1284"/>
    </row>
    <row r="1285" spans="2:2" ht="12" customHeight="1" x14ac:dyDescent="0.2">
      <c r="B1285"/>
    </row>
    <row r="1286" spans="2:2" ht="12" customHeight="1" x14ac:dyDescent="0.2">
      <c r="B1286"/>
    </row>
    <row r="1287" spans="2:2" ht="12" customHeight="1" x14ac:dyDescent="0.2">
      <c r="B1287"/>
    </row>
    <row r="1288" spans="2:2" ht="12" customHeight="1" x14ac:dyDescent="0.2">
      <c r="B1288"/>
    </row>
    <row r="1289" spans="2:2" ht="12" customHeight="1" x14ac:dyDescent="0.2">
      <c r="B1289"/>
    </row>
    <row r="1290" spans="2:2" ht="12" customHeight="1" x14ac:dyDescent="0.2">
      <c r="B1290"/>
    </row>
    <row r="1291" spans="2:2" ht="12" customHeight="1" x14ac:dyDescent="0.2">
      <c r="B1291"/>
    </row>
    <row r="1292" spans="2:2" ht="12" customHeight="1" x14ac:dyDescent="0.2">
      <c r="B1292"/>
    </row>
    <row r="1293" spans="2:2" ht="12" customHeight="1" x14ac:dyDescent="0.2">
      <c r="B1293"/>
    </row>
    <row r="1294" spans="2:2" ht="12" customHeight="1" x14ac:dyDescent="0.2">
      <c r="B1294"/>
    </row>
    <row r="1295" spans="2:2" ht="12" customHeight="1" x14ac:dyDescent="0.2">
      <c r="B1295"/>
    </row>
    <row r="1296" spans="2:2" ht="12" customHeight="1" x14ac:dyDescent="0.2">
      <c r="B1296"/>
    </row>
    <row r="1297" spans="2:2" ht="12" customHeight="1" x14ac:dyDescent="0.2">
      <c r="B1297"/>
    </row>
    <row r="1298" spans="2:2" ht="12" customHeight="1" x14ac:dyDescent="0.2">
      <c r="B1298"/>
    </row>
    <row r="1299" spans="2:2" ht="12" customHeight="1" x14ac:dyDescent="0.2">
      <c r="B1299"/>
    </row>
    <row r="1300" spans="2:2" ht="12" customHeight="1" x14ac:dyDescent="0.2">
      <c r="B1300"/>
    </row>
    <row r="1301" spans="2:2" ht="12" customHeight="1" x14ac:dyDescent="0.2">
      <c r="B1301"/>
    </row>
    <row r="1302" spans="2:2" ht="12" customHeight="1" x14ac:dyDescent="0.2">
      <c r="B1302"/>
    </row>
    <row r="1303" spans="2:2" ht="12" customHeight="1" x14ac:dyDescent="0.2">
      <c r="B1303"/>
    </row>
    <row r="1304" spans="2:2" ht="12" customHeight="1" x14ac:dyDescent="0.2">
      <c r="B1304"/>
    </row>
    <row r="1305" spans="2:2" ht="12" customHeight="1" x14ac:dyDescent="0.2">
      <c r="B1305"/>
    </row>
    <row r="1306" spans="2:2" ht="12" customHeight="1" x14ac:dyDescent="0.2">
      <c r="B1306"/>
    </row>
    <row r="1307" spans="2:2" ht="12" customHeight="1" x14ac:dyDescent="0.2">
      <c r="B1307"/>
    </row>
    <row r="1308" spans="2:2" ht="12" customHeight="1" x14ac:dyDescent="0.2">
      <c r="B1308"/>
    </row>
    <row r="1309" spans="2:2" ht="12" customHeight="1" x14ac:dyDescent="0.2">
      <c r="B1309"/>
    </row>
    <row r="1310" spans="2:2" ht="12" customHeight="1" x14ac:dyDescent="0.2">
      <c r="B1310"/>
    </row>
    <row r="1311" spans="2:2" ht="12" customHeight="1" x14ac:dyDescent="0.2">
      <c r="B1311"/>
    </row>
    <row r="1312" spans="2:2" ht="12" customHeight="1" x14ac:dyDescent="0.2">
      <c r="B1312"/>
    </row>
    <row r="1313" spans="2:2" ht="12" customHeight="1" x14ac:dyDescent="0.2">
      <c r="B1313"/>
    </row>
    <row r="1314" spans="2:2" ht="12" customHeight="1" x14ac:dyDescent="0.2">
      <c r="B1314"/>
    </row>
    <row r="1315" spans="2:2" ht="12" customHeight="1" x14ac:dyDescent="0.2">
      <c r="B1315"/>
    </row>
    <row r="1316" spans="2:2" ht="12" customHeight="1" x14ac:dyDescent="0.2">
      <c r="B1316"/>
    </row>
    <row r="1317" spans="2:2" ht="12" customHeight="1" x14ac:dyDescent="0.2">
      <c r="B1317"/>
    </row>
    <row r="1318" spans="2:2" ht="12" customHeight="1" x14ac:dyDescent="0.2">
      <c r="B1318"/>
    </row>
    <row r="1319" spans="2:2" ht="12" customHeight="1" x14ac:dyDescent="0.2">
      <c r="B1319"/>
    </row>
    <row r="1320" spans="2:2" ht="12" customHeight="1" x14ac:dyDescent="0.2">
      <c r="B1320"/>
    </row>
    <row r="1321" spans="2:2" ht="12" customHeight="1" x14ac:dyDescent="0.2">
      <c r="B1321"/>
    </row>
    <row r="1322" spans="2:2" ht="12" customHeight="1" x14ac:dyDescent="0.2">
      <c r="B1322"/>
    </row>
    <row r="1323" spans="2:2" ht="12" customHeight="1" x14ac:dyDescent="0.2">
      <c r="B1323"/>
    </row>
    <row r="1324" spans="2:2" ht="12" customHeight="1" x14ac:dyDescent="0.2">
      <c r="B1324"/>
    </row>
    <row r="1325" spans="2:2" ht="12" customHeight="1" x14ac:dyDescent="0.2">
      <c r="B1325"/>
    </row>
    <row r="1326" spans="2:2" ht="12" customHeight="1" x14ac:dyDescent="0.2">
      <c r="B1326"/>
    </row>
    <row r="1327" spans="2:2" ht="12" customHeight="1" x14ac:dyDescent="0.2">
      <c r="B1327"/>
    </row>
    <row r="1328" spans="2:2" ht="12" customHeight="1" x14ac:dyDescent="0.2">
      <c r="B1328"/>
    </row>
    <row r="1329" spans="2:2" ht="12" customHeight="1" x14ac:dyDescent="0.2">
      <c r="B1329"/>
    </row>
    <row r="1330" spans="2:2" ht="12" customHeight="1" x14ac:dyDescent="0.2">
      <c r="B1330"/>
    </row>
    <row r="1331" spans="2:2" ht="12" customHeight="1" x14ac:dyDescent="0.2">
      <c r="B1331"/>
    </row>
    <row r="1332" spans="2:2" ht="12" customHeight="1" x14ac:dyDescent="0.2">
      <c r="B1332"/>
    </row>
    <row r="1333" spans="2:2" ht="12" customHeight="1" x14ac:dyDescent="0.2">
      <c r="B1333"/>
    </row>
    <row r="1334" spans="2:2" ht="12" customHeight="1" x14ac:dyDescent="0.2">
      <c r="B1334"/>
    </row>
    <row r="1335" spans="2:2" ht="12" customHeight="1" x14ac:dyDescent="0.2">
      <c r="B1335"/>
    </row>
    <row r="1336" spans="2:2" ht="12" customHeight="1" x14ac:dyDescent="0.2">
      <c r="B1336"/>
    </row>
    <row r="1337" spans="2:2" ht="12" customHeight="1" x14ac:dyDescent="0.2">
      <c r="B1337"/>
    </row>
    <row r="1338" spans="2:2" ht="12" customHeight="1" x14ac:dyDescent="0.2">
      <c r="B1338"/>
    </row>
    <row r="1339" spans="2:2" ht="12" customHeight="1" x14ac:dyDescent="0.2">
      <c r="B1339"/>
    </row>
    <row r="1340" spans="2:2" ht="12" customHeight="1" x14ac:dyDescent="0.2">
      <c r="B1340"/>
    </row>
    <row r="1341" spans="2:2" ht="12" customHeight="1" x14ac:dyDescent="0.2">
      <c r="B1341"/>
    </row>
    <row r="1342" spans="2:2" ht="12" customHeight="1" x14ac:dyDescent="0.2">
      <c r="B1342"/>
    </row>
    <row r="1343" spans="2:2" ht="12" customHeight="1" x14ac:dyDescent="0.2">
      <c r="B1343"/>
    </row>
    <row r="1344" spans="2:2" ht="12" customHeight="1" x14ac:dyDescent="0.2">
      <c r="B1344"/>
    </row>
    <row r="1345" spans="2:2" ht="12" customHeight="1" x14ac:dyDescent="0.2">
      <c r="B1345"/>
    </row>
    <row r="1346" spans="2:2" ht="12" customHeight="1" x14ac:dyDescent="0.2">
      <c r="B1346"/>
    </row>
    <row r="1347" spans="2:2" ht="12" customHeight="1" x14ac:dyDescent="0.2">
      <c r="B1347"/>
    </row>
    <row r="1348" spans="2:2" ht="12" customHeight="1" x14ac:dyDescent="0.2">
      <c r="B1348"/>
    </row>
    <row r="1349" spans="2:2" ht="12" customHeight="1" x14ac:dyDescent="0.2">
      <c r="B1349"/>
    </row>
    <row r="1350" spans="2:2" ht="12" customHeight="1" x14ac:dyDescent="0.2">
      <c r="B1350"/>
    </row>
    <row r="1351" spans="2:2" ht="12" customHeight="1" x14ac:dyDescent="0.2">
      <c r="B1351"/>
    </row>
    <row r="1352" spans="2:2" ht="12" customHeight="1" x14ac:dyDescent="0.2">
      <c r="B1352"/>
    </row>
    <row r="1353" spans="2:2" ht="12" customHeight="1" x14ac:dyDescent="0.2">
      <c r="B1353"/>
    </row>
    <row r="1354" spans="2:2" ht="12" customHeight="1" x14ac:dyDescent="0.2">
      <c r="B1354"/>
    </row>
    <row r="1355" spans="2:2" ht="12" customHeight="1" x14ac:dyDescent="0.2">
      <c r="B1355"/>
    </row>
    <row r="1356" spans="2:2" ht="12" customHeight="1" x14ac:dyDescent="0.2">
      <c r="B1356"/>
    </row>
    <row r="1357" spans="2:2" ht="12" customHeight="1" x14ac:dyDescent="0.2">
      <c r="B1357"/>
    </row>
    <row r="1358" spans="2:2" ht="12" customHeight="1" x14ac:dyDescent="0.2">
      <c r="B1358"/>
    </row>
    <row r="1359" spans="2:2" ht="12" customHeight="1" x14ac:dyDescent="0.2">
      <c r="B1359"/>
    </row>
    <row r="1360" spans="2:2" ht="12" customHeight="1" x14ac:dyDescent="0.2">
      <c r="B1360"/>
    </row>
    <row r="1361" spans="2:2" ht="12" customHeight="1" x14ac:dyDescent="0.2">
      <c r="B1361"/>
    </row>
    <row r="1362" spans="2:2" ht="12" customHeight="1" x14ac:dyDescent="0.2">
      <c r="B1362"/>
    </row>
    <row r="1363" spans="2:2" ht="12" customHeight="1" x14ac:dyDescent="0.2">
      <c r="B1363"/>
    </row>
    <row r="1364" spans="2:2" ht="12" customHeight="1" x14ac:dyDescent="0.2">
      <c r="B1364"/>
    </row>
    <row r="1365" spans="2:2" ht="12" customHeight="1" x14ac:dyDescent="0.2">
      <c r="B1365"/>
    </row>
    <row r="1366" spans="2:2" ht="12" customHeight="1" x14ac:dyDescent="0.2">
      <c r="B1366"/>
    </row>
    <row r="1367" spans="2:2" ht="12" customHeight="1" x14ac:dyDescent="0.2">
      <c r="B1367"/>
    </row>
    <row r="1368" spans="2:2" ht="12" customHeight="1" x14ac:dyDescent="0.2">
      <c r="B1368"/>
    </row>
    <row r="1369" spans="2:2" ht="12" customHeight="1" x14ac:dyDescent="0.2">
      <c r="B1369"/>
    </row>
    <row r="1370" spans="2:2" ht="12" customHeight="1" x14ac:dyDescent="0.2">
      <c r="B1370"/>
    </row>
    <row r="1371" spans="2:2" ht="12" customHeight="1" x14ac:dyDescent="0.2">
      <c r="B1371"/>
    </row>
    <row r="1372" spans="2:2" ht="12" customHeight="1" x14ac:dyDescent="0.2">
      <c r="B1372"/>
    </row>
    <row r="1373" spans="2:2" ht="12" customHeight="1" x14ac:dyDescent="0.2">
      <c r="B1373"/>
    </row>
    <row r="1374" spans="2:2" ht="12" customHeight="1" x14ac:dyDescent="0.2">
      <c r="B1374"/>
    </row>
    <row r="1375" spans="2:2" ht="12" customHeight="1" x14ac:dyDescent="0.2">
      <c r="B1375"/>
    </row>
    <row r="1376" spans="2:2" ht="12" customHeight="1" x14ac:dyDescent="0.2">
      <c r="B1376"/>
    </row>
    <row r="1377" spans="2:2" ht="12" customHeight="1" x14ac:dyDescent="0.2">
      <c r="B1377"/>
    </row>
    <row r="1378" spans="2:2" ht="12" customHeight="1" x14ac:dyDescent="0.2">
      <c r="B1378"/>
    </row>
    <row r="1379" spans="2:2" ht="12" customHeight="1" x14ac:dyDescent="0.2">
      <c r="B1379"/>
    </row>
    <row r="1380" spans="2:2" ht="12" customHeight="1" x14ac:dyDescent="0.2">
      <c r="B1380"/>
    </row>
    <row r="1381" spans="2:2" ht="12" customHeight="1" x14ac:dyDescent="0.2">
      <c r="B1381"/>
    </row>
    <row r="1382" spans="2:2" ht="12" customHeight="1" x14ac:dyDescent="0.2">
      <c r="B1382"/>
    </row>
    <row r="1383" spans="2:2" ht="12" customHeight="1" x14ac:dyDescent="0.2">
      <c r="B1383"/>
    </row>
    <row r="1384" spans="2:2" ht="12" customHeight="1" x14ac:dyDescent="0.2">
      <c r="B1384"/>
    </row>
    <row r="1385" spans="2:2" ht="12" customHeight="1" x14ac:dyDescent="0.2">
      <c r="B1385"/>
    </row>
    <row r="1386" spans="2:2" ht="12" customHeight="1" x14ac:dyDescent="0.2">
      <c r="B1386"/>
    </row>
    <row r="1387" spans="2:2" ht="12" customHeight="1" x14ac:dyDescent="0.2">
      <c r="B1387"/>
    </row>
    <row r="1388" spans="2:2" ht="12" customHeight="1" x14ac:dyDescent="0.2">
      <c r="B1388"/>
    </row>
    <row r="1389" spans="2:2" ht="12" customHeight="1" x14ac:dyDescent="0.2">
      <c r="B1389"/>
    </row>
    <row r="1390" spans="2:2" ht="12" customHeight="1" x14ac:dyDescent="0.2">
      <c r="B1390"/>
    </row>
    <row r="1391" spans="2:2" ht="12" customHeight="1" x14ac:dyDescent="0.2">
      <c r="B1391"/>
    </row>
    <row r="1392" spans="2:2" ht="12" customHeight="1" x14ac:dyDescent="0.2">
      <c r="B1392"/>
    </row>
    <row r="1393" spans="2:2" ht="12" customHeight="1" x14ac:dyDescent="0.2">
      <c r="B1393"/>
    </row>
    <row r="1394" spans="2:2" ht="12" customHeight="1" x14ac:dyDescent="0.2">
      <c r="B1394"/>
    </row>
    <row r="1395" spans="2:2" ht="12" customHeight="1" x14ac:dyDescent="0.2">
      <c r="B1395"/>
    </row>
    <row r="1396" spans="2:2" ht="12" customHeight="1" x14ac:dyDescent="0.2">
      <c r="B1396"/>
    </row>
    <row r="1397" spans="2:2" ht="12" customHeight="1" x14ac:dyDescent="0.2">
      <c r="B1397"/>
    </row>
    <row r="1398" spans="2:2" ht="12" customHeight="1" x14ac:dyDescent="0.2">
      <c r="B1398"/>
    </row>
    <row r="1399" spans="2:2" ht="12" customHeight="1" x14ac:dyDescent="0.2">
      <c r="B1399"/>
    </row>
    <row r="1400" spans="2:2" ht="12" customHeight="1" x14ac:dyDescent="0.2">
      <c r="B1400"/>
    </row>
    <row r="1401" spans="2:2" ht="12" customHeight="1" x14ac:dyDescent="0.2">
      <c r="B1401"/>
    </row>
    <row r="1402" spans="2:2" ht="12" customHeight="1" x14ac:dyDescent="0.2">
      <c r="B1402"/>
    </row>
    <row r="1403" spans="2:2" ht="12" customHeight="1" x14ac:dyDescent="0.2">
      <c r="B1403"/>
    </row>
    <row r="1404" spans="2:2" ht="12" customHeight="1" x14ac:dyDescent="0.2">
      <c r="B1404"/>
    </row>
    <row r="1405" spans="2:2" ht="12" customHeight="1" x14ac:dyDescent="0.2">
      <c r="B1405"/>
    </row>
    <row r="1406" spans="2:2" ht="12" customHeight="1" x14ac:dyDescent="0.2">
      <c r="B1406"/>
    </row>
    <row r="1407" spans="2:2" ht="12" customHeight="1" x14ac:dyDescent="0.2">
      <c r="B1407"/>
    </row>
    <row r="1408" spans="2:2" ht="12" customHeight="1" x14ac:dyDescent="0.2">
      <c r="B1408"/>
    </row>
    <row r="1409" spans="2:2" ht="12" customHeight="1" x14ac:dyDescent="0.2">
      <c r="B1409"/>
    </row>
    <row r="1410" spans="2:2" ht="12" customHeight="1" x14ac:dyDescent="0.2">
      <c r="B1410"/>
    </row>
    <row r="1411" spans="2:2" ht="12" customHeight="1" x14ac:dyDescent="0.2">
      <c r="B1411"/>
    </row>
    <row r="1412" spans="2:2" ht="12" customHeight="1" x14ac:dyDescent="0.2">
      <c r="B1412"/>
    </row>
    <row r="1413" spans="2:2" ht="12" customHeight="1" x14ac:dyDescent="0.2">
      <c r="B1413"/>
    </row>
    <row r="1414" spans="2:2" ht="12" customHeight="1" x14ac:dyDescent="0.2">
      <c r="B1414"/>
    </row>
    <row r="1415" spans="2:2" ht="12" customHeight="1" x14ac:dyDescent="0.2">
      <c r="B1415"/>
    </row>
    <row r="1416" spans="2:2" ht="12" customHeight="1" x14ac:dyDescent="0.2">
      <c r="B1416"/>
    </row>
    <row r="1417" spans="2:2" ht="12" customHeight="1" x14ac:dyDescent="0.2">
      <c r="B1417"/>
    </row>
    <row r="1418" spans="2:2" ht="12" customHeight="1" x14ac:dyDescent="0.2">
      <c r="B1418"/>
    </row>
    <row r="1419" spans="2:2" ht="12" customHeight="1" x14ac:dyDescent="0.2">
      <c r="B1419"/>
    </row>
    <row r="1420" spans="2:2" ht="12" customHeight="1" x14ac:dyDescent="0.2">
      <c r="B1420"/>
    </row>
    <row r="1421" spans="2:2" ht="12" customHeight="1" x14ac:dyDescent="0.2">
      <c r="B1421"/>
    </row>
    <row r="1422" spans="2:2" ht="12" customHeight="1" x14ac:dyDescent="0.2">
      <c r="B1422"/>
    </row>
    <row r="1423" spans="2:2" ht="12" customHeight="1" x14ac:dyDescent="0.2">
      <c r="B1423"/>
    </row>
    <row r="1424" spans="2:2" ht="12" customHeight="1" x14ac:dyDescent="0.2">
      <c r="B1424"/>
    </row>
    <row r="1425" spans="2:2" ht="12" customHeight="1" x14ac:dyDescent="0.2">
      <c r="B1425"/>
    </row>
    <row r="1426" spans="2:2" ht="12" customHeight="1" x14ac:dyDescent="0.2">
      <c r="B1426"/>
    </row>
    <row r="1427" spans="2:2" ht="12" customHeight="1" x14ac:dyDescent="0.2">
      <c r="B1427"/>
    </row>
    <row r="1428" spans="2:2" ht="12" customHeight="1" x14ac:dyDescent="0.2">
      <c r="B1428"/>
    </row>
    <row r="1429" spans="2:2" ht="12" customHeight="1" x14ac:dyDescent="0.2">
      <c r="B1429"/>
    </row>
    <row r="1430" spans="2:2" ht="12" customHeight="1" x14ac:dyDescent="0.2">
      <c r="B1430"/>
    </row>
    <row r="1431" spans="2:2" ht="12" customHeight="1" x14ac:dyDescent="0.2">
      <c r="B1431"/>
    </row>
    <row r="1432" spans="2:2" ht="12" customHeight="1" x14ac:dyDescent="0.2">
      <c r="B1432"/>
    </row>
    <row r="1433" spans="2:2" ht="12" customHeight="1" x14ac:dyDescent="0.2">
      <c r="B1433"/>
    </row>
    <row r="1434" spans="2:2" ht="12" customHeight="1" x14ac:dyDescent="0.2">
      <c r="B1434"/>
    </row>
    <row r="1435" spans="2:2" ht="12" customHeight="1" x14ac:dyDescent="0.2">
      <c r="B1435"/>
    </row>
    <row r="1436" spans="2:2" ht="12" customHeight="1" x14ac:dyDescent="0.2">
      <c r="B1436"/>
    </row>
    <row r="1437" spans="2:2" ht="12" customHeight="1" x14ac:dyDescent="0.2">
      <c r="B1437"/>
    </row>
    <row r="1438" spans="2:2" ht="12" customHeight="1" x14ac:dyDescent="0.2">
      <c r="B1438"/>
    </row>
    <row r="1439" spans="2:2" ht="12" customHeight="1" x14ac:dyDescent="0.2">
      <c r="B1439"/>
    </row>
    <row r="1440" spans="2:2" ht="12" customHeight="1" x14ac:dyDescent="0.2">
      <c r="B1440"/>
    </row>
    <row r="1441" spans="2:2" ht="12" customHeight="1" x14ac:dyDescent="0.2">
      <c r="B1441"/>
    </row>
    <row r="1442" spans="2:2" ht="12" customHeight="1" x14ac:dyDescent="0.2">
      <c r="B1442"/>
    </row>
    <row r="1443" spans="2:2" ht="12" customHeight="1" x14ac:dyDescent="0.2">
      <c r="B1443"/>
    </row>
    <row r="1444" spans="2:2" ht="12" customHeight="1" x14ac:dyDescent="0.2">
      <c r="B1444"/>
    </row>
    <row r="1445" spans="2:2" ht="12" customHeight="1" x14ac:dyDescent="0.2">
      <c r="B1445"/>
    </row>
    <row r="1446" spans="2:2" ht="12" customHeight="1" x14ac:dyDescent="0.2">
      <c r="B1446"/>
    </row>
    <row r="1447" spans="2:2" ht="12" customHeight="1" x14ac:dyDescent="0.2">
      <c r="B1447"/>
    </row>
    <row r="1448" spans="2:2" ht="12" customHeight="1" x14ac:dyDescent="0.2">
      <c r="B1448"/>
    </row>
    <row r="1449" spans="2:2" ht="12" customHeight="1" x14ac:dyDescent="0.2">
      <c r="B1449"/>
    </row>
    <row r="1450" spans="2:2" ht="12" customHeight="1" x14ac:dyDescent="0.2">
      <c r="B1450"/>
    </row>
    <row r="1451" spans="2:2" ht="12" customHeight="1" x14ac:dyDescent="0.2">
      <c r="B1451"/>
    </row>
    <row r="1452" spans="2:2" ht="12" customHeight="1" x14ac:dyDescent="0.2">
      <c r="B1452"/>
    </row>
    <row r="1453" spans="2:2" ht="12" customHeight="1" x14ac:dyDescent="0.2">
      <c r="B1453"/>
    </row>
    <row r="1454" spans="2:2" ht="12" customHeight="1" x14ac:dyDescent="0.2">
      <c r="B1454"/>
    </row>
    <row r="1455" spans="2:2" ht="12" customHeight="1" x14ac:dyDescent="0.2">
      <c r="B1455"/>
    </row>
    <row r="1456" spans="2:2" ht="12" customHeight="1" x14ac:dyDescent="0.2">
      <c r="B1456"/>
    </row>
    <row r="1457" spans="2:2" ht="12" customHeight="1" x14ac:dyDescent="0.2">
      <c r="B1457"/>
    </row>
    <row r="1458" spans="2:2" ht="12" customHeight="1" x14ac:dyDescent="0.2">
      <c r="B1458"/>
    </row>
    <row r="1459" spans="2:2" ht="12" customHeight="1" x14ac:dyDescent="0.2">
      <c r="B1459"/>
    </row>
    <row r="1460" spans="2:2" ht="12" customHeight="1" x14ac:dyDescent="0.2">
      <c r="B1460"/>
    </row>
    <row r="1461" spans="2:2" ht="12" customHeight="1" x14ac:dyDescent="0.2">
      <c r="B1461"/>
    </row>
    <row r="1462" spans="2:2" ht="12" customHeight="1" x14ac:dyDescent="0.2">
      <c r="B1462"/>
    </row>
    <row r="1463" spans="2:2" ht="12" customHeight="1" x14ac:dyDescent="0.2">
      <c r="B1463"/>
    </row>
    <row r="1464" spans="2:2" ht="12" customHeight="1" x14ac:dyDescent="0.2">
      <c r="B1464"/>
    </row>
    <row r="1465" spans="2:2" ht="12" customHeight="1" x14ac:dyDescent="0.2">
      <c r="B1465"/>
    </row>
    <row r="1466" spans="2:2" ht="12" customHeight="1" x14ac:dyDescent="0.2">
      <c r="B1466"/>
    </row>
    <row r="1467" spans="2:2" ht="12" customHeight="1" x14ac:dyDescent="0.2">
      <c r="B1467"/>
    </row>
    <row r="1468" spans="2:2" ht="12" customHeight="1" x14ac:dyDescent="0.2">
      <c r="B1468"/>
    </row>
    <row r="1469" spans="2:2" ht="12" customHeight="1" x14ac:dyDescent="0.2">
      <c r="B1469"/>
    </row>
    <row r="1470" spans="2:2" ht="12" customHeight="1" x14ac:dyDescent="0.2">
      <c r="B1470"/>
    </row>
    <row r="1471" spans="2:2" ht="12" customHeight="1" x14ac:dyDescent="0.2">
      <c r="B1471"/>
    </row>
    <row r="1472" spans="2:2" ht="12" customHeight="1" x14ac:dyDescent="0.2">
      <c r="B1472"/>
    </row>
    <row r="1473" spans="2:2" ht="12" customHeight="1" x14ac:dyDescent="0.2">
      <c r="B1473"/>
    </row>
    <row r="1474" spans="2:2" ht="12" customHeight="1" x14ac:dyDescent="0.2">
      <c r="B1474"/>
    </row>
    <row r="1475" spans="2:2" ht="12" customHeight="1" x14ac:dyDescent="0.2">
      <c r="B1475"/>
    </row>
    <row r="1476" spans="2:2" ht="12" customHeight="1" x14ac:dyDescent="0.2">
      <c r="B1476"/>
    </row>
    <row r="1477" spans="2:2" ht="12" customHeight="1" x14ac:dyDescent="0.2">
      <c r="B1477"/>
    </row>
    <row r="1478" spans="2:2" ht="12" customHeight="1" x14ac:dyDescent="0.2">
      <c r="B1478"/>
    </row>
    <row r="1479" spans="2:2" ht="12" customHeight="1" x14ac:dyDescent="0.2">
      <c r="B1479"/>
    </row>
    <row r="1480" spans="2:2" ht="12" customHeight="1" x14ac:dyDescent="0.2">
      <c r="B1480"/>
    </row>
    <row r="1481" spans="2:2" ht="12" customHeight="1" x14ac:dyDescent="0.2">
      <c r="B1481"/>
    </row>
    <row r="1482" spans="2:2" ht="12" customHeight="1" x14ac:dyDescent="0.2">
      <c r="B1482"/>
    </row>
    <row r="1483" spans="2:2" ht="12" customHeight="1" x14ac:dyDescent="0.2">
      <c r="B1483"/>
    </row>
    <row r="1484" spans="2:2" ht="12" customHeight="1" x14ac:dyDescent="0.2">
      <c r="B1484"/>
    </row>
    <row r="1485" spans="2:2" ht="12" customHeight="1" x14ac:dyDescent="0.2">
      <c r="B1485"/>
    </row>
    <row r="1486" spans="2:2" ht="12" customHeight="1" x14ac:dyDescent="0.2">
      <c r="B1486"/>
    </row>
    <row r="1487" spans="2:2" ht="12" customHeight="1" x14ac:dyDescent="0.2">
      <c r="B1487"/>
    </row>
    <row r="1488" spans="2:2" ht="12" customHeight="1" x14ac:dyDescent="0.2">
      <c r="B1488"/>
    </row>
    <row r="1489" spans="2:2" ht="12" customHeight="1" x14ac:dyDescent="0.2">
      <c r="B1489"/>
    </row>
    <row r="1490" spans="2:2" ht="12" customHeight="1" x14ac:dyDescent="0.2">
      <c r="B1490"/>
    </row>
    <row r="1491" spans="2:2" ht="12" customHeight="1" x14ac:dyDescent="0.2">
      <c r="B1491"/>
    </row>
    <row r="1492" spans="2:2" ht="12" customHeight="1" x14ac:dyDescent="0.2">
      <c r="B1492"/>
    </row>
    <row r="1493" spans="2:2" ht="12" customHeight="1" x14ac:dyDescent="0.2">
      <c r="B1493"/>
    </row>
    <row r="1494" spans="2:2" ht="12" customHeight="1" x14ac:dyDescent="0.2">
      <c r="B1494"/>
    </row>
    <row r="1495" spans="2:2" ht="12" customHeight="1" x14ac:dyDescent="0.2">
      <c r="B1495"/>
    </row>
    <row r="1496" spans="2:2" ht="12" customHeight="1" x14ac:dyDescent="0.2">
      <c r="B1496"/>
    </row>
    <row r="1497" spans="2:2" ht="12" customHeight="1" x14ac:dyDescent="0.2">
      <c r="B1497"/>
    </row>
    <row r="1498" spans="2:2" ht="12" customHeight="1" x14ac:dyDescent="0.2">
      <c r="B1498"/>
    </row>
    <row r="1499" spans="2:2" ht="12" customHeight="1" x14ac:dyDescent="0.2">
      <c r="B1499"/>
    </row>
    <row r="1500" spans="2:2" ht="12" customHeight="1" x14ac:dyDescent="0.2">
      <c r="B1500"/>
    </row>
    <row r="1501" spans="2:2" ht="12" customHeight="1" x14ac:dyDescent="0.2">
      <c r="B1501"/>
    </row>
    <row r="1502" spans="2:2" ht="12" customHeight="1" x14ac:dyDescent="0.2">
      <c r="B1502"/>
    </row>
    <row r="1503" spans="2:2" ht="12" customHeight="1" x14ac:dyDescent="0.2">
      <c r="B1503"/>
    </row>
    <row r="1504" spans="2:2" ht="12" customHeight="1" x14ac:dyDescent="0.2">
      <c r="B1504"/>
    </row>
    <row r="1505" spans="2:2" ht="12" customHeight="1" x14ac:dyDescent="0.2">
      <c r="B1505"/>
    </row>
    <row r="1506" spans="2:2" ht="12" customHeight="1" x14ac:dyDescent="0.2">
      <c r="B1506"/>
    </row>
    <row r="1507" spans="2:2" ht="12" customHeight="1" x14ac:dyDescent="0.2">
      <c r="B1507"/>
    </row>
    <row r="1508" spans="2:2" ht="12" customHeight="1" x14ac:dyDescent="0.2">
      <c r="B1508"/>
    </row>
    <row r="1509" spans="2:2" ht="12" customHeight="1" x14ac:dyDescent="0.2">
      <c r="B1509"/>
    </row>
    <row r="1510" spans="2:2" ht="12" customHeight="1" x14ac:dyDescent="0.2">
      <c r="B1510"/>
    </row>
    <row r="1511" spans="2:2" ht="12" customHeight="1" x14ac:dyDescent="0.2">
      <c r="B1511"/>
    </row>
    <row r="1512" spans="2:2" ht="12" customHeight="1" x14ac:dyDescent="0.2">
      <c r="B1512"/>
    </row>
    <row r="1513" spans="2:2" ht="12" customHeight="1" x14ac:dyDescent="0.2">
      <c r="B1513"/>
    </row>
    <row r="1514" spans="2:2" ht="12" customHeight="1" x14ac:dyDescent="0.2">
      <c r="B1514"/>
    </row>
    <row r="1515" spans="2:2" ht="12" customHeight="1" x14ac:dyDescent="0.2">
      <c r="B1515"/>
    </row>
    <row r="1516" spans="2:2" ht="12" customHeight="1" x14ac:dyDescent="0.2">
      <c r="B1516"/>
    </row>
    <row r="1517" spans="2:2" ht="12" customHeight="1" x14ac:dyDescent="0.2">
      <c r="B1517"/>
    </row>
    <row r="1518" spans="2:2" ht="12" customHeight="1" x14ac:dyDescent="0.2">
      <c r="B1518"/>
    </row>
    <row r="1519" spans="2:2" ht="12" customHeight="1" x14ac:dyDescent="0.2">
      <c r="B1519"/>
    </row>
    <row r="1520" spans="2:2" ht="12" customHeight="1" x14ac:dyDescent="0.2">
      <c r="B1520"/>
    </row>
    <row r="1521" spans="2:2" ht="12" customHeight="1" x14ac:dyDescent="0.2">
      <c r="B1521"/>
    </row>
    <row r="1522" spans="2:2" ht="12" customHeight="1" x14ac:dyDescent="0.2">
      <c r="B1522"/>
    </row>
    <row r="1523" spans="2:2" ht="12" customHeight="1" x14ac:dyDescent="0.2">
      <c r="B1523"/>
    </row>
    <row r="1524" spans="2:2" ht="12" customHeight="1" x14ac:dyDescent="0.2">
      <c r="B1524"/>
    </row>
    <row r="1525" spans="2:2" ht="12" customHeight="1" x14ac:dyDescent="0.2">
      <c r="B1525"/>
    </row>
    <row r="1526" spans="2:2" ht="12" customHeight="1" x14ac:dyDescent="0.2">
      <c r="B1526"/>
    </row>
    <row r="1527" spans="2:2" ht="12" customHeight="1" x14ac:dyDescent="0.2">
      <c r="B1527"/>
    </row>
    <row r="1528" spans="2:2" ht="12" customHeight="1" x14ac:dyDescent="0.2">
      <c r="B1528"/>
    </row>
    <row r="1529" spans="2:2" ht="12" customHeight="1" x14ac:dyDescent="0.2">
      <c r="B1529"/>
    </row>
    <row r="1530" spans="2:2" ht="12" customHeight="1" x14ac:dyDescent="0.2">
      <c r="B1530"/>
    </row>
    <row r="1531" spans="2:2" ht="12" customHeight="1" x14ac:dyDescent="0.2">
      <c r="B1531"/>
    </row>
    <row r="1532" spans="2:2" ht="12" customHeight="1" x14ac:dyDescent="0.2">
      <c r="B1532"/>
    </row>
    <row r="1533" spans="2:2" ht="12" customHeight="1" x14ac:dyDescent="0.2">
      <c r="B1533"/>
    </row>
    <row r="1534" spans="2:2" ht="12" customHeight="1" x14ac:dyDescent="0.2">
      <c r="B1534"/>
    </row>
    <row r="1535" spans="2:2" ht="12" customHeight="1" x14ac:dyDescent="0.2">
      <c r="B1535"/>
    </row>
    <row r="1536" spans="2:2" ht="12" customHeight="1" x14ac:dyDescent="0.2">
      <c r="B1536"/>
    </row>
    <row r="1537" spans="2:2" ht="12" customHeight="1" x14ac:dyDescent="0.2">
      <c r="B1537"/>
    </row>
    <row r="1538" spans="2:2" ht="12" customHeight="1" x14ac:dyDescent="0.2">
      <c r="B1538"/>
    </row>
    <row r="1539" spans="2:2" ht="12" customHeight="1" x14ac:dyDescent="0.2">
      <c r="B1539"/>
    </row>
    <row r="1540" spans="2:2" ht="12" customHeight="1" x14ac:dyDescent="0.2">
      <c r="B1540"/>
    </row>
    <row r="1541" spans="2:2" ht="12" customHeight="1" x14ac:dyDescent="0.2">
      <c r="B1541"/>
    </row>
    <row r="1542" spans="2:2" ht="12" customHeight="1" x14ac:dyDescent="0.2">
      <c r="B1542"/>
    </row>
    <row r="1543" spans="2:2" ht="12" customHeight="1" x14ac:dyDescent="0.2">
      <c r="B1543"/>
    </row>
    <row r="1544" spans="2:2" ht="12" customHeight="1" x14ac:dyDescent="0.2">
      <c r="B1544"/>
    </row>
    <row r="1545" spans="2:2" ht="12" customHeight="1" x14ac:dyDescent="0.2">
      <c r="B1545"/>
    </row>
    <row r="1546" spans="2:2" ht="12" customHeight="1" x14ac:dyDescent="0.2">
      <c r="B1546"/>
    </row>
    <row r="1547" spans="2:2" ht="12" customHeight="1" x14ac:dyDescent="0.2">
      <c r="B1547"/>
    </row>
    <row r="1548" spans="2:2" ht="12" customHeight="1" x14ac:dyDescent="0.2">
      <c r="B1548"/>
    </row>
    <row r="1549" spans="2:2" ht="12" customHeight="1" x14ac:dyDescent="0.2">
      <c r="B1549"/>
    </row>
    <row r="1550" spans="2:2" ht="12" customHeight="1" x14ac:dyDescent="0.2">
      <c r="B1550"/>
    </row>
    <row r="1551" spans="2:2" ht="12" customHeight="1" x14ac:dyDescent="0.2">
      <c r="B1551"/>
    </row>
    <row r="1552" spans="2:2" ht="12" customHeight="1" x14ac:dyDescent="0.2">
      <c r="B1552"/>
    </row>
    <row r="1553" spans="2:2" ht="12" customHeight="1" x14ac:dyDescent="0.2">
      <c r="B1553"/>
    </row>
    <row r="1554" spans="2:2" ht="12" customHeight="1" x14ac:dyDescent="0.2">
      <c r="B1554"/>
    </row>
    <row r="1555" spans="2:2" ht="12" customHeight="1" x14ac:dyDescent="0.2">
      <c r="B1555"/>
    </row>
    <row r="1556" spans="2:2" ht="12" customHeight="1" x14ac:dyDescent="0.2">
      <c r="B1556"/>
    </row>
    <row r="1557" spans="2:2" ht="12" customHeight="1" x14ac:dyDescent="0.2">
      <c r="B1557"/>
    </row>
    <row r="1558" spans="2:2" ht="12" customHeight="1" x14ac:dyDescent="0.2">
      <c r="B1558"/>
    </row>
    <row r="1559" spans="2:2" ht="12" customHeight="1" x14ac:dyDescent="0.2">
      <c r="B1559"/>
    </row>
    <row r="1560" spans="2:2" ht="12" customHeight="1" x14ac:dyDescent="0.2">
      <c r="B1560"/>
    </row>
    <row r="1561" spans="2:2" ht="12" customHeight="1" x14ac:dyDescent="0.2">
      <c r="B1561"/>
    </row>
    <row r="1562" spans="2:2" ht="12" customHeight="1" x14ac:dyDescent="0.2">
      <c r="B1562"/>
    </row>
    <row r="1563" spans="2:2" ht="12" customHeight="1" x14ac:dyDescent="0.2">
      <c r="B1563"/>
    </row>
    <row r="1564" spans="2:2" ht="12" customHeight="1" x14ac:dyDescent="0.2">
      <c r="B1564"/>
    </row>
    <row r="1565" spans="2:2" ht="12" customHeight="1" x14ac:dyDescent="0.2">
      <c r="B1565"/>
    </row>
    <row r="1566" spans="2:2" ht="12" customHeight="1" x14ac:dyDescent="0.2">
      <c r="B1566"/>
    </row>
    <row r="1567" spans="2:2" ht="12" customHeight="1" x14ac:dyDescent="0.2">
      <c r="B1567"/>
    </row>
    <row r="1568" spans="2:2" ht="12" customHeight="1" x14ac:dyDescent="0.2">
      <c r="B1568"/>
    </row>
    <row r="1569" spans="2:2" ht="12" customHeight="1" x14ac:dyDescent="0.2">
      <c r="B1569"/>
    </row>
    <row r="1570" spans="2:2" ht="12" customHeight="1" x14ac:dyDescent="0.2">
      <c r="B1570"/>
    </row>
    <row r="1571" spans="2:2" ht="12" customHeight="1" x14ac:dyDescent="0.2">
      <c r="B1571"/>
    </row>
    <row r="1572" spans="2:2" ht="12" customHeight="1" x14ac:dyDescent="0.2">
      <c r="B1572"/>
    </row>
    <row r="1573" spans="2:2" ht="12" customHeight="1" x14ac:dyDescent="0.2">
      <c r="B1573"/>
    </row>
    <row r="1574" spans="2:2" ht="12" customHeight="1" x14ac:dyDescent="0.2">
      <c r="B1574"/>
    </row>
    <row r="1575" spans="2:2" ht="12" customHeight="1" x14ac:dyDescent="0.2">
      <c r="B1575"/>
    </row>
    <row r="1576" spans="2:2" ht="12" customHeight="1" x14ac:dyDescent="0.2">
      <c r="B1576"/>
    </row>
    <row r="1577" spans="2:2" ht="12" customHeight="1" x14ac:dyDescent="0.2">
      <c r="B1577"/>
    </row>
    <row r="1578" spans="2:2" ht="12" customHeight="1" x14ac:dyDescent="0.2">
      <c r="B1578"/>
    </row>
    <row r="1579" spans="2:2" ht="12" customHeight="1" x14ac:dyDescent="0.2">
      <c r="B1579"/>
    </row>
    <row r="1580" spans="2:2" ht="12" customHeight="1" x14ac:dyDescent="0.2">
      <c r="B1580"/>
    </row>
    <row r="1581" spans="2:2" ht="12" customHeight="1" x14ac:dyDescent="0.2">
      <c r="B1581"/>
    </row>
    <row r="1582" spans="2:2" ht="12" customHeight="1" x14ac:dyDescent="0.2">
      <c r="B1582"/>
    </row>
    <row r="1583" spans="2:2" ht="12" customHeight="1" x14ac:dyDescent="0.2">
      <c r="B1583"/>
    </row>
    <row r="1584" spans="2:2" ht="12" customHeight="1" x14ac:dyDescent="0.2">
      <c r="B1584"/>
    </row>
    <row r="1585" spans="2:2" ht="12" customHeight="1" x14ac:dyDescent="0.2">
      <c r="B1585"/>
    </row>
    <row r="1586" spans="2:2" ht="12" customHeight="1" x14ac:dyDescent="0.2">
      <c r="B1586"/>
    </row>
    <row r="1587" spans="2:2" ht="12" customHeight="1" x14ac:dyDescent="0.2">
      <c r="B1587"/>
    </row>
    <row r="1588" spans="2:2" ht="12" customHeight="1" x14ac:dyDescent="0.2">
      <c r="B1588"/>
    </row>
    <row r="1589" spans="2:2" ht="12" customHeight="1" x14ac:dyDescent="0.2">
      <c r="B1589"/>
    </row>
    <row r="1590" spans="2:2" ht="12" customHeight="1" x14ac:dyDescent="0.2">
      <c r="B1590"/>
    </row>
    <row r="1591" spans="2:2" ht="12" customHeight="1" x14ac:dyDescent="0.2">
      <c r="B1591"/>
    </row>
    <row r="1592" spans="2:2" ht="12" customHeight="1" x14ac:dyDescent="0.2">
      <c r="B1592"/>
    </row>
    <row r="1593" spans="2:2" ht="12" customHeight="1" x14ac:dyDescent="0.2">
      <c r="B1593"/>
    </row>
    <row r="1594" spans="2:2" ht="12" customHeight="1" x14ac:dyDescent="0.2">
      <c r="B1594"/>
    </row>
    <row r="1595" spans="2:2" ht="12" customHeight="1" x14ac:dyDescent="0.2">
      <c r="B1595"/>
    </row>
    <row r="1596" spans="2:2" ht="12" customHeight="1" x14ac:dyDescent="0.2">
      <c r="B1596"/>
    </row>
    <row r="1597" spans="2:2" ht="12" customHeight="1" x14ac:dyDescent="0.2">
      <c r="B1597"/>
    </row>
    <row r="1598" spans="2:2" ht="12" customHeight="1" x14ac:dyDescent="0.2">
      <c r="B1598"/>
    </row>
    <row r="1599" spans="2:2" ht="12" customHeight="1" x14ac:dyDescent="0.2">
      <c r="B1599"/>
    </row>
    <row r="1600" spans="2:2" ht="12" customHeight="1" x14ac:dyDescent="0.2">
      <c r="B1600"/>
    </row>
    <row r="1601" spans="2:2" ht="12" customHeight="1" x14ac:dyDescent="0.2">
      <c r="B1601"/>
    </row>
    <row r="1602" spans="2:2" ht="12" customHeight="1" x14ac:dyDescent="0.2">
      <c r="B1602"/>
    </row>
    <row r="1603" spans="2:2" ht="12" customHeight="1" x14ac:dyDescent="0.2">
      <c r="B1603"/>
    </row>
    <row r="1604" spans="2:2" ht="12" customHeight="1" x14ac:dyDescent="0.2">
      <c r="B1604"/>
    </row>
    <row r="1605" spans="2:2" ht="12" customHeight="1" x14ac:dyDescent="0.2">
      <c r="B1605"/>
    </row>
    <row r="1606" spans="2:2" ht="12" customHeight="1" x14ac:dyDescent="0.2">
      <c r="B1606"/>
    </row>
    <row r="1607" spans="2:2" ht="12" customHeight="1" x14ac:dyDescent="0.2">
      <c r="B1607"/>
    </row>
    <row r="1608" spans="2:2" ht="12" customHeight="1" x14ac:dyDescent="0.2">
      <c r="B1608"/>
    </row>
    <row r="1609" spans="2:2" ht="12" customHeight="1" x14ac:dyDescent="0.2">
      <c r="B1609"/>
    </row>
    <row r="1610" spans="2:2" ht="12" customHeight="1" x14ac:dyDescent="0.2">
      <c r="B1610"/>
    </row>
    <row r="1611" spans="2:2" ht="12" customHeight="1" x14ac:dyDescent="0.2">
      <c r="B1611"/>
    </row>
    <row r="1612" spans="2:2" ht="12" customHeight="1" x14ac:dyDescent="0.2">
      <c r="B1612"/>
    </row>
    <row r="1613" spans="2:2" ht="12" customHeight="1" x14ac:dyDescent="0.2">
      <c r="B1613"/>
    </row>
    <row r="1614" spans="2:2" ht="12" customHeight="1" x14ac:dyDescent="0.2">
      <c r="B1614"/>
    </row>
    <row r="1615" spans="2:2" ht="12" customHeight="1" x14ac:dyDescent="0.2">
      <c r="B1615"/>
    </row>
    <row r="1616" spans="2:2" ht="12" customHeight="1" x14ac:dyDescent="0.2">
      <c r="B1616"/>
    </row>
    <row r="1617" spans="2:2" ht="12" customHeight="1" x14ac:dyDescent="0.2">
      <c r="B1617"/>
    </row>
    <row r="1618" spans="2:2" ht="12" customHeight="1" x14ac:dyDescent="0.2">
      <c r="B1618"/>
    </row>
    <row r="1619" spans="2:2" ht="12" customHeight="1" x14ac:dyDescent="0.2">
      <c r="B1619"/>
    </row>
    <row r="1620" spans="2:2" ht="12" customHeight="1" x14ac:dyDescent="0.2">
      <c r="B1620"/>
    </row>
    <row r="1621" spans="2:2" ht="12" customHeight="1" x14ac:dyDescent="0.2">
      <c r="B1621"/>
    </row>
    <row r="1622" spans="2:2" ht="12" customHeight="1" x14ac:dyDescent="0.2">
      <c r="B1622"/>
    </row>
    <row r="1623" spans="2:2" ht="12" customHeight="1" x14ac:dyDescent="0.2">
      <c r="B1623"/>
    </row>
    <row r="1624" spans="2:2" ht="12" customHeight="1" x14ac:dyDescent="0.2">
      <c r="B1624"/>
    </row>
    <row r="1625" spans="2:2" ht="12" customHeight="1" x14ac:dyDescent="0.2">
      <c r="B1625"/>
    </row>
    <row r="1626" spans="2:2" ht="12" customHeight="1" x14ac:dyDescent="0.2">
      <c r="B1626"/>
    </row>
    <row r="1627" spans="2:2" ht="12" customHeight="1" x14ac:dyDescent="0.2">
      <c r="B1627"/>
    </row>
    <row r="1628" spans="2:2" ht="12" customHeight="1" x14ac:dyDescent="0.2">
      <c r="B1628"/>
    </row>
    <row r="1629" spans="2:2" ht="12" customHeight="1" x14ac:dyDescent="0.2">
      <c r="B1629"/>
    </row>
    <row r="1630" spans="2:2" ht="12" customHeight="1" x14ac:dyDescent="0.2">
      <c r="B1630"/>
    </row>
    <row r="1631" spans="2:2" ht="12" customHeight="1" x14ac:dyDescent="0.2">
      <c r="B1631"/>
    </row>
    <row r="1632" spans="2:2" ht="12" customHeight="1" x14ac:dyDescent="0.2">
      <c r="B1632"/>
    </row>
    <row r="1633" spans="2:2" ht="12" customHeight="1" x14ac:dyDescent="0.2">
      <c r="B1633"/>
    </row>
    <row r="1634" spans="2:2" ht="12" customHeight="1" x14ac:dyDescent="0.2">
      <c r="B1634"/>
    </row>
    <row r="1635" spans="2:2" ht="12" customHeight="1" x14ac:dyDescent="0.2">
      <c r="B1635"/>
    </row>
    <row r="1636" spans="2:2" ht="12" customHeight="1" x14ac:dyDescent="0.2">
      <c r="B1636"/>
    </row>
    <row r="1637" spans="2:2" ht="12" customHeight="1" x14ac:dyDescent="0.2">
      <c r="B1637"/>
    </row>
    <row r="1638" spans="2:2" ht="12" customHeight="1" x14ac:dyDescent="0.2">
      <c r="B1638"/>
    </row>
    <row r="1639" spans="2:2" ht="12" customHeight="1" x14ac:dyDescent="0.2">
      <c r="B1639"/>
    </row>
    <row r="1640" spans="2:2" ht="12" customHeight="1" x14ac:dyDescent="0.2">
      <c r="B1640"/>
    </row>
    <row r="1641" spans="2:2" ht="12" customHeight="1" x14ac:dyDescent="0.2">
      <c r="B1641"/>
    </row>
    <row r="1642" spans="2:2" ht="12" customHeight="1" x14ac:dyDescent="0.2">
      <c r="B1642"/>
    </row>
    <row r="1643" spans="2:2" ht="12" customHeight="1" x14ac:dyDescent="0.2">
      <c r="B1643"/>
    </row>
    <row r="1644" spans="2:2" ht="12" customHeight="1" x14ac:dyDescent="0.2">
      <c r="B1644"/>
    </row>
    <row r="1645" spans="2:2" ht="12" customHeight="1" x14ac:dyDescent="0.2">
      <c r="B1645"/>
    </row>
    <row r="1646" spans="2:2" ht="12" customHeight="1" x14ac:dyDescent="0.2">
      <c r="B1646"/>
    </row>
    <row r="1647" spans="2:2" ht="12" customHeight="1" x14ac:dyDescent="0.2">
      <c r="B1647"/>
    </row>
    <row r="1648" spans="2:2" ht="12" customHeight="1" x14ac:dyDescent="0.2">
      <c r="B1648"/>
    </row>
    <row r="1649" spans="2:2" ht="12" customHeight="1" x14ac:dyDescent="0.2">
      <c r="B1649"/>
    </row>
    <row r="1650" spans="2:2" ht="12" customHeight="1" x14ac:dyDescent="0.2">
      <c r="B1650"/>
    </row>
    <row r="1651" spans="2:2" ht="12" customHeight="1" x14ac:dyDescent="0.2">
      <c r="B1651"/>
    </row>
    <row r="1652" spans="2:2" ht="12" customHeight="1" x14ac:dyDescent="0.2">
      <c r="B1652"/>
    </row>
    <row r="1653" spans="2:2" ht="12" customHeight="1" x14ac:dyDescent="0.2">
      <c r="B1653"/>
    </row>
    <row r="1654" spans="2:2" ht="12" customHeight="1" x14ac:dyDescent="0.2">
      <c r="B1654"/>
    </row>
    <row r="1655" spans="2:2" ht="12" customHeight="1" x14ac:dyDescent="0.2">
      <c r="B1655"/>
    </row>
    <row r="1656" spans="2:2" ht="12" customHeight="1" x14ac:dyDescent="0.2">
      <c r="B1656"/>
    </row>
    <row r="1657" spans="2:2" ht="12" customHeight="1" x14ac:dyDescent="0.2">
      <c r="B1657"/>
    </row>
    <row r="1658" spans="2:2" ht="12" customHeight="1" x14ac:dyDescent="0.2">
      <c r="B1658"/>
    </row>
    <row r="1659" spans="2:2" ht="12" customHeight="1" x14ac:dyDescent="0.2">
      <c r="B1659"/>
    </row>
    <row r="1660" spans="2:2" ht="12" customHeight="1" x14ac:dyDescent="0.2">
      <c r="B1660"/>
    </row>
    <row r="1661" spans="2:2" ht="12" customHeight="1" x14ac:dyDescent="0.2">
      <c r="B1661"/>
    </row>
    <row r="1662" spans="2:2" ht="12" customHeight="1" x14ac:dyDescent="0.2">
      <c r="B1662"/>
    </row>
    <row r="1663" spans="2:2" ht="12" customHeight="1" x14ac:dyDescent="0.2">
      <c r="B1663"/>
    </row>
    <row r="1664" spans="2:2" ht="12" customHeight="1" x14ac:dyDescent="0.2">
      <c r="B1664"/>
    </row>
    <row r="1665" spans="2:2" ht="12" customHeight="1" x14ac:dyDescent="0.2">
      <c r="B1665"/>
    </row>
    <row r="1666" spans="2:2" ht="12" customHeight="1" x14ac:dyDescent="0.2">
      <c r="B1666"/>
    </row>
    <row r="1667" spans="2:2" ht="12" customHeight="1" x14ac:dyDescent="0.2">
      <c r="B1667"/>
    </row>
    <row r="1668" spans="2:2" ht="12" customHeight="1" x14ac:dyDescent="0.2">
      <c r="B1668"/>
    </row>
    <row r="1669" spans="2:2" ht="12" customHeight="1" x14ac:dyDescent="0.2">
      <c r="B1669"/>
    </row>
    <row r="1670" spans="2:2" ht="12" customHeight="1" x14ac:dyDescent="0.2">
      <c r="B1670"/>
    </row>
    <row r="1671" spans="2:2" ht="12" customHeight="1" x14ac:dyDescent="0.2">
      <c r="B1671"/>
    </row>
    <row r="1672" spans="2:2" ht="12" customHeight="1" x14ac:dyDescent="0.2">
      <c r="B1672"/>
    </row>
    <row r="1673" spans="2:2" ht="12" customHeight="1" x14ac:dyDescent="0.2">
      <c r="B1673"/>
    </row>
    <row r="1674" spans="2:2" ht="12" customHeight="1" x14ac:dyDescent="0.2">
      <c r="B1674"/>
    </row>
    <row r="1675" spans="2:2" ht="12" customHeight="1" x14ac:dyDescent="0.2">
      <c r="B1675"/>
    </row>
    <row r="1676" spans="2:2" ht="12" customHeight="1" x14ac:dyDescent="0.2">
      <c r="B1676"/>
    </row>
    <row r="1677" spans="2:2" ht="12" customHeight="1" x14ac:dyDescent="0.2">
      <c r="B1677"/>
    </row>
    <row r="1678" spans="2:2" ht="12" customHeight="1" x14ac:dyDescent="0.2">
      <c r="B1678"/>
    </row>
    <row r="1679" spans="2:2" ht="12" customHeight="1" x14ac:dyDescent="0.2">
      <c r="B1679"/>
    </row>
    <row r="1680" spans="2:2" ht="12" customHeight="1" x14ac:dyDescent="0.2">
      <c r="B1680"/>
    </row>
    <row r="1681" spans="2:2" ht="12" customHeight="1" x14ac:dyDescent="0.2">
      <c r="B1681"/>
    </row>
    <row r="1682" spans="2:2" ht="12" customHeight="1" x14ac:dyDescent="0.2">
      <c r="B1682"/>
    </row>
    <row r="1683" spans="2:2" ht="12" customHeight="1" x14ac:dyDescent="0.2">
      <c r="B1683"/>
    </row>
    <row r="1684" spans="2:2" ht="12" customHeight="1" x14ac:dyDescent="0.2">
      <c r="B1684"/>
    </row>
    <row r="1685" spans="2:2" ht="12" customHeight="1" x14ac:dyDescent="0.2">
      <c r="B1685"/>
    </row>
    <row r="1686" spans="2:2" ht="12" customHeight="1" x14ac:dyDescent="0.2">
      <c r="B1686"/>
    </row>
    <row r="1687" spans="2:2" ht="12" customHeight="1" x14ac:dyDescent="0.2">
      <c r="B1687"/>
    </row>
    <row r="1688" spans="2:2" ht="12" customHeight="1" x14ac:dyDescent="0.2">
      <c r="B1688"/>
    </row>
    <row r="1689" spans="2:2" ht="12" customHeight="1" x14ac:dyDescent="0.2">
      <c r="B1689"/>
    </row>
    <row r="1690" spans="2:2" ht="12" customHeight="1" x14ac:dyDescent="0.2">
      <c r="B1690"/>
    </row>
    <row r="1691" spans="2:2" ht="12" customHeight="1" x14ac:dyDescent="0.2">
      <c r="B1691"/>
    </row>
    <row r="1692" spans="2:2" ht="12" customHeight="1" x14ac:dyDescent="0.2">
      <c r="B1692"/>
    </row>
    <row r="1693" spans="2:2" ht="12" customHeight="1" x14ac:dyDescent="0.2">
      <c r="B1693"/>
    </row>
    <row r="1694" spans="2:2" ht="12" customHeight="1" x14ac:dyDescent="0.2">
      <c r="B1694"/>
    </row>
    <row r="1695" spans="2:2" ht="12" customHeight="1" x14ac:dyDescent="0.2">
      <c r="B1695"/>
    </row>
    <row r="1696" spans="2:2" ht="12" customHeight="1" x14ac:dyDescent="0.2">
      <c r="B1696"/>
    </row>
    <row r="1697" spans="2:2" ht="12" customHeight="1" x14ac:dyDescent="0.2">
      <c r="B1697"/>
    </row>
    <row r="1698" spans="2:2" ht="12" customHeight="1" x14ac:dyDescent="0.2">
      <c r="B1698"/>
    </row>
    <row r="1699" spans="2:2" ht="12" customHeight="1" x14ac:dyDescent="0.2">
      <c r="B1699"/>
    </row>
    <row r="1700" spans="2:2" ht="12" customHeight="1" x14ac:dyDescent="0.2">
      <c r="B1700"/>
    </row>
    <row r="1701" spans="2:2" ht="12" customHeight="1" x14ac:dyDescent="0.2">
      <c r="B1701"/>
    </row>
    <row r="1702" spans="2:2" ht="12" customHeight="1" x14ac:dyDescent="0.2">
      <c r="B1702"/>
    </row>
    <row r="1703" spans="2:2" ht="12" customHeight="1" x14ac:dyDescent="0.2">
      <c r="B1703"/>
    </row>
    <row r="1704" spans="2:2" ht="12" customHeight="1" x14ac:dyDescent="0.2">
      <c r="B1704"/>
    </row>
    <row r="1705" spans="2:2" ht="12" customHeight="1" x14ac:dyDescent="0.2">
      <c r="B1705"/>
    </row>
    <row r="1706" spans="2:2" ht="12" customHeight="1" x14ac:dyDescent="0.2">
      <c r="B1706"/>
    </row>
    <row r="1707" spans="2:2" ht="12" customHeight="1" x14ac:dyDescent="0.2">
      <c r="B1707"/>
    </row>
    <row r="1708" spans="2:2" ht="12" customHeight="1" x14ac:dyDescent="0.2">
      <c r="B1708"/>
    </row>
    <row r="1709" spans="2:2" ht="12" customHeight="1" x14ac:dyDescent="0.2">
      <c r="B1709"/>
    </row>
    <row r="1710" spans="2:2" ht="12" customHeight="1" x14ac:dyDescent="0.2">
      <c r="B1710"/>
    </row>
    <row r="1711" spans="2:2" ht="12" customHeight="1" x14ac:dyDescent="0.2">
      <c r="B1711"/>
    </row>
    <row r="1712" spans="2:2" ht="12" customHeight="1" x14ac:dyDescent="0.2">
      <c r="B1712"/>
    </row>
    <row r="1713" spans="2:2" ht="12" customHeight="1" x14ac:dyDescent="0.2">
      <c r="B1713"/>
    </row>
    <row r="1714" spans="2:2" ht="12" customHeight="1" x14ac:dyDescent="0.2">
      <c r="B1714"/>
    </row>
    <row r="1715" spans="2:2" ht="12" customHeight="1" x14ac:dyDescent="0.2">
      <c r="B1715"/>
    </row>
    <row r="1716" spans="2:2" ht="12" customHeight="1" x14ac:dyDescent="0.2">
      <c r="B1716"/>
    </row>
    <row r="1717" spans="2:2" ht="12" customHeight="1" x14ac:dyDescent="0.2">
      <c r="B1717"/>
    </row>
    <row r="1718" spans="2:2" ht="12" customHeight="1" x14ac:dyDescent="0.2">
      <c r="B1718"/>
    </row>
    <row r="1719" spans="2:2" ht="12" customHeight="1" x14ac:dyDescent="0.2">
      <c r="B1719"/>
    </row>
    <row r="1720" spans="2:2" ht="12" customHeight="1" x14ac:dyDescent="0.2">
      <c r="B1720"/>
    </row>
    <row r="1721" spans="2:2" ht="12" customHeight="1" x14ac:dyDescent="0.2">
      <c r="B1721"/>
    </row>
    <row r="1722" spans="2:2" ht="12" customHeight="1" x14ac:dyDescent="0.2">
      <c r="B1722"/>
    </row>
    <row r="1723" spans="2:2" ht="12" customHeight="1" x14ac:dyDescent="0.2">
      <c r="B1723"/>
    </row>
    <row r="1724" spans="2:2" ht="12" customHeight="1" x14ac:dyDescent="0.2">
      <c r="B1724"/>
    </row>
    <row r="1725" spans="2:2" ht="12" customHeight="1" x14ac:dyDescent="0.2">
      <c r="B1725"/>
    </row>
    <row r="1726" spans="2:2" ht="12" customHeight="1" x14ac:dyDescent="0.2">
      <c r="B1726"/>
    </row>
    <row r="1727" spans="2:2" ht="12" customHeight="1" x14ac:dyDescent="0.2">
      <c r="B1727"/>
    </row>
    <row r="1728" spans="2:2" ht="12" customHeight="1" x14ac:dyDescent="0.2">
      <c r="B1728"/>
    </row>
    <row r="1729" spans="2:2" ht="12" customHeight="1" x14ac:dyDescent="0.2">
      <c r="B1729"/>
    </row>
    <row r="1730" spans="2:2" ht="12" customHeight="1" x14ac:dyDescent="0.2">
      <c r="B1730"/>
    </row>
    <row r="1731" spans="2:2" ht="12" customHeight="1" x14ac:dyDescent="0.2">
      <c r="B1731"/>
    </row>
    <row r="1732" spans="2:2" ht="12" customHeight="1" x14ac:dyDescent="0.2">
      <c r="B1732"/>
    </row>
    <row r="1733" spans="2:2" ht="12" customHeight="1" x14ac:dyDescent="0.2">
      <c r="B1733"/>
    </row>
    <row r="1734" spans="2:2" ht="12" customHeight="1" x14ac:dyDescent="0.2">
      <c r="B1734"/>
    </row>
    <row r="1735" spans="2:2" ht="12" customHeight="1" x14ac:dyDescent="0.2">
      <c r="B1735"/>
    </row>
    <row r="1736" spans="2:2" ht="12" customHeight="1" x14ac:dyDescent="0.2">
      <c r="B1736"/>
    </row>
    <row r="1737" spans="2:2" ht="12" customHeight="1" x14ac:dyDescent="0.2">
      <c r="B1737"/>
    </row>
    <row r="1738" spans="2:2" ht="12" customHeight="1" x14ac:dyDescent="0.2">
      <c r="B1738"/>
    </row>
    <row r="1739" spans="2:2" ht="12" customHeight="1" x14ac:dyDescent="0.2">
      <c r="B1739"/>
    </row>
    <row r="1740" spans="2:2" ht="12" customHeight="1" x14ac:dyDescent="0.2">
      <c r="B1740"/>
    </row>
    <row r="1741" spans="2:2" ht="12" customHeight="1" x14ac:dyDescent="0.2">
      <c r="B1741"/>
    </row>
    <row r="1742" spans="2:2" ht="12" customHeight="1" x14ac:dyDescent="0.2">
      <c r="B1742"/>
    </row>
    <row r="1743" spans="2:2" ht="12" customHeight="1" x14ac:dyDescent="0.2">
      <c r="B1743"/>
    </row>
    <row r="1744" spans="2:2" ht="12" customHeight="1" x14ac:dyDescent="0.2">
      <c r="B1744"/>
    </row>
    <row r="1745" spans="2:2" ht="12" customHeight="1" x14ac:dyDescent="0.2">
      <c r="B1745"/>
    </row>
    <row r="1746" spans="2:2" ht="12" customHeight="1" x14ac:dyDescent="0.2">
      <c r="B1746"/>
    </row>
    <row r="1747" spans="2:2" ht="12" customHeight="1" x14ac:dyDescent="0.2">
      <c r="B1747"/>
    </row>
    <row r="1748" spans="2:2" ht="12" customHeight="1" x14ac:dyDescent="0.2">
      <c r="B1748"/>
    </row>
    <row r="1749" spans="2:2" ht="12" customHeight="1" x14ac:dyDescent="0.2">
      <c r="B1749"/>
    </row>
    <row r="1750" spans="2:2" ht="12" customHeight="1" x14ac:dyDescent="0.2">
      <c r="B1750"/>
    </row>
    <row r="1751" spans="2:2" ht="12" customHeight="1" x14ac:dyDescent="0.2">
      <c r="B1751"/>
    </row>
    <row r="1752" spans="2:2" ht="12" customHeight="1" x14ac:dyDescent="0.2">
      <c r="B1752"/>
    </row>
    <row r="1753" spans="2:2" ht="12" customHeight="1" x14ac:dyDescent="0.2">
      <c r="B1753"/>
    </row>
    <row r="1754" spans="2:2" ht="12" customHeight="1" x14ac:dyDescent="0.2">
      <c r="B1754"/>
    </row>
    <row r="1755" spans="2:2" ht="12" customHeight="1" x14ac:dyDescent="0.2">
      <c r="B1755"/>
    </row>
    <row r="1756" spans="2:2" ht="12" customHeight="1" x14ac:dyDescent="0.2">
      <c r="B1756"/>
    </row>
    <row r="1757" spans="2:2" ht="12" customHeight="1" x14ac:dyDescent="0.2">
      <c r="B1757"/>
    </row>
    <row r="1758" spans="2:2" ht="12" customHeight="1" x14ac:dyDescent="0.2">
      <c r="B1758"/>
    </row>
    <row r="1759" spans="2:2" ht="12" customHeight="1" x14ac:dyDescent="0.2">
      <c r="B1759"/>
    </row>
    <row r="1760" spans="2:2" ht="12" customHeight="1" x14ac:dyDescent="0.2">
      <c r="B1760"/>
    </row>
    <row r="1761" spans="2:2" ht="12" customHeight="1" x14ac:dyDescent="0.2">
      <c r="B1761"/>
    </row>
    <row r="1762" spans="2:2" ht="12" customHeight="1" x14ac:dyDescent="0.2">
      <c r="B1762"/>
    </row>
    <row r="1763" spans="2:2" ht="12" customHeight="1" x14ac:dyDescent="0.2">
      <c r="B1763"/>
    </row>
    <row r="1764" spans="2:2" ht="12" customHeight="1" x14ac:dyDescent="0.2">
      <c r="B1764"/>
    </row>
    <row r="1765" spans="2:2" ht="12" customHeight="1" x14ac:dyDescent="0.2">
      <c r="B1765"/>
    </row>
    <row r="1766" spans="2:2" ht="12" customHeight="1" x14ac:dyDescent="0.2">
      <c r="B1766"/>
    </row>
    <row r="1767" spans="2:2" ht="12" customHeight="1" x14ac:dyDescent="0.2">
      <c r="B1767"/>
    </row>
    <row r="1768" spans="2:2" ht="12" customHeight="1" x14ac:dyDescent="0.2">
      <c r="B1768"/>
    </row>
    <row r="1769" spans="2:2" ht="12" customHeight="1" x14ac:dyDescent="0.2">
      <c r="B1769"/>
    </row>
    <row r="1770" spans="2:2" ht="12" customHeight="1" x14ac:dyDescent="0.2">
      <c r="B1770"/>
    </row>
    <row r="1771" spans="2:2" ht="12" customHeight="1" x14ac:dyDescent="0.2">
      <c r="B1771"/>
    </row>
    <row r="1772" spans="2:2" ht="12" customHeight="1" x14ac:dyDescent="0.2">
      <c r="B1772"/>
    </row>
    <row r="1773" spans="2:2" ht="12" customHeight="1" x14ac:dyDescent="0.2">
      <c r="B1773"/>
    </row>
    <row r="1774" spans="2:2" ht="12" customHeight="1" x14ac:dyDescent="0.2">
      <c r="B1774"/>
    </row>
    <row r="1775" spans="2:2" ht="12" customHeight="1" x14ac:dyDescent="0.2">
      <c r="B1775"/>
    </row>
    <row r="1776" spans="2:2" ht="12" customHeight="1" x14ac:dyDescent="0.2">
      <c r="B1776"/>
    </row>
    <row r="1777" spans="2:2" ht="12" customHeight="1" x14ac:dyDescent="0.2">
      <c r="B1777"/>
    </row>
    <row r="1778" spans="2:2" ht="12" customHeight="1" x14ac:dyDescent="0.2">
      <c r="B1778"/>
    </row>
    <row r="1779" spans="2:2" ht="12" customHeight="1" x14ac:dyDescent="0.2">
      <c r="B1779"/>
    </row>
    <row r="1780" spans="2:2" ht="12" customHeight="1" x14ac:dyDescent="0.2">
      <c r="B1780"/>
    </row>
    <row r="1781" spans="2:2" ht="12" customHeight="1" x14ac:dyDescent="0.2">
      <c r="B1781"/>
    </row>
    <row r="1782" spans="2:2" ht="12" customHeight="1" x14ac:dyDescent="0.2">
      <c r="B1782"/>
    </row>
    <row r="1783" spans="2:2" ht="12" customHeight="1" x14ac:dyDescent="0.2">
      <c r="B1783"/>
    </row>
    <row r="1784" spans="2:2" ht="12" customHeight="1" x14ac:dyDescent="0.2">
      <c r="B1784"/>
    </row>
    <row r="1785" spans="2:2" ht="12" customHeight="1" x14ac:dyDescent="0.2">
      <c r="B1785"/>
    </row>
    <row r="1786" spans="2:2" ht="12" customHeight="1" x14ac:dyDescent="0.2">
      <c r="B1786"/>
    </row>
    <row r="1787" spans="2:2" ht="12" customHeight="1" x14ac:dyDescent="0.2">
      <c r="B1787"/>
    </row>
    <row r="1788" spans="2:2" ht="12" customHeight="1" x14ac:dyDescent="0.2">
      <c r="B1788"/>
    </row>
    <row r="1789" spans="2:2" ht="12" customHeight="1" x14ac:dyDescent="0.2">
      <c r="B1789"/>
    </row>
    <row r="1790" spans="2:2" ht="12" customHeight="1" x14ac:dyDescent="0.2">
      <c r="B1790"/>
    </row>
    <row r="1791" spans="2:2" ht="12" customHeight="1" x14ac:dyDescent="0.2">
      <c r="B1791"/>
    </row>
    <row r="1792" spans="2:2" ht="12" customHeight="1" x14ac:dyDescent="0.2">
      <c r="B1792"/>
    </row>
    <row r="1793" spans="2:2" ht="12" customHeight="1" x14ac:dyDescent="0.2">
      <c r="B1793"/>
    </row>
    <row r="1794" spans="2:2" ht="12" customHeight="1" x14ac:dyDescent="0.2">
      <c r="B1794"/>
    </row>
    <row r="1795" spans="2:2" ht="12" customHeight="1" x14ac:dyDescent="0.2">
      <c r="B1795"/>
    </row>
    <row r="1796" spans="2:2" ht="12" customHeight="1" x14ac:dyDescent="0.2">
      <c r="B1796"/>
    </row>
    <row r="1797" spans="2:2" ht="12" customHeight="1" x14ac:dyDescent="0.2">
      <c r="B1797"/>
    </row>
    <row r="1798" spans="2:2" ht="12" customHeight="1" x14ac:dyDescent="0.2">
      <c r="B1798"/>
    </row>
    <row r="1799" spans="2:2" ht="12" customHeight="1" x14ac:dyDescent="0.2">
      <c r="B1799"/>
    </row>
    <row r="1800" spans="2:2" ht="12" customHeight="1" x14ac:dyDescent="0.2">
      <c r="B1800"/>
    </row>
    <row r="1801" spans="2:2" ht="12" customHeight="1" x14ac:dyDescent="0.2">
      <c r="B1801"/>
    </row>
    <row r="1802" spans="2:2" ht="12" customHeight="1" x14ac:dyDescent="0.2">
      <c r="B1802"/>
    </row>
    <row r="1803" spans="2:2" ht="12" customHeight="1" x14ac:dyDescent="0.2">
      <c r="B1803"/>
    </row>
    <row r="1804" spans="2:2" ht="12" customHeight="1" x14ac:dyDescent="0.2">
      <c r="B1804"/>
    </row>
    <row r="1805" spans="2:2" ht="12" customHeight="1" x14ac:dyDescent="0.2">
      <c r="B1805"/>
    </row>
    <row r="1806" spans="2:2" ht="12" customHeight="1" x14ac:dyDescent="0.2">
      <c r="B1806"/>
    </row>
    <row r="1807" spans="2:2" ht="12" customHeight="1" x14ac:dyDescent="0.2">
      <c r="B1807"/>
    </row>
    <row r="1808" spans="2:2" ht="12" customHeight="1" x14ac:dyDescent="0.2">
      <c r="B1808"/>
    </row>
    <row r="1809" spans="2:2" ht="12" customHeight="1" x14ac:dyDescent="0.2">
      <c r="B1809"/>
    </row>
    <row r="1810" spans="2:2" ht="12" customHeight="1" x14ac:dyDescent="0.2">
      <c r="B1810"/>
    </row>
    <row r="1811" spans="2:2" ht="12" customHeight="1" x14ac:dyDescent="0.2">
      <c r="B1811"/>
    </row>
    <row r="1812" spans="2:2" ht="12" customHeight="1" x14ac:dyDescent="0.2">
      <c r="B1812"/>
    </row>
    <row r="1813" spans="2:2" ht="12" customHeight="1" x14ac:dyDescent="0.2">
      <c r="B1813"/>
    </row>
    <row r="1814" spans="2:2" ht="12" customHeight="1" x14ac:dyDescent="0.2">
      <c r="B1814"/>
    </row>
    <row r="1815" spans="2:2" ht="12" customHeight="1" x14ac:dyDescent="0.2">
      <c r="B1815"/>
    </row>
    <row r="1816" spans="2:2" ht="12" customHeight="1" x14ac:dyDescent="0.2">
      <c r="B1816"/>
    </row>
    <row r="1817" spans="2:2" ht="12" customHeight="1" x14ac:dyDescent="0.2">
      <c r="B1817"/>
    </row>
    <row r="1818" spans="2:2" ht="12" customHeight="1" x14ac:dyDescent="0.2">
      <c r="B1818"/>
    </row>
    <row r="1819" spans="2:2" ht="12" customHeight="1" x14ac:dyDescent="0.2">
      <c r="B1819"/>
    </row>
    <row r="1820" spans="2:2" ht="12" customHeight="1" x14ac:dyDescent="0.2">
      <c r="B1820"/>
    </row>
    <row r="1821" spans="2:2" ht="12" customHeight="1" x14ac:dyDescent="0.2">
      <c r="B1821"/>
    </row>
    <row r="1822" spans="2:2" ht="12" customHeight="1" x14ac:dyDescent="0.2">
      <c r="B1822"/>
    </row>
    <row r="1823" spans="2:2" ht="12" customHeight="1" x14ac:dyDescent="0.2">
      <c r="B1823"/>
    </row>
    <row r="1824" spans="2:2" ht="12" customHeight="1" x14ac:dyDescent="0.2">
      <c r="B1824"/>
    </row>
    <row r="1825" spans="2:2" ht="12" customHeight="1" x14ac:dyDescent="0.2">
      <c r="B1825"/>
    </row>
    <row r="1826" spans="2:2" ht="12" customHeight="1" x14ac:dyDescent="0.2">
      <c r="B1826"/>
    </row>
    <row r="1827" spans="2:2" ht="12" customHeight="1" x14ac:dyDescent="0.2">
      <c r="B1827"/>
    </row>
    <row r="1828" spans="2:2" ht="12" customHeight="1" x14ac:dyDescent="0.2">
      <c r="B1828"/>
    </row>
    <row r="1829" spans="2:2" ht="12" customHeight="1" x14ac:dyDescent="0.2">
      <c r="B1829"/>
    </row>
    <row r="1830" spans="2:2" ht="12" customHeight="1" x14ac:dyDescent="0.2">
      <c r="B1830"/>
    </row>
    <row r="1831" spans="2:2" ht="12" customHeight="1" x14ac:dyDescent="0.2">
      <c r="B1831"/>
    </row>
    <row r="1832" spans="2:2" ht="12" customHeight="1" x14ac:dyDescent="0.2">
      <c r="B1832"/>
    </row>
    <row r="1833" spans="2:2" ht="12" customHeight="1" x14ac:dyDescent="0.2">
      <c r="B1833"/>
    </row>
    <row r="1834" spans="2:2" ht="12" customHeight="1" x14ac:dyDescent="0.2">
      <c r="B1834"/>
    </row>
    <row r="1835" spans="2:2" ht="12" customHeight="1" x14ac:dyDescent="0.2">
      <c r="B1835"/>
    </row>
    <row r="1836" spans="2:2" ht="12" customHeight="1" x14ac:dyDescent="0.2">
      <c r="B1836"/>
    </row>
    <row r="1837" spans="2:2" ht="12" customHeight="1" x14ac:dyDescent="0.2">
      <c r="B1837"/>
    </row>
    <row r="1838" spans="2:2" ht="12" customHeight="1" x14ac:dyDescent="0.2">
      <c r="B1838"/>
    </row>
    <row r="1839" spans="2:2" ht="12" customHeight="1" x14ac:dyDescent="0.2">
      <c r="B1839"/>
    </row>
    <row r="1840" spans="2:2" ht="12" customHeight="1" x14ac:dyDescent="0.2">
      <c r="B1840"/>
    </row>
    <row r="1841" spans="2:2" ht="12" customHeight="1" x14ac:dyDescent="0.2">
      <c r="B1841"/>
    </row>
    <row r="1842" spans="2:2" ht="12" customHeight="1" x14ac:dyDescent="0.2">
      <c r="B1842"/>
    </row>
    <row r="1843" spans="2:2" ht="12" customHeight="1" x14ac:dyDescent="0.2">
      <c r="B1843"/>
    </row>
    <row r="1844" spans="2:2" ht="12" customHeight="1" x14ac:dyDescent="0.2">
      <c r="B1844"/>
    </row>
    <row r="1845" spans="2:2" ht="12" customHeight="1" x14ac:dyDescent="0.2">
      <c r="B1845"/>
    </row>
    <row r="1846" spans="2:2" ht="12" customHeight="1" x14ac:dyDescent="0.2">
      <c r="B1846"/>
    </row>
    <row r="1847" spans="2:2" ht="12" customHeight="1" x14ac:dyDescent="0.2">
      <c r="B1847"/>
    </row>
    <row r="1848" spans="2:2" ht="12" customHeight="1" x14ac:dyDescent="0.2">
      <c r="B1848"/>
    </row>
    <row r="1849" spans="2:2" ht="12" customHeight="1" x14ac:dyDescent="0.2">
      <c r="B1849"/>
    </row>
    <row r="1850" spans="2:2" ht="12" customHeight="1" x14ac:dyDescent="0.2">
      <c r="B1850"/>
    </row>
    <row r="1851" spans="2:2" ht="12" customHeight="1" x14ac:dyDescent="0.2">
      <c r="B1851"/>
    </row>
    <row r="1852" spans="2:2" ht="12" customHeight="1" x14ac:dyDescent="0.2">
      <c r="B1852"/>
    </row>
    <row r="1853" spans="2:2" ht="12" customHeight="1" x14ac:dyDescent="0.2">
      <c r="B1853"/>
    </row>
    <row r="1854" spans="2:2" ht="12" customHeight="1" x14ac:dyDescent="0.2">
      <c r="B1854"/>
    </row>
    <row r="1855" spans="2:2" ht="12" customHeight="1" x14ac:dyDescent="0.2">
      <c r="B1855"/>
    </row>
    <row r="1856" spans="2:2" ht="12" customHeight="1" x14ac:dyDescent="0.2">
      <c r="B1856"/>
    </row>
    <row r="1857" spans="2:2" ht="12" customHeight="1" x14ac:dyDescent="0.2">
      <c r="B1857"/>
    </row>
    <row r="1858" spans="2:2" ht="12" customHeight="1" x14ac:dyDescent="0.2">
      <c r="B1858"/>
    </row>
    <row r="1859" spans="2:2" ht="12" customHeight="1" x14ac:dyDescent="0.2">
      <c r="B1859"/>
    </row>
    <row r="1860" spans="2:2" ht="12" customHeight="1" x14ac:dyDescent="0.2">
      <c r="B1860"/>
    </row>
    <row r="1861" spans="2:2" ht="12" customHeight="1" x14ac:dyDescent="0.2">
      <c r="B1861"/>
    </row>
    <row r="1862" spans="2:2" ht="12" customHeight="1" x14ac:dyDescent="0.2">
      <c r="B1862"/>
    </row>
    <row r="1863" spans="2:2" ht="12" customHeight="1" x14ac:dyDescent="0.2">
      <c r="B1863"/>
    </row>
    <row r="1864" spans="2:2" ht="12" customHeight="1" x14ac:dyDescent="0.2">
      <c r="B1864"/>
    </row>
    <row r="1865" spans="2:2" ht="12" customHeight="1" x14ac:dyDescent="0.2">
      <c r="B1865"/>
    </row>
    <row r="1866" spans="2:2" ht="12" customHeight="1" x14ac:dyDescent="0.2">
      <c r="B1866"/>
    </row>
    <row r="1867" spans="2:2" ht="12" customHeight="1" x14ac:dyDescent="0.2">
      <c r="B1867"/>
    </row>
    <row r="1868" spans="2:2" ht="12" customHeight="1" x14ac:dyDescent="0.2">
      <c r="B1868"/>
    </row>
    <row r="1869" spans="2:2" ht="12" customHeight="1" x14ac:dyDescent="0.2">
      <c r="B1869"/>
    </row>
    <row r="1870" spans="2:2" ht="12" customHeight="1" x14ac:dyDescent="0.2">
      <c r="B1870"/>
    </row>
    <row r="1871" spans="2:2" ht="12" customHeight="1" x14ac:dyDescent="0.2">
      <c r="B1871"/>
    </row>
    <row r="1872" spans="2:2" ht="12" customHeight="1" x14ac:dyDescent="0.2">
      <c r="B1872"/>
    </row>
    <row r="1873" spans="2:2" ht="12" customHeight="1" x14ac:dyDescent="0.2">
      <c r="B1873"/>
    </row>
    <row r="1874" spans="2:2" ht="12" customHeight="1" x14ac:dyDescent="0.2">
      <c r="B1874"/>
    </row>
    <row r="1875" spans="2:2" ht="12" customHeight="1" x14ac:dyDescent="0.2">
      <c r="B1875"/>
    </row>
    <row r="1876" spans="2:2" ht="12" customHeight="1" x14ac:dyDescent="0.2">
      <c r="B1876"/>
    </row>
    <row r="1877" spans="2:2" ht="12" customHeight="1" x14ac:dyDescent="0.2">
      <c r="B1877"/>
    </row>
    <row r="1878" spans="2:2" ht="12" customHeight="1" x14ac:dyDescent="0.2">
      <c r="B1878"/>
    </row>
    <row r="1879" spans="2:2" ht="12" customHeight="1" x14ac:dyDescent="0.2">
      <c r="B1879"/>
    </row>
    <row r="1880" spans="2:2" ht="12" customHeight="1" x14ac:dyDescent="0.2">
      <c r="B1880"/>
    </row>
    <row r="1881" spans="2:2" ht="12" customHeight="1" x14ac:dyDescent="0.2">
      <c r="B1881"/>
    </row>
    <row r="1882" spans="2:2" ht="12" customHeight="1" x14ac:dyDescent="0.2">
      <c r="B1882"/>
    </row>
    <row r="1883" spans="2:2" ht="12" customHeight="1" x14ac:dyDescent="0.2">
      <c r="B1883"/>
    </row>
    <row r="1884" spans="2:2" ht="12" customHeight="1" x14ac:dyDescent="0.2">
      <c r="B1884"/>
    </row>
    <row r="1885" spans="2:2" ht="12" customHeight="1" x14ac:dyDescent="0.2">
      <c r="B1885"/>
    </row>
    <row r="1886" spans="2:2" ht="12" customHeight="1" x14ac:dyDescent="0.2">
      <c r="B1886"/>
    </row>
    <row r="1887" spans="2:2" ht="12" customHeight="1" x14ac:dyDescent="0.2">
      <c r="B1887"/>
    </row>
    <row r="1888" spans="2:2" ht="12" customHeight="1" x14ac:dyDescent="0.2">
      <c r="B1888"/>
    </row>
    <row r="1889" spans="2:2" ht="12" customHeight="1" x14ac:dyDescent="0.2">
      <c r="B1889"/>
    </row>
    <row r="1890" spans="2:2" ht="12" customHeight="1" x14ac:dyDescent="0.2">
      <c r="B1890"/>
    </row>
    <row r="1891" spans="2:2" ht="12" customHeight="1" x14ac:dyDescent="0.2">
      <c r="B1891"/>
    </row>
    <row r="1892" spans="2:2" ht="12" customHeight="1" x14ac:dyDescent="0.2">
      <c r="B1892"/>
    </row>
    <row r="1893" spans="2:2" ht="12" customHeight="1" x14ac:dyDescent="0.2">
      <c r="B1893"/>
    </row>
    <row r="1894" spans="2:2" ht="12" customHeight="1" x14ac:dyDescent="0.2">
      <c r="B1894"/>
    </row>
    <row r="1895" spans="2:2" ht="12" customHeight="1" x14ac:dyDescent="0.2">
      <c r="B1895"/>
    </row>
    <row r="1896" spans="2:2" ht="12" customHeight="1" x14ac:dyDescent="0.2">
      <c r="B1896"/>
    </row>
    <row r="1897" spans="2:2" ht="12" customHeight="1" x14ac:dyDescent="0.2">
      <c r="B1897"/>
    </row>
    <row r="1898" spans="2:2" ht="12" customHeight="1" x14ac:dyDescent="0.2">
      <c r="B1898"/>
    </row>
    <row r="1899" spans="2:2" ht="12" customHeight="1" x14ac:dyDescent="0.2">
      <c r="B1899"/>
    </row>
    <row r="1900" spans="2:2" ht="12" customHeight="1" x14ac:dyDescent="0.2">
      <c r="B1900"/>
    </row>
    <row r="1901" spans="2:2" ht="12" customHeight="1" x14ac:dyDescent="0.2">
      <c r="B1901"/>
    </row>
    <row r="1902" spans="2:2" ht="12" customHeight="1" x14ac:dyDescent="0.2">
      <c r="B1902"/>
    </row>
    <row r="1903" spans="2:2" ht="12" customHeight="1" x14ac:dyDescent="0.2">
      <c r="B1903"/>
    </row>
    <row r="1904" spans="2:2" ht="12" customHeight="1" x14ac:dyDescent="0.2">
      <c r="B1904"/>
    </row>
    <row r="1905" spans="2:2" ht="12" customHeight="1" x14ac:dyDescent="0.2">
      <c r="B1905"/>
    </row>
    <row r="1906" spans="2:2" ht="12" customHeight="1" x14ac:dyDescent="0.2">
      <c r="B1906"/>
    </row>
    <row r="1907" spans="2:2" ht="12" customHeight="1" x14ac:dyDescent="0.2">
      <c r="B1907"/>
    </row>
    <row r="1908" spans="2:2" ht="12" customHeight="1" x14ac:dyDescent="0.2">
      <c r="B1908"/>
    </row>
    <row r="1909" spans="2:2" ht="12" customHeight="1" x14ac:dyDescent="0.2">
      <c r="B1909"/>
    </row>
    <row r="1910" spans="2:2" ht="12" customHeight="1" x14ac:dyDescent="0.2">
      <c r="B1910"/>
    </row>
    <row r="1911" spans="2:2" ht="12" customHeight="1" x14ac:dyDescent="0.2">
      <c r="B1911"/>
    </row>
    <row r="1912" spans="2:2" ht="12" customHeight="1" x14ac:dyDescent="0.2">
      <c r="B1912"/>
    </row>
    <row r="1913" spans="2:2" ht="12" customHeight="1" x14ac:dyDescent="0.2">
      <c r="B1913"/>
    </row>
    <row r="1914" spans="2:2" ht="12" customHeight="1" x14ac:dyDescent="0.2">
      <c r="B1914"/>
    </row>
    <row r="1915" spans="2:2" ht="12" customHeight="1" x14ac:dyDescent="0.2">
      <c r="B1915"/>
    </row>
    <row r="1916" spans="2:2" ht="12" customHeight="1" x14ac:dyDescent="0.2">
      <c r="B1916"/>
    </row>
    <row r="1917" spans="2:2" ht="12" customHeight="1" x14ac:dyDescent="0.2">
      <c r="B1917"/>
    </row>
    <row r="1918" spans="2:2" ht="12" customHeight="1" x14ac:dyDescent="0.2">
      <c r="B1918"/>
    </row>
    <row r="1919" spans="2:2" ht="12" customHeight="1" x14ac:dyDescent="0.2">
      <c r="B1919"/>
    </row>
    <row r="1920" spans="2:2" ht="12" customHeight="1" x14ac:dyDescent="0.2">
      <c r="B1920"/>
    </row>
    <row r="1921" spans="2:2" ht="12" customHeight="1" x14ac:dyDescent="0.2">
      <c r="B1921"/>
    </row>
    <row r="1922" spans="2:2" ht="12" customHeight="1" x14ac:dyDescent="0.2">
      <c r="B1922"/>
    </row>
    <row r="1923" spans="2:2" ht="12" customHeight="1" x14ac:dyDescent="0.2">
      <c r="B1923"/>
    </row>
    <row r="1924" spans="2:2" ht="12" customHeight="1" x14ac:dyDescent="0.2">
      <c r="B1924"/>
    </row>
    <row r="1925" spans="2:2" ht="12" customHeight="1" x14ac:dyDescent="0.2">
      <c r="B1925"/>
    </row>
    <row r="1926" spans="2:2" ht="12" customHeight="1" x14ac:dyDescent="0.2">
      <c r="B1926"/>
    </row>
    <row r="1927" spans="2:2" ht="12" customHeight="1" x14ac:dyDescent="0.2">
      <c r="B1927"/>
    </row>
    <row r="1928" spans="2:2" ht="12" customHeight="1" x14ac:dyDescent="0.2">
      <c r="B1928"/>
    </row>
    <row r="1929" spans="2:2" ht="12" customHeight="1" x14ac:dyDescent="0.2">
      <c r="B1929"/>
    </row>
    <row r="1930" spans="2:2" ht="12" customHeight="1" x14ac:dyDescent="0.2">
      <c r="B1930"/>
    </row>
    <row r="1931" spans="2:2" ht="12" customHeight="1" x14ac:dyDescent="0.2">
      <c r="B1931"/>
    </row>
    <row r="1932" spans="2:2" ht="12" customHeight="1" x14ac:dyDescent="0.2">
      <c r="B1932"/>
    </row>
    <row r="1933" spans="2:2" ht="12" customHeight="1" x14ac:dyDescent="0.2">
      <c r="B1933"/>
    </row>
    <row r="1934" spans="2:2" ht="12" customHeight="1" x14ac:dyDescent="0.2">
      <c r="B1934"/>
    </row>
    <row r="1935" spans="2:2" ht="12" customHeight="1" x14ac:dyDescent="0.2">
      <c r="B1935"/>
    </row>
    <row r="1936" spans="2:2" ht="12" customHeight="1" x14ac:dyDescent="0.2">
      <c r="B1936"/>
    </row>
    <row r="1937" spans="2:2" ht="12" customHeight="1" x14ac:dyDescent="0.2">
      <c r="B1937"/>
    </row>
    <row r="1938" spans="2:2" ht="12" customHeight="1" x14ac:dyDescent="0.2">
      <c r="B1938"/>
    </row>
    <row r="1939" spans="2:2" ht="12" customHeight="1" x14ac:dyDescent="0.2">
      <c r="B1939"/>
    </row>
    <row r="1940" spans="2:2" ht="12" customHeight="1" x14ac:dyDescent="0.2">
      <c r="B1940"/>
    </row>
    <row r="1941" spans="2:2" ht="12" customHeight="1" x14ac:dyDescent="0.2">
      <c r="B1941"/>
    </row>
    <row r="1942" spans="2:2" ht="12" customHeight="1" x14ac:dyDescent="0.2">
      <c r="B1942"/>
    </row>
    <row r="1943" spans="2:2" ht="12" customHeight="1" x14ac:dyDescent="0.2">
      <c r="B1943"/>
    </row>
    <row r="1944" spans="2:2" ht="12" customHeight="1" x14ac:dyDescent="0.2">
      <c r="B1944"/>
    </row>
    <row r="1945" spans="2:2" ht="12" customHeight="1" x14ac:dyDescent="0.2">
      <c r="B1945"/>
    </row>
    <row r="1946" spans="2:2" ht="12" customHeight="1" x14ac:dyDescent="0.2">
      <c r="B1946"/>
    </row>
    <row r="1947" spans="2:2" ht="12" customHeight="1" x14ac:dyDescent="0.2">
      <c r="B1947"/>
    </row>
    <row r="1948" spans="2:2" ht="12" customHeight="1" x14ac:dyDescent="0.2">
      <c r="B1948"/>
    </row>
    <row r="1949" spans="2:2" ht="12" customHeight="1" x14ac:dyDescent="0.2">
      <c r="B1949"/>
    </row>
    <row r="1950" spans="2:2" ht="12" customHeight="1" x14ac:dyDescent="0.2">
      <c r="B1950"/>
    </row>
    <row r="1951" spans="2:2" ht="12" customHeight="1" x14ac:dyDescent="0.2">
      <c r="B1951"/>
    </row>
    <row r="1952" spans="2:2" ht="12" customHeight="1" x14ac:dyDescent="0.2">
      <c r="B1952"/>
    </row>
    <row r="1953" spans="2:2" ht="12" customHeight="1" x14ac:dyDescent="0.2">
      <c r="B1953"/>
    </row>
    <row r="1954" spans="2:2" ht="12" customHeight="1" x14ac:dyDescent="0.2">
      <c r="B1954"/>
    </row>
    <row r="1955" spans="2:2" ht="12" customHeight="1" x14ac:dyDescent="0.2">
      <c r="B1955"/>
    </row>
    <row r="1956" spans="2:2" ht="12" customHeight="1" x14ac:dyDescent="0.2">
      <c r="B1956"/>
    </row>
    <row r="1957" spans="2:2" ht="12" customHeight="1" x14ac:dyDescent="0.2">
      <c r="B1957"/>
    </row>
    <row r="1958" spans="2:2" ht="12" customHeight="1" x14ac:dyDescent="0.2">
      <c r="B1958"/>
    </row>
    <row r="1959" spans="2:2" ht="12" customHeight="1" x14ac:dyDescent="0.2">
      <c r="B1959"/>
    </row>
    <row r="1960" spans="2:2" ht="12" customHeight="1" x14ac:dyDescent="0.2">
      <c r="B1960"/>
    </row>
    <row r="1961" spans="2:2" ht="12" customHeight="1" x14ac:dyDescent="0.2">
      <c r="B1961"/>
    </row>
    <row r="1962" spans="2:2" ht="12" customHeight="1" x14ac:dyDescent="0.2">
      <c r="B1962"/>
    </row>
    <row r="1963" spans="2:2" ht="12" customHeight="1" x14ac:dyDescent="0.2">
      <c r="B1963"/>
    </row>
    <row r="1964" spans="2:2" ht="12" customHeight="1" x14ac:dyDescent="0.2">
      <c r="B1964"/>
    </row>
    <row r="1965" spans="2:2" ht="12" customHeight="1" x14ac:dyDescent="0.2">
      <c r="B1965"/>
    </row>
    <row r="1966" spans="2:2" ht="12" customHeight="1" x14ac:dyDescent="0.2">
      <c r="B1966"/>
    </row>
    <row r="1967" spans="2:2" ht="12" customHeight="1" x14ac:dyDescent="0.2">
      <c r="B1967"/>
    </row>
    <row r="1968" spans="2:2" ht="12" customHeight="1" x14ac:dyDescent="0.2">
      <c r="B1968"/>
    </row>
    <row r="1969" spans="2:2" ht="12" customHeight="1" x14ac:dyDescent="0.2">
      <c r="B1969"/>
    </row>
    <row r="1970" spans="2:2" ht="12" customHeight="1" x14ac:dyDescent="0.2">
      <c r="B1970"/>
    </row>
    <row r="1971" spans="2:2" ht="12" customHeight="1" x14ac:dyDescent="0.2">
      <c r="B1971"/>
    </row>
    <row r="1972" spans="2:2" ht="12" customHeight="1" x14ac:dyDescent="0.2">
      <c r="B1972"/>
    </row>
    <row r="1973" spans="2:2" ht="12" customHeight="1" x14ac:dyDescent="0.2">
      <c r="B1973"/>
    </row>
    <row r="1974" spans="2:2" ht="12" customHeight="1" x14ac:dyDescent="0.2">
      <c r="B1974"/>
    </row>
    <row r="1975" spans="2:2" ht="12" customHeight="1" x14ac:dyDescent="0.2">
      <c r="B1975"/>
    </row>
    <row r="1976" spans="2:2" ht="12" customHeight="1" x14ac:dyDescent="0.2">
      <c r="B1976"/>
    </row>
    <row r="1977" spans="2:2" ht="12" customHeight="1" x14ac:dyDescent="0.2">
      <c r="B1977"/>
    </row>
    <row r="1978" spans="2:2" ht="12" customHeight="1" x14ac:dyDescent="0.2">
      <c r="B1978"/>
    </row>
    <row r="1979" spans="2:2" ht="12" customHeight="1" x14ac:dyDescent="0.2">
      <c r="B1979"/>
    </row>
    <row r="1980" spans="2:2" ht="12" customHeight="1" x14ac:dyDescent="0.2">
      <c r="B1980"/>
    </row>
    <row r="1981" spans="2:2" ht="12" customHeight="1" x14ac:dyDescent="0.2">
      <c r="B1981"/>
    </row>
    <row r="1982" spans="2:2" ht="12" customHeight="1" x14ac:dyDescent="0.2">
      <c r="B1982"/>
    </row>
    <row r="1983" spans="2:2" ht="12" customHeight="1" x14ac:dyDescent="0.2">
      <c r="B1983"/>
    </row>
    <row r="1984" spans="2:2" ht="12" customHeight="1" x14ac:dyDescent="0.2">
      <c r="B1984"/>
    </row>
    <row r="1985" spans="2:2" ht="12" customHeight="1" x14ac:dyDescent="0.2">
      <c r="B1985"/>
    </row>
    <row r="1986" spans="2:2" ht="12" customHeight="1" x14ac:dyDescent="0.2">
      <c r="B1986"/>
    </row>
    <row r="1987" spans="2:2" ht="12" customHeight="1" x14ac:dyDescent="0.2">
      <c r="B1987"/>
    </row>
    <row r="1988" spans="2:2" ht="12" customHeight="1" x14ac:dyDescent="0.2">
      <c r="B1988"/>
    </row>
    <row r="1989" spans="2:2" ht="12" customHeight="1" x14ac:dyDescent="0.2">
      <c r="B1989"/>
    </row>
    <row r="1990" spans="2:2" ht="12" customHeight="1" x14ac:dyDescent="0.2">
      <c r="B1990"/>
    </row>
    <row r="1991" spans="2:2" ht="12" customHeight="1" x14ac:dyDescent="0.2">
      <c r="B1991"/>
    </row>
    <row r="1992" spans="2:2" ht="12" customHeight="1" x14ac:dyDescent="0.2">
      <c r="B1992"/>
    </row>
    <row r="1993" spans="2:2" ht="12" customHeight="1" x14ac:dyDescent="0.2">
      <c r="B1993"/>
    </row>
    <row r="1994" spans="2:2" ht="12" customHeight="1" x14ac:dyDescent="0.2">
      <c r="B1994"/>
    </row>
    <row r="1995" spans="2:2" ht="12" customHeight="1" x14ac:dyDescent="0.2">
      <c r="B1995"/>
    </row>
    <row r="1996" spans="2:2" ht="12" customHeight="1" x14ac:dyDescent="0.2">
      <c r="B1996"/>
    </row>
    <row r="1997" spans="2:2" ht="12" customHeight="1" x14ac:dyDescent="0.2">
      <c r="B1997"/>
    </row>
    <row r="1998" spans="2:2" ht="12" customHeight="1" x14ac:dyDescent="0.2">
      <c r="B1998"/>
    </row>
    <row r="1999" spans="2:2" ht="12" customHeight="1" x14ac:dyDescent="0.2">
      <c r="B1999"/>
    </row>
    <row r="2000" spans="2:2" ht="12" customHeight="1" x14ac:dyDescent="0.2">
      <c r="B2000"/>
    </row>
    <row r="2001" spans="2:2" ht="12" customHeight="1" x14ac:dyDescent="0.2">
      <c r="B2001"/>
    </row>
    <row r="2002" spans="2:2" ht="12" customHeight="1" x14ac:dyDescent="0.2">
      <c r="B2002"/>
    </row>
    <row r="2003" spans="2:2" ht="12" customHeight="1" x14ac:dyDescent="0.2">
      <c r="B2003"/>
    </row>
    <row r="2004" spans="2:2" ht="12" customHeight="1" x14ac:dyDescent="0.2">
      <c r="B2004"/>
    </row>
    <row r="2005" spans="2:2" ht="12" customHeight="1" x14ac:dyDescent="0.2">
      <c r="B2005"/>
    </row>
    <row r="2006" spans="2:2" ht="12" customHeight="1" x14ac:dyDescent="0.2">
      <c r="B2006"/>
    </row>
    <row r="2007" spans="2:2" ht="12" customHeight="1" x14ac:dyDescent="0.2">
      <c r="B2007"/>
    </row>
    <row r="2008" spans="2:2" ht="12" customHeight="1" x14ac:dyDescent="0.2">
      <c r="B2008"/>
    </row>
    <row r="2009" spans="2:2" ht="12" customHeight="1" x14ac:dyDescent="0.2">
      <c r="B2009"/>
    </row>
    <row r="2010" spans="2:2" ht="12" customHeight="1" x14ac:dyDescent="0.2">
      <c r="B2010"/>
    </row>
    <row r="2011" spans="2:2" ht="12" customHeight="1" x14ac:dyDescent="0.2">
      <c r="B2011"/>
    </row>
    <row r="2012" spans="2:2" ht="12" customHeight="1" x14ac:dyDescent="0.2">
      <c r="B2012"/>
    </row>
    <row r="2013" spans="2:2" ht="12" customHeight="1" x14ac:dyDescent="0.2">
      <c r="B2013"/>
    </row>
    <row r="2014" spans="2:2" ht="12" customHeight="1" x14ac:dyDescent="0.2">
      <c r="B2014"/>
    </row>
    <row r="2015" spans="2:2" ht="12" customHeight="1" x14ac:dyDescent="0.2">
      <c r="B2015"/>
    </row>
    <row r="2016" spans="2:2" ht="12" customHeight="1" x14ac:dyDescent="0.2">
      <c r="B2016"/>
    </row>
    <row r="2017" spans="2:2" ht="12" customHeight="1" x14ac:dyDescent="0.2">
      <c r="B2017"/>
    </row>
    <row r="2018" spans="2:2" ht="12" customHeight="1" x14ac:dyDescent="0.2">
      <c r="B2018"/>
    </row>
    <row r="2019" spans="2:2" ht="12" customHeight="1" x14ac:dyDescent="0.2">
      <c r="B2019"/>
    </row>
    <row r="2020" spans="2:2" ht="12" customHeight="1" x14ac:dyDescent="0.2">
      <c r="B2020"/>
    </row>
    <row r="2021" spans="2:2" ht="12" customHeight="1" x14ac:dyDescent="0.2">
      <c r="B2021"/>
    </row>
    <row r="2022" spans="2:2" ht="12" customHeight="1" x14ac:dyDescent="0.2">
      <c r="B2022"/>
    </row>
    <row r="2023" spans="2:2" ht="12" customHeight="1" x14ac:dyDescent="0.2">
      <c r="B2023"/>
    </row>
    <row r="2024" spans="2:2" ht="12" customHeight="1" x14ac:dyDescent="0.2">
      <c r="B2024"/>
    </row>
    <row r="2025" spans="2:2" ht="12" customHeight="1" x14ac:dyDescent="0.2">
      <c r="B2025"/>
    </row>
    <row r="2026" spans="2:2" ht="12" customHeight="1" x14ac:dyDescent="0.2">
      <c r="B2026"/>
    </row>
    <row r="2027" spans="2:2" ht="12" customHeight="1" x14ac:dyDescent="0.2">
      <c r="B2027"/>
    </row>
    <row r="2028" spans="2:2" ht="12" customHeight="1" x14ac:dyDescent="0.2">
      <c r="B2028"/>
    </row>
    <row r="2029" spans="2:2" ht="12" customHeight="1" x14ac:dyDescent="0.2">
      <c r="B2029"/>
    </row>
    <row r="2030" spans="2:2" ht="12" customHeight="1" x14ac:dyDescent="0.2">
      <c r="B2030"/>
    </row>
    <row r="2031" spans="2:2" ht="12" customHeight="1" x14ac:dyDescent="0.2">
      <c r="B2031"/>
    </row>
    <row r="2032" spans="2:2" ht="12" customHeight="1" x14ac:dyDescent="0.2">
      <c r="B2032"/>
    </row>
    <row r="2033" spans="2:2" ht="12" customHeight="1" x14ac:dyDescent="0.2">
      <c r="B2033"/>
    </row>
    <row r="2034" spans="2:2" ht="12" customHeight="1" x14ac:dyDescent="0.2">
      <c r="B2034"/>
    </row>
    <row r="2035" spans="2:2" ht="12" customHeight="1" x14ac:dyDescent="0.2">
      <c r="B2035"/>
    </row>
    <row r="2036" spans="2:2" ht="12" customHeight="1" x14ac:dyDescent="0.2">
      <c r="B2036"/>
    </row>
    <row r="2037" spans="2:2" ht="12" customHeight="1" x14ac:dyDescent="0.2">
      <c r="B2037"/>
    </row>
    <row r="2038" spans="2:2" ht="12" customHeight="1" x14ac:dyDescent="0.2">
      <c r="B2038"/>
    </row>
    <row r="2039" spans="2:2" ht="12" customHeight="1" x14ac:dyDescent="0.2">
      <c r="B2039"/>
    </row>
    <row r="2040" spans="2:2" ht="12" customHeight="1" x14ac:dyDescent="0.2">
      <c r="B2040"/>
    </row>
    <row r="2041" spans="2:2" ht="12" customHeight="1" x14ac:dyDescent="0.2">
      <c r="B2041"/>
    </row>
    <row r="2042" spans="2:2" ht="12" customHeight="1" x14ac:dyDescent="0.2">
      <c r="B2042"/>
    </row>
    <row r="2043" spans="2:2" ht="12" customHeight="1" x14ac:dyDescent="0.2">
      <c r="B2043"/>
    </row>
    <row r="2044" spans="2:2" ht="12" customHeight="1" x14ac:dyDescent="0.2">
      <c r="B2044"/>
    </row>
    <row r="2045" spans="2:2" ht="12" customHeight="1" x14ac:dyDescent="0.2">
      <c r="B2045"/>
    </row>
    <row r="2046" spans="2:2" ht="12" customHeight="1" x14ac:dyDescent="0.2">
      <c r="B2046"/>
    </row>
    <row r="2047" spans="2:2" ht="12" customHeight="1" x14ac:dyDescent="0.2">
      <c r="B2047"/>
    </row>
    <row r="2048" spans="2:2" ht="12" customHeight="1" x14ac:dyDescent="0.2">
      <c r="B2048"/>
    </row>
    <row r="2049" spans="2:2" ht="12" customHeight="1" x14ac:dyDescent="0.2">
      <c r="B2049"/>
    </row>
    <row r="2050" spans="2:2" ht="12" customHeight="1" x14ac:dyDescent="0.2">
      <c r="B2050"/>
    </row>
    <row r="2051" spans="2:2" ht="12" customHeight="1" x14ac:dyDescent="0.2">
      <c r="B2051"/>
    </row>
    <row r="2052" spans="2:2" ht="12" customHeight="1" x14ac:dyDescent="0.2">
      <c r="B2052"/>
    </row>
    <row r="2053" spans="2:2" ht="12" customHeight="1" x14ac:dyDescent="0.2">
      <c r="B2053"/>
    </row>
    <row r="2054" spans="2:2" ht="12" customHeight="1" x14ac:dyDescent="0.2">
      <c r="B2054"/>
    </row>
    <row r="2055" spans="2:2" ht="12" customHeight="1" x14ac:dyDescent="0.2">
      <c r="B2055"/>
    </row>
    <row r="2056" spans="2:2" ht="12" customHeight="1" x14ac:dyDescent="0.2">
      <c r="B2056"/>
    </row>
    <row r="2057" spans="2:2" ht="12" customHeight="1" x14ac:dyDescent="0.2">
      <c r="B2057"/>
    </row>
    <row r="2058" spans="2:2" ht="12" customHeight="1" x14ac:dyDescent="0.2">
      <c r="B2058"/>
    </row>
    <row r="2059" spans="2:2" ht="12" customHeight="1" x14ac:dyDescent="0.2">
      <c r="B2059"/>
    </row>
    <row r="2060" spans="2:2" ht="12" customHeight="1" x14ac:dyDescent="0.2">
      <c r="B2060"/>
    </row>
    <row r="2061" spans="2:2" ht="12" customHeight="1" x14ac:dyDescent="0.2">
      <c r="B2061"/>
    </row>
    <row r="2062" spans="2:2" ht="12" customHeight="1" x14ac:dyDescent="0.2">
      <c r="B2062"/>
    </row>
    <row r="2063" spans="2:2" ht="12" customHeight="1" x14ac:dyDescent="0.2">
      <c r="B2063"/>
    </row>
    <row r="2064" spans="2:2" ht="12" customHeight="1" x14ac:dyDescent="0.2">
      <c r="B2064"/>
    </row>
    <row r="2065" spans="2:2" ht="12" customHeight="1" x14ac:dyDescent="0.2">
      <c r="B2065"/>
    </row>
    <row r="2066" spans="2:2" ht="12" customHeight="1" x14ac:dyDescent="0.2">
      <c r="B2066"/>
    </row>
    <row r="2067" spans="2:2" ht="12" customHeight="1" x14ac:dyDescent="0.2">
      <c r="B2067"/>
    </row>
    <row r="2068" spans="2:2" ht="12" customHeight="1" x14ac:dyDescent="0.2">
      <c r="B2068"/>
    </row>
    <row r="2069" spans="2:2" ht="12" customHeight="1" x14ac:dyDescent="0.2">
      <c r="B2069"/>
    </row>
    <row r="2070" spans="2:2" ht="12" customHeight="1" x14ac:dyDescent="0.2">
      <c r="B2070"/>
    </row>
    <row r="2071" spans="2:2" ht="12" customHeight="1" x14ac:dyDescent="0.2">
      <c r="B2071"/>
    </row>
    <row r="2072" spans="2:2" ht="12" customHeight="1" x14ac:dyDescent="0.2">
      <c r="B2072"/>
    </row>
    <row r="2073" spans="2:2" ht="12" customHeight="1" x14ac:dyDescent="0.2">
      <c r="B2073"/>
    </row>
    <row r="2074" spans="2:2" ht="12" customHeight="1" x14ac:dyDescent="0.2">
      <c r="B2074"/>
    </row>
    <row r="2075" spans="2:2" ht="12" customHeight="1" x14ac:dyDescent="0.2">
      <c r="B2075"/>
    </row>
    <row r="2076" spans="2:2" ht="12" customHeight="1" x14ac:dyDescent="0.2">
      <c r="B2076"/>
    </row>
    <row r="2077" spans="2:2" ht="12" customHeight="1" x14ac:dyDescent="0.2">
      <c r="B2077"/>
    </row>
    <row r="2078" spans="2:2" ht="12" customHeight="1" x14ac:dyDescent="0.2">
      <c r="B2078"/>
    </row>
    <row r="2079" spans="2:2" ht="12" customHeight="1" x14ac:dyDescent="0.2">
      <c r="B2079"/>
    </row>
    <row r="2080" spans="2:2" ht="12" customHeight="1" x14ac:dyDescent="0.2">
      <c r="B2080"/>
    </row>
    <row r="2081" spans="2:2" ht="12" customHeight="1" x14ac:dyDescent="0.2">
      <c r="B2081"/>
    </row>
    <row r="2082" spans="2:2" ht="12" customHeight="1" x14ac:dyDescent="0.2">
      <c r="B2082"/>
    </row>
    <row r="2083" spans="2:2" ht="12" customHeight="1" x14ac:dyDescent="0.2">
      <c r="B2083"/>
    </row>
    <row r="2084" spans="2:2" ht="12" customHeight="1" x14ac:dyDescent="0.2">
      <c r="B2084"/>
    </row>
    <row r="2085" spans="2:2" ht="12" customHeight="1" x14ac:dyDescent="0.2">
      <c r="B2085"/>
    </row>
    <row r="2086" spans="2:2" ht="12" customHeight="1" x14ac:dyDescent="0.2">
      <c r="B2086"/>
    </row>
    <row r="2087" spans="2:2" ht="12" customHeight="1" x14ac:dyDescent="0.2">
      <c r="B2087"/>
    </row>
    <row r="2088" spans="2:2" ht="12" customHeight="1" x14ac:dyDescent="0.2">
      <c r="B2088"/>
    </row>
    <row r="2089" spans="2:2" ht="12" customHeight="1" x14ac:dyDescent="0.2">
      <c r="B2089"/>
    </row>
    <row r="2090" spans="2:2" ht="12" customHeight="1" x14ac:dyDescent="0.2">
      <c r="B2090"/>
    </row>
    <row r="2091" spans="2:2" ht="12" customHeight="1" x14ac:dyDescent="0.2">
      <c r="B2091"/>
    </row>
    <row r="2092" spans="2:2" ht="12" customHeight="1" x14ac:dyDescent="0.2">
      <c r="B2092"/>
    </row>
    <row r="2093" spans="2:2" ht="12" customHeight="1" x14ac:dyDescent="0.2">
      <c r="B2093"/>
    </row>
    <row r="2094" spans="2:2" ht="12" customHeight="1" x14ac:dyDescent="0.2">
      <c r="B2094"/>
    </row>
    <row r="2095" spans="2:2" ht="12" customHeight="1" x14ac:dyDescent="0.2">
      <c r="B2095"/>
    </row>
    <row r="2096" spans="2:2" ht="12" customHeight="1" x14ac:dyDescent="0.2">
      <c r="B2096"/>
    </row>
    <row r="2097" spans="2:2" ht="12" customHeight="1" x14ac:dyDescent="0.2">
      <c r="B2097"/>
    </row>
    <row r="2098" spans="2:2" ht="12" customHeight="1" x14ac:dyDescent="0.2">
      <c r="B2098"/>
    </row>
    <row r="2099" spans="2:2" ht="12" customHeight="1" x14ac:dyDescent="0.2">
      <c r="B2099"/>
    </row>
    <row r="2100" spans="2:2" ht="12" customHeight="1" x14ac:dyDescent="0.2">
      <c r="B2100"/>
    </row>
    <row r="2101" spans="2:2" ht="12" customHeight="1" x14ac:dyDescent="0.2">
      <c r="B2101"/>
    </row>
    <row r="2102" spans="2:2" ht="12" customHeight="1" x14ac:dyDescent="0.2">
      <c r="B2102"/>
    </row>
    <row r="2103" spans="2:2" ht="12" customHeight="1" x14ac:dyDescent="0.2">
      <c r="B2103"/>
    </row>
    <row r="2104" spans="2:2" ht="12" customHeight="1" x14ac:dyDescent="0.2">
      <c r="B2104"/>
    </row>
    <row r="2105" spans="2:2" ht="12" customHeight="1" x14ac:dyDescent="0.2">
      <c r="B2105"/>
    </row>
    <row r="2106" spans="2:2" ht="12" customHeight="1" x14ac:dyDescent="0.2">
      <c r="B2106"/>
    </row>
    <row r="2107" spans="2:2" ht="12" customHeight="1" x14ac:dyDescent="0.2">
      <c r="B2107"/>
    </row>
    <row r="2108" spans="2:2" ht="12" customHeight="1" x14ac:dyDescent="0.2">
      <c r="B2108"/>
    </row>
    <row r="2109" spans="2:2" ht="12" customHeight="1" x14ac:dyDescent="0.2">
      <c r="B2109"/>
    </row>
    <row r="2110" spans="2:2" ht="12" customHeight="1" x14ac:dyDescent="0.2">
      <c r="B2110"/>
    </row>
    <row r="2111" spans="2:2" ht="12" customHeight="1" x14ac:dyDescent="0.2">
      <c r="B2111"/>
    </row>
    <row r="2112" spans="2:2" ht="12" customHeight="1" x14ac:dyDescent="0.2">
      <c r="B2112"/>
    </row>
    <row r="2113" spans="2:2" ht="12" customHeight="1" x14ac:dyDescent="0.2">
      <c r="B2113"/>
    </row>
    <row r="2114" spans="2:2" ht="12" customHeight="1" x14ac:dyDescent="0.2">
      <c r="B2114"/>
    </row>
    <row r="2115" spans="2:2" ht="12" customHeight="1" x14ac:dyDescent="0.2">
      <c r="B2115"/>
    </row>
    <row r="2116" spans="2:2" ht="12" customHeight="1" x14ac:dyDescent="0.2">
      <c r="B2116"/>
    </row>
    <row r="2117" spans="2:2" ht="12" customHeight="1" x14ac:dyDescent="0.2">
      <c r="B2117"/>
    </row>
    <row r="2118" spans="2:2" ht="12" customHeight="1" x14ac:dyDescent="0.2">
      <c r="B2118"/>
    </row>
    <row r="2119" spans="2:2" ht="12" customHeight="1" x14ac:dyDescent="0.2">
      <c r="B2119"/>
    </row>
    <row r="2120" spans="2:2" ht="12" customHeight="1" x14ac:dyDescent="0.2">
      <c r="B2120"/>
    </row>
    <row r="2121" spans="2:2" ht="12" customHeight="1" x14ac:dyDescent="0.2">
      <c r="B2121"/>
    </row>
    <row r="2122" spans="2:2" ht="12" customHeight="1" x14ac:dyDescent="0.2">
      <c r="B2122"/>
    </row>
    <row r="2123" spans="2:2" ht="12" customHeight="1" x14ac:dyDescent="0.2">
      <c r="B2123"/>
    </row>
    <row r="2124" spans="2:2" ht="12" customHeight="1" x14ac:dyDescent="0.2">
      <c r="B2124"/>
    </row>
    <row r="2125" spans="2:2" ht="12" customHeight="1" x14ac:dyDescent="0.2">
      <c r="B2125"/>
    </row>
    <row r="2126" spans="2:2" ht="12" customHeight="1" x14ac:dyDescent="0.2">
      <c r="B2126"/>
    </row>
    <row r="2127" spans="2:2" ht="12" customHeight="1" x14ac:dyDescent="0.2">
      <c r="B2127"/>
    </row>
    <row r="2128" spans="2:2" ht="12" customHeight="1" x14ac:dyDescent="0.2">
      <c r="B2128"/>
    </row>
    <row r="2129" spans="2:2" ht="12" customHeight="1" x14ac:dyDescent="0.2">
      <c r="B2129"/>
    </row>
    <row r="2130" spans="2:2" ht="12" customHeight="1" x14ac:dyDescent="0.2">
      <c r="B2130"/>
    </row>
    <row r="2131" spans="2:2" ht="12" customHeight="1" x14ac:dyDescent="0.2">
      <c r="B2131"/>
    </row>
    <row r="2132" spans="2:2" ht="12" customHeight="1" x14ac:dyDescent="0.2">
      <c r="B2132"/>
    </row>
    <row r="2133" spans="2:2" ht="12" customHeight="1" x14ac:dyDescent="0.2">
      <c r="B2133"/>
    </row>
    <row r="2134" spans="2:2" ht="12" customHeight="1" x14ac:dyDescent="0.2">
      <c r="B2134"/>
    </row>
    <row r="2135" spans="2:2" ht="12" customHeight="1" x14ac:dyDescent="0.2">
      <c r="B2135"/>
    </row>
    <row r="2136" spans="2:2" ht="12" customHeight="1" x14ac:dyDescent="0.2">
      <c r="B2136"/>
    </row>
    <row r="2137" spans="2:2" ht="12" customHeight="1" x14ac:dyDescent="0.2">
      <c r="B2137"/>
    </row>
    <row r="2138" spans="2:2" ht="12" customHeight="1" x14ac:dyDescent="0.2">
      <c r="B2138"/>
    </row>
    <row r="2139" spans="2:2" ht="12" customHeight="1" x14ac:dyDescent="0.2">
      <c r="B2139"/>
    </row>
    <row r="2140" spans="2:2" ht="12" customHeight="1" x14ac:dyDescent="0.2">
      <c r="B2140"/>
    </row>
    <row r="2141" spans="2:2" ht="12" customHeight="1" x14ac:dyDescent="0.2">
      <c r="B2141"/>
    </row>
    <row r="2142" spans="2:2" ht="12" customHeight="1" x14ac:dyDescent="0.2">
      <c r="B2142"/>
    </row>
    <row r="2143" spans="2:2" ht="12" customHeight="1" x14ac:dyDescent="0.2">
      <c r="B2143"/>
    </row>
    <row r="2144" spans="2:2" ht="12" customHeight="1" x14ac:dyDescent="0.2">
      <c r="B2144"/>
    </row>
    <row r="2145" spans="2:2" ht="12" customHeight="1" x14ac:dyDescent="0.2">
      <c r="B2145"/>
    </row>
    <row r="2146" spans="2:2" ht="12" customHeight="1" x14ac:dyDescent="0.2">
      <c r="B2146"/>
    </row>
    <row r="2147" spans="2:2" ht="12" customHeight="1" x14ac:dyDescent="0.2">
      <c r="B2147"/>
    </row>
    <row r="2148" spans="2:2" ht="12" customHeight="1" x14ac:dyDescent="0.2">
      <c r="B2148"/>
    </row>
    <row r="2149" spans="2:2" ht="12" customHeight="1" x14ac:dyDescent="0.2">
      <c r="B2149"/>
    </row>
    <row r="2150" spans="2:2" ht="12" customHeight="1" x14ac:dyDescent="0.2">
      <c r="B2150"/>
    </row>
    <row r="2151" spans="2:2" ht="12" customHeight="1" x14ac:dyDescent="0.2">
      <c r="B2151"/>
    </row>
    <row r="2152" spans="2:2" ht="12" customHeight="1" x14ac:dyDescent="0.2">
      <c r="B2152"/>
    </row>
    <row r="2153" spans="2:2" ht="12" customHeight="1" x14ac:dyDescent="0.2">
      <c r="B2153"/>
    </row>
    <row r="2154" spans="2:2" ht="12" customHeight="1" x14ac:dyDescent="0.2">
      <c r="B2154"/>
    </row>
    <row r="2155" spans="2:2" ht="12" customHeight="1" x14ac:dyDescent="0.2">
      <c r="B2155"/>
    </row>
    <row r="2156" spans="2:2" ht="12" customHeight="1" x14ac:dyDescent="0.2">
      <c r="B2156"/>
    </row>
    <row r="2157" spans="2:2" ht="12" customHeight="1" x14ac:dyDescent="0.2">
      <c r="B2157"/>
    </row>
    <row r="2158" spans="2:2" ht="12" customHeight="1" x14ac:dyDescent="0.2">
      <c r="B2158"/>
    </row>
    <row r="2159" spans="2:2" ht="12" customHeight="1" x14ac:dyDescent="0.2">
      <c r="B2159"/>
    </row>
    <row r="2160" spans="2:2" ht="12" customHeight="1" x14ac:dyDescent="0.2">
      <c r="B2160"/>
    </row>
    <row r="2161" spans="2:2" ht="12" customHeight="1" x14ac:dyDescent="0.2">
      <c r="B2161"/>
    </row>
    <row r="2162" spans="2:2" ht="12" customHeight="1" x14ac:dyDescent="0.2">
      <c r="B2162"/>
    </row>
    <row r="2163" spans="2:2" ht="12" customHeight="1" x14ac:dyDescent="0.2">
      <c r="B2163"/>
    </row>
    <row r="2164" spans="2:2" ht="12" customHeight="1" x14ac:dyDescent="0.2">
      <c r="B2164"/>
    </row>
    <row r="2165" spans="2:2" ht="12" customHeight="1" x14ac:dyDescent="0.2">
      <c r="B2165"/>
    </row>
    <row r="2166" spans="2:2" ht="12" customHeight="1" x14ac:dyDescent="0.2">
      <c r="B2166"/>
    </row>
    <row r="2167" spans="2:2" ht="12" customHeight="1" x14ac:dyDescent="0.2">
      <c r="B2167"/>
    </row>
    <row r="2168" spans="2:2" ht="12" customHeight="1" x14ac:dyDescent="0.2">
      <c r="B2168"/>
    </row>
    <row r="2169" spans="2:2" ht="12" customHeight="1" x14ac:dyDescent="0.2">
      <c r="B2169"/>
    </row>
    <row r="2170" spans="2:2" ht="12" customHeight="1" x14ac:dyDescent="0.2">
      <c r="B2170"/>
    </row>
    <row r="2171" spans="2:2" ht="12" customHeight="1" x14ac:dyDescent="0.2">
      <c r="B2171"/>
    </row>
    <row r="2172" spans="2:2" ht="12" customHeight="1" x14ac:dyDescent="0.2">
      <c r="B2172"/>
    </row>
    <row r="2173" spans="2:2" ht="12" customHeight="1" x14ac:dyDescent="0.2">
      <c r="B2173"/>
    </row>
    <row r="2174" spans="2:2" ht="12" customHeight="1" x14ac:dyDescent="0.2">
      <c r="B2174"/>
    </row>
    <row r="2175" spans="2:2" ht="12" customHeight="1" x14ac:dyDescent="0.2">
      <c r="B2175"/>
    </row>
    <row r="2176" spans="2:2" ht="12" customHeight="1" x14ac:dyDescent="0.2">
      <c r="B2176"/>
    </row>
    <row r="2177" spans="2:2" ht="12" customHeight="1" x14ac:dyDescent="0.2">
      <c r="B2177"/>
    </row>
    <row r="2178" spans="2:2" ht="12" customHeight="1" x14ac:dyDescent="0.2">
      <c r="B2178"/>
    </row>
    <row r="2179" spans="2:2" ht="12" customHeight="1" x14ac:dyDescent="0.2">
      <c r="B2179"/>
    </row>
    <row r="2180" spans="2:2" ht="12" customHeight="1" x14ac:dyDescent="0.2">
      <c r="B2180"/>
    </row>
    <row r="2181" spans="2:2" ht="12" customHeight="1" x14ac:dyDescent="0.2">
      <c r="B2181"/>
    </row>
    <row r="2182" spans="2:2" ht="12" customHeight="1" x14ac:dyDescent="0.2">
      <c r="B2182"/>
    </row>
    <row r="2183" spans="2:2" ht="12" customHeight="1" x14ac:dyDescent="0.2">
      <c r="B2183"/>
    </row>
    <row r="2184" spans="2:2" ht="12" customHeight="1" x14ac:dyDescent="0.2">
      <c r="B2184"/>
    </row>
    <row r="2185" spans="2:2" ht="12" customHeight="1" x14ac:dyDescent="0.2">
      <c r="B2185"/>
    </row>
    <row r="2186" spans="2:2" ht="12" customHeight="1" x14ac:dyDescent="0.2">
      <c r="B2186"/>
    </row>
    <row r="2187" spans="2:2" ht="12" customHeight="1" x14ac:dyDescent="0.2">
      <c r="B2187"/>
    </row>
    <row r="2188" spans="2:2" ht="12" customHeight="1" x14ac:dyDescent="0.2">
      <c r="B2188"/>
    </row>
    <row r="2189" spans="2:2" ht="12" customHeight="1" x14ac:dyDescent="0.2">
      <c r="B2189"/>
    </row>
    <row r="2190" spans="2:2" ht="12" customHeight="1" x14ac:dyDescent="0.2">
      <c r="B2190"/>
    </row>
    <row r="2191" spans="2:2" ht="12" customHeight="1" x14ac:dyDescent="0.2">
      <c r="B2191"/>
    </row>
    <row r="2192" spans="2:2" ht="12" customHeight="1" x14ac:dyDescent="0.2">
      <c r="B2192"/>
    </row>
    <row r="2193" spans="2:2" ht="12" customHeight="1" x14ac:dyDescent="0.2">
      <c r="B2193"/>
    </row>
    <row r="2194" spans="2:2" ht="12" customHeight="1" x14ac:dyDescent="0.2">
      <c r="B2194"/>
    </row>
    <row r="2195" spans="2:2" ht="12" customHeight="1" x14ac:dyDescent="0.2">
      <c r="B2195"/>
    </row>
    <row r="2196" spans="2:2" ht="12" customHeight="1" x14ac:dyDescent="0.2">
      <c r="B2196"/>
    </row>
    <row r="2197" spans="2:2" ht="12" customHeight="1" x14ac:dyDescent="0.2">
      <c r="B2197"/>
    </row>
    <row r="2198" spans="2:2" ht="12" customHeight="1" x14ac:dyDescent="0.2">
      <c r="B2198"/>
    </row>
    <row r="2199" spans="2:2" ht="12" customHeight="1" x14ac:dyDescent="0.2">
      <c r="B2199"/>
    </row>
    <row r="2200" spans="2:2" ht="12" customHeight="1" x14ac:dyDescent="0.2">
      <c r="B2200"/>
    </row>
    <row r="2201" spans="2:2" ht="12" customHeight="1" x14ac:dyDescent="0.2">
      <c r="B2201"/>
    </row>
    <row r="2202" spans="2:2" ht="12" customHeight="1" x14ac:dyDescent="0.2">
      <c r="B2202"/>
    </row>
    <row r="2203" spans="2:2" ht="12" customHeight="1" x14ac:dyDescent="0.2">
      <c r="B2203"/>
    </row>
    <row r="2204" spans="2:2" ht="12" customHeight="1" x14ac:dyDescent="0.2">
      <c r="B2204"/>
    </row>
    <row r="2205" spans="2:2" ht="12" customHeight="1" x14ac:dyDescent="0.2">
      <c r="B2205"/>
    </row>
    <row r="2206" spans="2:2" ht="12" customHeight="1" x14ac:dyDescent="0.2">
      <c r="B2206"/>
    </row>
    <row r="2207" spans="2:2" ht="12" customHeight="1" x14ac:dyDescent="0.2">
      <c r="B2207"/>
    </row>
    <row r="2208" spans="2:2" ht="12" customHeight="1" x14ac:dyDescent="0.2">
      <c r="B2208"/>
    </row>
    <row r="2209" spans="2:2" ht="12" customHeight="1" x14ac:dyDescent="0.2">
      <c r="B2209"/>
    </row>
    <row r="2210" spans="2:2" ht="12" customHeight="1" x14ac:dyDescent="0.2">
      <c r="B2210"/>
    </row>
    <row r="2211" spans="2:2" ht="12" customHeight="1" x14ac:dyDescent="0.2">
      <c r="B2211"/>
    </row>
    <row r="2212" spans="2:2" ht="12" customHeight="1" x14ac:dyDescent="0.2">
      <c r="B2212"/>
    </row>
    <row r="2213" spans="2:2" ht="12" customHeight="1" x14ac:dyDescent="0.2">
      <c r="B2213"/>
    </row>
    <row r="2214" spans="2:2" ht="12" customHeight="1" x14ac:dyDescent="0.2">
      <c r="B2214"/>
    </row>
    <row r="2215" spans="2:2" ht="12" customHeight="1" x14ac:dyDescent="0.2">
      <c r="B2215"/>
    </row>
    <row r="2216" spans="2:2" ht="12" customHeight="1" x14ac:dyDescent="0.2">
      <c r="B2216"/>
    </row>
    <row r="2217" spans="2:2" ht="12" customHeight="1" x14ac:dyDescent="0.2">
      <c r="B2217"/>
    </row>
    <row r="2218" spans="2:2" ht="12" customHeight="1" x14ac:dyDescent="0.2">
      <c r="B2218"/>
    </row>
    <row r="2219" spans="2:2" ht="12" customHeight="1" x14ac:dyDescent="0.2">
      <c r="B2219"/>
    </row>
    <row r="2220" spans="2:2" ht="12" customHeight="1" x14ac:dyDescent="0.2">
      <c r="B2220"/>
    </row>
    <row r="2221" spans="2:2" ht="12" customHeight="1" x14ac:dyDescent="0.2">
      <c r="B2221"/>
    </row>
    <row r="2222" spans="2:2" ht="12" customHeight="1" x14ac:dyDescent="0.2">
      <c r="B2222"/>
    </row>
    <row r="2223" spans="2:2" ht="12" customHeight="1" x14ac:dyDescent="0.2">
      <c r="B2223"/>
    </row>
    <row r="2224" spans="2:2" ht="12" customHeight="1" x14ac:dyDescent="0.2">
      <c r="B2224"/>
    </row>
    <row r="2225" spans="2:2" ht="12" customHeight="1" x14ac:dyDescent="0.2">
      <c r="B2225"/>
    </row>
    <row r="2226" spans="2:2" ht="12" customHeight="1" x14ac:dyDescent="0.2">
      <c r="B2226"/>
    </row>
    <row r="2227" spans="2:2" ht="12" customHeight="1" x14ac:dyDescent="0.2">
      <c r="B2227"/>
    </row>
    <row r="2228" spans="2:2" ht="12" customHeight="1" x14ac:dyDescent="0.2">
      <c r="B2228"/>
    </row>
    <row r="2229" spans="2:2" ht="12" customHeight="1" x14ac:dyDescent="0.2">
      <c r="B2229"/>
    </row>
    <row r="2230" spans="2:2" ht="12" customHeight="1" x14ac:dyDescent="0.2">
      <c r="B2230"/>
    </row>
    <row r="2231" spans="2:2" ht="12" customHeight="1" x14ac:dyDescent="0.2">
      <c r="B2231"/>
    </row>
    <row r="2232" spans="2:2" ht="12" customHeight="1" x14ac:dyDescent="0.2">
      <c r="B2232"/>
    </row>
    <row r="2233" spans="2:2" ht="12" customHeight="1" x14ac:dyDescent="0.2">
      <c r="B2233"/>
    </row>
    <row r="2234" spans="2:2" ht="12" customHeight="1" x14ac:dyDescent="0.2">
      <c r="B2234"/>
    </row>
    <row r="2235" spans="2:2" ht="12" customHeight="1" x14ac:dyDescent="0.2">
      <c r="B2235"/>
    </row>
    <row r="2236" spans="2:2" ht="12" customHeight="1" x14ac:dyDescent="0.2">
      <c r="B2236"/>
    </row>
    <row r="2237" spans="2:2" ht="12" customHeight="1" x14ac:dyDescent="0.2">
      <c r="B2237"/>
    </row>
    <row r="2238" spans="2:2" ht="12" customHeight="1" x14ac:dyDescent="0.2">
      <c r="B2238"/>
    </row>
    <row r="2239" spans="2:2" ht="12" customHeight="1" x14ac:dyDescent="0.2">
      <c r="B2239"/>
    </row>
    <row r="2240" spans="2:2" ht="12" customHeight="1" x14ac:dyDescent="0.2">
      <c r="B2240"/>
    </row>
    <row r="2241" spans="2:2" ht="12" customHeight="1" x14ac:dyDescent="0.2">
      <c r="B2241"/>
    </row>
    <row r="2242" spans="2:2" ht="12" customHeight="1" x14ac:dyDescent="0.2">
      <c r="B2242"/>
    </row>
    <row r="2243" spans="2:2" ht="12" customHeight="1" x14ac:dyDescent="0.2">
      <c r="B2243"/>
    </row>
    <row r="2244" spans="2:2" ht="12" customHeight="1" x14ac:dyDescent="0.2">
      <c r="B2244"/>
    </row>
    <row r="2245" spans="2:2" ht="12" customHeight="1" x14ac:dyDescent="0.2">
      <c r="B2245"/>
    </row>
    <row r="2246" spans="2:2" ht="12" customHeight="1" x14ac:dyDescent="0.2">
      <c r="B2246"/>
    </row>
    <row r="2247" spans="2:2" ht="12" customHeight="1" x14ac:dyDescent="0.2">
      <c r="B2247"/>
    </row>
    <row r="2248" spans="2:2" ht="12" customHeight="1" x14ac:dyDescent="0.2">
      <c r="B2248"/>
    </row>
    <row r="2249" spans="2:2" ht="12" customHeight="1" x14ac:dyDescent="0.2">
      <c r="B2249"/>
    </row>
    <row r="2250" spans="2:2" ht="12" customHeight="1" x14ac:dyDescent="0.2">
      <c r="B2250"/>
    </row>
    <row r="2251" spans="2:2" ht="12" customHeight="1" x14ac:dyDescent="0.2">
      <c r="B2251"/>
    </row>
    <row r="2252" spans="2:2" ht="12" customHeight="1" x14ac:dyDescent="0.2">
      <c r="B2252"/>
    </row>
    <row r="2253" spans="2:2" ht="12" customHeight="1" x14ac:dyDescent="0.2">
      <c r="B2253"/>
    </row>
    <row r="2254" spans="2:2" ht="12" customHeight="1" x14ac:dyDescent="0.2">
      <c r="B2254"/>
    </row>
    <row r="2255" spans="2:2" ht="12" customHeight="1" x14ac:dyDescent="0.2">
      <c r="B2255"/>
    </row>
    <row r="2256" spans="2:2" ht="12" customHeight="1" x14ac:dyDescent="0.2">
      <c r="B2256"/>
    </row>
    <row r="2257" spans="2:2" ht="12" customHeight="1" x14ac:dyDescent="0.2">
      <c r="B2257"/>
    </row>
    <row r="2258" spans="2:2" ht="12" customHeight="1" x14ac:dyDescent="0.2">
      <c r="B2258"/>
    </row>
    <row r="2259" spans="2:2" ht="12" customHeight="1" x14ac:dyDescent="0.2">
      <c r="B2259"/>
    </row>
    <row r="2260" spans="2:2" ht="12" customHeight="1" x14ac:dyDescent="0.2">
      <c r="B2260"/>
    </row>
    <row r="2261" spans="2:2" ht="12" customHeight="1" x14ac:dyDescent="0.2">
      <c r="B2261"/>
    </row>
    <row r="2262" spans="2:2" ht="12" customHeight="1" x14ac:dyDescent="0.2">
      <c r="B2262"/>
    </row>
    <row r="2263" spans="2:2" ht="12" customHeight="1" x14ac:dyDescent="0.2">
      <c r="B2263"/>
    </row>
    <row r="2264" spans="2:2" ht="12" customHeight="1" x14ac:dyDescent="0.2">
      <c r="B2264"/>
    </row>
    <row r="2265" spans="2:2" ht="12" customHeight="1" x14ac:dyDescent="0.2">
      <c r="B2265"/>
    </row>
    <row r="2266" spans="2:2" ht="12" customHeight="1" x14ac:dyDescent="0.2">
      <c r="B2266"/>
    </row>
    <row r="2267" spans="2:2" ht="12" customHeight="1" x14ac:dyDescent="0.2">
      <c r="B2267"/>
    </row>
    <row r="2268" spans="2:2" ht="12" customHeight="1" x14ac:dyDescent="0.2">
      <c r="B2268"/>
    </row>
    <row r="2269" spans="2:2" ht="12" customHeight="1" x14ac:dyDescent="0.2">
      <c r="B2269"/>
    </row>
    <row r="2270" spans="2:2" ht="12" customHeight="1" x14ac:dyDescent="0.2">
      <c r="B2270"/>
    </row>
    <row r="2271" spans="2:2" ht="12" customHeight="1" x14ac:dyDescent="0.2">
      <c r="B2271"/>
    </row>
    <row r="2272" spans="2:2" ht="12" customHeight="1" x14ac:dyDescent="0.2">
      <c r="B2272"/>
    </row>
    <row r="2273" spans="2:2" ht="12" customHeight="1" x14ac:dyDescent="0.2">
      <c r="B2273"/>
    </row>
    <row r="2274" spans="2:2" ht="12" customHeight="1" x14ac:dyDescent="0.2">
      <c r="B2274"/>
    </row>
    <row r="2275" spans="2:2" ht="12" customHeight="1" x14ac:dyDescent="0.2">
      <c r="B2275"/>
    </row>
    <row r="2276" spans="2:2" ht="12" customHeight="1" x14ac:dyDescent="0.2">
      <c r="B2276"/>
    </row>
    <row r="2277" spans="2:2" ht="12" customHeight="1" x14ac:dyDescent="0.2">
      <c r="B2277"/>
    </row>
    <row r="2278" spans="2:2" ht="12" customHeight="1" x14ac:dyDescent="0.2">
      <c r="B2278"/>
    </row>
    <row r="2279" spans="2:2" ht="12" customHeight="1" x14ac:dyDescent="0.2">
      <c r="B2279"/>
    </row>
    <row r="2280" spans="2:2" ht="12" customHeight="1" x14ac:dyDescent="0.2">
      <c r="B2280"/>
    </row>
    <row r="2281" spans="2:2" ht="12" customHeight="1" x14ac:dyDescent="0.2">
      <c r="B2281"/>
    </row>
    <row r="2282" spans="2:2" ht="12" customHeight="1" x14ac:dyDescent="0.2">
      <c r="B2282"/>
    </row>
    <row r="2283" spans="2:2" ht="12" customHeight="1" x14ac:dyDescent="0.2">
      <c r="B2283"/>
    </row>
    <row r="2284" spans="2:2" ht="12" customHeight="1" x14ac:dyDescent="0.2">
      <c r="B2284"/>
    </row>
    <row r="2285" spans="2:2" ht="12" customHeight="1" x14ac:dyDescent="0.2">
      <c r="B2285"/>
    </row>
    <row r="2286" spans="2:2" ht="12" customHeight="1" x14ac:dyDescent="0.2">
      <c r="B2286"/>
    </row>
    <row r="2287" spans="2:2" ht="12" customHeight="1" x14ac:dyDescent="0.2">
      <c r="B2287"/>
    </row>
    <row r="2288" spans="2:2" ht="12" customHeight="1" x14ac:dyDescent="0.2">
      <c r="B2288"/>
    </row>
    <row r="2289" spans="2:2" ht="12" customHeight="1" x14ac:dyDescent="0.2">
      <c r="B2289"/>
    </row>
    <row r="2290" spans="2:2" ht="12" customHeight="1" x14ac:dyDescent="0.2">
      <c r="B2290"/>
    </row>
    <row r="2291" spans="2:2" ht="12" customHeight="1" x14ac:dyDescent="0.2">
      <c r="B2291"/>
    </row>
    <row r="2292" spans="2:2" ht="12" customHeight="1" x14ac:dyDescent="0.2">
      <c r="B2292"/>
    </row>
    <row r="2293" spans="2:2" ht="12" customHeight="1" x14ac:dyDescent="0.2">
      <c r="B2293"/>
    </row>
    <row r="2294" spans="2:2" ht="12" customHeight="1" x14ac:dyDescent="0.2">
      <c r="B2294"/>
    </row>
    <row r="2295" spans="2:2" ht="12" customHeight="1" x14ac:dyDescent="0.2">
      <c r="B2295"/>
    </row>
    <row r="2296" spans="2:2" ht="12" customHeight="1" x14ac:dyDescent="0.2">
      <c r="B2296"/>
    </row>
    <row r="2297" spans="2:2" ht="12" customHeight="1" x14ac:dyDescent="0.2">
      <c r="B2297"/>
    </row>
    <row r="2298" spans="2:2" ht="12" customHeight="1" x14ac:dyDescent="0.2">
      <c r="B2298"/>
    </row>
    <row r="2299" spans="2:2" ht="12" customHeight="1" x14ac:dyDescent="0.2">
      <c r="B2299"/>
    </row>
    <row r="2300" spans="2:2" ht="12" customHeight="1" x14ac:dyDescent="0.2">
      <c r="B2300"/>
    </row>
    <row r="2301" spans="2:2" ht="12" customHeight="1" x14ac:dyDescent="0.2">
      <c r="B2301"/>
    </row>
    <row r="2302" spans="2:2" ht="12" customHeight="1" x14ac:dyDescent="0.2">
      <c r="B2302"/>
    </row>
    <row r="2303" spans="2:2" ht="12" customHeight="1" x14ac:dyDescent="0.2">
      <c r="B2303"/>
    </row>
    <row r="2304" spans="2:2" ht="12" customHeight="1" x14ac:dyDescent="0.2">
      <c r="B2304"/>
    </row>
    <row r="2305" spans="2:2" ht="12" customHeight="1" x14ac:dyDescent="0.2">
      <c r="B2305"/>
    </row>
    <row r="2306" spans="2:2" ht="12" customHeight="1" x14ac:dyDescent="0.2">
      <c r="B2306"/>
    </row>
    <row r="2307" spans="2:2" ht="12" customHeight="1" x14ac:dyDescent="0.2">
      <c r="B2307"/>
    </row>
    <row r="2308" spans="2:2" ht="12" customHeight="1" x14ac:dyDescent="0.2">
      <c r="B2308"/>
    </row>
    <row r="2309" spans="2:2" ht="12" customHeight="1" x14ac:dyDescent="0.2">
      <c r="B2309"/>
    </row>
    <row r="2310" spans="2:2" ht="12" customHeight="1" x14ac:dyDescent="0.2">
      <c r="B2310"/>
    </row>
    <row r="2311" spans="2:2" ht="12" customHeight="1" x14ac:dyDescent="0.2">
      <c r="B2311"/>
    </row>
    <row r="2312" spans="2:2" ht="12" customHeight="1" x14ac:dyDescent="0.2">
      <c r="B2312"/>
    </row>
    <row r="2313" spans="2:2" ht="12" customHeight="1" x14ac:dyDescent="0.2">
      <c r="B2313"/>
    </row>
    <row r="2314" spans="2:2" ht="12" customHeight="1" x14ac:dyDescent="0.2">
      <c r="B2314"/>
    </row>
    <row r="2315" spans="2:2" ht="12" customHeight="1" x14ac:dyDescent="0.2">
      <c r="B2315"/>
    </row>
    <row r="2316" spans="2:2" ht="12" customHeight="1" x14ac:dyDescent="0.2">
      <c r="B2316"/>
    </row>
    <row r="2317" spans="2:2" ht="12" customHeight="1" x14ac:dyDescent="0.2">
      <c r="B2317"/>
    </row>
    <row r="2318" spans="2:2" ht="12" customHeight="1" x14ac:dyDescent="0.2">
      <c r="B2318"/>
    </row>
    <row r="2319" spans="2:2" ht="12" customHeight="1" x14ac:dyDescent="0.2">
      <c r="B2319"/>
    </row>
    <row r="2320" spans="2:2" ht="12" customHeight="1" x14ac:dyDescent="0.2">
      <c r="B2320"/>
    </row>
    <row r="2321" spans="2:2" ht="12" customHeight="1" x14ac:dyDescent="0.2">
      <c r="B2321"/>
    </row>
    <row r="2322" spans="2:2" ht="12" customHeight="1" x14ac:dyDescent="0.2">
      <c r="B2322"/>
    </row>
    <row r="2323" spans="2:2" ht="12" customHeight="1" x14ac:dyDescent="0.2">
      <c r="B2323"/>
    </row>
    <row r="2324" spans="2:2" ht="12" customHeight="1" x14ac:dyDescent="0.2">
      <c r="B2324"/>
    </row>
    <row r="2325" spans="2:2" ht="12" customHeight="1" x14ac:dyDescent="0.2">
      <c r="B2325"/>
    </row>
    <row r="2326" spans="2:2" ht="12" customHeight="1" x14ac:dyDescent="0.2">
      <c r="B2326"/>
    </row>
    <row r="2327" spans="2:2" ht="12" customHeight="1" x14ac:dyDescent="0.2">
      <c r="B2327"/>
    </row>
    <row r="2328" spans="2:2" ht="12" customHeight="1" x14ac:dyDescent="0.2">
      <c r="B2328"/>
    </row>
    <row r="2329" spans="2:2" ht="12" customHeight="1" x14ac:dyDescent="0.2">
      <c r="B2329"/>
    </row>
    <row r="2330" spans="2:2" ht="12" customHeight="1" x14ac:dyDescent="0.2">
      <c r="B2330"/>
    </row>
    <row r="2331" spans="2:2" ht="12" customHeight="1" x14ac:dyDescent="0.2">
      <c r="B2331"/>
    </row>
    <row r="2332" spans="2:2" ht="12" customHeight="1" x14ac:dyDescent="0.2">
      <c r="B2332"/>
    </row>
    <row r="2333" spans="2:2" ht="12" customHeight="1" x14ac:dyDescent="0.2">
      <c r="B2333"/>
    </row>
    <row r="2334" spans="2:2" ht="12" customHeight="1" x14ac:dyDescent="0.2">
      <c r="B2334"/>
    </row>
    <row r="2335" spans="2:2" ht="12" customHeight="1" x14ac:dyDescent="0.2">
      <c r="B2335"/>
    </row>
    <row r="2336" spans="2:2" ht="12" customHeight="1" x14ac:dyDescent="0.2">
      <c r="B2336"/>
    </row>
    <row r="2337" spans="2:2" ht="12" customHeight="1" x14ac:dyDescent="0.2">
      <c r="B2337"/>
    </row>
    <row r="2338" spans="2:2" ht="12" customHeight="1" x14ac:dyDescent="0.2">
      <c r="B2338"/>
    </row>
    <row r="2339" spans="2:2" ht="12" customHeight="1" x14ac:dyDescent="0.2">
      <c r="B2339"/>
    </row>
    <row r="2340" spans="2:2" ht="12" customHeight="1" x14ac:dyDescent="0.2">
      <c r="B2340"/>
    </row>
    <row r="2341" spans="2:2" ht="12" customHeight="1" x14ac:dyDescent="0.2">
      <c r="B2341"/>
    </row>
    <row r="2342" spans="2:2" ht="12" customHeight="1" x14ac:dyDescent="0.2">
      <c r="B2342"/>
    </row>
    <row r="2343" spans="2:2" ht="12" customHeight="1" x14ac:dyDescent="0.2">
      <c r="B2343"/>
    </row>
    <row r="2344" spans="2:2" ht="12" customHeight="1" x14ac:dyDescent="0.2">
      <c r="B2344"/>
    </row>
    <row r="2345" spans="2:2" ht="12" customHeight="1" x14ac:dyDescent="0.2">
      <c r="B2345"/>
    </row>
    <row r="2346" spans="2:2" ht="12" customHeight="1" x14ac:dyDescent="0.2">
      <c r="B2346"/>
    </row>
    <row r="2347" spans="2:2" ht="12" customHeight="1" x14ac:dyDescent="0.2">
      <c r="B2347"/>
    </row>
    <row r="2348" spans="2:2" ht="12" customHeight="1" x14ac:dyDescent="0.2">
      <c r="B2348"/>
    </row>
    <row r="2349" spans="2:2" ht="12" customHeight="1" x14ac:dyDescent="0.2">
      <c r="B2349"/>
    </row>
    <row r="2350" spans="2:2" ht="12" customHeight="1" x14ac:dyDescent="0.2">
      <c r="B2350"/>
    </row>
    <row r="2351" spans="2:2" ht="12" customHeight="1" x14ac:dyDescent="0.2">
      <c r="B2351"/>
    </row>
    <row r="2352" spans="2:2" ht="12" customHeight="1" x14ac:dyDescent="0.2">
      <c r="B2352"/>
    </row>
    <row r="2353" spans="2:2" ht="12" customHeight="1" x14ac:dyDescent="0.2">
      <c r="B2353"/>
    </row>
    <row r="2354" spans="2:2" ht="12" customHeight="1" x14ac:dyDescent="0.2">
      <c r="B2354"/>
    </row>
    <row r="2355" spans="2:2" ht="12" customHeight="1" x14ac:dyDescent="0.2">
      <c r="B2355"/>
    </row>
    <row r="2356" spans="2:2" ht="12" customHeight="1" x14ac:dyDescent="0.2">
      <c r="B2356"/>
    </row>
    <row r="2357" spans="2:2" ht="12" customHeight="1" x14ac:dyDescent="0.2">
      <c r="B2357"/>
    </row>
    <row r="2358" spans="2:2" ht="12" customHeight="1" x14ac:dyDescent="0.2">
      <c r="B2358"/>
    </row>
    <row r="2359" spans="2:2" ht="12" customHeight="1" x14ac:dyDescent="0.2">
      <c r="B2359"/>
    </row>
    <row r="2360" spans="2:2" ht="12" customHeight="1" x14ac:dyDescent="0.2">
      <c r="B2360"/>
    </row>
    <row r="2361" spans="2:2" ht="12" customHeight="1" x14ac:dyDescent="0.2">
      <c r="B2361"/>
    </row>
    <row r="2362" spans="2:2" ht="12" customHeight="1" x14ac:dyDescent="0.2">
      <c r="B2362"/>
    </row>
    <row r="2363" spans="2:2" ht="12" customHeight="1" x14ac:dyDescent="0.2">
      <c r="B2363"/>
    </row>
    <row r="2364" spans="2:2" ht="12" customHeight="1" x14ac:dyDescent="0.2">
      <c r="B2364"/>
    </row>
    <row r="2365" spans="2:2" ht="12" customHeight="1" x14ac:dyDescent="0.2">
      <c r="B2365"/>
    </row>
    <row r="2366" spans="2:2" ht="12" customHeight="1" x14ac:dyDescent="0.2">
      <c r="B2366"/>
    </row>
    <row r="2367" spans="2:2" ht="12" customHeight="1" x14ac:dyDescent="0.2">
      <c r="B2367"/>
    </row>
    <row r="2368" spans="2:2" ht="12" customHeight="1" x14ac:dyDescent="0.2">
      <c r="B2368"/>
    </row>
    <row r="2369" spans="2:2" ht="12" customHeight="1" x14ac:dyDescent="0.2">
      <c r="B2369"/>
    </row>
    <row r="2370" spans="2:2" ht="12" customHeight="1" x14ac:dyDescent="0.2">
      <c r="B2370"/>
    </row>
    <row r="2371" spans="2:2" ht="12" customHeight="1" x14ac:dyDescent="0.2">
      <c r="B2371"/>
    </row>
    <row r="2372" spans="2:2" ht="12" customHeight="1" x14ac:dyDescent="0.2">
      <c r="B2372"/>
    </row>
    <row r="2373" spans="2:2" ht="12" customHeight="1" x14ac:dyDescent="0.2">
      <c r="B2373"/>
    </row>
    <row r="2374" spans="2:2" ht="12" customHeight="1" x14ac:dyDescent="0.2">
      <c r="B2374"/>
    </row>
    <row r="2375" spans="2:2" ht="12" customHeight="1" x14ac:dyDescent="0.2">
      <c r="B2375"/>
    </row>
    <row r="2376" spans="2:2" ht="12" customHeight="1" x14ac:dyDescent="0.2">
      <c r="B2376"/>
    </row>
    <row r="2377" spans="2:2" ht="12" customHeight="1" x14ac:dyDescent="0.2">
      <c r="B2377"/>
    </row>
    <row r="2378" spans="2:2" ht="12" customHeight="1" x14ac:dyDescent="0.2">
      <c r="B2378"/>
    </row>
    <row r="2379" spans="2:2" ht="12" customHeight="1" x14ac:dyDescent="0.2">
      <c r="B2379"/>
    </row>
    <row r="2380" spans="2:2" ht="12" customHeight="1" x14ac:dyDescent="0.2">
      <c r="B2380"/>
    </row>
    <row r="2381" spans="2:2" ht="12" customHeight="1" x14ac:dyDescent="0.2">
      <c r="B2381"/>
    </row>
    <row r="2382" spans="2:2" ht="12" customHeight="1" x14ac:dyDescent="0.2">
      <c r="B2382"/>
    </row>
    <row r="2383" spans="2:2" ht="12" customHeight="1" x14ac:dyDescent="0.2">
      <c r="B2383"/>
    </row>
    <row r="2384" spans="2:2" ht="12" customHeight="1" x14ac:dyDescent="0.2">
      <c r="B2384"/>
    </row>
    <row r="2385" spans="2:2" ht="12" customHeight="1" x14ac:dyDescent="0.2">
      <c r="B2385"/>
    </row>
    <row r="2386" spans="2:2" ht="12" customHeight="1" x14ac:dyDescent="0.2">
      <c r="B2386"/>
    </row>
    <row r="2387" spans="2:2" ht="12" customHeight="1" x14ac:dyDescent="0.2">
      <c r="B2387"/>
    </row>
    <row r="2388" spans="2:2" ht="12" customHeight="1" x14ac:dyDescent="0.2">
      <c r="B2388"/>
    </row>
    <row r="2389" spans="2:2" ht="12" customHeight="1" x14ac:dyDescent="0.2">
      <c r="B2389"/>
    </row>
    <row r="2390" spans="2:2" ht="12" customHeight="1" x14ac:dyDescent="0.2">
      <c r="B2390"/>
    </row>
    <row r="2391" spans="2:2" ht="12" customHeight="1" x14ac:dyDescent="0.2">
      <c r="B2391"/>
    </row>
    <row r="2392" spans="2:2" ht="12" customHeight="1" x14ac:dyDescent="0.2">
      <c r="B2392"/>
    </row>
    <row r="2393" spans="2:2" ht="12" customHeight="1" x14ac:dyDescent="0.2">
      <c r="B2393"/>
    </row>
    <row r="2394" spans="2:2" ht="12" customHeight="1" x14ac:dyDescent="0.2">
      <c r="B2394"/>
    </row>
    <row r="2395" spans="2:2" ht="12" customHeight="1" x14ac:dyDescent="0.2">
      <c r="B2395"/>
    </row>
    <row r="2396" spans="2:2" ht="12" customHeight="1" x14ac:dyDescent="0.2">
      <c r="B2396"/>
    </row>
    <row r="2397" spans="2:2" ht="12" customHeight="1" x14ac:dyDescent="0.2">
      <c r="B2397"/>
    </row>
    <row r="2398" spans="2:2" ht="12" customHeight="1" x14ac:dyDescent="0.2">
      <c r="B2398"/>
    </row>
    <row r="2399" spans="2:2" ht="12" customHeight="1" x14ac:dyDescent="0.2">
      <c r="B2399"/>
    </row>
    <row r="2400" spans="2:2" ht="12" customHeight="1" x14ac:dyDescent="0.2">
      <c r="B2400"/>
    </row>
    <row r="2401" spans="2:2" ht="12" customHeight="1" x14ac:dyDescent="0.2">
      <c r="B2401"/>
    </row>
    <row r="2402" spans="2:2" ht="12" customHeight="1" x14ac:dyDescent="0.2">
      <c r="B2402"/>
    </row>
    <row r="2403" spans="2:2" ht="12" customHeight="1" x14ac:dyDescent="0.2">
      <c r="B2403"/>
    </row>
    <row r="2404" spans="2:2" ht="12" customHeight="1" x14ac:dyDescent="0.2">
      <c r="B2404"/>
    </row>
    <row r="2405" spans="2:2" ht="12" customHeight="1" x14ac:dyDescent="0.2">
      <c r="B2405"/>
    </row>
    <row r="2406" spans="2:2" ht="12" customHeight="1" x14ac:dyDescent="0.2">
      <c r="B2406"/>
    </row>
    <row r="2407" spans="2:2" ht="12" customHeight="1" x14ac:dyDescent="0.2">
      <c r="B2407"/>
    </row>
    <row r="2408" spans="2:2" ht="12" customHeight="1" x14ac:dyDescent="0.2">
      <c r="B2408"/>
    </row>
    <row r="2409" spans="2:2" ht="12" customHeight="1" x14ac:dyDescent="0.2">
      <c r="B2409"/>
    </row>
    <row r="2410" spans="2:2" ht="12" customHeight="1" x14ac:dyDescent="0.2">
      <c r="B2410"/>
    </row>
    <row r="2411" spans="2:2" ht="12" customHeight="1" x14ac:dyDescent="0.2">
      <c r="B2411"/>
    </row>
    <row r="2412" spans="2:2" ht="12" customHeight="1" x14ac:dyDescent="0.2">
      <c r="B2412"/>
    </row>
    <row r="2413" spans="2:2" ht="12" customHeight="1" x14ac:dyDescent="0.2">
      <c r="B2413"/>
    </row>
    <row r="2414" spans="2:2" ht="12" customHeight="1" x14ac:dyDescent="0.2">
      <c r="B2414"/>
    </row>
    <row r="2415" spans="2:2" ht="12" customHeight="1" x14ac:dyDescent="0.2">
      <c r="B2415"/>
    </row>
    <row r="2416" spans="2:2" ht="12" customHeight="1" x14ac:dyDescent="0.2">
      <c r="B2416"/>
    </row>
    <row r="2417" spans="2:2" ht="12" customHeight="1" x14ac:dyDescent="0.2">
      <c r="B2417"/>
    </row>
    <row r="2418" spans="2:2" ht="12" customHeight="1" x14ac:dyDescent="0.2">
      <c r="B2418"/>
    </row>
    <row r="2419" spans="2:2" ht="12" customHeight="1" x14ac:dyDescent="0.2">
      <c r="B2419"/>
    </row>
    <row r="2420" spans="2:2" ht="12" customHeight="1" x14ac:dyDescent="0.2">
      <c r="B2420"/>
    </row>
    <row r="2421" spans="2:2" ht="12" customHeight="1" x14ac:dyDescent="0.2">
      <c r="B2421"/>
    </row>
    <row r="2422" spans="2:2" ht="12" customHeight="1" x14ac:dyDescent="0.2">
      <c r="B2422"/>
    </row>
    <row r="2423" spans="2:2" ht="12" customHeight="1" x14ac:dyDescent="0.2">
      <c r="B2423"/>
    </row>
    <row r="2424" spans="2:2" ht="12" customHeight="1" x14ac:dyDescent="0.2">
      <c r="B2424"/>
    </row>
    <row r="2425" spans="2:2" ht="12" customHeight="1" x14ac:dyDescent="0.2">
      <c r="B2425"/>
    </row>
    <row r="2426" spans="2:2" ht="12" customHeight="1" x14ac:dyDescent="0.2">
      <c r="B2426"/>
    </row>
    <row r="2427" spans="2:2" ht="12" customHeight="1" x14ac:dyDescent="0.2">
      <c r="B2427"/>
    </row>
    <row r="2428" spans="2:2" ht="12" customHeight="1" x14ac:dyDescent="0.2">
      <c r="B2428"/>
    </row>
    <row r="2429" spans="2:2" ht="12" customHeight="1" x14ac:dyDescent="0.2">
      <c r="B2429"/>
    </row>
    <row r="2430" spans="2:2" ht="12" customHeight="1" x14ac:dyDescent="0.2">
      <c r="B2430"/>
    </row>
    <row r="2431" spans="2:2" ht="12" customHeight="1" x14ac:dyDescent="0.2">
      <c r="B2431"/>
    </row>
    <row r="2432" spans="2:2" ht="12" customHeight="1" x14ac:dyDescent="0.2">
      <c r="B2432"/>
    </row>
    <row r="2433" spans="2:2" ht="12" customHeight="1" x14ac:dyDescent="0.2">
      <c r="B2433"/>
    </row>
    <row r="2434" spans="2:2" ht="12" customHeight="1" x14ac:dyDescent="0.2">
      <c r="B2434"/>
    </row>
    <row r="2435" spans="2:2" ht="12" customHeight="1" x14ac:dyDescent="0.2">
      <c r="B2435"/>
    </row>
    <row r="2436" spans="2:2" ht="12" customHeight="1" x14ac:dyDescent="0.2">
      <c r="B2436"/>
    </row>
    <row r="2437" spans="2:2" ht="12" customHeight="1" x14ac:dyDescent="0.2">
      <c r="B2437"/>
    </row>
    <row r="2438" spans="2:2" ht="12" customHeight="1" x14ac:dyDescent="0.2">
      <c r="B2438"/>
    </row>
    <row r="2439" spans="2:2" ht="12" customHeight="1" x14ac:dyDescent="0.2">
      <c r="B2439"/>
    </row>
    <row r="2440" spans="2:2" ht="12" customHeight="1" x14ac:dyDescent="0.2">
      <c r="B2440"/>
    </row>
    <row r="2441" spans="2:2" ht="12" customHeight="1" x14ac:dyDescent="0.2">
      <c r="B2441"/>
    </row>
    <row r="2442" spans="2:2" ht="12" customHeight="1" x14ac:dyDescent="0.2">
      <c r="B2442"/>
    </row>
    <row r="2443" spans="2:2" ht="12" customHeight="1" x14ac:dyDescent="0.2">
      <c r="B2443"/>
    </row>
    <row r="2444" spans="2:2" ht="12" customHeight="1" x14ac:dyDescent="0.2">
      <c r="B2444"/>
    </row>
    <row r="2445" spans="2:2" ht="12" customHeight="1" x14ac:dyDescent="0.2">
      <c r="B2445"/>
    </row>
    <row r="2446" spans="2:2" ht="12" customHeight="1" x14ac:dyDescent="0.2">
      <c r="B2446"/>
    </row>
    <row r="2447" spans="2:2" ht="12" customHeight="1" x14ac:dyDescent="0.2">
      <c r="B2447"/>
    </row>
    <row r="2448" spans="2:2" ht="12" customHeight="1" x14ac:dyDescent="0.2">
      <c r="B2448"/>
    </row>
    <row r="2449" spans="2:2" ht="12" customHeight="1" x14ac:dyDescent="0.2">
      <c r="B2449"/>
    </row>
    <row r="2450" spans="2:2" ht="12" customHeight="1" x14ac:dyDescent="0.2">
      <c r="B2450"/>
    </row>
    <row r="2451" spans="2:2" ht="12" customHeight="1" x14ac:dyDescent="0.2">
      <c r="B2451"/>
    </row>
    <row r="2452" spans="2:2" ht="12" customHeight="1" x14ac:dyDescent="0.2">
      <c r="B2452"/>
    </row>
    <row r="2453" spans="2:2" ht="12" customHeight="1" x14ac:dyDescent="0.2">
      <c r="B2453"/>
    </row>
    <row r="2454" spans="2:2" ht="12" customHeight="1" x14ac:dyDescent="0.2">
      <c r="B2454"/>
    </row>
    <row r="2455" spans="2:2" ht="12" customHeight="1" x14ac:dyDescent="0.2">
      <c r="B2455"/>
    </row>
    <row r="2456" spans="2:2" ht="12" customHeight="1" x14ac:dyDescent="0.2">
      <c r="B2456"/>
    </row>
    <row r="2457" spans="2:2" ht="12" customHeight="1" x14ac:dyDescent="0.2">
      <c r="B2457"/>
    </row>
    <row r="2458" spans="2:2" ht="12" customHeight="1" x14ac:dyDescent="0.2">
      <c r="B2458"/>
    </row>
    <row r="2459" spans="2:2" ht="12" customHeight="1" x14ac:dyDescent="0.2">
      <c r="B2459"/>
    </row>
    <row r="2460" spans="2:2" ht="12" customHeight="1" x14ac:dyDescent="0.2">
      <c r="B2460"/>
    </row>
    <row r="2461" spans="2:2" ht="12" customHeight="1" x14ac:dyDescent="0.2">
      <c r="B2461"/>
    </row>
    <row r="2462" spans="2:2" ht="12" customHeight="1" x14ac:dyDescent="0.2">
      <c r="B2462"/>
    </row>
    <row r="2463" spans="2:2" ht="12" customHeight="1" x14ac:dyDescent="0.2">
      <c r="B2463"/>
    </row>
    <row r="2464" spans="2:2" ht="12" customHeight="1" x14ac:dyDescent="0.2">
      <c r="B2464"/>
    </row>
    <row r="2465" spans="2:2" ht="12" customHeight="1" x14ac:dyDescent="0.2">
      <c r="B2465"/>
    </row>
    <row r="2466" spans="2:2" ht="12" customHeight="1" x14ac:dyDescent="0.2">
      <c r="B2466"/>
    </row>
    <row r="2467" spans="2:2" ht="12" customHeight="1" x14ac:dyDescent="0.2">
      <c r="B2467"/>
    </row>
    <row r="2468" spans="2:2" ht="12" customHeight="1" x14ac:dyDescent="0.2">
      <c r="B2468"/>
    </row>
    <row r="2469" spans="2:2" ht="12" customHeight="1" x14ac:dyDescent="0.2">
      <c r="B2469"/>
    </row>
    <row r="2470" spans="2:2" ht="12" customHeight="1" x14ac:dyDescent="0.2">
      <c r="B2470"/>
    </row>
    <row r="2471" spans="2:2" ht="12" customHeight="1" x14ac:dyDescent="0.2">
      <c r="B2471"/>
    </row>
    <row r="2472" spans="2:2" ht="12" customHeight="1" x14ac:dyDescent="0.2">
      <c r="B2472"/>
    </row>
    <row r="2473" spans="2:2" ht="12" customHeight="1" x14ac:dyDescent="0.2">
      <c r="B2473"/>
    </row>
    <row r="2474" spans="2:2" ht="12" customHeight="1" x14ac:dyDescent="0.2">
      <c r="B2474"/>
    </row>
    <row r="2475" spans="2:2" ht="12" customHeight="1" x14ac:dyDescent="0.2">
      <c r="B2475"/>
    </row>
    <row r="2476" spans="2:2" ht="12" customHeight="1" x14ac:dyDescent="0.2">
      <c r="B2476"/>
    </row>
    <row r="2477" spans="2:2" ht="12" customHeight="1" x14ac:dyDescent="0.2">
      <c r="B2477"/>
    </row>
    <row r="2478" spans="2:2" ht="12" customHeight="1" x14ac:dyDescent="0.2">
      <c r="B2478"/>
    </row>
    <row r="2479" spans="2:2" ht="12" customHeight="1" x14ac:dyDescent="0.2">
      <c r="B2479"/>
    </row>
    <row r="2480" spans="2:2" ht="12" customHeight="1" x14ac:dyDescent="0.2">
      <c r="B2480"/>
    </row>
    <row r="2481" spans="2:2" ht="12" customHeight="1" x14ac:dyDescent="0.2">
      <c r="B2481"/>
    </row>
    <row r="2482" spans="2:2" ht="12" customHeight="1" x14ac:dyDescent="0.2">
      <c r="B2482"/>
    </row>
    <row r="2483" spans="2:2" ht="12" customHeight="1" x14ac:dyDescent="0.2">
      <c r="B2483"/>
    </row>
    <row r="2484" spans="2:2" ht="12" customHeight="1" x14ac:dyDescent="0.2">
      <c r="B2484"/>
    </row>
    <row r="2485" spans="2:2" ht="12" customHeight="1" x14ac:dyDescent="0.2">
      <c r="B2485"/>
    </row>
    <row r="2486" spans="2:2" ht="12" customHeight="1" x14ac:dyDescent="0.2">
      <c r="B2486"/>
    </row>
    <row r="2487" spans="2:2" ht="12" customHeight="1" x14ac:dyDescent="0.2">
      <c r="B2487"/>
    </row>
    <row r="2488" spans="2:2" ht="12" customHeight="1" x14ac:dyDescent="0.2">
      <c r="B2488"/>
    </row>
    <row r="2489" spans="2:2" ht="12" customHeight="1" x14ac:dyDescent="0.2">
      <c r="B2489"/>
    </row>
    <row r="2490" spans="2:2" ht="12" customHeight="1" x14ac:dyDescent="0.2">
      <c r="B2490"/>
    </row>
    <row r="2491" spans="2:2" ht="12" customHeight="1" x14ac:dyDescent="0.2">
      <c r="B2491"/>
    </row>
    <row r="2492" spans="2:2" ht="12" customHeight="1" x14ac:dyDescent="0.2">
      <c r="B2492"/>
    </row>
    <row r="2493" spans="2:2" ht="12" customHeight="1" x14ac:dyDescent="0.2">
      <c r="B2493"/>
    </row>
    <row r="2494" spans="2:2" ht="12" customHeight="1" x14ac:dyDescent="0.2">
      <c r="B2494"/>
    </row>
    <row r="2495" spans="2:2" ht="12" customHeight="1" x14ac:dyDescent="0.2">
      <c r="B2495"/>
    </row>
    <row r="2496" spans="2:2" ht="12" customHeight="1" x14ac:dyDescent="0.2">
      <c r="B2496"/>
    </row>
    <row r="2497" spans="2:2" ht="12" customHeight="1" x14ac:dyDescent="0.2">
      <c r="B2497"/>
    </row>
    <row r="2498" spans="2:2" ht="12" customHeight="1" x14ac:dyDescent="0.2">
      <c r="B2498"/>
    </row>
    <row r="2499" spans="2:2" ht="12" customHeight="1" x14ac:dyDescent="0.2">
      <c r="B2499"/>
    </row>
    <row r="2500" spans="2:2" ht="12" customHeight="1" x14ac:dyDescent="0.2">
      <c r="B2500"/>
    </row>
    <row r="2501" spans="2:2" ht="12" customHeight="1" x14ac:dyDescent="0.2">
      <c r="B2501"/>
    </row>
    <row r="2502" spans="2:2" ht="12" customHeight="1" x14ac:dyDescent="0.2">
      <c r="B2502"/>
    </row>
    <row r="2503" spans="2:2" ht="12" customHeight="1" x14ac:dyDescent="0.2">
      <c r="B2503"/>
    </row>
    <row r="2504" spans="2:2" ht="12" customHeight="1" x14ac:dyDescent="0.2">
      <c r="B2504"/>
    </row>
    <row r="2505" spans="2:2" ht="12" customHeight="1" x14ac:dyDescent="0.2">
      <c r="B2505"/>
    </row>
    <row r="2506" spans="2:2" ht="12" customHeight="1" x14ac:dyDescent="0.2">
      <c r="B2506"/>
    </row>
    <row r="2507" spans="2:2" ht="12" customHeight="1" x14ac:dyDescent="0.2">
      <c r="B2507"/>
    </row>
    <row r="2508" spans="2:2" ht="12" customHeight="1" x14ac:dyDescent="0.2">
      <c r="B2508"/>
    </row>
    <row r="2509" spans="2:2" ht="12" customHeight="1" x14ac:dyDescent="0.2">
      <c r="B2509"/>
    </row>
    <row r="2510" spans="2:2" ht="12" customHeight="1" x14ac:dyDescent="0.2">
      <c r="B2510"/>
    </row>
    <row r="2511" spans="2:2" ht="12" customHeight="1" x14ac:dyDescent="0.2">
      <c r="B2511"/>
    </row>
    <row r="2512" spans="2:2" ht="12" customHeight="1" x14ac:dyDescent="0.2">
      <c r="B2512"/>
    </row>
    <row r="2513" spans="2:2" ht="12" customHeight="1" x14ac:dyDescent="0.2">
      <c r="B2513"/>
    </row>
    <row r="2514" spans="2:2" ht="12" customHeight="1" x14ac:dyDescent="0.2">
      <c r="B2514"/>
    </row>
    <row r="2515" spans="2:2" ht="12" customHeight="1" x14ac:dyDescent="0.2">
      <c r="B2515"/>
    </row>
    <row r="2516" spans="2:2" ht="12" customHeight="1" x14ac:dyDescent="0.2">
      <c r="B2516"/>
    </row>
    <row r="2517" spans="2:2" ht="12" customHeight="1" x14ac:dyDescent="0.2">
      <c r="B2517"/>
    </row>
    <row r="2518" spans="2:2" ht="12" customHeight="1" x14ac:dyDescent="0.2">
      <c r="B2518"/>
    </row>
    <row r="2519" spans="2:2" ht="12" customHeight="1" x14ac:dyDescent="0.2">
      <c r="B2519"/>
    </row>
    <row r="2520" spans="2:2" ht="12" customHeight="1" x14ac:dyDescent="0.2">
      <c r="B2520"/>
    </row>
    <row r="2521" spans="2:2" ht="12" customHeight="1" x14ac:dyDescent="0.2">
      <c r="B2521"/>
    </row>
    <row r="2522" spans="2:2" ht="12" customHeight="1" x14ac:dyDescent="0.2">
      <c r="B2522"/>
    </row>
    <row r="2523" spans="2:2" ht="12" customHeight="1" x14ac:dyDescent="0.2">
      <c r="B2523"/>
    </row>
    <row r="2524" spans="2:2" ht="12" customHeight="1" x14ac:dyDescent="0.2">
      <c r="B2524"/>
    </row>
    <row r="2525" spans="2:2" ht="12" customHeight="1" x14ac:dyDescent="0.2">
      <c r="B2525"/>
    </row>
    <row r="2526" spans="2:2" ht="12" customHeight="1" x14ac:dyDescent="0.2">
      <c r="B2526"/>
    </row>
    <row r="2527" spans="2:2" ht="12" customHeight="1" x14ac:dyDescent="0.2">
      <c r="B2527"/>
    </row>
    <row r="2528" spans="2:2" ht="12" customHeight="1" x14ac:dyDescent="0.2">
      <c r="B2528"/>
    </row>
    <row r="2529" spans="2:2" ht="12" customHeight="1" x14ac:dyDescent="0.2">
      <c r="B2529"/>
    </row>
    <row r="2530" spans="2:2" ht="12" customHeight="1" x14ac:dyDescent="0.2">
      <c r="B2530"/>
    </row>
    <row r="2531" spans="2:2" ht="12" customHeight="1" x14ac:dyDescent="0.2">
      <c r="B2531"/>
    </row>
    <row r="2532" spans="2:2" ht="12" customHeight="1" x14ac:dyDescent="0.2">
      <c r="B2532"/>
    </row>
    <row r="2533" spans="2:2" ht="12" customHeight="1" x14ac:dyDescent="0.2">
      <c r="B2533"/>
    </row>
    <row r="2534" spans="2:2" ht="12" customHeight="1" x14ac:dyDescent="0.2">
      <c r="B2534"/>
    </row>
    <row r="2535" spans="2:2" ht="12" customHeight="1" x14ac:dyDescent="0.2">
      <c r="B2535"/>
    </row>
    <row r="2536" spans="2:2" ht="12" customHeight="1" x14ac:dyDescent="0.2">
      <c r="B2536"/>
    </row>
    <row r="2537" spans="2:2" ht="12" customHeight="1" x14ac:dyDescent="0.2">
      <c r="B2537"/>
    </row>
    <row r="2538" spans="2:2" ht="12" customHeight="1" x14ac:dyDescent="0.2">
      <c r="B2538"/>
    </row>
    <row r="2539" spans="2:2" ht="12" customHeight="1" x14ac:dyDescent="0.2">
      <c r="B2539"/>
    </row>
    <row r="2540" spans="2:2" ht="12" customHeight="1" x14ac:dyDescent="0.2">
      <c r="B2540"/>
    </row>
    <row r="2541" spans="2:2" ht="12" customHeight="1" x14ac:dyDescent="0.2">
      <c r="B2541"/>
    </row>
    <row r="2542" spans="2:2" ht="12" customHeight="1" x14ac:dyDescent="0.2">
      <c r="B2542"/>
    </row>
    <row r="2543" spans="2:2" ht="12" customHeight="1" x14ac:dyDescent="0.2">
      <c r="B2543"/>
    </row>
    <row r="2544" spans="2:2" ht="12" customHeight="1" x14ac:dyDescent="0.2">
      <c r="B2544"/>
    </row>
    <row r="2545" spans="2:2" ht="12" customHeight="1" x14ac:dyDescent="0.2">
      <c r="B2545"/>
    </row>
    <row r="2546" spans="2:2" ht="12" customHeight="1" x14ac:dyDescent="0.2">
      <c r="B2546"/>
    </row>
    <row r="2547" spans="2:2" ht="12" customHeight="1" x14ac:dyDescent="0.2">
      <c r="B2547"/>
    </row>
    <row r="2548" spans="2:2" ht="12" customHeight="1" x14ac:dyDescent="0.2">
      <c r="B2548"/>
    </row>
    <row r="2549" spans="2:2" ht="12" customHeight="1" x14ac:dyDescent="0.2">
      <c r="B2549"/>
    </row>
    <row r="2550" spans="2:2" ht="12" customHeight="1" x14ac:dyDescent="0.2">
      <c r="B2550"/>
    </row>
    <row r="2551" spans="2:2" ht="12" customHeight="1" x14ac:dyDescent="0.2">
      <c r="B2551"/>
    </row>
    <row r="2552" spans="2:2" ht="12" customHeight="1" x14ac:dyDescent="0.2">
      <c r="B2552"/>
    </row>
    <row r="2553" spans="2:2" ht="12" customHeight="1" x14ac:dyDescent="0.2">
      <c r="B2553"/>
    </row>
    <row r="2554" spans="2:2" ht="12" customHeight="1" x14ac:dyDescent="0.2">
      <c r="B2554"/>
    </row>
    <row r="2555" spans="2:2" ht="12" customHeight="1" x14ac:dyDescent="0.2">
      <c r="B2555"/>
    </row>
    <row r="2556" spans="2:2" ht="12" customHeight="1" x14ac:dyDescent="0.2">
      <c r="B2556"/>
    </row>
    <row r="2557" spans="2:2" ht="12" customHeight="1" x14ac:dyDescent="0.2">
      <c r="B2557"/>
    </row>
    <row r="2558" spans="2:2" ht="12" customHeight="1" x14ac:dyDescent="0.2">
      <c r="B2558"/>
    </row>
    <row r="2559" spans="2:2" ht="12" customHeight="1" x14ac:dyDescent="0.2">
      <c r="B2559"/>
    </row>
    <row r="2560" spans="2:2" ht="12" customHeight="1" x14ac:dyDescent="0.2">
      <c r="B2560"/>
    </row>
    <row r="2561" spans="2:2" ht="12" customHeight="1" x14ac:dyDescent="0.2">
      <c r="B2561"/>
    </row>
    <row r="2562" spans="2:2" ht="12" customHeight="1" x14ac:dyDescent="0.2">
      <c r="B2562"/>
    </row>
    <row r="2563" spans="2:2" ht="12" customHeight="1" x14ac:dyDescent="0.2">
      <c r="B2563"/>
    </row>
    <row r="2564" spans="2:2" ht="12" customHeight="1" x14ac:dyDescent="0.2">
      <c r="B2564"/>
    </row>
    <row r="2565" spans="2:2" ht="12" customHeight="1" x14ac:dyDescent="0.2">
      <c r="B2565"/>
    </row>
    <row r="2566" spans="2:2" ht="12" customHeight="1" x14ac:dyDescent="0.2">
      <c r="B2566"/>
    </row>
    <row r="2567" spans="2:2" ht="12" customHeight="1" x14ac:dyDescent="0.2">
      <c r="B2567"/>
    </row>
    <row r="2568" spans="2:2" ht="12" customHeight="1" x14ac:dyDescent="0.2">
      <c r="B2568"/>
    </row>
    <row r="2569" spans="2:2" ht="12" customHeight="1" x14ac:dyDescent="0.2">
      <c r="B2569"/>
    </row>
    <row r="2570" spans="2:2" ht="12" customHeight="1" x14ac:dyDescent="0.2">
      <c r="B2570"/>
    </row>
    <row r="2571" spans="2:2" ht="12" customHeight="1" x14ac:dyDescent="0.2">
      <c r="B2571"/>
    </row>
    <row r="2572" spans="2:2" ht="12" customHeight="1" x14ac:dyDescent="0.2">
      <c r="B2572"/>
    </row>
    <row r="2573" spans="2:2" ht="12" customHeight="1" x14ac:dyDescent="0.2">
      <c r="B2573"/>
    </row>
    <row r="2574" spans="2:2" ht="12" customHeight="1" x14ac:dyDescent="0.2">
      <c r="B2574"/>
    </row>
    <row r="2575" spans="2:2" ht="12" customHeight="1" x14ac:dyDescent="0.2">
      <c r="B2575"/>
    </row>
    <row r="2576" spans="2:2" ht="12" customHeight="1" x14ac:dyDescent="0.2">
      <c r="B2576"/>
    </row>
    <row r="2577" spans="2:2" ht="12" customHeight="1" x14ac:dyDescent="0.2">
      <c r="B2577"/>
    </row>
    <row r="2578" spans="2:2" ht="12" customHeight="1" x14ac:dyDescent="0.2">
      <c r="B2578"/>
    </row>
    <row r="2579" spans="2:2" ht="12" customHeight="1" x14ac:dyDescent="0.2">
      <c r="B2579"/>
    </row>
    <row r="2580" spans="2:2" ht="12" customHeight="1" x14ac:dyDescent="0.2">
      <c r="B2580"/>
    </row>
    <row r="2581" spans="2:2" ht="12" customHeight="1" x14ac:dyDescent="0.2">
      <c r="B2581"/>
    </row>
    <row r="2582" spans="2:2" ht="12" customHeight="1" x14ac:dyDescent="0.2">
      <c r="B2582"/>
    </row>
    <row r="2583" spans="2:2" ht="12" customHeight="1" x14ac:dyDescent="0.2">
      <c r="B2583"/>
    </row>
    <row r="2584" spans="2:2" ht="12" customHeight="1" x14ac:dyDescent="0.2">
      <c r="B2584"/>
    </row>
    <row r="2585" spans="2:2" ht="12" customHeight="1" x14ac:dyDescent="0.2">
      <c r="B2585"/>
    </row>
    <row r="2586" spans="2:2" ht="12" customHeight="1" x14ac:dyDescent="0.2">
      <c r="B2586"/>
    </row>
    <row r="2587" spans="2:2" ht="12" customHeight="1" x14ac:dyDescent="0.2">
      <c r="B2587"/>
    </row>
    <row r="2588" spans="2:2" ht="12" customHeight="1" x14ac:dyDescent="0.2">
      <c r="B2588"/>
    </row>
    <row r="2589" spans="2:2" ht="12" customHeight="1" x14ac:dyDescent="0.2">
      <c r="B2589"/>
    </row>
    <row r="2590" spans="2:2" ht="12" customHeight="1" x14ac:dyDescent="0.2">
      <c r="B2590"/>
    </row>
    <row r="2591" spans="2:2" ht="12" customHeight="1" x14ac:dyDescent="0.2">
      <c r="B2591"/>
    </row>
    <row r="2592" spans="2:2" ht="12" customHeight="1" x14ac:dyDescent="0.2">
      <c r="B2592"/>
    </row>
    <row r="2593" spans="2:2" ht="12" customHeight="1" x14ac:dyDescent="0.2">
      <c r="B2593"/>
    </row>
    <row r="2594" spans="2:2" ht="12" customHeight="1" x14ac:dyDescent="0.2">
      <c r="B2594"/>
    </row>
    <row r="2595" spans="2:2" ht="12" customHeight="1" x14ac:dyDescent="0.2">
      <c r="B2595"/>
    </row>
    <row r="2596" spans="2:2" ht="12" customHeight="1" x14ac:dyDescent="0.2">
      <c r="B2596"/>
    </row>
    <row r="2597" spans="2:2" ht="12" customHeight="1" x14ac:dyDescent="0.2">
      <c r="B2597"/>
    </row>
    <row r="2598" spans="2:2" ht="12" customHeight="1" x14ac:dyDescent="0.2">
      <c r="B2598"/>
    </row>
    <row r="2599" spans="2:2" ht="12" customHeight="1" x14ac:dyDescent="0.2">
      <c r="B2599"/>
    </row>
    <row r="2600" spans="2:2" ht="12" customHeight="1" x14ac:dyDescent="0.2">
      <c r="B2600"/>
    </row>
    <row r="2601" spans="2:2" ht="12" customHeight="1" x14ac:dyDescent="0.2">
      <c r="B2601"/>
    </row>
    <row r="2602" spans="2:2" ht="12" customHeight="1" x14ac:dyDescent="0.2">
      <c r="B2602"/>
    </row>
    <row r="2603" spans="2:2" ht="12" customHeight="1" x14ac:dyDescent="0.2">
      <c r="B2603"/>
    </row>
    <row r="2604" spans="2:2" ht="12" customHeight="1" x14ac:dyDescent="0.2">
      <c r="B2604"/>
    </row>
    <row r="2605" spans="2:2" ht="12" customHeight="1" x14ac:dyDescent="0.2">
      <c r="B2605"/>
    </row>
    <row r="2606" spans="2:2" ht="12" customHeight="1" x14ac:dyDescent="0.2">
      <c r="B2606"/>
    </row>
    <row r="2607" spans="2:2" ht="12" customHeight="1" x14ac:dyDescent="0.2">
      <c r="B2607"/>
    </row>
    <row r="2608" spans="2:2" ht="12" customHeight="1" x14ac:dyDescent="0.2">
      <c r="B2608"/>
    </row>
    <row r="2609" spans="2:2" ht="12" customHeight="1" x14ac:dyDescent="0.2">
      <c r="B2609"/>
    </row>
    <row r="2610" spans="2:2" ht="12" customHeight="1" x14ac:dyDescent="0.2">
      <c r="B2610"/>
    </row>
    <row r="2611" spans="2:2" ht="12" customHeight="1" x14ac:dyDescent="0.2">
      <c r="B2611"/>
    </row>
    <row r="2612" spans="2:2" ht="12" customHeight="1" x14ac:dyDescent="0.2">
      <c r="B2612"/>
    </row>
    <row r="2613" spans="2:2" ht="12" customHeight="1" x14ac:dyDescent="0.2">
      <c r="B2613"/>
    </row>
    <row r="2614" spans="2:2" ht="12" customHeight="1" x14ac:dyDescent="0.2">
      <c r="B2614"/>
    </row>
    <row r="2615" spans="2:2" ht="12" customHeight="1" x14ac:dyDescent="0.2">
      <c r="B2615"/>
    </row>
    <row r="2616" spans="2:2" ht="12" customHeight="1" x14ac:dyDescent="0.2">
      <c r="B2616"/>
    </row>
    <row r="2617" spans="2:2" ht="12" customHeight="1" x14ac:dyDescent="0.2">
      <c r="B2617"/>
    </row>
    <row r="2618" spans="2:2" ht="12" customHeight="1" x14ac:dyDescent="0.2">
      <c r="B2618"/>
    </row>
    <row r="2619" spans="2:2" ht="12" customHeight="1" x14ac:dyDescent="0.2">
      <c r="B2619"/>
    </row>
    <row r="2620" spans="2:2" ht="12" customHeight="1" x14ac:dyDescent="0.2">
      <c r="B2620"/>
    </row>
    <row r="2621" spans="2:2" ht="12" customHeight="1" x14ac:dyDescent="0.2">
      <c r="B2621"/>
    </row>
    <row r="2622" spans="2:2" ht="12" customHeight="1" x14ac:dyDescent="0.2">
      <c r="B2622"/>
    </row>
    <row r="2623" spans="2:2" ht="12" customHeight="1" x14ac:dyDescent="0.2">
      <c r="B2623"/>
    </row>
    <row r="2624" spans="2:2" ht="12" customHeight="1" x14ac:dyDescent="0.2">
      <c r="B2624"/>
    </row>
    <row r="2625" spans="2:2" ht="12" customHeight="1" x14ac:dyDescent="0.2">
      <c r="B2625"/>
    </row>
    <row r="2626" spans="2:2" ht="12" customHeight="1" x14ac:dyDescent="0.2">
      <c r="B2626"/>
    </row>
    <row r="2627" spans="2:2" ht="12" customHeight="1" x14ac:dyDescent="0.2">
      <c r="B2627"/>
    </row>
    <row r="2628" spans="2:2" ht="12" customHeight="1" x14ac:dyDescent="0.2">
      <c r="B2628"/>
    </row>
    <row r="2629" spans="2:2" ht="12" customHeight="1" x14ac:dyDescent="0.2">
      <c r="B2629"/>
    </row>
    <row r="2630" spans="2:2" ht="12" customHeight="1" x14ac:dyDescent="0.2">
      <c r="B2630"/>
    </row>
    <row r="2631" spans="2:2" ht="12" customHeight="1" x14ac:dyDescent="0.2">
      <c r="B2631"/>
    </row>
    <row r="2632" spans="2:2" ht="12" customHeight="1" x14ac:dyDescent="0.2">
      <c r="B2632"/>
    </row>
    <row r="2633" spans="2:2" ht="12" customHeight="1" x14ac:dyDescent="0.2">
      <c r="B2633"/>
    </row>
    <row r="2634" spans="2:2" ht="12" customHeight="1" x14ac:dyDescent="0.2">
      <c r="B2634"/>
    </row>
    <row r="2635" spans="2:2" ht="12" customHeight="1" x14ac:dyDescent="0.2">
      <c r="B2635"/>
    </row>
    <row r="2636" spans="2:2" ht="12" customHeight="1" x14ac:dyDescent="0.2">
      <c r="B2636"/>
    </row>
    <row r="2637" spans="2:2" ht="12" customHeight="1" x14ac:dyDescent="0.2">
      <c r="B2637"/>
    </row>
    <row r="2638" spans="2:2" ht="12" customHeight="1" x14ac:dyDescent="0.2">
      <c r="B2638"/>
    </row>
    <row r="2639" spans="2:2" ht="12" customHeight="1" x14ac:dyDescent="0.2">
      <c r="B2639"/>
    </row>
    <row r="2640" spans="2:2" ht="12" customHeight="1" x14ac:dyDescent="0.2">
      <c r="B2640"/>
    </row>
    <row r="2641" spans="2:2" ht="12" customHeight="1" x14ac:dyDescent="0.2">
      <c r="B2641"/>
    </row>
    <row r="2642" spans="2:2" ht="12" customHeight="1" x14ac:dyDescent="0.2">
      <c r="B2642"/>
    </row>
    <row r="2643" spans="2:2" ht="12" customHeight="1" x14ac:dyDescent="0.2">
      <c r="B2643"/>
    </row>
    <row r="2644" spans="2:2" ht="12" customHeight="1" x14ac:dyDescent="0.2">
      <c r="B2644"/>
    </row>
    <row r="2645" spans="2:2" ht="12" customHeight="1" x14ac:dyDescent="0.2">
      <c r="B2645"/>
    </row>
    <row r="2646" spans="2:2" ht="12" customHeight="1" x14ac:dyDescent="0.2">
      <c r="B2646"/>
    </row>
    <row r="2647" spans="2:2" ht="12" customHeight="1" x14ac:dyDescent="0.2">
      <c r="B2647"/>
    </row>
    <row r="2648" spans="2:2" ht="12" customHeight="1" x14ac:dyDescent="0.2">
      <c r="B2648"/>
    </row>
    <row r="2649" spans="2:2" ht="12" customHeight="1" x14ac:dyDescent="0.2">
      <c r="B2649"/>
    </row>
    <row r="2650" spans="2:2" ht="12" customHeight="1" x14ac:dyDescent="0.2">
      <c r="B2650"/>
    </row>
    <row r="2651" spans="2:2" ht="12" customHeight="1" x14ac:dyDescent="0.2">
      <c r="B2651"/>
    </row>
    <row r="2652" spans="2:2" ht="12" customHeight="1" x14ac:dyDescent="0.2">
      <c r="B2652"/>
    </row>
    <row r="2653" spans="2:2" ht="12" customHeight="1" x14ac:dyDescent="0.2">
      <c r="B2653"/>
    </row>
    <row r="2654" spans="2:2" ht="12" customHeight="1" x14ac:dyDescent="0.2">
      <c r="B2654"/>
    </row>
    <row r="2655" spans="2:2" ht="12" customHeight="1" x14ac:dyDescent="0.2">
      <c r="B2655"/>
    </row>
    <row r="2656" spans="2:2" ht="12" customHeight="1" x14ac:dyDescent="0.2">
      <c r="B2656"/>
    </row>
    <row r="2657" spans="2:2" ht="12" customHeight="1" x14ac:dyDescent="0.2">
      <c r="B2657"/>
    </row>
    <row r="2658" spans="2:2" ht="12" customHeight="1" x14ac:dyDescent="0.2">
      <c r="B2658"/>
    </row>
    <row r="2659" spans="2:2" ht="12" customHeight="1" x14ac:dyDescent="0.2">
      <c r="B2659"/>
    </row>
    <row r="2660" spans="2:2" ht="12" customHeight="1" x14ac:dyDescent="0.2">
      <c r="B2660"/>
    </row>
    <row r="2661" spans="2:2" ht="12" customHeight="1" x14ac:dyDescent="0.2">
      <c r="B2661"/>
    </row>
    <row r="2662" spans="2:2" ht="12" customHeight="1" x14ac:dyDescent="0.2">
      <c r="B2662"/>
    </row>
    <row r="2663" spans="2:2" ht="12" customHeight="1" x14ac:dyDescent="0.2">
      <c r="B2663"/>
    </row>
    <row r="2664" spans="2:2" ht="12" customHeight="1" x14ac:dyDescent="0.2">
      <c r="B2664"/>
    </row>
    <row r="2665" spans="2:2" ht="12" customHeight="1" x14ac:dyDescent="0.2">
      <c r="B2665"/>
    </row>
    <row r="2666" spans="2:2" ht="12" customHeight="1" x14ac:dyDescent="0.2">
      <c r="B2666"/>
    </row>
    <row r="2667" spans="2:2" ht="12" customHeight="1" x14ac:dyDescent="0.2">
      <c r="B2667"/>
    </row>
    <row r="2668" spans="2:2" ht="12" customHeight="1" x14ac:dyDescent="0.2">
      <c r="B2668"/>
    </row>
    <row r="2669" spans="2:2" ht="12" customHeight="1" x14ac:dyDescent="0.2">
      <c r="B2669"/>
    </row>
    <row r="2670" spans="2:2" ht="12" customHeight="1" x14ac:dyDescent="0.2">
      <c r="B2670"/>
    </row>
    <row r="2671" spans="2:2" ht="12" customHeight="1" x14ac:dyDescent="0.2">
      <c r="B2671"/>
    </row>
    <row r="2672" spans="2:2" ht="12" customHeight="1" x14ac:dyDescent="0.2">
      <c r="B2672"/>
    </row>
    <row r="2673" spans="2:2" ht="12" customHeight="1" x14ac:dyDescent="0.2">
      <c r="B2673"/>
    </row>
    <row r="2674" spans="2:2" ht="12" customHeight="1" x14ac:dyDescent="0.2">
      <c r="B2674"/>
    </row>
    <row r="2675" spans="2:2" ht="12" customHeight="1" x14ac:dyDescent="0.2">
      <c r="B2675"/>
    </row>
    <row r="2676" spans="2:2" ht="12" customHeight="1" x14ac:dyDescent="0.2">
      <c r="B2676"/>
    </row>
    <row r="2677" spans="2:2" ht="12" customHeight="1" x14ac:dyDescent="0.2">
      <c r="B2677"/>
    </row>
    <row r="2678" spans="2:2" ht="12" customHeight="1" x14ac:dyDescent="0.2">
      <c r="B2678"/>
    </row>
    <row r="2679" spans="2:2" ht="12" customHeight="1" x14ac:dyDescent="0.2">
      <c r="B2679"/>
    </row>
    <row r="2680" spans="2:2" ht="12" customHeight="1" x14ac:dyDescent="0.2">
      <c r="B2680"/>
    </row>
    <row r="2681" spans="2:2" ht="12" customHeight="1" x14ac:dyDescent="0.2">
      <c r="B2681"/>
    </row>
    <row r="2682" spans="2:2" ht="12" customHeight="1" x14ac:dyDescent="0.2">
      <c r="B2682"/>
    </row>
    <row r="2683" spans="2:2" ht="12" customHeight="1" x14ac:dyDescent="0.2">
      <c r="B2683"/>
    </row>
    <row r="2684" spans="2:2" ht="12" customHeight="1" x14ac:dyDescent="0.2">
      <c r="B2684"/>
    </row>
    <row r="2685" spans="2:2" ht="12" customHeight="1" x14ac:dyDescent="0.2">
      <c r="B2685"/>
    </row>
    <row r="2686" spans="2:2" ht="12" customHeight="1" x14ac:dyDescent="0.2">
      <c r="B2686"/>
    </row>
    <row r="2687" spans="2:2" ht="12" customHeight="1" x14ac:dyDescent="0.2">
      <c r="B2687"/>
    </row>
    <row r="2688" spans="2:2" ht="12" customHeight="1" x14ac:dyDescent="0.2">
      <c r="B2688"/>
    </row>
    <row r="2689" spans="2:2" ht="12" customHeight="1" x14ac:dyDescent="0.2">
      <c r="B2689"/>
    </row>
    <row r="2690" spans="2:2" ht="12" customHeight="1" x14ac:dyDescent="0.2">
      <c r="B2690"/>
    </row>
    <row r="2691" spans="2:2" ht="12" customHeight="1" x14ac:dyDescent="0.2">
      <c r="B2691"/>
    </row>
    <row r="2692" spans="2:2" ht="12" customHeight="1" x14ac:dyDescent="0.2">
      <c r="B2692"/>
    </row>
    <row r="2693" spans="2:2" ht="12" customHeight="1" x14ac:dyDescent="0.2">
      <c r="B2693"/>
    </row>
    <row r="2694" spans="2:2" ht="12" customHeight="1" x14ac:dyDescent="0.2">
      <c r="B2694"/>
    </row>
    <row r="2695" spans="2:2" ht="12" customHeight="1" x14ac:dyDescent="0.2">
      <c r="B2695"/>
    </row>
    <row r="2696" spans="2:2" ht="12" customHeight="1" x14ac:dyDescent="0.2">
      <c r="B2696"/>
    </row>
    <row r="2697" spans="2:2" ht="12" customHeight="1" x14ac:dyDescent="0.2">
      <c r="B2697"/>
    </row>
    <row r="2698" spans="2:2" ht="12" customHeight="1" x14ac:dyDescent="0.2">
      <c r="B2698"/>
    </row>
    <row r="2699" spans="2:2" ht="12" customHeight="1" x14ac:dyDescent="0.2">
      <c r="B2699"/>
    </row>
    <row r="2700" spans="2:2" ht="12" customHeight="1" x14ac:dyDescent="0.2">
      <c r="B2700"/>
    </row>
    <row r="2701" spans="2:2" ht="12" customHeight="1" x14ac:dyDescent="0.2">
      <c r="B2701"/>
    </row>
    <row r="2702" spans="2:2" ht="12" customHeight="1" x14ac:dyDescent="0.2">
      <c r="B2702"/>
    </row>
    <row r="2703" spans="2:2" ht="12" customHeight="1" x14ac:dyDescent="0.2">
      <c r="B2703"/>
    </row>
    <row r="2704" spans="2:2" ht="12" customHeight="1" x14ac:dyDescent="0.2">
      <c r="B2704"/>
    </row>
    <row r="2705" spans="2:2" ht="12" customHeight="1" x14ac:dyDescent="0.2">
      <c r="B2705"/>
    </row>
    <row r="2706" spans="2:2" ht="12" customHeight="1" x14ac:dyDescent="0.2">
      <c r="B2706"/>
    </row>
    <row r="2707" spans="2:2" ht="12" customHeight="1" x14ac:dyDescent="0.2">
      <c r="B2707"/>
    </row>
    <row r="2708" spans="2:2" ht="12" customHeight="1" x14ac:dyDescent="0.2">
      <c r="B2708"/>
    </row>
    <row r="2709" spans="2:2" ht="12" customHeight="1" x14ac:dyDescent="0.2">
      <c r="B2709"/>
    </row>
    <row r="2710" spans="2:2" ht="12" customHeight="1" x14ac:dyDescent="0.2">
      <c r="B2710"/>
    </row>
    <row r="2711" spans="2:2" ht="12" customHeight="1" x14ac:dyDescent="0.2">
      <c r="B2711"/>
    </row>
    <row r="2712" spans="2:2" ht="12" customHeight="1" x14ac:dyDescent="0.2">
      <c r="B2712"/>
    </row>
    <row r="2713" spans="2:2" ht="12" customHeight="1" x14ac:dyDescent="0.2">
      <c r="B2713"/>
    </row>
    <row r="2714" spans="2:2" ht="12" customHeight="1" x14ac:dyDescent="0.2">
      <c r="B2714"/>
    </row>
    <row r="2715" spans="2:2" ht="12" customHeight="1" x14ac:dyDescent="0.2">
      <c r="B2715"/>
    </row>
    <row r="2716" spans="2:2" ht="12" customHeight="1" x14ac:dyDescent="0.2">
      <c r="B2716"/>
    </row>
    <row r="2717" spans="2:2" ht="12" customHeight="1" x14ac:dyDescent="0.2">
      <c r="B2717"/>
    </row>
    <row r="2718" spans="2:2" ht="12" customHeight="1" x14ac:dyDescent="0.2">
      <c r="B2718"/>
    </row>
    <row r="2719" spans="2:2" ht="12" customHeight="1" x14ac:dyDescent="0.2">
      <c r="B2719"/>
    </row>
    <row r="2720" spans="2:2" ht="12" customHeight="1" x14ac:dyDescent="0.2">
      <c r="B2720"/>
    </row>
    <row r="2721" spans="2:2" ht="12" customHeight="1" x14ac:dyDescent="0.2">
      <c r="B2721"/>
    </row>
    <row r="2722" spans="2:2" ht="12" customHeight="1" x14ac:dyDescent="0.2">
      <c r="B2722"/>
    </row>
    <row r="2723" spans="2:2" ht="12" customHeight="1" x14ac:dyDescent="0.2">
      <c r="B2723"/>
    </row>
    <row r="2724" spans="2:2" ht="12" customHeight="1" x14ac:dyDescent="0.2">
      <c r="B2724"/>
    </row>
    <row r="2725" spans="2:2" ht="12" customHeight="1" x14ac:dyDescent="0.2">
      <c r="B2725"/>
    </row>
    <row r="2726" spans="2:2" ht="12" customHeight="1" x14ac:dyDescent="0.2">
      <c r="B2726"/>
    </row>
    <row r="2727" spans="2:2" ht="12" customHeight="1" x14ac:dyDescent="0.2">
      <c r="B2727"/>
    </row>
    <row r="2728" spans="2:2" ht="12" customHeight="1" x14ac:dyDescent="0.2">
      <c r="B2728"/>
    </row>
    <row r="2729" spans="2:2" ht="12" customHeight="1" x14ac:dyDescent="0.2">
      <c r="B2729"/>
    </row>
    <row r="2730" spans="2:2" ht="12" customHeight="1" x14ac:dyDescent="0.2">
      <c r="B2730"/>
    </row>
    <row r="2731" spans="2:2" ht="12" customHeight="1" x14ac:dyDescent="0.2">
      <c r="B2731"/>
    </row>
    <row r="2732" spans="2:2" ht="12" customHeight="1" x14ac:dyDescent="0.2">
      <c r="B2732"/>
    </row>
    <row r="2733" spans="2:2" ht="12" customHeight="1" x14ac:dyDescent="0.2">
      <c r="B2733"/>
    </row>
    <row r="2734" spans="2:2" ht="12" customHeight="1" x14ac:dyDescent="0.2">
      <c r="B2734"/>
    </row>
    <row r="2735" spans="2:2" ht="12" customHeight="1" x14ac:dyDescent="0.2">
      <c r="B2735"/>
    </row>
    <row r="2736" spans="2:2" ht="12" customHeight="1" x14ac:dyDescent="0.2">
      <c r="B2736"/>
    </row>
    <row r="2737" spans="2:2" ht="12" customHeight="1" x14ac:dyDescent="0.2">
      <c r="B2737"/>
    </row>
    <row r="2738" spans="2:2" ht="12" customHeight="1" x14ac:dyDescent="0.2">
      <c r="B2738"/>
    </row>
    <row r="2739" spans="2:2" ht="12" customHeight="1" x14ac:dyDescent="0.2">
      <c r="B2739"/>
    </row>
    <row r="2740" spans="2:2" ht="12" customHeight="1" x14ac:dyDescent="0.2">
      <c r="B2740"/>
    </row>
    <row r="2741" spans="2:2" ht="12" customHeight="1" x14ac:dyDescent="0.2">
      <c r="B2741"/>
    </row>
    <row r="2742" spans="2:2" ht="12" customHeight="1" x14ac:dyDescent="0.2">
      <c r="B2742"/>
    </row>
    <row r="2743" spans="2:2" ht="12" customHeight="1" x14ac:dyDescent="0.2">
      <c r="B2743"/>
    </row>
    <row r="2744" spans="2:2" ht="12" customHeight="1" x14ac:dyDescent="0.2">
      <c r="B2744"/>
    </row>
    <row r="2745" spans="2:2" ht="12" customHeight="1" x14ac:dyDescent="0.2">
      <c r="B2745"/>
    </row>
    <row r="2746" spans="2:2" ht="12" customHeight="1" x14ac:dyDescent="0.2">
      <c r="B2746"/>
    </row>
    <row r="2747" spans="2:2" ht="12" customHeight="1" x14ac:dyDescent="0.2">
      <c r="B2747"/>
    </row>
    <row r="2748" spans="2:2" ht="12" customHeight="1" x14ac:dyDescent="0.2">
      <c r="B2748"/>
    </row>
    <row r="2749" spans="2:2" ht="12" customHeight="1" x14ac:dyDescent="0.2">
      <c r="B2749"/>
    </row>
    <row r="2750" spans="2:2" ht="12" customHeight="1" x14ac:dyDescent="0.2">
      <c r="B2750"/>
    </row>
    <row r="2751" spans="2:2" ht="12" customHeight="1" x14ac:dyDescent="0.2">
      <c r="B2751"/>
    </row>
    <row r="2752" spans="2:2" ht="12" customHeight="1" x14ac:dyDescent="0.2">
      <c r="B2752"/>
    </row>
    <row r="2753" spans="2:2" ht="12" customHeight="1" x14ac:dyDescent="0.2">
      <c r="B2753"/>
    </row>
    <row r="2754" spans="2:2" ht="12" customHeight="1" x14ac:dyDescent="0.2">
      <c r="B2754"/>
    </row>
    <row r="2755" spans="2:2" ht="12" customHeight="1" x14ac:dyDescent="0.2">
      <c r="B2755"/>
    </row>
    <row r="2756" spans="2:2" ht="12" customHeight="1" x14ac:dyDescent="0.2">
      <c r="B2756"/>
    </row>
    <row r="2757" spans="2:2" ht="12" customHeight="1" x14ac:dyDescent="0.2">
      <c r="B2757"/>
    </row>
    <row r="2758" spans="2:2" ht="12" customHeight="1" x14ac:dyDescent="0.2">
      <c r="B2758"/>
    </row>
    <row r="2759" spans="2:2" ht="12" customHeight="1" x14ac:dyDescent="0.2">
      <c r="B2759"/>
    </row>
    <row r="2760" spans="2:2" ht="12" customHeight="1" x14ac:dyDescent="0.2">
      <c r="B2760"/>
    </row>
    <row r="2761" spans="2:2" ht="12" customHeight="1" x14ac:dyDescent="0.2">
      <c r="B2761"/>
    </row>
    <row r="2762" spans="2:2" ht="12" customHeight="1" x14ac:dyDescent="0.2">
      <c r="B2762"/>
    </row>
    <row r="2763" spans="2:2" ht="12" customHeight="1" x14ac:dyDescent="0.2">
      <c r="B2763"/>
    </row>
    <row r="2764" spans="2:2" ht="12" customHeight="1" x14ac:dyDescent="0.2">
      <c r="B2764"/>
    </row>
    <row r="2765" spans="2:2" ht="12" customHeight="1" x14ac:dyDescent="0.2">
      <c r="B2765"/>
    </row>
    <row r="2766" spans="2:2" ht="12" customHeight="1" x14ac:dyDescent="0.2">
      <c r="B2766"/>
    </row>
    <row r="2767" spans="2:2" ht="12" customHeight="1" x14ac:dyDescent="0.2">
      <c r="B2767"/>
    </row>
    <row r="2768" spans="2:2" ht="12" customHeight="1" x14ac:dyDescent="0.2">
      <c r="B2768"/>
    </row>
    <row r="2769" spans="2:2" ht="12" customHeight="1" x14ac:dyDescent="0.2">
      <c r="B2769"/>
    </row>
    <row r="2770" spans="2:2" ht="12" customHeight="1" x14ac:dyDescent="0.2">
      <c r="B2770"/>
    </row>
    <row r="2771" spans="2:2" ht="12" customHeight="1" x14ac:dyDescent="0.2">
      <c r="B2771"/>
    </row>
    <row r="2772" spans="2:2" ht="12" customHeight="1" x14ac:dyDescent="0.2">
      <c r="B2772"/>
    </row>
    <row r="2773" spans="2:2" ht="12" customHeight="1" x14ac:dyDescent="0.2">
      <c r="B2773"/>
    </row>
    <row r="2774" spans="2:2" ht="12" customHeight="1" x14ac:dyDescent="0.2">
      <c r="B2774"/>
    </row>
    <row r="2775" spans="2:2" ht="12" customHeight="1" x14ac:dyDescent="0.2">
      <c r="B2775"/>
    </row>
    <row r="2776" spans="2:2" ht="12" customHeight="1" x14ac:dyDescent="0.2">
      <c r="B2776"/>
    </row>
    <row r="2777" spans="2:2" ht="12" customHeight="1" x14ac:dyDescent="0.2">
      <c r="B2777"/>
    </row>
    <row r="2778" spans="2:2" ht="12" customHeight="1" x14ac:dyDescent="0.2">
      <c r="B2778"/>
    </row>
    <row r="2779" spans="2:2" ht="12" customHeight="1" x14ac:dyDescent="0.2">
      <c r="B2779"/>
    </row>
    <row r="2780" spans="2:2" ht="12" customHeight="1" x14ac:dyDescent="0.2">
      <c r="B2780"/>
    </row>
    <row r="2781" spans="2:2" ht="12" customHeight="1" x14ac:dyDescent="0.2">
      <c r="B2781"/>
    </row>
    <row r="2782" spans="2:2" ht="12" customHeight="1" x14ac:dyDescent="0.2">
      <c r="B2782"/>
    </row>
    <row r="2783" spans="2:2" ht="12" customHeight="1" x14ac:dyDescent="0.2">
      <c r="B2783"/>
    </row>
    <row r="2784" spans="2:2" ht="12" customHeight="1" x14ac:dyDescent="0.2">
      <c r="B2784"/>
    </row>
    <row r="2785" spans="2:2" ht="12" customHeight="1" x14ac:dyDescent="0.2">
      <c r="B2785"/>
    </row>
    <row r="2786" spans="2:2" ht="12" customHeight="1" x14ac:dyDescent="0.2">
      <c r="B2786"/>
    </row>
    <row r="2787" spans="2:2" ht="12" customHeight="1" x14ac:dyDescent="0.2">
      <c r="B2787"/>
    </row>
    <row r="2788" spans="2:2" ht="12" customHeight="1" x14ac:dyDescent="0.2">
      <c r="B2788"/>
    </row>
    <row r="2789" spans="2:2" ht="12" customHeight="1" x14ac:dyDescent="0.2">
      <c r="B2789"/>
    </row>
    <row r="2790" spans="2:2" ht="12" customHeight="1" x14ac:dyDescent="0.2">
      <c r="B2790"/>
    </row>
    <row r="2791" spans="2:2" ht="12" customHeight="1" x14ac:dyDescent="0.2">
      <c r="B2791"/>
    </row>
    <row r="2792" spans="2:2" ht="12" customHeight="1" x14ac:dyDescent="0.2">
      <c r="B2792"/>
    </row>
    <row r="2793" spans="2:2" ht="12" customHeight="1" x14ac:dyDescent="0.2">
      <c r="B2793"/>
    </row>
    <row r="2794" spans="2:2" ht="12" customHeight="1" x14ac:dyDescent="0.2">
      <c r="B2794"/>
    </row>
    <row r="2795" spans="2:2" ht="12" customHeight="1" x14ac:dyDescent="0.2">
      <c r="B2795"/>
    </row>
    <row r="2796" spans="2:2" ht="12" customHeight="1" x14ac:dyDescent="0.2">
      <c r="B2796"/>
    </row>
    <row r="2797" spans="2:2" ht="12" customHeight="1" x14ac:dyDescent="0.2">
      <c r="B2797"/>
    </row>
    <row r="2798" spans="2:2" ht="12" customHeight="1" x14ac:dyDescent="0.2">
      <c r="B2798"/>
    </row>
    <row r="2799" spans="2:2" ht="12" customHeight="1" x14ac:dyDescent="0.2">
      <c r="B2799"/>
    </row>
    <row r="2800" spans="2:2" ht="12" customHeight="1" x14ac:dyDescent="0.2">
      <c r="B2800"/>
    </row>
    <row r="2801" spans="2:2" ht="12" customHeight="1" x14ac:dyDescent="0.2">
      <c r="B2801"/>
    </row>
    <row r="2802" spans="2:2" ht="12" customHeight="1" x14ac:dyDescent="0.2">
      <c r="B2802"/>
    </row>
    <row r="2803" spans="2:2" ht="12" customHeight="1" x14ac:dyDescent="0.2">
      <c r="B2803"/>
    </row>
    <row r="2804" spans="2:2" ht="12" customHeight="1" x14ac:dyDescent="0.2">
      <c r="B2804"/>
    </row>
    <row r="2805" spans="2:2" ht="12" customHeight="1" x14ac:dyDescent="0.2">
      <c r="B2805"/>
    </row>
    <row r="2806" spans="2:2" ht="12" customHeight="1" x14ac:dyDescent="0.2">
      <c r="B2806"/>
    </row>
    <row r="2807" spans="2:2" ht="12" customHeight="1" x14ac:dyDescent="0.2">
      <c r="B2807"/>
    </row>
    <row r="2808" spans="2:2" ht="12" customHeight="1" x14ac:dyDescent="0.2">
      <c r="B2808"/>
    </row>
    <row r="2809" spans="2:2" ht="12" customHeight="1" x14ac:dyDescent="0.2">
      <c r="B2809"/>
    </row>
    <row r="2810" spans="2:2" ht="12" customHeight="1" x14ac:dyDescent="0.2">
      <c r="B2810"/>
    </row>
    <row r="2811" spans="2:2" ht="12" customHeight="1" x14ac:dyDescent="0.2">
      <c r="B2811"/>
    </row>
    <row r="2812" spans="2:2" ht="12" customHeight="1" x14ac:dyDescent="0.2">
      <c r="B2812"/>
    </row>
    <row r="2813" spans="2:2" ht="12" customHeight="1" x14ac:dyDescent="0.2">
      <c r="B2813"/>
    </row>
    <row r="2814" spans="2:2" ht="12" customHeight="1" x14ac:dyDescent="0.2">
      <c r="B2814"/>
    </row>
    <row r="2815" spans="2:2" ht="12" customHeight="1" x14ac:dyDescent="0.2">
      <c r="B2815"/>
    </row>
    <row r="2816" spans="2:2" ht="12" customHeight="1" x14ac:dyDescent="0.2">
      <c r="B2816"/>
    </row>
    <row r="2817" spans="2:2" ht="12" customHeight="1" x14ac:dyDescent="0.2">
      <c r="B2817"/>
    </row>
  </sheetData>
  <sheetProtection algorithmName="SHA-512" hashValue="nePKMZWfBn+zyDpICxSW5J/qEs9UBc2p1E9fTAf4ZEy50xCimGXWiIOOV4nQ+YwqTTI/mscHnM3qyIKSMmBGFw==" saltValue="mh4mOMcsGJCpJc3DL1CiaQ==" spinCount="100000" sheet="1" objects="1" scenarios="1"/>
  <sortState xmlns:xlrd2="http://schemas.microsoft.com/office/spreadsheetml/2017/richdata2" ref="D187:D194">
    <sortCondition ref="D187:D194"/>
  </sortState>
  <conditionalFormatting sqref="A1:S1 U1:XFD1">
    <cfRule type="expression" dxfId="655" priority="198">
      <formula>$A1="MODEL ERROR"</formula>
    </cfRule>
  </conditionalFormatting>
  <conditionalFormatting sqref="D44:E47 D50:E51 D74:E76 D54:E59">
    <cfRule type="cellIs" dxfId="654" priority="196" stopIfTrue="1" operator="equal">
      <formula>0</formula>
    </cfRule>
    <cfRule type="cellIs" dxfId="653" priority="197" stopIfTrue="1" operator="notEqual">
      <formula>0</formula>
    </cfRule>
  </conditionalFormatting>
  <conditionalFormatting sqref="D15:E15">
    <cfRule type="cellIs" dxfId="652" priority="194" stopIfTrue="1" operator="equal">
      <formula>0</formula>
    </cfRule>
    <cfRule type="cellIs" dxfId="651" priority="195" stopIfTrue="1" operator="notEqual">
      <formula>0</formula>
    </cfRule>
  </conditionalFormatting>
  <conditionalFormatting sqref="D20:E21">
    <cfRule type="cellIs" dxfId="650" priority="190" stopIfTrue="1" operator="equal">
      <formula>0</formula>
    </cfRule>
    <cfRule type="cellIs" dxfId="649" priority="191" stopIfTrue="1" operator="notEqual">
      <formula>0</formula>
    </cfRule>
  </conditionalFormatting>
  <conditionalFormatting sqref="T1">
    <cfRule type="expression" dxfId="648" priority="189">
      <formula>$A1="MODEL ERROR"</formula>
    </cfRule>
  </conditionalFormatting>
  <conditionalFormatting sqref="C2">
    <cfRule type="expression" dxfId="647" priority="187">
      <formula>Model_check&lt;&gt;0</formula>
    </cfRule>
    <cfRule type="expression" dxfId="646" priority="188">
      <formula>Model_check=0</formula>
    </cfRule>
  </conditionalFormatting>
  <conditionalFormatting sqref="D78:E79">
    <cfRule type="cellIs" dxfId="645" priority="181" stopIfTrue="1" operator="equal">
      <formula>0</formula>
    </cfRule>
    <cfRule type="cellIs" dxfId="644" priority="182" stopIfTrue="1" operator="notEqual">
      <formula>0</formula>
    </cfRule>
  </conditionalFormatting>
  <conditionalFormatting sqref="D22:E26">
    <cfRule type="cellIs" dxfId="643" priority="179" stopIfTrue="1" operator="equal">
      <formula>0</formula>
    </cfRule>
    <cfRule type="cellIs" dxfId="642" priority="180" stopIfTrue="1" operator="notEqual">
      <formula>0</formula>
    </cfRule>
  </conditionalFormatting>
  <conditionalFormatting sqref="D77:E77">
    <cfRule type="cellIs" dxfId="641" priority="173" stopIfTrue="1" operator="equal">
      <formula>0</formula>
    </cfRule>
    <cfRule type="cellIs" dxfId="640" priority="174" stopIfTrue="1" operator="notEqual">
      <formula>0</formula>
    </cfRule>
  </conditionalFormatting>
  <conditionalFormatting sqref="D52:E53">
    <cfRule type="cellIs" dxfId="639" priority="171" stopIfTrue="1" operator="equal">
      <formula>0</formula>
    </cfRule>
    <cfRule type="cellIs" dxfId="638" priority="172" stopIfTrue="1" operator="notEqual">
      <formula>0</formula>
    </cfRule>
  </conditionalFormatting>
  <conditionalFormatting sqref="D28:E28">
    <cfRule type="cellIs" dxfId="637" priority="169" stopIfTrue="1" operator="equal">
      <formula>0</formula>
    </cfRule>
    <cfRule type="cellIs" dxfId="636" priority="170" stopIfTrue="1" operator="notEqual">
      <formula>0</formula>
    </cfRule>
  </conditionalFormatting>
  <conditionalFormatting sqref="D29:E29">
    <cfRule type="cellIs" dxfId="635" priority="167" stopIfTrue="1" operator="equal">
      <formula>0</formula>
    </cfRule>
    <cfRule type="cellIs" dxfId="634" priority="168" stopIfTrue="1" operator="notEqual">
      <formula>0</formula>
    </cfRule>
  </conditionalFormatting>
  <conditionalFormatting sqref="D30:E30 E31">
    <cfRule type="cellIs" dxfId="633" priority="165" stopIfTrue="1" operator="equal">
      <formula>0</formula>
    </cfRule>
    <cfRule type="cellIs" dxfId="632" priority="166" stopIfTrue="1" operator="notEqual">
      <formula>0</formula>
    </cfRule>
  </conditionalFormatting>
  <conditionalFormatting sqref="D36:E36">
    <cfRule type="cellIs" dxfId="631" priority="163" stopIfTrue="1" operator="equal">
      <formula>0</formula>
    </cfRule>
    <cfRule type="cellIs" dxfId="630" priority="164" stopIfTrue="1" operator="notEqual">
      <formula>0</formula>
    </cfRule>
  </conditionalFormatting>
  <conditionalFormatting sqref="D37:E37">
    <cfRule type="cellIs" dxfId="629" priority="161" stopIfTrue="1" operator="equal">
      <formula>0</formula>
    </cfRule>
    <cfRule type="cellIs" dxfId="628" priority="162" stopIfTrue="1" operator="notEqual">
      <formula>0</formula>
    </cfRule>
  </conditionalFormatting>
  <conditionalFormatting sqref="D38:E38">
    <cfRule type="cellIs" dxfId="627" priority="159" stopIfTrue="1" operator="equal">
      <formula>0</formula>
    </cfRule>
    <cfRule type="cellIs" dxfId="626" priority="160" stopIfTrue="1" operator="notEqual">
      <formula>0</formula>
    </cfRule>
  </conditionalFormatting>
  <conditionalFormatting sqref="D39:E39">
    <cfRule type="cellIs" dxfId="625" priority="157" stopIfTrue="1" operator="equal">
      <formula>0</formula>
    </cfRule>
    <cfRule type="cellIs" dxfId="624" priority="158" stopIfTrue="1" operator="notEqual">
      <formula>0</formula>
    </cfRule>
  </conditionalFormatting>
  <conditionalFormatting sqref="D40:E40">
    <cfRule type="cellIs" dxfId="623" priority="155" stopIfTrue="1" operator="equal">
      <formula>0</formula>
    </cfRule>
    <cfRule type="cellIs" dxfId="622" priority="156" stopIfTrue="1" operator="notEqual">
      <formula>0</formula>
    </cfRule>
  </conditionalFormatting>
  <conditionalFormatting sqref="D41:E41">
    <cfRule type="cellIs" dxfId="621" priority="153" stopIfTrue="1" operator="equal">
      <formula>0</formula>
    </cfRule>
    <cfRule type="cellIs" dxfId="620" priority="154" stopIfTrue="1" operator="notEqual">
      <formula>0</formula>
    </cfRule>
  </conditionalFormatting>
  <conditionalFormatting sqref="D60:E60">
    <cfRule type="cellIs" dxfId="619" priority="149" stopIfTrue="1" operator="equal">
      <formula>0</formula>
    </cfRule>
    <cfRule type="cellIs" dxfId="618" priority="150" stopIfTrue="1" operator="notEqual">
      <formula>0</formula>
    </cfRule>
  </conditionalFormatting>
  <conditionalFormatting sqref="D61:E61">
    <cfRule type="cellIs" dxfId="617" priority="147" stopIfTrue="1" operator="equal">
      <formula>0</formula>
    </cfRule>
    <cfRule type="cellIs" dxfId="616" priority="148" stopIfTrue="1" operator="notEqual">
      <formula>0</formula>
    </cfRule>
  </conditionalFormatting>
  <conditionalFormatting sqref="D62:E62">
    <cfRule type="cellIs" dxfId="615" priority="145" stopIfTrue="1" operator="equal">
      <formula>0</formula>
    </cfRule>
    <cfRule type="cellIs" dxfId="614" priority="146" stopIfTrue="1" operator="notEqual">
      <formula>0</formula>
    </cfRule>
  </conditionalFormatting>
  <conditionalFormatting sqref="D63:E63">
    <cfRule type="cellIs" dxfId="613" priority="143" stopIfTrue="1" operator="equal">
      <formula>0</formula>
    </cfRule>
    <cfRule type="cellIs" dxfId="612" priority="144" stopIfTrue="1" operator="notEqual">
      <formula>0</formula>
    </cfRule>
  </conditionalFormatting>
  <conditionalFormatting sqref="D64:E64">
    <cfRule type="cellIs" dxfId="611" priority="141" stopIfTrue="1" operator="equal">
      <formula>0</formula>
    </cfRule>
    <cfRule type="cellIs" dxfId="610" priority="142" stopIfTrue="1" operator="notEqual">
      <formula>0</formula>
    </cfRule>
  </conditionalFormatting>
  <conditionalFormatting sqref="D65:E65">
    <cfRule type="cellIs" dxfId="609" priority="139" stopIfTrue="1" operator="equal">
      <formula>0</formula>
    </cfRule>
    <cfRule type="cellIs" dxfId="608" priority="140" stopIfTrue="1" operator="notEqual">
      <formula>0</formula>
    </cfRule>
  </conditionalFormatting>
  <conditionalFormatting sqref="D66:E66">
    <cfRule type="cellIs" dxfId="607" priority="137" stopIfTrue="1" operator="equal">
      <formula>0</formula>
    </cfRule>
    <cfRule type="cellIs" dxfId="606" priority="138" stopIfTrue="1" operator="notEqual">
      <formula>0</formula>
    </cfRule>
  </conditionalFormatting>
  <conditionalFormatting sqref="D67:E67">
    <cfRule type="cellIs" dxfId="605" priority="135" stopIfTrue="1" operator="equal">
      <formula>0</formula>
    </cfRule>
    <cfRule type="cellIs" dxfId="604" priority="136" stopIfTrue="1" operator="notEqual">
      <formula>0</formula>
    </cfRule>
  </conditionalFormatting>
  <conditionalFormatting sqref="D68:E68">
    <cfRule type="cellIs" dxfId="603" priority="133" stopIfTrue="1" operator="equal">
      <formula>0</formula>
    </cfRule>
    <cfRule type="cellIs" dxfId="602" priority="134" stopIfTrue="1" operator="notEqual">
      <formula>0</formula>
    </cfRule>
  </conditionalFormatting>
  <conditionalFormatting sqref="D69:E69">
    <cfRule type="cellIs" dxfId="601" priority="131" stopIfTrue="1" operator="equal">
      <formula>0</formula>
    </cfRule>
    <cfRule type="cellIs" dxfId="600" priority="132" stopIfTrue="1" operator="notEqual">
      <formula>0</formula>
    </cfRule>
  </conditionalFormatting>
  <conditionalFormatting sqref="D72:E72">
    <cfRule type="cellIs" dxfId="599" priority="129" stopIfTrue="1" operator="equal">
      <formula>0</formula>
    </cfRule>
    <cfRule type="cellIs" dxfId="598" priority="130" stopIfTrue="1" operator="notEqual">
      <formula>0</formula>
    </cfRule>
  </conditionalFormatting>
  <conditionalFormatting sqref="D70:E70">
    <cfRule type="cellIs" dxfId="597" priority="127" stopIfTrue="1" operator="equal">
      <formula>0</formula>
    </cfRule>
    <cfRule type="cellIs" dxfId="596" priority="128" stopIfTrue="1" operator="notEqual">
      <formula>0</formula>
    </cfRule>
  </conditionalFormatting>
  <conditionalFormatting sqref="D71:E71">
    <cfRule type="cellIs" dxfId="595" priority="125" stopIfTrue="1" operator="equal">
      <formula>0</formula>
    </cfRule>
    <cfRule type="cellIs" dxfId="594" priority="126" stopIfTrue="1" operator="notEqual">
      <formula>0</formula>
    </cfRule>
  </conditionalFormatting>
  <conditionalFormatting sqref="D80:E80">
    <cfRule type="cellIs" dxfId="593" priority="123" stopIfTrue="1" operator="equal">
      <formula>0</formula>
    </cfRule>
    <cfRule type="cellIs" dxfId="592" priority="124" stopIfTrue="1" operator="notEqual">
      <formula>0</formula>
    </cfRule>
  </conditionalFormatting>
  <conditionalFormatting sqref="D81:E81">
    <cfRule type="cellIs" dxfId="591" priority="121" stopIfTrue="1" operator="equal">
      <formula>0</formula>
    </cfRule>
    <cfRule type="cellIs" dxfId="590" priority="122" stopIfTrue="1" operator="notEqual">
      <formula>0</formula>
    </cfRule>
  </conditionalFormatting>
  <conditionalFormatting sqref="D82:E82">
    <cfRule type="cellIs" dxfId="589" priority="119" stopIfTrue="1" operator="equal">
      <formula>0</formula>
    </cfRule>
    <cfRule type="cellIs" dxfId="588" priority="120" stopIfTrue="1" operator="notEqual">
      <formula>0</formula>
    </cfRule>
  </conditionalFormatting>
  <conditionalFormatting sqref="D83:E83">
    <cfRule type="cellIs" dxfId="587" priority="117" stopIfTrue="1" operator="equal">
      <formula>0</formula>
    </cfRule>
    <cfRule type="cellIs" dxfId="586" priority="118" stopIfTrue="1" operator="notEqual">
      <formula>0</formula>
    </cfRule>
  </conditionalFormatting>
  <conditionalFormatting sqref="D84:E84">
    <cfRule type="cellIs" dxfId="585" priority="115" stopIfTrue="1" operator="equal">
      <formula>0</formula>
    </cfRule>
    <cfRule type="cellIs" dxfId="584" priority="116" stopIfTrue="1" operator="notEqual">
      <formula>0</formula>
    </cfRule>
  </conditionalFormatting>
  <conditionalFormatting sqref="D85:E85">
    <cfRule type="cellIs" dxfId="583" priority="113" stopIfTrue="1" operator="equal">
      <formula>0</formula>
    </cfRule>
    <cfRule type="cellIs" dxfId="582" priority="114" stopIfTrue="1" operator="notEqual">
      <formula>0</formula>
    </cfRule>
  </conditionalFormatting>
  <conditionalFormatting sqref="D86:E86">
    <cfRule type="cellIs" dxfId="581" priority="111" stopIfTrue="1" operator="equal">
      <formula>0</formula>
    </cfRule>
    <cfRule type="cellIs" dxfId="580" priority="112" stopIfTrue="1" operator="notEqual">
      <formula>0</formula>
    </cfRule>
  </conditionalFormatting>
  <conditionalFormatting sqref="D87:E87">
    <cfRule type="cellIs" dxfId="579" priority="109" stopIfTrue="1" operator="equal">
      <formula>0</formula>
    </cfRule>
    <cfRule type="cellIs" dxfId="578" priority="110" stopIfTrue="1" operator="notEqual">
      <formula>0</formula>
    </cfRule>
  </conditionalFormatting>
  <conditionalFormatting sqref="D88:E88">
    <cfRule type="cellIs" dxfId="577" priority="107" stopIfTrue="1" operator="equal">
      <formula>0</formula>
    </cfRule>
    <cfRule type="cellIs" dxfId="576" priority="108" stopIfTrue="1" operator="notEqual">
      <formula>0</formula>
    </cfRule>
  </conditionalFormatting>
  <conditionalFormatting sqref="D89:E89">
    <cfRule type="cellIs" dxfId="575" priority="105" stopIfTrue="1" operator="equal">
      <formula>0</formula>
    </cfRule>
    <cfRule type="cellIs" dxfId="574" priority="106" stopIfTrue="1" operator="notEqual">
      <formula>0</formula>
    </cfRule>
  </conditionalFormatting>
  <conditionalFormatting sqref="D90:E90">
    <cfRule type="cellIs" dxfId="573" priority="103" stopIfTrue="1" operator="equal">
      <formula>0</formula>
    </cfRule>
    <cfRule type="cellIs" dxfId="572" priority="104" stopIfTrue="1" operator="notEqual">
      <formula>0</formula>
    </cfRule>
  </conditionalFormatting>
  <conditionalFormatting sqref="D91:E91">
    <cfRule type="cellIs" dxfId="571" priority="101" stopIfTrue="1" operator="equal">
      <formula>0</formula>
    </cfRule>
    <cfRule type="cellIs" dxfId="570" priority="102" stopIfTrue="1" operator="notEqual">
      <formula>0</formula>
    </cfRule>
  </conditionalFormatting>
  <conditionalFormatting sqref="D92:E92">
    <cfRule type="cellIs" dxfId="569" priority="99" stopIfTrue="1" operator="equal">
      <formula>0</formula>
    </cfRule>
    <cfRule type="cellIs" dxfId="568" priority="100" stopIfTrue="1" operator="notEqual">
      <formula>0</formula>
    </cfRule>
  </conditionalFormatting>
  <conditionalFormatting sqref="D93:E93">
    <cfRule type="cellIs" dxfId="567" priority="97" stopIfTrue="1" operator="equal">
      <formula>0</formula>
    </cfRule>
    <cfRule type="cellIs" dxfId="566" priority="98" stopIfTrue="1" operator="notEqual">
      <formula>0</formula>
    </cfRule>
  </conditionalFormatting>
  <conditionalFormatting sqref="D94:E94">
    <cfRule type="cellIs" dxfId="565" priority="95" stopIfTrue="1" operator="equal">
      <formula>0</formula>
    </cfRule>
    <cfRule type="cellIs" dxfId="564" priority="96" stopIfTrue="1" operator="notEqual">
      <formula>0</formula>
    </cfRule>
  </conditionalFormatting>
  <conditionalFormatting sqref="D95:E95">
    <cfRule type="cellIs" dxfId="563" priority="93" stopIfTrue="1" operator="equal">
      <formula>0</formula>
    </cfRule>
    <cfRule type="cellIs" dxfId="562" priority="94" stopIfTrue="1" operator="notEqual">
      <formula>0</formula>
    </cfRule>
  </conditionalFormatting>
  <conditionalFormatting sqref="D96:E96">
    <cfRule type="cellIs" dxfId="561" priority="91" stopIfTrue="1" operator="equal">
      <formula>0</formula>
    </cfRule>
    <cfRule type="cellIs" dxfId="560" priority="92" stopIfTrue="1" operator="notEqual">
      <formula>0</formula>
    </cfRule>
  </conditionalFormatting>
  <conditionalFormatting sqref="D97:E97">
    <cfRule type="cellIs" dxfId="559" priority="89" stopIfTrue="1" operator="equal">
      <formula>0</formula>
    </cfRule>
    <cfRule type="cellIs" dxfId="558" priority="90" stopIfTrue="1" operator="notEqual">
      <formula>0</formula>
    </cfRule>
  </conditionalFormatting>
  <conditionalFormatting sqref="D31">
    <cfRule type="cellIs" dxfId="557" priority="87" stopIfTrue="1" operator="equal">
      <formula>0</formula>
    </cfRule>
    <cfRule type="cellIs" dxfId="556" priority="88" stopIfTrue="1" operator="notEqual">
      <formula>0</formula>
    </cfRule>
  </conditionalFormatting>
  <conditionalFormatting sqref="D100:E102">
    <cfRule type="cellIs" dxfId="555" priority="81" stopIfTrue="1" operator="equal">
      <formula>0</formula>
    </cfRule>
    <cfRule type="cellIs" dxfId="554" priority="82" stopIfTrue="1" operator="notEqual">
      <formula>0</formula>
    </cfRule>
  </conditionalFormatting>
  <conditionalFormatting sqref="D104:E105">
    <cfRule type="cellIs" dxfId="553" priority="79" stopIfTrue="1" operator="equal">
      <formula>0</formula>
    </cfRule>
    <cfRule type="cellIs" dxfId="552" priority="80" stopIfTrue="1" operator="notEqual">
      <formula>0</formula>
    </cfRule>
  </conditionalFormatting>
  <conditionalFormatting sqref="D103:E103">
    <cfRule type="cellIs" dxfId="551" priority="77" stopIfTrue="1" operator="equal">
      <formula>0</formula>
    </cfRule>
    <cfRule type="cellIs" dxfId="550" priority="78" stopIfTrue="1" operator="notEqual">
      <formula>0</formula>
    </cfRule>
  </conditionalFormatting>
  <conditionalFormatting sqref="D106:E106">
    <cfRule type="cellIs" dxfId="549" priority="75" stopIfTrue="1" operator="equal">
      <formula>0</formula>
    </cfRule>
    <cfRule type="cellIs" dxfId="548" priority="76" stopIfTrue="1" operator="notEqual">
      <formula>0</formula>
    </cfRule>
  </conditionalFormatting>
  <conditionalFormatting sqref="D107:E107">
    <cfRule type="cellIs" dxfId="547" priority="73" stopIfTrue="1" operator="equal">
      <formula>0</formula>
    </cfRule>
    <cfRule type="cellIs" dxfId="546" priority="74" stopIfTrue="1" operator="notEqual">
      <formula>0</formula>
    </cfRule>
  </conditionalFormatting>
  <conditionalFormatting sqref="D108:E108">
    <cfRule type="cellIs" dxfId="545" priority="71" stopIfTrue="1" operator="equal">
      <formula>0</formula>
    </cfRule>
    <cfRule type="cellIs" dxfId="544" priority="72" stopIfTrue="1" operator="notEqual">
      <formula>0</formula>
    </cfRule>
  </conditionalFormatting>
  <conditionalFormatting sqref="D109:E109">
    <cfRule type="cellIs" dxfId="543" priority="69" stopIfTrue="1" operator="equal">
      <formula>0</formula>
    </cfRule>
    <cfRule type="cellIs" dxfId="542" priority="70" stopIfTrue="1" operator="notEqual">
      <formula>0</formula>
    </cfRule>
  </conditionalFormatting>
  <conditionalFormatting sqref="D110:E110">
    <cfRule type="cellIs" dxfId="541" priority="67" stopIfTrue="1" operator="equal">
      <formula>0</formula>
    </cfRule>
    <cfRule type="cellIs" dxfId="540" priority="68" stopIfTrue="1" operator="notEqual">
      <formula>0</formula>
    </cfRule>
  </conditionalFormatting>
  <conditionalFormatting sqref="D111:E111">
    <cfRule type="cellIs" dxfId="539" priority="65" stopIfTrue="1" operator="equal">
      <formula>0</formula>
    </cfRule>
    <cfRule type="cellIs" dxfId="538" priority="66" stopIfTrue="1" operator="notEqual">
      <formula>0</formula>
    </cfRule>
  </conditionalFormatting>
  <conditionalFormatting sqref="D112:E112">
    <cfRule type="cellIs" dxfId="537" priority="63" stopIfTrue="1" operator="equal">
      <formula>0</formula>
    </cfRule>
    <cfRule type="cellIs" dxfId="536" priority="64" stopIfTrue="1" operator="notEqual">
      <formula>0</formula>
    </cfRule>
  </conditionalFormatting>
  <conditionalFormatting sqref="D113:E113">
    <cfRule type="cellIs" dxfId="535" priority="61" stopIfTrue="1" operator="equal">
      <formula>0</formula>
    </cfRule>
    <cfRule type="cellIs" dxfId="534" priority="62" stopIfTrue="1" operator="notEqual">
      <formula>0</formula>
    </cfRule>
  </conditionalFormatting>
  <conditionalFormatting sqref="D114:E114">
    <cfRule type="cellIs" dxfId="533" priority="59" stopIfTrue="1" operator="equal">
      <formula>0</formula>
    </cfRule>
    <cfRule type="cellIs" dxfId="532" priority="60" stopIfTrue="1" operator="notEqual">
      <formula>0</formula>
    </cfRule>
  </conditionalFormatting>
  <conditionalFormatting sqref="D115:E115">
    <cfRule type="cellIs" dxfId="531" priority="57" stopIfTrue="1" operator="equal">
      <formula>0</formula>
    </cfRule>
    <cfRule type="cellIs" dxfId="530" priority="58" stopIfTrue="1" operator="notEqual">
      <formula>0</formula>
    </cfRule>
  </conditionalFormatting>
  <conditionalFormatting sqref="D116:E116">
    <cfRule type="cellIs" dxfId="529" priority="55" stopIfTrue="1" operator="equal">
      <formula>0</formula>
    </cfRule>
    <cfRule type="cellIs" dxfId="528" priority="56" stopIfTrue="1" operator="notEqual">
      <formula>0</formula>
    </cfRule>
  </conditionalFormatting>
  <conditionalFormatting sqref="D117:E117">
    <cfRule type="cellIs" dxfId="527" priority="53" stopIfTrue="1" operator="equal">
      <formula>0</formula>
    </cfRule>
    <cfRule type="cellIs" dxfId="526" priority="54" stopIfTrue="1" operator="notEqual">
      <formula>0</formula>
    </cfRule>
  </conditionalFormatting>
  <conditionalFormatting sqref="D118:E118">
    <cfRule type="cellIs" dxfId="525" priority="51" stopIfTrue="1" operator="equal">
      <formula>0</formula>
    </cfRule>
    <cfRule type="cellIs" dxfId="524" priority="52" stopIfTrue="1" operator="notEqual">
      <formula>0</formula>
    </cfRule>
  </conditionalFormatting>
  <conditionalFormatting sqref="D119:E119">
    <cfRule type="cellIs" dxfId="523" priority="49" stopIfTrue="1" operator="equal">
      <formula>0</formula>
    </cfRule>
    <cfRule type="cellIs" dxfId="522" priority="50" stopIfTrue="1" operator="notEqual">
      <formula>0</formula>
    </cfRule>
  </conditionalFormatting>
  <conditionalFormatting sqref="D120:E120">
    <cfRule type="cellIs" dxfId="521" priority="47" stopIfTrue="1" operator="equal">
      <formula>0</formula>
    </cfRule>
    <cfRule type="cellIs" dxfId="520" priority="48" stopIfTrue="1" operator="notEqual">
      <formula>0</formula>
    </cfRule>
  </conditionalFormatting>
  <conditionalFormatting sqref="D121:E121">
    <cfRule type="cellIs" dxfId="519" priority="45" stopIfTrue="1" operator="equal">
      <formula>0</formula>
    </cfRule>
    <cfRule type="cellIs" dxfId="518" priority="46" stopIfTrue="1" operator="notEqual">
      <formula>0</formula>
    </cfRule>
  </conditionalFormatting>
  <conditionalFormatting sqref="D122:E122">
    <cfRule type="cellIs" dxfId="517" priority="43" stopIfTrue="1" operator="equal">
      <formula>0</formula>
    </cfRule>
    <cfRule type="cellIs" dxfId="516" priority="44" stopIfTrue="1" operator="notEqual">
      <formula>0</formula>
    </cfRule>
  </conditionalFormatting>
  <conditionalFormatting sqref="D100:D102">
    <cfRule type="cellIs" dxfId="515" priority="39" stopIfTrue="1" operator="equal">
      <formula>0</formula>
    </cfRule>
    <cfRule type="cellIs" dxfId="514" priority="40" stopIfTrue="1" operator="notEqual">
      <formula>0</formula>
    </cfRule>
  </conditionalFormatting>
  <conditionalFormatting sqref="D104:D105">
    <cfRule type="cellIs" dxfId="513" priority="37" stopIfTrue="1" operator="equal">
      <formula>0</formula>
    </cfRule>
    <cfRule type="cellIs" dxfId="512" priority="38" stopIfTrue="1" operator="notEqual">
      <formula>0</formula>
    </cfRule>
  </conditionalFormatting>
  <conditionalFormatting sqref="D103">
    <cfRule type="cellIs" dxfId="511" priority="35" stopIfTrue="1" operator="equal">
      <formula>0</formula>
    </cfRule>
    <cfRule type="cellIs" dxfId="510" priority="36" stopIfTrue="1" operator="notEqual">
      <formula>0</formula>
    </cfRule>
  </conditionalFormatting>
  <conditionalFormatting sqref="D106">
    <cfRule type="cellIs" dxfId="509" priority="33" stopIfTrue="1" operator="equal">
      <formula>0</formula>
    </cfRule>
    <cfRule type="cellIs" dxfId="508" priority="34" stopIfTrue="1" operator="notEqual">
      <formula>0</formula>
    </cfRule>
  </conditionalFormatting>
  <conditionalFormatting sqref="D107">
    <cfRule type="cellIs" dxfId="507" priority="31" stopIfTrue="1" operator="equal">
      <formula>0</formula>
    </cfRule>
    <cfRule type="cellIs" dxfId="506" priority="32" stopIfTrue="1" operator="notEqual">
      <formula>0</formula>
    </cfRule>
  </conditionalFormatting>
  <conditionalFormatting sqref="D108">
    <cfRule type="cellIs" dxfId="505" priority="29" stopIfTrue="1" operator="equal">
      <formula>0</formula>
    </cfRule>
    <cfRule type="cellIs" dxfId="504" priority="30" stopIfTrue="1" operator="notEqual">
      <formula>0</formula>
    </cfRule>
  </conditionalFormatting>
  <conditionalFormatting sqref="D109">
    <cfRule type="cellIs" dxfId="503" priority="27" stopIfTrue="1" operator="equal">
      <formula>0</formula>
    </cfRule>
    <cfRule type="cellIs" dxfId="502" priority="28" stopIfTrue="1" operator="notEqual">
      <formula>0</formula>
    </cfRule>
  </conditionalFormatting>
  <conditionalFormatting sqref="D110">
    <cfRule type="cellIs" dxfId="501" priority="25" stopIfTrue="1" operator="equal">
      <formula>0</formula>
    </cfRule>
    <cfRule type="cellIs" dxfId="500" priority="26" stopIfTrue="1" operator="notEqual">
      <formula>0</formula>
    </cfRule>
  </conditionalFormatting>
  <conditionalFormatting sqref="D111">
    <cfRule type="cellIs" dxfId="499" priority="23" stopIfTrue="1" operator="equal">
      <formula>0</formula>
    </cfRule>
    <cfRule type="cellIs" dxfId="498" priority="24" stopIfTrue="1" operator="notEqual">
      <formula>0</formula>
    </cfRule>
  </conditionalFormatting>
  <conditionalFormatting sqref="D112">
    <cfRule type="cellIs" dxfId="497" priority="21" stopIfTrue="1" operator="equal">
      <formula>0</formula>
    </cfRule>
    <cfRule type="cellIs" dxfId="496" priority="22" stopIfTrue="1" operator="notEqual">
      <formula>0</formula>
    </cfRule>
  </conditionalFormatting>
  <conditionalFormatting sqref="D113">
    <cfRule type="cellIs" dxfId="495" priority="19" stopIfTrue="1" operator="equal">
      <formula>0</formula>
    </cfRule>
    <cfRule type="cellIs" dxfId="494" priority="20" stopIfTrue="1" operator="notEqual">
      <formula>0</formula>
    </cfRule>
  </conditionalFormatting>
  <conditionalFormatting sqref="D114">
    <cfRule type="cellIs" dxfId="493" priority="17" stopIfTrue="1" operator="equal">
      <formula>0</formula>
    </cfRule>
    <cfRule type="cellIs" dxfId="492" priority="18" stopIfTrue="1" operator="notEqual">
      <formula>0</formula>
    </cfRule>
  </conditionalFormatting>
  <conditionalFormatting sqref="D115">
    <cfRule type="cellIs" dxfId="491" priority="15" stopIfTrue="1" operator="equal">
      <formula>0</formula>
    </cfRule>
    <cfRule type="cellIs" dxfId="490" priority="16" stopIfTrue="1" operator="notEqual">
      <formula>0</formula>
    </cfRule>
  </conditionalFormatting>
  <conditionalFormatting sqref="D116">
    <cfRule type="cellIs" dxfId="489" priority="13" stopIfTrue="1" operator="equal">
      <formula>0</formula>
    </cfRule>
    <cfRule type="cellIs" dxfId="488" priority="14" stopIfTrue="1" operator="notEqual">
      <formula>0</formula>
    </cfRule>
  </conditionalFormatting>
  <conditionalFormatting sqref="D117">
    <cfRule type="cellIs" dxfId="487" priority="11" stopIfTrue="1" operator="equal">
      <formula>0</formula>
    </cfRule>
    <cfRule type="cellIs" dxfId="486" priority="12" stopIfTrue="1" operator="notEqual">
      <formula>0</formula>
    </cfRule>
  </conditionalFormatting>
  <conditionalFormatting sqref="D118">
    <cfRule type="cellIs" dxfId="485" priority="9" stopIfTrue="1" operator="equal">
      <formula>0</formula>
    </cfRule>
    <cfRule type="cellIs" dxfId="484" priority="10" stopIfTrue="1" operator="notEqual">
      <formula>0</formula>
    </cfRule>
  </conditionalFormatting>
  <conditionalFormatting sqref="D119">
    <cfRule type="cellIs" dxfId="483" priority="7" stopIfTrue="1" operator="equal">
      <formula>0</formula>
    </cfRule>
    <cfRule type="cellIs" dxfId="482" priority="8" stopIfTrue="1" operator="notEqual">
      <formula>0</formula>
    </cfRule>
  </conditionalFormatting>
  <conditionalFormatting sqref="D120">
    <cfRule type="cellIs" dxfId="481" priority="5" stopIfTrue="1" operator="equal">
      <formula>0</formula>
    </cfRule>
    <cfRule type="cellIs" dxfId="480" priority="6" stopIfTrue="1" operator="notEqual">
      <formula>0</formula>
    </cfRule>
  </conditionalFormatting>
  <conditionalFormatting sqref="D121">
    <cfRule type="cellIs" dxfId="479" priority="3" stopIfTrue="1" operator="equal">
      <formula>0</formula>
    </cfRule>
    <cfRule type="cellIs" dxfId="478" priority="4" stopIfTrue="1" operator="notEqual">
      <formula>0</formula>
    </cfRule>
  </conditionalFormatting>
  <conditionalFormatting sqref="D122">
    <cfRule type="cellIs" dxfId="477" priority="1" stopIfTrue="1" operator="equal">
      <formula>0</formula>
    </cfRule>
    <cfRule type="cellIs" dxfId="476" priority="2" stopIfTrue="1" operator="notEqual">
      <formula>0</formula>
    </cfRule>
  </conditionalFormatting>
  <dataValidations count="2">
    <dataValidation type="list" allowBlank="1" showInputMessage="1" showErrorMessage="1" sqref="D128" xr:uid="{90F90793-D8FF-424C-A19A-0F75BE8374A8}">
      <formula1>"Yes,No"</formula1>
    </dataValidation>
    <dataValidation type="list" allowBlank="1" showInputMessage="1" showErrorMessage="1" sqref="C134:C171" xr:uid="{E2ED839F-F4C9-4D16-96A3-C06D9AF03C9E}">
      <formula1>Expenditure_categories</formula1>
    </dataValidation>
  </dataValidations>
  <pageMargins left="0.70866141732283472" right="0.70866141732283472" top="0.74803149606299213" bottom="0.74803149606299213" header="0.31496062992125984" footer="0.31496062992125984"/>
  <pageSetup paperSize="9" scale="53" orientation="landscape" r:id="rId1"/>
  <headerFooter>
    <oddFooter>&amp;A</oddFooter>
  </headerFooter>
  <rowBreaks count="3" manualBreakCount="3">
    <brk id="72" min="1" max="19" man="1"/>
    <brk id="129" min="1" max="19" man="1"/>
    <brk id="193"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AA218"/>
  <sheetViews>
    <sheetView showGridLines="0" zoomScale="85" zoomScaleNormal="85" workbookViewId="0">
      <pane xSplit="7" ySplit="7" topLeftCell="H8" activePane="bottomRight" state="frozen"/>
      <selection pane="topRight" activeCell="B116" sqref="B116"/>
      <selection pane="bottomLeft" activeCell="B116" sqref="B116"/>
      <selection pane="bottomRight" activeCell="H8" sqref="H8"/>
    </sheetView>
  </sheetViews>
  <sheetFormatPr defaultColWidth="0" defaultRowHeight="12" customHeight="1" x14ac:dyDescent="0.2"/>
  <cols>
    <col min="1" max="1" width="2.75" style="15" customWidth="1"/>
    <col min="2" max="2" width="35.75" style="15" customWidth="1"/>
    <col min="3" max="3" width="15.75" style="25" customWidth="1"/>
    <col min="4" max="6" width="15.75" style="15" customWidth="1"/>
    <col min="7" max="8" width="2.75" style="15" customWidth="1"/>
    <col min="9" max="21" width="10.75" style="15" customWidth="1"/>
    <col min="22" max="22" width="2.75" style="15" customWidth="1"/>
    <col min="23" max="23" width="0" style="15" hidden="1" customWidth="1"/>
    <col min="24" max="25" width="9.375" style="15" hidden="1" customWidth="1"/>
    <col min="26" max="27" width="0" style="15" hidden="1" customWidth="1"/>
    <col min="28" max="28" width="9.375" style="15" hidden="1" customWidth="1"/>
    <col min="29" max="16384" width="9.375" style="15" hidden="1"/>
  </cols>
  <sheetData>
    <row r="1" spans="1:25" ht="12" customHeight="1" x14ac:dyDescent="0.2">
      <c r="A1" s="13"/>
      <c r="B1" s="13"/>
      <c r="C1" s="14"/>
      <c r="D1" s="13"/>
      <c r="E1" s="13"/>
      <c r="F1" s="13"/>
      <c r="G1" s="13"/>
      <c r="H1" s="13"/>
      <c r="I1" s="13"/>
      <c r="J1" s="13"/>
      <c r="K1" s="13"/>
      <c r="L1" s="13"/>
      <c r="M1" s="13"/>
      <c r="N1" s="13"/>
      <c r="O1" s="13"/>
      <c r="P1" s="13"/>
      <c r="Q1" s="13"/>
      <c r="R1" s="13"/>
      <c r="S1" s="13"/>
      <c r="T1" s="13"/>
      <c r="U1" s="13"/>
      <c r="V1" s="13"/>
      <c r="W1" s="13"/>
      <c r="X1" s="13"/>
      <c r="Y1" s="13"/>
    </row>
    <row r="2" spans="1:25" s="13" customFormat="1" ht="15" customHeight="1" x14ac:dyDescent="0.25">
      <c r="B2" s="42" t="str">
        <f ca="1">MID(CELL("filename",B2),FIND("]",CELL("filename",B2))+1,255)</f>
        <v>Escalators</v>
      </c>
      <c r="C2" s="41" t="str">
        <f>'Global inputs'!$C$2</f>
        <v>Model: Ok</v>
      </c>
      <c r="D2" s="17"/>
      <c r="E2" s="17"/>
      <c r="F2" s="17"/>
      <c r="G2" s="18"/>
      <c r="H2" s="18"/>
      <c r="I2" s="18"/>
      <c r="J2" s="18"/>
      <c r="K2" s="18"/>
      <c r="L2" s="18"/>
      <c r="M2" s="18"/>
      <c r="N2" s="18"/>
      <c r="O2" s="18"/>
      <c r="P2" s="18"/>
      <c r="Q2" s="18"/>
      <c r="R2" s="18"/>
      <c r="S2" s="18"/>
      <c r="T2" s="18"/>
      <c r="U2" s="18"/>
    </row>
    <row r="3" spans="1:25" s="12" customFormat="1" ht="12" customHeight="1" x14ac:dyDescent="0.2">
      <c r="B3" s="96" t="s">
        <v>42</v>
      </c>
      <c r="C3" s="44"/>
      <c r="D3" s="45"/>
      <c r="E3" s="45"/>
      <c r="F3" s="45"/>
      <c r="G3" s="43"/>
      <c r="H3" s="46"/>
      <c r="I3" s="38">
        <f>'Global inputs'!H3</f>
        <v>41730</v>
      </c>
      <c r="J3" s="38">
        <f>'Global inputs'!I3</f>
        <v>42095</v>
      </c>
      <c r="K3" s="38">
        <f>'Global inputs'!J3</f>
        <v>42461</v>
      </c>
      <c r="L3" s="38">
        <f>'Global inputs'!K3</f>
        <v>42826</v>
      </c>
      <c r="M3" s="38">
        <f>'Global inputs'!L3</f>
        <v>43191</v>
      </c>
      <c r="N3" s="38">
        <f>'Global inputs'!M3</f>
        <v>43556</v>
      </c>
      <c r="O3" s="38">
        <f>'Global inputs'!N3</f>
        <v>43922</v>
      </c>
      <c r="P3" s="38">
        <f>'Global inputs'!O3</f>
        <v>44287</v>
      </c>
      <c r="Q3" s="38">
        <f>'Global inputs'!P3</f>
        <v>44652</v>
      </c>
      <c r="R3" s="38">
        <f>'Global inputs'!Q3</f>
        <v>45017</v>
      </c>
      <c r="S3" s="38">
        <f>'Global inputs'!R3</f>
        <v>45383</v>
      </c>
      <c r="T3" s="38">
        <f>'Global inputs'!S3</f>
        <v>45748</v>
      </c>
      <c r="U3" s="38"/>
    </row>
    <row r="4" spans="1:25" s="12" customFormat="1" ht="12" customHeight="1" x14ac:dyDescent="0.2">
      <c r="B4" s="96" t="s">
        <v>43</v>
      </c>
      <c r="C4" s="44"/>
      <c r="D4" s="47"/>
      <c r="E4" s="47"/>
      <c r="F4" s="47"/>
      <c r="G4" s="43"/>
      <c r="H4" s="46"/>
      <c r="I4" s="38">
        <f>'Global inputs'!H4</f>
        <v>42094</v>
      </c>
      <c r="J4" s="38">
        <f>'Global inputs'!I4</f>
        <v>42460</v>
      </c>
      <c r="K4" s="38">
        <f>'Global inputs'!J4</f>
        <v>42825</v>
      </c>
      <c r="L4" s="38">
        <f>'Global inputs'!K4</f>
        <v>43190</v>
      </c>
      <c r="M4" s="38">
        <f>'Global inputs'!L4</f>
        <v>43555</v>
      </c>
      <c r="N4" s="38">
        <f>'Global inputs'!M4</f>
        <v>43921</v>
      </c>
      <c r="O4" s="38">
        <f>'Global inputs'!N4</f>
        <v>44286</v>
      </c>
      <c r="P4" s="38">
        <f>'Global inputs'!O4</f>
        <v>44651</v>
      </c>
      <c r="Q4" s="38">
        <f>'Global inputs'!P4</f>
        <v>45016</v>
      </c>
      <c r="R4" s="38">
        <f>'Global inputs'!Q4</f>
        <v>45382</v>
      </c>
      <c r="S4" s="38">
        <f>'Global inputs'!R4</f>
        <v>45747</v>
      </c>
      <c r="T4" s="38">
        <f>'Global inputs'!S4</f>
        <v>46112</v>
      </c>
      <c r="U4" s="38"/>
    </row>
    <row r="5" spans="1:25" s="12" customFormat="1" ht="12" customHeight="1" x14ac:dyDescent="0.2">
      <c r="B5" s="96" t="s">
        <v>44</v>
      </c>
      <c r="C5" s="44"/>
      <c r="D5" s="47"/>
      <c r="E5" s="47"/>
      <c r="F5" s="47"/>
      <c r="G5" s="43"/>
      <c r="H5" s="46"/>
      <c r="I5" s="39" t="str">
        <f>'Global inputs'!H5</f>
        <v>RY15</v>
      </c>
      <c r="J5" s="39" t="str">
        <f>'Global inputs'!I5</f>
        <v>RY16</v>
      </c>
      <c r="K5" s="39" t="str">
        <f>'Global inputs'!J5</f>
        <v>RY17</v>
      </c>
      <c r="L5" s="39" t="str">
        <f>'Global inputs'!K5</f>
        <v>RY18</v>
      </c>
      <c r="M5" s="39" t="str">
        <f>'Global inputs'!L5</f>
        <v>RY19</v>
      </c>
      <c r="N5" s="39" t="str">
        <f>'Global inputs'!M5</f>
        <v>RY20</v>
      </c>
      <c r="O5" s="39" t="str">
        <f>'Global inputs'!N5</f>
        <v>RY21</v>
      </c>
      <c r="P5" s="39" t="str">
        <f>'Global inputs'!O5</f>
        <v>RY22</v>
      </c>
      <c r="Q5" s="39" t="str">
        <f>'Global inputs'!P5</f>
        <v>RY23</v>
      </c>
      <c r="R5" s="39" t="str">
        <f>'Global inputs'!Q5</f>
        <v>RY24</v>
      </c>
      <c r="S5" s="39" t="str">
        <f>'Global inputs'!R5</f>
        <v>RY25</v>
      </c>
      <c r="T5" s="39" t="str">
        <f>'Global inputs'!S5</f>
        <v>RY26</v>
      </c>
      <c r="U5" s="39"/>
    </row>
    <row r="6" spans="1:25" s="12" customFormat="1" ht="12" customHeight="1" x14ac:dyDescent="0.2">
      <c r="B6" s="96" t="s">
        <v>45</v>
      </c>
      <c r="C6" s="44"/>
      <c r="D6" s="47"/>
      <c r="E6" s="47"/>
      <c r="F6" s="47"/>
      <c r="G6" s="43"/>
      <c r="H6" s="46"/>
      <c r="I6" s="40" t="s">
        <v>46</v>
      </c>
      <c r="J6" s="48"/>
      <c r="K6" s="48"/>
      <c r="L6" s="48"/>
      <c r="M6" s="48"/>
      <c r="N6" s="40" t="s">
        <v>47</v>
      </c>
      <c r="O6" s="48"/>
      <c r="P6" s="40" t="s">
        <v>48</v>
      </c>
      <c r="Q6" s="48"/>
      <c r="R6" s="48"/>
      <c r="S6" s="48"/>
      <c r="T6" s="48"/>
      <c r="U6" s="40" t="s">
        <v>49</v>
      </c>
    </row>
    <row r="7" spans="1:25" ht="12" customHeight="1" x14ac:dyDescent="0.2">
      <c r="B7" s="18"/>
      <c r="C7" s="16"/>
      <c r="D7" s="19"/>
      <c r="E7" s="19"/>
      <c r="F7" s="19"/>
      <c r="G7" s="18"/>
      <c r="H7" s="18"/>
      <c r="I7" s="18"/>
      <c r="J7" s="18"/>
      <c r="K7" s="18"/>
      <c r="L7" s="18"/>
      <c r="M7" s="18"/>
      <c r="N7" s="18"/>
      <c r="O7" s="18"/>
      <c r="P7" s="18"/>
      <c r="Q7" s="18"/>
      <c r="R7" s="18"/>
      <c r="S7" s="18"/>
      <c r="T7" s="18"/>
      <c r="U7" s="18"/>
    </row>
    <row r="8" spans="1:25" ht="12" customHeight="1" x14ac:dyDescent="0.2">
      <c r="B8" s="18"/>
      <c r="C8" s="16"/>
      <c r="D8" s="19"/>
      <c r="E8" s="19"/>
      <c r="F8" s="19"/>
      <c r="G8" s="18"/>
      <c r="H8" s="18"/>
      <c r="I8" s="18"/>
      <c r="J8" s="18"/>
      <c r="K8" s="18"/>
      <c r="L8" s="18"/>
      <c r="M8" s="18"/>
      <c r="N8" s="18"/>
      <c r="O8" s="18"/>
      <c r="P8" s="18"/>
      <c r="Q8" s="18"/>
      <c r="R8" s="18"/>
      <c r="S8" s="18"/>
      <c r="T8" s="18"/>
      <c r="U8" s="18"/>
    </row>
    <row r="9" spans="1:25" ht="12" customHeight="1" x14ac:dyDescent="0.2">
      <c r="B9" s="49" t="s">
        <v>187</v>
      </c>
      <c r="C9" s="50" t="s">
        <v>51</v>
      </c>
      <c r="D9" s="51" t="s">
        <v>52</v>
      </c>
      <c r="E9" s="50" t="s">
        <v>53</v>
      </c>
      <c r="F9" s="50" t="s">
        <v>53</v>
      </c>
    </row>
    <row r="10" spans="1:25" ht="12" customHeight="1" x14ac:dyDescent="0.2">
      <c r="I10" s="13"/>
      <c r="J10" s="13"/>
      <c r="K10" s="13"/>
      <c r="L10" s="13"/>
      <c r="M10" s="13"/>
      <c r="N10" s="13"/>
      <c r="O10" s="13"/>
      <c r="P10" s="13"/>
      <c r="Q10" s="13"/>
      <c r="R10" s="13"/>
      <c r="S10" s="13"/>
      <c r="T10" s="13"/>
      <c r="U10" s="13"/>
    </row>
    <row r="11" spans="1:25" ht="12" customHeight="1" x14ac:dyDescent="0.2">
      <c r="B11" s="52" t="s">
        <v>188</v>
      </c>
      <c r="I11" s="13"/>
      <c r="J11" s="13"/>
      <c r="K11" s="13"/>
      <c r="L11" s="13"/>
      <c r="M11" s="13"/>
    </row>
    <row r="12" spans="1:25" ht="12" customHeight="1" x14ac:dyDescent="0.2">
      <c r="I12" s="13"/>
      <c r="J12" s="13"/>
      <c r="K12" s="13"/>
      <c r="L12" s="53"/>
      <c r="M12" s="53"/>
    </row>
    <row r="13" spans="1:25" ht="12" customHeight="1" x14ac:dyDescent="0.2">
      <c r="B13" s="118" t="s">
        <v>189</v>
      </c>
      <c r="C13" s="102" t="s">
        <v>69</v>
      </c>
      <c r="E13" s="101"/>
      <c r="F13" s="101"/>
      <c r="G13" s="30"/>
      <c r="H13" s="30"/>
      <c r="I13" s="13"/>
      <c r="J13" s="186">
        <v>3.3430837477064212E-3</v>
      </c>
      <c r="K13" s="186">
        <v>1.0828821419724299E-2</v>
      </c>
      <c r="L13" s="186">
        <v>1.5830655035640184E-2</v>
      </c>
      <c r="M13" s="186">
        <v>1.6933821878353239E-2</v>
      </c>
      <c r="N13" s="186">
        <v>1.5998533007335114E-2</v>
      </c>
    </row>
    <row r="14" spans="1:25" ht="12" customHeight="1" x14ac:dyDescent="0.2">
      <c r="B14" s="53" t="s">
        <v>190</v>
      </c>
      <c r="C14" s="56" t="s">
        <v>191</v>
      </c>
      <c r="D14" s="13"/>
      <c r="E14" s="13"/>
      <c r="F14" s="13"/>
      <c r="G14" s="13"/>
      <c r="H14" s="13"/>
      <c r="I14" s="217">
        <f t="shared" ref="I14:N14" si="0">IF(J14="",1,J14/(1+J13))</f>
        <v>0.93943305079565687</v>
      </c>
      <c r="J14" s="217">
        <f t="shared" si="0"/>
        <v>0.94257365415983008</v>
      </c>
      <c r="K14" s="217">
        <f t="shared" si="0"/>
        <v>0.95278061593566388</v>
      </c>
      <c r="L14" s="217">
        <f t="shared" si="0"/>
        <v>0.96786375719118611</v>
      </c>
      <c r="M14" s="217">
        <f t="shared" si="0"/>
        <v>0.98425338965797537</v>
      </c>
      <c r="N14" s="217">
        <f t="shared" si="0"/>
        <v>1</v>
      </c>
      <c r="O14" s="114"/>
      <c r="P14" s="114"/>
      <c r="Q14" s="114"/>
      <c r="R14" s="114"/>
      <c r="S14" s="114"/>
      <c r="T14" s="114"/>
      <c r="U14" s="13"/>
      <c r="V14" s="13"/>
      <c r="W14" s="13"/>
      <c r="X14" s="13"/>
    </row>
    <row r="15" spans="1:25" ht="12" customHeight="1" x14ac:dyDescent="0.2">
      <c r="B15" s="53"/>
      <c r="C15" s="56"/>
      <c r="D15" s="13"/>
      <c r="E15" s="13"/>
      <c r="F15" s="13"/>
      <c r="G15" s="13"/>
      <c r="H15" s="13"/>
      <c r="I15" s="13"/>
      <c r="J15" s="13"/>
      <c r="K15" s="13"/>
      <c r="L15" s="13"/>
      <c r="N15" s="114"/>
      <c r="O15" s="114"/>
      <c r="P15" s="114"/>
      <c r="Q15" s="114"/>
      <c r="R15" s="114"/>
      <c r="S15" s="114"/>
      <c r="T15" s="114"/>
      <c r="U15" s="13"/>
      <c r="V15" s="13"/>
      <c r="W15" s="13"/>
      <c r="X15" s="13"/>
    </row>
    <row r="16" spans="1:25" ht="12" customHeight="1" x14ac:dyDescent="0.2">
      <c r="B16" s="52" t="s">
        <v>192</v>
      </c>
      <c r="I16" s="13"/>
      <c r="J16" s="13"/>
      <c r="K16" s="13"/>
      <c r="L16" s="13"/>
      <c r="M16" s="13"/>
    </row>
    <row r="17" spans="2:20" ht="12" customHeight="1" x14ac:dyDescent="0.2">
      <c r="I17" s="13"/>
      <c r="J17" s="13"/>
      <c r="K17" s="13"/>
      <c r="L17" s="53"/>
      <c r="M17" s="53"/>
      <c r="N17" s="53"/>
      <c r="O17" s="53"/>
    </row>
    <row r="18" spans="2:20" ht="12" customHeight="1" x14ac:dyDescent="0.2">
      <c r="B18" s="104" t="s">
        <v>193</v>
      </c>
      <c r="C18" s="101"/>
      <c r="D18" s="101"/>
      <c r="E18" s="101"/>
      <c r="F18" s="101"/>
      <c r="G18" s="30"/>
      <c r="H18" s="30"/>
      <c r="I18" s="30"/>
      <c r="J18" s="30"/>
      <c r="K18" s="30"/>
      <c r="L18" s="30"/>
      <c r="M18" s="103"/>
      <c r="N18" s="103"/>
      <c r="O18" s="103"/>
      <c r="P18" s="103"/>
      <c r="Q18" s="103"/>
      <c r="R18" s="103"/>
      <c r="S18" s="103"/>
      <c r="T18" s="103"/>
    </row>
    <row r="19" spans="2:20" ht="12" customHeight="1" x14ac:dyDescent="0.2">
      <c r="B19" s="105" t="s">
        <v>194</v>
      </c>
      <c r="C19" s="102" t="s">
        <v>69</v>
      </c>
      <c r="D19" s="187" t="s">
        <v>195</v>
      </c>
      <c r="E19" s="101"/>
      <c r="F19" s="101"/>
      <c r="G19" s="30"/>
      <c r="H19" s="30"/>
      <c r="I19" s="30"/>
      <c r="J19" s="30"/>
      <c r="K19" s="30"/>
      <c r="L19" s="30"/>
      <c r="M19" s="188"/>
      <c r="N19" s="186">
        <v>-0.10838094052807833</v>
      </c>
      <c r="O19" s="186">
        <v>4.3749999999999997E-2</v>
      </c>
      <c r="P19" s="186">
        <v>3.1099769957006015E-2</v>
      </c>
      <c r="Q19" s="186">
        <v>3.1099769957004534E-2</v>
      </c>
      <c r="R19" s="186">
        <v>3.1099769957006772E-2</v>
      </c>
      <c r="S19" s="186">
        <v>3.1099769957004531E-2</v>
      </c>
      <c r="T19" s="186">
        <v>3.1099999999999999E-2</v>
      </c>
    </row>
    <row r="20" spans="2:20" ht="12" customHeight="1" x14ac:dyDescent="0.2">
      <c r="B20" s="105" t="s">
        <v>196</v>
      </c>
      <c r="C20" s="102" t="s">
        <v>69</v>
      </c>
      <c r="D20" s="187" t="s">
        <v>195</v>
      </c>
      <c r="E20" s="101"/>
      <c r="F20" s="101"/>
      <c r="G20" s="30"/>
      <c r="H20" s="30"/>
      <c r="I20" s="30"/>
      <c r="J20" s="30"/>
      <c r="K20" s="30"/>
      <c r="L20" s="30"/>
      <c r="M20" s="188"/>
      <c r="N20" s="186">
        <v>-0.13479624867619672</v>
      </c>
      <c r="O20" s="186">
        <v>5.7692307692307696E-2</v>
      </c>
      <c r="P20" s="186">
        <v>2.7158019334816343E-2</v>
      </c>
      <c r="Q20" s="186">
        <v>2.7158019334815282E-2</v>
      </c>
      <c r="R20" s="186">
        <v>2.715801933481515E-2</v>
      </c>
      <c r="S20" s="186">
        <v>2.7158019334815202E-2</v>
      </c>
      <c r="T20" s="186">
        <v>2.7199999999999998E-2</v>
      </c>
    </row>
    <row r="21" spans="2:20" ht="12" customHeight="1" x14ac:dyDescent="0.2">
      <c r="B21" s="105" t="s">
        <v>197</v>
      </c>
      <c r="C21" s="102" t="s">
        <v>69</v>
      </c>
      <c r="D21" s="187" t="s">
        <v>195</v>
      </c>
      <c r="E21" s="101"/>
      <c r="F21" s="101"/>
      <c r="G21" s="30"/>
      <c r="H21" s="30"/>
      <c r="I21" s="30"/>
      <c r="J21" s="30"/>
      <c r="K21" s="30"/>
      <c r="L21" s="30"/>
      <c r="M21" s="188"/>
      <c r="N21" s="186">
        <v>-9.4291371793391282E-2</v>
      </c>
      <c r="O21" s="186">
        <v>-1.1764705882352941E-2</v>
      </c>
      <c r="P21" s="186">
        <v>7.6953326522024258E-3</v>
      </c>
      <c r="Q21" s="186">
        <v>7.6953326522016512E-3</v>
      </c>
      <c r="R21" s="186">
        <v>7.6953326522029523E-3</v>
      </c>
      <c r="S21" s="186">
        <v>7.6953326522017458E-3</v>
      </c>
      <c r="T21" s="186">
        <v>7.7000000000000002E-3</v>
      </c>
    </row>
    <row r="22" spans="2:20" ht="12" customHeight="1" x14ac:dyDescent="0.2">
      <c r="B22" s="105" t="s">
        <v>198</v>
      </c>
      <c r="C22" s="102" t="s">
        <v>69</v>
      </c>
      <c r="D22" s="187" t="s">
        <v>199</v>
      </c>
      <c r="E22" s="101"/>
      <c r="F22" s="101"/>
      <c r="G22" s="30"/>
      <c r="H22" s="30"/>
      <c r="I22" s="30"/>
      <c r="J22" s="30"/>
      <c r="K22" s="30"/>
      <c r="L22" s="30"/>
      <c r="M22" s="188"/>
      <c r="N22" s="186">
        <v>2.8680688336520044E-2</v>
      </c>
      <c r="O22" s="186">
        <v>2.0615457171786478E-2</v>
      </c>
      <c r="P22" s="186">
        <v>1.701556910340507E-2</v>
      </c>
      <c r="Q22" s="186">
        <v>1.6739177808136052E-2</v>
      </c>
      <c r="R22" s="186">
        <v>1.6877139988744627E-2</v>
      </c>
      <c r="S22" s="186">
        <v>1.7493017119420307E-2</v>
      </c>
      <c r="T22" s="186">
        <v>1.7493017119420307E-2</v>
      </c>
    </row>
    <row r="23" spans="2:20" ht="12" customHeight="1" x14ac:dyDescent="0.2">
      <c r="B23" s="105" t="s">
        <v>200</v>
      </c>
      <c r="C23" s="102" t="s">
        <v>69</v>
      </c>
      <c r="D23" s="187" t="s">
        <v>199</v>
      </c>
      <c r="E23" s="101"/>
      <c r="F23" s="101"/>
      <c r="G23" s="30"/>
      <c r="H23" s="30"/>
      <c r="I23" s="30"/>
      <c r="J23" s="30"/>
      <c r="K23" s="30"/>
      <c r="L23" s="30"/>
      <c r="M23" s="188"/>
      <c r="N23" s="186">
        <v>2.5316455696202445E-2</v>
      </c>
      <c r="O23" s="186">
        <v>1.4837191664034188E-2</v>
      </c>
      <c r="P23" s="186">
        <v>1.4806669149541429E-2</v>
      </c>
      <c r="Q23" s="186">
        <v>1.7265572940899254E-2</v>
      </c>
      <c r="R23" s="186">
        <v>1.7135528277707923E-2</v>
      </c>
      <c r="S23" s="186">
        <v>2.0048233690236783E-2</v>
      </c>
      <c r="T23" s="186">
        <v>2.0048233690236783E-2</v>
      </c>
    </row>
    <row r="24" spans="2:20" ht="12" customHeight="1" x14ac:dyDescent="0.2">
      <c r="B24" s="105" t="s">
        <v>201</v>
      </c>
      <c r="C24" s="102" t="s">
        <v>69</v>
      </c>
      <c r="D24" s="187" t="s">
        <v>199</v>
      </c>
      <c r="E24" s="101"/>
      <c r="F24" s="101"/>
      <c r="G24" s="30"/>
      <c r="H24" s="30"/>
      <c r="I24" s="30"/>
      <c r="J24" s="30"/>
      <c r="K24" s="30"/>
      <c r="L24" s="30"/>
      <c r="M24" s="188"/>
      <c r="N24" s="186">
        <v>2.5316455696202445E-2</v>
      </c>
      <c r="O24" s="186">
        <v>1.4837191664034188E-2</v>
      </c>
      <c r="P24" s="186">
        <v>1.4806669149541429E-2</v>
      </c>
      <c r="Q24" s="186">
        <v>1.7265572940899254E-2</v>
      </c>
      <c r="R24" s="186">
        <v>1.7135528277707923E-2</v>
      </c>
      <c r="S24" s="186">
        <v>2.0048233690236783E-2</v>
      </c>
      <c r="T24" s="186">
        <v>2.0048233690236783E-2</v>
      </c>
    </row>
    <row r="25" spans="2:20" ht="12" customHeight="1" x14ac:dyDescent="0.2">
      <c r="B25" s="105" t="s">
        <v>202</v>
      </c>
      <c r="C25" s="102" t="s">
        <v>69</v>
      </c>
      <c r="D25" s="187" t="s">
        <v>199</v>
      </c>
      <c r="E25" s="101"/>
      <c r="F25" s="101"/>
      <c r="G25" s="30"/>
      <c r="H25" s="30"/>
      <c r="I25" s="30"/>
      <c r="J25" s="30"/>
      <c r="K25" s="30"/>
      <c r="L25" s="30"/>
      <c r="M25" s="188"/>
      <c r="N25" s="186">
        <v>2.5316455696202445E-2</v>
      </c>
      <c r="O25" s="186">
        <v>1.4837191664034188E-2</v>
      </c>
      <c r="P25" s="186">
        <v>1.4806669149541429E-2</v>
      </c>
      <c r="Q25" s="186">
        <v>1.7265572940899254E-2</v>
      </c>
      <c r="R25" s="186">
        <v>1.7135528277707923E-2</v>
      </c>
      <c r="S25" s="186">
        <v>2.0048233690236783E-2</v>
      </c>
      <c r="T25" s="186">
        <v>2.0048233690236783E-2</v>
      </c>
    </row>
    <row r="26" spans="2:20" ht="12" customHeight="1" x14ac:dyDescent="0.2">
      <c r="B26" s="105" t="s">
        <v>203</v>
      </c>
      <c r="C26" s="102" t="s">
        <v>69</v>
      </c>
      <c r="D26" s="187" t="s">
        <v>199</v>
      </c>
      <c r="E26" s="101"/>
      <c r="F26" s="101"/>
      <c r="G26" s="30"/>
      <c r="H26" s="30"/>
      <c r="I26" s="30"/>
      <c r="J26" s="30"/>
      <c r="K26" s="30"/>
      <c r="L26" s="30"/>
      <c r="M26" s="188"/>
      <c r="N26" s="186">
        <v>2.5316455696202445E-2</v>
      </c>
      <c r="O26" s="186">
        <v>1.4837191664034188E-2</v>
      </c>
      <c r="P26" s="186">
        <v>1.4806669149541429E-2</v>
      </c>
      <c r="Q26" s="186">
        <v>1.7265572940899254E-2</v>
      </c>
      <c r="R26" s="186">
        <v>1.7135528277707923E-2</v>
      </c>
      <c r="S26" s="186">
        <v>2.0048233690236783E-2</v>
      </c>
      <c r="T26" s="186">
        <v>2.0048233690236783E-2</v>
      </c>
    </row>
    <row r="27" spans="2:20" ht="12" customHeight="1" x14ac:dyDescent="0.2">
      <c r="B27" s="105" t="s">
        <v>204</v>
      </c>
      <c r="C27" s="102" t="s">
        <v>69</v>
      </c>
      <c r="D27" s="187" t="s">
        <v>199</v>
      </c>
      <c r="E27" s="101"/>
      <c r="F27" s="101"/>
      <c r="G27" s="30"/>
      <c r="H27" s="30"/>
      <c r="I27" s="30"/>
      <c r="J27" s="30"/>
      <c r="K27" s="30"/>
      <c r="L27" s="30"/>
      <c r="M27" s="188"/>
      <c r="N27" s="186">
        <v>2.1346469622331776E-2</v>
      </c>
      <c r="O27" s="186">
        <v>1.1605278571987343E-2</v>
      </c>
      <c r="P27" s="186">
        <v>1.5029324420894552E-2</v>
      </c>
      <c r="Q27" s="186">
        <v>2.1474951800256825E-2</v>
      </c>
      <c r="R27" s="186">
        <v>1.542839670276841E-2</v>
      </c>
      <c r="S27" s="186">
        <v>2.0392935833010384E-2</v>
      </c>
      <c r="T27" s="186">
        <v>2.0392935833010384E-2</v>
      </c>
    </row>
    <row r="28" spans="2:20" ht="12" customHeight="1" x14ac:dyDescent="0.2">
      <c r="B28" s="105" t="s">
        <v>205</v>
      </c>
      <c r="C28" s="102" t="s">
        <v>69</v>
      </c>
      <c r="D28" s="187" t="s">
        <v>199</v>
      </c>
      <c r="E28" s="101"/>
      <c r="F28" s="101"/>
      <c r="G28" s="30"/>
      <c r="H28" s="30"/>
      <c r="I28" s="30"/>
      <c r="J28" s="30"/>
      <c r="K28" s="30"/>
      <c r="L28" s="30"/>
      <c r="M28" s="188"/>
      <c r="N28" s="186">
        <v>2.5308354259274468E-2</v>
      </c>
      <c r="O28" s="186">
        <v>2.2220995698236212E-2</v>
      </c>
      <c r="P28" s="186">
        <v>1.7764675321104928E-2</v>
      </c>
      <c r="Q28" s="186">
        <v>2.1755629428900747E-2</v>
      </c>
      <c r="R28" s="186">
        <v>2.4396674749967984E-2</v>
      </c>
      <c r="S28" s="186">
        <v>1.8943162174111849E-2</v>
      </c>
      <c r="T28" s="186">
        <v>1.7402568392145046E-2</v>
      </c>
    </row>
    <row r="29" spans="2:20" ht="12" customHeight="1" x14ac:dyDescent="0.2">
      <c r="B29" s="105" t="s">
        <v>206</v>
      </c>
      <c r="C29" s="102" t="s">
        <v>69</v>
      </c>
      <c r="D29" s="187" t="s">
        <v>199</v>
      </c>
      <c r="E29" s="101"/>
      <c r="F29" s="101"/>
      <c r="G29" s="30"/>
      <c r="H29" s="30"/>
      <c r="I29" s="30"/>
      <c r="J29" s="30"/>
      <c r="K29" s="30"/>
      <c r="L29" s="30"/>
      <c r="M29" s="188"/>
      <c r="N29" s="186">
        <v>2.9856956583078409E-2</v>
      </c>
      <c r="O29" s="186">
        <v>2.7771653751442082E-2</v>
      </c>
      <c r="P29" s="186">
        <v>2.329718914453327E-2</v>
      </c>
      <c r="Q29" s="186">
        <v>2.7304382778273073E-2</v>
      </c>
      <c r="R29" s="186">
        <v>2.9956193330994862E-2</v>
      </c>
      <c r="S29" s="186">
        <v>2.4480471411051585E-2</v>
      </c>
      <c r="T29" s="186">
        <v>2.3220833443045708E-2</v>
      </c>
    </row>
    <row r="30" spans="2:20" ht="12" customHeight="1" x14ac:dyDescent="0.2">
      <c r="B30" s="105" t="s">
        <v>207</v>
      </c>
      <c r="C30" s="102" t="s">
        <v>69</v>
      </c>
      <c r="D30" s="187" t="s">
        <v>199</v>
      </c>
      <c r="E30" s="101"/>
      <c r="F30" s="101"/>
      <c r="G30" s="30"/>
      <c r="H30" s="30"/>
      <c r="I30" s="30"/>
      <c r="J30" s="30"/>
      <c r="K30" s="30"/>
      <c r="L30" s="30"/>
      <c r="M30" s="188"/>
      <c r="N30" s="186">
        <v>2.9575355757845978E-2</v>
      </c>
      <c r="O30" s="186">
        <v>2.9485570987879628E-2</v>
      </c>
      <c r="P30" s="186">
        <v>2.4886976124153248E-2</v>
      </c>
      <c r="Q30" s="186">
        <v>2.6462843867996577E-2</v>
      </c>
      <c r="R30" s="186">
        <v>2.6422659738468912E-2</v>
      </c>
      <c r="S30" s="186">
        <v>2.3967776984209932E-2</v>
      </c>
      <c r="T30" s="186">
        <v>2.3357699034000978E-2</v>
      </c>
    </row>
    <row r="31" spans="2:20" ht="12" customHeight="1" x14ac:dyDescent="0.2">
      <c r="B31" s="105" t="s">
        <v>208</v>
      </c>
      <c r="C31" s="102" t="s">
        <v>69</v>
      </c>
      <c r="D31" s="187" t="s">
        <v>199</v>
      </c>
      <c r="E31" s="101"/>
      <c r="F31" s="101"/>
      <c r="G31" s="30"/>
      <c r="H31" s="30"/>
      <c r="I31" s="30"/>
      <c r="J31" s="30"/>
      <c r="K31" s="30"/>
      <c r="L31" s="30"/>
      <c r="M31" s="188"/>
      <c r="N31" s="186">
        <v>2.1442495126705596E-2</v>
      </c>
      <c r="O31" s="186">
        <v>1.7175572519083859E-2</v>
      </c>
      <c r="P31" s="186">
        <v>2.063789868667909E-2</v>
      </c>
      <c r="Q31" s="186">
        <v>1.974179821398625E-2</v>
      </c>
      <c r="R31" s="186">
        <v>2.000000000000024E-2</v>
      </c>
      <c r="S31" s="186">
        <v>2.000000000000024E-2</v>
      </c>
      <c r="T31" s="186">
        <v>2.0037623074587563E-2</v>
      </c>
    </row>
    <row r="32" spans="2:20" ht="12" customHeight="1" x14ac:dyDescent="0.2">
      <c r="B32" s="101"/>
      <c r="C32" s="101"/>
      <c r="D32" s="101"/>
      <c r="E32" s="101"/>
      <c r="F32" s="101"/>
      <c r="G32" s="30"/>
      <c r="H32" s="30"/>
      <c r="I32" s="30"/>
      <c r="J32" s="30"/>
      <c r="K32" s="30"/>
      <c r="L32" s="30"/>
      <c r="M32" s="189"/>
      <c r="N32" s="189"/>
      <c r="O32" s="189"/>
      <c r="P32" s="189"/>
      <c r="Q32" s="189"/>
      <c r="R32" s="189"/>
      <c r="S32" s="189"/>
      <c r="T32" s="189"/>
    </row>
    <row r="33" spans="2:20" ht="12" customHeight="1" x14ac:dyDescent="0.2">
      <c r="B33" s="102" t="s">
        <v>209</v>
      </c>
      <c r="C33" s="102" t="s">
        <v>191</v>
      </c>
      <c r="D33" s="101"/>
      <c r="E33" s="101"/>
      <c r="F33" s="101"/>
      <c r="G33" s="101"/>
      <c r="H33" s="30"/>
      <c r="I33" s="30"/>
      <c r="J33" s="30"/>
      <c r="K33" s="30"/>
      <c r="L33" s="30"/>
      <c r="M33" s="190">
        <v>0.68137377049180314</v>
      </c>
      <c r="N33" s="190">
        <v>0.63400000000000001</v>
      </c>
      <c r="O33" s="190">
        <v>0.64666666666666661</v>
      </c>
      <c r="P33" s="190">
        <v>0.65666666666666673</v>
      </c>
      <c r="Q33" s="190">
        <v>0.65750000000000008</v>
      </c>
      <c r="R33" s="190">
        <v>0.66</v>
      </c>
      <c r="S33" s="190">
        <v>0.66</v>
      </c>
      <c r="T33" s="190">
        <v>0.66</v>
      </c>
    </row>
    <row r="34" spans="2:20" s="30" customFormat="1" ht="12" customHeight="1" x14ac:dyDescent="0.2">
      <c r="B34" s="107" t="s">
        <v>210</v>
      </c>
      <c r="C34" s="102" t="s">
        <v>69</v>
      </c>
      <c r="D34" s="108"/>
      <c r="E34" s="108"/>
      <c r="F34" s="108"/>
      <c r="G34" s="108"/>
      <c r="M34" s="108"/>
      <c r="N34" s="218">
        <f t="shared" ref="N34:T34" si="1">N33/M33-1</f>
        <v>-6.9526847882050991E-2</v>
      </c>
      <c r="O34" s="218">
        <f t="shared" si="1"/>
        <v>1.9978969505783262E-2</v>
      </c>
      <c r="P34" s="218">
        <f t="shared" si="1"/>
        <v>1.5463917525773363E-2</v>
      </c>
      <c r="Q34" s="218">
        <f t="shared" si="1"/>
        <v>1.2690355329949554E-3</v>
      </c>
      <c r="R34" s="218">
        <f t="shared" si="1"/>
        <v>3.8022813688212143E-3</v>
      </c>
      <c r="S34" s="218">
        <f t="shared" si="1"/>
        <v>0</v>
      </c>
      <c r="T34" s="218">
        <f t="shared" si="1"/>
        <v>0</v>
      </c>
    </row>
    <row r="35" spans="2:20" ht="12" customHeight="1" x14ac:dyDescent="0.2">
      <c r="B35" s="101"/>
      <c r="C35" s="101"/>
      <c r="D35" s="101"/>
      <c r="E35" s="101"/>
      <c r="F35" s="101"/>
      <c r="G35" s="101"/>
      <c r="H35" s="30"/>
      <c r="I35" s="30"/>
      <c r="J35" s="30"/>
      <c r="K35" s="30"/>
      <c r="L35" s="30"/>
      <c r="M35" s="101"/>
      <c r="N35" s="219"/>
      <c r="O35" s="219"/>
      <c r="P35" s="219"/>
      <c r="Q35" s="219"/>
      <c r="R35" s="219"/>
      <c r="S35" s="219"/>
      <c r="T35" s="219"/>
    </row>
    <row r="36" spans="2:20" ht="12" customHeight="1" x14ac:dyDescent="0.2">
      <c r="B36" s="104" t="s">
        <v>192</v>
      </c>
      <c r="C36" s="101"/>
      <c r="D36" s="101"/>
      <c r="E36" s="101"/>
      <c r="F36" s="101"/>
      <c r="G36" s="30"/>
      <c r="H36" s="30"/>
      <c r="I36" s="30"/>
      <c r="J36" s="30"/>
      <c r="K36" s="30"/>
      <c r="L36" s="30"/>
      <c r="M36" s="103"/>
      <c r="N36" s="220"/>
      <c r="O36" s="220"/>
      <c r="P36" s="220"/>
      <c r="Q36" s="220"/>
      <c r="R36" s="220"/>
      <c r="S36" s="220"/>
      <c r="T36" s="220"/>
    </row>
    <row r="37" spans="2:20" ht="12" customHeight="1" x14ac:dyDescent="0.2">
      <c r="B37" s="53" t="str">
        <f t="shared" ref="B37:B49" si="2">B19</f>
        <v>Aluminium*</v>
      </c>
      <c r="C37" s="102" t="s">
        <v>69</v>
      </c>
      <c r="I37" s="13"/>
      <c r="J37" s="13"/>
      <c r="K37" s="13"/>
      <c r="L37" s="53"/>
      <c r="M37" s="62"/>
      <c r="N37" s="221">
        <f t="shared" ref="N37:T49" si="3">((1+N19)/(1+IF($D19="USD",N$34,0)))-1</f>
        <v>-4.1757349535112787E-2</v>
      </c>
      <c r="O37" s="221">
        <f t="shared" si="3"/>
        <v>2.3305412371134038E-2</v>
      </c>
      <c r="P37" s="221">
        <f t="shared" si="3"/>
        <v>1.5397743003345843E-2</v>
      </c>
      <c r="Q37" s="221">
        <f t="shared" si="3"/>
        <v>2.9792926142103493E-2</v>
      </c>
      <c r="R37" s="221">
        <f t="shared" si="3"/>
        <v>2.719408901020004E-2</v>
      </c>
      <c r="S37" s="221">
        <f t="shared" si="3"/>
        <v>3.1099769957004586E-2</v>
      </c>
      <c r="T37" s="221">
        <f t="shared" si="3"/>
        <v>3.1099999999999905E-2</v>
      </c>
    </row>
    <row r="38" spans="2:20" ht="12" customHeight="1" x14ac:dyDescent="0.2">
      <c r="B38" s="53" t="str">
        <f t="shared" si="2"/>
        <v xml:space="preserve">Copper* </v>
      </c>
      <c r="C38" s="102" t="s">
        <v>69</v>
      </c>
      <c r="I38" s="13"/>
      <c r="J38" s="13"/>
      <c r="K38" s="13"/>
      <c r="L38" s="53"/>
      <c r="M38" s="62"/>
      <c r="N38" s="221">
        <f t="shared" si="3"/>
        <v>-7.0146463275785109E-2</v>
      </c>
      <c r="O38" s="221">
        <f t="shared" si="3"/>
        <v>3.6974623314829591E-2</v>
      </c>
      <c r="P38" s="221">
        <f t="shared" si="3"/>
        <v>1.1516019040377357E-2</v>
      </c>
      <c r="Q38" s="221">
        <f t="shared" si="3"/>
        <v>2.5856171401564598E-2</v>
      </c>
      <c r="R38" s="221">
        <f t="shared" si="3"/>
        <v>2.3267269261577184E-2</v>
      </c>
      <c r="S38" s="221">
        <f t="shared" si="3"/>
        <v>2.7158019334815098E-2</v>
      </c>
      <c r="T38" s="221">
        <f t="shared" si="3"/>
        <v>2.7199999999999891E-2</v>
      </c>
    </row>
    <row r="39" spans="2:20" ht="12" customHeight="1" x14ac:dyDescent="0.2">
      <c r="B39" s="53" t="str">
        <f t="shared" si="2"/>
        <v>Steel*</v>
      </c>
      <c r="C39" s="102" t="s">
        <v>69</v>
      </c>
      <c r="I39" s="13"/>
      <c r="J39" s="13"/>
      <c r="K39" s="13"/>
      <c r="L39" s="53"/>
      <c r="M39" s="62"/>
      <c r="N39" s="221">
        <f t="shared" si="3"/>
        <v>-2.6614979545590445E-2</v>
      </c>
      <c r="O39" s="221">
        <f t="shared" si="3"/>
        <v>-3.1121892055791189E-2</v>
      </c>
      <c r="P39" s="221">
        <f t="shared" si="3"/>
        <v>-7.6502815506230837E-3</v>
      </c>
      <c r="Q39" s="221">
        <f t="shared" si="3"/>
        <v>6.4181522559376702E-3</v>
      </c>
      <c r="R39" s="221">
        <f t="shared" si="3"/>
        <v>3.8783048770052453E-3</v>
      </c>
      <c r="S39" s="221">
        <f t="shared" si="3"/>
        <v>7.6953326522017917E-3</v>
      </c>
      <c r="T39" s="221">
        <f t="shared" si="3"/>
        <v>7.7000000000000401E-3</v>
      </c>
    </row>
    <row r="40" spans="2:20" ht="12" customHeight="1" x14ac:dyDescent="0.2">
      <c r="B40" s="53" t="str">
        <f t="shared" si="2"/>
        <v>Other capital goods</v>
      </c>
      <c r="C40" s="102" t="s">
        <v>69</v>
      </c>
      <c r="I40" s="13"/>
      <c r="J40" s="13"/>
      <c r="K40" s="13"/>
      <c r="L40" s="53"/>
      <c r="M40" s="62"/>
      <c r="N40" s="221">
        <f t="shared" si="3"/>
        <v>2.8680688336520044E-2</v>
      </c>
      <c r="O40" s="221">
        <f t="shared" si="3"/>
        <v>2.0615457171786478E-2</v>
      </c>
      <c r="P40" s="221">
        <f t="shared" si="3"/>
        <v>1.701556910340507E-2</v>
      </c>
      <c r="Q40" s="221">
        <f t="shared" si="3"/>
        <v>1.6739177808136052E-2</v>
      </c>
      <c r="R40" s="221">
        <f t="shared" si="3"/>
        <v>1.6877139988744627E-2</v>
      </c>
      <c r="S40" s="221">
        <f t="shared" si="3"/>
        <v>1.7493017119420307E-2</v>
      </c>
      <c r="T40" s="221">
        <f t="shared" si="3"/>
        <v>1.7493017119420307E-2</v>
      </c>
    </row>
    <row r="41" spans="2:20" ht="12" customHeight="1" x14ac:dyDescent="0.2">
      <c r="B41" s="53" t="str">
        <f t="shared" si="2"/>
        <v>Engineers</v>
      </c>
      <c r="C41" s="102" t="s">
        <v>69</v>
      </c>
      <c r="I41" s="13"/>
      <c r="J41" s="13"/>
      <c r="K41" s="13"/>
      <c r="L41" s="53"/>
      <c r="M41" s="62"/>
      <c r="N41" s="221">
        <f t="shared" si="3"/>
        <v>2.5316455696202445E-2</v>
      </c>
      <c r="O41" s="221">
        <f t="shared" si="3"/>
        <v>1.4837191664034188E-2</v>
      </c>
      <c r="P41" s="221">
        <f t="shared" si="3"/>
        <v>1.4806669149541429E-2</v>
      </c>
      <c r="Q41" s="221">
        <f t="shared" si="3"/>
        <v>1.7265572940899254E-2</v>
      </c>
      <c r="R41" s="221">
        <f t="shared" si="3"/>
        <v>1.7135528277707923E-2</v>
      </c>
      <c r="S41" s="221">
        <f t="shared" si="3"/>
        <v>2.0048233690236783E-2</v>
      </c>
      <c r="T41" s="221">
        <f t="shared" si="3"/>
        <v>2.0048233690236783E-2</v>
      </c>
    </row>
    <row r="42" spans="2:20" ht="12" customHeight="1" x14ac:dyDescent="0.2">
      <c r="B42" s="53" t="str">
        <f t="shared" si="2"/>
        <v xml:space="preserve">Professional  </v>
      </c>
      <c r="C42" s="102" t="s">
        <v>69</v>
      </c>
      <c r="I42" s="13"/>
      <c r="J42" s="13"/>
      <c r="K42" s="13"/>
      <c r="L42" s="53"/>
      <c r="M42" s="62"/>
      <c r="N42" s="221">
        <f t="shared" si="3"/>
        <v>2.5316455696202445E-2</v>
      </c>
      <c r="O42" s="221">
        <f t="shared" si="3"/>
        <v>1.4837191664034188E-2</v>
      </c>
      <c r="P42" s="221">
        <f t="shared" si="3"/>
        <v>1.4806669149541429E-2</v>
      </c>
      <c r="Q42" s="221">
        <f t="shared" si="3"/>
        <v>1.7265572940899254E-2</v>
      </c>
      <c r="R42" s="221">
        <f t="shared" si="3"/>
        <v>1.7135528277707923E-2</v>
      </c>
      <c r="S42" s="221">
        <f t="shared" si="3"/>
        <v>2.0048233690236783E-2</v>
      </c>
      <c r="T42" s="221">
        <f t="shared" si="3"/>
        <v>2.0048233690236783E-2</v>
      </c>
    </row>
    <row r="43" spans="2:20" ht="12" customHeight="1" x14ac:dyDescent="0.2">
      <c r="B43" s="53" t="str">
        <f t="shared" si="2"/>
        <v>Project managers</v>
      </c>
      <c r="C43" s="102" t="s">
        <v>69</v>
      </c>
      <c r="I43" s="13"/>
      <c r="J43" s="13"/>
      <c r="K43" s="13"/>
      <c r="L43" s="53"/>
      <c r="M43" s="62"/>
      <c r="N43" s="221">
        <f t="shared" si="3"/>
        <v>2.5316455696202445E-2</v>
      </c>
      <c r="O43" s="221">
        <f t="shared" si="3"/>
        <v>1.4837191664034188E-2</v>
      </c>
      <c r="P43" s="221">
        <f t="shared" si="3"/>
        <v>1.4806669149541429E-2</v>
      </c>
      <c r="Q43" s="221">
        <f t="shared" si="3"/>
        <v>1.7265572940899254E-2</v>
      </c>
      <c r="R43" s="221">
        <f t="shared" si="3"/>
        <v>1.7135528277707923E-2</v>
      </c>
      <c r="S43" s="221">
        <f t="shared" si="3"/>
        <v>2.0048233690236783E-2</v>
      </c>
      <c r="T43" s="221">
        <f t="shared" si="3"/>
        <v>2.0048233690236783E-2</v>
      </c>
    </row>
    <row r="44" spans="2:20" ht="12" customHeight="1" x14ac:dyDescent="0.2">
      <c r="B44" s="53" t="str">
        <f t="shared" si="2"/>
        <v>IT labour costs</v>
      </c>
      <c r="C44" s="102" t="s">
        <v>69</v>
      </c>
      <c r="I44" s="13"/>
      <c r="J44" s="13"/>
      <c r="K44" s="13"/>
      <c r="L44" s="53"/>
      <c r="M44" s="62"/>
      <c r="N44" s="221">
        <f t="shared" si="3"/>
        <v>2.5316455696202445E-2</v>
      </c>
      <c r="O44" s="221">
        <f t="shared" si="3"/>
        <v>1.4837191664034188E-2</v>
      </c>
      <c r="P44" s="221">
        <f t="shared" si="3"/>
        <v>1.4806669149541429E-2</v>
      </c>
      <c r="Q44" s="221">
        <f t="shared" si="3"/>
        <v>1.7265572940899254E-2</v>
      </c>
      <c r="R44" s="221">
        <f t="shared" si="3"/>
        <v>1.7135528277707923E-2</v>
      </c>
      <c r="S44" s="221">
        <f t="shared" si="3"/>
        <v>2.0048233690236783E-2</v>
      </c>
      <c r="T44" s="221">
        <f t="shared" si="3"/>
        <v>2.0048233690236783E-2</v>
      </c>
    </row>
    <row r="45" spans="2:20" ht="12" customHeight="1" x14ac:dyDescent="0.2">
      <c r="B45" s="53" t="str">
        <f t="shared" si="2"/>
        <v>Capex labour</v>
      </c>
      <c r="C45" s="102" t="s">
        <v>69</v>
      </c>
      <c r="I45" s="13"/>
      <c r="J45" s="13"/>
      <c r="K45" s="13"/>
      <c r="L45" s="53"/>
      <c r="M45" s="62"/>
      <c r="N45" s="221">
        <f t="shared" si="3"/>
        <v>2.1346469622331776E-2</v>
      </c>
      <c r="O45" s="221">
        <f t="shared" si="3"/>
        <v>1.1605278571987343E-2</v>
      </c>
      <c r="P45" s="221">
        <f t="shared" si="3"/>
        <v>1.5029324420894552E-2</v>
      </c>
      <c r="Q45" s="221">
        <f t="shared" si="3"/>
        <v>2.1474951800256825E-2</v>
      </c>
      <c r="R45" s="221">
        <f t="shared" si="3"/>
        <v>1.542839670276841E-2</v>
      </c>
      <c r="S45" s="221">
        <f t="shared" si="3"/>
        <v>2.0392935833010384E-2</v>
      </c>
      <c r="T45" s="221">
        <f t="shared" si="3"/>
        <v>2.0392935833010384E-2</v>
      </c>
    </row>
    <row r="46" spans="2:20" ht="12" customHeight="1" x14ac:dyDescent="0.2">
      <c r="B46" s="53" t="str">
        <f t="shared" si="2"/>
        <v>Professional advice</v>
      </c>
      <c r="C46" s="102" t="s">
        <v>69</v>
      </c>
      <c r="I46" s="13"/>
      <c r="J46" s="13"/>
      <c r="K46" s="13"/>
      <c r="L46" s="53"/>
      <c r="M46" s="62"/>
      <c r="N46" s="221">
        <f t="shared" si="3"/>
        <v>2.5308354259274468E-2</v>
      </c>
      <c r="O46" s="221">
        <f t="shared" si="3"/>
        <v>2.2220995698236212E-2</v>
      </c>
      <c r="P46" s="221">
        <f t="shared" si="3"/>
        <v>1.7764675321104928E-2</v>
      </c>
      <c r="Q46" s="221">
        <f t="shared" si="3"/>
        <v>2.1755629428900747E-2</v>
      </c>
      <c r="R46" s="221">
        <f t="shared" si="3"/>
        <v>2.4396674749967984E-2</v>
      </c>
      <c r="S46" s="221">
        <f t="shared" si="3"/>
        <v>1.8943162174111849E-2</v>
      </c>
      <c r="T46" s="221">
        <f t="shared" si="3"/>
        <v>1.7402568392145046E-2</v>
      </c>
    </row>
    <row r="47" spans="2:20" ht="12" customHeight="1" x14ac:dyDescent="0.2">
      <c r="B47" s="53" t="str">
        <f t="shared" si="2"/>
        <v>Maintenance labour</v>
      </c>
      <c r="C47" s="102" t="s">
        <v>69</v>
      </c>
      <c r="I47" s="13"/>
      <c r="J47" s="13"/>
      <c r="K47" s="13"/>
      <c r="L47" s="53"/>
      <c r="M47" s="62"/>
      <c r="N47" s="221">
        <f t="shared" si="3"/>
        <v>2.9856956583078409E-2</v>
      </c>
      <c r="O47" s="221">
        <f t="shared" si="3"/>
        <v>2.7771653751442082E-2</v>
      </c>
      <c r="P47" s="221">
        <f t="shared" si="3"/>
        <v>2.329718914453327E-2</v>
      </c>
      <c r="Q47" s="221">
        <f t="shared" si="3"/>
        <v>2.7304382778273073E-2</v>
      </c>
      <c r="R47" s="221">
        <f t="shared" si="3"/>
        <v>2.9956193330994862E-2</v>
      </c>
      <c r="S47" s="221">
        <f t="shared" si="3"/>
        <v>2.4480471411051585E-2</v>
      </c>
      <c r="T47" s="221">
        <f t="shared" si="3"/>
        <v>2.3220833443045708E-2</v>
      </c>
    </row>
    <row r="48" spans="2:20" ht="12" customHeight="1" x14ac:dyDescent="0.2">
      <c r="B48" s="53" t="str">
        <f t="shared" si="2"/>
        <v>Vegetation control</v>
      </c>
      <c r="C48" s="102" t="s">
        <v>69</v>
      </c>
      <c r="I48" s="13"/>
      <c r="J48" s="13"/>
      <c r="K48" s="13"/>
      <c r="L48" s="53"/>
      <c r="M48" s="62"/>
      <c r="N48" s="221">
        <f t="shared" si="3"/>
        <v>2.9575355757845978E-2</v>
      </c>
      <c r="O48" s="221">
        <f t="shared" si="3"/>
        <v>2.9485570987879628E-2</v>
      </c>
      <c r="P48" s="221">
        <f t="shared" si="3"/>
        <v>2.4886976124153248E-2</v>
      </c>
      <c r="Q48" s="221">
        <f t="shared" si="3"/>
        <v>2.6462843867996577E-2</v>
      </c>
      <c r="R48" s="221">
        <f t="shared" si="3"/>
        <v>2.6422659738468912E-2</v>
      </c>
      <c r="S48" s="221">
        <f t="shared" si="3"/>
        <v>2.3967776984209932E-2</v>
      </c>
      <c r="T48" s="221">
        <f t="shared" si="3"/>
        <v>2.3357699034000978E-2</v>
      </c>
    </row>
    <row r="49" spans="2:20" ht="12" customHeight="1" x14ac:dyDescent="0.2">
      <c r="B49" s="53" t="str">
        <f t="shared" si="2"/>
        <v>Other costs</v>
      </c>
      <c r="C49" s="102" t="s">
        <v>69</v>
      </c>
      <c r="I49" s="13"/>
      <c r="J49" s="13"/>
      <c r="K49" s="13"/>
      <c r="L49" s="53"/>
      <c r="M49" s="62"/>
      <c r="N49" s="221">
        <f t="shared" si="3"/>
        <v>2.1442495126705596E-2</v>
      </c>
      <c r="O49" s="221">
        <f t="shared" si="3"/>
        <v>1.7175572519083859E-2</v>
      </c>
      <c r="P49" s="221">
        <f t="shared" si="3"/>
        <v>2.063789868667909E-2</v>
      </c>
      <c r="Q49" s="221">
        <f t="shared" si="3"/>
        <v>1.974179821398625E-2</v>
      </c>
      <c r="R49" s="221">
        <f t="shared" si="3"/>
        <v>2.000000000000024E-2</v>
      </c>
      <c r="S49" s="221">
        <f t="shared" si="3"/>
        <v>2.000000000000024E-2</v>
      </c>
      <c r="T49" s="221">
        <f t="shared" si="3"/>
        <v>2.0037623074587563E-2</v>
      </c>
    </row>
    <row r="50" spans="2:20" ht="12" customHeight="1" x14ac:dyDescent="0.2">
      <c r="I50" s="13"/>
      <c r="J50" s="13"/>
      <c r="K50" s="13"/>
      <c r="L50" s="53"/>
      <c r="M50" s="62"/>
    </row>
    <row r="51" spans="2:20" ht="12" customHeight="1" x14ac:dyDescent="0.2">
      <c r="B51" s="52" t="s">
        <v>211</v>
      </c>
      <c r="I51" s="13"/>
      <c r="J51" s="13"/>
      <c r="K51" s="13"/>
      <c r="L51" s="13"/>
      <c r="M51" s="13"/>
    </row>
    <row r="52" spans="2:20" ht="12" customHeight="1" x14ac:dyDescent="0.2">
      <c r="I52" s="13"/>
      <c r="J52" s="13"/>
      <c r="K52" s="13"/>
      <c r="L52" s="53"/>
      <c r="M52" s="53"/>
      <c r="N52" s="53"/>
      <c r="O52" s="53"/>
    </row>
    <row r="53" spans="2:20" ht="12" customHeight="1" x14ac:dyDescent="0.2">
      <c r="B53" s="104" t="s">
        <v>212</v>
      </c>
      <c r="C53" s="101"/>
      <c r="E53" s="101"/>
      <c r="F53" s="101"/>
      <c r="G53" s="30"/>
      <c r="H53" s="30"/>
      <c r="I53" s="30"/>
      <c r="J53" s="30"/>
      <c r="K53" s="30"/>
      <c r="L53" s="30"/>
      <c r="M53" s="103"/>
      <c r="N53" s="103"/>
      <c r="O53" s="103"/>
      <c r="P53" s="103"/>
      <c r="Q53" s="103"/>
      <c r="R53" s="103"/>
      <c r="S53" s="103"/>
      <c r="T53" s="103"/>
    </row>
    <row r="54" spans="2:20" ht="12" customHeight="1" x14ac:dyDescent="0.2">
      <c r="B54" s="106" t="s">
        <v>213</v>
      </c>
      <c r="C54" s="102" t="s">
        <v>69</v>
      </c>
      <c r="E54" s="101"/>
      <c r="F54" s="101"/>
      <c r="G54" s="30"/>
      <c r="H54" s="30"/>
      <c r="I54" s="30"/>
      <c r="J54" s="30"/>
      <c r="K54" s="30"/>
      <c r="L54" s="30"/>
      <c r="M54" s="103"/>
      <c r="N54" s="191">
        <v>2.5316455696202445E-2</v>
      </c>
      <c r="O54" s="191">
        <v>1.4837191664034188E-2</v>
      </c>
      <c r="P54" s="191">
        <v>1.4806669149541429E-2</v>
      </c>
      <c r="Q54" s="191">
        <v>1.7265572940899254E-2</v>
      </c>
      <c r="R54" s="191">
        <v>1.7135528277707923E-2</v>
      </c>
      <c r="S54" s="191">
        <v>2.0048233690236783E-2</v>
      </c>
      <c r="T54" s="191">
        <v>2.0048233690236783E-2</v>
      </c>
    </row>
    <row r="55" spans="2:20" ht="12" customHeight="1" x14ac:dyDescent="0.2">
      <c r="B55" s="106" t="s">
        <v>214</v>
      </c>
      <c r="C55" s="102" t="s">
        <v>69</v>
      </c>
      <c r="E55" s="101"/>
      <c r="F55" s="101"/>
      <c r="G55" s="30"/>
      <c r="H55" s="30"/>
      <c r="I55" s="30"/>
      <c r="J55" s="30"/>
      <c r="K55" s="30"/>
      <c r="L55" s="30"/>
      <c r="M55" s="103"/>
      <c r="N55" s="191">
        <v>2.0270685159420543E-2</v>
      </c>
      <c r="O55" s="191">
        <v>2.4721833410174199E-2</v>
      </c>
      <c r="P55" s="191">
        <v>2.025733514908401E-2</v>
      </c>
      <c r="Q55" s="191">
        <v>2.4255608664784933E-2</v>
      </c>
      <c r="R55" s="191">
        <v>2.6901506037616763E-2</v>
      </c>
      <c r="S55" s="191">
        <v>2.1437983369818614E-2</v>
      </c>
      <c r="T55" s="191">
        <v>2.0023828190443904E-2</v>
      </c>
    </row>
    <row r="56" spans="2:20" ht="12" customHeight="1" x14ac:dyDescent="0.2">
      <c r="B56" s="106" t="s">
        <v>215</v>
      </c>
      <c r="C56" s="102" t="s">
        <v>69</v>
      </c>
      <c r="E56" s="101"/>
      <c r="F56" s="101"/>
      <c r="G56" s="30"/>
      <c r="H56" s="30"/>
      <c r="I56" s="30"/>
      <c r="J56" s="30"/>
      <c r="K56" s="30"/>
      <c r="L56" s="30"/>
      <c r="M56" s="103"/>
      <c r="N56" s="191">
        <v>2.1088023151142554E-2</v>
      </c>
      <c r="O56" s="191">
        <v>2.4636054474843849E-2</v>
      </c>
      <c r="P56" s="191">
        <v>2.0171836633210649E-2</v>
      </c>
      <c r="Q56" s="191">
        <v>2.4169859166669028E-2</v>
      </c>
      <c r="R56" s="191">
        <v>2.6815590162646341E-2</v>
      </c>
      <c r="S56" s="191">
        <v>2.1352410740720362E-2</v>
      </c>
      <c r="T56" s="191">
        <v>1.9933914750939863E-2</v>
      </c>
    </row>
    <row r="57" spans="2:20" ht="12" customHeight="1" x14ac:dyDescent="0.2">
      <c r="B57" s="106" t="s">
        <v>216</v>
      </c>
      <c r="C57" s="102" t="s">
        <v>69</v>
      </c>
      <c r="E57" s="101"/>
      <c r="F57" s="101"/>
      <c r="G57" s="30"/>
      <c r="H57" s="30"/>
      <c r="I57" s="30"/>
      <c r="J57" s="30"/>
      <c r="K57" s="30"/>
      <c r="L57" s="30"/>
      <c r="M57" s="103"/>
      <c r="N57" s="191">
        <v>1.2163336229365829E-2</v>
      </c>
      <c r="O57" s="191">
        <v>1.0958437388084663E-2</v>
      </c>
      <c r="P57" s="191">
        <v>1.2114083340629467E-2</v>
      </c>
      <c r="Q57" s="191">
        <v>1.0226017046247371E-2</v>
      </c>
      <c r="R57" s="191">
        <v>1.6575283625202886E-2</v>
      </c>
      <c r="S57" s="191">
        <v>1.684977385133779E-2</v>
      </c>
      <c r="T57" s="191">
        <v>1.684977385133779E-2</v>
      </c>
    </row>
    <row r="58" spans="2:20" ht="12" customHeight="1" x14ac:dyDescent="0.2">
      <c r="B58" s="106" t="s">
        <v>217</v>
      </c>
      <c r="C58" s="102" t="s">
        <v>69</v>
      </c>
      <c r="E58" s="101"/>
      <c r="F58" s="101"/>
      <c r="G58" s="30"/>
      <c r="H58" s="30"/>
      <c r="I58" s="30"/>
      <c r="J58" s="30"/>
      <c r="K58" s="30"/>
      <c r="L58" s="30"/>
      <c r="M58" s="103"/>
      <c r="N58" s="191">
        <v>3.7685963914650955E-2</v>
      </c>
      <c r="O58" s="191">
        <v>3.9348669465753661E-2</v>
      </c>
      <c r="P58" s="191">
        <v>3.4584401367375062E-2</v>
      </c>
      <c r="Q58" s="191">
        <v>3.3577042073390517E-2</v>
      </c>
      <c r="R58" s="191">
        <v>3.0665889239730459E-2</v>
      </c>
      <c r="S58" s="191">
        <v>3.1412480351794558E-2</v>
      </c>
      <c r="T58" s="191">
        <v>3.1496237330193688E-2</v>
      </c>
    </row>
    <row r="59" spans="2:20" ht="12" customHeight="1" x14ac:dyDescent="0.2">
      <c r="B59" s="106" t="s">
        <v>218</v>
      </c>
      <c r="C59" s="102" t="s">
        <v>69</v>
      </c>
      <c r="E59" s="101"/>
      <c r="F59" s="101"/>
      <c r="G59" s="30"/>
      <c r="H59" s="30"/>
      <c r="I59" s="30"/>
      <c r="J59" s="30"/>
      <c r="K59" s="30"/>
      <c r="L59" s="30"/>
      <c r="M59" s="103"/>
      <c r="N59" s="191">
        <v>2.8400365727168309E-2</v>
      </c>
      <c r="O59" s="191">
        <v>2.8230063957071838E-2</v>
      </c>
      <c r="P59" s="191">
        <v>2.3504096380690953E-2</v>
      </c>
      <c r="Q59" s="191">
        <v>2.2504846955821556E-2</v>
      </c>
      <c r="R59" s="191">
        <v>1.9617117688334851E-2</v>
      </c>
      <c r="S59" s="191">
        <v>2.035769508735652E-2</v>
      </c>
      <c r="T59" s="191">
        <v>2.0440777640623242E-2</v>
      </c>
    </row>
    <row r="60" spans="2:20" ht="12" customHeight="1" x14ac:dyDescent="0.2">
      <c r="B60" s="101"/>
      <c r="C60" s="101"/>
      <c r="D60" s="101"/>
      <c r="E60" s="101"/>
      <c r="F60" s="101"/>
      <c r="G60" s="101"/>
      <c r="H60" s="30"/>
      <c r="I60" s="30"/>
      <c r="J60" s="30"/>
      <c r="K60" s="30"/>
      <c r="L60" s="30"/>
      <c r="M60" s="101"/>
      <c r="N60" s="101"/>
      <c r="O60" s="101"/>
      <c r="P60" s="101"/>
      <c r="Q60" s="101"/>
      <c r="R60" s="101"/>
      <c r="S60" s="101"/>
      <c r="T60" s="101"/>
    </row>
    <row r="61" spans="2:20" ht="12" customHeight="1" x14ac:dyDescent="0.2">
      <c r="B61" s="49" t="s">
        <v>219</v>
      </c>
      <c r="C61" s="50" t="s">
        <v>51</v>
      </c>
      <c r="D61" s="51" t="s">
        <v>52</v>
      </c>
      <c r="E61" s="50" t="s">
        <v>53</v>
      </c>
      <c r="F61" s="50" t="s">
        <v>53</v>
      </c>
      <c r="I61" s="13"/>
      <c r="J61" s="13"/>
      <c r="K61" s="13"/>
      <c r="L61" s="53"/>
      <c r="M61" s="62"/>
    </row>
    <row r="62" spans="2:20" ht="12" customHeight="1" x14ac:dyDescent="0.2">
      <c r="I62" s="13"/>
      <c r="J62" s="13"/>
      <c r="K62" s="13"/>
      <c r="L62" s="13"/>
      <c r="M62" s="13"/>
    </row>
    <row r="63" spans="2:20" ht="12" customHeight="1" x14ac:dyDescent="0.2">
      <c r="B63" s="52" t="s">
        <v>220</v>
      </c>
    </row>
    <row r="64" spans="2:20" ht="12" customHeight="1" x14ac:dyDescent="0.2">
      <c r="I64" s="13"/>
      <c r="J64" s="13"/>
      <c r="K64" s="13"/>
    </row>
    <row r="65" spans="2:6" ht="12" customHeight="1" x14ac:dyDescent="0.2">
      <c r="B65" s="12" t="s">
        <v>221</v>
      </c>
    </row>
    <row r="66" spans="2:6" ht="12" customHeight="1" x14ac:dyDescent="0.2">
      <c r="B66" s="192" t="s">
        <v>204</v>
      </c>
      <c r="C66" s="25" t="s">
        <v>69</v>
      </c>
      <c r="D66" s="193">
        <v>0.85</v>
      </c>
    </row>
    <row r="67" spans="2:6" ht="12" customHeight="1" x14ac:dyDescent="0.2">
      <c r="B67" s="192" t="s">
        <v>202</v>
      </c>
      <c r="C67" s="25" t="s">
        <v>69</v>
      </c>
      <c r="D67" s="193">
        <v>3.7499999999999999E-2</v>
      </c>
    </row>
    <row r="68" spans="2:6" ht="12" customHeight="1" x14ac:dyDescent="0.2">
      <c r="B68" s="192" t="s">
        <v>201</v>
      </c>
      <c r="C68" s="25" t="s">
        <v>69</v>
      </c>
      <c r="D68" s="193">
        <v>3.7499999999999999E-2</v>
      </c>
    </row>
    <row r="69" spans="2:6" ht="12" customHeight="1" x14ac:dyDescent="0.2">
      <c r="B69" s="192" t="s">
        <v>203</v>
      </c>
      <c r="C69" s="25" t="s">
        <v>69</v>
      </c>
      <c r="D69" s="193">
        <v>3.7499999999999999E-2</v>
      </c>
    </row>
    <row r="70" spans="2:6" ht="12" customHeight="1" x14ac:dyDescent="0.2">
      <c r="B70" s="192" t="s">
        <v>200</v>
      </c>
      <c r="C70" s="25" t="s">
        <v>69</v>
      </c>
      <c r="D70" s="193">
        <v>3.7499999999999999E-2</v>
      </c>
    </row>
    <row r="71" spans="2:6" s="12" customFormat="1" ht="12" customHeight="1" x14ac:dyDescent="0.2">
      <c r="B71" s="12" t="s">
        <v>49</v>
      </c>
      <c r="C71" s="69" t="s">
        <v>69</v>
      </c>
      <c r="D71" s="100">
        <f>SUM(D66:D70)</f>
        <v>0.99999999999999989</v>
      </c>
      <c r="E71" s="15"/>
      <c r="F71" s="15"/>
    </row>
    <row r="73" spans="2:6" ht="12" customHeight="1" x14ac:dyDescent="0.2">
      <c r="B73" s="18" t="s">
        <v>222</v>
      </c>
      <c r="C73" s="16" t="s">
        <v>58</v>
      </c>
      <c r="D73" s="54">
        <f>IF(ABS(D71-1)&lt;0.001,0,1)</f>
        <v>0</v>
      </c>
    </row>
    <row r="74" spans="2:6" ht="12" customHeight="1" x14ac:dyDescent="0.2">
      <c r="B74" s="18"/>
      <c r="C74" s="16"/>
      <c r="D74" s="55"/>
    </row>
    <row r="75" spans="2:6" ht="12" customHeight="1" x14ac:dyDescent="0.2">
      <c r="B75" s="12" t="s">
        <v>223</v>
      </c>
    </row>
    <row r="76" spans="2:6" ht="12" customHeight="1" x14ac:dyDescent="0.2">
      <c r="B76" s="192" t="s">
        <v>194</v>
      </c>
      <c r="C76" s="25" t="s">
        <v>69</v>
      </c>
      <c r="D76" s="193">
        <v>0.95</v>
      </c>
    </row>
    <row r="77" spans="2:6" ht="12" customHeight="1" x14ac:dyDescent="0.2">
      <c r="B77" s="192" t="s">
        <v>196</v>
      </c>
      <c r="C77" s="25" t="s">
        <v>69</v>
      </c>
      <c r="D77" s="193">
        <v>0.05</v>
      </c>
    </row>
    <row r="78" spans="2:6" ht="12" customHeight="1" x14ac:dyDescent="0.2">
      <c r="B78" s="192"/>
      <c r="C78" s="25" t="s">
        <v>69</v>
      </c>
      <c r="D78" s="193"/>
    </row>
    <row r="79" spans="2:6" ht="12" customHeight="1" x14ac:dyDescent="0.2">
      <c r="B79" s="192"/>
      <c r="C79" s="25" t="s">
        <v>69</v>
      </c>
      <c r="D79" s="193"/>
    </row>
    <row r="80" spans="2:6" ht="12" customHeight="1" x14ac:dyDescent="0.2">
      <c r="B80" s="192"/>
      <c r="C80" s="25" t="s">
        <v>69</v>
      </c>
      <c r="D80" s="193"/>
    </row>
    <row r="81" spans="2:6" s="12" customFormat="1" ht="12" customHeight="1" x14ac:dyDescent="0.2">
      <c r="B81" s="12" t="s">
        <v>49</v>
      </c>
      <c r="C81" s="69" t="s">
        <v>69</v>
      </c>
      <c r="D81" s="99">
        <f>SUM(D76:D80)</f>
        <v>1</v>
      </c>
      <c r="E81" s="15"/>
      <c r="F81" s="15"/>
    </row>
    <row r="83" spans="2:6" ht="12" customHeight="1" x14ac:dyDescent="0.2">
      <c r="B83" s="18" t="s">
        <v>224</v>
      </c>
      <c r="C83" s="16" t="s">
        <v>58</v>
      </c>
      <c r="D83" s="54">
        <f>IF(ABS(D81-1)&lt;0.001,0,1)</f>
        <v>0</v>
      </c>
    </row>
    <row r="85" spans="2:6" ht="12" customHeight="1" x14ac:dyDescent="0.2">
      <c r="B85" s="12" t="s">
        <v>225</v>
      </c>
    </row>
    <row r="86" spans="2:6" ht="12" customHeight="1" x14ac:dyDescent="0.2">
      <c r="B86" s="192" t="s">
        <v>194</v>
      </c>
      <c r="C86" s="25" t="s">
        <v>69</v>
      </c>
      <c r="D86" s="193">
        <v>1</v>
      </c>
    </row>
    <row r="87" spans="2:6" ht="12" customHeight="1" x14ac:dyDescent="0.2">
      <c r="B87" s="192"/>
      <c r="C87" s="25" t="s">
        <v>69</v>
      </c>
      <c r="D87" s="193"/>
    </row>
    <row r="88" spans="2:6" ht="12" customHeight="1" x14ac:dyDescent="0.2">
      <c r="B88" s="192"/>
      <c r="C88" s="25" t="s">
        <v>69</v>
      </c>
      <c r="D88" s="193"/>
    </row>
    <row r="89" spans="2:6" ht="12" customHeight="1" x14ac:dyDescent="0.2">
      <c r="B89" s="192"/>
      <c r="C89" s="25" t="s">
        <v>69</v>
      </c>
      <c r="D89" s="193"/>
    </row>
    <row r="90" spans="2:6" ht="12" customHeight="1" x14ac:dyDescent="0.2">
      <c r="B90" s="192"/>
      <c r="C90" s="25" t="s">
        <v>69</v>
      </c>
      <c r="D90" s="193"/>
    </row>
    <row r="91" spans="2:6" s="12" customFormat="1" ht="12" customHeight="1" x14ac:dyDescent="0.2">
      <c r="B91" s="12" t="s">
        <v>49</v>
      </c>
      <c r="C91" s="69" t="s">
        <v>69</v>
      </c>
      <c r="D91" s="99">
        <f>SUM(D86:D90)</f>
        <v>1</v>
      </c>
      <c r="E91" s="15"/>
      <c r="F91" s="15"/>
    </row>
    <row r="92" spans="2:6" ht="12" customHeight="1" x14ac:dyDescent="0.2">
      <c r="B92" s="13"/>
    </row>
    <row r="93" spans="2:6" ht="12" customHeight="1" x14ac:dyDescent="0.2">
      <c r="B93" s="18" t="s">
        <v>226</v>
      </c>
      <c r="C93" s="16" t="s">
        <v>58</v>
      </c>
      <c r="D93" s="54">
        <f>IF(ABS(D91-1)&lt;0.001,0,1)</f>
        <v>0</v>
      </c>
    </row>
    <row r="95" spans="2:6" ht="12" customHeight="1" x14ac:dyDescent="0.2">
      <c r="B95" s="12" t="s">
        <v>139</v>
      </c>
    </row>
    <row r="96" spans="2:6" ht="12" customHeight="1" x14ac:dyDescent="0.2">
      <c r="B96" s="192" t="s">
        <v>197</v>
      </c>
      <c r="C96" s="25" t="s">
        <v>69</v>
      </c>
      <c r="D96" s="193">
        <v>0.45</v>
      </c>
    </row>
    <row r="97" spans="2:6" ht="12" customHeight="1" x14ac:dyDescent="0.2">
      <c r="B97" s="192" t="s">
        <v>196</v>
      </c>
      <c r="C97" s="25" t="s">
        <v>69</v>
      </c>
      <c r="D97" s="193">
        <v>0.5</v>
      </c>
    </row>
    <row r="98" spans="2:6" ht="12" customHeight="1" x14ac:dyDescent="0.2">
      <c r="B98" s="192" t="s">
        <v>198</v>
      </c>
      <c r="C98" s="25" t="s">
        <v>69</v>
      </c>
      <c r="D98" s="193">
        <v>0.05</v>
      </c>
    </row>
    <row r="99" spans="2:6" ht="12" customHeight="1" x14ac:dyDescent="0.2">
      <c r="B99" s="192"/>
      <c r="C99" s="25" t="s">
        <v>69</v>
      </c>
      <c r="D99" s="193"/>
    </row>
    <row r="100" spans="2:6" ht="12" customHeight="1" x14ac:dyDescent="0.2">
      <c r="B100" s="192"/>
      <c r="C100" s="25" t="s">
        <v>69</v>
      </c>
      <c r="D100" s="193"/>
    </row>
    <row r="101" spans="2:6" s="12" customFormat="1" ht="12" customHeight="1" x14ac:dyDescent="0.2">
      <c r="B101" s="12" t="s">
        <v>49</v>
      </c>
      <c r="C101" s="69" t="s">
        <v>69</v>
      </c>
      <c r="D101" s="99">
        <f>SUM(D96:D100)</f>
        <v>1</v>
      </c>
      <c r="E101" s="15"/>
      <c r="F101" s="15"/>
    </row>
    <row r="103" spans="2:6" ht="12" customHeight="1" x14ac:dyDescent="0.2">
      <c r="B103" s="18" t="s">
        <v>227</v>
      </c>
      <c r="C103" s="16" t="s">
        <v>58</v>
      </c>
      <c r="D103" s="54">
        <f>IF(ABS(D101-1)&lt;0.001,0,1)</f>
        <v>0</v>
      </c>
    </row>
    <row r="105" spans="2:6" ht="12" customHeight="1" x14ac:dyDescent="0.2">
      <c r="B105" s="12" t="s">
        <v>142</v>
      </c>
    </row>
    <row r="106" spans="2:6" ht="12" customHeight="1" x14ac:dyDescent="0.2">
      <c r="B106" s="192" t="s">
        <v>196</v>
      </c>
      <c r="C106" s="25" t="s">
        <v>69</v>
      </c>
      <c r="D106" s="193">
        <v>0.75</v>
      </c>
    </row>
    <row r="107" spans="2:6" ht="12" customHeight="1" x14ac:dyDescent="0.2">
      <c r="B107" s="192" t="s">
        <v>197</v>
      </c>
      <c r="C107" s="25" t="s">
        <v>69</v>
      </c>
      <c r="D107" s="193">
        <v>0.25</v>
      </c>
    </row>
    <row r="108" spans="2:6" ht="12" customHeight="1" x14ac:dyDescent="0.2">
      <c r="B108" s="192"/>
      <c r="C108" s="25" t="s">
        <v>69</v>
      </c>
      <c r="D108" s="193"/>
    </row>
    <row r="109" spans="2:6" ht="12" customHeight="1" x14ac:dyDescent="0.2">
      <c r="B109" s="192"/>
      <c r="C109" s="25" t="s">
        <v>69</v>
      </c>
      <c r="D109" s="193"/>
    </row>
    <row r="110" spans="2:6" ht="12" customHeight="1" x14ac:dyDescent="0.2">
      <c r="B110" s="192"/>
      <c r="C110" s="25" t="s">
        <v>69</v>
      </c>
      <c r="D110" s="193"/>
    </row>
    <row r="111" spans="2:6" s="12" customFormat="1" ht="12" customHeight="1" x14ac:dyDescent="0.2">
      <c r="B111" s="12" t="s">
        <v>49</v>
      </c>
      <c r="C111" s="69" t="s">
        <v>69</v>
      </c>
      <c r="D111" s="99">
        <f>SUM(D106:D110)</f>
        <v>1</v>
      </c>
      <c r="E111" s="15"/>
      <c r="F111" s="15"/>
    </row>
    <row r="113" spans="1:25" ht="12" customHeight="1" x14ac:dyDescent="0.2">
      <c r="B113" s="18" t="s">
        <v>228</v>
      </c>
      <c r="C113" s="16" t="s">
        <v>58</v>
      </c>
      <c r="D113" s="54">
        <f>IF(ABS(D111-1)&lt;0.001,0,1)</f>
        <v>0</v>
      </c>
    </row>
    <row r="114" spans="1:25" ht="12" customHeight="1" x14ac:dyDescent="0.2">
      <c r="B114" s="18"/>
      <c r="C114" s="16"/>
      <c r="D114" s="55"/>
    </row>
    <row r="115" spans="1:25" ht="12" customHeight="1" x14ac:dyDescent="0.2">
      <c r="B115" s="12" t="s">
        <v>229</v>
      </c>
    </row>
    <row r="116" spans="1:25" ht="12" customHeight="1" x14ac:dyDescent="0.2">
      <c r="B116" s="192" t="s">
        <v>198</v>
      </c>
      <c r="C116" s="25" t="s">
        <v>69</v>
      </c>
      <c r="D116" s="193">
        <v>1</v>
      </c>
    </row>
    <row r="117" spans="1:25" ht="12" customHeight="1" x14ac:dyDescent="0.2">
      <c r="B117" s="192"/>
      <c r="C117" s="25" t="s">
        <v>69</v>
      </c>
      <c r="D117" s="193"/>
    </row>
    <row r="118" spans="1:25" ht="12" customHeight="1" x14ac:dyDescent="0.2">
      <c r="B118" s="192"/>
      <c r="C118" s="25" t="s">
        <v>69</v>
      </c>
      <c r="D118" s="193"/>
    </row>
    <row r="119" spans="1:25" ht="12" customHeight="1" x14ac:dyDescent="0.2">
      <c r="B119" s="192"/>
      <c r="C119" s="25" t="s">
        <v>69</v>
      </c>
      <c r="D119" s="193"/>
    </row>
    <row r="120" spans="1:25" ht="12" customHeight="1" x14ac:dyDescent="0.2">
      <c r="B120" s="192"/>
      <c r="C120" s="25" t="s">
        <v>69</v>
      </c>
      <c r="D120" s="193"/>
    </row>
    <row r="121" spans="1:25" s="12" customFormat="1" ht="12" customHeight="1" x14ac:dyDescent="0.2">
      <c r="B121" s="12" t="s">
        <v>49</v>
      </c>
      <c r="C121" s="69" t="s">
        <v>69</v>
      </c>
      <c r="D121" s="99">
        <f>SUM(D116:D120)</f>
        <v>1</v>
      </c>
      <c r="E121" s="15"/>
      <c r="F121" s="15"/>
    </row>
    <row r="123" spans="1:25" ht="12" customHeight="1" x14ac:dyDescent="0.2">
      <c r="B123" s="18" t="s">
        <v>230</v>
      </c>
      <c r="C123" s="16" t="s">
        <v>58</v>
      </c>
      <c r="D123" s="54">
        <f>IF(ABS(D121-1)&lt;0.001,0,1)</f>
        <v>0</v>
      </c>
    </row>
    <row r="124" spans="1:25" ht="12" customHeight="1" x14ac:dyDescent="0.2">
      <c r="B124" s="18"/>
      <c r="C124" s="16"/>
      <c r="D124" s="55"/>
    </row>
    <row r="125" spans="1:25" s="13" customFormat="1" ht="12" customHeight="1" x14ac:dyDescent="0.2">
      <c r="A125" s="15"/>
      <c r="B125" s="49" t="s">
        <v>231</v>
      </c>
      <c r="C125" s="50" t="s">
        <v>51</v>
      </c>
      <c r="D125" s="51" t="s">
        <v>52</v>
      </c>
      <c r="E125" s="51"/>
      <c r="F125" s="50" t="s">
        <v>53</v>
      </c>
      <c r="G125" s="18"/>
      <c r="H125" s="20"/>
      <c r="I125" s="20"/>
      <c r="J125" s="20"/>
      <c r="K125" s="20"/>
      <c r="L125" s="18"/>
      <c r="M125" s="18"/>
      <c r="N125" s="18"/>
      <c r="O125" s="18"/>
      <c r="P125" s="18"/>
      <c r="Q125" s="18"/>
      <c r="R125" s="18"/>
      <c r="S125" s="18"/>
      <c r="T125" s="18"/>
    </row>
    <row r="126" spans="1:25" ht="12" customHeight="1" x14ac:dyDescent="0.2">
      <c r="B126" s="27"/>
      <c r="C126" s="27"/>
      <c r="D126" s="27"/>
      <c r="E126" s="27"/>
      <c r="F126" s="27"/>
      <c r="G126" s="27"/>
      <c r="H126" s="27"/>
      <c r="I126" s="27"/>
      <c r="J126" s="20"/>
      <c r="K126" s="20"/>
      <c r="L126" s="18"/>
      <c r="M126" s="18"/>
      <c r="N126" s="18"/>
      <c r="O126" s="18"/>
      <c r="P126" s="18"/>
      <c r="Q126" s="18"/>
      <c r="R126" s="18"/>
      <c r="S126" s="18"/>
      <c r="T126" s="18"/>
      <c r="U126" s="13"/>
      <c r="V126" s="13"/>
      <c r="W126"/>
      <c r="X126"/>
      <c r="Y126"/>
    </row>
    <row r="127" spans="1:25" ht="12" customHeight="1" x14ac:dyDescent="0.2">
      <c r="B127" s="52" t="s">
        <v>232</v>
      </c>
      <c r="C127" s="109"/>
      <c r="D127" s="109"/>
      <c r="E127" s="109"/>
      <c r="F127" s="109"/>
      <c r="G127" s="109"/>
      <c r="H127" s="109"/>
      <c r="I127" s="109"/>
      <c r="J127" s="20"/>
      <c r="K127" s="20"/>
      <c r="L127" s="18"/>
      <c r="M127" s="18"/>
      <c r="N127" s="18"/>
      <c r="O127" s="18"/>
      <c r="P127" s="18"/>
      <c r="Q127" s="18"/>
      <c r="R127" s="18"/>
      <c r="S127" s="18"/>
      <c r="T127" s="18"/>
      <c r="U127" s="13"/>
      <c r="V127" s="13"/>
      <c r="W127"/>
      <c r="X127"/>
      <c r="Y127"/>
    </row>
    <row r="128" spans="1:25" ht="12" customHeight="1" x14ac:dyDescent="0.2">
      <c r="B128" s="52"/>
      <c r="C128" s="109"/>
      <c r="D128" s="109"/>
      <c r="E128" s="109"/>
      <c r="F128" s="109"/>
      <c r="G128" s="109"/>
      <c r="H128" s="109"/>
      <c r="I128" s="109"/>
      <c r="J128" s="20"/>
      <c r="K128" s="20"/>
      <c r="L128" s="18"/>
      <c r="M128" s="18"/>
      <c r="N128" s="18"/>
      <c r="O128" s="18"/>
      <c r="P128" s="18"/>
      <c r="Q128" s="18"/>
      <c r="R128" s="18"/>
      <c r="S128" s="18"/>
      <c r="T128" s="18"/>
      <c r="U128" s="13"/>
      <c r="V128" s="13"/>
      <c r="W128"/>
      <c r="X128"/>
      <c r="Y128"/>
    </row>
    <row r="129" spans="2:25" ht="12" customHeight="1" x14ac:dyDescent="0.2">
      <c r="B129" s="27" t="s">
        <v>233</v>
      </c>
      <c r="C129" s="56" t="s">
        <v>191</v>
      </c>
      <c r="D129" s="194">
        <v>6</v>
      </c>
      <c r="E129" s="109"/>
      <c r="F129" s="109"/>
      <c r="G129" s="109"/>
      <c r="H129" s="109"/>
      <c r="I129" s="109"/>
      <c r="J129" s="20"/>
      <c r="K129" s="20"/>
      <c r="L129" s="18"/>
      <c r="M129" s="18"/>
      <c r="N129" s="18"/>
      <c r="O129" s="18"/>
      <c r="P129" s="18"/>
      <c r="Q129" s="18"/>
      <c r="R129" s="18"/>
      <c r="S129" s="18"/>
      <c r="T129" s="18"/>
      <c r="U129" s="13"/>
      <c r="V129" s="13"/>
      <c r="W129"/>
      <c r="X129"/>
      <c r="Y129"/>
    </row>
    <row r="130" spans="2:25" ht="12" customHeight="1" x14ac:dyDescent="0.2">
      <c r="B130" s="110"/>
      <c r="C130" s="109"/>
      <c r="D130" s="109"/>
      <c r="E130" s="109"/>
      <c r="F130" s="109"/>
      <c r="G130" s="109"/>
      <c r="H130" s="109"/>
      <c r="I130" s="109"/>
      <c r="J130" s="20"/>
      <c r="K130" s="20"/>
      <c r="L130" s="18"/>
      <c r="M130" s="18"/>
      <c r="N130" s="18"/>
      <c r="O130" s="18"/>
      <c r="P130" s="18"/>
      <c r="Q130" s="18"/>
      <c r="R130" s="18"/>
      <c r="S130" s="18"/>
      <c r="T130" s="18"/>
      <c r="U130" s="13"/>
      <c r="V130" s="13"/>
      <c r="W130"/>
      <c r="X130"/>
      <c r="Y130"/>
    </row>
    <row r="131" spans="2:25" ht="12" customHeight="1" x14ac:dyDescent="0.2">
      <c r="B131" s="52" t="s">
        <v>234</v>
      </c>
      <c r="C131" s="27"/>
      <c r="D131" s="27"/>
      <c r="E131" s="27"/>
      <c r="F131" s="27"/>
      <c r="G131" s="27"/>
      <c r="H131" s="27"/>
      <c r="J131" s="27"/>
      <c r="K131" s="27"/>
      <c r="L131" s="27"/>
      <c r="M131" s="27"/>
      <c r="N131" s="27"/>
      <c r="O131" s="27"/>
      <c r="P131" s="27"/>
      <c r="Q131" s="27"/>
      <c r="R131" s="27"/>
      <c r="S131" s="27"/>
      <c r="T131" s="27"/>
      <c r="U131" s="109"/>
      <c r="V131"/>
      <c r="W131"/>
      <c r="X131"/>
      <c r="Y131"/>
    </row>
    <row r="132" spans="2:25" ht="12" customHeight="1" x14ac:dyDescent="0.2">
      <c r="B132" s="27"/>
      <c r="C132" s="27"/>
      <c r="D132" s="27"/>
      <c r="E132" s="27"/>
      <c r="F132" s="27"/>
      <c r="G132" s="27"/>
      <c r="H132" s="27"/>
      <c r="J132" s="27"/>
      <c r="K132" s="27"/>
      <c r="L132" s="27"/>
      <c r="M132" s="112"/>
      <c r="N132" s="112"/>
      <c r="O132" s="112"/>
      <c r="P132" s="112"/>
      <c r="Q132" s="112"/>
      <c r="R132" s="112"/>
      <c r="S132" s="112"/>
      <c r="T132" s="112"/>
      <c r="U132" s="109"/>
      <c r="V132"/>
      <c r="W132"/>
      <c r="X132"/>
      <c r="Y132"/>
    </row>
    <row r="133" spans="2:25" ht="12" customHeight="1" x14ac:dyDescent="0.2">
      <c r="B133" s="27" t="s">
        <v>67</v>
      </c>
      <c r="C133" s="153" t="s">
        <v>235</v>
      </c>
      <c r="D133" s="27"/>
      <c r="E133" s="27"/>
      <c r="F133" s="27"/>
      <c r="G133" s="27"/>
      <c r="H133" s="27"/>
      <c r="J133" s="27"/>
      <c r="K133" s="27"/>
      <c r="L133" s="27"/>
      <c r="M133" s="27">
        <f t="shared" ref="M133:T133" si="4">YEAR(M4)</f>
        <v>2019</v>
      </c>
      <c r="N133" s="27">
        <f t="shared" si="4"/>
        <v>2020</v>
      </c>
      <c r="O133" s="27">
        <f t="shared" si="4"/>
        <v>2021</v>
      </c>
      <c r="P133" s="27">
        <f t="shared" si="4"/>
        <v>2022</v>
      </c>
      <c r="Q133" s="27">
        <f t="shared" si="4"/>
        <v>2023</v>
      </c>
      <c r="R133" s="27">
        <f t="shared" si="4"/>
        <v>2024</v>
      </c>
      <c r="S133" s="27">
        <f t="shared" si="4"/>
        <v>2025</v>
      </c>
      <c r="T133" s="27">
        <f t="shared" si="4"/>
        <v>2026</v>
      </c>
      <c r="U133" s="27">
        <f>T133+1</f>
        <v>2027</v>
      </c>
      <c r="V133"/>
      <c r="W133"/>
      <c r="X133"/>
      <c r="Y133"/>
    </row>
    <row r="134" spans="2:25" ht="12" customHeight="1" x14ac:dyDescent="0.2">
      <c r="B134" s="27"/>
      <c r="C134" s="153"/>
      <c r="D134" s="27"/>
      <c r="E134" s="27"/>
      <c r="F134" s="27"/>
      <c r="G134" s="27"/>
      <c r="H134" s="27"/>
      <c r="J134" s="27"/>
      <c r="K134" s="27"/>
      <c r="L134" s="27"/>
      <c r="M134" s="27"/>
      <c r="N134" s="27"/>
      <c r="O134" s="27"/>
      <c r="P134" s="27"/>
      <c r="Q134" s="27"/>
      <c r="R134" s="27"/>
      <c r="S134" s="27"/>
      <c r="T134" s="27"/>
      <c r="U134" s="109"/>
      <c r="V134"/>
      <c r="W134"/>
      <c r="X134"/>
      <c r="Y134"/>
    </row>
    <row r="135" spans="2:25" ht="12" customHeight="1" x14ac:dyDescent="0.2">
      <c r="B135" s="27" t="s">
        <v>236</v>
      </c>
      <c r="C135" s="153" t="s">
        <v>69</v>
      </c>
      <c r="D135" s="27"/>
      <c r="E135" s="27"/>
      <c r="F135" s="27"/>
      <c r="G135" s="27"/>
      <c r="H135" s="27"/>
      <c r="J135" s="27"/>
      <c r="K135" s="27"/>
      <c r="L135" s="27"/>
      <c r="M135" s="195">
        <v>3.73E-2</v>
      </c>
      <c r="N135" s="112"/>
      <c r="O135" s="112"/>
      <c r="P135" s="112"/>
      <c r="Q135" s="112"/>
      <c r="R135" s="112"/>
      <c r="S135" s="112"/>
      <c r="T135" s="112"/>
      <c r="U135" s="109"/>
      <c r="V135"/>
      <c r="W135"/>
      <c r="X135"/>
      <c r="Y135"/>
    </row>
    <row r="136" spans="2:25" ht="12" customHeight="1" x14ac:dyDescent="0.2">
      <c r="B136" s="27" t="s">
        <v>237</v>
      </c>
      <c r="C136" s="153" t="s">
        <v>69</v>
      </c>
      <c r="D136" s="27"/>
      <c r="E136" s="27"/>
      <c r="F136" s="27"/>
      <c r="G136" s="27"/>
      <c r="H136" s="27"/>
      <c r="J136" s="27"/>
      <c r="K136" s="27"/>
      <c r="L136" s="27"/>
      <c r="M136" s="27"/>
      <c r="N136" s="196">
        <v>3.5000000000000003E-2</v>
      </c>
      <c r="O136" s="196">
        <v>3.5000000000000003E-2</v>
      </c>
      <c r="P136" s="196">
        <v>3.5000000000000003E-2</v>
      </c>
      <c r="Q136" s="196">
        <v>3.5000000000000003E-2</v>
      </c>
      <c r="R136" s="196">
        <v>3.5000000000000003E-2</v>
      </c>
      <c r="S136" s="196">
        <v>3.5000000000000003E-2</v>
      </c>
      <c r="T136" s="196">
        <v>3.5000000000000003E-2</v>
      </c>
      <c r="U136" s="196">
        <v>3.5000000000000003E-2</v>
      </c>
      <c r="V136"/>
      <c r="W136"/>
      <c r="X136"/>
      <c r="Y136"/>
    </row>
    <row r="137" spans="2:25" s="12" customFormat="1" ht="12" customHeight="1" x14ac:dyDescent="0.25">
      <c r="B137" s="26" t="s">
        <v>234</v>
      </c>
      <c r="C137" s="154" t="s">
        <v>69</v>
      </c>
      <c r="D137" s="26"/>
      <c r="E137" s="26"/>
      <c r="F137" s="26"/>
      <c r="G137" s="26"/>
      <c r="H137" s="26"/>
      <c r="J137" s="26"/>
      <c r="K137" s="26"/>
      <c r="L137" s="26"/>
      <c r="M137" s="222">
        <f t="shared" ref="M137:T137" si="5">SUM(M135:M136)</f>
        <v>3.73E-2</v>
      </c>
      <c r="N137" s="223">
        <f t="shared" si="5"/>
        <v>3.5000000000000003E-2</v>
      </c>
      <c r="O137" s="222">
        <f t="shared" si="5"/>
        <v>3.5000000000000003E-2</v>
      </c>
      <c r="P137" s="222">
        <f t="shared" si="5"/>
        <v>3.5000000000000003E-2</v>
      </c>
      <c r="Q137" s="222">
        <f t="shared" si="5"/>
        <v>3.5000000000000003E-2</v>
      </c>
      <c r="R137" s="222">
        <f t="shared" si="5"/>
        <v>3.5000000000000003E-2</v>
      </c>
      <c r="S137" s="222">
        <f t="shared" si="5"/>
        <v>3.5000000000000003E-2</v>
      </c>
      <c r="T137" s="222">
        <f t="shared" si="5"/>
        <v>3.5000000000000003E-2</v>
      </c>
      <c r="U137" s="222">
        <f t="shared" ref="U137" si="6">SUM(U135:U136)</f>
        <v>3.5000000000000003E-2</v>
      </c>
      <c r="V137" s="111"/>
      <c r="W137" s="111"/>
      <c r="X137" s="111"/>
      <c r="Y137" s="111"/>
    </row>
    <row r="138" spans="2:25" ht="12" customHeight="1" x14ac:dyDescent="0.2">
      <c r="B138" s="153" t="s">
        <v>238</v>
      </c>
      <c r="C138" s="27"/>
      <c r="D138" s="27"/>
      <c r="E138" s="27"/>
      <c r="F138" s="27"/>
      <c r="G138" s="27"/>
      <c r="H138" s="27"/>
      <c r="J138" s="27"/>
      <c r="K138" s="27"/>
      <c r="L138" s="27"/>
      <c r="M138" s="27"/>
      <c r="N138" s="27"/>
      <c r="O138" s="27"/>
      <c r="P138" s="27"/>
      <c r="Q138" s="27"/>
      <c r="R138" s="27"/>
      <c r="S138" s="27"/>
      <c r="T138" s="27"/>
      <c r="U138" s="109"/>
      <c r="V138"/>
      <c r="W138"/>
      <c r="X138"/>
      <c r="Y138"/>
    </row>
    <row r="186" spans="21:21" ht="12" customHeight="1" x14ac:dyDescent="0.2">
      <c r="U186" s="13"/>
    </row>
    <row r="187" spans="21:21" ht="12" customHeight="1" x14ac:dyDescent="0.2">
      <c r="U187" s="13"/>
    </row>
    <row r="188" spans="21:21" ht="12" customHeight="1" x14ac:dyDescent="0.2">
      <c r="U188" s="13"/>
    </row>
    <row r="218" spans="21:21" ht="12" customHeight="1" x14ac:dyDescent="0.2">
      <c r="U218" s="13"/>
    </row>
  </sheetData>
  <sheetProtection algorithmName="SHA-512" hashValue="11/FNVoicODYw9cUunpyw+iMEJWeZ0rRi8HhQTUD4M2Q+iuSjLSrgzRWJlw9E5Xi2RYQTgchMowu1cWJlmCQxg==" saltValue="pRCjVJbkXqfZeWcqJmcmpQ==" spinCount="100000" sheet="1" objects="1" scenarios="1"/>
  <conditionalFormatting sqref="A1:T1 V1:XFD1">
    <cfRule type="expression" dxfId="475" priority="63">
      <formula>$A1="MODEL ERROR"</formula>
    </cfRule>
  </conditionalFormatting>
  <conditionalFormatting sqref="C2">
    <cfRule type="expression" dxfId="474" priority="54">
      <formula>Model_check&lt;&gt;0</formula>
    </cfRule>
    <cfRule type="expression" dxfId="473" priority="55">
      <formula>Model_check=0</formula>
    </cfRule>
  </conditionalFormatting>
  <conditionalFormatting sqref="D74">
    <cfRule type="cellIs" dxfId="472" priority="52" stopIfTrue="1" operator="equal">
      <formula>0</formula>
    </cfRule>
    <cfRule type="cellIs" dxfId="471" priority="53" stopIfTrue="1" operator="notEqual">
      <formula>0</formula>
    </cfRule>
  </conditionalFormatting>
  <conditionalFormatting sqref="D73">
    <cfRule type="cellIs" dxfId="470" priority="48" stopIfTrue="1" operator="equal">
      <formula>0</formula>
    </cfRule>
    <cfRule type="cellIs" dxfId="469" priority="49" stopIfTrue="1" operator="notEqual">
      <formula>0</formula>
    </cfRule>
  </conditionalFormatting>
  <conditionalFormatting sqref="D73">
    <cfRule type="cellIs" dxfId="468" priority="50" stopIfTrue="1" operator="equal">
      <formula>0</formula>
    </cfRule>
    <cfRule type="cellIs" dxfId="467" priority="51" stopIfTrue="1" operator="notEqual">
      <formula>0</formula>
    </cfRule>
  </conditionalFormatting>
  <conditionalFormatting sqref="D83">
    <cfRule type="cellIs" dxfId="466" priority="44" stopIfTrue="1" operator="equal">
      <formula>0</formula>
    </cfRule>
    <cfRule type="cellIs" dxfId="465" priority="45" stopIfTrue="1" operator="notEqual">
      <formula>0</formula>
    </cfRule>
  </conditionalFormatting>
  <conditionalFormatting sqref="D83">
    <cfRule type="cellIs" dxfId="464" priority="46" stopIfTrue="1" operator="equal">
      <formula>0</formula>
    </cfRule>
    <cfRule type="cellIs" dxfId="463" priority="47" stopIfTrue="1" operator="notEqual">
      <formula>0</formula>
    </cfRule>
  </conditionalFormatting>
  <conditionalFormatting sqref="D93">
    <cfRule type="cellIs" dxfId="462" priority="40" stopIfTrue="1" operator="equal">
      <formula>0</formula>
    </cfRule>
    <cfRule type="cellIs" dxfId="461" priority="41" stopIfTrue="1" operator="notEqual">
      <formula>0</formula>
    </cfRule>
  </conditionalFormatting>
  <conditionalFormatting sqref="D93">
    <cfRule type="cellIs" dxfId="460" priority="42" stopIfTrue="1" operator="equal">
      <formula>0</formula>
    </cfRule>
    <cfRule type="cellIs" dxfId="459" priority="43" stopIfTrue="1" operator="notEqual">
      <formula>0</formula>
    </cfRule>
  </conditionalFormatting>
  <conditionalFormatting sqref="D103">
    <cfRule type="cellIs" dxfId="458" priority="36" stopIfTrue="1" operator="equal">
      <formula>0</formula>
    </cfRule>
    <cfRule type="cellIs" dxfId="457" priority="37" stopIfTrue="1" operator="notEqual">
      <formula>0</formula>
    </cfRule>
  </conditionalFormatting>
  <conditionalFormatting sqref="D103">
    <cfRule type="cellIs" dxfId="456" priority="38" stopIfTrue="1" operator="equal">
      <formula>0</formula>
    </cfRule>
    <cfRule type="cellIs" dxfId="455" priority="39" stopIfTrue="1" operator="notEqual">
      <formula>0</formula>
    </cfRule>
  </conditionalFormatting>
  <conditionalFormatting sqref="D114">
    <cfRule type="cellIs" dxfId="454" priority="34" stopIfTrue="1" operator="equal">
      <formula>0</formula>
    </cfRule>
    <cfRule type="cellIs" dxfId="453" priority="35" stopIfTrue="1" operator="notEqual">
      <formula>0</formula>
    </cfRule>
  </conditionalFormatting>
  <conditionalFormatting sqref="D113">
    <cfRule type="cellIs" dxfId="452" priority="30" stopIfTrue="1" operator="equal">
      <formula>0</formula>
    </cfRule>
    <cfRule type="cellIs" dxfId="451" priority="31" stopIfTrue="1" operator="notEqual">
      <formula>0</formula>
    </cfRule>
  </conditionalFormatting>
  <conditionalFormatting sqref="D113">
    <cfRule type="cellIs" dxfId="450" priority="32" stopIfTrue="1" operator="equal">
      <formula>0</formula>
    </cfRule>
    <cfRule type="cellIs" dxfId="449" priority="33" stopIfTrue="1" operator="notEqual">
      <formula>0</formula>
    </cfRule>
  </conditionalFormatting>
  <conditionalFormatting sqref="D124">
    <cfRule type="cellIs" dxfId="448" priority="28" stopIfTrue="1" operator="equal">
      <formula>0</formula>
    </cfRule>
    <cfRule type="cellIs" dxfId="447" priority="29" stopIfTrue="1" operator="notEqual">
      <formula>0</formula>
    </cfRule>
  </conditionalFormatting>
  <conditionalFormatting sqref="D123">
    <cfRule type="cellIs" dxfId="446" priority="24" stopIfTrue="1" operator="equal">
      <formula>0</formula>
    </cfRule>
    <cfRule type="cellIs" dxfId="445" priority="25" stopIfTrue="1" operator="notEqual">
      <formula>0</formula>
    </cfRule>
  </conditionalFormatting>
  <conditionalFormatting sqref="D123">
    <cfRule type="cellIs" dxfId="444" priority="26" stopIfTrue="1" operator="equal">
      <formula>0</formula>
    </cfRule>
    <cfRule type="cellIs" dxfId="443" priority="27" stopIfTrue="1" operator="notEqual">
      <formula>0</formula>
    </cfRule>
  </conditionalFormatting>
  <conditionalFormatting sqref="N34:T34 N19:Q32 N53:Q59 P60:Q60 R53:T60 P33:T34 M33:M34 N36:T49 M33:T33 N18:T31 N54:T59">
    <cfRule type="expression" dxfId="442" priority="117">
      <formula>M$57="CPI"</formula>
    </cfRule>
  </conditionalFormatting>
  <conditionalFormatting sqref="J13:M13">
    <cfRule type="expression" dxfId="441" priority="2">
      <formula>J$57="CPI"</formula>
    </cfRule>
  </conditionalFormatting>
  <conditionalFormatting sqref="N13">
    <cfRule type="expression" dxfId="440" priority="1">
      <formula>N$57="CPI"</formula>
    </cfRule>
  </conditionalFormatting>
  <pageMargins left="0.70866141732283472" right="0.70866141732283472" top="0.74803149606299213" bottom="0.74803149606299213" header="0.31496062992125984" footer="0.31496062992125984"/>
  <pageSetup paperSize="9" scale="49" orientation="landscape" r:id="rId1"/>
  <headerFooter>
    <oddFooter>&amp;A</oddFooter>
  </headerFooter>
  <rowBreaks count="1" manualBreakCount="1">
    <brk id="84" min="1" max="20" man="1"/>
  </rowBreaks>
  <extLst>
    <ext xmlns:x14="http://schemas.microsoft.com/office/spreadsheetml/2009/9/main" uri="{78C0D931-6437-407d-A8EE-F0AAD7539E65}">
      <x14:conditionalFormattings>
        <x14:conditionalFormatting xmlns:xm="http://schemas.microsoft.com/office/excel/2006/main">
          <x14:cfRule type="expression" priority="62" id="{6F4DA087-A14A-4E1C-B110-4C0ECEBF8B23}">
            <xm:f>'Global inputs'!$A1="MODEL ERROR"</xm:f>
            <x14:dxf>
              <fill>
                <patternFill>
                  <bgColor theme="1"/>
                </patternFill>
              </fill>
            </x14:dxf>
          </x14:cfRule>
          <xm:sqref>U1</xm:sqref>
        </x14:conditionalFormatting>
        <x14:conditionalFormatting xmlns:xm="http://schemas.microsoft.com/office/excel/2006/main">
          <x14:cfRule type="expression" priority="7" id="{6FDDDAC7-3393-461C-A020-A747F788A7A4}">
            <xm:f>'Escalators '!O$135="CPI"</xm:f>
            <x14:dxf>
              <font>
                <color theme="0" tint="-0.14996795556505021"/>
              </font>
            </x14:dxf>
          </x14:cfRule>
          <xm:sqref>D129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A8D74-BD6F-4A1C-92A1-1F4A4E175C41}">
  <sheetPr codeName="Sheet6"/>
  <dimension ref="A1:AA817"/>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x14ac:dyDescent="0.2"/>
  <cols>
    <col min="1" max="1" width="2.75" style="15" customWidth="1"/>
    <col min="2" max="2" width="35.75" style="15" customWidth="1"/>
    <col min="3" max="5" width="15.75" style="15" customWidth="1"/>
    <col min="6" max="7" width="2.75" style="15" customWidth="1"/>
    <col min="8" max="8" width="10.75" style="15" customWidth="1"/>
    <col min="9" max="9" width="10.75" style="30" customWidth="1"/>
    <col min="10" max="20" width="10.75" style="15" customWidth="1"/>
    <col min="21" max="21" width="2.75" style="15" customWidth="1"/>
    <col min="22" max="23" width="8.25" style="15" hidden="1" customWidth="1"/>
    <col min="24" max="25" width="0" style="15" hidden="1" customWidth="1"/>
    <col min="26" max="27" width="8.25" style="15" hidden="1" customWidth="1"/>
    <col min="28" max="16384" width="8.25" style="15" hidden="1"/>
  </cols>
  <sheetData>
    <row r="1" spans="1:27" ht="12" customHeight="1" x14ac:dyDescent="0.2">
      <c r="A1" s="13"/>
      <c r="B1" s="13"/>
      <c r="C1" s="14"/>
      <c r="D1" s="13"/>
      <c r="E1" s="13"/>
      <c r="F1" s="13"/>
      <c r="G1" s="13"/>
      <c r="H1" s="13"/>
      <c r="I1" s="13"/>
      <c r="J1" s="13"/>
      <c r="K1" s="13"/>
      <c r="L1" s="13"/>
      <c r="M1" s="13"/>
      <c r="N1" s="13"/>
      <c r="O1" s="13"/>
      <c r="P1" s="13"/>
      <c r="Q1" s="13"/>
      <c r="R1" s="13"/>
      <c r="S1" s="13"/>
      <c r="T1" s="13"/>
      <c r="U1" s="13"/>
      <c r="V1" s="13"/>
      <c r="W1" s="13"/>
      <c r="X1" s="13"/>
    </row>
    <row r="2" spans="1:27" s="13" customFormat="1" ht="15" customHeight="1" x14ac:dyDescent="0.25">
      <c r="B2" s="42" t="str">
        <f ca="1">MID(CELL("filename",B2),FIND("]",CELL("filename",B2))+1,255)</f>
        <v>Historical opex</v>
      </c>
      <c r="C2" s="41" t="str">
        <f>'Global inputs'!$C$2</f>
        <v>Model: Ok</v>
      </c>
      <c r="D2" s="17"/>
      <c r="E2" s="17"/>
      <c r="F2" s="18"/>
      <c r="G2" s="18"/>
      <c r="H2" s="18"/>
      <c r="I2" s="18"/>
      <c r="J2" s="18"/>
      <c r="K2" s="18"/>
      <c r="L2" s="18"/>
      <c r="M2" s="18"/>
      <c r="N2" s="18"/>
      <c r="O2" s="18"/>
      <c r="P2" s="18"/>
      <c r="Q2" s="18"/>
      <c r="R2" s="18"/>
      <c r="S2" s="18"/>
      <c r="T2" s="18"/>
    </row>
    <row r="3" spans="1:27" s="12" customFormat="1" ht="12" customHeight="1" x14ac:dyDescent="0.2">
      <c r="B3" s="96" t="s">
        <v>42</v>
      </c>
      <c r="C3" s="44"/>
      <c r="D3" s="45"/>
      <c r="E3" s="45"/>
      <c r="F3" s="43"/>
      <c r="G3" s="46"/>
      <c r="H3" s="38">
        <f>'Global inputs'!H3</f>
        <v>41730</v>
      </c>
      <c r="I3" s="38">
        <f>'Global inputs'!I3</f>
        <v>42095</v>
      </c>
      <c r="J3" s="38">
        <f>'Global inputs'!J3</f>
        <v>42461</v>
      </c>
      <c r="K3" s="38">
        <f>'Global inputs'!K3</f>
        <v>42826</v>
      </c>
      <c r="L3" s="38">
        <f>'Global inputs'!L3</f>
        <v>43191</v>
      </c>
      <c r="M3" s="38">
        <f>'Global inputs'!M3</f>
        <v>43556</v>
      </c>
      <c r="N3" s="38">
        <f>'Global inputs'!N3</f>
        <v>43922</v>
      </c>
      <c r="O3" s="38">
        <f>'Global inputs'!O3</f>
        <v>44287</v>
      </c>
      <c r="P3" s="38">
        <f>'Global inputs'!P3</f>
        <v>44652</v>
      </c>
      <c r="Q3" s="38">
        <f>'Global inputs'!Q3</f>
        <v>45017</v>
      </c>
      <c r="R3" s="38">
        <f>'Global inputs'!R3</f>
        <v>45383</v>
      </c>
      <c r="S3" s="38">
        <f>Escalators!T3</f>
        <v>45748</v>
      </c>
      <c r="T3" s="38"/>
    </row>
    <row r="4" spans="1:27" s="12" customFormat="1" ht="12" customHeight="1" x14ac:dyDescent="0.2">
      <c r="B4" s="96" t="s">
        <v>43</v>
      </c>
      <c r="C4" s="44"/>
      <c r="D4" s="47"/>
      <c r="E4" s="47"/>
      <c r="F4" s="43"/>
      <c r="G4" s="46"/>
      <c r="H4" s="38">
        <f>'Global inputs'!H4</f>
        <v>42094</v>
      </c>
      <c r="I4" s="38">
        <f>'Global inputs'!I4</f>
        <v>42460</v>
      </c>
      <c r="J4" s="38">
        <f>'Global inputs'!J4</f>
        <v>42825</v>
      </c>
      <c r="K4" s="38">
        <f>'Global inputs'!K4</f>
        <v>43190</v>
      </c>
      <c r="L4" s="38">
        <f>'Global inputs'!L4</f>
        <v>43555</v>
      </c>
      <c r="M4" s="38">
        <f>'Global inputs'!M4</f>
        <v>43921</v>
      </c>
      <c r="N4" s="38">
        <f>'Global inputs'!N4</f>
        <v>44286</v>
      </c>
      <c r="O4" s="38">
        <f>'Global inputs'!O4</f>
        <v>44651</v>
      </c>
      <c r="P4" s="38">
        <f>'Global inputs'!P4</f>
        <v>45016</v>
      </c>
      <c r="Q4" s="38">
        <f>'Global inputs'!Q4</f>
        <v>45382</v>
      </c>
      <c r="R4" s="38">
        <f>'Global inputs'!R4</f>
        <v>45747</v>
      </c>
      <c r="S4" s="38">
        <f>Escalators!T4</f>
        <v>46112</v>
      </c>
      <c r="T4" s="38"/>
    </row>
    <row r="5" spans="1:27" s="12" customFormat="1" ht="12" customHeight="1" x14ac:dyDescent="0.2">
      <c r="B5" s="96" t="s">
        <v>44</v>
      </c>
      <c r="C5" s="44"/>
      <c r="D5" s="47"/>
      <c r="E5" s="47"/>
      <c r="F5" s="43"/>
      <c r="G5" s="46"/>
      <c r="H5" s="39" t="str">
        <f>'Global inputs'!H5</f>
        <v>RY15</v>
      </c>
      <c r="I5" s="39" t="str">
        <f>'Global inputs'!I5</f>
        <v>RY16</v>
      </c>
      <c r="J5" s="39" t="str">
        <f>'Global inputs'!J5</f>
        <v>RY17</v>
      </c>
      <c r="K5" s="39" t="str">
        <f>'Global inputs'!K5</f>
        <v>RY18</v>
      </c>
      <c r="L5" s="39" t="str">
        <f>'Global inputs'!L5</f>
        <v>RY19</v>
      </c>
      <c r="M5" s="39" t="str">
        <f>'Global inputs'!M5</f>
        <v>RY20</v>
      </c>
      <c r="N5" s="39" t="str">
        <f>'Global inputs'!N5</f>
        <v>RY21</v>
      </c>
      <c r="O5" s="39" t="str">
        <f>'Global inputs'!O5</f>
        <v>RY22</v>
      </c>
      <c r="P5" s="39" t="str">
        <f>'Global inputs'!P5</f>
        <v>RY23</v>
      </c>
      <c r="Q5" s="39" t="str">
        <f>'Global inputs'!Q5</f>
        <v>RY24</v>
      </c>
      <c r="R5" s="39" t="str">
        <f>'Global inputs'!R5</f>
        <v>RY25</v>
      </c>
      <c r="S5" s="39" t="str">
        <f>Escalators!T5</f>
        <v>RY26</v>
      </c>
      <c r="T5" s="39"/>
    </row>
    <row r="6" spans="1:27" s="12" customFormat="1" ht="12" customHeight="1" x14ac:dyDescent="0.2">
      <c r="B6" s="96" t="s">
        <v>45</v>
      </c>
      <c r="C6" s="44"/>
      <c r="D6" s="47"/>
      <c r="E6" s="47"/>
      <c r="F6" s="43"/>
      <c r="G6" s="46"/>
      <c r="H6" s="40" t="s">
        <v>46</v>
      </c>
      <c r="I6" s="48"/>
      <c r="J6" s="48"/>
      <c r="K6" s="48"/>
      <c r="L6" s="48"/>
      <c r="M6" s="40" t="s">
        <v>47</v>
      </c>
      <c r="N6" s="48"/>
      <c r="O6" s="40" t="s">
        <v>48</v>
      </c>
      <c r="P6" s="48"/>
      <c r="Q6" s="48"/>
      <c r="R6" s="48"/>
      <c r="S6" s="48"/>
      <c r="T6" s="40" t="s">
        <v>49</v>
      </c>
    </row>
    <row r="7" spans="1:27" ht="12" customHeight="1" x14ac:dyDescent="0.2">
      <c r="B7" s="18"/>
      <c r="C7" s="16"/>
      <c r="D7" s="19"/>
      <c r="E7" s="19"/>
      <c r="F7" s="18"/>
      <c r="G7" s="18"/>
      <c r="H7" s="18"/>
      <c r="I7" s="18"/>
      <c r="J7" s="18"/>
      <c r="K7" s="18"/>
      <c r="L7" s="18"/>
      <c r="M7" s="18"/>
      <c r="N7" s="18"/>
      <c r="O7" s="18"/>
      <c r="P7" s="18"/>
      <c r="Q7" s="18"/>
      <c r="R7" s="18"/>
      <c r="S7" s="18"/>
      <c r="T7" s="18"/>
    </row>
    <row r="8" spans="1:27" ht="12" customHeight="1" x14ac:dyDescent="0.2">
      <c r="B8" s="18"/>
      <c r="C8" s="16"/>
      <c r="D8" s="19"/>
      <c r="E8" s="19"/>
      <c r="F8" s="18"/>
      <c r="G8" s="18"/>
      <c r="H8" s="18"/>
      <c r="I8" s="18"/>
      <c r="J8" s="18"/>
      <c r="K8" s="18"/>
      <c r="L8" s="18"/>
      <c r="M8" s="18"/>
      <c r="N8" s="18"/>
      <c r="O8" s="18"/>
      <c r="P8" s="18"/>
      <c r="Q8" s="18"/>
      <c r="R8" s="18"/>
      <c r="S8" s="18"/>
      <c r="T8" s="18"/>
    </row>
    <row r="9" spans="1:27" s="13" customFormat="1" ht="12" customHeight="1" x14ac:dyDescent="0.2">
      <c r="A9" s="15"/>
      <c r="B9" s="49" t="s">
        <v>239</v>
      </c>
      <c r="C9" s="50" t="s">
        <v>51</v>
      </c>
      <c r="D9" s="51" t="s">
        <v>52</v>
      </c>
      <c r="E9" s="50" t="s">
        <v>53</v>
      </c>
      <c r="F9" s="18"/>
      <c r="G9" s="20"/>
      <c r="H9" s="15"/>
      <c r="I9" s="30"/>
      <c r="J9" s="15"/>
      <c r="K9" s="31"/>
      <c r="L9" s="18"/>
      <c r="M9" s="74"/>
      <c r="N9" s="74"/>
      <c r="O9" s="74"/>
      <c r="P9" s="74"/>
      <c r="Q9" s="74"/>
      <c r="R9" s="74"/>
      <c r="S9" s="74"/>
      <c r="T9" s="18"/>
    </row>
    <row r="10" spans="1:27" x14ac:dyDescent="0.2">
      <c r="K10" s="31"/>
      <c r="L10" s="31"/>
      <c r="M10" s="74"/>
      <c r="N10" s="74"/>
      <c r="O10" s="74"/>
      <c r="P10" s="74"/>
      <c r="Q10" s="74"/>
      <c r="R10" s="74"/>
      <c r="S10" s="74"/>
      <c r="T10" s="18"/>
    </row>
    <row r="11" spans="1:27" s="75" customFormat="1" x14ac:dyDescent="0.2">
      <c r="B11" s="52" t="s">
        <v>240</v>
      </c>
      <c r="C11" s="68"/>
      <c r="D11" s="15"/>
      <c r="E11" s="15"/>
      <c r="F11" s="13"/>
      <c r="G11" s="13"/>
      <c r="H11" s="119"/>
      <c r="I11" s="119"/>
      <c r="J11" s="119"/>
      <c r="K11" s="119"/>
      <c r="L11" s="119"/>
      <c r="M11" s="120"/>
      <c r="N11" s="74"/>
      <c r="O11" s="74"/>
      <c r="P11" s="74"/>
      <c r="Q11" s="74"/>
      <c r="R11" s="74"/>
      <c r="S11" s="74"/>
      <c r="T11" s="13"/>
      <c r="U11" s="13"/>
      <c r="V11" s="13"/>
      <c r="W11" s="13"/>
      <c r="X11" s="13"/>
      <c r="Y11" s="76"/>
      <c r="Z11" s="76"/>
      <c r="AA11" s="76"/>
    </row>
    <row r="12" spans="1:27" s="75" customFormat="1" x14ac:dyDescent="0.2">
      <c r="B12" s="77"/>
      <c r="C12" s="68"/>
      <c r="D12" s="15"/>
      <c r="E12" s="15"/>
      <c r="F12" s="13"/>
      <c r="G12" s="13"/>
      <c r="H12" s="13"/>
      <c r="I12" s="13"/>
      <c r="J12" s="13"/>
      <c r="K12" s="13"/>
      <c r="L12" s="13"/>
      <c r="M12" s="74"/>
      <c r="N12" s="74"/>
      <c r="O12" s="74"/>
      <c r="P12" s="74"/>
      <c r="Q12" s="74"/>
      <c r="R12" s="74"/>
      <c r="S12" s="74"/>
      <c r="T12" s="13"/>
      <c r="U12" s="13"/>
      <c r="V12" s="13"/>
      <c r="W12" s="13"/>
      <c r="X12" s="13"/>
      <c r="Y12" s="76"/>
      <c r="Z12" s="76"/>
      <c r="AA12" s="76"/>
    </row>
    <row r="13" spans="1:27" s="75" customFormat="1" x14ac:dyDescent="0.2">
      <c r="B13" s="13" t="s">
        <v>188</v>
      </c>
      <c r="C13" s="56" t="s">
        <v>191</v>
      </c>
      <c r="D13" s="15"/>
      <c r="E13" s="15"/>
      <c r="F13" s="13"/>
      <c r="G13" s="13"/>
      <c r="H13" s="121">
        <f>Escalators!I$14</f>
        <v>0.93943305079565687</v>
      </c>
      <c r="I13" s="121">
        <f>Escalators!J$14</f>
        <v>0.94257365415983008</v>
      </c>
      <c r="J13" s="121">
        <f>Escalators!K$14</f>
        <v>0.95278061593566388</v>
      </c>
      <c r="K13" s="121">
        <f>Escalators!L$14</f>
        <v>0.96786375719118611</v>
      </c>
      <c r="L13" s="121">
        <f>Escalators!M$14</f>
        <v>0.98425338965797537</v>
      </c>
      <c r="M13" s="121"/>
      <c r="N13" s="13"/>
      <c r="O13" s="13"/>
      <c r="P13" s="13"/>
      <c r="Q13" s="13"/>
      <c r="R13" s="13"/>
      <c r="S13" s="13"/>
      <c r="T13" s="13"/>
      <c r="U13" s="13"/>
      <c r="V13" s="13"/>
      <c r="W13" s="13"/>
      <c r="X13" s="13"/>
      <c r="Y13" s="76"/>
      <c r="Z13" s="76"/>
      <c r="AA13" s="76"/>
    </row>
    <row r="14" spans="1:27" x14ac:dyDescent="0.2">
      <c r="C14" s="68"/>
      <c r="K14" s="31"/>
      <c r="L14" s="31"/>
      <c r="M14" s="31"/>
      <c r="N14" s="31"/>
      <c r="O14" s="31"/>
      <c r="P14" s="31"/>
      <c r="Q14" s="31"/>
      <c r="R14" s="31"/>
      <c r="S14" s="31"/>
      <c r="T14" s="18"/>
    </row>
    <row r="15" spans="1:27" x14ac:dyDescent="0.2">
      <c r="B15" s="13" t="s">
        <v>241</v>
      </c>
      <c r="C15" s="25" t="s">
        <v>242</v>
      </c>
      <c r="H15" s="224">
        <f t="shared" ref="H15:L18" si="0">H29/H$13</f>
        <v>4380301.4983502906</v>
      </c>
      <c r="I15" s="224">
        <f t="shared" si="0"/>
        <v>4408143.5776004046</v>
      </c>
      <c r="J15" s="224">
        <f t="shared" si="0"/>
        <v>5912168.9776068721</v>
      </c>
      <c r="K15" s="224">
        <f t="shared" si="0"/>
        <v>4392147.1058454793</v>
      </c>
      <c r="L15" s="224">
        <f t="shared" si="0"/>
        <v>4873744.9628361864</v>
      </c>
      <c r="M15" s="74"/>
      <c r="N15" s="74"/>
      <c r="O15" s="74"/>
      <c r="P15" s="74"/>
      <c r="Q15" s="74"/>
      <c r="R15" s="74"/>
      <c r="S15" s="74"/>
      <c r="T15" s="13"/>
    </row>
    <row r="16" spans="1:27" x14ac:dyDescent="0.2">
      <c r="B16" s="15" t="s">
        <v>243</v>
      </c>
      <c r="C16" s="25" t="s">
        <v>242</v>
      </c>
      <c r="H16" s="224">
        <f t="shared" si="0"/>
        <v>3852323.4805661482</v>
      </c>
      <c r="I16" s="224">
        <f t="shared" si="0"/>
        <v>5566673.7308470095</v>
      </c>
      <c r="J16" s="224">
        <f t="shared" si="0"/>
        <v>3882320.796763327</v>
      </c>
      <c r="K16" s="224">
        <f t="shared" si="0"/>
        <v>5700182.4471770199</v>
      </c>
      <c r="L16" s="224">
        <f t="shared" si="0"/>
        <v>5754615.6909535462</v>
      </c>
      <c r="M16" s="74"/>
      <c r="N16" s="74"/>
      <c r="O16" s="74"/>
      <c r="P16" s="74"/>
      <c r="Q16" s="74"/>
      <c r="R16" s="74"/>
      <c r="S16" s="74"/>
      <c r="T16" s="13"/>
    </row>
    <row r="17" spans="2:27" x14ac:dyDescent="0.2">
      <c r="B17" s="15" t="s">
        <v>244</v>
      </c>
      <c r="C17" s="25" t="s">
        <v>242</v>
      </c>
      <c r="H17" s="224">
        <f t="shared" si="0"/>
        <v>4299401.640786591</v>
      </c>
      <c r="I17" s="224">
        <f t="shared" si="0"/>
        <v>5414961.4488742398</v>
      </c>
      <c r="J17" s="224">
        <f t="shared" si="0"/>
        <v>6748667.9435491189</v>
      </c>
      <c r="K17" s="224">
        <f t="shared" si="0"/>
        <v>5975014.5173146101</v>
      </c>
      <c r="L17" s="224">
        <f t="shared" si="0"/>
        <v>6029951.2933985339</v>
      </c>
      <c r="M17" s="74"/>
      <c r="N17" s="74"/>
      <c r="O17" s="74"/>
      <c r="P17" s="74"/>
      <c r="Q17" s="74"/>
      <c r="R17" s="74"/>
      <c r="S17" s="74"/>
      <c r="T17" s="13"/>
    </row>
    <row r="18" spans="2:27" x14ac:dyDescent="0.2">
      <c r="B18" s="13" t="s">
        <v>100</v>
      </c>
      <c r="C18" s="25" t="s">
        <v>242</v>
      </c>
      <c r="H18" s="224">
        <f t="shared" si="0"/>
        <v>619522.59344832774</v>
      </c>
      <c r="I18" s="224">
        <f t="shared" si="0"/>
        <v>948466.99359200045</v>
      </c>
      <c r="J18" s="224">
        <f t="shared" si="0"/>
        <v>292827.11605757452</v>
      </c>
      <c r="K18" s="224">
        <f t="shared" si="0"/>
        <v>657117.28047935187</v>
      </c>
      <c r="L18" s="224">
        <f t="shared" si="0"/>
        <v>357631.48361858196</v>
      </c>
      <c r="M18" s="74"/>
      <c r="N18" s="74"/>
      <c r="O18" s="74"/>
      <c r="P18" s="74"/>
      <c r="Q18" s="74"/>
      <c r="R18" s="74"/>
      <c r="S18" s="74"/>
    </row>
    <row r="19" spans="2:27" x14ac:dyDescent="0.2">
      <c r="B19" s="12" t="s">
        <v>245</v>
      </c>
      <c r="C19" s="69" t="s">
        <v>242</v>
      </c>
      <c r="D19" s="12"/>
      <c r="E19" s="12"/>
      <c r="F19" s="12"/>
      <c r="G19" s="12"/>
      <c r="H19" s="225">
        <f>SUM(H15:H18)</f>
        <v>13151549.213151356</v>
      </c>
      <c r="I19" s="225">
        <f>SUM(I15:I18)</f>
        <v>16338245.750913652</v>
      </c>
      <c r="J19" s="225">
        <f>SUM(J15:J18)</f>
        <v>16835984.833976891</v>
      </c>
      <c r="K19" s="225">
        <f>SUM(K15:K18)</f>
        <v>16724461.35081646</v>
      </c>
      <c r="L19" s="225">
        <f>SUM(L15:L18)</f>
        <v>17015943.430806849</v>
      </c>
      <c r="M19" s="74"/>
      <c r="N19" s="74"/>
      <c r="O19" s="74"/>
      <c r="P19" s="74"/>
      <c r="Q19" s="74"/>
      <c r="R19" s="74"/>
      <c r="S19" s="74"/>
    </row>
    <row r="20" spans="2:27" x14ac:dyDescent="0.2">
      <c r="C20" s="25"/>
      <c r="H20" s="226"/>
      <c r="I20" s="226"/>
      <c r="J20" s="226"/>
      <c r="K20" s="226"/>
      <c r="L20" s="226"/>
      <c r="M20" s="74"/>
      <c r="N20" s="74"/>
      <c r="O20" s="74"/>
      <c r="P20" s="74"/>
      <c r="Q20" s="74"/>
      <c r="R20" s="74"/>
      <c r="S20" s="74"/>
    </row>
    <row r="21" spans="2:27" x14ac:dyDescent="0.2">
      <c r="B21" s="15" t="s">
        <v>246</v>
      </c>
      <c r="C21" s="25" t="s">
        <v>242</v>
      </c>
      <c r="H21" s="224">
        <f t="shared" ref="H21:L22" si="1">H35/H$13</f>
        <v>4105667.7713577324</v>
      </c>
      <c r="I21" s="224">
        <f t="shared" si="1"/>
        <v>3971042.4575110264</v>
      </c>
      <c r="J21" s="224">
        <f t="shared" si="1"/>
        <v>4058646.8021313287</v>
      </c>
      <c r="K21" s="224">
        <f t="shared" si="1"/>
        <v>11037258.691333681</v>
      </c>
      <c r="L21" s="224">
        <f t="shared" si="1"/>
        <v>13038186.854282735</v>
      </c>
      <c r="M21" s="74"/>
      <c r="N21" s="74"/>
      <c r="O21" s="74"/>
      <c r="P21" s="74"/>
      <c r="Q21" s="74"/>
      <c r="R21" s="74"/>
      <c r="S21" s="74"/>
    </row>
    <row r="22" spans="2:27" x14ac:dyDescent="0.2">
      <c r="B22" s="15" t="s">
        <v>68</v>
      </c>
      <c r="C22" s="25" t="s">
        <v>242</v>
      </c>
      <c r="H22" s="224">
        <f t="shared" si="1"/>
        <v>5928174.0065425625</v>
      </c>
      <c r="I22" s="224">
        <f t="shared" si="1"/>
        <v>6384257.2232340407</v>
      </c>
      <c r="J22" s="224">
        <f t="shared" si="1"/>
        <v>7918732.1890367474</v>
      </c>
      <c r="K22" s="224">
        <f t="shared" si="1"/>
        <v>9719496.5293617006</v>
      </c>
      <c r="L22" s="224">
        <f t="shared" si="1"/>
        <v>13377182.714863179</v>
      </c>
      <c r="M22" s="74"/>
      <c r="N22" s="74"/>
      <c r="O22" s="74"/>
      <c r="P22" s="74"/>
      <c r="Q22" s="74"/>
      <c r="R22" s="74"/>
      <c r="S22" s="74"/>
    </row>
    <row r="23" spans="2:27" x14ac:dyDescent="0.2">
      <c r="B23" s="12" t="s">
        <v>247</v>
      </c>
      <c r="C23" s="69" t="s">
        <v>242</v>
      </c>
      <c r="D23" s="12"/>
      <c r="E23" s="12"/>
      <c r="F23" s="12"/>
      <c r="G23" s="12"/>
      <c r="H23" s="225">
        <f>SUM(H21:H22)</f>
        <v>10033841.777900295</v>
      </c>
      <c r="I23" s="225">
        <f>SUM(I21:I22)</f>
        <v>10355299.680745067</v>
      </c>
      <c r="J23" s="225">
        <f>SUM(J21:J22)</f>
        <v>11977378.991168076</v>
      </c>
      <c r="K23" s="225">
        <f>SUM(K21:K22)</f>
        <v>20756755.220695384</v>
      </c>
      <c r="L23" s="225">
        <f>SUM(L21:L22)</f>
        <v>26415369.569145914</v>
      </c>
      <c r="M23" s="74"/>
      <c r="N23" s="74"/>
      <c r="O23" s="74"/>
      <c r="P23" s="74"/>
      <c r="Q23" s="74"/>
      <c r="R23" s="74"/>
      <c r="S23" s="74"/>
    </row>
    <row r="24" spans="2:27" x14ac:dyDescent="0.2">
      <c r="C24" s="25"/>
      <c r="H24" s="227"/>
      <c r="I24" s="227"/>
      <c r="J24" s="227"/>
      <c r="K24" s="227"/>
      <c r="L24" s="227"/>
      <c r="M24" s="74"/>
      <c r="N24" s="74"/>
      <c r="O24" s="74"/>
      <c r="P24" s="74"/>
      <c r="Q24" s="74"/>
      <c r="R24" s="74"/>
      <c r="S24" s="74"/>
    </row>
    <row r="25" spans="2:27" x14ac:dyDescent="0.2">
      <c r="B25" s="12" t="s">
        <v>248</v>
      </c>
      <c r="C25" s="69" t="s">
        <v>242</v>
      </c>
      <c r="D25" s="12"/>
      <c r="E25" s="12"/>
      <c r="F25" s="12"/>
      <c r="G25" s="12"/>
      <c r="H25" s="225">
        <f>H19+H23</f>
        <v>23185390.991051652</v>
      </c>
      <c r="I25" s="225">
        <f>I19+I23</f>
        <v>26693545.431658719</v>
      </c>
      <c r="J25" s="225">
        <f>J19+J23</f>
        <v>28813363.825144969</v>
      </c>
      <c r="K25" s="225">
        <f>K19+K23</f>
        <v>37481216.571511842</v>
      </c>
      <c r="L25" s="225">
        <f>L19+L23</f>
        <v>43431312.999952763</v>
      </c>
      <c r="M25" s="74"/>
      <c r="N25" s="74"/>
      <c r="O25" s="74"/>
      <c r="P25" s="74"/>
      <c r="Q25" s="74"/>
      <c r="R25" s="74"/>
      <c r="S25" s="74"/>
    </row>
    <row r="26" spans="2:27" x14ac:dyDescent="0.2">
      <c r="D26" s="27"/>
      <c r="E26" s="27"/>
      <c r="F26" s="27"/>
      <c r="G26" s="27"/>
      <c r="H26" s="73"/>
      <c r="I26" s="126"/>
      <c r="J26" s="73"/>
      <c r="K26" s="73"/>
      <c r="L26" s="73"/>
      <c r="M26" s="92"/>
      <c r="N26" s="92"/>
      <c r="O26" s="92"/>
      <c r="P26" s="74"/>
      <c r="Q26" s="74"/>
      <c r="R26" s="74"/>
      <c r="S26" s="74"/>
    </row>
    <row r="27" spans="2:27" s="75" customFormat="1" x14ac:dyDescent="0.2">
      <c r="B27" s="52" t="s">
        <v>249</v>
      </c>
      <c r="C27" s="68"/>
      <c r="D27" s="27"/>
      <c r="E27" s="27"/>
      <c r="F27" s="29"/>
      <c r="G27" s="29"/>
      <c r="H27" s="93"/>
      <c r="I27" s="93"/>
      <c r="J27" s="93"/>
      <c r="K27" s="93"/>
      <c r="L27" s="93"/>
      <c r="M27" s="92"/>
      <c r="N27" s="92"/>
      <c r="O27" s="92"/>
      <c r="P27" s="74"/>
      <c r="Q27" s="74"/>
      <c r="R27" s="74"/>
      <c r="S27" s="74"/>
      <c r="T27" s="13"/>
      <c r="U27" s="13"/>
      <c r="V27" s="13"/>
      <c r="W27" s="13"/>
      <c r="X27" s="13"/>
      <c r="Y27" s="76"/>
      <c r="Z27" s="76"/>
      <c r="AA27" s="76"/>
    </row>
    <row r="28" spans="2:27" s="75" customFormat="1" x14ac:dyDescent="0.2">
      <c r="B28" s="77"/>
      <c r="C28" s="68"/>
      <c r="D28" s="27"/>
      <c r="E28" s="27"/>
      <c r="F28" s="29"/>
      <c r="G28" s="29"/>
      <c r="H28" s="93"/>
      <c r="I28" s="93"/>
      <c r="J28" s="93"/>
      <c r="K28" s="93"/>
      <c r="L28" s="93"/>
      <c r="M28" s="92"/>
      <c r="N28" s="92"/>
      <c r="O28" s="92"/>
      <c r="P28" s="74"/>
      <c r="Q28" s="74"/>
      <c r="R28" s="74"/>
      <c r="S28" s="74"/>
      <c r="T28" s="13"/>
      <c r="U28" s="13"/>
      <c r="V28" s="13"/>
      <c r="W28" s="13"/>
      <c r="X28" s="13"/>
      <c r="Y28" s="76"/>
      <c r="Z28" s="76"/>
      <c r="AA28" s="76"/>
    </row>
    <row r="29" spans="2:27" x14ac:dyDescent="0.2">
      <c r="B29" s="15" t="s">
        <v>241</v>
      </c>
      <c r="C29" s="25" t="s">
        <v>250</v>
      </c>
      <c r="D29" s="27"/>
      <c r="E29" s="27"/>
      <c r="F29" s="27"/>
      <c r="G29" s="27"/>
      <c r="H29" s="197">
        <v>4115000</v>
      </c>
      <c r="I29" s="197">
        <v>4155000</v>
      </c>
      <c r="J29" s="197">
        <v>5633000</v>
      </c>
      <c r="K29" s="197">
        <v>4251000</v>
      </c>
      <c r="L29" s="197">
        <v>4797000</v>
      </c>
      <c r="M29" s="92"/>
      <c r="N29" s="92"/>
      <c r="O29" s="92"/>
      <c r="P29" s="74"/>
      <c r="Q29" s="74"/>
      <c r="R29" s="74"/>
      <c r="S29" s="74"/>
      <c r="T29" s="13"/>
    </row>
    <row r="30" spans="2:27" x14ac:dyDescent="0.2">
      <c r="B30" s="15" t="s">
        <v>243</v>
      </c>
      <c r="C30" s="25" t="s">
        <v>250</v>
      </c>
      <c r="D30" s="27"/>
      <c r="E30" s="27"/>
      <c r="F30" s="27"/>
      <c r="G30" s="27"/>
      <c r="H30" s="197">
        <v>3619000</v>
      </c>
      <c r="I30" s="197">
        <v>5247000</v>
      </c>
      <c r="J30" s="197">
        <v>3699000</v>
      </c>
      <c r="K30" s="197">
        <v>5517000</v>
      </c>
      <c r="L30" s="197">
        <v>5664000</v>
      </c>
      <c r="M30" s="92"/>
      <c r="N30" s="92"/>
      <c r="O30" s="92"/>
      <c r="P30" s="74"/>
      <c r="Q30" s="74"/>
      <c r="R30" s="74"/>
      <c r="S30" s="74"/>
      <c r="T30" s="13"/>
    </row>
    <row r="31" spans="2:27" x14ac:dyDescent="0.2">
      <c r="B31" s="15" t="s">
        <v>244</v>
      </c>
      <c r="C31" s="25" t="s">
        <v>250</v>
      </c>
      <c r="D31" s="27"/>
      <c r="E31" s="27"/>
      <c r="F31" s="27"/>
      <c r="G31" s="27"/>
      <c r="H31" s="197">
        <v>4039000</v>
      </c>
      <c r="I31" s="197">
        <v>5104000</v>
      </c>
      <c r="J31" s="197">
        <v>6430000</v>
      </c>
      <c r="K31" s="197">
        <v>5783000</v>
      </c>
      <c r="L31" s="197">
        <v>5935000</v>
      </c>
      <c r="M31" s="92"/>
      <c r="N31" s="92"/>
      <c r="O31" s="92"/>
      <c r="P31" s="74"/>
      <c r="Q31" s="74"/>
      <c r="R31" s="74"/>
      <c r="S31" s="74"/>
      <c r="T31" s="13"/>
    </row>
    <row r="32" spans="2:27" x14ac:dyDescent="0.2">
      <c r="B32" s="15" t="s">
        <v>100</v>
      </c>
      <c r="C32" s="25" t="s">
        <v>250</v>
      </c>
      <c r="D32" s="27"/>
      <c r="E32" s="27"/>
      <c r="F32" s="27"/>
      <c r="G32" s="27"/>
      <c r="H32" s="197">
        <v>582000</v>
      </c>
      <c r="I32" s="197">
        <v>894000</v>
      </c>
      <c r="J32" s="197">
        <v>279000</v>
      </c>
      <c r="K32" s="197">
        <v>636000</v>
      </c>
      <c r="L32" s="197">
        <v>352000</v>
      </c>
      <c r="M32" s="92"/>
      <c r="N32" s="92"/>
      <c r="O32" s="92"/>
      <c r="P32" s="74"/>
      <c r="Q32" s="74"/>
      <c r="R32" s="74"/>
      <c r="S32" s="74"/>
    </row>
    <row r="33" spans="2:20" s="12" customFormat="1" x14ac:dyDescent="0.2">
      <c r="B33" s="12" t="s">
        <v>245</v>
      </c>
      <c r="C33" s="69" t="s">
        <v>250</v>
      </c>
      <c r="D33" s="26"/>
      <c r="E33" s="26"/>
      <c r="F33" s="26"/>
      <c r="G33" s="26"/>
      <c r="H33" s="124">
        <f>SUM(H29:H32)</f>
        <v>12355000</v>
      </c>
      <c r="I33" s="124">
        <f>SUM(I29:I32)</f>
        <v>15400000</v>
      </c>
      <c r="J33" s="124">
        <f>SUM(J29:J32)</f>
        <v>16041000</v>
      </c>
      <c r="K33" s="124">
        <f>SUM(K29:K32)</f>
        <v>16187000</v>
      </c>
      <c r="L33" s="124">
        <f>SUM(L29:L32)</f>
        <v>16748000</v>
      </c>
      <c r="M33" s="94"/>
      <c r="N33" s="94"/>
      <c r="O33" s="94"/>
      <c r="P33" s="95"/>
      <c r="Q33" s="95"/>
      <c r="R33" s="95"/>
      <c r="S33" s="95"/>
    </row>
    <row r="34" spans="2:20" x14ac:dyDescent="0.2">
      <c r="D34" s="27"/>
      <c r="E34" s="27"/>
      <c r="F34" s="27"/>
      <c r="G34" s="27"/>
      <c r="H34" s="73"/>
      <c r="I34" s="73"/>
      <c r="J34" s="73"/>
      <c r="K34" s="73"/>
      <c r="L34" s="73"/>
      <c r="M34" s="27"/>
      <c r="N34" s="27"/>
      <c r="O34" s="27"/>
    </row>
    <row r="35" spans="2:20" x14ac:dyDescent="0.2">
      <c r="B35" s="15" t="s">
        <v>246</v>
      </c>
      <c r="C35" s="25" t="s">
        <v>250</v>
      </c>
      <c r="D35" s="27"/>
      <c r="E35" s="27"/>
      <c r="F35" s="27"/>
      <c r="G35" s="27"/>
      <c r="H35" s="198">
        <v>3857000</v>
      </c>
      <c r="I35" s="198">
        <v>3743000</v>
      </c>
      <c r="J35" s="198">
        <v>3867000</v>
      </c>
      <c r="K35" s="198">
        <v>10682562.666085292</v>
      </c>
      <c r="L35" s="198">
        <v>12832879.606321838</v>
      </c>
      <c r="M35" s="92"/>
      <c r="N35" s="92"/>
      <c r="O35" s="92"/>
      <c r="P35" s="74"/>
      <c r="Q35" s="74"/>
      <c r="R35" s="74"/>
      <c r="S35" s="74"/>
    </row>
    <row r="36" spans="2:20" x14ac:dyDescent="0.2">
      <c r="B36" s="15" t="s">
        <v>68</v>
      </c>
      <c r="C36" s="25" t="s">
        <v>250</v>
      </c>
      <c r="D36" s="27"/>
      <c r="E36" s="27"/>
      <c r="F36" s="27"/>
      <c r="G36" s="27"/>
      <c r="H36" s="198">
        <v>5569122.592613792</v>
      </c>
      <c r="I36" s="198">
        <v>6017632.6600000001</v>
      </c>
      <c r="J36" s="198">
        <v>7544814.5324999997</v>
      </c>
      <c r="K36" s="198">
        <v>9407148.428914709</v>
      </c>
      <c r="L36" s="198">
        <v>13166537.431178162</v>
      </c>
      <c r="M36" s="92"/>
      <c r="N36" s="92"/>
      <c r="O36" s="92"/>
      <c r="P36" s="74"/>
      <c r="Q36" s="74"/>
      <c r="R36" s="74"/>
      <c r="S36" s="74"/>
    </row>
    <row r="37" spans="2:20" s="12" customFormat="1" x14ac:dyDescent="0.2">
      <c r="B37" s="12" t="s">
        <v>247</v>
      </c>
      <c r="C37" s="69" t="s">
        <v>250</v>
      </c>
      <c r="D37" s="26"/>
      <c r="E37" s="26"/>
      <c r="F37" s="26"/>
      <c r="G37" s="26"/>
      <c r="H37" s="124">
        <f>SUM(H35:H36)</f>
        <v>9426122.592613792</v>
      </c>
      <c r="I37" s="124">
        <f>SUM(I35:I36)</f>
        <v>9760632.6600000001</v>
      </c>
      <c r="J37" s="124">
        <f>SUM(J35:J36)</f>
        <v>11411814.532499999</v>
      </c>
      <c r="K37" s="124">
        <f>SUM(K35:K36)</f>
        <v>20089711.094999999</v>
      </c>
      <c r="L37" s="124">
        <f>SUM(L35:L36)</f>
        <v>25999417.037500001</v>
      </c>
      <c r="M37" s="94"/>
      <c r="N37" s="94"/>
      <c r="O37" s="94"/>
      <c r="P37" s="95"/>
      <c r="Q37" s="95"/>
      <c r="R37" s="95"/>
      <c r="S37" s="95"/>
    </row>
    <row r="38" spans="2:20" x14ac:dyDescent="0.2">
      <c r="C38" s="25"/>
      <c r="D38" s="27"/>
      <c r="E38" s="27"/>
      <c r="F38" s="26"/>
      <c r="G38" s="26"/>
      <c r="H38" s="125"/>
      <c r="I38" s="125"/>
      <c r="J38" s="125"/>
      <c r="K38" s="125"/>
      <c r="L38" s="125"/>
      <c r="M38" s="92"/>
      <c r="N38" s="92"/>
      <c r="O38" s="92"/>
      <c r="P38" s="74"/>
      <c r="Q38" s="74"/>
      <c r="R38" s="74"/>
      <c r="S38" s="74"/>
    </row>
    <row r="39" spans="2:20" s="12" customFormat="1" x14ac:dyDescent="0.2">
      <c r="B39" s="12" t="s">
        <v>248</v>
      </c>
      <c r="C39" s="69" t="s">
        <v>250</v>
      </c>
      <c r="D39" s="26"/>
      <c r="E39" s="26"/>
      <c r="F39" s="26"/>
      <c r="G39" s="26"/>
      <c r="H39" s="124">
        <f>H33+H37</f>
        <v>21781122.592613794</v>
      </c>
      <c r="I39" s="124">
        <f>I33+I37</f>
        <v>25160632.66</v>
      </c>
      <c r="J39" s="124">
        <f>J33+J37</f>
        <v>27452814.532499999</v>
      </c>
      <c r="K39" s="124">
        <f>K33+K37</f>
        <v>36276711.094999999</v>
      </c>
      <c r="L39" s="124">
        <f>L33+L37</f>
        <v>42747417.037500001</v>
      </c>
      <c r="M39" s="94"/>
      <c r="N39" s="94"/>
      <c r="O39" s="94"/>
      <c r="P39" s="95"/>
      <c r="Q39" s="95"/>
      <c r="R39" s="95"/>
      <c r="S39" s="95"/>
    </row>
    <row r="40" spans="2:20" x14ac:dyDescent="0.2">
      <c r="B40" s="68" t="s">
        <v>251</v>
      </c>
      <c r="D40" s="26"/>
      <c r="E40" s="26"/>
      <c r="F40" s="26"/>
      <c r="G40" s="26"/>
      <c r="H40" s="26"/>
      <c r="I40" s="26"/>
      <c r="J40" s="26"/>
      <c r="K40" s="26"/>
      <c r="L40" s="26"/>
      <c r="M40" s="92"/>
      <c r="N40" s="92"/>
      <c r="O40" s="92"/>
      <c r="P40" s="74"/>
      <c r="Q40" s="74"/>
      <c r="R40" s="74"/>
      <c r="S40" s="74"/>
    </row>
    <row r="42" spans="2:20" x14ac:dyDescent="0.2">
      <c r="B42" s="49" t="s">
        <v>252</v>
      </c>
      <c r="C42" s="50" t="s">
        <v>51</v>
      </c>
      <c r="D42" s="51" t="s">
        <v>52</v>
      </c>
      <c r="E42" s="50" t="s">
        <v>53</v>
      </c>
      <c r="T42" s="13"/>
    </row>
    <row r="44" spans="2:20" x14ac:dyDescent="0.2">
      <c r="B44" s="52" t="s">
        <v>240</v>
      </c>
    </row>
    <row r="45" spans="2:20" x14ac:dyDescent="0.2">
      <c r="K45" s="32"/>
      <c r="L45" s="68"/>
    </row>
    <row r="46" spans="2:20" x14ac:dyDescent="0.2">
      <c r="B46" s="32" t="s">
        <v>253</v>
      </c>
      <c r="C46" s="68"/>
      <c r="K46" s="29"/>
      <c r="L46" s="28"/>
    </row>
    <row r="47" spans="2:20" x14ac:dyDescent="0.2">
      <c r="B47" s="32"/>
      <c r="C47" s="68"/>
      <c r="K47" s="29"/>
      <c r="L47" s="28"/>
    </row>
    <row r="48" spans="2:20" x14ac:dyDescent="0.2">
      <c r="B48" s="32" t="s">
        <v>241</v>
      </c>
      <c r="C48" s="68"/>
    </row>
    <row r="49" spans="2:12" x14ac:dyDescent="0.2">
      <c r="B49" s="29" t="s">
        <v>254</v>
      </c>
      <c r="C49" s="151" t="s">
        <v>242</v>
      </c>
      <c r="H49" s="197">
        <v>4380301.4983502897</v>
      </c>
      <c r="I49" s="197">
        <v>4408143.5776004046</v>
      </c>
      <c r="J49" s="197">
        <v>5912168.9776068721</v>
      </c>
      <c r="K49" s="197">
        <v>4392147.1058454802</v>
      </c>
      <c r="L49" s="197">
        <v>4873744.9628361864</v>
      </c>
    </row>
    <row r="50" spans="2:12" x14ac:dyDescent="0.2">
      <c r="B50" s="29"/>
      <c r="C50" s="28"/>
      <c r="H50" s="13"/>
      <c r="I50" s="15"/>
    </row>
    <row r="51" spans="2:12" x14ac:dyDescent="0.2">
      <c r="B51" s="32" t="s">
        <v>243</v>
      </c>
      <c r="C51" s="28"/>
    </row>
    <row r="52" spans="2:12" x14ac:dyDescent="0.2">
      <c r="B52" s="28" t="s">
        <v>255</v>
      </c>
      <c r="C52" s="151" t="s">
        <v>242</v>
      </c>
      <c r="H52" s="197">
        <v>3852323.4805661482</v>
      </c>
      <c r="I52" s="197">
        <v>5566673.7308470095</v>
      </c>
      <c r="J52" s="197">
        <v>3882320.796763327</v>
      </c>
      <c r="K52" s="197">
        <v>5700182.4471770199</v>
      </c>
      <c r="L52" s="197">
        <v>5754615.6909535462</v>
      </c>
    </row>
    <row r="53" spans="2:12" x14ac:dyDescent="0.2">
      <c r="B53" s="28"/>
      <c r="C53" s="28"/>
      <c r="H53" s="13"/>
      <c r="I53" s="15"/>
    </row>
    <row r="54" spans="2:12" x14ac:dyDescent="0.2">
      <c r="B54" s="26" t="s">
        <v>244</v>
      </c>
      <c r="C54" s="28"/>
      <c r="H54" s="13"/>
      <c r="I54" s="15"/>
    </row>
    <row r="55" spans="2:12" x14ac:dyDescent="0.2">
      <c r="B55" s="28" t="s">
        <v>256</v>
      </c>
      <c r="C55" s="151" t="s">
        <v>242</v>
      </c>
      <c r="H55" s="197">
        <v>3499334.7809266513</v>
      </c>
      <c r="I55" s="197">
        <v>4526958.6223101309</v>
      </c>
      <c r="J55" s="197">
        <v>5009336.8790498227</v>
      </c>
      <c r="K55" s="197">
        <v>4718114.8492155522</v>
      </c>
      <c r="L55" s="197">
        <v>4544142.0752317561</v>
      </c>
    </row>
    <row r="56" spans="2:12" x14ac:dyDescent="0.2">
      <c r="B56" s="28" t="s">
        <v>257</v>
      </c>
      <c r="C56" s="151" t="s">
        <v>242</v>
      </c>
      <c r="H56" s="197">
        <v>800066.8598599399</v>
      </c>
      <c r="I56" s="197">
        <v>888002.8265641093</v>
      </c>
      <c r="J56" s="197">
        <v>1739331.0644992969</v>
      </c>
      <c r="K56" s="197">
        <v>1256899.6680990579</v>
      </c>
      <c r="L56" s="197">
        <v>1485809.2181667786</v>
      </c>
    </row>
    <row r="57" spans="2:12" x14ac:dyDescent="0.2">
      <c r="B57" s="28"/>
      <c r="C57" s="151"/>
      <c r="I57" s="15"/>
    </row>
    <row r="58" spans="2:12" x14ac:dyDescent="0.2">
      <c r="B58" s="26" t="s">
        <v>100</v>
      </c>
      <c r="C58" s="151"/>
      <c r="I58" s="15"/>
    </row>
    <row r="59" spans="2:12" x14ac:dyDescent="0.2">
      <c r="B59" s="28" t="s">
        <v>256</v>
      </c>
      <c r="C59" s="151" t="s">
        <v>242</v>
      </c>
      <c r="H59" s="197">
        <v>0</v>
      </c>
      <c r="I59" s="197">
        <v>0</v>
      </c>
      <c r="J59" s="197">
        <v>0</v>
      </c>
      <c r="K59" s="197">
        <v>0</v>
      </c>
      <c r="L59" s="197">
        <v>0</v>
      </c>
    </row>
    <row r="60" spans="2:12" x14ac:dyDescent="0.2">
      <c r="B60" s="28" t="s">
        <v>257</v>
      </c>
      <c r="C60" s="151" t="s">
        <v>242</v>
      </c>
      <c r="H60" s="197">
        <v>619522.59344832785</v>
      </c>
      <c r="I60" s="197">
        <v>948466.99359200045</v>
      </c>
      <c r="J60" s="197">
        <v>292827.11605757452</v>
      </c>
      <c r="K60" s="197">
        <v>657117.28047935199</v>
      </c>
      <c r="L60" s="197">
        <v>357631.48361858196</v>
      </c>
    </row>
    <row r="61" spans="2:12" x14ac:dyDescent="0.2">
      <c r="B61" s="28"/>
      <c r="C61" s="68"/>
    </row>
    <row r="62" spans="2:12" x14ac:dyDescent="0.2">
      <c r="B62" s="26" t="s">
        <v>258</v>
      </c>
      <c r="C62" s="151"/>
      <c r="K62" s="28"/>
      <c r="L62" s="28"/>
    </row>
    <row r="63" spans="2:12" x14ac:dyDescent="0.2">
      <c r="B63" s="26"/>
      <c r="C63" s="151"/>
      <c r="K63" s="28"/>
      <c r="L63" s="28"/>
    </row>
    <row r="64" spans="2:12" x14ac:dyDescent="0.2">
      <c r="B64" s="26" t="s">
        <v>68</v>
      </c>
      <c r="C64" s="151"/>
    </row>
    <row r="65" spans="2:12" x14ac:dyDescent="0.2">
      <c r="B65" s="28" t="s">
        <v>259</v>
      </c>
      <c r="C65" s="151" t="s">
        <v>242</v>
      </c>
      <c r="H65" s="197">
        <v>522533.2764098972</v>
      </c>
      <c r="I65" s="197">
        <v>163388.87610568153</v>
      </c>
      <c r="J65" s="197">
        <v>159561.20166309673</v>
      </c>
      <c r="K65" s="197">
        <v>3674627.4934234908</v>
      </c>
      <c r="L65" s="197">
        <v>7660089.9358933764</v>
      </c>
    </row>
    <row r="66" spans="2:12" x14ac:dyDescent="0.2">
      <c r="B66" s="28" t="s">
        <v>260</v>
      </c>
      <c r="C66" s="151" t="s">
        <v>242</v>
      </c>
      <c r="H66" s="197">
        <v>0</v>
      </c>
      <c r="I66" s="197">
        <v>56568.088620646631</v>
      </c>
      <c r="J66" s="197">
        <v>862937.56007260969</v>
      </c>
      <c r="K66" s="197">
        <v>869691.4361612231</v>
      </c>
      <c r="L66" s="197">
        <v>1656749.9173832147</v>
      </c>
    </row>
    <row r="67" spans="2:12" x14ac:dyDescent="0.2">
      <c r="B67" s="28" t="s">
        <v>261</v>
      </c>
      <c r="C67" s="151" t="s">
        <v>242</v>
      </c>
      <c r="H67" s="197">
        <v>619038.01348106202</v>
      </c>
      <c r="I67" s="197">
        <v>561071.92298205697</v>
      </c>
      <c r="J67" s="197">
        <v>732331.03215355508</v>
      </c>
      <c r="K67" s="197">
        <v>780662.74523327604</v>
      </c>
      <c r="L67" s="197">
        <v>753428.86634661292</v>
      </c>
    </row>
    <row r="68" spans="2:12" x14ac:dyDescent="0.2">
      <c r="B68" s="28" t="s">
        <v>262</v>
      </c>
      <c r="C68" s="151" t="s">
        <v>242</v>
      </c>
      <c r="H68" s="197">
        <v>4786684.7416017996</v>
      </c>
      <c r="I68" s="197">
        <v>5603092.0307310624</v>
      </c>
      <c r="J68" s="197">
        <v>6164482.8953957213</v>
      </c>
      <c r="K68" s="197">
        <v>4394977.1684236564</v>
      </c>
      <c r="L68" s="197">
        <v>3306776.6412579985</v>
      </c>
    </row>
    <row r="69" spans="2:12" x14ac:dyDescent="0.2">
      <c r="B69" s="28"/>
      <c r="C69" s="151"/>
      <c r="H69" s="13"/>
      <c r="I69" s="15"/>
    </row>
    <row r="70" spans="2:12" x14ac:dyDescent="0.2">
      <c r="B70" s="26" t="s">
        <v>246</v>
      </c>
      <c r="C70" s="151"/>
    </row>
    <row r="71" spans="2:12" x14ac:dyDescent="0.2">
      <c r="B71" s="28" t="s">
        <v>263</v>
      </c>
      <c r="C71" s="151" t="s">
        <v>242</v>
      </c>
      <c r="H71" s="197">
        <v>4105547.3157277103</v>
      </c>
      <c r="I71" s="197">
        <v>3971387.86675594</v>
      </c>
      <c r="J71" s="197">
        <v>4058161.9056165703</v>
      </c>
      <c r="K71" s="197">
        <v>11037005.1751724</v>
      </c>
      <c r="L71" s="197">
        <v>13038186.8542827</v>
      </c>
    </row>
    <row r="72" spans="2:12" x14ac:dyDescent="0.2">
      <c r="C72" s="68"/>
      <c r="I72" s="15"/>
    </row>
    <row r="73" spans="2:12" x14ac:dyDescent="0.2">
      <c r="B73" s="12" t="s">
        <v>49</v>
      </c>
      <c r="C73" s="152" t="s">
        <v>242</v>
      </c>
      <c r="H73" s="124">
        <f>SUM(H49,H52,H55:H56,H59:H60,H65:H68,H71)</f>
        <v>23185352.560371827</v>
      </c>
      <c r="I73" s="124">
        <f>SUM(I49,I52,I55:I56,I59:I60,I65:I68,I71)</f>
        <v>26693754.536109041</v>
      </c>
      <c r="J73" s="124">
        <f>SUM(J49,J52,J55:J56,J59:J60,J65:J68,J71)</f>
        <v>28813459.428878441</v>
      </c>
      <c r="K73" s="124">
        <f>SUM(K49,K52,K55:K56,K59:K60,K65:K68,K71)</f>
        <v>37481425.369230509</v>
      </c>
      <c r="L73" s="124">
        <f>SUM(L49,L52,L55:L56,L59:L60,L65:L68,L71)</f>
        <v>43431175.645970747</v>
      </c>
    </row>
    <row r="74" spans="2:12" x14ac:dyDescent="0.2">
      <c r="B74" s="12"/>
      <c r="C74" s="12"/>
      <c r="H74" s="148"/>
      <c r="I74" s="148"/>
      <c r="J74" s="148"/>
      <c r="K74" s="148"/>
      <c r="L74" s="148"/>
    </row>
    <row r="75" spans="2:12" x14ac:dyDescent="0.2">
      <c r="B75" s="68" t="str">
        <f>B48&amp;" check"</f>
        <v>Service interruptions and emergencies check</v>
      </c>
      <c r="C75" s="54">
        <f>SUM(H75:L75)</f>
        <v>0</v>
      </c>
      <c r="H75" s="228">
        <f>H49-H15</f>
        <v>0</v>
      </c>
      <c r="I75" s="228">
        <f t="shared" ref="I75:L75" si="2">I49-I15</f>
        <v>0</v>
      </c>
      <c r="J75" s="228">
        <f t="shared" si="2"/>
        <v>0</v>
      </c>
      <c r="K75" s="228">
        <f t="shared" si="2"/>
        <v>0</v>
      </c>
      <c r="L75" s="228">
        <f t="shared" si="2"/>
        <v>0</v>
      </c>
    </row>
    <row r="76" spans="2:12" x14ac:dyDescent="0.2">
      <c r="B76" s="68" t="str">
        <f>B51&amp;" check"</f>
        <v>Vegetation management check</v>
      </c>
      <c r="C76" s="165">
        <f>SUM(H76:L76)</f>
        <v>0</v>
      </c>
      <c r="H76" s="228">
        <f>ABS(H52-H16)</f>
        <v>0</v>
      </c>
      <c r="I76" s="228">
        <f t="shared" ref="I76:L76" si="3">ABS(I52-I16)</f>
        <v>0</v>
      </c>
      <c r="J76" s="228">
        <f t="shared" si="3"/>
        <v>0</v>
      </c>
      <c r="K76" s="228">
        <f t="shared" si="3"/>
        <v>0</v>
      </c>
      <c r="L76" s="228">
        <f t="shared" si="3"/>
        <v>0</v>
      </c>
    </row>
    <row r="77" spans="2:12" x14ac:dyDescent="0.2">
      <c r="B77" s="68" t="s">
        <v>264</v>
      </c>
      <c r="C77" s="54">
        <f>SUM(H77:L77)</f>
        <v>0</v>
      </c>
      <c r="H77" s="228">
        <f>SUM(H55:H60)-SUM(H17:H18)</f>
        <v>0</v>
      </c>
      <c r="I77" s="228">
        <f t="shared" ref="I77:L77" si="4">SUM(I55:I60)-SUM(I17:I18)</f>
        <v>0</v>
      </c>
      <c r="J77" s="228">
        <f t="shared" si="4"/>
        <v>0</v>
      </c>
      <c r="K77" s="228">
        <f t="shared" si="4"/>
        <v>0</v>
      </c>
      <c r="L77" s="228">
        <f t="shared" si="4"/>
        <v>0</v>
      </c>
    </row>
    <row r="78" spans="2:12" x14ac:dyDescent="0.2">
      <c r="B78" s="166"/>
      <c r="C78" s="55"/>
      <c r="D78" s="53"/>
      <c r="E78" s="53"/>
      <c r="F78" s="53"/>
      <c r="G78" s="53"/>
      <c r="H78" s="167"/>
      <c r="I78" s="167"/>
      <c r="J78" s="167"/>
      <c r="K78" s="167"/>
      <c r="L78" s="167"/>
    </row>
    <row r="79" spans="2:12" x14ac:dyDescent="0.2">
      <c r="B79" s="166"/>
      <c r="C79" s="55"/>
      <c r="D79" s="53"/>
      <c r="E79" s="53"/>
      <c r="F79" s="53"/>
      <c r="G79" s="53"/>
      <c r="H79" s="167"/>
      <c r="I79" s="167"/>
      <c r="J79" s="167"/>
      <c r="K79" s="167"/>
      <c r="L79" s="167"/>
    </row>
    <row r="80" spans="2:12" x14ac:dyDescent="0.2">
      <c r="B80" s="12"/>
      <c r="C80" s="12"/>
      <c r="H80" s="79"/>
      <c r="I80" s="79"/>
      <c r="J80" s="79"/>
      <c r="K80" s="79"/>
      <c r="L80" s="79"/>
    </row>
    <row r="82" spans="2:18" x14ac:dyDescent="0.2">
      <c r="B82" s="52" t="s">
        <v>249</v>
      </c>
    </row>
    <row r="83" spans="2:18" x14ac:dyDescent="0.2">
      <c r="H83" s="13"/>
      <c r="I83" s="53"/>
      <c r="J83" s="13"/>
      <c r="K83" s="13"/>
      <c r="L83" s="13"/>
      <c r="M83" s="53"/>
      <c r="N83" s="53"/>
      <c r="O83" s="53"/>
      <c r="P83" s="53"/>
      <c r="Q83" s="53"/>
      <c r="R83" s="53"/>
    </row>
    <row r="84" spans="2:18" x14ac:dyDescent="0.2">
      <c r="B84" s="32" t="s">
        <v>253</v>
      </c>
      <c r="C84" s="68"/>
      <c r="H84" s="13"/>
      <c r="I84" s="53"/>
      <c r="J84" s="13"/>
      <c r="K84" s="13"/>
      <c r="L84" s="13"/>
      <c r="M84" s="53"/>
      <c r="N84" s="53"/>
      <c r="O84" s="53"/>
      <c r="P84" s="53"/>
      <c r="Q84" s="53"/>
      <c r="R84" s="53"/>
    </row>
    <row r="85" spans="2:18" x14ac:dyDescent="0.2">
      <c r="B85" s="32"/>
      <c r="C85" s="68"/>
      <c r="H85" s="58"/>
      <c r="I85" s="53"/>
      <c r="J85" s="13"/>
      <c r="K85" s="13"/>
      <c r="L85" s="13"/>
      <c r="M85" s="53"/>
      <c r="N85" s="82"/>
      <c r="O85" s="53"/>
      <c r="P85" s="53"/>
      <c r="Q85" s="53"/>
      <c r="R85" s="53"/>
    </row>
    <row r="86" spans="2:18" x14ac:dyDescent="0.2">
      <c r="B86" s="32" t="s">
        <v>241</v>
      </c>
      <c r="C86" s="68"/>
      <c r="H86" s="229"/>
      <c r="I86" s="230"/>
      <c r="J86" s="229"/>
      <c r="K86" s="229"/>
      <c r="L86" s="229"/>
      <c r="M86" s="53"/>
      <c r="N86" s="53"/>
      <c r="O86" s="53"/>
      <c r="P86" s="53"/>
      <c r="Q86" s="53"/>
      <c r="R86" s="53"/>
    </row>
    <row r="87" spans="2:18" x14ac:dyDescent="0.2">
      <c r="B87" s="29" t="s">
        <v>254</v>
      </c>
      <c r="C87" s="25" t="s">
        <v>250</v>
      </c>
      <c r="H87" s="224">
        <f>H49*H$13</f>
        <v>4114999.9999999995</v>
      </c>
      <c r="I87" s="224">
        <f>I49*I$13</f>
        <v>4155000</v>
      </c>
      <c r="J87" s="224">
        <f>J49*J$13</f>
        <v>5633000</v>
      </c>
      <c r="K87" s="224">
        <f>K49*K$13</f>
        <v>4251000.0000000009</v>
      </c>
      <c r="L87" s="224">
        <f>L49*L$13</f>
        <v>4797000</v>
      </c>
      <c r="M87" s="53"/>
      <c r="N87" s="122"/>
      <c r="O87" s="122"/>
      <c r="P87" s="122"/>
      <c r="Q87" s="122"/>
      <c r="R87" s="122"/>
    </row>
    <row r="88" spans="2:18" x14ac:dyDescent="0.2">
      <c r="B88" s="29"/>
      <c r="C88" s="28"/>
      <c r="H88" s="230"/>
      <c r="I88" s="230"/>
      <c r="J88" s="230"/>
      <c r="K88" s="230"/>
      <c r="L88" s="230"/>
      <c r="M88" s="53"/>
      <c r="N88" s="122"/>
      <c r="O88" s="122"/>
      <c r="P88" s="122"/>
      <c r="Q88" s="122"/>
      <c r="R88" s="122"/>
    </row>
    <row r="89" spans="2:18" x14ac:dyDescent="0.2">
      <c r="B89" s="32" t="s">
        <v>243</v>
      </c>
      <c r="C89" s="28"/>
      <c r="H89" s="230"/>
      <c r="I89" s="230"/>
      <c r="J89" s="230"/>
      <c r="K89" s="230"/>
      <c r="L89" s="230"/>
      <c r="M89" s="53"/>
      <c r="N89" s="122"/>
      <c r="O89" s="122"/>
      <c r="P89" s="122"/>
      <c r="Q89" s="122"/>
      <c r="R89" s="122"/>
    </row>
    <row r="90" spans="2:18" x14ac:dyDescent="0.2">
      <c r="B90" s="28" t="s">
        <v>255</v>
      </c>
      <c r="C90" s="25" t="s">
        <v>250</v>
      </c>
      <c r="H90" s="224">
        <f>H52*H$13</f>
        <v>3619000</v>
      </c>
      <c r="I90" s="224">
        <f>I52*I$13</f>
        <v>5247000</v>
      </c>
      <c r="J90" s="224">
        <f>J52*J$13</f>
        <v>3699000</v>
      </c>
      <c r="K90" s="224">
        <f>K52*K$13</f>
        <v>5517000</v>
      </c>
      <c r="L90" s="224">
        <f>L52*L$13</f>
        <v>5664000</v>
      </c>
      <c r="M90" s="53"/>
      <c r="N90" s="122"/>
      <c r="O90" s="122"/>
      <c r="P90" s="122"/>
      <c r="Q90" s="122"/>
      <c r="R90" s="122"/>
    </row>
    <row r="91" spans="2:18" x14ac:dyDescent="0.2">
      <c r="B91" s="28"/>
      <c r="C91" s="28"/>
      <c r="H91" s="230"/>
      <c r="I91" s="230"/>
      <c r="J91" s="230"/>
      <c r="K91" s="230"/>
      <c r="L91" s="230"/>
      <c r="M91" s="53"/>
      <c r="N91" s="122"/>
      <c r="O91" s="122"/>
      <c r="P91" s="122"/>
      <c r="Q91" s="122"/>
      <c r="R91" s="122"/>
    </row>
    <row r="92" spans="2:18" x14ac:dyDescent="0.2">
      <c r="B92" s="26" t="s">
        <v>244</v>
      </c>
      <c r="C92" s="28"/>
      <c r="H92" s="230"/>
      <c r="I92" s="230"/>
      <c r="J92" s="230"/>
      <c r="K92" s="230"/>
      <c r="L92" s="230"/>
      <c r="M92" s="53"/>
      <c r="N92" s="122"/>
      <c r="O92" s="122"/>
      <c r="P92" s="122"/>
      <c r="Q92" s="122"/>
      <c r="R92" s="122"/>
    </row>
    <row r="93" spans="2:18" x14ac:dyDescent="0.2">
      <c r="B93" s="28" t="s">
        <v>256</v>
      </c>
      <c r="C93" s="25" t="s">
        <v>250</v>
      </c>
      <c r="H93" s="224">
        <f t="shared" ref="H93:L94" si="5">H55*H$13</f>
        <v>3287390.7490012757</v>
      </c>
      <c r="I93" s="224">
        <f t="shared" si="5"/>
        <v>4266991.9308612105</v>
      </c>
      <c r="J93" s="224">
        <f t="shared" si="5"/>
        <v>4772799.0770503264</v>
      </c>
      <c r="K93" s="224">
        <f t="shared" si="5"/>
        <v>4566492.3648212906</v>
      </c>
      <c r="L93" s="224">
        <f t="shared" si="5"/>
        <v>4472587.2406342821</v>
      </c>
      <c r="M93" s="53"/>
      <c r="N93" s="122"/>
      <c r="O93" s="122"/>
      <c r="P93" s="122"/>
      <c r="Q93" s="122"/>
      <c r="R93" s="122"/>
    </row>
    <row r="94" spans="2:18" x14ac:dyDescent="0.2">
      <c r="B94" s="28" t="s">
        <v>257</v>
      </c>
      <c r="C94" s="25" t="s">
        <v>250</v>
      </c>
      <c r="H94" s="224">
        <f t="shared" si="5"/>
        <v>751609.2509987246</v>
      </c>
      <c r="I94" s="224">
        <f t="shared" si="5"/>
        <v>837008.06913879036</v>
      </c>
      <c r="J94" s="224">
        <f t="shared" si="5"/>
        <v>1657200.9229496741</v>
      </c>
      <c r="K94" s="224">
        <f t="shared" si="5"/>
        <v>1216507.6351787089</v>
      </c>
      <c r="L94" s="224">
        <f t="shared" si="5"/>
        <v>1462412.7593657181</v>
      </c>
      <c r="M94" s="53"/>
      <c r="N94" s="122"/>
      <c r="O94" s="122"/>
      <c r="P94" s="122"/>
      <c r="Q94" s="122"/>
      <c r="R94" s="122"/>
    </row>
    <row r="95" spans="2:18" x14ac:dyDescent="0.2">
      <c r="B95" s="28"/>
      <c r="C95" s="28"/>
      <c r="H95" s="230"/>
      <c r="I95" s="230"/>
      <c r="J95" s="230"/>
      <c r="K95" s="230"/>
      <c r="L95" s="230"/>
      <c r="M95" s="53"/>
      <c r="N95" s="122"/>
      <c r="O95" s="122"/>
      <c r="P95" s="122"/>
      <c r="Q95" s="122"/>
      <c r="R95" s="122"/>
    </row>
    <row r="96" spans="2:18" x14ac:dyDescent="0.2">
      <c r="B96" s="26" t="s">
        <v>100</v>
      </c>
      <c r="C96" s="28"/>
      <c r="H96" s="230"/>
      <c r="I96" s="230"/>
      <c r="J96" s="230"/>
      <c r="K96" s="230"/>
      <c r="L96" s="230"/>
      <c r="M96" s="53"/>
      <c r="N96" s="122"/>
      <c r="O96" s="122"/>
      <c r="P96" s="122"/>
      <c r="Q96" s="122"/>
      <c r="R96" s="122"/>
    </row>
    <row r="97" spans="2:18" x14ac:dyDescent="0.2">
      <c r="B97" s="28" t="s">
        <v>256</v>
      </c>
      <c r="C97" s="25" t="s">
        <v>250</v>
      </c>
      <c r="H97" s="224">
        <f t="shared" ref="H97:L98" si="6">H59*H$13</f>
        <v>0</v>
      </c>
      <c r="I97" s="224">
        <f t="shared" si="6"/>
        <v>0</v>
      </c>
      <c r="J97" s="224">
        <f t="shared" si="6"/>
        <v>0</v>
      </c>
      <c r="K97" s="224">
        <f t="shared" si="6"/>
        <v>0</v>
      </c>
      <c r="L97" s="224">
        <f t="shared" si="6"/>
        <v>0</v>
      </c>
      <c r="M97" s="53"/>
      <c r="N97" s="122"/>
      <c r="O97" s="122"/>
      <c r="P97" s="122"/>
      <c r="Q97" s="122"/>
      <c r="R97" s="122"/>
    </row>
    <row r="98" spans="2:18" x14ac:dyDescent="0.2">
      <c r="B98" s="28" t="s">
        <v>257</v>
      </c>
      <c r="C98" s="25" t="s">
        <v>250</v>
      </c>
      <c r="H98" s="224">
        <f t="shared" si="6"/>
        <v>582000.00000000012</v>
      </c>
      <c r="I98" s="224">
        <f t="shared" si="6"/>
        <v>894000</v>
      </c>
      <c r="J98" s="224">
        <f t="shared" si="6"/>
        <v>279000</v>
      </c>
      <c r="K98" s="224">
        <f t="shared" si="6"/>
        <v>636000.00000000012</v>
      </c>
      <c r="L98" s="224">
        <f t="shared" si="6"/>
        <v>352000</v>
      </c>
      <c r="M98" s="53"/>
      <c r="N98" s="122"/>
      <c r="O98" s="122"/>
      <c r="P98" s="122"/>
      <c r="Q98" s="122"/>
      <c r="R98" s="122"/>
    </row>
    <row r="99" spans="2:18" x14ac:dyDescent="0.2">
      <c r="B99" s="28"/>
      <c r="H99" s="230"/>
      <c r="I99" s="230"/>
      <c r="J99" s="230"/>
      <c r="K99" s="230"/>
      <c r="L99" s="230"/>
      <c r="M99" s="53"/>
      <c r="N99" s="122"/>
      <c r="O99" s="122"/>
      <c r="P99" s="122"/>
      <c r="Q99" s="122"/>
      <c r="R99" s="122"/>
    </row>
    <row r="100" spans="2:18" x14ac:dyDescent="0.2">
      <c r="B100" s="26" t="s">
        <v>258</v>
      </c>
      <c r="C100" s="28"/>
      <c r="H100" s="230"/>
      <c r="I100" s="230"/>
      <c r="J100" s="230"/>
      <c r="K100" s="231"/>
      <c r="L100" s="231"/>
      <c r="M100" s="53"/>
      <c r="N100" s="122"/>
      <c r="O100" s="122"/>
      <c r="P100" s="122"/>
      <c r="Q100" s="122"/>
      <c r="R100" s="122"/>
    </row>
    <row r="101" spans="2:18" x14ac:dyDescent="0.2">
      <c r="B101" s="26"/>
      <c r="C101" s="28"/>
      <c r="H101" s="230"/>
      <c r="I101" s="230"/>
      <c r="J101" s="230"/>
      <c r="K101" s="231"/>
      <c r="L101" s="231"/>
      <c r="M101" s="53"/>
      <c r="N101" s="122"/>
      <c r="O101" s="122"/>
      <c r="P101" s="122"/>
      <c r="Q101" s="122"/>
      <c r="R101" s="122"/>
    </row>
    <row r="102" spans="2:18" x14ac:dyDescent="0.2">
      <c r="B102" s="26" t="s">
        <v>68</v>
      </c>
      <c r="C102" s="28"/>
      <c r="H102" s="230"/>
      <c r="I102" s="230"/>
      <c r="J102" s="230"/>
      <c r="K102" s="230"/>
      <c r="L102" s="230"/>
      <c r="M102" s="53"/>
      <c r="N102" s="122"/>
      <c r="O102" s="122"/>
      <c r="P102" s="122"/>
      <c r="Q102" s="122"/>
      <c r="R102" s="122"/>
    </row>
    <row r="103" spans="2:18" x14ac:dyDescent="0.2">
      <c r="B103" s="28" t="s">
        <v>259</v>
      </c>
      <c r="C103" s="25" t="s">
        <v>250</v>
      </c>
      <c r="H103" s="224">
        <f t="shared" ref="H103:L106" si="7">H65*H$13</f>
        <v>490885.02999999997</v>
      </c>
      <c r="I103" s="224">
        <f t="shared" si="7"/>
        <v>154006.04999999999</v>
      </c>
      <c r="J103" s="224">
        <f t="shared" si="7"/>
        <v>152026.81999999998</v>
      </c>
      <c r="K103" s="224">
        <f t="shared" si="7"/>
        <v>3556538.7720628902</v>
      </c>
      <c r="L103" s="224">
        <f t="shared" si="7"/>
        <v>7539469.4844879992</v>
      </c>
      <c r="M103" s="53"/>
      <c r="N103" s="122"/>
      <c r="O103" s="122"/>
      <c r="P103" s="122"/>
      <c r="Q103" s="122"/>
      <c r="R103" s="122"/>
    </row>
    <row r="104" spans="2:18" x14ac:dyDescent="0.2">
      <c r="B104" s="28" t="s">
        <v>260</v>
      </c>
      <c r="C104" s="25" t="s">
        <v>250</v>
      </c>
      <c r="H104" s="224">
        <f t="shared" si="7"/>
        <v>0</v>
      </c>
      <c r="I104" s="224">
        <f t="shared" si="7"/>
        <v>53319.59</v>
      </c>
      <c r="J104" s="224">
        <f t="shared" si="7"/>
        <v>822190.18</v>
      </c>
      <c r="K104" s="224">
        <f t="shared" si="7"/>
        <v>841742.821</v>
      </c>
      <c r="L104" s="224">
        <f t="shared" si="7"/>
        <v>1630661.7219999998</v>
      </c>
      <c r="M104" s="53"/>
      <c r="N104" s="122"/>
      <c r="O104" s="122"/>
      <c r="P104" s="122"/>
      <c r="Q104" s="122"/>
      <c r="R104" s="122"/>
    </row>
    <row r="105" spans="2:18" x14ac:dyDescent="0.2">
      <c r="B105" s="28" t="s">
        <v>261</v>
      </c>
      <c r="C105" s="25" t="s">
        <v>250</v>
      </c>
      <c r="H105" s="224">
        <f t="shared" si="7"/>
        <v>581544.76956299704</v>
      </c>
      <c r="I105" s="224">
        <f t="shared" si="7"/>
        <v>528851.6126916802</v>
      </c>
      <c r="J105" s="224">
        <f t="shared" si="7"/>
        <v>697750.81188406469</v>
      </c>
      <c r="K105" s="224">
        <f t="shared" si="7"/>
        <v>755575.17770066427</v>
      </c>
      <c r="L105" s="224">
        <f t="shared" si="7"/>
        <v>741564.91556781949</v>
      </c>
      <c r="M105" s="53"/>
      <c r="N105" s="122"/>
      <c r="O105" s="122"/>
      <c r="P105" s="122"/>
      <c r="Q105" s="122"/>
      <c r="R105" s="122"/>
    </row>
    <row r="106" spans="2:18" x14ac:dyDescent="0.2">
      <c r="B106" s="28" t="s">
        <v>262</v>
      </c>
      <c r="C106" s="25" t="s">
        <v>250</v>
      </c>
      <c r="H106" s="224">
        <f t="shared" si="7"/>
        <v>4496769.8499999987</v>
      </c>
      <c r="I106" s="224">
        <f t="shared" si="7"/>
        <v>5281326.9300000006</v>
      </c>
      <c r="J106" s="224">
        <f t="shared" si="7"/>
        <v>5873399.8099999996</v>
      </c>
      <c r="K106" s="224">
        <f t="shared" si="7"/>
        <v>4253739.1150000002</v>
      </c>
      <c r="L106" s="224">
        <f t="shared" si="7"/>
        <v>3254706.1179999998</v>
      </c>
      <c r="M106" s="53"/>
      <c r="N106" s="122"/>
      <c r="O106" s="122"/>
      <c r="P106" s="122"/>
      <c r="Q106" s="122"/>
      <c r="R106" s="122"/>
    </row>
    <row r="107" spans="2:18" x14ac:dyDescent="0.2">
      <c r="B107" s="28"/>
      <c r="C107" s="28"/>
      <c r="H107" s="230"/>
      <c r="I107" s="230"/>
      <c r="J107" s="230"/>
      <c r="K107" s="230"/>
      <c r="L107" s="230"/>
      <c r="M107" s="53"/>
      <c r="N107" s="122"/>
      <c r="O107" s="122"/>
      <c r="P107" s="122"/>
      <c r="Q107" s="122"/>
      <c r="R107" s="122"/>
    </row>
    <row r="108" spans="2:18" x14ac:dyDescent="0.2">
      <c r="B108" s="26" t="s">
        <v>246</v>
      </c>
      <c r="C108" s="28"/>
      <c r="H108" s="230"/>
      <c r="I108" s="230"/>
      <c r="J108" s="230"/>
      <c r="K108" s="230"/>
      <c r="L108" s="230"/>
      <c r="M108" s="53"/>
      <c r="N108" s="122"/>
      <c r="O108" s="122"/>
      <c r="P108" s="122"/>
      <c r="Q108" s="122"/>
      <c r="R108" s="122"/>
    </row>
    <row r="109" spans="2:18" x14ac:dyDescent="0.2">
      <c r="B109" s="28" t="s">
        <v>263</v>
      </c>
      <c r="C109" s="25" t="s">
        <v>250</v>
      </c>
      <c r="H109" s="224">
        <f>H71*H$13</f>
        <v>3856886.8400000026</v>
      </c>
      <c r="I109" s="224">
        <f>I71*I$13</f>
        <v>3743325.5736541585</v>
      </c>
      <c r="J109" s="224">
        <f>J71*J$13</f>
        <v>3866538.0000000033</v>
      </c>
      <c r="K109" s="224">
        <f>K71*K$13</f>
        <v>10682317.296980925</v>
      </c>
      <c r="L109" s="224">
        <f>L71*L$13</f>
        <v>12832879.606321802</v>
      </c>
      <c r="M109" s="53"/>
      <c r="N109" s="122"/>
      <c r="O109" s="122"/>
      <c r="P109" s="122"/>
      <c r="Q109" s="122"/>
      <c r="R109" s="122"/>
    </row>
    <row r="110" spans="2:18" x14ac:dyDescent="0.2">
      <c r="H110" s="232"/>
      <c r="I110" s="232"/>
      <c r="J110" s="232"/>
      <c r="K110" s="232"/>
      <c r="L110" s="232"/>
      <c r="M110" s="53"/>
      <c r="N110" s="122"/>
      <c r="O110" s="122"/>
      <c r="P110" s="122"/>
      <c r="Q110" s="122"/>
      <c r="R110" s="122"/>
    </row>
    <row r="111" spans="2:18" x14ac:dyDescent="0.2">
      <c r="B111" s="12" t="s">
        <v>49</v>
      </c>
      <c r="C111" s="69" t="s">
        <v>250</v>
      </c>
      <c r="H111" s="225">
        <f>SUM(H87:H109)</f>
        <v>21781086.489562999</v>
      </c>
      <c r="I111" s="225">
        <f t="shared" ref="I111:L111" si="8">SUM(I87:I109)</f>
        <v>25160829.756345842</v>
      </c>
      <c r="J111" s="225">
        <f t="shared" si="8"/>
        <v>27452905.621884067</v>
      </c>
      <c r="K111" s="225">
        <f t="shared" si="8"/>
        <v>36276913.182744481</v>
      </c>
      <c r="L111" s="225">
        <f t="shared" si="8"/>
        <v>42747281.846377619</v>
      </c>
      <c r="M111" s="53"/>
      <c r="N111" s="149"/>
      <c r="O111" s="149"/>
      <c r="P111" s="149"/>
      <c r="Q111" s="149"/>
      <c r="R111" s="149"/>
    </row>
    <row r="112" spans="2:18" x14ac:dyDescent="0.2">
      <c r="H112" s="229"/>
      <c r="I112" s="230"/>
      <c r="J112" s="229"/>
      <c r="K112" s="229"/>
      <c r="L112" s="229"/>
      <c r="M112" s="53"/>
      <c r="N112" s="53"/>
      <c r="O112" s="53"/>
      <c r="P112" s="53"/>
      <c r="Q112" s="53"/>
      <c r="R112" s="53"/>
    </row>
    <row r="113" spans="2:18" x14ac:dyDescent="0.2">
      <c r="B113" s="68" t="s">
        <v>265</v>
      </c>
      <c r="H113" s="228">
        <f>IF(ABS(H111-H39)&lt;1000,0,1)</f>
        <v>0</v>
      </c>
      <c r="I113" s="228">
        <f t="shared" ref="I113:L113" si="9">IF(ABS(I111-I39)&lt;1000,0,1)</f>
        <v>0</v>
      </c>
      <c r="J113" s="228">
        <f t="shared" si="9"/>
        <v>0</v>
      </c>
      <c r="K113" s="228">
        <f t="shared" si="9"/>
        <v>0</v>
      </c>
      <c r="L113" s="228">
        <f t="shared" si="9"/>
        <v>0</v>
      </c>
      <c r="M113" s="53"/>
      <c r="N113" s="53"/>
      <c r="O113" s="53"/>
      <c r="P113" s="53"/>
      <c r="Q113" s="53"/>
      <c r="R113" s="53"/>
    </row>
    <row r="114" spans="2:18" x14ac:dyDescent="0.2">
      <c r="H114" s="13"/>
      <c r="I114" s="53"/>
      <c r="J114" s="13"/>
      <c r="K114" s="13"/>
      <c r="L114" s="13"/>
      <c r="M114" s="53"/>
      <c r="N114" s="53"/>
      <c r="O114" s="53"/>
      <c r="P114" s="53"/>
      <c r="Q114" s="53"/>
      <c r="R114" s="53"/>
    </row>
    <row r="115" spans="2:18" x14ac:dyDescent="0.2">
      <c r="H115" s="13"/>
      <c r="I115" s="53"/>
      <c r="J115" s="13"/>
      <c r="K115" s="13"/>
      <c r="L115" s="13"/>
      <c r="M115" s="53"/>
      <c r="N115" s="53"/>
      <c r="O115" s="53"/>
      <c r="P115" s="53"/>
      <c r="Q115" s="53"/>
      <c r="R115" s="53"/>
    </row>
    <row r="116" spans="2:18" x14ac:dyDescent="0.2">
      <c r="H116" s="13"/>
      <c r="I116" s="53"/>
      <c r="J116" s="13"/>
      <c r="K116" s="13"/>
      <c r="L116" s="13"/>
      <c r="M116" s="53"/>
      <c r="N116" s="53"/>
      <c r="O116" s="53"/>
      <c r="P116" s="53"/>
      <c r="Q116" s="53"/>
      <c r="R116" s="53"/>
    </row>
    <row r="117" spans="2:18" x14ac:dyDescent="0.2">
      <c r="M117" s="53"/>
      <c r="N117" s="150"/>
      <c r="O117" s="150"/>
      <c r="P117" s="150"/>
      <c r="Q117" s="150"/>
      <c r="R117" s="150"/>
    </row>
    <row r="817" spans="8:8" x14ac:dyDescent="0.2">
      <c r="H817" s="13"/>
    </row>
  </sheetData>
  <sheetProtection algorithmName="SHA-512" hashValue="k1Nso8/h1v4eTyfCwxMHqQHxe1Sr0iLg1JDbE4V4M9aQDkCZUGVrwoneXWVHqvChOQrvyxMGXAPqPhe+hR9K5g==" saltValue="Q7fQGn0jk5MqOfR+32CJTg==" spinCount="100000" sheet="1" objects="1" scenarios="1"/>
  <conditionalFormatting sqref="C2">
    <cfRule type="expression" dxfId="437" priority="13">
      <formula>Model_check&lt;&gt;0</formula>
    </cfRule>
    <cfRule type="expression" dxfId="436" priority="14">
      <formula>Model_check=0</formula>
    </cfRule>
  </conditionalFormatting>
  <conditionalFormatting sqref="N117:R117">
    <cfRule type="cellIs" dxfId="435" priority="9" stopIfTrue="1" operator="equal">
      <formula>1</formula>
    </cfRule>
    <cfRule type="cellIs" dxfId="434" priority="10" operator="equal">
      <formula>0</formula>
    </cfRule>
  </conditionalFormatting>
  <conditionalFormatting sqref="H80:L80">
    <cfRule type="cellIs" dxfId="433" priority="7" stopIfTrue="1" operator="equal">
      <formula>0</formula>
    </cfRule>
    <cfRule type="cellIs" dxfId="432" priority="8" stopIfTrue="1" operator="notEqual">
      <formula>0</formula>
    </cfRule>
  </conditionalFormatting>
  <conditionalFormatting sqref="H75:L79">
    <cfRule type="cellIs" dxfId="431" priority="5" stopIfTrue="1" operator="equal">
      <formula>0</formula>
    </cfRule>
    <cfRule type="cellIs" dxfId="430" priority="6" stopIfTrue="1" operator="notEqual">
      <formula>0</formula>
    </cfRule>
  </conditionalFormatting>
  <conditionalFormatting sqref="C75:C79">
    <cfRule type="cellIs" dxfId="429" priority="3" stopIfTrue="1" operator="equal">
      <formula>0</formula>
    </cfRule>
    <cfRule type="cellIs" dxfId="428" priority="4" stopIfTrue="1" operator="notEqual">
      <formula>0</formula>
    </cfRule>
  </conditionalFormatting>
  <conditionalFormatting sqref="H113:L113">
    <cfRule type="cellIs" dxfId="427" priority="1" stopIfTrue="1" operator="equal">
      <formula>0</formula>
    </cfRule>
    <cfRule type="cellIs" dxfId="426" priority="2" stopIfTrue="1" operator="notEqual">
      <formula>0</formula>
    </cfRule>
  </conditionalFormatting>
  <dataValidations count="1">
    <dataValidation allowBlank="1" sqref="H13:S40" xr:uid="{BC692920-66CE-48C6-BAD9-9EE7B17AD9E8}"/>
  </dataValidations>
  <pageMargins left="0.70866141732283472" right="0.70866141732283472" top="0.74803149606299213" bottom="0.74803149606299213" header="0.31496062992125984" footer="0.31496062992125984"/>
  <pageSetup paperSize="9" scale="53" orientation="landscape" r:id="rId1"/>
  <headerFooter>
    <oddFooter>&amp;A</oddFooter>
  </headerFooter>
  <rowBreaks count="1" manualBreakCount="1">
    <brk id="69" min="1" max="19" man="1"/>
  </rowBreaks>
  <extLst>
    <ext xmlns:x14="http://schemas.microsoft.com/office/spreadsheetml/2009/9/main" uri="{78C0D931-6437-407d-A8EE-F0AAD7539E65}">
      <x14:conditionalFormattings>
        <x14:conditionalFormatting xmlns:xm="http://schemas.microsoft.com/office/excel/2006/main">
          <x14:cfRule type="expression" priority="23" id="{1D82ECB8-2D03-4B0F-A62A-43E21637E79E}">
            <xm:f>'Global inputs'!$A1="MODEL ERROR"</xm:f>
            <x14:dxf>
              <fill>
                <patternFill>
                  <bgColor theme="1"/>
                </patternFill>
              </fill>
            </x14:dxf>
          </x14:cfRule>
          <xm:sqref>A1:XFD1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D399-0A1C-4A35-87F1-BECDE300B5EB}">
  <sheetPr codeName="Sheet7"/>
  <dimension ref="A1:AA287"/>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15" customWidth="1"/>
    <col min="2" max="2" width="41.125" style="15" customWidth="1"/>
    <col min="3" max="5" width="15.75" style="15" customWidth="1"/>
    <col min="6" max="7" width="2.75" style="15" customWidth="1"/>
    <col min="8" max="8" width="10.75" style="15" customWidth="1"/>
    <col min="9" max="9" width="10.75" style="30" customWidth="1"/>
    <col min="10" max="20" width="10.75" style="15" customWidth="1"/>
    <col min="21" max="21" width="2.75" style="15" customWidth="1"/>
    <col min="22" max="23" width="8.25" style="15" hidden="1" customWidth="1"/>
    <col min="24" max="25" width="0" style="15" hidden="1" customWidth="1"/>
    <col min="26" max="27" width="8.25" style="15" hidden="1" customWidth="1"/>
    <col min="28" max="16384" width="8.25" style="15" hidden="1"/>
  </cols>
  <sheetData>
    <row r="1" spans="1:24" ht="12" customHeight="1" x14ac:dyDescent="0.2">
      <c r="A1" s="13"/>
      <c r="B1" s="13"/>
      <c r="C1" s="14"/>
      <c r="D1" s="13"/>
      <c r="E1" s="13"/>
      <c r="F1" s="13"/>
      <c r="G1" s="13"/>
      <c r="H1" s="13"/>
      <c r="I1" s="13"/>
      <c r="J1" s="13"/>
      <c r="K1" s="13"/>
      <c r="L1" s="13"/>
      <c r="M1" s="13"/>
      <c r="N1" s="13"/>
      <c r="O1" s="13"/>
      <c r="P1" s="13"/>
      <c r="Q1" s="13"/>
      <c r="R1" s="13"/>
      <c r="S1" s="13"/>
      <c r="T1" s="13"/>
      <c r="U1" s="13"/>
      <c r="V1" s="13"/>
      <c r="W1" s="13"/>
      <c r="X1" s="13"/>
    </row>
    <row r="2" spans="1:24" s="13" customFormat="1" ht="15" customHeight="1" x14ac:dyDescent="0.25">
      <c r="B2" s="42" t="str">
        <f ca="1">MID(CELL("filename",B2),FIND("]",CELL("filename",B2))+1,255)</f>
        <v>Historical capex</v>
      </c>
      <c r="C2" s="41" t="str">
        <f>'Global inputs'!$C$2</f>
        <v>Model: Ok</v>
      </c>
      <c r="D2" s="17"/>
      <c r="E2" s="17"/>
      <c r="F2" s="18"/>
      <c r="G2" s="18"/>
      <c r="H2" s="18"/>
      <c r="I2" s="18"/>
      <c r="J2" s="18"/>
      <c r="K2" s="18"/>
      <c r="L2" s="18"/>
      <c r="M2" s="18"/>
      <c r="N2" s="18"/>
      <c r="O2" s="18"/>
      <c r="P2" s="18"/>
      <c r="Q2" s="18"/>
      <c r="R2" s="18"/>
      <c r="S2" s="18"/>
      <c r="T2" s="18"/>
    </row>
    <row r="3" spans="1:24" s="12" customFormat="1" ht="12" customHeight="1" x14ac:dyDescent="0.2">
      <c r="B3" s="96" t="s">
        <v>42</v>
      </c>
      <c r="C3" s="44"/>
      <c r="D3" s="45"/>
      <c r="E3" s="45"/>
      <c r="F3" s="43"/>
      <c r="G3" s="46"/>
      <c r="H3" s="38">
        <f>'Global inputs'!H3</f>
        <v>41730</v>
      </c>
      <c r="I3" s="38">
        <f>'Global inputs'!I3</f>
        <v>42095</v>
      </c>
      <c r="J3" s="38">
        <f>'Global inputs'!J3</f>
        <v>42461</v>
      </c>
      <c r="K3" s="38">
        <f>'Global inputs'!K3</f>
        <v>42826</v>
      </c>
      <c r="L3" s="38">
        <f>'Global inputs'!L3</f>
        <v>43191</v>
      </c>
      <c r="M3" s="38">
        <f>'Global inputs'!M3</f>
        <v>43556</v>
      </c>
      <c r="N3" s="38">
        <f>'Global inputs'!N3</f>
        <v>43922</v>
      </c>
      <c r="O3" s="38">
        <f>'Global inputs'!O3</f>
        <v>44287</v>
      </c>
      <c r="P3" s="38">
        <f>'Global inputs'!P3</f>
        <v>44652</v>
      </c>
      <c r="Q3" s="38">
        <f>'Global inputs'!Q3</f>
        <v>45017</v>
      </c>
      <c r="R3" s="38">
        <f>'Global inputs'!R3</f>
        <v>45383</v>
      </c>
      <c r="S3" s="38">
        <f>Escalators!T3</f>
        <v>45748</v>
      </c>
      <c r="T3" s="38"/>
    </row>
    <row r="4" spans="1:24" s="12" customFormat="1" ht="12" customHeight="1" x14ac:dyDescent="0.2">
      <c r="B4" s="96" t="s">
        <v>43</v>
      </c>
      <c r="C4" s="44"/>
      <c r="D4" s="47"/>
      <c r="E4" s="47"/>
      <c r="F4" s="43"/>
      <c r="G4" s="46"/>
      <c r="H4" s="38">
        <f>'Global inputs'!H4</f>
        <v>42094</v>
      </c>
      <c r="I4" s="38">
        <f>'Global inputs'!I4</f>
        <v>42460</v>
      </c>
      <c r="J4" s="38">
        <f>'Global inputs'!J4</f>
        <v>42825</v>
      </c>
      <c r="K4" s="38">
        <f>'Global inputs'!K4</f>
        <v>43190</v>
      </c>
      <c r="L4" s="38">
        <f>'Global inputs'!L4</f>
        <v>43555</v>
      </c>
      <c r="M4" s="38">
        <f>'Global inputs'!M4</f>
        <v>43921</v>
      </c>
      <c r="N4" s="38">
        <f>'Global inputs'!N4</f>
        <v>44286</v>
      </c>
      <c r="O4" s="38">
        <f>'Global inputs'!O4</f>
        <v>44651</v>
      </c>
      <c r="P4" s="38">
        <f>'Global inputs'!P4</f>
        <v>45016</v>
      </c>
      <c r="Q4" s="38">
        <f>'Global inputs'!Q4</f>
        <v>45382</v>
      </c>
      <c r="R4" s="38">
        <f>'Global inputs'!R4</f>
        <v>45747</v>
      </c>
      <c r="S4" s="38">
        <f>Escalators!T4</f>
        <v>46112</v>
      </c>
      <c r="T4" s="38"/>
    </row>
    <row r="5" spans="1:24" s="12" customFormat="1" ht="12" customHeight="1" x14ac:dyDescent="0.2">
      <c r="B5" s="96" t="s">
        <v>44</v>
      </c>
      <c r="C5" s="44"/>
      <c r="D5" s="47"/>
      <c r="E5" s="47"/>
      <c r="F5" s="43"/>
      <c r="G5" s="46"/>
      <c r="H5" s="39" t="str">
        <f>'Global inputs'!H5</f>
        <v>RY15</v>
      </c>
      <c r="I5" s="39" t="str">
        <f>'Global inputs'!I5</f>
        <v>RY16</v>
      </c>
      <c r="J5" s="39" t="str">
        <f>'Global inputs'!J5</f>
        <v>RY17</v>
      </c>
      <c r="K5" s="39" t="str">
        <f>'Global inputs'!K5</f>
        <v>RY18</v>
      </c>
      <c r="L5" s="39" t="str">
        <f>'Global inputs'!L5</f>
        <v>RY19</v>
      </c>
      <c r="M5" s="39" t="str">
        <f>'Global inputs'!M5</f>
        <v>RY20</v>
      </c>
      <c r="N5" s="39" t="str">
        <f>'Global inputs'!N5</f>
        <v>RY21</v>
      </c>
      <c r="O5" s="39" t="str">
        <f>'Global inputs'!O5</f>
        <v>RY22</v>
      </c>
      <c r="P5" s="39" t="str">
        <f>'Global inputs'!P5</f>
        <v>RY23</v>
      </c>
      <c r="Q5" s="39" t="str">
        <f>'Global inputs'!Q5</f>
        <v>RY24</v>
      </c>
      <c r="R5" s="39" t="str">
        <f>'Global inputs'!R5</f>
        <v>RY25</v>
      </c>
      <c r="S5" s="39" t="str">
        <f>Escalators!T5</f>
        <v>RY26</v>
      </c>
      <c r="T5" s="39"/>
    </row>
    <row r="6" spans="1:24" s="12" customFormat="1" ht="12" customHeight="1" x14ac:dyDescent="0.2">
      <c r="B6" s="96" t="s">
        <v>45</v>
      </c>
      <c r="C6" s="44"/>
      <c r="D6" s="47"/>
      <c r="E6" s="47"/>
      <c r="F6" s="43"/>
      <c r="G6" s="46"/>
      <c r="H6" s="40" t="s">
        <v>46</v>
      </c>
      <c r="I6" s="48"/>
      <c r="J6" s="48"/>
      <c r="K6" s="48"/>
      <c r="L6" s="48"/>
      <c r="M6" s="40" t="s">
        <v>47</v>
      </c>
      <c r="N6" s="48"/>
      <c r="O6" s="40" t="s">
        <v>48</v>
      </c>
      <c r="P6" s="48"/>
      <c r="Q6" s="48"/>
      <c r="R6" s="48"/>
      <c r="S6" s="48"/>
      <c r="T6" s="40" t="s">
        <v>49</v>
      </c>
    </row>
    <row r="7" spans="1:24" ht="12" customHeight="1" x14ac:dyDescent="0.2">
      <c r="B7" s="18"/>
      <c r="C7" s="16"/>
      <c r="D7" s="19"/>
      <c r="E7" s="19"/>
      <c r="F7" s="18"/>
      <c r="G7" s="18"/>
      <c r="H7" s="18"/>
      <c r="I7" s="18"/>
      <c r="J7" s="18"/>
      <c r="K7" s="18"/>
      <c r="L7" s="18"/>
      <c r="M7" s="18"/>
      <c r="N7" s="18"/>
      <c r="O7" s="18"/>
      <c r="P7" s="18"/>
      <c r="Q7" s="18"/>
      <c r="R7" s="18"/>
      <c r="S7" s="18"/>
      <c r="T7" s="18"/>
    </row>
    <row r="8" spans="1:24" ht="12" customHeight="1" x14ac:dyDescent="0.2">
      <c r="B8" s="18"/>
      <c r="C8" s="16"/>
      <c r="D8" s="19"/>
      <c r="E8" s="19"/>
      <c r="F8" s="18"/>
      <c r="G8" s="18"/>
      <c r="H8" s="18"/>
      <c r="I8" s="18"/>
      <c r="J8" s="18"/>
      <c r="K8" s="18"/>
      <c r="L8" s="18"/>
      <c r="M8" s="18"/>
      <c r="N8" s="18"/>
      <c r="O8" s="18"/>
      <c r="P8" s="18"/>
      <c r="Q8" s="18"/>
      <c r="R8" s="18"/>
      <c r="S8" s="18"/>
      <c r="T8" s="18"/>
    </row>
    <row r="9" spans="1:24" s="13" customFormat="1" ht="12" customHeight="1" x14ac:dyDescent="0.2">
      <c r="A9" s="15"/>
      <c r="B9" s="49" t="s">
        <v>266</v>
      </c>
      <c r="C9" s="50" t="s">
        <v>51</v>
      </c>
      <c r="D9" s="51" t="s">
        <v>52</v>
      </c>
      <c r="E9" s="50" t="s">
        <v>53</v>
      </c>
      <c r="F9" s="15"/>
      <c r="G9" s="15"/>
      <c r="H9" s="15"/>
      <c r="I9" s="30"/>
      <c r="J9" s="15"/>
      <c r="K9" s="15"/>
      <c r="L9" s="15"/>
      <c r="M9" s="15"/>
      <c r="N9" s="15"/>
      <c r="O9" s="15"/>
      <c r="P9" s="15"/>
      <c r="Q9" s="15"/>
      <c r="R9" s="15"/>
      <c r="S9" s="15"/>
      <c r="T9" s="15"/>
      <c r="U9" s="15"/>
    </row>
    <row r="11" spans="1:24" x14ac:dyDescent="0.2">
      <c r="B11" s="52" t="s">
        <v>267</v>
      </c>
    </row>
    <row r="12" spans="1:24" x14ac:dyDescent="0.2">
      <c r="B12" s="52"/>
    </row>
    <row r="13" spans="1:24" x14ac:dyDescent="0.2">
      <c r="B13" s="13" t="s">
        <v>95</v>
      </c>
      <c r="C13" s="16" t="s">
        <v>250</v>
      </c>
      <c r="H13" s="199">
        <v>7638652.3023087783</v>
      </c>
      <c r="I13" s="199">
        <v>9657395.8519398738</v>
      </c>
      <c r="J13" s="199">
        <v>5465076.9234443931</v>
      </c>
      <c r="K13" s="199">
        <v>8127880.0099999998</v>
      </c>
      <c r="L13" s="199">
        <v>9566150.1618372407</v>
      </c>
      <c r="M13" s="71"/>
      <c r="N13" s="71"/>
      <c r="O13" s="71"/>
      <c r="P13" s="71"/>
      <c r="Q13" s="71"/>
      <c r="R13" s="71"/>
      <c r="S13" s="71"/>
    </row>
    <row r="14" spans="1:24" x14ac:dyDescent="0.2">
      <c r="B14" s="13" t="s">
        <v>268</v>
      </c>
      <c r="C14" s="16" t="s">
        <v>250</v>
      </c>
      <c r="H14" s="199">
        <v>5140759.3922950802</v>
      </c>
      <c r="I14" s="199">
        <v>8213286.5568040274</v>
      </c>
      <c r="J14" s="199">
        <v>250197.14</v>
      </c>
      <c r="K14" s="199">
        <v>1070919.82</v>
      </c>
      <c r="L14" s="199">
        <v>12409917.069999998</v>
      </c>
      <c r="M14" s="71"/>
      <c r="N14" s="71"/>
      <c r="O14" s="71"/>
      <c r="P14" s="71"/>
      <c r="Q14" s="71"/>
      <c r="R14" s="71"/>
      <c r="S14" s="71"/>
    </row>
    <row r="15" spans="1:24" x14ac:dyDescent="0.2">
      <c r="B15" s="13" t="s">
        <v>100</v>
      </c>
      <c r="C15" s="16" t="s">
        <v>250</v>
      </c>
      <c r="H15" s="199">
        <v>5589660.6271758005</v>
      </c>
      <c r="I15" s="199">
        <v>5040097.0013684705</v>
      </c>
      <c r="J15" s="199">
        <v>13289085.373196114</v>
      </c>
      <c r="K15" s="199">
        <v>42947534.742999993</v>
      </c>
      <c r="L15" s="199">
        <v>41531119.809999973</v>
      </c>
      <c r="M15" s="71"/>
      <c r="N15" s="71"/>
      <c r="O15" s="71"/>
      <c r="P15" s="71"/>
      <c r="Q15" s="71"/>
      <c r="R15" s="71"/>
      <c r="S15" s="71"/>
    </row>
    <row r="16" spans="1:24" x14ac:dyDescent="0.2">
      <c r="B16" s="13" t="s">
        <v>269</v>
      </c>
      <c r="C16" s="16" t="s">
        <v>250</v>
      </c>
      <c r="H16" s="199">
        <v>1915008.5228207505</v>
      </c>
      <c r="I16" s="199">
        <v>1871370.1415231838</v>
      </c>
      <c r="J16" s="199">
        <v>1525422.4616618077</v>
      </c>
      <c r="K16" s="199">
        <v>827098.32</v>
      </c>
      <c r="L16" s="199">
        <v>1204668.48</v>
      </c>
      <c r="M16" s="71"/>
      <c r="N16" s="71"/>
      <c r="O16" s="71"/>
      <c r="P16" s="71"/>
      <c r="Q16" s="71"/>
      <c r="R16" s="71"/>
      <c r="S16" s="71"/>
    </row>
    <row r="17" spans="1:21" x14ac:dyDescent="0.2">
      <c r="B17" s="13"/>
      <c r="C17" s="16"/>
      <c r="L17" s="13"/>
      <c r="M17" s="13"/>
      <c r="N17" s="13"/>
      <c r="O17" s="13"/>
      <c r="P17" s="13"/>
      <c r="Q17" s="13"/>
      <c r="R17" s="13"/>
      <c r="S17" s="13"/>
    </row>
    <row r="18" spans="1:21" x14ac:dyDescent="0.2">
      <c r="B18" s="58" t="s">
        <v>270</v>
      </c>
      <c r="C18" s="16"/>
      <c r="H18" s="13"/>
      <c r="L18" s="13"/>
      <c r="M18" s="13"/>
      <c r="N18" s="13"/>
      <c r="O18" s="13"/>
      <c r="P18" s="13"/>
      <c r="Q18" s="13"/>
      <c r="R18" s="13"/>
      <c r="S18" s="13"/>
    </row>
    <row r="19" spans="1:21" x14ac:dyDescent="0.2">
      <c r="B19" s="13" t="s">
        <v>97</v>
      </c>
      <c r="C19" s="16" t="s">
        <v>250</v>
      </c>
      <c r="H19" s="199">
        <v>1148755.2891803277</v>
      </c>
      <c r="I19" s="199">
        <v>1534965.1897227708</v>
      </c>
      <c r="J19" s="199">
        <v>960142.6399999999</v>
      </c>
      <c r="K19" s="199">
        <v>0</v>
      </c>
      <c r="L19" s="199">
        <v>0</v>
      </c>
      <c r="M19" s="71"/>
      <c r="N19" s="71"/>
      <c r="O19" s="71"/>
      <c r="P19" s="71"/>
      <c r="Q19" s="71"/>
      <c r="R19" s="71"/>
      <c r="S19" s="71"/>
    </row>
    <row r="20" spans="1:21" x14ac:dyDescent="0.2">
      <c r="B20" s="13" t="s">
        <v>121</v>
      </c>
      <c r="C20" s="16" t="s">
        <v>250</v>
      </c>
      <c r="H20" s="199">
        <v>0</v>
      </c>
      <c r="I20" s="199">
        <v>0</v>
      </c>
      <c r="J20" s="199">
        <v>0</v>
      </c>
      <c r="K20" s="199">
        <v>0</v>
      </c>
      <c r="L20" s="199">
        <v>0</v>
      </c>
      <c r="M20" s="71"/>
      <c r="N20" s="71"/>
      <c r="O20" s="71"/>
      <c r="P20" s="71"/>
      <c r="Q20" s="71"/>
      <c r="R20" s="71"/>
      <c r="S20" s="71"/>
      <c r="T20" s="13"/>
    </row>
    <row r="21" spans="1:21" x14ac:dyDescent="0.2">
      <c r="B21" s="13" t="s">
        <v>271</v>
      </c>
      <c r="C21" s="16" t="s">
        <v>250</v>
      </c>
      <c r="H21" s="200">
        <v>299613.43000000005</v>
      </c>
      <c r="I21" s="200">
        <v>229779.29246147443</v>
      </c>
      <c r="J21" s="200">
        <v>603377.44999999984</v>
      </c>
      <c r="K21" s="200">
        <v>1355089.19</v>
      </c>
      <c r="L21" s="200">
        <v>1658102.6299999997</v>
      </c>
      <c r="M21" s="71"/>
      <c r="N21" s="71"/>
      <c r="O21" s="71"/>
      <c r="P21" s="71"/>
      <c r="Q21" s="71"/>
      <c r="R21" s="71"/>
      <c r="S21" s="71"/>
    </row>
    <row r="22" spans="1:21" x14ac:dyDescent="0.2">
      <c r="A22" s="12"/>
      <c r="B22" s="58" t="s">
        <v>272</v>
      </c>
      <c r="C22" s="66" t="s">
        <v>250</v>
      </c>
      <c r="D22" s="12"/>
      <c r="E22" s="12"/>
      <c r="F22" s="12"/>
      <c r="G22" s="12"/>
      <c r="H22" s="233">
        <f>SUM(H19:H21)</f>
        <v>1448368.7191803278</v>
      </c>
      <c r="I22" s="233">
        <f>SUM(I19:I21)</f>
        <v>1764744.4821842453</v>
      </c>
      <c r="J22" s="233">
        <f>SUM(J19:J21)</f>
        <v>1563520.0899999999</v>
      </c>
      <c r="K22" s="233">
        <f>SUM(K19:K21)</f>
        <v>1355089.19</v>
      </c>
      <c r="L22" s="233">
        <f>SUM(L19:L21)</f>
        <v>1658102.6299999997</v>
      </c>
      <c r="M22" s="90"/>
      <c r="N22" s="90"/>
      <c r="O22" s="90"/>
      <c r="P22" s="90"/>
      <c r="Q22" s="90"/>
      <c r="R22" s="90"/>
      <c r="S22" s="90"/>
      <c r="T22" s="12"/>
      <c r="U22" s="12"/>
    </row>
    <row r="23" spans="1:21" x14ac:dyDescent="0.2">
      <c r="B23" s="13"/>
      <c r="C23" s="66"/>
      <c r="H23" s="232"/>
      <c r="I23" s="234"/>
      <c r="J23" s="232"/>
      <c r="K23" s="232"/>
      <c r="L23" s="229"/>
      <c r="M23" s="13"/>
      <c r="N23" s="13"/>
      <c r="O23" s="13"/>
      <c r="P23" s="13"/>
      <c r="Q23" s="13"/>
      <c r="R23" s="13"/>
      <c r="S23" s="13"/>
    </row>
    <row r="24" spans="1:21" s="12" customFormat="1" x14ac:dyDescent="0.2">
      <c r="B24" s="58" t="s">
        <v>273</v>
      </c>
      <c r="C24" s="66" t="s">
        <v>250</v>
      </c>
      <c r="H24" s="235">
        <f>SUM(H13:H16,H22)</f>
        <v>21732449.56378074</v>
      </c>
      <c r="I24" s="235">
        <f>SUM(I13:I16,I22)</f>
        <v>26546894.033819802</v>
      </c>
      <c r="J24" s="235">
        <f>SUM(J13:J16,J22)</f>
        <v>22093301.988302317</v>
      </c>
      <c r="K24" s="235">
        <f>SUM(K13:K16,K22)</f>
        <v>54328522.082999989</v>
      </c>
      <c r="L24" s="235">
        <f>SUM(L13:L16,L22)</f>
        <v>66369958.151837215</v>
      </c>
      <c r="M24" s="67"/>
      <c r="N24" s="67"/>
      <c r="O24" s="67"/>
      <c r="P24" s="67"/>
      <c r="Q24" s="67"/>
      <c r="R24" s="67"/>
      <c r="S24" s="67"/>
    </row>
    <row r="25" spans="1:21" x14ac:dyDescent="0.2">
      <c r="B25" s="13"/>
      <c r="C25" s="16"/>
      <c r="L25" s="13"/>
      <c r="M25" s="13"/>
      <c r="N25" s="13"/>
      <c r="O25" s="13"/>
      <c r="P25" s="13"/>
      <c r="Q25" s="13"/>
      <c r="R25" s="13"/>
      <c r="S25" s="13"/>
    </row>
    <row r="26" spans="1:21" x14ac:dyDescent="0.2">
      <c r="B26" s="13" t="s">
        <v>274</v>
      </c>
      <c r="C26" s="16" t="s">
        <v>250</v>
      </c>
      <c r="H26" s="199">
        <v>0</v>
      </c>
      <c r="I26" s="199">
        <v>0</v>
      </c>
      <c r="J26" s="199">
        <v>0</v>
      </c>
      <c r="K26" s="199">
        <v>921986.34999999963</v>
      </c>
      <c r="L26" s="199">
        <v>509682.43999999971</v>
      </c>
      <c r="M26" s="71"/>
      <c r="N26" s="71"/>
      <c r="O26" s="71"/>
      <c r="P26" s="71"/>
      <c r="Q26" s="71"/>
      <c r="R26" s="71"/>
      <c r="S26" s="71"/>
    </row>
    <row r="27" spans="1:21" s="58" customFormat="1" ht="12" customHeight="1" x14ac:dyDescent="0.2">
      <c r="A27" s="12"/>
      <c r="B27" s="58" t="s">
        <v>275</v>
      </c>
      <c r="C27" s="66" t="s">
        <v>250</v>
      </c>
      <c r="D27" s="12"/>
      <c r="E27" s="12"/>
      <c r="F27" s="12"/>
      <c r="G27" s="12"/>
      <c r="H27" s="235">
        <f>H24+H26</f>
        <v>21732449.56378074</v>
      </c>
      <c r="I27" s="235">
        <f>I24+I26</f>
        <v>26546894.033819802</v>
      </c>
      <c r="J27" s="235">
        <f>J24+J26</f>
        <v>22093301.988302317</v>
      </c>
      <c r="K27" s="235">
        <f>K24+K26</f>
        <v>55250508.432999991</v>
      </c>
      <c r="L27" s="235">
        <f>L24+L26</f>
        <v>66879640.591837212</v>
      </c>
      <c r="M27" s="67"/>
      <c r="N27" s="67"/>
      <c r="O27" s="67"/>
      <c r="P27" s="67"/>
      <c r="Q27" s="67"/>
      <c r="R27" s="67"/>
      <c r="S27" s="67"/>
      <c r="T27" s="12"/>
      <c r="U27" s="12"/>
    </row>
    <row r="28" spans="1:21" s="58" customFormat="1" ht="12" customHeight="1" x14ac:dyDescent="0.2">
      <c r="A28" s="12"/>
      <c r="B28" s="81" t="s">
        <v>276</v>
      </c>
      <c r="C28" s="66"/>
      <c r="D28" s="12"/>
      <c r="E28" s="12"/>
      <c r="F28" s="12"/>
      <c r="G28" s="12"/>
      <c r="H28" s="142"/>
      <c r="I28" s="142"/>
      <c r="J28" s="142"/>
      <c r="K28" s="142"/>
      <c r="L28" s="142"/>
      <c r="M28" s="67"/>
      <c r="N28" s="67"/>
      <c r="O28" s="67"/>
      <c r="P28" s="67"/>
      <c r="Q28" s="67"/>
      <c r="R28" s="67"/>
      <c r="S28" s="67"/>
      <c r="T28" s="12"/>
      <c r="U28" s="12"/>
    </row>
    <row r="29" spans="1:21" x14ac:dyDescent="0.2">
      <c r="A29" s="12"/>
      <c r="B29" s="12"/>
      <c r="C29" s="66"/>
      <c r="D29" s="12"/>
      <c r="E29" s="12"/>
      <c r="F29" s="12"/>
      <c r="G29" s="12"/>
      <c r="H29" s="12"/>
      <c r="I29" s="78"/>
      <c r="J29" s="12"/>
      <c r="K29" s="12"/>
      <c r="L29" s="58"/>
      <c r="M29" s="67"/>
      <c r="N29" s="67"/>
      <c r="O29" s="67"/>
      <c r="P29" s="67"/>
      <c r="Q29" s="67"/>
      <c r="R29" s="67"/>
      <c r="S29" s="67"/>
      <c r="T29" s="12"/>
      <c r="U29" s="12"/>
    </row>
    <row r="30" spans="1:21" x14ac:dyDescent="0.2">
      <c r="B30" s="49" t="s">
        <v>277</v>
      </c>
      <c r="C30" s="50" t="s">
        <v>51</v>
      </c>
      <c r="D30" s="51" t="s">
        <v>52</v>
      </c>
      <c r="E30" s="50" t="s">
        <v>53</v>
      </c>
      <c r="F30" s="18"/>
      <c r="G30" s="20"/>
      <c r="H30" s="20"/>
      <c r="I30" s="20"/>
      <c r="J30" s="20"/>
      <c r="K30" s="18"/>
      <c r="L30" s="18"/>
      <c r="M30" s="18"/>
      <c r="N30" s="18"/>
      <c r="O30" s="18"/>
      <c r="P30" s="18"/>
      <c r="Q30" s="18"/>
      <c r="R30" s="18"/>
      <c r="S30" s="18"/>
      <c r="T30" s="18"/>
      <c r="U30" s="13"/>
    </row>
    <row r="31" spans="1:21" s="13" customFormat="1" x14ac:dyDescent="0.2">
      <c r="B31" s="144"/>
      <c r="C31" s="145"/>
      <c r="D31" s="146"/>
      <c r="E31" s="145"/>
      <c r="F31" s="18"/>
      <c r="G31" s="20"/>
      <c r="H31" s="20"/>
      <c r="I31" s="20"/>
      <c r="J31" s="20"/>
      <c r="K31" s="18"/>
      <c r="L31" s="18"/>
      <c r="M31" s="18"/>
      <c r="N31" s="18"/>
      <c r="O31" s="18"/>
      <c r="P31" s="18"/>
      <c r="Q31" s="18"/>
      <c r="R31" s="18"/>
      <c r="S31" s="18"/>
      <c r="T31" s="18"/>
    </row>
    <row r="32" spans="1:21" x14ac:dyDescent="0.2">
      <c r="B32" s="52" t="s">
        <v>278</v>
      </c>
    </row>
    <row r="33" spans="1:21" x14ac:dyDescent="0.2">
      <c r="B33" s="52"/>
    </row>
    <row r="34" spans="1:21" x14ac:dyDescent="0.2">
      <c r="B34" s="13" t="s">
        <v>279</v>
      </c>
      <c r="C34" s="16" t="s">
        <v>250</v>
      </c>
      <c r="L34" s="199">
        <v>15582562.84</v>
      </c>
    </row>
    <row r="35" spans="1:21" x14ac:dyDescent="0.2">
      <c r="B35" s="13" t="s">
        <v>280</v>
      </c>
      <c r="C35" s="16" t="s">
        <v>250</v>
      </c>
      <c r="M35" s="155">
        <f>M51</f>
        <v>11092936.890000001</v>
      </c>
      <c r="N35" s="155">
        <f>N51</f>
        <v>4489626.3899999997</v>
      </c>
    </row>
    <row r="36" spans="1:21" x14ac:dyDescent="0.2">
      <c r="B36" s="13" t="s">
        <v>281</v>
      </c>
      <c r="C36" s="16" t="s">
        <v>250</v>
      </c>
      <c r="M36" s="147">
        <f>M98</f>
        <v>0</v>
      </c>
      <c r="N36" s="147">
        <f>N98</f>
        <v>0</v>
      </c>
    </row>
    <row r="37" spans="1:21" s="58" customFormat="1" ht="12" customHeight="1" x14ac:dyDescent="0.2">
      <c r="A37" s="12"/>
      <c r="B37" s="81" t="s">
        <v>282</v>
      </c>
      <c r="C37" s="66"/>
      <c r="D37" s="12"/>
      <c r="E37" s="12"/>
      <c r="F37" s="12"/>
      <c r="G37" s="12"/>
      <c r="H37" s="142"/>
      <c r="I37" s="142"/>
      <c r="J37" s="142"/>
      <c r="K37" s="142"/>
      <c r="L37" s="142"/>
      <c r="M37" s="67"/>
      <c r="N37" s="67"/>
      <c r="O37" s="67"/>
      <c r="P37" s="67"/>
      <c r="Q37" s="67"/>
      <c r="R37" s="67"/>
      <c r="S37" s="67"/>
      <c r="T37" s="12"/>
      <c r="U37" s="12"/>
    </row>
    <row r="38" spans="1:21" x14ac:dyDescent="0.2">
      <c r="B38" s="52"/>
    </row>
    <row r="39" spans="1:21" outlineLevel="1" x14ac:dyDescent="0.2">
      <c r="B39" s="144"/>
      <c r="C39" s="145"/>
      <c r="D39" s="146"/>
      <c r="E39" s="145"/>
      <c r="F39" s="18"/>
      <c r="G39" s="20"/>
      <c r="H39" s="20"/>
      <c r="I39" s="20"/>
      <c r="J39" s="20"/>
      <c r="K39" s="18"/>
      <c r="L39" s="18"/>
      <c r="M39" s="18"/>
      <c r="N39" s="18"/>
      <c r="O39" s="18"/>
      <c r="P39" s="18"/>
      <c r="Q39" s="18"/>
      <c r="R39" s="18"/>
      <c r="S39" s="18"/>
      <c r="T39" s="18"/>
      <c r="U39" s="13"/>
    </row>
    <row r="40" spans="1:21" outlineLevel="1" x14ac:dyDescent="0.2">
      <c r="B40" s="52" t="s">
        <v>283</v>
      </c>
      <c r="C40" s="145" t="s">
        <v>51</v>
      </c>
      <c r="D40" s="146" t="s">
        <v>52</v>
      </c>
      <c r="E40" s="145" t="s">
        <v>53</v>
      </c>
      <c r="F40" s="18"/>
      <c r="G40" s="20"/>
      <c r="H40" s="20"/>
      <c r="I40" s="20"/>
      <c r="J40" s="20"/>
      <c r="K40" s="18"/>
      <c r="L40" s="18"/>
      <c r="M40" s="18"/>
      <c r="N40" s="18"/>
      <c r="O40" s="18"/>
      <c r="P40" s="18"/>
      <c r="Q40" s="18"/>
      <c r="R40" s="18"/>
      <c r="S40" s="18"/>
      <c r="T40" s="18"/>
      <c r="U40" s="13"/>
    </row>
    <row r="41" spans="1:21" outlineLevel="1" x14ac:dyDescent="0.2">
      <c r="B41" s="13"/>
      <c r="C41" s="13"/>
      <c r="D41" s="13"/>
      <c r="E41" s="13"/>
      <c r="K41" s="31"/>
      <c r="L41" s="31"/>
      <c r="M41" s="31"/>
      <c r="N41" s="31"/>
      <c r="O41" s="31"/>
      <c r="P41" s="31"/>
      <c r="Q41" s="31"/>
      <c r="R41" s="31"/>
      <c r="S41" s="31"/>
      <c r="T41" s="18"/>
    </row>
    <row r="42" spans="1:21" outlineLevel="1" x14ac:dyDescent="0.2">
      <c r="B42" s="29" t="s">
        <v>284</v>
      </c>
      <c r="C42" s="16" t="s">
        <v>250</v>
      </c>
      <c r="D42" s="29"/>
      <c r="E42" s="29"/>
      <c r="H42" s="201"/>
      <c r="I42" s="201"/>
      <c r="J42" s="201"/>
      <c r="K42" s="201"/>
      <c r="L42" s="201"/>
      <c r="M42" s="202">
        <v>130258.37199999997</v>
      </c>
      <c r="N42" s="202">
        <v>0</v>
      </c>
      <c r="O42" s="202">
        <v>0</v>
      </c>
      <c r="P42" s="202">
        <v>0</v>
      </c>
      <c r="Q42" s="202">
        <v>0</v>
      </c>
      <c r="R42" s="202">
        <v>0</v>
      </c>
      <c r="S42" s="202">
        <v>0</v>
      </c>
      <c r="T42" s="13"/>
    </row>
    <row r="43" spans="1:21" outlineLevel="1" x14ac:dyDescent="0.2">
      <c r="B43" s="29" t="s">
        <v>285</v>
      </c>
      <c r="C43" s="16" t="s">
        <v>250</v>
      </c>
      <c r="D43" s="29"/>
      <c r="E43" s="29"/>
      <c r="H43" s="201"/>
      <c r="I43" s="201"/>
      <c r="J43" s="201"/>
      <c r="K43" s="201"/>
      <c r="L43" s="201"/>
      <c r="M43" s="202">
        <v>0</v>
      </c>
      <c r="N43" s="202">
        <v>3470132.4499999997</v>
      </c>
      <c r="O43" s="202">
        <v>0</v>
      </c>
      <c r="P43" s="202">
        <v>0</v>
      </c>
      <c r="Q43" s="202">
        <v>0</v>
      </c>
      <c r="R43" s="202">
        <v>0</v>
      </c>
      <c r="S43" s="202">
        <v>0</v>
      </c>
      <c r="T43" s="13"/>
    </row>
    <row r="44" spans="1:21" outlineLevel="1" x14ac:dyDescent="0.2">
      <c r="B44" s="29" t="s">
        <v>286</v>
      </c>
      <c r="C44" s="16" t="s">
        <v>250</v>
      </c>
      <c r="D44" s="29"/>
      <c r="E44" s="29"/>
      <c r="H44" s="201"/>
      <c r="I44" s="201"/>
      <c r="J44" s="201"/>
      <c r="K44" s="201"/>
      <c r="L44" s="201"/>
      <c r="M44" s="202">
        <v>0</v>
      </c>
      <c r="N44" s="202">
        <v>0</v>
      </c>
      <c r="O44" s="202">
        <v>0</v>
      </c>
      <c r="P44" s="202">
        <v>0</v>
      </c>
      <c r="Q44" s="202">
        <v>0</v>
      </c>
      <c r="R44" s="202">
        <v>0</v>
      </c>
      <c r="S44" s="202">
        <v>0</v>
      </c>
    </row>
    <row r="45" spans="1:21" outlineLevel="1" x14ac:dyDescent="0.2">
      <c r="B45" s="29" t="s">
        <v>287</v>
      </c>
      <c r="C45" s="16" t="s">
        <v>250</v>
      </c>
      <c r="D45" s="29"/>
      <c r="E45" s="29"/>
      <c r="H45" s="201"/>
      <c r="I45" s="201"/>
      <c r="J45" s="201"/>
      <c r="K45" s="201"/>
      <c r="L45" s="201"/>
      <c r="M45" s="202">
        <v>3126200.9279999998</v>
      </c>
      <c r="N45" s="202">
        <v>1019493.94</v>
      </c>
      <c r="O45" s="202">
        <v>0</v>
      </c>
      <c r="P45" s="202">
        <v>0</v>
      </c>
      <c r="Q45" s="202">
        <v>0</v>
      </c>
      <c r="R45" s="202">
        <v>0</v>
      </c>
      <c r="S45" s="202">
        <v>0</v>
      </c>
    </row>
    <row r="46" spans="1:21" outlineLevel="1" x14ac:dyDescent="0.2">
      <c r="B46" s="29" t="s">
        <v>288</v>
      </c>
      <c r="C46" s="16" t="s">
        <v>250</v>
      </c>
      <c r="D46" s="29"/>
      <c r="E46" s="29"/>
      <c r="H46" s="201"/>
      <c r="I46" s="201"/>
      <c r="J46" s="201"/>
      <c r="K46" s="201"/>
      <c r="L46" s="201"/>
      <c r="M46" s="202">
        <v>0</v>
      </c>
      <c r="N46" s="202">
        <v>0</v>
      </c>
      <c r="O46" s="202">
        <v>0</v>
      </c>
      <c r="P46" s="202">
        <v>0</v>
      </c>
      <c r="Q46" s="202">
        <v>0</v>
      </c>
      <c r="R46" s="202">
        <v>0</v>
      </c>
      <c r="S46" s="202">
        <v>0</v>
      </c>
    </row>
    <row r="47" spans="1:21" outlineLevel="1" x14ac:dyDescent="0.2">
      <c r="B47" s="29" t="s">
        <v>289</v>
      </c>
      <c r="C47" s="16" t="s">
        <v>250</v>
      </c>
      <c r="D47" s="29"/>
      <c r="E47" s="29"/>
      <c r="H47" s="201"/>
      <c r="I47" s="201"/>
      <c r="J47" s="201"/>
      <c r="K47" s="201"/>
      <c r="L47" s="201"/>
      <c r="M47" s="202">
        <v>0</v>
      </c>
      <c r="N47" s="202">
        <v>0</v>
      </c>
      <c r="O47" s="202">
        <v>0</v>
      </c>
      <c r="P47" s="202">
        <v>0</v>
      </c>
      <c r="Q47" s="202">
        <v>0</v>
      </c>
      <c r="R47" s="202">
        <v>0</v>
      </c>
      <c r="S47" s="202">
        <v>0</v>
      </c>
    </row>
    <row r="48" spans="1:21" outlineLevel="1" x14ac:dyDescent="0.2">
      <c r="B48" s="29" t="s">
        <v>290</v>
      </c>
      <c r="C48" s="16" t="s">
        <v>250</v>
      </c>
      <c r="D48" s="29"/>
      <c r="E48" s="29"/>
      <c r="H48" s="201"/>
      <c r="I48" s="201"/>
      <c r="J48" s="201"/>
      <c r="K48" s="201"/>
      <c r="L48" s="201"/>
      <c r="M48" s="202">
        <v>0</v>
      </c>
      <c r="N48" s="202">
        <v>0</v>
      </c>
      <c r="O48" s="202">
        <v>0</v>
      </c>
      <c r="P48" s="202">
        <v>0</v>
      </c>
      <c r="Q48" s="202">
        <v>0</v>
      </c>
      <c r="R48" s="202">
        <v>0</v>
      </c>
      <c r="S48" s="202">
        <v>0</v>
      </c>
    </row>
    <row r="49" spans="1:21" outlineLevel="1" x14ac:dyDescent="0.2">
      <c r="B49" s="29" t="s">
        <v>291</v>
      </c>
      <c r="C49" s="16" t="s">
        <v>250</v>
      </c>
      <c r="D49" s="29"/>
      <c r="E49" s="29"/>
      <c r="H49" s="201"/>
      <c r="I49" s="201"/>
      <c r="J49" s="201"/>
      <c r="K49" s="201"/>
      <c r="L49" s="201"/>
      <c r="M49" s="202">
        <v>7836477.5899999999</v>
      </c>
      <c r="N49" s="202">
        <v>0</v>
      </c>
      <c r="O49" s="202">
        <v>0</v>
      </c>
      <c r="P49" s="202">
        <v>0</v>
      </c>
      <c r="Q49" s="202">
        <v>0</v>
      </c>
      <c r="R49" s="202">
        <v>0</v>
      </c>
      <c r="S49" s="202">
        <v>0</v>
      </c>
    </row>
    <row r="50" spans="1:21" outlineLevel="1" x14ac:dyDescent="0.2">
      <c r="B50" s="29" t="s">
        <v>292</v>
      </c>
      <c r="C50" s="16" t="s">
        <v>250</v>
      </c>
      <c r="D50" s="29"/>
      <c r="E50" s="29"/>
      <c r="H50" s="201"/>
      <c r="I50" s="201"/>
      <c r="J50" s="201"/>
      <c r="K50" s="201"/>
      <c r="L50" s="201"/>
      <c r="M50" s="202">
        <v>0</v>
      </c>
      <c r="N50" s="202">
        <v>0</v>
      </c>
      <c r="O50" s="202">
        <v>0</v>
      </c>
      <c r="P50" s="202">
        <v>0</v>
      </c>
      <c r="Q50" s="202">
        <v>0</v>
      </c>
      <c r="R50" s="202">
        <v>0</v>
      </c>
      <c r="S50" s="202">
        <v>0</v>
      </c>
    </row>
    <row r="51" spans="1:21" outlineLevel="1" x14ac:dyDescent="0.2">
      <c r="B51" s="58" t="s">
        <v>49</v>
      </c>
      <c r="C51" s="66" t="s">
        <v>250</v>
      </c>
      <c r="D51" s="58"/>
      <c r="E51" s="58"/>
      <c r="F51" s="12"/>
      <c r="G51" s="12"/>
      <c r="H51" s="12"/>
      <c r="I51" s="12"/>
      <c r="J51" s="12"/>
      <c r="K51" s="12"/>
      <c r="L51" s="12"/>
      <c r="M51" s="236">
        <f t="shared" ref="M51:S51" si="0">SUM(M42:M50)</f>
        <v>11092936.890000001</v>
      </c>
      <c r="N51" s="236">
        <f t="shared" si="0"/>
        <v>4489626.3899999997</v>
      </c>
      <c r="O51" s="236">
        <f t="shared" si="0"/>
        <v>0</v>
      </c>
      <c r="P51" s="236">
        <f t="shared" si="0"/>
        <v>0</v>
      </c>
      <c r="Q51" s="236">
        <f t="shared" si="0"/>
        <v>0</v>
      </c>
      <c r="R51" s="236">
        <f t="shared" si="0"/>
        <v>0</v>
      </c>
      <c r="S51" s="236">
        <f t="shared" si="0"/>
        <v>0</v>
      </c>
    </row>
    <row r="52" spans="1:21" outlineLevel="1" x14ac:dyDescent="0.2">
      <c r="B52" s="81"/>
      <c r="C52" s="66"/>
      <c r="D52" s="58"/>
      <c r="E52" s="58"/>
      <c r="F52" s="12"/>
      <c r="G52" s="12"/>
      <c r="H52" s="12"/>
      <c r="I52" s="12"/>
      <c r="J52" s="12"/>
      <c r="K52" s="12"/>
      <c r="L52" s="12"/>
      <c r="M52" s="67"/>
      <c r="N52" s="67"/>
      <c r="O52" s="67"/>
      <c r="P52" s="67"/>
      <c r="Q52" s="67"/>
      <c r="R52" s="67"/>
      <c r="S52" s="67"/>
    </row>
    <row r="53" spans="1:21" outlineLevel="1" x14ac:dyDescent="0.2">
      <c r="B53" s="52" t="s">
        <v>293</v>
      </c>
      <c r="C53" s="145"/>
      <c r="D53" s="146"/>
      <c r="E53" s="145"/>
      <c r="F53" s="18"/>
      <c r="G53" s="20"/>
      <c r="H53" s="20"/>
      <c r="I53" s="20"/>
      <c r="J53" s="20"/>
      <c r="K53" s="18"/>
      <c r="L53" s="18"/>
      <c r="M53" s="18"/>
      <c r="N53" s="18"/>
      <c r="O53" s="18"/>
      <c r="P53" s="18"/>
      <c r="Q53" s="18"/>
      <c r="R53" s="18"/>
      <c r="S53" s="18"/>
      <c r="T53" s="18"/>
      <c r="U53" s="13"/>
    </row>
    <row r="54" spans="1:21" outlineLevel="1" x14ac:dyDescent="0.2">
      <c r="B54" s="13"/>
      <c r="C54" s="13"/>
      <c r="D54" s="13"/>
      <c r="E54" s="13"/>
      <c r="K54" s="31"/>
      <c r="L54" s="31"/>
      <c r="M54" s="31"/>
      <c r="N54" s="31"/>
      <c r="O54" s="31"/>
      <c r="P54" s="31"/>
      <c r="Q54" s="31"/>
      <c r="R54" s="31"/>
      <c r="S54" s="31"/>
      <c r="T54" s="18"/>
    </row>
    <row r="55" spans="1:21" outlineLevel="1" x14ac:dyDescent="0.2">
      <c r="B55" s="136">
        <v>0</v>
      </c>
      <c r="C55" s="16" t="s">
        <v>250</v>
      </c>
      <c r="D55" s="13"/>
      <c r="E55" s="13"/>
      <c r="H55" s="134"/>
      <c r="I55" s="15"/>
      <c r="M55" s="156">
        <v>0</v>
      </c>
      <c r="N55" s="156">
        <v>0</v>
      </c>
      <c r="O55" s="156">
        <v>0</v>
      </c>
      <c r="P55" s="156">
        <v>0</v>
      </c>
      <c r="Q55" s="156">
        <v>0</v>
      </c>
      <c r="R55" s="156">
        <v>0</v>
      </c>
      <c r="S55" s="156">
        <v>0</v>
      </c>
    </row>
    <row r="56" spans="1:21" outlineLevel="1" x14ac:dyDescent="0.2">
      <c r="B56" s="136">
        <v>0.08</v>
      </c>
      <c r="C56" s="16" t="s">
        <v>250</v>
      </c>
      <c r="D56" s="13"/>
      <c r="E56" s="13"/>
      <c r="H56" s="134"/>
      <c r="I56" s="15"/>
      <c r="M56" s="156">
        <f>SUM(M42:M50)</f>
        <v>11092936.890000001</v>
      </c>
      <c r="N56" s="156">
        <f t="shared" ref="N56:S56" si="1">SUM(N42:N50)</f>
        <v>4489626.3899999997</v>
      </c>
      <c r="O56" s="156">
        <f t="shared" si="1"/>
        <v>0</v>
      </c>
      <c r="P56" s="156">
        <f t="shared" si="1"/>
        <v>0</v>
      </c>
      <c r="Q56" s="156">
        <f t="shared" si="1"/>
        <v>0</v>
      </c>
      <c r="R56" s="156">
        <f t="shared" si="1"/>
        <v>0</v>
      </c>
      <c r="S56" s="156">
        <f t="shared" si="1"/>
        <v>0</v>
      </c>
    </row>
    <row r="57" spans="1:21" s="12" customFormat="1" outlineLevel="1" x14ac:dyDescent="0.2">
      <c r="A57" s="15"/>
      <c r="B57" s="136">
        <v>0.1</v>
      </c>
      <c r="C57" s="16" t="s">
        <v>250</v>
      </c>
      <c r="D57" s="13"/>
      <c r="E57" s="13"/>
      <c r="F57" s="15"/>
      <c r="G57" s="15"/>
      <c r="H57" s="134"/>
      <c r="I57" s="15"/>
      <c r="J57" s="15"/>
      <c r="K57" s="15"/>
      <c r="L57" s="15"/>
      <c r="M57" s="156">
        <v>0</v>
      </c>
      <c r="N57" s="156">
        <v>0</v>
      </c>
      <c r="O57" s="156">
        <v>0</v>
      </c>
      <c r="P57" s="156">
        <v>0</v>
      </c>
      <c r="Q57" s="156">
        <v>0</v>
      </c>
      <c r="R57" s="156">
        <v>0</v>
      </c>
      <c r="S57" s="156">
        <v>0</v>
      </c>
      <c r="T57" s="15"/>
      <c r="U57" s="15"/>
    </row>
    <row r="58" spans="1:21" outlineLevel="1" x14ac:dyDescent="0.2">
      <c r="B58" s="136">
        <v>0.13</v>
      </c>
      <c r="C58" s="16" t="s">
        <v>250</v>
      </c>
      <c r="D58" s="13"/>
      <c r="E58" s="13"/>
      <c r="H58" s="134"/>
      <c r="I58" s="15"/>
      <c r="M58" s="156">
        <v>0</v>
      </c>
      <c r="N58" s="156">
        <v>0</v>
      </c>
      <c r="O58" s="156">
        <v>0</v>
      </c>
      <c r="P58" s="156">
        <v>0</v>
      </c>
      <c r="Q58" s="156">
        <v>0</v>
      </c>
      <c r="R58" s="156">
        <v>0</v>
      </c>
      <c r="S58" s="156">
        <v>0</v>
      </c>
    </row>
    <row r="59" spans="1:21" s="12" customFormat="1" outlineLevel="1" x14ac:dyDescent="0.2">
      <c r="A59" s="15"/>
      <c r="B59" s="136">
        <v>0.2</v>
      </c>
      <c r="C59" s="16" t="s">
        <v>250</v>
      </c>
      <c r="D59" s="13"/>
      <c r="E59" s="13"/>
      <c r="F59" s="15"/>
      <c r="G59" s="15"/>
      <c r="H59" s="134"/>
      <c r="I59" s="15"/>
      <c r="J59" s="15"/>
      <c r="K59" s="15"/>
      <c r="L59" s="15"/>
      <c r="M59" s="156">
        <v>0</v>
      </c>
      <c r="N59" s="156">
        <v>0</v>
      </c>
      <c r="O59" s="156">
        <v>0</v>
      </c>
      <c r="P59" s="156">
        <v>0</v>
      </c>
      <c r="Q59" s="156">
        <v>0</v>
      </c>
      <c r="R59" s="156">
        <v>0</v>
      </c>
      <c r="S59" s="156">
        <v>0</v>
      </c>
      <c r="T59" s="15"/>
      <c r="U59" s="15"/>
    </row>
    <row r="60" spans="1:21" outlineLevel="1" x14ac:dyDescent="0.2">
      <c r="B60" s="136">
        <v>0.5</v>
      </c>
      <c r="C60" s="16" t="s">
        <v>250</v>
      </c>
      <c r="D60" s="13"/>
      <c r="E60" s="13"/>
      <c r="H60" s="134"/>
      <c r="I60" s="15"/>
      <c r="M60" s="156">
        <v>0</v>
      </c>
      <c r="N60" s="156">
        <v>0</v>
      </c>
      <c r="O60" s="156">
        <v>0</v>
      </c>
      <c r="P60" s="156">
        <v>0</v>
      </c>
      <c r="Q60" s="156">
        <v>0</v>
      </c>
      <c r="R60" s="156">
        <v>0</v>
      </c>
      <c r="S60" s="156">
        <v>0</v>
      </c>
    </row>
    <row r="61" spans="1:21" outlineLevel="1" x14ac:dyDescent="0.2">
      <c r="B61" s="136">
        <v>1</v>
      </c>
      <c r="C61" s="16" t="s">
        <v>250</v>
      </c>
      <c r="D61" s="13"/>
      <c r="E61" s="13"/>
      <c r="H61" s="134"/>
      <c r="I61" s="15"/>
      <c r="M61" s="156">
        <v>0</v>
      </c>
      <c r="N61" s="156">
        <v>0</v>
      </c>
      <c r="O61" s="156">
        <v>0</v>
      </c>
      <c r="P61" s="156">
        <v>0</v>
      </c>
      <c r="Q61" s="156">
        <v>0</v>
      </c>
      <c r="R61" s="156">
        <v>0</v>
      </c>
      <c r="S61" s="156">
        <v>0</v>
      </c>
    </row>
    <row r="62" spans="1:21" outlineLevel="1" x14ac:dyDescent="0.2">
      <c r="B62" s="58" t="s">
        <v>49</v>
      </c>
      <c r="C62" s="66" t="s">
        <v>250</v>
      </c>
      <c r="D62" s="58"/>
      <c r="E62" s="58"/>
      <c r="F62" s="12"/>
      <c r="G62" s="12"/>
      <c r="I62" s="12"/>
      <c r="J62" s="12"/>
      <c r="K62" s="12"/>
      <c r="L62" s="12"/>
      <c r="M62" s="236">
        <f t="shared" ref="M62:S62" si="2">SUM(M55:M61)</f>
        <v>11092936.890000001</v>
      </c>
      <c r="N62" s="236">
        <f t="shared" si="2"/>
        <v>4489626.3899999997</v>
      </c>
      <c r="O62" s="236">
        <f t="shared" si="2"/>
        <v>0</v>
      </c>
      <c r="P62" s="236">
        <f t="shared" si="2"/>
        <v>0</v>
      </c>
      <c r="Q62" s="236">
        <f t="shared" si="2"/>
        <v>0</v>
      </c>
      <c r="R62" s="236">
        <f t="shared" si="2"/>
        <v>0</v>
      </c>
      <c r="S62" s="236">
        <f t="shared" si="2"/>
        <v>0</v>
      </c>
    </row>
    <row r="63" spans="1:21" outlineLevel="1" x14ac:dyDescent="0.2">
      <c r="B63" s="13"/>
      <c r="C63" s="13"/>
      <c r="D63" s="13"/>
      <c r="E63" s="13"/>
      <c r="M63" s="13"/>
      <c r="N63" s="13"/>
      <c r="O63" s="13"/>
      <c r="P63" s="13"/>
      <c r="Q63" s="13"/>
      <c r="R63" s="13"/>
      <c r="S63" s="13"/>
    </row>
    <row r="64" spans="1:21" outlineLevel="1" x14ac:dyDescent="0.2">
      <c r="B64" s="59" t="s">
        <v>294</v>
      </c>
      <c r="C64" s="13"/>
      <c r="D64" s="13"/>
      <c r="E64" s="13"/>
    </row>
    <row r="65" spans="1:21" outlineLevel="1" x14ac:dyDescent="0.2">
      <c r="B65" s="59"/>
      <c r="C65" s="13"/>
      <c r="D65" s="13"/>
      <c r="E65" s="13"/>
    </row>
    <row r="66" spans="1:21" outlineLevel="1" x14ac:dyDescent="0.2">
      <c r="B66" s="13" t="s">
        <v>95</v>
      </c>
      <c r="C66" s="16" t="s">
        <v>250</v>
      </c>
      <c r="D66" s="13"/>
      <c r="E66" s="13"/>
      <c r="M66" s="202">
        <v>0</v>
      </c>
      <c r="N66" s="202">
        <v>0</v>
      </c>
      <c r="O66" s="202">
        <v>0</v>
      </c>
      <c r="P66" s="202">
        <v>0</v>
      </c>
      <c r="Q66" s="202">
        <v>0</v>
      </c>
      <c r="R66" s="202">
        <v>0</v>
      </c>
      <c r="S66" s="202">
        <v>0</v>
      </c>
    </row>
    <row r="67" spans="1:21" outlineLevel="1" x14ac:dyDescent="0.2">
      <c r="B67" s="13" t="s">
        <v>77</v>
      </c>
      <c r="C67" s="16" t="s">
        <v>250</v>
      </c>
      <c r="D67" s="13"/>
      <c r="E67" s="13"/>
      <c r="M67" s="202">
        <v>0</v>
      </c>
      <c r="N67" s="202">
        <v>0</v>
      </c>
      <c r="O67" s="202">
        <v>0</v>
      </c>
      <c r="P67" s="202">
        <v>0</v>
      </c>
      <c r="Q67" s="202">
        <v>0</v>
      </c>
      <c r="R67" s="202">
        <v>0</v>
      </c>
      <c r="S67" s="202">
        <v>0</v>
      </c>
    </row>
    <row r="68" spans="1:21" outlineLevel="1" x14ac:dyDescent="0.2">
      <c r="B68" s="13" t="s">
        <v>100</v>
      </c>
      <c r="C68" s="16" t="s">
        <v>250</v>
      </c>
      <c r="D68" s="13"/>
      <c r="E68" s="13"/>
      <c r="M68" s="202">
        <v>11092936.890000001</v>
      </c>
      <c r="N68" s="202">
        <v>4489626.3899999997</v>
      </c>
      <c r="O68" s="202">
        <v>0</v>
      </c>
      <c r="P68" s="202">
        <v>0</v>
      </c>
      <c r="Q68" s="202">
        <v>0</v>
      </c>
      <c r="R68" s="202">
        <v>0</v>
      </c>
      <c r="S68" s="202">
        <v>0</v>
      </c>
    </row>
    <row r="69" spans="1:21" outlineLevel="1" x14ac:dyDescent="0.2">
      <c r="B69" s="13" t="s">
        <v>93</v>
      </c>
      <c r="C69" s="16" t="s">
        <v>250</v>
      </c>
      <c r="D69" s="13"/>
      <c r="E69" s="13"/>
      <c r="M69" s="202">
        <v>0</v>
      </c>
      <c r="N69" s="202">
        <v>0</v>
      </c>
      <c r="O69" s="202">
        <v>0</v>
      </c>
      <c r="P69" s="202">
        <v>0</v>
      </c>
      <c r="Q69" s="202">
        <v>0</v>
      </c>
      <c r="R69" s="202">
        <v>0</v>
      </c>
      <c r="S69" s="202">
        <v>0</v>
      </c>
    </row>
    <row r="70" spans="1:21" outlineLevel="1" x14ac:dyDescent="0.2">
      <c r="B70" s="13"/>
      <c r="C70" s="16"/>
      <c r="D70" s="13"/>
      <c r="E70" s="13"/>
      <c r="M70" s="13"/>
      <c r="N70" s="13"/>
      <c r="O70" s="13"/>
      <c r="P70" s="13"/>
      <c r="Q70" s="13"/>
      <c r="R70" s="13"/>
      <c r="S70" s="13"/>
    </row>
    <row r="71" spans="1:21" outlineLevel="1" x14ac:dyDescent="0.2">
      <c r="B71" s="58" t="s">
        <v>270</v>
      </c>
      <c r="C71" s="16"/>
      <c r="D71" s="13"/>
      <c r="E71" s="13"/>
      <c r="M71" s="13"/>
      <c r="N71" s="13"/>
      <c r="O71" s="13"/>
      <c r="P71" s="13"/>
      <c r="Q71" s="13"/>
      <c r="R71" s="13"/>
      <c r="S71" s="13"/>
    </row>
    <row r="72" spans="1:21" outlineLevel="1" x14ac:dyDescent="0.2">
      <c r="B72" s="13" t="s">
        <v>97</v>
      </c>
      <c r="C72" s="16" t="s">
        <v>250</v>
      </c>
      <c r="D72" s="13"/>
      <c r="E72" s="13"/>
      <c r="M72" s="202">
        <v>0</v>
      </c>
      <c r="N72" s="202">
        <v>0</v>
      </c>
      <c r="O72" s="202">
        <v>0</v>
      </c>
      <c r="P72" s="202">
        <v>0</v>
      </c>
      <c r="Q72" s="202">
        <v>0</v>
      </c>
      <c r="R72" s="202">
        <v>0</v>
      </c>
      <c r="S72" s="202">
        <v>0</v>
      </c>
    </row>
    <row r="73" spans="1:21" outlineLevel="1" x14ac:dyDescent="0.2">
      <c r="B73" s="13" t="s">
        <v>121</v>
      </c>
      <c r="C73" s="16" t="s">
        <v>250</v>
      </c>
      <c r="D73" s="13"/>
      <c r="E73" s="13"/>
      <c r="M73" s="202">
        <v>0</v>
      </c>
      <c r="N73" s="202">
        <v>0</v>
      </c>
      <c r="O73" s="202">
        <v>0</v>
      </c>
      <c r="P73" s="202">
        <v>0</v>
      </c>
      <c r="Q73" s="202">
        <v>0</v>
      </c>
      <c r="R73" s="202">
        <v>0</v>
      </c>
      <c r="S73" s="202">
        <v>0</v>
      </c>
      <c r="T73" s="13"/>
    </row>
    <row r="74" spans="1:21" outlineLevel="1" x14ac:dyDescent="0.2">
      <c r="B74" s="13" t="s">
        <v>122</v>
      </c>
      <c r="C74" s="16" t="s">
        <v>250</v>
      </c>
      <c r="D74" s="13"/>
      <c r="E74" s="13"/>
      <c r="M74" s="202">
        <v>0</v>
      </c>
      <c r="N74" s="202">
        <v>0</v>
      </c>
      <c r="O74" s="202">
        <v>0</v>
      </c>
      <c r="P74" s="202">
        <v>0</v>
      </c>
      <c r="Q74" s="202">
        <v>0</v>
      </c>
      <c r="R74" s="202">
        <v>0</v>
      </c>
      <c r="S74" s="202">
        <v>0</v>
      </c>
    </row>
    <row r="75" spans="1:21" outlineLevel="1" x14ac:dyDescent="0.2">
      <c r="A75" s="12"/>
      <c r="B75" s="58" t="s">
        <v>272</v>
      </c>
      <c r="C75" s="66" t="s">
        <v>250</v>
      </c>
      <c r="D75" s="58"/>
      <c r="E75" s="58"/>
      <c r="F75" s="12"/>
      <c r="G75" s="12"/>
      <c r="H75" s="12"/>
      <c r="I75" s="78"/>
      <c r="J75" s="12"/>
      <c r="K75" s="12"/>
      <c r="M75" s="237">
        <f>SUM(M72:M74)</f>
        <v>0</v>
      </c>
      <c r="N75" s="237">
        <f t="shared" ref="N75:S75" si="3">SUM(N72:N74)</f>
        <v>0</v>
      </c>
      <c r="O75" s="237">
        <f t="shared" si="3"/>
        <v>0</v>
      </c>
      <c r="P75" s="237">
        <f t="shared" si="3"/>
        <v>0</v>
      </c>
      <c r="Q75" s="237">
        <f t="shared" si="3"/>
        <v>0</v>
      </c>
      <c r="R75" s="237">
        <f t="shared" si="3"/>
        <v>0</v>
      </c>
      <c r="S75" s="237">
        <f t="shared" si="3"/>
        <v>0</v>
      </c>
      <c r="T75" s="12"/>
      <c r="U75" s="12"/>
    </row>
    <row r="76" spans="1:21" outlineLevel="1" x14ac:dyDescent="0.2">
      <c r="B76" s="13"/>
      <c r="C76" s="66"/>
      <c r="D76" s="13"/>
      <c r="E76" s="13"/>
      <c r="M76" s="229"/>
      <c r="N76" s="229"/>
      <c r="O76" s="229"/>
      <c r="P76" s="229"/>
      <c r="Q76" s="229"/>
      <c r="R76" s="229"/>
      <c r="S76" s="229"/>
    </row>
    <row r="77" spans="1:21" outlineLevel="1" x14ac:dyDescent="0.2">
      <c r="A77" s="12"/>
      <c r="B77" s="58" t="s">
        <v>295</v>
      </c>
      <c r="C77" s="66" t="s">
        <v>250</v>
      </c>
      <c r="D77" s="58"/>
      <c r="E77" s="58"/>
      <c r="F77" s="12"/>
      <c r="G77" s="12"/>
      <c r="H77" s="12"/>
      <c r="I77" s="78"/>
      <c r="J77" s="12"/>
      <c r="K77" s="12"/>
      <c r="M77" s="235">
        <f>SUM(M66:M69,M75)</f>
        <v>11092936.890000001</v>
      </c>
      <c r="N77" s="235">
        <f t="shared" ref="N77:S77" si="4">SUM(N66:N69,N75)</f>
        <v>4489626.3899999997</v>
      </c>
      <c r="O77" s="235">
        <f t="shared" si="4"/>
        <v>0</v>
      </c>
      <c r="P77" s="235">
        <f t="shared" si="4"/>
        <v>0</v>
      </c>
      <c r="Q77" s="235">
        <f t="shared" si="4"/>
        <v>0</v>
      </c>
      <c r="R77" s="235">
        <f t="shared" si="4"/>
        <v>0</v>
      </c>
      <c r="S77" s="235">
        <f t="shared" si="4"/>
        <v>0</v>
      </c>
      <c r="T77" s="12"/>
      <c r="U77" s="12"/>
    </row>
    <row r="78" spans="1:21" outlineLevel="1" x14ac:dyDescent="0.2">
      <c r="B78" s="13"/>
      <c r="C78" s="16"/>
      <c r="D78" s="13"/>
      <c r="E78" s="13"/>
      <c r="M78" s="13"/>
      <c r="N78" s="13"/>
      <c r="O78" s="13"/>
      <c r="P78" s="13"/>
      <c r="Q78" s="13"/>
      <c r="R78" s="13"/>
      <c r="S78" s="13"/>
    </row>
    <row r="79" spans="1:21" outlineLevel="1" x14ac:dyDescent="0.2">
      <c r="B79" s="13" t="s">
        <v>274</v>
      </c>
      <c r="C79" s="16" t="s">
        <v>250</v>
      </c>
      <c r="D79" s="13"/>
      <c r="E79" s="13"/>
      <c r="M79" s="202">
        <v>0</v>
      </c>
      <c r="N79" s="202">
        <v>0</v>
      </c>
      <c r="O79" s="202">
        <v>0</v>
      </c>
      <c r="P79" s="202">
        <v>0</v>
      </c>
      <c r="Q79" s="202">
        <v>0</v>
      </c>
      <c r="R79" s="202">
        <v>0</v>
      </c>
      <c r="S79" s="202">
        <v>0</v>
      </c>
    </row>
    <row r="80" spans="1:21" outlineLevel="1" x14ac:dyDescent="0.2">
      <c r="A80" s="12"/>
      <c r="B80" s="58" t="s">
        <v>296</v>
      </c>
      <c r="C80" s="66" t="s">
        <v>250</v>
      </c>
      <c r="D80" s="58"/>
      <c r="E80" s="58"/>
      <c r="F80" s="12"/>
      <c r="G80" s="12"/>
      <c r="H80" s="12"/>
      <c r="I80" s="78"/>
      <c r="J80" s="12"/>
      <c r="K80" s="12"/>
      <c r="M80" s="236">
        <f>M77+M79</f>
        <v>11092936.890000001</v>
      </c>
      <c r="N80" s="236">
        <f t="shared" ref="N80:S80" si="5">N77+N79</f>
        <v>4489626.3899999997</v>
      </c>
      <c r="O80" s="236">
        <f t="shared" si="5"/>
        <v>0</v>
      </c>
      <c r="P80" s="236">
        <f t="shared" si="5"/>
        <v>0</v>
      </c>
      <c r="Q80" s="236">
        <f t="shared" si="5"/>
        <v>0</v>
      </c>
      <c r="R80" s="236">
        <f t="shared" si="5"/>
        <v>0</v>
      </c>
      <c r="S80" s="236">
        <f t="shared" si="5"/>
        <v>0</v>
      </c>
      <c r="T80" s="12"/>
      <c r="U80" s="12"/>
    </row>
    <row r="81" spans="1:21" outlineLevel="1" x14ac:dyDescent="0.2">
      <c r="A81" s="12"/>
      <c r="B81" s="58"/>
      <c r="C81" s="66"/>
      <c r="D81" s="58"/>
      <c r="E81" s="58"/>
      <c r="F81" s="12"/>
      <c r="G81" s="12"/>
      <c r="H81" s="12"/>
      <c r="I81" s="78"/>
      <c r="J81" s="12"/>
      <c r="K81" s="12"/>
      <c r="M81" s="67"/>
      <c r="N81" s="67"/>
      <c r="O81" s="67"/>
      <c r="P81" s="67"/>
      <c r="Q81" s="67"/>
      <c r="R81" s="67"/>
      <c r="S81" s="67"/>
      <c r="T81" s="12"/>
      <c r="U81" s="12"/>
    </row>
    <row r="82" spans="1:21" outlineLevel="1" x14ac:dyDescent="0.2">
      <c r="B82" s="59" t="s">
        <v>297</v>
      </c>
      <c r="C82" s="13"/>
      <c r="D82" s="13"/>
      <c r="E82" s="13"/>
    </row>
    <row r="83" spans="1:21" outlineLevel="1" x14ac:dyDescent="0.2">
      <c r="B83" s="59"/>
      <c r="C83" s="13"/>
      <c r="D83" s="13"/>
      <c r="E83" s="13"/>
    </row>
    <row r="84" spans="1:21" outlineLevel="1" x14ac:dyDescent="0.2">
      <c r="B84" s="13" t="s">
        <v>95</v>
      </c>
      <c r="C84" s="16" t="s">
        <v>250</v>
      </c>
      <c r="D84" s="13"/>
      <c r="E84" s="13"/>
      <c r="M84" s="202">
        <v>0</v>
      </c>
      <c r="N84" s="202">
        <v>0</v>
      </c>
      <c r="O84" s="202">
        <v>0</v>
      </c>
      <c r="P84" s="202">
        <v>0</v>
      </c>
      <c r="Q84" s="202">
        <v>0</v>
      </c>
      <c r="R84" s="202">
        <v>0</v>
      </c>
      <c r="S84" s="202">
        <v>0</v>
      </c>
    </row>
    <row r="85" spans="1:21" outlineLevel="1" x14ac:dyDescent="0.2">
      <c r="B85" s="13" t="s">
        <v>77</v>
      </c>
      <c r="C85" s="16" t="s">
        <v>250</v>
      </c>
      <c r="D85" s="13"/>
      <c r="E85" s="13"/>
      <c r="M85" s="202">
        <v>0</v>
      </c>
      <c r="N85" s="202">
        <v>0</v>
      </c>
      <c r="O85" s="202">
        <v>0</v>
      </c>
      <c r="P85" s="202">
        <v>0</v>
      </c>
      <c r="Q85" s="202">
        <v>0</v>
      </c>
      <c r="R85" s="202">
        <v>0</v>
      </c>
      <c r="S85" s="202">
        <v>0</v>
      </c>
    </row>
    <row r="86" spans="1:21" outlineLevel="1" x14ac:dyDescent="0.2">
      <c r="B86" s="13" t="s">
        <v>100</v>
      </c>
      <c r="C86" s="16" t="s">
        <v>250</v>
      </c>
      <c r="D86" s="13"/>
      <c r="E86" s="13"/>
      <c r="M86" s="202">
        <v>0</v>
      </c>
      <c r="N86" s="202">
        <v>0</v>
      </c>
      <c r="O86" s="202">
        <v>0</v>
      </c>
      <c r="P86" s="202">
        <v>0</v>
      </c>
      <c r="Q86" s="202">
        <v>0</v>
      </c>
      <c r="R86" s="202">
        <v>0</v>
      </c>
      <c r="S86" s="202">
        <v>0</v>
      </c>
    </row>
    <row r="87" spans="1:21" outlineLevel="1" x14ac:dyDescent="0.2">
      <c r="B87" s="13" t="s">
        <v>93</v>
      </c>
      <c r="C87" s="16" t="s">
        <v>250</v>
      </c>
      <c r="D87" s="13"/>
      <c r="E87" s="13"/>
      <c r="M87" s="202">
        <v>0</v>
      </c>
      <c r="N87" s="202">
        <v>0</v>
      </c>
      <c r="O87" s="202">
        <v>0</v>
      </c>
      <c r="P87" s="202">
        <v>0</v>
      </c>
      <c r="Q87" s="202">
        <v>0</v>
      </c>
      <c r="R87" s="202">
        <v>0</v>
      </c>
      <c r="S87" s="202">
        <v>0</v>
      </c>
    </row>
    <row r="88" spans="1:21" outlineLevel="1" x14ac:dyDescent="0.2">
      <c r="B88" s="13"/>
      <c r="C88" s="16"/>
      <c r="D88" s="13"/>
      <c r="E88" s="13"/>
      <c r="M88" s="13"/>
      <c r="N88" s="13"/>
      <c r="O88" s="13"/>
      <c r="P88" s="13"/>
      <c r="Q88" s="13"/>
      <c r="R88" s="13"/>
      <c r="S88" s="13"/>
    </row>
    <row r="89" spans="1:21" outlineLevel="1" x14ac:dyDescent="0.2">
      <c r="B89" s="58" t="s">
        <v>270</v>
      </c>
      <c r="C89" s="16"/>
      <c r="D89" s="13"/>
      <c r="E89" s="13"/>
      <c r="M89" s="13"/>
      <c r="N89" s="13"/>
      <c r="O89" s="13"/>
      <c r="P89" s="13"/>
      <c r="Q89" s="13"/>
      <c r="R89" s="13"/>
      <c r="S89" s="13"/>
    </row>
    <row r="90" spans="1:21" outlineLevel="1" x14ac:dyDescent="0.2">
      <c r="B90" s="13" t="s">
        <v>97</v>
      </c>
      <c r="C90" s="16" t="s">
        <v>250</v>
      </c>
      <c r="D90" s="13"/>
      <c r="E90" s="13"/>
      <c r="M90" s="202">
        <v>0</v>
      </c>
      <c r="N90" s="202">
        <v>0</v>
      </c>
      <c r="O90" s="202">
        <v>0</v>
      </c>
      <c r="P90" s="202">
        <v>0</v>
      </c>
      <c r="Q90" s="202">
        <v>0</v>
      </c>
      <c r="R90" s="202">
        <v>0</v>
      </c>
      <c r="S90" s="202">
        <v>0</v>
      </c>
    </row>
    <row r="91" spans="1:21" outlineLevel="1" x14ac:dyDescent="0.2">
      <c r="B91" s="13" t="s">
        <v>121</v>
      </c>
      <c r="C91" s="16" t="s">
        <v>250</v>
      </c>
      <c r="D91" s="13"/>
      <c r="E91" s="13"/>
      <c r="M91" s="202">
        <v>0</v>
      </c>
      <c r="N91" s="202">
        <v>0</v>
      </c>
      <c r="O91" s="202">
        <v>0</v>
      </c>
      <c r="P91" s="202">
        <v>0</v>
      </c>
      <c r="Q91" s="202">
        <v>0</v>
      </c>
      <c r="R91" s="202">
        <v>0</v>
      </c>
      <c r="S91" s="202">
        <v>0</v>
      </c>
      <c r="T91" s="13"/>
    </row>
    <row r="92" spans="1:21" outlineLevel="1" x14ac:dyDescent="0.2">
      <c r="B92" s="13" t="s">
        <v>122</v>
      </c>
      <c r="C92" s="16" t="s">
        <v>250</v>
      </c>
      <c r="D92" s="13"/>
      <c r="E92" s="13"/>
      <c r="M92" s="202">
        <v>0</v>
      </c>
      <c r="N92" s="202">
        <v>0</v>
      </c>
      <c r="O92" s="202">
        <v>0</v>
      </c>
      <c r="P92" s="202">
        <v>0</v>
      </c>
      <c r="Q92" s="202">
        <v>0</v>
      </c>
      <c r="R92" s="202">
        <v>0</v>
      </c>
      <c r="S92" s="202">
        <v>0</v>
      </c>
    </row>
    <row r="93" spans="1:21" outlineLevel="1" x14ac:dyDescent="0.2">
      <c r="A93" s="12"/>
      <c r="B93" s="58" t="s">
        <v>272</v>
      </c>
      <c r="C93" s="66" t="s">
        <v>250</v>
      </c>
      <c r="D93" s="58"/>
      <c r="E93" s="58"/>
      <c r="F93" s="12"/>
      <c r="G93" s="12"/>
      <c r="H93" s="12"/>
      <c r="I93" s="78"/>
      <c r="J93" s="12"/>
      <c r="K93" s="12"/>
      <c r="M93" s="233">
        <f>SUM(M90:M92)</f>
        <v>0</v>
      </c>
      <c r="N93" s="233">
        <f t="shared" ref="N93:S93" si="6">SUM(N90:N92)</f>
        <v>0</v>
      </c>
      <c r="O93" s="233">
        <f t="shared" si="6"/>
        <v>0</v>
      </c>
      <c r="P93" s="233">
        <f t="shared" si="6"/>
        <v>0</v>
      </c>
      <c r="Q93" s="233">
        <f t="shared" si="6"/>
        <v>0</v>
      </c>
      <c r="R93" s="233">
        <f t="shared" si="6"/>
        <v>0</v>
      </c>
      <c r="S93" s="233">
        <f t="shared" si="6"/>
        <v>0</v>
      </c>
      <c r="T93" s="12"/>
      <c r="U93" s="12"/>
    </row>
    <row r="94" spans="1:21" outlineLevel="1" x14ac:dyDescent="0.2">
      <c r="B94" s="13"/>
      <c r="C94" s="66"/>
      <c r="D94" s="13"/>
      <c r="E94" s="13"/>
      <c r="M94" s="13"/>
      <c r="N94" s="229"/>
      <c r="O94" s="229"/>
      <c r="P94" s="229"/>
      <c r="Q94" s="229"/>
      <c r="R94" s="229"/>
      <c r="S94" s="229"/>
    </row>
    <row r="95" spans="1:21" outlineLevel="1" x14ac:dyDescent="0.2">
      <c r="A95" s="12"/>
      <c r="B95" s="58" t="s">
        <v>295</v>
      </c>
      <c r="C95" s="66" t="s">
        <v>250</v>
      </c>
      <c r="D95" s="58"/>
      <c r="E95" s="58"/>
      <c r="F95" s="12"/>
      <c r="G95" s="12"/>
      <c r="H95" s="12"/>
      <c r="I95" s="78"/>
      <c r="J95" s="12"/>
      <c r="K95" s="12"/>
      <c r="M95" s="235">
        <f>SUM(M84:M87,M93)</f>
        <v>0</v>
      </c>
      <c r="N95" s="235">
        <f t="shared" ref="N95:S95" si="7">SUM(N84:N87,N93)</f>
        <v>0</v>
      </c>
      <c r="O95" s="235">
        <f t="shared" si="7"/>
        <v>0</v>
      </c>
      <c r="P95" s="235">
        <f t="shared" si="7"/>
        <v>0</v>
      </c>
      <c r="Q95" s="235">
        <f t="shared" si="7"/>
        <v>0</v>
      </c>
      <c r="R95" s="235">
        <f t="shared" si="7"/>
        <v>0</v>
      </c>
      <c r="S95" s="235">
        <f t="shared" si="7"/>
        <v>0</v>
      </c>
      <c r="T95" s="12"/>
      <c r="U95" s="12"/>
    </row>
    <row r="96" spans="1:21" outlineLevel="1" x14ac:dyDescent="0.2">
      <c r="B96" s="13"/>
      <c r="C96" s="16"/>
      <c r="D96" s="13"/>
      <c r="E96" s="13"/>
      <c r="M96" s="229"/>
      <c r="N96" s="229"/>
      <c r="O96" s="229"/>
      <c r="P96" s="229"/>
      <c r="Q96" s="229"/>
      <c r="R96" s="229"/>
      <c r="S96" s="229"/>
    </row>
    <row r="97" spans="1:21" outlineLevel="1" x14ac:dyDescent="0.2">
      <c r="B97" s="13" t="s">
        <v>274</v>
      </c>
      <c r="C97" s="16" t="s">
        <v>250</v>
      </c>
      <c r="D97" s="13"/>
      <c r="E97" s="13"/>
      <c r="M97" s="623">
        <v>0</v>
      </c>
      <c r="N97" s="623">
        <v>0</v>
      </c>
      <c r="O97" s="623">
        <v>0</v>
      </c>
      <c r="P97" s="623">
        <v>0</v>
      </c>
      <c r="Q97" s="623">
        <v>0</v>
      </c>
      <c r="R97" s="623">
        <v>0</v>
      </c>
      <c r="S97" s="623">
        <v>0</v>
      </c>
    </row>
    <row r="98" spans="1:21" outlineLevel="1" x14ac:dyDescent="0.2">
      <c r="A98" s="12"/>
      <c r="B98" s="58" t="s">
        <v>296</v>
      </c>
      <c r="C98" s="66" t="s">
        <v>250</v>
      </c>
      <c r="D98" s="58"/>
      <c r="E98" s="58"/>
      <c r="F98" s="12"/>
      <c r="G98" s="12"/>
      <c r="H98" s="12"/>
      <c r="I98" s="78"/>
      <c r="J98" s="12"/>
      <c r="K98" s="12"/>
      <c r="M98" s="236">
        <f>M95+M97</f>
        <v>0</v>
      </c>
      <c r="N98" s="236">
        <f t="shared" ref="N98:S98" si="8">N95+N97</f>
        <v>0</v>
      </c>
      <c r="O98" s="236">
        <f t="shared" si="8"/>
        <v>0</v>
      </c>
      <c r="P98" s="236">
        <f t="shared" si="8"/>
        <v>0</v>
      </c>
      <c r="Q98" s="236">
        <f t="shared" si="8"/>
        <v>0</v>
      </c>
      <c r="R98" s="236">
        <f t="shared" si="8"/>
        <v>0</v>
      </c>
      <c r="S98" s="236">
        <f t="shared" si="8"/>
        <v>0</v>
      </c>
      <c r="T98" s="12"/>
      <c r="U98" s="12"/>
    </row>
    <row r="99" spans="1:21" outlineLevel="1" x14ac:dyDescent="0.2">
      <c r="A99" s="12"/>
      <c r="B99" s="58"/>
      <c r="C99" s="66"/>
      <c r="D99" s="58"/>
      <c r="E99" s="58"/>
      <c r="F99" s="12"/>
      <c r="G99" s="12"/>
      <c r="H99" s="12"/>
      <c r="I99" s="78"/>
      <c r="J99" s="12"/>
      <c r="K99" s="12"/>
      <c r="M99" s="67"/>
      <c r="N99" s="67"/>
      <c r="O99" s="67"/>
      <c r="P99" s="67"/>
      <c r="Q99" s="67"/>
      <c r="R99" s="67"/>
      <c r="S99" s="67"/>
      <c r="T99" s="12"/>
      <c r="U99" s="12"/>
    </row>
    <row r="100" spans="1:21" outlineLevel="1" x14ac:dyDescent="0.2">
      <c r="B100" s="59" t="s">
        <v>77</v>
      </c>
      <c r="C100" s="145"/>
      <c r="D100" s="146"/>
      <c r="E100" s="145"/>
      <c r="F100" s="18"/>
      <c r="G100" s="20"/>
      <c r="H100" s="20"/>
      <c r="I100" s="20"/>
      <c r="J100" s="20"/>
      <c r="K100" s="18"/>
      <c r="M100" s="18"/>
      <c r="N100" s="18"/>
      <c r="O100" s="18"/>
      <c r="P100" s="18"/>
      <c r="Q100" s="18"/>
      <c r="R100" s="18"/>
      <c r="S100" s="18"/>
    </row>
    <row r="101" spans="1:21" outlineLevel="1" x14ac:dyDescent="0.2">
      <c r="B101" s="58"/>
      <c r="C101" s="66"/>
      <c r="D101" s="13"/>
      <c r="E101" s="13"/>
      <c r="M101" s="13"/>
      <c r="N101" s="13"/>
      <c r="O101" s="13"/>
      <c r="P101" s="13"/>
      <c r="Q101" s="13"/>
      <c r="R101" s="13"/>
      <c r="S101" s="13"/>
    </row>
    <row r="102" spans="1:21" outlineLevel="1" x14ac:dyDescent="0.2">
      <c r="B102" s="58" t="s">
        <v>298</v>
      </c>
      <c r="C102" s="81"/>
      <c r="D102" s="13"/>
      <c r="E102" s="13"/>
      <c r="M102" s="13"/>
      <c r="N102" s="13"/>
      <c r="O102" s="13"/>
      <c r="P102" s="13"/>
      <c r="Q102" s="13"/>
      <c r="R102" s="13"/>
      <c r="S102" s="13"/>
    </row>
    <row r="103" spans="1:21" outlineLevel="1" x14ac:dyDescent="0.2">
      <c r="B103" s="29" t="s">
        <v>284</v>
      </c>
      <c r="C103" s="16" t="s">
        <v>250</v>
      </c>
      <c r="D103" s="13"/>
      <c r="E103" s="13"/>
      <c r="M103" s="199">
        <v>0</v>
      </c>
      <c r="N103" s="199">
        <v>0</v>
      </c>
      <c r="O103" s="199">
        <v>0</v>
      </c>
      <c r="P103" s="199">
        <v>0</v>
      </c>
      <c r="Q103" s="199">
        <v>0</v>
      </c>
      <c r="R103" s="199">
        <v>0</v>
      </c>
      <c r="S103" s="199">
        <v>0</v>
      </c>
    </row>
    <row r="104" spans="1:21" outlineLevel="1" x14ac:dyDescent="0.2">
      <c r="B104" s="29" t="s">
        <v>285</v>
      </c>
      <c r="C104" s="16" t="s">
        <v>250</v>
      </c>
      <c r="D104" s="13"/>
      <c r="E104" s="13"/>
      <c r="M104" s="199">
        <v>0</v>
      </c>
      <c r="N104" s="199">
        <v>0</v>
      </c>
      <c r="O104" s="199">
        <v>0</v>
      </c>
      <c r="P104" s="199">
        <v>0</v>
      </c>
      <c r="Q104" s="199">
        <v>0</v>
      </c>
      <c r="R104" s="199">
        <v>0</v>
      </c>
      <c r="S104" s="199">
        <v>0</v>
      </c>
    </row>
    <row r="105" spans="1:21" outlineLevel="1" x14ac:dyDescent="0.2">
      <c r="B105" s="29" t="s">
        <v>286</v>
      </c>
      <c r="C105" s="16" t="s">
        <v>250</v>
      </c>
      <c r="D105" s="13"/>
      <c r="E105" s="13"/>
      <c r="M105" s="199">
        <v>0</v>
      </c>
      <c r="N105" s="199">
        <v>0</v>
      </c>
      <c r="O105" s="199">
        <v>0</v>
      </c>
      <c r="P105" s="199">
        <v>0</v>
      </c>
      <c r="Q105" s="199">
        <v>0</v>
      </c>
      <c r="R105" s="199">
        <v>0</v>
      </c>
      <c r="S105" s="199">
        <v>0</v>
      </c>
    </row>
    <row r="106" spans="1:21" outlineLevel="1" x14ac:dyDescent="0.2">
      <c r="B106" s="29" t="s">
        <v>287</v>
      </c>
      <c r="C106" s="16" t="s">
        <v>250</v>
      </c>
      <c r="D106" s="13"/>
      <c r="E106" s="13"/>
      <c r="M106" s="199">
        <v>0</v>
      </c>
      <c r="N106" s="199">
        <v>0</v>
      </c>
      <c r="O106" s="199">
        <v>0</v>
      </c>
      <c r="P106" s="199">
        <v>0</v>
      </c>
      <c r="Q106" s="199">
        <v>0</v>
      </c>
      <c r="R106" s="199">
        <v>0</v>
      </c>
      <c r="S106" s="199">
        <v>0</v>
      </c>
    </row>
    <row r="107" spans="1:21" outlineLevel="1" x14ac:dyDescent="0.2">
      <c r="B107" s="29" t="s">
        <v>288</v>
      </c>
      <c r="C107" s="16" t="s">
        <v>250</v>
      </c>
      <c r="D107" s="13"/>
      <c r="E107" s="13"/>
      <c r="M107" s="199">
        <v>0</v>
      </c>
      <c r="N107" s="199">
        <v>0</v>
      </c>
      <c r="O107" s="199">
        <v>0</v>
      </c>
      <c r="P107" s="199">
        <v>0</v>
      </c>
      <c r="Q107" s="199">
        <v>0</v>
      </c>
      <c r="R107" s="199">
        <v>0</v>
      </c>
      <c r="S107" s="199">
        <v>0</v>
      </c>
    </row>
    <row r="108" spans="1:21" outlineLevel="1" x14ac:dyDescent="0.2">
      <c r="B108" s="29" t="s">
        <v>289</v>
      </c>
      <c r="C108" s="16" t="s">
        <v>250</v>
      </c>
      <c r="D108" s="13"/>
      <c r="E108" s="13"/>
      <c r="M108" s="199">
        <v>0</v>
      </c>
      <c r="N108" s="199">
        <v>0</v>
      </c>
      <c r="O108" s="199">
        <v>0</v>
      </c>
      <c r="P108" s="199">
        <v>0</v>
      </c>
      <c r="Q108" s="199">
        <v>0</v>
      </c>
      <c r="R108" s="199">
        <v>0</v>
      </c>
      <c r="S108" s="199">
        <v>0</v>
      </c>
    </row>
    <row r="109" spans="1:21" outlineLevel="1" x14ac:dyDescent="0.2">
      <c r="B109" s="29" t="s">
        <v>290</v>
      </c>
      <c r="C109" s="16" t="s">
        <v>250</v>
      </c>
      <c r="D109" s="13"/>
      <c r="E109" s="13"/>
      <c r="M109" s="199">
        <v>0</v>
      </c>
      <c r="N109" s="199">
        <v>0</v>
      </c>
      <c r="O109" s="199">
        <v>0</v>
      </c>
      <c r="P109" s="199">
        <v>0</v>
      </c>
      <c r="Q109" s="199">
        <v>0</v>
      </c>
      <c r="R109" s="199">
        <v>0</v>
      </c>
      <c r="S109" s="199">
        <v>0</v>
      </c>
    </row>
    <row r="110" spans="1:21" outlineLevel="1" x14ac:dyDescent="0.2">
      <c r="B110" s="29" t="s">
        <v>291</v>
      </c>
      <c r="C110" s="16" t="s">
        <v>250</v>
      </c>
      <c r="D110" s="13"/>
      <c r="E110" s="13"/>
      <c r="M110" s="199">
        <v>0</v>
      </c>
      <c r="N110" s="199">
        <v>0</v>
      </c>
      <c r="O110" s="199">
        <v>0</v>
      </c>
      <c r="P110" s="199">
        <v>0</v>
      </c>
      <c r="Q110" s="199">
        <v>0</v>
      </c>
      <c r="R110" s="199">
        <v>0</v>
      </c>
      <c r="S110" s="199">
        <v>0</v>
      </c>
    </row>
    <row r="111" spans="1:21" outlineLevel="1" x14ac:dyDescent="0.2">
      <c r="B111" s="29" t="s">
        <v>292</v>
      </c>
      <c r="C111" s="16" t="s">
        <v>250</v>
      </c>
      <c r="D111" s="13"/>
      <c r="E111" s="13"/>
      <c r="M111" s="199">
        <v>0</v>
      </c>
      <c r="N111" s="199">
        <v>0</v>
      </c>
      <c r="O111" s="199">
        <v>0</v>
      </c>
      <c r="P111" s="199">
        <v>0</v>
      </c>
      <c r="Q111" s="199">
        <v>0</v>
      </c>
      <c r="R111" s="199">
        <v>0</v>
      </c>
      <c r="S111" s="199">
        <v>0</v>
      </c>
    </row>
    <row r="112" spans="1:21" outlineLevel="1" x14ac:dyDescent="0.2">
      <c r="B112" s="58" t="s">
        <v>49</v>
      </c>
      <c r="C112" s="66" t="s">
        <v>250</v>
      </c>
      <c r="D112" s="58"/>
      <c r="E112" s="58"/>
      <c r="F112" s="12"/>
      <c r="G112" s="12"/>
      <c r="H112" s="12"/>
      <c r="I112" s="78"/>
      <c r="J112" s="12"/>
      <c r="K112" s="12"/>
      <c r="M112" s="236">
        <f t="shared" ref="M112:S112" si="9">SUM(M103:M111)</f>
        <v>0</v>
      </c>
      <c r="N112" s="236">
        <f t="shared" si="9"/>
        <v>0</v>
      </c>
      <c r="O112" s="236">
        <f t="shared" si="9"/>
        <v>0</v>
      </c>
      <c r="P112" s="236">
        <f t="shared" si="9"/>
        <v>0</v>
      </c>
      <c r="Q112" s="236">
        <f t="shared" si="9"/>
        <v>0</v>
      </c>
      <c r="R112" s="236">
        <f t="shared" si="9"/>
        <v>0</v>
      </c>
      <c r="S112" s="236">
        <f t="shared" si="9"/>
        <v>0</v>
      </c>
    </row>
    <row r="113" spans="2:19" outlineLevel="1" x14ac:dyDescent="0.2">
      <c r="B113" s="13"/>
      <c r="C113" s="81"/>
      <c r="D113" s="13"/>
      <c r="E113" s="13"/>
    </row>
    <row r="114" spans="2:19" outlineLevel="1" x14ac:dyDescent="0.2">
      <c r="B114" s="52" t="s">
        <v>100</v>
      </c>
      <c r="C114" s="145"/>
      <c r="D114" s="146"/>
      <c r="E114" s="145"/>
      <c r="F114" s="18"/>
      <c r="G114" s="20"/>
      <c r="H114" s="20"/>
      <c r="I114" s="20"/>
      <c r="J114" s="20"/>
      <c r="K114" s="18"/>
      <c r="M114" s="18"/>
      <c r="N114" s="18"/>
      <c r="O114" s="18"/>
      <c r="P114" s="18"/>
      <c r="Q114" s="18"/>
      <c r="R114" s="18"/>
      <c r="S114" s="18"/>
    </row>
    <row r="115" spans="2:19" outlineLevel="1" x14ac:dyDescent="0.2">
      <c r="B115" s="13"/>
      <c r="C115" s="81"/>
      <c r="D115" s="13"/>
      <c r="E115" s="13"/>
      <c r="K115" s="31"/>
      <c r="M115" s="31"/>
      <c r="N115" s="31"/>
      <c r="O115" s="31"/>
      <c r="P115" s="31"/>
      <c r="Q115" s="31"/>
      <c r="R115" s="31"/>
      <c r="S115" s="31"/>
    </row>
    <row r="116" spans="2:19" outlineLevel="1" x14ac:dyDescent="0.2">
      <c r="B116" s="58" t="s">
        <v>298</v>
      </c>
      <c r="C116" s="81"/>
      <c r="D116" s="13"/>
      <c r="E116" s="13"/>
      <c r="M116" s="13"/>
      <c r="N116" s="13"/>
      <c r="O116" s="13"/>
      <c r="P116" s="13"/>
      <c r="Q116" s="13"/>
      <c r="R116" s="13"/>
      <c r="S116" s="13"/>
    </row>
    <row r="117" spans="2:19" outlineLevel="1" x14ac:dyDescent="0.2">
      <c r="B117" s="29" t="s">
        <v>284</v>
      </c>
      <c r="C117" s="16" t="s">
        <v>250</v>
      </c>
      <c r="D117" s="13"/>
      <c r="E117" s="13"/>
      <c r="M117" s="199">
        <v>130258.37199999997</v>
      </c>
      <c r="N117" s="199">
        <v>0</v>
      </c>
      <c r="O117" s="199">
        <v>0</v>
      </c>
      <c r="P117" s="199">
        <v>0</v>
      </c>
      <c r="Q117" s="199">
        <v>0</v>
      </c>
      <c r="R117" s="199">
        <v>0</v>
      </c>
      <c r="S117" s="199">
        <v>0</v>
      </c>
    </row>
    <row r="118" spans="2:19" outlineLevel="1" x14ac:dyDescent="0.2">
      <c r="B118" s="29" t="s">
        <v>285</v>
      </c>
      <c r="C118" s="16" t="s">
        <v>250</v>
      </c>
      <c r="D118" s="13"/>
      <c r="E118" s="13"/>
      <c r="M118" s="199">
        <v>0</v>
      </c>
      <c r="N118" s="199">
        <v>3470132.4499999997</v>
      </c>
      <c r="O118" s="199">
        <v>0</v>
      </c>
      <c r="P118" s="199">
        <v>0</v>
      </c>
      <c r="Q118" s="199">
        <v>0</v>
      </c>
      <c r="R118" s="199">
        <v>0</v>
      </c>
      <c r="S118" s="199">
        <v>0</v>
      </c>
    </row>
    <row r="119" spans="2:19" outlineLevel="1" x14ac:dyDescent="0.2">
      <c r="B119" s="29" t="s">
        <v>286</v>
      </c>
      <c r="C119" s="16" t="s">
        <v>250</v>
      </c>
      <c r="D119" s="13"/>
      <c r="E119" s="13"/>
      <c r="M119" s="199">
        <v>0</v>
      </c>
      <c r="N119" s="199">
        <v>0</v>
      </c>
      <c r="O119" s="199">
        <v>0</v>
      </c>
      <c r="P119" s="199">
        <v>0</v>
      </c>
      <c r="Q119" s="199">
        <v>0</v>
      </c>
      <c r="R119" s="199">
        <v>0</v>
      </c>
      <c r="S119" s="199">
        <v>0</v>
      </c>
    </row>
    <row r="120" spans="2:19" outlineLevel="1" x14ac:dyDescent="0.2">
      <c r="B120" s="29" t="s">
        <v>287</v>
      </c>
      <c r="C120" s="16" t="s">
        <v>250</v>
      </c>
      <c r="D120" s="13"/>
      <c r="E120" s="13"/>
      <c r="M120" s="199">
        <v>3126200.9279999998</v>
      </c>
      <c r="N120" s="199">
        <v>1019493.94</v>
      </c>
      <c r="O120" s="199">
        <v>0</v>
      </c>
      <c r="P120" s="199">
        <v>0</v>
      </c>
      <c r="Q120" s="199">
        <v>0</v>
      </c>
      <c r="R120" s="199">
        <v>0</v>
      </c>
      <c r="S120" s="199">
        <v>0</v>
      </c>
    </row>
    <row r="121" spans="2:19" outlineLevel="1" x14ac:dyDescent="0.2">
      <c r="B121" s="29" t="s">
        <v>288</v>
      </c>
      <c r="C121" s="16" t="s">
        <v>250</v>
      </c>
      <c r="D121" s="13"/>
      <c r="E121" s="13"/>
      <c r="M121" s="199">
        <v>0</v>
      </c>
      <c r="N121" s="199">
        <v>0</v>
      </c>
      <c r="O121" s="199">
        <v>0</v>
      </c>
      <c r="P121" s="199">
        <v>0</v>
      </c>
      <c r="Q121" s="199">
        <v>0</v>
      </c>
      <c r="R121" s="199">
        <v>0</v>
      </c>
      <c r="S121" s="199">
        <v>0</v>
      </c>
    </row>
    <row r="122" spans="2:19" outlineLevel="1" x14ac:dyDescent="0.2">
      <c r="B122" s="29" t="s">
        <v>289</v>
      </c>
      <c r="C122" s="16" t="s">
        <v>250</v>
      </c>
      <c r="D122" s="13"/>
      <c r="E122" s="13"/>
      <c r="M122" s="199">
        <v>0</v>
      </c>
      <c r="N122" s="199">
        <v>0</v>
      </c>
      <c r="O122" s="199">
        <v>0</v>
      </c>
      <c r="P122" s="199">
        <v>0</v>
      </c>
      <c r="Q122" s="199">
        <v>0</v>
      </c>
      <c r="R122" s="199">
        <v>0</v>
      </c>
      <c r="S122" s="199">
        <v>0</v>
      </c>
    </row>
    <row r="123" spans="2:19" outlineLevel="1" x14ac:dyDescent="0.2">
      <c r="B123" s="29" t="s">
        <v>290</v>
      </c>
      <c r="C123" s="16" t="s">
        <v>250</v>
      </c>
      <c r="D123" s="13"/>
      <c r="E123" s="13"/>
      <c r="M123" s="199">
        <v>0</v>
      </c>
      <c r="N123" s="199">
        <v>0</v>
      </c>
      <c r="O123" s="199">
        <v>0</v>
      </c>
      <c r="P123" s="199">
        <v>0</v>
      </c>
      <c r="Q123" s="199">
        <v>0</v>
      </c>
      <c r="R123" s="199">
        <v>0</v>
      </c>
      <c r="S123" s="199">
        <v>0</v>
      </c>
    </row>
    <row r="124" spans="2:19" outlineLevel="1" x14ac:dyDescent="0.2">
      <c r="B124" s="29" t="s">
        <v>291</v>
      </c>
      <c r="C124" s="16" t="s">
        <v>250</v>
      </c>
      <c r="D124" s="13"/>
      <c r="E124" s="13"/>
      <c r="M124" s="199">
        <v>7836477.5899999999</v>
      </c>
      <c r="N124" s="199">
        <v>0</v>
      </c>
      <c r="O124" s="199">
        <v>0</v>
      </c>
      <c r="P124" s="199">
        <v>0</v>
      </c>
      <c r="Q124" s="199">
        <v>0</v>
      </c>
      <c r="R124" s="199">
        <v>0</v>
      </c>
      <c r="S124" s="199">
        <v>0</v>
      </c>
    </row>
    <row r="125" spans="2:19" outlineLevel="1" x14ac:dyDescent="0.2">
      <c r="B125" s="29" t="s">
        <v>292</v>
      </c>
      <c r="C125" s="16" t="s">
        <v>250</v>
      </c>
      <c r="D125" s="13"/>
      <c r="E125" s="13"/>
      <c r="M125" s="199">
        <v>0</v>
      </c>
      <c r="N125" s="199">
        <v>0</v>
      </c>
      <c r="O125" s="199">
        <v>0</v>
      </c>
      <c r="P125" s="199">
        <v>0</v>
      </c>
      <c r="Q125" s="199">
        <v>0</v>
      </c>
      <c r="R125" s="199">
        <v>0</v>
      </c>
      <c r="S125" s="199">
        <v>0</v>
      </c>
    </row>
    <row r="126" spans="2:19" outlineLevel="1" x14ac:dyDescent="0.2">
      <c r="B126" s="58" t="s">
        <v>49</v>
      </c>
      <c r="C126" s="66" t="s">
        <v>250</v>
      </c>
      <c r="D126" s="13"/>
      <c r="E126" s="13"/>
      <c r="M126" s="236">
        <f t="shared" ref="M126:S126" si="10">SUM(M117:M125)</f>
        <v>11092936.890000001</v>
      </c>
      <c r="N126" s="236">
        <f t="shared" si="10"/>
        <v>4489626.3899999997</v>
      </c>
      <c r="O126" s="236">
        <f t="shared" si="10"/>
        <v>0</v>
      </c>
      <c r="P126" s="236">
        <f t="shared" si="10"/>
        <v>0</v>
      </c>
      <c r="Q126" s="236">
        <f t="shared" si="10"/>
        <v>0</v>
      </c>
      <c r="R126" s="236">
        <f t="shared" si="10"/>
        <v>0</v>
      </c>
      <c r="S126" s="236">
        <f t="shared" si="10"/>
        <v>0</v>
      </c>
    </row>
    <row r="127" spans="2:19" outlineLevel="1" x14ac:dyDescent="0.2">
      <c r="B127" s="13"/>
      <c r="C127" s="81"/>
      <c r="D127" s="13"/>
      <c r="E127" s="13"/>
    </row>
    <row r="128" spans="2:19" outlineLevel="1" x14ac:dyDescent="0.2">
      <c r="B128" s="52" t="s">
        <v>299</v>
      </c>
      <c r="C128" s="145"/>
      <c r="D128" s="146"/>
      <c r="E128" s="145"/>
      <c r="F128" s="18"/>
      <c r="G128" s="20"/>
      <c r="H128" s="20"/>
      <c r="I128" s="20"/>
      <c r="J128" s="20"/>
      <c r="K128" s="18"/>
      <c r="M128" s="18"/>
      <c r="N128" s="18"/>
      <c r="O128" s="18"/>
      <c r="P128" s="18"/>
      <c r="Q128" s="18"/>
      <c r="R128" s="18"/>
      <c r="S128" s="18"/>
    </row>
    <row r="129" spans="2:19" outlineLevel="1" x14ac:dyDescent="0.2">
      <c r="B129" s="52"/>
      <c r="C129" s="145"/>
      <c r="D129" s="146"/>
      <c r="E129" s="145"/>
      <c r="F129" s="18"/>
      <c r="G129" s="20"/>
      <c r="H129" s="20"/>
      <c r="I129" s="20"/>
      <c r="J129" s="20"/>
      <c r="K129" s="18"/>
      <c r="M129" s="18"/>
      <c r="N129" s="18"/>
      <c r="O129" s="18"/>
      <c r="P129" s="18"/>
      <c r="Q129" s="18"/>
      <c r="R129" s="18"/>
      <c r="S129" s="18"/>
    </row>
    <row r="130" spans="2:19" outlineLevel="1" x14ac:dyDescent="0.2">
      <c r="B130" s="163" t="str">
        <f>'Global inputs'!B152</f>
        <v>1.1 Poles</v>
      </c>
      <c r="C130" s="16" t="s">
        <v>250</v>
      </c>
      <c r="D130" s="13"/>
      <c r="E130" s="13"/>
      <c r="M130" s="199">
        <v>3256459.3</v>
      </c>
      <c r="N130" s="199">
        <v>1019493.94</v>
      </c>
      <c r="O130" s="199"/>
      <c r="P130" s="199"/>
      <c r="Q130" s="199"/>
      <c r="R130" s="199"/>
      <c r="S130" s="199"/>
    </row>
    <row r="131" spans="2:19" outlineLevel="1" x14ac:dyDescent="0.2">
      <c r="B131" s="163" t="str">
        <f>'Global inputs'!B153</f>
        <v>1.2 Crossarms</v>
      </c>
      <c r="C131" s="16" t="s">
        <v>250</v>
      </c>
      <c r="D131" s="13"/>
      <c r="E131" s="13"/>
      <c r="M131" s="199"/>
      <c r="N131" s="199"/>
      <c r="O131" s="199"/>
      <c r="P131" s="199"/>
      <c r="Q131" s="199"/>
      <c r="R131" s="199"/>
      <c r="S131" s="199"/>
    </row>
    <row r="132" spans="2:19" outlineLevel="1" x14ac:dyDescent="0.2">
      <c r="B132" s="163" t="str">
        <f>'Global inputs'!B154</f>
        <v>2.1 Subtransmission Conductor</v>
      </c>
      <c r="C132" s="16" t="s">
        <v>250</v>
      </c>
      <c r="D132" s="13"/>
      <c r="E132" s="13"/>
      <c r="M132" s="199"/>
      <c r="N132" s="199"/>
      <c r="O132" s="199"/>
      <c r="P132" s="199"/>
      <c r="Q132" s="199"/>
      <c r="R132" s="199"/>
      <c r="S132" s="199"/>
    </row>
    <row r="133" spans="2:19" outlineLevel="1" x14ac:dyDescent="0.2">
      <c r="B133" s="163" t="str">
        <f>'Global inputs'!B155</f>
        <v>2.2 Distribution Conductor</v>
      </c>
      <c r="C133" s="16" t="s">
        <v>250</v>
      </c>
      <c r="D133" s="13"/>
      <c r="E133" s="13"/>
      <c r="M133" s="199"/>
      <c r="N133" s="199"/>
      <c r="O133" s="199"/>
      <c r="P133" s="199"/>
      <c r="Q133" s="199"/>
      <c r="R133" s="199"/>
      <c r="S133" s="199"/>
    </row>
    <row r="134" spans="2:19" outlineLevel="1" x14ac:dyDescent="0.2">
      <c r="B134" s="163" t="str">
        <f>'Global inputs'!B156</f>
        <v>2.3 Low Voltage Conductor</v>
      </c>
      <c r="C134" s="16" t="s">
        <v>250</v>
      </c>
      <c r="D134" s="13"/>
      <c r="E134" s="13"/>
      <c r="M134" s="200"/>
      <c r="N134" s="199"/>
      <c r="O134" s="199"/>
      <c r="P134" s="199"/>
      <c r="Q134" s="199"/>
      <c r="R134" s="199"/>
      <c r="S134" s="199"/>
    </row>
    <row r="135" spans="2:19" outlineLevel="1" x14ac:dyDescent="0.2">
      <c r="B135" s="163" t="str">
        <f>'Global inputs'!B157</f>
        <v>3.1 Subtransmission Cables</v>
      </c>
      <c r="C135" s="16" t="s">
        <v>250</v>
      </c>
      <c r="D135" s="13"/>
      <c r="E135" s="13"/>
      <c r="M135" s="203"/>
      <c r="N135" s="204">
        <v>3470132.4499999997</v>
      </c>
      <c r="O135" s="199"/>
      <c r="P135" s="199"/>
      <c r="Q135" s="199"/>
      <c r="R135" s="199"/>
      <c r="S135" s="199"/>
    </row>
    <row r="136" spans="2:19" outlineLevel="1" x14ac:dyDescent="0.2">
      <c r="B136" s="163" t="str">
        <f>'Global inputs'!B158</f>
        <v>3.2 Distribution Cables</v>
      </c>
      <c r="C136" s="16" t="s">
        <v>250</v>
      </c>
      <c r="D136" s="13"/>
      <c r="E136" s="13"/>
      <c r="M136" s="205"/>
      <c r="N136" s="199"/>
      <c r="O136" s="199"/>
      <c r="P136" s="199"/>
      <c r="Q136" s="199"/>
      <c r="R136" s="199"/>
      <c r="S136" s="199"/>
    </row>
    <row r="137" spans="2:19" outlineLevel="1" x14ac:dyDescent="0.2">
      <c r="B137" s="163" t="str">
        <f>'Global inputs'!B159</f>
        <v>3.3 Low Voltage Cables</v>
      </c>
      <c r="C137" s="16" t="s">
        <v>250</v>
      </c>
      <c r="D137" s="13"/>
      <c r="E137" s="13"/>
      <c r="M137" s="199"/>
      <c r="N137" s="199"/>
      <c r="O137" s="199"/>
      <c r="P137" s="199"/>
      <c r="Q137" s="199"/>
      <c r="R137" s="199"/>
      <c r="S137" s="199"/>
    </row>
    <row r="138" spans="2:19" outlineLevel="1" x14ac:dyDescent="0.2">
      <c r="B138" s="163" t="str">
        <f>'Global inputs'!B160</f>
        <v>4.1 Zone Substations</v>
      </c>
      <c r="C138" s="16" t="s">
        <v>250</v>
      </c>
      <c r="D138" s="13"/>
      <c r="E138" s="13"/>
      <c r="M138" s="199"/>
      <c r="N138" s="199"/>
      <c r="O138" s="199"/>
      <c r="P138" s="199"/>
      <c r="Q138" s="199"/>
      <c r="R138" s="199"/>
      <c r="S138" s="199"/>
    </row>
    <row r="139" spans="2:19" outlineLevel="1" x14ac:dyDescent="0.2">
      <c r="B139" s="163" t="str">
        <f>'Global inputs'!B161</f>
        <v>5.1 Ground Mounted Switchgear</v>
      </c>
      <c r="C139" s="16" t="s">
        <v>250</v>
      </c>
      <c r="D139" s="13"/>
      <c r="E139" s="13"/>
      <c r="M139" s="199"/>
      <c r="N139" s="199"/>
      <c r="O139" s="199"/>
      <c r="P139" s="199"/>
      <c r="Q139" s="199"/>
      <c r="R139" s="199"/>
      <c r="S139" s="199"/>
    </row>
    <row r="140" spans="2:19" outlineLevel="1" x14ac:dyDescent="0.2">
      <c r="B140" s="163" t="str">
        <f>'Global inputs'!B162</f>
        <v>5.2 Pole Mounted Fuses</v>
      </c>
      <c r="C140" s="16" t="s">
        <v>250</v>
      </c>
      <c r="D140" s="13"/>
      <c r="E140" s="13"/>
      <c r="M140" s="199"/>
      <c r="N140" s="199"/>
      <c r="O140" s="199"/>
      <c r="P140" s="199"/>
      <c r="Q140" s="199"/>
      <c r="R140" s="199"/>
      <c r="S140" s="199"/>
    </row>
    <row r="141" spans="2:19" outlineLevel="1" x14ac:dyDescent="0.2">
      <c r="B141" s="163" t="str">
        <f>'Global inputs'!B163</f>
        <v>5.3 Pole Mounted Switches</v>
      </c>
      <c r="C141" s="16" t="s">
        <v>250</v>
      </c>
      <c r="D141" s="13"/>
      <c r="E141" s="13"/>
      <c r="M141" s="199"/>
      <c r="N141" s="199"/>
      <c r="O141" s="199"/>
      <c r="P141" s="199"/>
      <c r="Q141" s="199"/>
      <c r="R141" s="199"/>
      <c r="S141" s="199"/>
    </row>
    <row r="142" spans="2:19" outlineLevel="1" x14ac:dyDescent="0.2">
      <c r="B142" s="163" t="str">
        <f>'Global inputs'!B164</f>
        <v>5.4 Low Voltage Enclosures</v>
      </c>
      <c r="C142" s="16" t="s">
        <v>250</v>
      </c>
      <c r="D142" s="13"/>
      <c r="E142" s="13"/>
      <c r="M142" s="199"/>
      <c r="N142" s="199"/>
      <c r="O142" s="199"/>
      <c r="P142" s="199"/>
      <c r="Q142" s="199"/>
      <c r="R142" s="199"/>
      <c r="S142" s="199"/>
    </row>
    <row r="143" spans="2:19" outlineLevel="1" x14ac:dyDescent="0.2">
      <c r="B143" s="163" t="str">
        <f>'Global inputs'!B165</f>
        <v>5.6 Ancillary Distribution Substation Equipment</v>
      </c>
      <c r="C143" s="16" t="s">
        <v>250</v>
      </c>
      <c r="D143" s="13"/>
      <c r="E143" s="13"/>
      <c r="M143" s="200"/>
      <c r="N143" s="199"/>
      <c r="O143" s="199"/>
      <c r="P143" s="199"/>
      <c r="Q143" s="199"/>
      <c r="R143" s="199"/>
      <c r="S143" s="199"/>
    </row>
    <row r="144" spans="2:19" outlineLevel="1" x14ac:dyDescent="0.2">
      <c r="B144" s="163" t="str">
        <f>'Global inputs'!B166</f>
        <v>6.1 Ground Mounted Distribution Transformers</v>
      </c>
      <c r="C144" s="16" t="s">
        <v>250</v>
      </c>
      <c r="D144" s="13"/>
      <c r="E144" s="13"/>
      <c r="M144" s="203"/>
      <c r="N144" s="204"/>
      <c r="O144" s="199"/>
      <c r="P144" s="199"/>
      <c r="Q144" s="199"/>
      <c r="R144" s="199"/>
      <c r="S144" s="199"/>
    </row>
    <row r="145" spans="1:27" outlineLevel="1" x14ac:dyDescent="0.2">
      <c r="B145" s="163" t="str">
        <f>'Global inputs'!B167</f>
        <v>6.2 Pole Mounted Distribution Transformers</v>
      </c>
      <c r="C145" s="16" t="s">
        <v>250</v>
      </c>
      <c r="D145" s="13"/>
      <c r="E145" s="13"/>
      <c r="M145" s="205"/>
      <c r="N145" s="199"/>
      <c r="O145" s="199"/>
      <c r="P145" s="199"/>
      <c r="Q145" s="199"/>
      <c r="R145" s="199"/>
      <c r="S145" s="199"/>
    </row>
    <row r="146" spans="1:27" outlineLevel="1" x14ac:dyDescent="0.2">
      <c r="B146" s="163" t="str">
        <f>'Global inputs'!B168</f>
        <v>6.4 Mobile Distribution Substations and Generators</v>
      </c>
      <c r="C146" s="16" t="s">
        <v>250</v>
      </c>
      <c r="D146" s="13"/>
      <c r="E146" s="13"/>
      <c r="M146" s="199"/>
      <c r="N146" s="199"/>
      <c r="O146" s="199"/>
      <c r="P146" s="199"/>
      <c r="Q146" s="199"/>
      <c r="R146" s="199"/>
      <c r="S146" s="199"/>
    </row>
    <row r="147" spans="1:27" outlineLevel="1" x14ac:dyDescent="0.2">
      <c r="B147" s="163" t="str">
        <f>'Global inputs'!B169</f>
        <v>7.1 Protection</v>
      </c>
      <c r="C147" s="16" t="s">
        <v>250</v>
      </c>
      <c r="D147" s="13"/>
      <c r="E147" s="13"/>
      <c r="M147" s="199">
        <v>7836477.5899999999</v>
      </c>
      <c r="N147" s="199"/>
      <c r="O147" s="199"/>
      <c r="P147" s="199"/>
      <c r="Q147" s="199"/>
      <c r="R147" s="199"/>
      <c r="S147" s="199"/>
    </row>
    <row r="148" spans="1:27" outlineLevel="1" x14ac:dyDescent="0.2">
      <c r="B148" s="163" t="str">
        <f>'Global inputs'!B170</f>
        <v>7.2 DC Systems</v>
      </c>
      <c r="C148" s="16" t="s">
        <v>250</v>
      </c>
      <c r="D148" s="13"/>
      <c r="E148" s="13"/>
      <c r="M148" s="199"/>
      <c r="N148" s="199"/>
      <c r="O148" s="199"/>
      <c r="P148" s="199"/>
      <c r="Q148" s="199"/>
      <c r="R148" s="199"/>
      <c r="S148" s="199"/>
    </row>
    <row r="149" spans="1:27" outlineLevel="1" x14ac:dyDescent="0.2">
      <c r="B149" s="163" t="str">
        <f>'Global inputs'!B171</f>
        <v>7.3 Remote Terminal Units</v>
      </c>
      <c r="C149" s="16" t="s">
        <v>250</v>
      </c>
      <c r="D149" s="13"/>
      <c r="E149" s="13"/>
      <c r="M149" s="199"/>
      <c r="N149" s="199"/>
      <c r="O149" s="199"/>
      <c r="P149" s="199"/>
      <c r="Q149" s="199"/>
      <c r="R149" s="199"/>
      <c r="S149" s="199"/>
    </row>
    <row r="150" spans="1:27" outlineLevel="1" x14ac:dyDescent="0.2">
      <c r="B150" s="13"/>
      <c r="C150" s="81"/>
      <c r="D150" s="13"/>
      <c r="E150" s="13"/>
      <c r="K150" s="31"/>
      <c r="M150" s="57"/>
      <c r="N150" s="31"/>
      <c r="O150" s="31"/>
      <c r="P150" s="31"/>
      <c r="Q150" s="31"/>
      <c r="R150" s="31"/>
      <c r="S150" s="31"/>
    </row>
    <row r="151" spans="1:27" s="13" customFormat="1" ht="12" customHeight="1" x14ac:dyDescent="0.2">
      <c r="A151" s="15"/>
      <c r="B151" s="49" t="s">
        <v>300</v>
      </c>
      <c r="C151" s="50" t="s">
        <v>51</v>
      </c>
      <c r="D151" s="51" t="s">
        <v>52</v>
      </c>
      <c r="E151" s="50" t="s">
        <v>53</v>
      </c>
      <c r="F151" s="18"/>
      <c r="G151" s="20"/>
      <c r="H151" s="20"/>
      <c r="I151" s="20"/>
      <c r="J151" s="20"/>
      <c r="K151" s="18"/>
      <c r="L151" s="18"/>
      <c r="M151" s="18"/>
      <c r="N151" s="18"/>
      <c r="O151" s="18"/>
      <c r="P151" s="18"/>
      <c r="Q151" s="18"/>
      <c r="R151" s="18"/>
      <c r="S151" s="18"/>
      <c r="T151" s="18"/>
    </row>
    <row r="152" spans="1:27" x14ac:dyDescent="0.2">
      <c r="C152" s="68"/>
      <c r="K152" s="31"/>
      <c r="L152" s="31"/>
      <c r="M152" s="31"/>
      <c r="N152" s="31"/>
      <c r="O152" s="31"/>
      <c r="P152" s="31"/>
      <c r="Q152" s="31"/>
      <c r="R152" s="31"/>
      <c r="S152" s="31"/>
      <c r="T152" s="18"/>
    </row>
    <row r="153" spans="1:27" x14ac:dyDescent="0.2">
      <c r="B153" s="52" t="s">
        <v>240</v>
      </c>
      <c r="C153" s="68"/>
      <c r="K153" s="31"/>
      <c r="L153" s="31"/>
      <c r="M153" s="31"/>
      <c r="N153" s="31"/>
      <c r="O153" s="31"/>
      <c r="P153" s="31"/>
      <c r="Q153" s="31"/>
      <c r="R153" s="31"/>
      <c r="S153" s="31"/>
      <c r="T153" s="18"/>
    </row>
    <row r="154" spans="1:27" x14ac:dyDescent="0.2">
      <c r="C154" s="68"/>
      <c r="K154" s="31"/>
      <c r="L154" s="31"/>
      <c r="M154" s="31"/>
      <c r="N154" s="31"/>
      <c r="O154" s="31"/>
      <c r="P154" s="31"/>
      <c r="Q154" s="31"/>
      <c r="R154" s="31"/>
      <c r="S154" s="31"/>
      <c r="T154" s="18"/>
    </row>
    <row r="155" spans="1:27" s="75" customFormat="1" x14ac:dyDescent="0.2">
      <c r="B155" s="13" t="s">
        <v>188</v>
      </c>
      <c r="C155" s="56" t="s">
        <v>191</v>
      </c>
      <c r="D155" s="15"/>
      <c r="E155" s="15"/>
      <c r="F155" s="13"/>
      <c r="G155" s="13"/>
      <c r="H155" s="121">
        <f>Escalators!I$14</f>
        <v>0.93943305079565687</v>
      </c>
      <c r="I155" s="121">
        <f>Escalators!J$14</f>
        <v>0.94257365415983008</v>
      </c>
      <c r="J155" s="121">
        <f>Escalators!K$14</f>
        <v>0.95278061593566388</v>
      </c>
      <c r="K155" s="121">
        <f>Escalators!L$14</f>
        <v>0.96786375719118611</v>
      </c>
      <c r="L155" s="121">
        <f>Escalators!M$14</f>
        <v>0.98425338965797537</v>
      </c>
      <c r="M155" s="121"/>
      <c r="N155" s="13"/>
      <c r="O155" s="13"/>
      <c r="P155" s="13"/>
      <c r="Q155" s="13"/>
      <c r="R155" s="13"/>
      <c r="S155" s="13"/>
      <c r="T155" s="13"/>
      <c r="U155" s="13"/>
      <c r="V155" s="13"/>
      <c r="W155" s="13"/>
      <c r="X155" s="13"/>
      <c r="Y155" s="76"/>
      <c r="Z155" s="76"/>
      <c r="AA155" s="76"/>
    </row>
    <row r="156" spans="1:27" s="75" customFormat="1" x14ac:dyDescent="0.2">
      <c r="B156" s="16"/>
      <c r="C156" s="68"/>
      <c r="D156" s="15"/>
      <c r="E156" s="15"/>
      <c r="F156" s="13"/>
      <c r="G156" s="13"/>
      <c r="H156" s="13"/>
      <c r="I156" s="13"/>
      <c r="J156" s="13"/>
      <c r="K156" s="13"/>
      <c r="L156" s="13"/>
      <c r="M156" s="13"/>
      <c r="N156" s="13"/>
      <c r="O156" s="13"/>
      <c r="P156" s="13"/>
      <c r="Q156" s="13"/>
      <c r="R156" s="13"/>
      <c r="S156" s="13"/>
      <c r="T156" s="13"/>
      <c r="U156" s="13"/>
      <c r="V156" s="13"/>
      <c r="W156" s="13"/>
      <c r="X156" s="13"/>
      <c r="Y156" s="76"/>
      <c r="Z156" s="76"/>
      <c r="AA156" s="76"/>
    </row>
    <row r="157" spans="1:27" x14ac:dyDescent="0.2">
      <c r="B157" s="13" t="s">
        <v>95</v>
      </c>
      <c r="C157" s="16" t="s">
        <v>242</v>
      </c>
      <c r="H157" s="238">
        <f t="shared" ref="H157:L160" si="11">H175/H$155</f>
        <v>10910873.788320756</v>
      </c>
      <c r="I157" s="238">
        <f t="shared" si="11"/>
        <v>11195804.585386368</v>
      </c>
      <c r="J157" s="238">
        <f t="shared" si="11"/>
        <v>7898950.5412751855</v>
      </c>
      <c r="K157" s="238">
        <f t="shared" si="11"/>
        <v>8776398.4923369437</v>
      </c>
      <c r="L157" s="238">
        <f t="shared" si="11"/>
        <v>18045314.70093203</v>
      </c>
      <c r="M157" s="13"/>
      <c r="N157" s="13"/>
      <c r="O157" s="13"/>
      <c r="P157" s="13"/>
      <c r="Q157" s="13"/>
      <c r="R157" s="13"/>
      <c r="S157" s="13"/>
      <c r="T157" s="13"/>
    </row>
    <row r="158" spans="1:27" x14ac:dyDescent="0.2">
      <c r="B158" s="13" t="s">
        <v>268</v>
      </c>
      <c r="C158" s="16" t="s">
        <v>242</v>
      </c>
      <c r="H158" s="238">
        <f t="shared" si="11"/>
        <v>7342941.488317633</v>
      </c>
      <c r="I158" s="238">
        <f t="shared" si="11"/>
        <v>9527292.528510958</v>
      </c>
      <c r="J158" s="238">
        <f t="shared" si="11"/>
        <v>283768.99488803296</v>
      </c>
      <c r="K158" s="238">
        <f t="shared" si="11"/>
        <v>6553811.3829437606</v>
      </c>
      <c r="L158" s="238">
        <f t="shared" si="11"/>
        <v>8386956.9505328005</v>
      </c>
      <c r="M158" s="13"/>
      <c r="N158" s="13"/>
      <c r="O158" s="13"/>
      <c r="P158" s="13"/>
      <c r="Q158" s="13"/>
      <c r="R158" s="13"/>
      <c r="S158" s="13"/>
      <c r="T158" s="13"/>
    </row>
    <row r="159" spans="1:27" x14ac:dyDescent="0.2">
      <c r="B159" s="13" t="s">
        <v>100</v>
      </c>
      <c r="C159" s="16" t="s">
        <v>242</v>
      </c>
      <c r="H159" s="238">
        <f t="shared" si="11"/>
        <v>7984141.6010292014</v>
      </c>
      <c r="I159" s="238">
        <f t="shared" si="11"/>
        <v>5846438.9586320939</v>
      </c>
      <c r="J159" s="238">
        <f t="shared" si="11"/>
        <v>19026376.062767267</v>
      </c>
      <c r="K159" s="238">
        <f t="shared" si="11"/>
        <v>52452380.39144396</v>
      </c>
      <c r="L159" s="238">
        <f t="shared" si="11"/>
        <v>40624247.133596599</v>
      </c>
      <c r="M159" s="13"/>
      <c r="N159" s="13"/>
      <c r="O159" s="13"/>
      <c r="P159" s="13"/>
      <c r="Q159" s="13"/>
      <c r="R159" s="13"/>
      <c r="S159" s="13"/>
      <c r="T159" s="13"/>
    </row>
    <row r="160" spans="1:27" x14ac:dyDescent="0.2">
      <c r="B160" s="13" t="s">
        <v>269</v>
      </c>
      <c r="C160" s="16" t="s">
        <v>242</v>
      </c>
      <c r="H160" s="238">
        <f t="shared" si="11"/>
        <v>2735353.7599480017</v>
      </c>
      <c r="I160" s="238">
        <f t="shared" si="11"/>
        <v>2192649.5015504225</v>
      </c>
      <c r="J160" s="238">
        <f t="shared" si="11"/>
        <v>2183992.3963999227</v>
      </c>
      <c r="K160" s="238">
        <f t="shared" si="11"/>
        <v>1071829.0145330962</v>
      </c>
      <c r="L160" s="238">
        <f t="shared" si="11"/>
        <v>1401895.5381239061</v>
      </c>
      <c r="M160" s="13"/>
      <c r="N160" s="13"/>
      <c r="O160" s="13"/>
      <c r="P160" s="13"/>
      <c r="Q160" s="13"/>
      <c r="R160" s="13"/>
      <c r="S160" s="13"/>
    </row>
    <row r="161" spans="2:27" x14ac:dyDescent="0.2">
      <c r="B161" s="13"/>
      <c r="C161" s="16"/>
      <c r="D161" s="12"/>
      <c r="E161" s="12"/>
      <c r="F161" s="12"/>
      <c r="G161" s="12"/>
      <c r="H161" s="230"/>
      <c r="I161" s="230"/>
      <c r="J161" s="230"/>
      <c r="K161" s="230"/>
      <c r="L161" s="230"/>
      <c r="M161" s="13"/>
      <c r="N161" s="13"/>
      <c r="O161" s="13"/>
      <c r="P161" s="13"/>
      <c r="Q161" s="13"/>
      <c r="R161" s="13"/>
      <c r="S161" s="13"/>
    </row>
    <row r="162" spans="2:27" x14ac:dyDescent="0.2">
      <c r="B162" s="58" t="s">
        <v>270</v>
      </c>
      <c r="C162" s="16"/>
      <c r="H162" s="230"/>
      <c r="I162" s="230"/>
      <c r="J162" s="230"/>
      <c r="K162" s="230"/>
      <c r="L162" s="230"/>
      <c r="M162" s="13"/>
      <c r="N162" s="13"/>
      <c r="O162" s="13"/>
      <c r="P162" s="13"/>
      <c r="Q162" s="13"/>
      <c r="R162" s="13"/>
      <c r="S162" s="13"/>
    </row>
    <row r="163" spans="2:27" x14ac:dyDescent="0.2">
      <c r="B163" s="13" t="s">
        <v>97</v>
      </c>
      <c r="C163" s="16" t="s">
        <v>242</v>
      </c>
      <c r="H163" s="238">
        <f t="shared" ref="H163:L165" si="12">H181/H$155</f>
        <v>1640855.4124297681</v>
      </c>
      <c r="I163" s="238">
        <f t="shared" si="12"/>
        <v>1780537.2164271239</v>
      </c>
      <c r="J163" s="238">
        <f t="shared" si="12"/>
        <v>1374664.5784505624</v>
      </c>
      <c r="K163" s="238">
        <f t="shared" si="12"/>
        <v>0</v>
      </c>
      <c r="L163" s="238">
        <f t="shared" si="12"/>
        <v>0</v>
      </c>
      <c r="M163" s="13"/>
      <c r="N163" s="13"/>
      <c r="O163" s="13"/>
      <c r="P163" s="13"/>
      <c r="Q163" s="13"/>
      <c r="R163" s="13"/>
      <c r="S163" s="13"/>
    </row>
    <row r="164" spans="2:27" x14ac:dyDescent="0.2">
      <c r="B164" s="13" t="s">
        <v>121</v>
      </c>
      <c r="C164" s="16" t="s">
        <v>242</v>
      </c>
      <c r="H164" s="238">
        <f t="shared" si="12"/>
        <v>0</v>
      </c>
      <c r="I164" s="238">
        <f t="shared" si="12"/>
        <v>0</v>
      </c>
      <c r="J164" s="238">
        <f t="shared" si="12"/>
        <v>0</v>
      </c>
      <c r="K164" s="238">
        <f t="shared" si="12"/>
        <v>0</v>
      </c>
      <c r="L164" s="238">
        <f t="shared" si="12"/>
        <v>0</v>
      </c>
      <c r="M164" s="13"/>
      <c r="N164" s="13"/>
      <c r="O164" s="13"/>
      <c r="P164" s="13"/>
      <c r="Q164" s="13"/>
      <c r="R164" s="13"/>
      <c r="S164" s="13"/>
    </row>
    <row r="165" spans="2:27" x14ac:dyDescent="0.2">
      <c r="B165" s="13" t="s">
        <v>271</v>
      </c>
      <c r="C165" s="16" t="s">
        <v>242</v>
      </c>
      <c r="D165" s="12"/>
      <c r="E165" s="12"/>
      <c r="F165" s="12"/>
      <c r="G165" s="12"/>
      <c r="H165" s="238">
        <f t="shared" si="12"/>
        <v>427960.87459404452</v>
      </c>
      <c r="I165" s="238">
        <f t="shared" si="12"/>
        <v>266540.62550163793</v>
      </c>
      <c r="J165" s="238">
        <f t="shared" si="12"/>
        <v>863873.31777164398</v>
      </c>
      <c r="K165" s="238">
        <f t="shared" si="12"/>
        <v>1756047.4686034322</v>
      </c>
      <c r="L165" s="238">
        <f t="shared" si="12"/>
        <v>1929565.4508604007</v>
      </c>
      <c r="M165" s="13"/>
      <c r="N165" s="13"/>
      <c r="O165" s="13"/>
      <c r="P165" s="13"/>
      <c r="Q165" s="13"/>
      <c r="R165" s="13"/>
      <c r="S165" s="13"/>
    </row>
    <row r="166" spans="2:27" s="12" customFormat="1" x14ac:dyDescent="0.2">
      <c r="B166" s="58" t="s">
        <v>272</v>
      </c>
      <c r="C166" s="66" t="s">
        <v>242</v>
      </c>
      <c r="H166" s="233">
        <f>SUM(H163:H165)</f>
        <v>2068816.2870238125</v>
      </c>
      <c r="I166" s="233">
        <f>SUM(I163:I165)</f>
        <v>2047077.8419287619</v>
      </c>
      <c r="J166" s="233">
        <f>SUM(J163:J165)</f>
        <v>2238537.8962222063</v>
      </c>
      <c r="K166" s="233">
        <f>SUM(K163:K165)</f>
        <v>1756047.4686034322</v>
      </c>
      <c r="L166" s="233">
        <f>SUM(L163:L165)</f>
        <v>1929565.4508604007</v>
      </c>
      <c r="M166" s="13"/>
      <c r="N166" s="13"/>
      <c r="O166" s="13"/>
      <c r="P166" s="13"/>
      <c r="Q166" s="13"/>
      <c r="R166" s="13"/>
      <c r="S166" s="13"/>
    </row>
    <row r="167" spans="2:27" x14ac:dyDescent="0.2">
      <c r="C167" s="66"/>
      <c r="D167" s="12"/>
      <c r="E167" s="12"/>
      <c r="F167" s="12"/>
      <c r="G167" s="12"/>
      <c r="H167" s="230"/>
      <c r="I167" s="230"/>
      <c r="J167" s="230"/>
      <c r="K167" s="230"/>
      <c r="L167" s="230"/>
      <c r="M167" s="13"/>
      <c r="N167" s="13"/>
      <c r="O167" s="13"/>
      <c r="P167" s="13"/>
      <c r="Q167" s="13"/>
      <c r="R167" s="13"/>
      <c r="S167" s="13"/>
    </row>
    <row r="168" spans="2:27" s="12" customFormat="1" x14ac:dyDescent="0.2">
      <c r="B168" s="12" t="s">
        <v>301</v>
      </c>
      <c r="C168" s="66" t="s">
        <v>242</v>
      </c>
      <c r="H168" s="235">
        <f>SUM(H157:H160,H166)</f>
        <v>31042126.924639404</v>
      </c>
      <c r="I168" s="235">
        <f>SUM(I157:I160,I166)</f>
        <v>30809263.416008599</v>
      </c>
      <c r="J168" s="235">
        <f>SUM(J157:J160,J166)</f>
        <v>31631625.891552616</v>
      </c>
      <c r="K168" s="235">
        <f>SUM(K157:K160,K166)</f>
        <v>70610466.749861196</v>
      </c>
      <c r="L168" s="235">
        <f>SUM(L157:L160,L166)</f>
        <v>70387979.774045736</v>
      </c>
      <c r="M168" s="13"/>
      <c r="N168" s="13"/>
      <c r="O168" s="13"/>
      <c r="P168" s="13"/>
      <c r="Q168" s="13"/>
      <c r="R168" s="13"/>
      <c r="S168" s="13"/>
    </row>
    <row r="169" spans="2:27" x14ac:dyDescent="0.2">
      <c r="C169" s="16"/>
      <c r="H169" s="230"/>
      <c r="I169" s="230"/>
      <c r="J169" s="230"/>
      <c r="K169" s="230"/>
      <c r="L169" s="230"/>
      <c r="M169" s="13"/>
      <c r="N169" s="13"/>
      <c r="O169" s="13"/>
      <c r="P169" s="13"/>
      <c r="Q169" s="13"/>
      <c r="R169" s="13"/>
      <c r="S169" s="13"/>
    </row>
    <row r="170" spans="2:27" x14ac:dyDescent="0.2">
      <c r="B170" s="15" t="s">
        <v>274</v>
      </c>
      <c r="C170" s="16" t="s">
        <v>242</v>
      </c>
      <c r="H170" s="238">
        <f>H188/H$155</f>
        <v>0</v>
      </c>
      <c r="I170" s="238">
        <f>I188/I$155</f>
        <v>0</v>
      </c>
      <c r="J170" s="238">
        <f>J188/J$155</f>
        <v>0</v>
      </c>
      <c r="K170" s="238">
        <f>K188/K$155</f>
        <v>988152.87518521631</v>
      </c>
      <c r="L170" s="238">
        <f>L188/L$155</f>
        <v>653511.32626448106</v>
      </c>
      <c r="M170" s="13"/>
      <c r="N170" s="13"/>
      <c r="O170" s="13"/>
      <c r="P170" s="13"/>
      <c r="Q170" s="13"/>
      <c r="R170" s="13"/>
      <c r="S170" s="13"/>
    </row>
    <row r="171" spans="2:27" x14ac:dyDescent="0.2">
      <c r="B171" s="12" t="s">
        <v>296</v>
      </c>
      <c r="C171" s="66" t="s">
        <v>242</v>
      </c>
      <c r="H171" s="235">
        <f>H168+H170</f>
        <v>31042126.924639404</v>
      </c>
      <c r="I171" s="235">
        <f>I168+I170</f>
        <v>30809263.416008599</v>
      </c>
      <c r="J171" s="235">
        <f>J168+J170</f>
        <v>31631625.891552616</v>
      </c>
      <c r="K171" s="235">
        <f>K168+K170</f>
        <v>71598619.625046417</v>
      </c>
      <c r="L171" s="235">
        <f>L168+L170</f>
        <v>71041491.100310221</v>
      </c>
      <c r="M171" s="13"/>
      <c r="N171" s="13"/>
      <c r="O171" s="13"/>
      <c r="P171" s="13"/>
      <c r="Q171" s="13"/>
      <c r="R171" s="13"/>
      <c r="S171" s="13"/>
    </row>
    <row r="172" spans="2:27" x14ac:dyDescent="0.2">
      <c r="C172" s="68"/>
      <c r="H172" s="13"/>
      <c r="I172" s="13"/>
      <c r="J172" s="13"/>
      <c r="K172" s="13"/>
      <c r="L172" s="13"/>
      <c r="M172" s="13"/>
      <c r="N172" s="13"/>
      <c r="O172" s="13"/>
      <c r="P172" s="13"/>
      <c r="Q172" s="13"/>
      <c r="R172" s="13"/>
      <c r="S172" s="13"/>
    </row>
    <row r="173" spans="2:27" s="75" customFormat="1" x14ac:dyDescent="0.2">
      <c r="B173" s="52" t="s">
        <v>249</v>
      </c>
      <c r="C173" s="68"/>
      <c r="D173" s="15"/>
      <c r="E173" s="15"/>
      <c r="F173" s="13"/>
      <c r="G173" s="13"/>
      <c r="H173" s="13"/>
      <c r="I173" s="13"/>
      <c r="J173" s="13"/>
      <c r="K173" s="13"/>
      <c r="L173" s="13"/>
      <c r="M173" s="13"/>
      <c r="N173" s="13"/>
      <c r="O173" s="13"/>
      <c r="P173" s="13"/>
      <c r="Q173" s="13"/>
      <c r="R173" s="13"/>
      <c r="S173" s="13"/>
      <c r="T173" s="13"/>
      <c r="U173" s="13"/>
      <c r="V173" s="13"/>
      <c r="W173" s="13"/>
      <c r="X173" s="13"/>
      <c r="Y173" s="76"/>
      <c r="Z173" s="76"/>
      <c r="AA173" s="76"/>
    </row>
    <row r="174" spans="2:27" s="75" customFormat="1" x14ac:dyDescent="0.2">
      <c r="B174" s="77"/>
      <c r="C174" s="68"/>
      <c r="D174" s="15"/>
      <c r="E174" s="15"/>
      <c r="F174" s="13"/>
      <c r="G174" s="13"/>
      <c r="H174" s="13"/>
      <c r="I174" s="13"/>
      <c r="J174" s="13"/>
      <c r="K174" s="13"/>
      <c r="L174" s="13"/>
      <c r="M174" s="13"/>
      <c r="N174" s="13"/>
      <c r="O174" s="13"/>
      <c r="P174" s="13"/>
      <c r="Q174" s="13"/>
      <c r="R174" s="13"/>
      <c r="S174" s="13"/>
      <c r="T174" s="13"/>
      <c r="U174" s="13"/>
      <c r="V174" s="13"/>
      <c r="W174" s="13"/>
      <c r="X174" s="13"/>
      <c r="Y174" s="76"/>
      <c r="Z174" s="76"/>
      <c r="AA174" s="76"/>
    </row>
    <row r="175" spans="2:27" x14ac:dyDescent="0.2">
      <c r="B175" s="13" t="s">
        <v>95</v>
      </c>
      <c r="C175" s="16" t="s">
        <v>250</v>
      </c>
      <c r="H175" s="199">
        <v>10250035.449808534</v>
      </c>
      <c r="I175" s="199">
        <v>10552870.43930701</v>
      </c>
      <c r="J175" s="199">
        <v>7525966.9619615171</v>
      </c>
      <c r="K175" s="199">
        <v>8494358.0194002949</v>
      </c>
      <c r="L175" s="199">
        <v>17761162.161837243</v>
      </c>
      <c r="M175" s="13"/>
      <c r="S175" s="13"/>
      <c r="T175" s="13"/>
    </row>
    <row r="176" spans="2:27" x14ac:dyDescent="0.2">
      <c r="B176" s="13" t="s">
        <v>268</v>
      </c>
      <c r="C176" s="16" t="s">
        <v>250</v>
      </c>
      <c r="H176" s="199">
        <v>6898201.9241842348</v>
      </c>
      <c r="I176" s="199">
        <v>8980174.9328482207</v>
      </c>
      <c r="J176" s="199">
        <v>270369.59773286432</v>
      </c>
      <c r="K176" s="199">
        <v>6343196.5090183113</v>
      </c>
      <c r="L176" s="199">
        <v>8254890.8074774258</v>
      </c>
      <c r="M176" s="13"/>
      <c r="S176" s="13"/>
      <c r="T176" s="13"/>
    </row>
    <row r="177" spans="1:22" x14ac:dyDescent="0.2">
      <c r="B177" s="13" t="s">
        <v>100</v>
      </c>
      <c r="C177" s="16" t="s">
        <v>250</v>
      </c>
      <c r="H177" s="199">
        <v>7500566.5022393828</v>
      </c>
      <c r="I177" s="199">
        <v>5510699.3330602441</v>
      </c>
      <c r="J177" s="199">
        <v>18127962.304106969</v>
      </c>
      <c r="K177" s="199">
        <v>50766757.959284246</v>
      </c>
      <c r="L177" s="199">
        <v>39984552.943545744</v>
      </c>
      <c r="M177" s="13"/>
      <c r="S177" s="13"/>
      <c r="T177" s="13"/>
    </row>
    <row r="178" spans="1:22" x14ac:dyDescent="0.2">
      <c r="B178" s="13" t="s">
        <v>269</v>
      </c>
      <c r="C178" s="16" t="s">
        <v>250</v>
      </c>
      <c r="H178" s="199">
        <v>2569681.7277133223</v>
      </c>
      <c r="I178" s="199">
        <v>2066733.6529681117</v>
      </c>
      <c r="J178" s="199">
        <v>2080865.6206407249</v>
      </c>
      <c r="K178" s="199">
        <v>1037384.4570725289</v>
      </c>
      <c r="L178" s="199">
        <v>1379820.435344846</v>
      </c>
      <c r="M178" s="13"/>
      <c r="S178" s="13"/>
    </row>
    <row r="179" spans="1:22" x14ac:dyDescent="0.2">
      <c r="B179" s="13"/>
      <c r="C179" s="16"/>
      <c r="D179" s="12"/>
      <c r="E179" s="12"/>
      <c r="F179" s="12"/>
      <c r="G179" s="12"/>
      <c r="H179" s="13"/>
      <c r="I179" s="13"/>
      <c r="J179" s="13"/>
      <c r="K179" s="13"/>
      <c r="L179" s="13"/>
      <c r="M179" s="13"/>
      <c r="S179" s="13"/>
    </row>
    <row r="180" spans="1:22" x14ac:dyDescent="0.2">
      <c r="B180" s="58" t="s">
        <v>270</v>
      </c>
      <c r="C180" s="16"/>
      <c r="H180" s="13"/>
      <c r="I180" s="13"/>
      <c r="J180" s="13"/>
      <c r="K180" s="13"/>
      <c r="L180" s="13"/>
      <c r="M180" s="13"/>
      <c r="S180" s="13"/>
    </row>
    <row r="181" spans="1:22" x14ac:dyDescent="0.2">
      <c r="B181" s="13" t="s">
        <v>97</v>
      </c>
      <c r="C181" s="16" t="s">
        <v>250</v>
      </c>
      <c r="H181" s="199">
        <v>1541473.8060134628</v>
      </c>
      <c r="I181" s="199">
        <v>1678287.4704552863</v>
      </c>
      <c r="J181" s="199">
        <v>1309753.7637610666</v>
      </c>
      <c r="K181" s="199">
        <v>0</v>
      </c>
      <c r="L181" s="199">
        <v>0</v>
      </c>
      <c r="M181" s="13"/>
      <c r="S181" s="13"/>
    </row>
    <row r="182" spans="1:22" x14ac:dyDescent="0.2">
      <c r="B182" s="13" t="s">
        <v>121</v>
      </c>
      <c r="C182" s="16" t="s">
        <v>250</v>
      </c>
      <c r="H182" s="199">
        <v>0</v>
      </c>
      <c r="I182" s="199">
        <v>0</v>
      </c>
      <c r="J182" s="199">
        <v>0</v>
      </c>
      <c r="K182" s="199">
        <v>0</v>
      </c>
      <c r="L182" s="199">
        <v>0</v>
      </c>
      <c r="M182" s="13"/>
      <c r="S182" s="13"/>
    </row>
    <row r="183" spans="1:22" x14ac:dyDescent="0.2">
      <c r="B183" s="13" t="s">
        <v>271</v>
      </c>
      <c r="C183" s="16" t="s">
        <v>250</v>
      </c>
      <c r="D183" s="12"/>
      <c r="E183" s="12"/>
      <c r="F183" s="12"/>
      <c r="G183" s="12"/>
      <c r="H183" s="199">
        <v>402040.59004106076</v>
      </c>
      <c r="I183" s="199">
        <v>251234.17136112566</v>
      </c>
      <c r="J183" s="199">
        <v>823081.75179685245</v>
      </c>
      <c r="K183" s="199">
        <v>1699614.7007685893</v>
      </c>
      <c r="L183" s="199">
        <v>1899181.3355762688</v>
      </c>
      <c r="M183" s="13"/>
      <c r="S183" s="13"/>
      <c r="V183" s="13"/>
    </row>
    <row r="184" spans="1:22" s="12" customFormat="1" x14ac:dyDescent="0.2">
      <c r="B184" s="58" t="s">
        <v>272</v>
      </c>
      <c r="C184" s="66" t="s">
        <v>250</v>
      </c>
      <c r="H184" s="233">
        <f>SUM(H181:H183)</f>
        <v>1943514.3960545235</v>
      </c>
      <c r="I184" s="233">
        <f>SUM(I181:I183)</f>
        <v>1929521.6418164121</v>
      </c>
      <c r="J184" s="233">
        <f>SUM(J181:J183)</f>
        <v>2132835.5155579192</v>
      </c>
      <c r="K184" s="233">
        <f>SUM(K181:K183)</f>
        <v>1699614.7007685893</v>
      </c>
      <c r="L184" s="233">
        <f>SUM(L181:L183)</f>
        <v>1899181.3355762688</v>
      </c>
      <c r="M184" s="13"/>
      <c r="S184" s="13"/>
    </row>
    <row r="185" spans="1:22" x14ac:dyDescent="0.2">
      <c r="C185" s="66"/>
      <c r="D185" s="12"/>
      <c r="E185" s="12"/>
      <c r="F185" s="12"/>
      <c r="G185" s="12"/>
      <c r="H185" s="229"/>
      <c r="I185" s="229"/>
      <c r="J185" s="229"/>
      <c r="K185" s="229"/>
      <c r="L185" s="229"/>
      <c r="M185" s="13"/>
      <c r="S185" s="13"/>
    </row>
    <row r="186" spans="1:22" x14ac:dyDescent="0.2">
      <c r="B186" s="12" t="s">
        <v>301</v>
      </c>
      <c r="C186" s="66" t="s">
        <v>250</v>
      </c>
      <c r="H186" s="235">
        <f>SUM(H175:H178)+H184</f>
        <v>29162000.000000004</v>
      </c>
      <c r="I186" s="235">
        <f>SUM(I175:I178)+I184</f>
        <v>29040000</v>
      </c>
      <c r="J186" s="235">
        <f>SUM(J175:J178)+J184</f>
        <v>30137999.999999996</v>
      </c>
      <c r="K186" s="235">
        <f>SUM(K175:K178)+K184</f>
        <v>68341311.645543963</v>
      </c>
      <c r="L186" s="235">
        <f>SUM(L175:L178)+L184</f>
        <v>69279607.68378152</v>
      </c>
      <c r="M186" s="13"/>
      <c r="S186" s="13"/>
    </row>
    <row r="187" spans="1:22" x14ac:dyDescent="0.2">
      <c r="C187" s="16"/>
      <c r="H187" s="13"/>
      <c r="I187" s="13"/>
      <c r="J187" s="13"/>
      <c r="K187" s="13"/>
      <c r="L187" s="13"/>
      <c r="M187" s="13"/>
      <c r="S187" s="13"/>
    </row>
    <row r="188" spans="1:22" x14ac:dyDescent="0.2">
      <c r="B188" s="15" t="s">
        <v>274</v>
      </c>
      <c r="C188" s="16" t="s">
        <v>250</v>
      </c>
      <c r="H188" s="199">
        <v>0</v>
      </c>
      <c r="I188" s="199">
        <v>0</v>
      </c>
      <c r="J188" s="199">
        <v>0</v>
      </c>
      <c r="K188" s="199">
        <v>956397.35445603658</v>
      </c>
      <c r="L188" s="199">
        <v>643220.7380556945</v>
      </c>
      <c r="M188" s="13"/>
      <c r="S188" s="13"/>
    </row>
    <row r="189" spans="1:22" x14ac:dyDescent="0.2">
      <c r="B189" s="12" t="s">
        <v>296</v>
      </c>
      <c r="C189" s="66" t="s">
        <v>250</v>
      </c>
      <c r="H189" s="235">
        <f>H186+H188</f>
        <v>29162000.000000004</v>
      </c>
      <c r="I189" s="235">
        <f>I186+I188</f>
        <v>29040000</v>
      </c>
      <c r="J189" s="235">
        <f>J186+J188</f>
        <v>30137999.999999996</v>
      </c>
      <c r="K189" s="235">
        <f>K186+K188</f>
        <v>69297709</v>
      </c>
      <c r="L189" s="235">
        <f>L186+L188</f>
        <v>69922828.421837211</v>
      </c>
      <c r="M189" s="13"/>
      <c r="Q189" s="13"/>
      <c r="S189" s="13"/>
    </row>
    <row r="190" spans="1:22" s="58" customFormat="1" ht="12" customHeight="1" x14ac:dyDescent="0.2">
      <c r="A190" s="12"/>
      <c r="B190" s="81" t="s">
        <v>302</v>
      </c>
      <c r="C190" s="66"/>
      <c r="D190" s="12"/>
      <c r="E190" s="12"/>
      <c r="F190" s="12"/>
      <c r="G190" s="12"/>
      <c r="H190" s="142"/>
      <c r="I190" s="142"/>
      <c r="J190" s="142"/>
      <c r="K190" s="142"/>
      <c r="L190" s="142"/>
      <c r="M190" s="67"/>
      <c r="N190" s="67"/>
      <c r="O190" s="67"/>
      <c r="P190" s="67"/>
      <c r="Q190" s="67"/>
      <c r="R190" s="67"/>
      <c r="S190" s="67"/>
      <c r="T190" s="12"/>
      <c r="U190" s="12"/>
    </row>
    <row r="191" spans="1:22" x14ac:dyDescent="0.2">
      <c r="B191" s="12"/>
      <c r="C191" s="66"/>
      <c r="H191" s="13"/>
      <c r="I191" s="13"/>
      <c r="J191" s="13"/>
      <c r="K191" s="13"/>
      <c r="L191" s="13"/>
      <c r="M191" s="13"/>
      <c r="Q191" s="13"/>
      <c r="S191" s="13"/>
    </row>
    <row r="192" spans="1:22" x14ac:dyDescent="0.2">
      <c r="B192" s="15" t="s">
        <v>303</v>
      </c>
      <c r="C192" s="16" t="s">
        <v>250</v>
      </c>
      <c r="H192" s="199">
        <v>0</v>
      </c>
      <c r="I192" s="199">
        <v>0</v>
      </c>
      <c r="J192" s="199">
        <v>0</v>
      </c>
      <c r="K192" s="199">
        <v>0</v>
      </c>
      <c r="L192" s="199">
        <v>0</v>
      </c>
      <c r="M192" s="13"/>
      <c r="Q192" s="13"/>
      <c r="S192" s="13"/>
    </row>
    <row r="193" spans="1:27" x14ac:dyDescent="0.2">
      <c r="B193" s="15" t="s">
        <v>304</v>
      </c>
      <c r="C193" s="16" t="s">
        <v>250</v>
      </c>
      <c r="H193" s="199">
        <v>4434524.588756592</v>
      </c>
      <c r="I193" s="199">
        <v>6114274.9399999995</v>
      </c>
      <c r="J193" s="199">
        <v>3498980.280999999</v>
      </c>
      <c r="K193" s="199">
        <v>4750898.9380000029</v>
      </c>
      <c r="L193" s="199">
        <v>3875286.7060892805</v>
      </c>
      <c r="M193" s="13"/>
      <c r="S193" s="13"/>
    </row>
    <row r="194" spans="1:27" x14ac:dyDescent="0.2">
      <c r="B194" s="15" t="s">
        <v>305</v>
      </c>
      <c r="C194" s="16" t="s">
        <v>250</v>
      </c>
      <c r="H194" s="199">
        <v>0</v>
      </c>
      <c r="I194" s="199">
        <v>0</v>
      </c>
      <c r="J194" s="199">
        <v>0</v>
      </c>
      <c r="K194" s="199">
        <v>0</v>
      </c>
      <c r="L194" s="199">
        <v>0</v>
      </c>
      <c r="M194" s="13"/>
      <c r="S194" s="13"/>
    </row>
    <row r="195" spans="1:27" x14ac:dyDescent="0.2">
      <c r="H195" s="13"/>
      <c r="I195" s="13"/>
      <c r="J195" s="13"/>
      <c r="K195" s="13"/>
      <c r="L195" s="13"/>
      <c r="M195" s="13"/>
      <c r="S195" s="13"/>
    </row>
    <row r="196" spans="1:27" s="12" customFormat="1" x14ac:dyDescent="0.2">
      <c r="B196" s="12" t="s">
        <v>306</v>
      </c>
      <c r="C196" s="66" t="s">
        <v>250</v>
      </c>
      <c r="H196" s="235">
        <f>H189+H192-H193+H194</f>
        <v>24727475.411243413</v>
      </c>
      <c r="I196" s="235">
        <f>I189+I192-I193+I194</f>
        <v>22925725.060000002</v>
      </c>
      <c r="J196" s="235">
        <f>J189+J192-J193+J194</f>
        <v>26639019.718999997</v>
      </c>
      <c r="K196" s="235">
        <f>K189+K192-K193+K194</f>
        <v>64546810.061999999</v>
      </c>
      <c r="L196" s="235">
        <f>L189+L192-L193+L194</f>
        <v>66047541.71574793</v>
      </c>
      <c r="M196" s="58"/>
      <c r="N196" s="58"/>
      <c r="S196" s="58"/>
    </row>
    <row r="197" spans="1:27" s="58" customFormat="1" ht="12" customHeight="1" x14ac:dyDescent="0.2">
      <c r="A197" s="12"/>
      <c r="B197" s="81" t="s">
        <v>307</v>
      </c>
      <c r="C197" s="66"/>
      <c r="D197" s="12"/>
      <c r="E197" s="12"/>
      <c r="F197" s="12"/>
      <c r="G197" s="12"/>
      <c r="H197" s="142"/>
      <c r="I197" s="142"/>
      <c r="J197" s="142"/>
      <c r="K197" s="142"/>
      <c r="L197" s="142"/>
      <c r="M197" s="67"/>
      <c r="N197" s="67"/>
      <c r="O197" s="67"/>
      <c r="P197" s="67"/>
      <c r="Q197" s="67"/>
      <c r="R197" s="67"/>
      <c r="S197" s="67"/>
      <c r="T197" s="12"/>
      <c r="U197" s="12"/>
    </row>
    <row r="198" spans="1:27" x14ac:dyDescent="0.2">
      <c r="M198" s="13"/>
      <c r="N198" s="13"/>
      <c r="O198" s="13"/>
      <c r="P198" s="13"/>
      <c r="Q198" s="13"/>
      <c r="R198" s="13"/>
      <c r="S198" s="13"/>
    </row>
    <row r="199" spans="1:27" s="13" customFormat="1" ht="12" customHeight="1" x14ac:dyDescent="0.2">
      <c r="A199" s="15"/>
      <c r="B199" s="49" t="s">
        <v>77</v>
      </c>
      <c r="C199" s="50" t="s">
        <v>51</v>
      </c>
      <c r="D199" s="51" t="s">
        <v>52</v>
      </c>
      <c r="E199" s="50" t="s">
        <v>53</v>
      </c>
      <c r="F199" s="18"/>
      <c r="G199" s="20"/>
      <c r="H199" s="20"/>
      <c r="I199" s="20"/>
      <c r="J199" s="20"/>
      <c r="K199" s="18"/>
      <c r="T199" s="15"/>
    </row>
    <row r="200" spans="1:27" x14ac:dyDescent="0.2">
      <c r="C200" s="68"/>
      <c r="K200" s="31"/>
      <c r="L200" s="31"/>
      <c r="M200" s="13"/>
      <c r="N200" s="13"/>
      <c r="O200" s="13"/>
      <c r="P200" s="13"/>
      <c r="Q200" s="13"/>
      <c r="R200" s="13"/>
      <c r="S200" s="13"/>
    </row>
    <row r="201" spans="1:27" x14ac:dyDescent="0.2">
      <c r="B201" s="52" t="s">
        <v>240</v>
      </c>
      <c r="C201" s="68"/>
      <c r="M201" s="13"/>
      <c r="N201" s="13"/>
      <c r="O201" s="13"/>
      <c r="P201" s="13"/>
      <c r="Q201" s="13"/>
      <c r="R201" s="13"/>
      <c r="S201" s="13"/>
    </row>
    <row r="202" spans="1:27" x14ac:dyDescent="0.2">
      <c r="C202" s="68"/>
      <c r="M202" s="13"/>
      <c r="N202" s="13"/>
      <c r="O202" s="13"/>
      <c r="P202" s="13"/>
      <c r="Q202" s="13"/>
      <c r="R202" s="13"/>
      <c r="S202" s="13"/>
    </row>
    <row r="203" spans="1:27" s="75" customFormat="1" x14ac:dyDescent="0.2">
      <c r="B203" s="13" t="s">
        <v>188</v>
      </c>
      <c r="C203" s="56" t="s">
        <v>191</v>
      </c>
      <c r="D203" s="15"/>
      <c r="E203" s="15"/>
      <c r="F203" s="13"/>
      <c r="G203" s="13"/>
      <c r="H203" s="121">
        <f>Escalators!I$14</f>
        <v>0.93943305079565687</v>
      </c>
      <c r="I203" s="121">
        <f>Escalators!J$14</f>
        <v>0.94257365415983008</v>
      </c>
      <c r="J203" s="121">
        <f>Escalators!K$14</f>
        <v>0.95278061593566388</v>
      </c>
      <c r="K203" s="121">
        <f>Escalators!L$14</f>
        <v>0.96786375719118611</v>
      </c>
      <c r="L203" s="121">
        <f>Escalators!M$14</f>
        <v>0.98425338965797537</v>
      </c>
      <c r="M203" s="121"/>
      <c r="N203" s="13"/>
      <c r="O203" s="13"/>
      <c r="P203" s="13"/>
      <c r="Q203" s="13"/>
      <c r="R203" s="13"/>
      <c r="S203" s="13"/>
      <c r="T203" s="13"/>
      <c r="U203" s="13"/>
      <c r="V203" s="13"/>
      <c r="W203" s="13"/>
      <c r="X203" s="13"/>
      <c r="Y203" s="76"/>
      <c r="Z203" s="76"/>
      <c r="AA203" s="76"/>
    </row>
    <row r="204" spans="1:27" x14ac:dyDescent="0.2">
      <c r="C204" s="68"/>
      <c r="K204" s="31"/>
      <c r="L204" s="31"/>
      <c r="M204" s="31"/>
      <c r="N204" s="31"/>
      <c r="O204" s="31"/>
      <c r="P204" s="31"/>
      <c r="Q204" s="31"/>
      <c r="R204" s="31"/>
      <c r="S204" s="31"/>
      <c r="T204" s="18"/>
    </row>
    <row r="205" spans="1:27" x14ac:dyDescent="0.2">
      <c r="B205" s="27" t="s">
        <v>308</v>
      </c>
      <c r="C205" s="16" t="s">
        <v>242</v>
      </c>
      <c r="H205" s="238">
        <f t="shared" ref="H205:L213" si="13">H221/H$203</f>
        <v>0</v>
      </c>
      <c r="I205" s="238">
        <f t="shared" si="13"/>
        <v>262578.94956825516</v>
      </c>
      <c r="J205" s="238">
        <f t="shared" si="13"/>
        <v>2099.1191115238316</v>
      </c>
      <c r="K205" s="238">
        <f t="shared" si="13"/>
        <v>115718.76637372235</v>
      </c>
      <c r="L205" s="238">
        <f t="shared" si="13"/>
        <v>770228.48787286074</v>
      </c>
      <c r="M205" s="13"/>
      <c r="N205" s="13"/>
      <c r="O205" s="13"/>
      <c r="P205" s="13"/>
      <c r="Q205" s="13"/>
      <c r="R205" s="13"/>
      <c r="S205" s="13"/>
    </row>
    <row r="206" spans="1:27" x14ac:dyDescent="0.2">
      <c r="B206" s="27" t="s">
        <v>309</v>
      </c>
      <c r="C206" s="16" t="s">
        <v>242</v>
      </c>
      <c r="H206" s="238">
        <f t="shared" si="13"/>
        <v>0</v>
      </c>
      <c r="I206" s="238">
        <f t="shared" si="13"/>
        <v>262578.94956825516</v>
      </c>
      <c r="J206" s="238">
        <f t="shared" si="13"/>
        <v>2099.1191115238316</v>
      </c>
      <c r="K206" s="238">
        <f t="shared" si="13"/>
        <v>115718.76637372235</v>
      </c>
      <c r="L206" s="238">
        <f t="shared" si="13"/>
        <v>770228.48787286074</v>
      </c>
      <c r="M206" s="13"/>
      <c r="N206" s="13"/>
      <c r="O206" s="13"/>
      <c r="P206" s="13"/>
      <c r="Q206" s="13"/>
      <c r="R206" s="13"/>
      <c r="S206" s="13"/>
    </row>
    <row r="207" spans="1:27" x14ac:dyDescent="0.2">
      <c r="B207" s="27" t="s">
        <v>310</v>
      </c>
      <c r="C207" s="16" t="s">
        <v>242</v>
      </c>
      <c r="H207" s="238">
        <f t="shared" si="13"/>
        <v>7082995.4240638716</v>
      </c>
      <c r="I207" s="238">
        <f t="shared" si="13"/>
        <v>6996800.6965763345</v>
      </c>
      <c r="J207" s="238">
        <f t="shared" si="13"/>
        <v>24139.869782524067</v>
      </c>
      <c r="K207" s="238">
        <f t="shared" si="13"/>
        <v>5166.0163559697476</v>
      </c>
      <c r="L207" s="238">
        <f t="shared" si="13"/>
        <v>5172547.083398045</v>
      </c>
      <c r="M207" s="13"/>
      <c r="N207" s="13"/>
      <c r="O207" s="13"/>
      <c r="P207" s="13"/>
      <c r="Q207" s="13"/>
      <c r="R207" s="13"/>
      <c r="S207" s="13"/>
    </row>
    <row r="208" spans="1:27" x14ac:dyDescent="0.2">
      <c r="B208" s="27" t="s">
        <v>311</v>
      </c>
      <c r="C208" s="16" t="s">
        <v>242</v>
      </c>
      <c r="H208" s="238">
        <f t="shared" si="13"/>
        <v>133058.97625608413</v>
      </c>
      <c r="I208" s="238">
        <f t="shared" si="13"/>
        <v>430735.56979681453</v>
      </c>
      <c r="J208" s="238">
        <f t="shared" si="13"/>
        <v>86063.883572477105</v>
      </c>
      <c r="K208" s="238">
        <f t="shared" si="13"/>
        <v>42361.334118951934</v>
      </c>
      <c r="L208" s="238">
        <f t="shared" si="13"/>
        <v>21833.808474327634</v>
      </c>
      <c r="M208" s="13"/>
      <c r="N208" s="13"/>
      <c r="O208" s="13"/>
      <c r="P208" s="13"/>
      <c r="Q208" s="13"/>
      <c r="R208" s="13"/>
      <c r="S208" s="13"/>
    </row>
    <row r="209" spans="2:20" x14ac:dyDescent="0.2">
      <c r="B209" s="27" t="s">
        <v>312</v>
      </c>
      <c r="C209" s="16" t="s">
        <v>242</v>
      </c>
      <c r="H209" s="238">
        <f t="shared" si="13"/>
        <v>45772.287832092945</v>
      </c>
      <c r="I209" s="238">
        <f t="shared" si="13"/>
        <v>965441.79437217047</v>
      </c>
      <c r="J209" s="238">
        <f t="shared" si="13"/>
        <v>111253.31291076308</v>
      </c>
      <c r="K209" s="238">
        <f t="shared" si="13"/>
        <v>403982.47903683427</v>
      </c>
      <c r="L209" s="238">
        <f t="shared" si="13"/>
        <v>1168911.3922176042</v>
      </c>
      <c r="M209" s="13"/>
      <c r="N209" s="13"/>
      <c r="O209" s="13"/>
      <c r="P209" s="13"/>
      <c r="Q209" s="13"/>
      <c r="R209" s="13"/>
      <c r="S209" s="13"/>
    </row>
    <row r="210" spans="2:20" x14ac:dyDescent="0.2">
      <c r="B210" s="27" t="s">
        <v>313</v>
      </c>
      <c r="C210" s="16" t="s">
        <v>242</v>
      </c>
      <c r="H210" s="238">
        <f t="shared" si="13"/>
        <v>36192.041541654886</v>
      </c>
      <c r="I210" s="238">
        <f t="shared" si="13"/>
        <v>178235.40819178533</v>
      </c>
      <c r="J210" s="238">
        <f t="shared" si="13"/>
        <v>0</v>
      </c>
      <c r="K210" s="238">
        <f t="shared" si="13"/>
        <v>154980.49067909244</v>
      </c>
      <c r="L210" s="238">
        <f t="shared" si="13"/>
        <v>109167.01037457214</v>
      </c>
      <c r="M210" s="13"/>
      <c r="N210" s="13"/>
      <c r="O210" s="13"/>
      <c r="P210" s="13"/>
      <c r="Q210" s="13"/>
      <c r="R210" s="13"/>
      <c r="S210" s="13"/>
    </row>
    <row r="211" spans="2:20" x14ac:dyDescent="0.2">
      <c r="B211" s="27" t="s">
        <v>314</v>
      </c>
      <c r="C211" s="16" t="s">
        <v>242</v>
      </c>
      <c r="H211" s="238">
        <f t="shared" si="13"/>
        <v>41514.400591898251</v>
      </c>
      <c r="I211" s="238">
        <f t="shared" si="13"/>
        <v>246134.61131246545</v>
      </c>
      <c r="J211" s="238">
        <f t="shared" si="13"/>
        <v>3148.6786672857479</v>
      </c>
      <c r="K211" s="238">
        <f t="shared" si="13"/>
        <v>363687.55146027025</v>
      </c>
      <c r="L211" s="238">
        <f t="shared" si="13"/>
        <v>181944.00129242058</v>
      </c>
      <c r="M211" s="13"/>
      <c r="N211" s="13"/>
      <c r="O211" s="13"/>
      <c r="P211" s="13"/>
      <c r="Q211" s="13"/>
      <c r="R211" s="13"/>
      <c r="S211" s="13"/>
    </row>
    <row r="212" spans="2:20" x14ac:dyDescent="0.2">
      <c r="B212" s="27" t="s">
        <v>315</v>
      </c>
      <c r="C212" s="16" t="s">
        <v>242</v>
      </c>
      <c r="H212" s="238">
        <f t="shared" si="13"/>
        <v>3193.4154301460194</v>
      </c>
      <c r="I212" s="238">
        <f t="shared" si="13"/>
        <v>184600.95848434907</v>
      </c>
      <c r="J212" s="238">
        <f t="shared" si="13"/>
        <v>54577.096899619624</v>
      </c>
      <c r="K212" s="238">
        <f t="shared" si="13"/>
        <v>5351992.944784659</v>
      </c>
      <c r="L212" s="238">
        <f t="shared" si="13"/>
        <v>192097.89063129589</v>
      </c>
      <c r="M212" s="13"/>
      <c r="N212" s="13"/>
      <c r="O212" s="13"/>
      <c r="P212" s="13"/>
      <c r="Q212" s="13"/>
      <c r="R212" s="13"/>
      <c r="S212" s="13"/>
    </row>
    <row r="213" spans="2:20" x14ac:dyDescent="0.2">
      <c r="B213" s="27" t="s">
        <v>316</v>
      </c>
      <c r="C213" s="16" t="s">
        <v>242</v>
      </c>
      <c r="H213" s="238">
        <f t="shared" si="13"/>
        <v>0</v>
      </c>
      <c r="I213" s="238">
        <f t="shared" si="13"/>
        <v>0</v>
      </c>
      <c r="J213" s="238">
        <f t="shared" si="13"/>
        <v>0</v>
      </c>
      <c r="K213" s="238">
        <f t="shared" si="13"/>
        <v>0</v>
      </c>
      <c r="L213" s="238">
        <f t="shared" si="13"/>
        <v>0</v>
      </c>
      <c r="M213" s="13"/>
      <c r="N213" s="13"/>
      <c r="O213" s="13"/>
      <c r="P213" s="13"/>
      <c r="Q213" s="13"/>
      <c r="R213" s="13"/>
      <c r="S213" s="13"/>
    </row>
    <row r="214" spans="2:20" s="12" customFormat="1" x14ac:dyDescent="0.2">
      <c r="B214" s="12" t="s">
        <v>49</v>
      </c>
      <c r="C214" s="66" t="s">
        <v>242</v>
      </c>
      <c r="H214" s="235">
        <f>SUM(H205:H213)</f>
        <v>7342726.5457157474</v>
      </c>
      <c r="I214" s="235">
        <f>SUM(I205:I213)</f>
        <v>9527106.9378704317</v>
      </c>
      <c r="J214" s="235">
        <f>SUM(J205:J213)</f>
        <v>283381.08005571732</v>
      </c>
      <c r="K214" s="235">
        <f>SUM(K205:K213)</f>
        <v>6553608.3491832223</v>
      </c>
      <c r="L214" s="235">
        <f>SUM(L205:L213)</f>
        <v>8386958.1621339871</v>
      </c>
      <c r="M214" s="13"/>
      <c r="N214" s="13"/>
      <c r="O214" s="13"/>
      <c r="P214" s="13"/>
      <c r="Q214" s="13"/>
      <c r="R214" s="13"/>
      <c r="S214" s="13"/>
      <c r="T214" s="15"/>
    </row>
    <row r="215" spans="2:20" x14ac:dyDescent="0.2">
      <c r="B215" s="12"/>
      <c r="C215" s="66"/>
      <c r="H215" s="230"/>
      <c r="I215" s="230"/>
      <c r="J215" s="230"/>
      <c r="K215" s="230"/>
      <c r="L215" s="230"/>
      <c r="M215" s="13"/>
      <c r="N215" s="13"/>
      <c r="O215" s="13"/>
      <c r="P215" s="13"/>
      <c r="Q215" s="13"/>
      <c r="R215" s="13"/>
      <c r="S215" s="13"/>
    </row>
    <row r="216" spans="2:20" x14ac:dyDescent="0.2">
      <c r="B216" s="15" t="s">
        <v>297</v>
      </c>
      <c r="C216" s="16" t="s">
        <v>242</v>
      </c>
      <c r="H216" s="238">
        <f>H232/H$203</f>
        <v>18096.020770827443</v>
      </c>
      <c r="I216" s="238">
        <f>I232/I$203</f>
        <v>23340.351072733793</v>
      </c>
      <c r="J216" s="238">
        <f>J232/J$203</f>
        <v>28338.108005571728</v>
      </c>
      <c r="K216" s="238">
        <f>K232/K$203</f>
        <v>0</v>
      </c>
      <c r="L216" s="238">
        <f>L232/L$203</f>
        <v>0</v>
      </c>
      <c r="M216" s="13"/>
      <c r="N216" s="13"/>
      <c r="O216" s="13"/>
      <c r="P216" s="13"/>
      <c r="Q216" s="13"/>
      <c r="R216" s="13"/>
      <c r="S216" s="13"/>
    </row>
    <row r="217" spans="2:20" s="12" customFormat="1" x14ac:dyDescent="0.2">
      <c r="B217" s="12" t="s">
        <v>317</v>
      </c>
      <c r="C217" s="66" t="s">
        <v>242</v>
      </c>
      <c r="H217" s="235">
        <f>H214-H216</f>
        <v>7324630.5249449201</v>
      </c>
      <c r="I217" s="235">
        <f>I214-I216</f>
        <v>9503766.5867976975</v>
      </c>
      <c r="J217" s="235">
        <f>J214-J216</f>
        <v>255042.97205014559</v>
      </c>
      <c r="K217" s="235">
        <f>K214-K216</f>
        <v>6553608.3491832223</v>
      </c>
      <c r="L217" s="235">
        <f>L214-L216</f>
        <v>8386958.1621339871</v>
      </c>
      <c r="M217" s="13"/>
      <c r="N217" s="13"/>
      <c r="O217" s="13"/>
      <c r="P217" s="13"/>
      <c r="Q217" s="13"/>
      <c r="R217" s="13"/>
      <c r="S217" s="13"/>
      <c r="T217" s="15"/>
    </row>
    <row r="218" spans="2:20" x14ac:dyDescent="0.2">
      <c r="B218" s="12"/>
      <c r="C218" s="66"/>
      <c r="H218" s="13"/>
      <c r="I218" s="13"/>
      <c r="J218" s="13"/>
      <c r="K218" s="13"/>
      <c r="L218" s="13"/>
      <c r="M218" s="13"/>
      <c r="N218" s="13"/>
      <c r="O218" s="13"/>
      <c r="P218" s="13"/>
      <c r="Q218" s="13"/>
      <c r="R218" s="13"/>
      <c r="S218" s="13"/>
    </row>
    <row r="219" spans="2:20" x14ac:dyDescent="0.2">
      <c r="B219" s="59" t="s">
        <v>249</v>
      </c>
      <c r="C219" s="68"/>
      <c r="H219" s="13"/>
      <c r="I219" s="13"/>
      <c r="J219" s="13"/>
      <c r="K219" s="13"/>
      <c r="L219" s="13"/>
      <c r="M219" s="13"/>
      <c r="N219" s="13"/>
      <c r="O219" s="13"/>
      <c r="P219" s="13"/>
      <c r="Q219" s="13"/>
      <c r="R219" s="13"/>
      <c r="S219" s="13"/>
    </row>
    <row r="220" spans="2:20" x14ac:dyDescent="0.2">
      <c r="C220" s="68"/>
      <c r="H220" s="13"/>
      <c r="I220" s="13"/>
      <c r="J220" s="13"/>
      <c r="K220" s="13"/>
      <c r="L220" s="13"/>
      <c r="M220" s="13"/>
      <c r="N220" s="13"/>
      <c r="O220" s="13"/>
      <c r="P220" s="13"/>
      <c r="Q220" s="13"/>
      <c r="R220" s="13"/>
      <c r="S220" s="13"/>
    </row>
    <row r="221" spans="2:20" x14ac:dyDescent="0.2">
      <c r="B221" s="27" t="s">
        <v>308</v>
      </c>
      <c r="C221" s="16" t="s">
        <v>250</v>
      </c>
      <c r="H221" s="206">
        <v>0</v>
      </c>
      <c r="I221" s="206">
        <f>(337+158)*1000*0.5</f>
        <v>247500</v>
      </c>
      <c r="J221" s="206">
        <f>4000*0.5</f>
        <v>2000</v>
      </c>
      <c r="K221" s="206">
        <f>224000*0.5</f>
        <v>112000</v>
      </c>
      <c r="L221" s="206">
        <f>1516200*0.5</f>
        <v>758100</v>
      </c>
      <c r="M221" s="13"/>
      <c r="N221" s="13"/>
      <c r="O221" s="13"/>
      <c r="P221" s="13"/>
      <c r="Q221" s="13"/>
      <c r="R221" s="13"/>
      <c r="S221" s="13"/>
    </row>
    <row r="222" spans="2:20" x14ac:dyDescent="0.2">
      <c r="B222" s="27" t="s">
        <v>309</v>
      </c>
      <c r="C222" s="16" t="s">
        <v>250</v>
      </c>
      <c r="H222" s="206">
        <v>0</v>
      </c>
      <c r="I222" s="206">
        <f>(337+158)*1000*0.5</f>
        <v>247500</v>
      </c>
      <c r="J222" s="206">
        <f>4000*0.5</f>
        <v>2000</v>
      </c>
      <c r="K222" s="206">
        <f>224000*0.5</f>
        <v>112000</v>
      </c>
      <c r="L222" s="206">
        <f>1516200*0.5</f>
        <v>758100</v>
      </c>
      <c r="M222" s="13"/>
      <c r="N222" s="13"/>
      <c r="O222" s="13"/>
      <c r="P222" s="13"/>
      <c r="Q222" s="13"/>
      <c r="R222" s="13"/>
      <c r="S222" s="13"/>
    </row>
    <row r="223" spans="2:20" x14ac:dyDescent="0.2">
      <c r="B223" s="27" t="s">
        <v>310</v>
      </c>
      <c r="C223" s="16" t="s">
        <v>250</v>
      </c>
      <c r="H223" s="206">
        <v>6654000</v>
      </c>
      <c r="I223" s="206">
        <v>6595000</v>
      </c>
      <c r="J223" s="206">
        <v>23000</v>
      </c>
      <c r="K223" s="206">
        <v>5000</v>
      </c>
      <c r="L223" s="206">
        <v>5091097</v>
      </c>
      <c r="M223" s="13"/>
      <c r="N223" s="13"/>
      <c r="O223" s="13"/>
      <c r="P223" s="13"/>
      <c r="Q223" s="13"/>
      <c r="R223" s="13"/>
      <c r="S223" s="13"/>
    </row>
    <row r="224" spans="2:20" x14ac:dyDescent="0.2">
      <c r="B224" s="27" t="s">
        <v>311</v>
      </c>
      <c r="C224" s="16" t="s">
        <v>250</v>
      </c>
      <c r="H224" s="206">
        <v>125000</v>
      </c>
      <c r="I224" s="206">
        <v>406000</v>
      </c>
      <c r="J224" s="206">
        <v>82000</v>
      </c>
      <c r="K224" s="206">
        <v>41000</v>
      </c>
      <c r="L224" s="206">
        <v>21490</v>
      </c>
      <c r="M224" s="13"/>
      <c r="N224" s="13"/>
      <c r="O224" s="13"/>
      <c r="P224" s="13"/>
      <c r="Q224" s="13"/>
      <c r="R224" s="13"/>
      <c r="S224" s="13"/>
    </row>
    <row r="225" spans="1:27" x14ac:dyDescent="0.2">
      <c r="B225" s="27" t="s">
        <v>312</v>
      </c>
      <c r="C225" s="16" t="s">
        <v>250</v>
      </c>
      <c r="H225" s="206">
        <v>43000</v>
      </c>
      <c r="I225" s="206">
        <v>910000</v>
      </c>
      <c r="J225" s="206">
        <v>106000</v>
      </c>
      <c r="K225" s="206">
        <v>391000</v>
      </c>
      <c r="L225" s="206">
        <v>1150505</v>
      </c>
      <c r="M225" s="13"/>
      <c r="N225" s="13"/>
      <c r="O225" s="13"/>
      <c r="P225" s="13"/>
      <c r="Q225" s="13"/>
      <c r="R225" s="13"/>
      <c r="S225" s="13"/>
    </row>
    <row r="226" spans="1:27" x14ac:dyDescent="0.2">
      <c r="B226" s="27" t="s">
        <v>313</v>
      </c>
      <c r="C226" s="16" t="s">
        <v>250</v>
      </c>
      <c r="H226" s="206">
        <v>34000</v>
      </c>
      <c r="I226" s="206">
        <v>168000</v>
      </c>
      <c r="J226" s="206">
        <v>0</v>
      </c>
      <c r="K226" s="206">
        <v>150000</v>
      </c>
      <c r="L226" s="206">
        <v>107448</v>
      </c>
      <c r="M226" s="13"/>
      <c r="N226" s="13"/>
      <c r="O226" s="13"/>
      <c r="P226" s="13"/>
      <c r="Q226" s="13"/>
      <c r="R226" s="13"/>
      <c r="S226" s="13"/>
    </row>
    <row r="227" spans="1:27" x14ac:dyDescent="0.2">
      <c r="B227" s="27" t="s">
        <v>314</v>
      </c>
      <c r="C227" s="16" t="s">
        <v>250</v>
      </c>
      <c r="H227" s="206">
        <v>39000</v>
      </c>
      <c r="I227" s="206">
        <v>232000</v>
      </c>
      <c r="J227" s="206">
        <v>3000</v>
      </c>
      <c r="K227" s="206">
        <v>352000</v>
      </c>
      <c r="L227" s="206">
        <v>179079</v>
      </c>
      <c r="M227" s="13"/>
      <c r="N227" s="13"/>
      <c r="O227" s="13"/>
      <c r="P227" s="13"/>
      <c r="Q227" s="13"/>
      <c r="R227" s="13"/>
      <c r="S227" s="13"/>
    </row>
    <row r="228" spans="1:27" x14ac:dyDescent="0.2">
      <c r="B228" s="27" t="s">
        <v>315</v>
      </c>
      <c r="C228" s="16" t="s">
        <v>250</v>
      </c>
      <c r="H228" s="206">
        <v>3000</v>
      </c>
      <c r="I228" s="206">
        <v>174000</v>
      </c>
      <c r="J228" s="206">
        <v>52000</v>
      </c>
      <c r="K228" s="206">
        <v>5180000</v>
      </c>
      <c r="L228" s="206">
        <v>189073</v>
      </c>
      <c r="M228" s="13"/>
      <c r="N228" s="13"/>
      <c r="O228" s="13"/>
      <c r="P228" s="13"/>
      <c r="Q228" s="13"/>
      <c r="R228" s="13"/>
      <c r="S228" s="13"/>
    </row>
    <row r="229" spans="1:27" x14ac:dyDescent="0.2">
      <c r="B229" s="27" t="s">
        <v>316</v>
      </c>
      <c r="C229" s="16" t="s">
        <v>250</v>
      </c>
      <c r="H229" s="206">
        <v>0</v>
      </c>
      <c r="I229" s="206">
        <v>0</v>
      </c>
      <c r="J229" s="206">
        <v>0</v>
      </c>
      <c r="K229" s="206">
        <v>0</v>
      </c>
      <c r="L229" s="206">
        <v>0</v>
      </c>
      <c r="M229" s="13"/>
      <c r="N229" s="13"/>
      <c r="O229" s="13"/>
      <c r="P229" s="13"/>
      <c r="Q229" s="13"/>
      <c r="R229" s="13"/>
      <c r="S229" s="13"/>
    </row>
    <row r="230" spans="1:27" s="12" customFormat="1" x14ac:dyDescent="0.2">
      <c r="B230" s="12" t="s">
        <v>49</v>
      </c>
      <c r="C230" s="66" t="s">
        <v>250</v>
      </c>
      <c r="H230" s="235">
        <f>SUM(H221:H229)</f>
        <v>6898000</v>
      </c>
      <c r="I230" s="235">
        <f>SUM(I221:I229)</f>
        <v>8980000</v>
      </c>
      <c r="J230" s="235">
        <f>SUM(J221:J229)</f>
        <v>270000</v>
      </c>
      <c r="K230" s="235">
        <f>SUM(K221:K229)</f>
        <v>6343000</v>
      </c>
      <c r="L230" s="235">
        <f>SUM(L221:L229)</f>
        <v>8254892</v>
      </c>
      <c r="M230" s="13"/>
      <c r="N230" s="13"/>
      <c r="O230" s="13"/>
      <c r="P230" s="13"/>
      <c r="Q230" s="13"/>
      <c r="R230" s="13"/>
      <c r="S230" s="13"/>
      <c r="T230" s="15"/>
    </row>
    <row r="231" spans="1:27" x14ac:dyDescent="0.2">
      <c r="B231" s="12"/>
      <c r="C231" s="66"/>
      <c r="H231" s="13"/>
      <c r="I231" s="13"/>
      <c r="J231" s="13"/>
      <c r="K231" s="13"/>
      <c r="L231" s="13"/>
      <c r="M231" s="13"/>
      <c r="N231" s="13"/>
      <c r="O231" s="13"/>
      <c r="P231" s="13"/>
      <c r="Q231" s="13"/>
      <c r="R231" s="13"/>
      <c r="S231" s="13"/>
    </row>
    <row r="232" spans="1:27" x14ac:dyDescent="0.2">
      <c r="B232" s="15" t="s">
        <v>297</v>
      </c>
      <c r="C232" s="16" t="s">
        <v>250</v>
      </c>
      <c r="H232" s="206">
        <v>17000</v>
      </c>
      <c r="I232" s="206">
        <v>22000</v>
      </c>
      <c r="J232" s="206">
        <v>27000</v>
      </c>
      <c r="K232" s="206">
        <v>0</v>
      </c>
      <c r="L232" s="206">
        <v>0</v>
      </c>
      <c r="M232" s="13"/>
      <c r="N232" s="13"/>
      <c r="O232" s="13"/>
      <c r="P232" s="13"/>
      <c r="Q232" s="13"/>
      <c r="R232" s="13"/>
      <c r="S232" s="13"/>
    </row>
    <row r="233" spans="1:27" s="12" customFormat="1" x14ac:dyDescent="0.2">
      <c r="B233" s="12" t="s">
        <v>317</v>
      </c>
      <c r="C233" s="66" t="s">
        <v>250</v>
      </c>
      <c r="H233" s="235">
        <f>H230-H232</f>
        <v>6881000</v>
      </c>
      <c r="I233" s="235">
        <f>I230-I232</f>
        <v>8958000</v>
      </c>
      <c r="J233" s="235">
        <f>J230-J232</f>
        <v>243000</v>
      </c>
      <c r="K233" s="235">
        <f>K230-K232</f>
        <v>6343000</v>
      </c>
      <c r="L233" s="235">
        <f>L230-L232</f>
        <v>8254892</v>
      </c>
      <c r="M233" s="13"/>
      <c r="N233" s="13"/>
      <c r="O233" s="13"/>
      <c r="P233" s="13"/>
      <c r="Q233" s="13"/>
      <c r="R233" s="13"/>
      <c r="S233" s="13"/>
      <c r="T233" s="15"/>
    </row>
    <row r="234" spans="1:27" x14ac:dyDescent="0.2">
      <c r="C234" s="68"/>
      <c r="I234" s="15"/>
      <c r="M234" s="13"/>
      <c r="N234" s="13"/>
      <c r="O234" s="13"/>
      <c r="P234" s="13"/>
      <c r="Q234" s="13"/>
      <c r="R234" s="13"/>
      <c r="S234" s="13"/>
    </row>
    <row r="235" spans="1:27" s="13" customFormat="1" ht="12" customHeight="1" x14ac:dyDescent="0.2">
      <c r="A235" s="15"/>
      <c r="B235" s="49" t="s">
        <v>100</v>
      </c>
      <c r="C235" s="50" t="s">
        <v>51</v>
      </c>
      <c r="D235" s="51" t="s">
        <v>52</v>
      </c>
      <c r="E235" s="50" t="s">
        <v>53</v>
      </c>
      <c r="F235" s="18"/>
      <c r="G235" s="20"/>
      <c r="H235" s="164">
        <f t="shared" ref="H235:K235" si="14">H230-H176</f>
        <v>-201.92418423481286</v>
      </c>
      <c r="I235" s="164">
        <f t="shared" si="14"/>
        <v>-174.93284822069108</v>
      </c>
      <c r="J235" s="164">
        <f t="shared" si="14"/>
        <v>-369.59773286432028</v>
      </c>
      <c r="K235" s="164">
        <f t="shared" si="14"/>
        <v>-196.50901831127703</v>
      </c>
      <c r="L235" s="164">
        <f>L230-L176</f>
        <v>1.1925225742161274</v>
      </c>
      <c r="T235" s="15"/>
    </row>
    <row r="236" spans="1:27" x14ac:dyDescent="0.2">
      <c r="C236" s="68"/>
      <c r="H236" s="31"/>
      <c r="I236" s="31"/>
      <c r="J236" s="31"/>
      <c r="K236" s="31"/>
      <c r="L236" s="31"/>
      <c r="M236" s="13"/>
      <c r="N236" s="13"/>
      <c r="O236" s="13"/>
      <c r="P236" s="13"/>
      <c r="Q236" s="13"/>
      <c r="R236" s="13"/>
      <c r="S236" s="13"/>
    </row>
    <row r="237" spans="1:27" x14ac:dyDescent="0.2">
      <c r="B237" s="52" t="s">
        <v>240</v>
      </c>
      <c r="C237" s="68"/>
      <c r="I237" s="15"/>
      <c r="M237" s="13"/>
      <c r="N237" s="13"/>
      <c r="O237" s="13"/>
      <c r="P237" s="13"/>
      <c r="Q237" s="13"/>
      <c r="R237" s="13"/>
      <c r="S237" s="13"/>
    </row>
    <row r="238" spans="1:27" x14ac:dyDescent="0.2">
      <c r="C238" s="68"/>
      <c r="I238" s="15"/>
      <c r="M238" s="13"/>
      <c r="N238" s="13"/>
      <c r="O238" s="13"/>
      <c r="P238" s="13"/>
      <c r="Q238" s="13"/>
      <c r="R238" s="13"/>
      <c r="S238" s="13"/>
    </row>
    <row r="239" spans="1:27" s="75" customFormat="1" x14ac:dyDescent="0.2">
      <c r="B239" s="13" t="s">
        <v>188</v>
      </c>
      <c r="C239" s="56" t="s">
        <v>191</v>
      </c>
      <c r="D239" s="15"/>
      <c r="E239" s="15"/>
      <c r="F239" s="13"/>
      <c r="G239" s="13"/>
      <c r="H239" s="121">
        <f>Escalators!I$14</f>
        <v>0.93943305079565687</v>
      </c>
      <c r="I239" s="121">
        <f>Escalators!J$14</f>
        <v>0.94257365415983008</v>
      </c>
      <c r="J239" s="121">
        <f>Escalators!K$14</f>
        <v>0.95278061593566388</v>
      </c>
      <c r="K239" s="121">
        <f>Escalators!L$14</f>
        <v>0.96786375719118611</v>
      </c>
      <c r="L239" s="121">
        <f>Escalators!M$14</f>
        <v>0.98425338965797537</v>
      </c>
      <c r="M239" s="121"/>
      <c r="N239" s="13"/>
      <c r="O239" s="13"/>
      <c r="P239" s="13"/>
      <c r="Q239" s="13"/>
      <c r="R239" s="13"/>
      <c r="S239" s="13"/>
      <c r="T239" s="13"/>
      <c r="U239" s="13"/>
      <c r="V239" s="13"/>
      <c r="W239" s="13"/>
      <c r="X239" s="13"/>
      <c r="Y239" s="76"/>
      <c r="Z239" s="76"/>
      <c r="AA239" s="76"/>
    </row>
    <row r="240" spans="1:27" x14ac:dyDescent="0.2">
      <c r="C240" s="68"/>
      <c r="K240" s="31"/>
      <c r="L240" s="31"/>
      <c r="M240" s="31"/>
      <c r="N240" s="31"/>
      <c r="O240" s="31"/>
      <c r="P240" s="31"/>
      <c r="Q240" s="31"/>
      <c r="R240" s="31"/>
      <c r="S240" s="31"/>
      <c r="T240" s="18"/>
    </row>
    <row r="241" spans="2:20" x14ac:dyDescent="0.2">
      <c r="B241" s="27" t="s">
        <v>308</v>
      </c>
      <c r="C241" s="16" t="s">
        <v>242</v>
      </c>
      <c r="H241" s="238">
        <f t="shared" ref="H241:L249" si="15">H257/H$203</f>
        <v>334244.14835528337</v>
      </c>
      <c r="I241" s="238">
        <f t="shared" si="15"/>
        <v>60472.727779355737</v>
      </c>
      <c r="J241" s="238">
        <f t="shared" si="15"/>
        <v>1375972.5776038717</v>
      </c>
      <c r="K241" s="238">
        <f t="shared" si="15"/>
        <v>2000281.5330314862</v>
      </c>
      <c r="L241" s="238">
        <f t="shared" si="15"/>
        <v>2348157.0135136922</v>
      </c>
      <c r="M241" s="13"/>
      <c r="N241" s="13"/>
      <c r="O241" s="13"/>
      <c r="P241" s="13"/>
      <c r="Q241" s="13"/>
      <c r="R241" s="13"/>
      <c r="S241" s="13"/>
    </row>
    <row r="242" spans="2:20" x14ac:dyDescent="0.2">
      <c r="B242" s="27" t="s">
        <v>309</v>
      </c>
      <c r="C242" s="16" t="s">
        <v>242</v>
      </c>
      <c r="H242" s="238">
        <f t="shared" si="15"/>
        <v>334244.14835528337</v>
      </c>
      <c r="I242" s="238">
        <f t="shared" si="15"/>
        <v>60472.727779355737</v>
      </c>
      <c r="J242" s="238">
        <f t="shared" si="15"/>
        <v>1375972.5776038717</v>
      </c>
      <c r="K242" s="238">
        <f t="shared" si="15"/>
        <v>2000281.5330314862</v>
      </c>
      <c r="L242" s="238">
        <f t="shared" si="15"/>
        <v>2348157.0135136922</v>
      </c>
      <c r="M242" s="13"/>
      <c r="N242" s="13"/>
      <c r="O242" s="13"/>
      <c r="P242" s="13"/>
      <c r="Q242" s="13"/>
      <c r="R242" s="13"/>
      <c r="S242" s="13"/>
    </row>
    <row r="243" spans="2:20" x14ac:dyDescent="0.2">
      <c r="B243" s="27" t="s">
        <v>310</v>
      </c>
      <c r="C243" s="16" t="s">
        <v>242</v>
      </c>
      <c r="H243" s="238">
        <f t="shared" si="15"/>
        <v>1581805.1097323284</v>
      </c>
      <c r="I243" s="238">
        <f t="shared" si="15"/>
        <v>406334.29367532011</v>
      </c>
      <c r="J243" s="238">
        <f t="shared" si="15"/>
        <v>897373.42017643806</v>
      </c>
      <c r="K243" s="238">
        <f t="shared" si="15"/>
        <v>7718028.4358188035</v>
      </c>
      <c r="L243" s="238">
        <f t="shared" si="15"/>
        <v>11995617.311618095</v>
      </c>
      <c r="M243" s="13"/>
      <c r="N243" s="13"/>
      <c r="O243" s="13"/>
      <c r="P243" s="13"/>
      <c r="Q243" s="13"/>
      <c r="R243" s="13"/>
      <c r="S243" s="13"/>
    </row>
    <row r="244" spans="2:20" x14ac:dyDescent="0.2">
      <c r="B244" s="27" t="s">
        <v>311</v>
      </c>
      <c r="C244" s="16" t="s">
        <v>242</v>
      </c>
      <c r="H244" s="238">
        <f t="shared" si="15"/>
        <v>4494199.9820254985</v>
      </c>
      <c r="I244" s="238">
        <f t="shared" si="15"/>
        <v>4037880.7355829459</v>
      </c>
      <c r="J244" s="238">
        <f t="shared" si="15"/>
        <v>5362199.7703876281</v>
      </c>
      <c r="K244" s="238">
        <f t="shared" si="15"/>
        <v>33083168.743630264</v>
      </c>
      <c r="L244" s="238">
        <f t="shared" si="15"/>
        <v>19580680.343602449</v>
      </c>
      <c r="M244" s="13"/>
      <c r="N244" s="13"/>
      <c r="O244" s="13"/>
      <c r="P244" s="13"/>
      <c r="Q244" s="13"/>
      <c r="R244" s="13"/>
      <c r="S244" s="13"/>
    </row>
    <row r="245" spans="2:20" x14ac:dyDescent="0.2">
      <c r="B245" s="27" t="s">
        <v>312</v>
      </c>
      <c r="C245" s="16" t="s">
        <v>242</v>
      </c>
      <c r="H245" s="238">
        <f t="shared" si="15"/>
        <v>331050.73292513739</v>
      </c>
      <c r="I245" s="238">
        <f t="shared" si="15"/>
        <v>361775.44162737374</v>
      </c>
      <c r="J245" s="238">
        <f t="shared" si="15"/>
        <v>926761.0877377718</v>
      </c>
      <c r="K245" s="238">
        <f t="shared" si="15"/>
        <v>1243976.7385175154</v>
      </c>
      <c r="L245" s="238">
        <f t="shared" si="15"/>
        <v>2482488.7835530569</v>
      </c>
      <c r="M245" s="13"/>
      <c r="N245" s="13"/>
      <c r="O245" s="13"/>
      <c r="P245" s="13"/>
      <c r="Q245" s="13"/>
      <c r="R245" s="13"/>
      <c r="S245" s="13"/>
    </row>
    <row r="246" spans="2:20" x14ac:dyDescent="0.2">
      <c r="B246" s="27" t="s">
        <v>313</v>
      </c>
      <c r="C246" s="16" t="s">
        <v>242</v>
      </c>
      <c r="H246" s="238">
        <f t="shared" si="15"/>
        <v>655714.6349899827</v>
      </c>
      <c r="I246" s="238">
        <f t="shared" si="15"/>
        <v>590935.25215966918</v>
      </c>
      <c r="J246" s="238">
        <f t="shared" si="15"/>
        <v>417724.70319324255</v>
      </c>
      <c r="K246" s="238">
        <f t="shared" si="15"/>
        <v>2992156.6733776778</v>
      </c>
      <c r="L246" s="238">
        <f t="shared" si="15"/>
        <v>580654.33759755513</v>
      </c>
      <c r="M246" s="13"/>
      <c r="N246" s="13"/>
      <c r="O246" s="13"/>
      <c r="P246" s="13"/>
      <c r="Q246" s="13"/>
      <c r="R246" s="13"/>
      <c r="S246" s="13"/>
    </row>
    <row r="247" spans="2:20" x14ac:dyDescent="0.2">
      <c r="B247" s="27" t="s">
        <v>314</v>
      </c>
      <c r="C247" s="16" t="s">
        <v>242</v>
      </c>
      <c r="H247" s="238">
        <f t="shared" si="15"/>
        <v>205443.05933939392</v>
      </c>
      <c r="I247" s="238">
        <f t="shared" si="15"/>
        <v>155955.98216781215</v>
      </c>
      <c r="J247" s="238">
        <f t="shared" si="15"/>
        <v>898422.97973220004</v>
      </c>
      <c r="K247" s="238">
        <f t="shared" si="15"/>
        <v>1813271.7409453813</v>
      </c>
      <c r="L247" s="238">
        <f t="shared" si="15"/>
        <v>553564.76871198055</v>
      </c>
      <c r="M247" s="13"/>
      <c r="N247" s="13"/>
      <c r="O247" s="13"/>
      <c r="P247" s="13"/>
      <c r="Q247" s="13"/>
      <c r="R247" s="13"/>
      <c r="S247" s="13"/>
    </row>
    <row r="248" spans="2:20" x14ac:dyDescent="0.2">
      <c r="B248" s="27" t="s">
        <v>315</v>
      </c>
      <c r="C248" s="16" t="s">
        <v>242</v>
      </c>
      <c r="H248" s="238">
        <f t="shared" si="15"/>
        <v>47901.231452190295</v>
      </c>
      <c r="I248" s="238">
        <f t="shared" si="15"/>
        <v>172930.7829479822</v>
      </c>
      <c r="J248" s="238">
        <f t="shared" si="15"/>
        <v>7771988.5104169874</v>
      </c>
      <c r="K248" s="238">
        <f t="shared" si="15"/>
        <v>1601465.0703506218</v>
      </c>
      <c r="L248" s="238">
        <f t="shared" si="15"/>
        <v>734927.61884352088</v>
      </c>
      <c r="M248" s="13"/>
      <c r="N248" s="13"/>
      <c r="O248" s="13"/>
      <c r="P248" s="13"/>
      <c r="Q248" s="13"/>
      <c r="R248" s="13"/>
      <c r="S248" s="13"/>
    </row>
    <row r="249" spans="2:20" x14ac:dyDescent="0.2">
      <c r="B249" s="27" t="s">
        <v>316</v>
      </c>
      <c r="C249" s="16" t="s">
        <v>242</v>
      </c>
      <c r="H249" s="238">
        <f t="shared" si="15"/>
        <v>0</v>
      </c>
      <c r="I249" s="238">
        <f t="shared" si="15"/>
        <v>0</v>
      </c>
      <c r="J249" s="238">
        <f t="shared" si="15"/>
        <v>0</v>
      </c>
      <c r="K249" s="238">
        <f t="shared" si="15"/>
        <v>0</v>
      </c>
      <c r="L249" s="238">
        <f t="shared" si="15"/>
        <v>0</v>
      </c>
      <c r="M249" s="13"/>
      <c r="N249" s="13"/>
      <c r="O249" s="13"/>
      <c r="P249" s="13"/>
      <c r="Q249" s="13"/>
      <c r="R249" s="13"/>
      <c r="S249" s="13"/>
    </row>
    <row r="250" spans="2:20" x14ac:dyDescent="0.2">
      <c r="B250" s="12" t="s">
        <v>49</v>
      </c>
      <c r="C250" s="66" t="s">
        <v>242</v>
      </c>
      <c r="H250" s="235">
        <f>SUM(H241:H249)</f>
        <v>7984603.0471750982</v>
      </c>
      <c r="I250" s="235">
        <f>SUM(I241:I249)</f>
        <v>5846757.9437198155</v>
      </c>
      <c r="J250" s="235">
        <f>SUM(J241:J249)</f>
        <v>19026415.626852013</v>
      </c>
      <c r="K250" s="235">
        <f>SUM(K241:K249)</f>
        <v>52452630.46870324</v>
      </c>
      <c r="L250" s="235">
        <f>SUM(L241:L249)</f>
        <v>40624247.190954044</v>
      </c>
      <c r="M250" s="13"/>
      <c r="N250" s="13"/>
      <c r="O250" s="13"/>
      <c r="P250" s="13"/>
      <c r="Q250" s="13"/>
      <c r="R250" s="13"/>
      <c r="S250" s="13"/>
    </row>
    <row r="251" spans="2:20" x14ac:dyDescent="0.2">
      <c r="B251" s="12"/>
      <c r="C251" s="66"/>
      <c r="H251" s="230"/>
      <c r="I251" s="230"/>
      <c r="J251" s="230"/>
      <c r="K251" s="230"/>
      <c r="L251" s="230"/>
      <c r="M251" s="13"/>
      <c r="N251" s="13"/>
      <c r="O251" s="13"/>
      <c r="P251" s="13"/>
      <c r="Q251" s="13"/>
      <c r="R251" s="13"/>
      <c r="S251" s="13"/>
    </row>
    <row r="252" spans="2:20" x14ac:dyDescent="0.2">
      <c r="B252" s="15" t="s">
        <v>297</v>
      </c>
      <c r="C252" s="16" t="s">
        <v>242</v>
      </c>
      <c r="H252" s="238">
        <f>H268/H$203</f>
        <v>0</v>
      </c>
      <c r="I252" s="238">
        <f>I268/I$203</f>
        <v>27584.0512677763</v>
      </c>
      <c r="J252" s="238">
        <f>J268/J$203</f>
        <v>27288.548449809812</v>
      </c>
      <c r="K252" s="238">
        <f>K268/K$203</f>
        <v>0</v>
      </c>
      <c r="L252" s="238">
        <f>L268/L$203</f>
        <v>21770.816565281177</v>
      </c>
      <c r="M252" s="13"/>
      <c r="N252" s="13"/>
      <c r="O252" s="13"/>
      <c r="P252" s="13"/>
      <c r="Q252" s="13"/>
      <c r="R252" s="13"/>
      <c r="S252" s="13"/>
    </row>
    <row r="253" spans="2:20" s="12" customFormat="1" x14ac:dyDescent="0.2">
      <c r="B253" s="12" t="s">
        <v>318</v>
      </c>
      <c r="C253" s="66" t="s">
        <v>242</v>
      </c>
      <c r="H253" s="235">
        <f>H250-H252</f>
        <v>7984603.0471750982</v>
      </c>
      <c r="I253" s="235">
        <f>I250-I252</f>
        <v>5819173.8924520388</v>
      </c>
      <c r="J253" s="235">
        <f>J250-J252</f>
        <v>18999127.078402203</v>
      </c>
      <c r="K253" s="235">
        <f>K250-K252</f>
        <v>52452630.46870324</v>
      </c>
      <c r="L253" s="235">
        <f>L250-L252</f>
        <v>40602476.374388762</v>
      </c>
      <c r="M253" s="13"/>
      <c r="N253" s="13"/>
      <c r="O253" s="13"/>
      <c r="P253" s="13"/>
      <c r="Q253" s="13"/>
      <c r="R253" s="13"/>
      <c r="S253" s="13"/>
      <c r="T253" s="15"/>
    </row>
    <row r="254" spans="2:20" x14ac:dyDescent="0.2">
      <c r="B254" s="12"/>
      <c r="C254" s="66"/>
      <c r="H254" s="13"/>
      <c r="I254" s="13"/>
      <c r="J254" s="13"/>
      <c r="K254" s="13"/>
      <c r="L254" s="13"/>
      <c r="M254" s="13"/>
      <c r="N254" s="13"/>
      <c r="O254" s="13"/>
      <c r="P254" s="13"/>
      <c r="Q254" s="13"/>
      <c r="R254" s="13"/>
      <c r="S254" s="13"/>
    </row>
    <row r="255" spans="2:20" x14ac:dyDescent="0.2">
      <c r="B255" s="59" t="s">
        <v>249</v>
      </c>
      <c r="C255" s="68"/>
      <c r="H255" s="13"/>
      <c r="I255" s="13"/>
      <c r="J255" s="13"/>
      <c r="K255" s="13"/>
      <c r="L255" s="13"/>
      <c r="M255" s="13"/>
      <c r="N255" s="13"/>
      <c r="O255" s="13"/>
      <c r="P255" s="13"/>
      <c r="Q255" s="13"/>
      <c r="R255" s="13"/>
      <c r="S255" s="13"/>
    </row>
    <row r="256" spans="2:20" x14ac:dyDescent="0.2">
      <c r="C256" s="68"/>
      <c r="H256" s="13"/>
      <c r="I256" s="13"/>
      <c r="J256" s="13"/>
      <c r="K256" s="13"/>
      <c r="L256" s="13"/>
      <c r="M256" s="13"/>
      <c r="N256" s="13"/>
      <c r="O256" s="13"/>
      <c r="P256" s="13"/>
      <c r="Q256" s="13"/>
      <c r="R256" s="13"/>
      <c r="S256" s="13"/>
    </row>
    <row r="257" spans="1:21" x14ac:dyDescent="0.2">
      <c r="B257" s="27" t="s">
        <v>308</v>
      </c>
      <c r="C257" s="16" t="s">
        <v>250</v>
      </c>
      <c r="H257" s="206">
        <f>628000*0.5</f>
        <v>314000</v>
      </c>
      <c r="I257" s="206">
        <f>114000*0.5</f>
        <v>57000</v>
      </c>
      <c r="J257" s="206">
        <f>2622000*0.5</f>
        <v>1311000</v>
      </c>
      <c r="K257" s="206">
        <f>3872000*0.5</f>
        <v>1936000</v>
      </c>
      <c r="L257" s="206">
        <f>4622363*0.5</f>
        <v>2311181.5</v>
      </c>
      <c r="M257" s="13"/>
      <c r="S257" s="13"/>
    </row>
    <row r="258" spans="1:21" x14ac:dyDescent="0.2">
      <c r="B258" s="27" t="s">
        <v>309</v>
      </c>
      <c r="C258" s="16" t="s">
        <v>250</v>
      </c>
      <c r="H258" s="206">
        <f>628000*0.5</f>
        <v>314000</v>
      </c>
      <c r="I258" s="206">
        <f>114000*0.5</f>
        <v>57000</v>
      </c>
      <c r="J258" s="206">
        <f>2622000*0.5</f>
        <v>1311000</v>
      </c>
      <c r="K258" s="206">
        <f>3872000*0.5</f>
        <v>1936000</v>
      </c>
      <c r="L258" s="206">
        <f>4622363*0.5</f>
        <v>2311181.5</v>
      </c>
      <c r="M258" s="13"/>
      <c r="S258" s="13"/>
    </row>
    <row r="259" spans="1:21" x14ac:dyDescent="0.2">
      <c r="B259" s="27" t="s">
        <v>310</v>
      </c>
      <c r="C259" s="16" t="s">
        <v>250</v>
      </c>
      <c r="H259" s="206">
        <v>1486000</v>
      </c>
      <c r="I259" s="206">
        <v>383000</v>
      </c>
      <c r="J259" s="206">
        <v>855000</v>
      </c>
      <c r="K259" s="206">
        <v>7470000</v>
      </c>
      <c r="L259" s="206">
        <v>11806727</v>
      </c>
      <c r="M259" s="13"/>
      <c r="S259" s="13"/>
    </row>
    <row r="260" spans="1:21" x14ac:dyDescent="0.2">
      <c r="B260" s="27" t="s">
        <v>311</v>
      </c>
      <c r="C260" s="16" t="s">
        <v>250</v>
      </c>
      <c r="H260" s="206">
        <v>4222000</v>
      </c>
      <c r="I260" s="206">
        <v>3806000</v>
      </c>
      <c r="J260" s="206">
        <v>5109000</v>
      </c>
      <c r="K260" s="206">
        <v>32020000</v>
      </c>
      <c r="L260" s="206">
        <v>19272351</v>
      </c>
      <c r="M260" s="13"/>
      <c r="S260" s="13"/>
    </row>
    <row r="261" spans="1:21" x14ac:dyDescent="0.2">
      <c r="B261" s="27" t="s">
        <v>312</v>
      </c>
      <c r="C261" s="16" t="s">
        <v>250</v>
      </c>
      <c r="H261" s="206">
        <v>311000</v>
      </c>
      <c r="I261" s="206">
        <v>341000</v>
      </c>
      <c r="J261" s="206">
        <v>883000</v>
      </c>
      <c r="K261" s="206">
        <v>1204000</v>
      </c>
      <c r="L261" s="206">
        <v>2443398</v>
      </c>
      <c r="M261" s="13"/>
      <c r="S261" s="13"/>
    </row>
    <row r="262" spans="1:21" x14ac:dyDescent="0.2">
      <c r="B262" s="27" t="s">
        <v>313</v>
      </c>
      <c r="C262" s="16" t="s">
        <v>250</v>
      </c>
      <c r="H262" s="206">
        <v>616000</v>
      </c>
      <c r="I262" s="206">
        <v>557000</v>
      </c>
      <c r="J262" s="206">
        <v>398000</v>
      </c>
      <c r="K262" s="206">
        <v>2896000</v>
      </c>
      <c r="L262" s="206">
        <v>571511</v>
      </c>
      <c r="M262" s="13"/>
      <c r="S262" s="13"/>
    </row>
    <row r="263" spans="1:21" x14ac:dyDescent="0.2">
      <c r="B263" s="27" t="s">
        <v>314</v>
      </c>
      <c r="C263" s="16" t="s">
        <v>250</v>
      </c>
      <c r="H263" s="206">
        <v>193000</v>
      </c>
      <c r="I263" s="206">
        <v>147000</v>
      </c>
      <c r="J263" s="206">
        <v>856000</v>
      </c>
      <c r="K263" s="206">
        <v>1755000</v>
      </c>
      <c r="L263" s="206">
        <v>544848</v>
      </c>
      <c r="M263" s="13"/>
      <c r="S263" s="13"/>
    </row>
    <row r="264" spans="1:21" x14ac:dyDescent="0.2">
      <c r="B264" s="27" t="s">
        <v>315</v>
      </c>
      <c r="C264" s="16" t="s">
        <v>250</v>
      </c>
      <c r="H264" s="206">
        <v>45000</v>
      </c>
      <c r="I264" s="206">
        <v>163000</v>
      </c>
      <c r="J264" s="206">
        <v>7405000</v>
      </c>
      <c r="K264" s="206">
        <v>1550000</v>
      </c>
      <c r="L264" s="206">
        <v>723355</v>
      </c>
      <c r="M264" s="13"/>
      <c r="S264" s="13"/>
    </row>
    <row r="265" spans="1:21" x14ac:dyDescent="0.2">
      <c r="B265" s="27" t="s">
        <v>316</v>
      </c>
      <c r="C265" s="16" t="s">
        <v>250</v>
      </c>
      <c r="H265" s="206">
        <v>0</v>
      </c>
      <c r="I265" s="206">
        <v>0</v>
      </c>
      <c r="J265" s="206">
        <v>0</v>
      </c>
      <c r="K265" s="206">
        <v>0</v>
      </c>
      <c r="L265" s="206">
        <v>0</v>
      </c>
      <c r="M265" s="13"/>
      <c r="S265" s="13"/>
    </row>
    <row r="266" spans="1:21" x14ac:dyDescent="0.2">
      <c r="B266" s="12" t="s">
        <v>49</v>
      </c>
      <c r="C266" s="66" t="s">
        <v>250</v>
      </c>
      <c r="H266" s="235">
        <f>SUM(H257:H265)</f>
        <v>7501000</v>
      </c>
      <c r="I266" s="235">
        <f>SUM(I257:I265)</f>
        <v>5511000</v>
      </c>
      <c r="J266" s="235">
        <f>SUM(J257:J265)</f>
        <v>18128000</v>
      </c>
      <c r="K266" s="235">
        <f>SUM(K257:K265)</f>
        <v>50767000</v>
      </c>
      <c r="L266" s="235">
        <f>SUM(L257:L265)</f>
        <v>39984553</v>
      </c>
      <c r="M266" s="13"/>
      <c r="S266" s="13"/>
    </row>
    <row r="267" spans="1:21" x14ac:dyDescent="0.2">
      <c r="B267" s="12"/>
      <c r="C267" s="66"/>
      <c r="H267" s="13"/>
      <c r="I267" s="13"/>
      <c r="J267" s="13"/>
      <c r="K267" s="13"/>
      <c r="L267" s="13"/>
      <c r="M267" s="13"/>
      <c r="S267" s="13"/>
    </row>
    <row r="268" spans="1:21" x14ac:dyDescent="0.2">
      <c r="B268" s="15" t="s">
        <v>297</v>
      </c>
      <c r="C268" s="16" t="s">
        <v>250</v>
      </c>
      <c r="H268" s="206">
        <v>0</v>
      </c>
      <c r="I268" s="206">
        <v>26000</v>
      </c>
      <c r="J268" s="206">
        <v>26000</v>
      </c>
      <c r="K268" s="206">
        <v>0</v>
      </c>
      <c r="L268" s="206">
        <v>21428</v>
      </c>
      <c r="M268" s="13"/>
      <c r="S268" s="13"/>
    </row>
    <row r="269" spans="1:21" s="12" customFormat="1" x14ac:dyDescent="0.2">
      <c r="B269" s="12" t="s">
        <v>318</v>
      </c>
      <c r="C269" s="66" t="s">
        <v>250</v>
      </c>
      <c r="H269" s="235">
        <f>H266-H268</f>
        <v>7501000</v>
      </c>
      <c r="I269" s="235">
        <f>I266-I268</f>
        <v>5485000</v>
      </c>
      <c r="J269" s="235">
        <f>J266-J268</f>
        <v>18102000</v>
      </c>
      <c r="K269" s="235">
        <f>K266-K268</f>
        <v>50767000</v>
      </c>
      <c r="L269" s="235">
        <f>L266-L268</f>
        <v>39963125</v>
      </c>
      <c r="M269" s="13"/>
      <c r="S269" s="13"/>
      <c r="T269" s="15"/>
    </row>
    <row r="270" spans="1:21" s="58" customFormat="1" ht="12" customHeight="1" x14ac:dyDescent="0.2">
      <c r="A270" s="12"/>
      <c r="B270" s="81"/>
      <c r="C270" s="66"/>
      <c r="D270" s="12"/>
      <c r="E270" s="12"/>
      <c r="F270" s="12"/>
      <c r="G270" s="12"/>
      <c r="H270" s="142"/>
      <c r="I270" s="142"/>
      <c r="J270" s="142"/>
      <c r="K270" s="142"/>
      <c r="L270" s="142"/>
      <c r="M270" s="67"/>
      <c r="N270" s="67"/>
      <c r="O270" s="67"/>
      <c r="P270" s="67"/>
      <c r="Q270" s="67"/>
      <c r="R270" s="67"/>
      <c r="S270" s="67"/>
      <c r="T270" s="12"/>
      <c r="U270" s="12"/>
    </row>
    <row r="271" spans="1:21" x14ac:dyDescent="0.2">
      <c r="C271" s="68"/>
      <c r="H271" s="31">
        <f t="shared" ref="H271:K271" si="16">H266-H177</f>
        <v>433.49776061717421</v>
      </c>
      <c r="I271" s="31">
        <f t="shared" si="16"/>
        <v>300.66693975590169</v>
      </c>
      <c r="J271" s="31">
        <f t="shared" si="16"/>
        <v>37.695893030613661</v>
      </c>
      <c r="K271" s="57">
        <f t="shared" si="16"/>
        <v>242.04071575403214</v>
      </c>
      <c r="L271" s="57">
        <f>L266-L177</f>
        <v>5.6454256176948547E-2</v>
      </c>
      <c r="M271" s="13"/>
      <c r="N271" s="13"/>
      <c r="O271" s="13"/>
      <c r="P271" s="13"/>
      <c r="Q271" s="13"/>
      <c r="R271" s="13"/>
      <c r="S271" s="13"/>
    </row>
    <row r="272" spans="1:21" x14ac:dyDescent="0.2">
      <c r="M272" s="13"/>
      <c r="N272" s="13"/>
      <c r="O272" s="13"/>
      <c r="P272" s="13"/>
      <c r="Q272" s="13"/>
      <c r="R272" s="13"/>
      <c r="S272" s="13"/>
    </row>
    <row r="273" spans="13:19" x14ac:dyDescent="0.2">
      <c r="M273" s="13"/>
      <c r="N273" s="13"/>
      <c r="O273" s="13"/>
      <c r="P273" s="13"/>
      <c r="Q273" s="13"/>
      <c r="R273" s="13"/>
      <c r="S273" s="13"/>
    </row>
    <row r="274" spans="13:19" x14ac:dyDescent="0.2">
      <c r="M274" s="13"/>
      <c r="N274" s="13"/>
      <c r="O274" s="13"/>
      <c r="P274" s="13"/>
      <c r="Q274" s="13"/>
      <c r="R274" s="13"/>
      <c r="S274" s="13"/>
    </row>
    <row r="275" spans="13:19" x14ac:dyDescent="0.2">
      <c r="M275" s="13"/>
      <c r="N275" s="13"/>
      <c r="O275" s="13"/>
      <c r="P275" s="13"/>
      <c r="Q275" s="13"/>
      <c r="R275" s="13"/>
      <c r="S275" s="13"/>
    </row>
    <row r="276" spans="13:19" x14ac:dyDescent="0.2">
      <c r="M276" s="13"/>
      <c r="N276" s="13"/>
      <c r="O276" s="13"/>
      <c r="P276" s="13"/>
      <c r="Q276" s="13"/>
      <c r="R276" s="13"/>
      <c r="S276" s="13"/>
    </row>
    <row r="277" spans="13:19" x14ac:dyDescent="0.2">
      <c r="M277" s="13"/>
      <c r="N277" s="13"/>
      <c r="O277" s="13"/>
      <c r="P277" s="13"/>
      <c r="Q277" s="13"/>
      <c r="R277" s="13"/>
      <c r="S277" s="13"/>
    </row>
    <row r="278" spans="13:19" x14ac:dyDescent="0.2">
      <c r="M278" s="13"/>
      <c r="N278" s="13"/>
      <c r="O278" s="13"/>
      <c r="P278" s="13"/>
      <c r="Q278" s="13"/>
      <c r="R278" s="13"/>
      <c r="S278" s="13"/>
    </row>
    <row r="279" spans="13:19" x14ac:dyDescent="0.2">
      <c r="M279" s="13"/>
      <c r="N279" s="13"/>
      <c r="O279" s="13"/>
      <c r="P279" s="13"/>
      <c r="Q279" s="13"/>
      <c r="R279" s="13"/>
      <c r="S279" s="13"/>
    </row>
    <row r="280" spans="13:19" x14ac:dyDescent="0.2">
      <c r="M280" s="13"/>
      <c r="N280" s="13"/>
      <c r="O280" s="13"/>
      <c r="P280" s="13"/>
      <c r="Q280" s="13"/>
      <c r="R280" s="13"/>
      <c r="S280" s="13"/>
    </row>
    <row r="281" spans="13:19" x14ac:dyDescent="0.2">
      <c r="M281" s="13"/>
      <c r="N281" s="13"/>
      <c r="O281" s="13"/>
      <c r="P281" s="13"/>
      <c r="Q281" s="13"/>
      <c r="R281" s="13"/>
      <c r="S281" s="13"/>
    </row>
    <row r="282" spans="13:19" x14ac:dyDescent="0.2">
      <c r="M282" s="13"/>
      <c r="N282" s="13"/>
      <c r="O282" s="13"/>
      <c r="P282" s="13"/>
      <c r="Q282" s="13"/>
      <c r="R282" s="13"/>
      <c r="S282" s="13"/>
    </row>
    <row r="283" spans="13:19" x14ac:dyDescent="0.2">
      <c r="M283" s="13"/>
      <c r="N283" s="13"/>
      <c r="O283" s="13"/>
      <c r="P283" s="13"/>
      <c r="Q283" s="13"/>
      <c r="R283" s="13"/>
      <c r="S283" s="13"/>
    </row>
    <row r="284" spans="13:19" x14ac:dyDescent="0.2">
      <c r="M284" s="13"/>
      <c r="N284" s="13"/>
      <c r="O284" s="13"/>
      <c r="P284" s="13"/>
      <c r="Q284" s="13"/>
      <c r="R284" s="13"/>
      <c r="S284" s="13"/>
    </row>
    <row r="285" spans="13:19" x14ac:dyDescent="0.2">
      <c r="M285" s="13"/>
      <c r="N285" s="13"/>
      <c r="O285" s="13"/>
      <c r="P285" s="13"/>
      <c r="Q285" s="13"/>
      <c r="R285" s="13"/>
      <c r="S285" s="13"/>
    </row>
    <row r="286" spans="13:19" x14ac:dyDescent="0.2">
      <c r="M286" s="13"/>
      <c r="N286" s="13"/>
      <c r="O286" s="13"/>
      <c r="P286" s="13"/>
      <c r="Q286" s="13"/>
      <c r="R286" s="13"/>
      <c r="S286" s="13"/>
    </row>
    <row r="287" spans="13:19" x14ac:dyDescent="0.2">
      <c r="M287" s="13"/>
      <c r="N287" s="13"/>
      <c r="O287" s="13"/>
      <c r="P287" s="13"/>
      <c r="Q287" s="13"/>
      <c r="R287" s="13"/>
      <c r="S287" s="13"/>
    </row>
  </sheetData>
  <sheetProtection algorithmName="SHA-512" hashValue="kp7NeZtrS5aSPK4dX1XmEjYP3f4Dx423sZtpQZb00V04v2uaRL+U4PT12jyzIRS3hcybXSycGe9cN3FjQtKTEw==" saltValue="d84qbg7KCnE7gw2pD8XLSA==" spinCount="100000" sheet="1" objects="1" scenarios="1"/>
  <conditionalFormatting sqref="C2">
    <cfRule type="expression" dxfId="424" priority="59">
      <formula>Model_check&lt;&gt;0</formula>
    </cfRule>
    <cfRule type="expression" dxfId="423" priority="60">
      <formula>Model_check=0</formula>
    </cfRule>
  </conditionalFormatting>
  <dataValidations count="1">
    <dataValidation allowBlank="1" sqref="H221:L233 H257:L269" xr:uid="{4FC389B8-4FB4-4D0A-84E1-59EAE0E7EF20}"/>
  </dataValidations>
  <pageMargins left="0.70866141732283472" right="0.70866141732283472" top="0.74803149606299213" bottom="0.74803149606299213" header="0.31496062992125984" footer="0.31496062992125984"/>
  <pageSetup paperSize="9" scale="51" orientation="landscape" r:id="rId1"/>
  <headerFooter>
    <oddFooter>&amp;A</oddFooter>
  </headerFooter>
  <rowBreaks count="4" manualBreakCount="4">
    <brk id="70" min="1" max="19" man="1"/>
    <brk id="127" min="1" max="19" man="1"/>
    <brk id="194" min="1" max="19" man="1"/>
    <brk id="254" min="1" max="19" man="1"/>
  </rowBreaks>
  <extLst>
    <ext xmlns:x14="http://schemas.microsoft.com/office/spreadsheetml/2009/9/main" uri="{78C0D931-6437-407d-A8EE-F0AAD7539E65}">
      <x14:conditionalFormattings>
        <x14:conditionalFormatting xmlns:xm="http://schemas.microsoft.com/office/excel/2006/main">
          <x14:cfRule type="expression" priority="65" id="{C85AD74E-8E9B-45EE-A4EA-A6AD7B0DBC2D}">
            <xm:f>'Global inputs'!$A1="MODEL ERROR"</xm:f>
            <x14:dxf>
              <fill>
                <patternFill>
                  <bgColor theme="1"/>
                </patternFill>
              </fill>
            </x14:dxf>
          </x14:cfRule>
          <xm:sqref>A1:XFD1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19C4-A067-45A7-80BC-015C70515BF8}">
  <sheetPr codeName="Sheet1"/>
  <dimension ref="A1:Y65"/>
  <sheetViews>
    <sheetView showGridLines="0" zoomScale="85" zoomScaleNormal="85" workbookViewId="0">
      <pane xSplit="6" ySplit="7" topLeftCell="G8" activePane="bottomRight" state="frozen"/>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15" customWidth="1"/>
    <col min="2" max="2" width="35.75" style="15" customWidth="1"/>
    <col min="3" max="5" width="15.75" style="15" customWidth="1"/>
    <col min="6" max="7" width="2.75" style="15" customWidth="1"/>
    <col min="8" max="8" width="10.75" style="15" customWidth="1"/>
    <col min="9" max="9" width="10.75" style="30" customWidth="1"/>
    <col min="10" max="20" width="10.75" style="15" customWidth="1"/>
    <col min="21" max="21" width="2.75" style="15" customWidth="1"/>
    <col min="22" max="23" width="8.25" style="15" hidden="1" customWidth="1"/>
    <col min="24" max="25" width="0" style="15" hidden="1" customWidth="1"/>
    <col min="26" max="27" width="8.25" style="15" hidden="1" customWidth="1"/>
    <col min="28" max="16384" width="8.25" style="15" hidden="1"/>
  </cols>
  <sheetData>
    <row r="1" spans="1:24" ht="12" customHeight="1" x14ac:dyDescent="0.2">
      <c r="A1" s="13"/>
      <c r="B1" s="13"/>
      <c r="C1" s="14"/>
      <c r="D1" s="13"/>
      <c r="E1" s="13"/>
      <c r="F1" s="13"/>
      <c r="G1" s="13"/>
      <c r="H1" s="13"/>
      <c r="I1" s="13"/>
      <c r="J1" s="13"/>
      <c r="K1" s="13"/>
      <c r="L1" s="13"/>
      <c r="M1" s="13"/>
      <c r="N1" s="13"/>
      <c r="O1" s="13"/>
      <c r="P1" s="13"/>
      <c r="Q1" s="13"/>
      <c r="R1" s="13"/>
      <c r="S1" s="13"/>
      <c r="T1" s="13"/>
      <c r="U1" s="13"/>
      <c r="V1" s="13"/>
      <c r="W1" s="13"/>
      <c r="X1" s="13"/>
    </row>
    <row r="2" spans="1:24" s="13" customFormat="1" ht="15" customHeight="1" x14ac:dyDescent="0.25">
      <c r="B2" s="42" t="str">
        <f ca="1">MID(CELL("filename",B2),FIND("]",CELL("filename",B2))+1,255)</f>
        <v>Operating leases</v>
      </c>
      <c r="C2" s="41" t="str">
        <f>'Global inputs'!$C$2</f>
        <v>Model: Ok</v>
      </c>
      <c r="D2" s="17"/>
      <c r="E2" s="17"/>
      <c r="F2" s="18"/>
      <c r="G2" s="18"/>
      <c r="H2" s="18"/>
      <c r="I2" s="18"/>
      <c r="J2" s="18"/>
      <c r="K2" s="18"/>
      <c r="L2" s="18"/>
      <c r="M2" s="18"/>
      <c r="N2" s="18"/>
      <c r="O2" s="18"/>
      <c r="P2" s="18"/>
      <c r="Q2" s="18"/>
      <c r="R2" s="18"/>
      <c r="S2" s="18"/>
      <c r="T2" s="18"/>
    </row>
    <row r="3" spans="1:24" s="12" customFormat="1" ht="12" customHeight="1" x14ac:dyDescent="0.2">
      <c r="B3" s="96" t="s">
        <v>42</v>
      </c>
      <c r="C3" s="44"/>
      <c r="D3" s="45"/>
      <c r="E3" s="45"/>
      <c r="F3" s="43"/>
      <c r="G3" s="46"/>
      <c r="H3" s="38">
        <f>'Global inputs'!H3</f>
        <v>41730</v>
      </c>
      <c r="I3" s="38">
        <f>'Global inputs'!I3</f>
        <v>42095</v>
      </c>
      <c r="J3" s="38">
        <f>'Global inputs'!J3</f>
        <v>42461</v>
      </c>
      <c r="K3" s="38">
        <f>'Global inputs'!K3</f>
        <v>42826</v>
      </c>
      <c r="L3" s="38">
        <f>'Global inputs'!L3</f>
        <v>43191</v>
      </c>
      <c r="M3" s="38">
        <f>'Global inputs'!M3</f>
        <v>43556</v>
      </c>
      <c r="N3" s="38">
        <f>'Global inputs'!N3</f>
        <v>43922</v>
      </c>
      <c r="O3" s="38">
        <f>'Global inputs'!O3</f>
        <v>44287</v>
      </c>
      <c r="P3" s="38">
        <f>'Global inputs'!P3</f>
        <v>44652</v>
      </c>
      <c r="Q3" s="38">
        <f>'Global inputs'!Q3</f>
        <v>45017</v>
      </c>
      <c r="R3" s="38">
        <f>'Global inputs'!R3</f>
        <v>45383</v>
      </c>
      <c r="S3" s="38">
        <f>Escalators!T3</f>
        <v>45748</v>
      </c>
      <c r="T3" s="38"/>
    </row>
    <row r="4" spans="1:24" s="12" customFormat="1" ht="12" customHeight="1" x14ac:dyDescent="0.2">
      <c r="B4" s="96" t="s">
        <v>43</v>
      </c>
      <c r="C4" s="44"/>
      <c r="D4" s="47"/>
      <c r="E4" s="47"/>
      <c r="F4" s="43"/>
      <c r="G4" s="46"/>
      <c r="H4" s="38">
        <f>'Global inputs'!H4</f>
        <v>42094</v>
      </c>
      <c r="I4" s="38">
        <f>'Global inputs'!I4</f>
        <v>42460</v>
      </c>
      <c r="J4" s="38">
        <f>'Global inputs'!J4</f>
        <v>42825</v>
      </c>
      <c r="K4" s="38">
        <f>'Global inputs'!K4</f>
        <v>43190</v>
      </c>
      <c r="L4" s="38">
        <f>'Global inputs'!L4</f>
        <v>43555</v>
      </c>
      <c r="M4" s="38">
        <f>'Global inputs'!M4</f>
        <v>43921</v>
      </c>
      <c r="N4" s="38">
        <f>'Global inputs'!N4</f>
        <v>44286</v>
      </c>
      <c r="O4" s="38">
        <f>'Global inputs'!O4</f>
        <v>44651</v>
      </c>
      <c r="P4" s="38">
        <f>'Global inputs'!P4</f>
        <v>45016</v>
      </c>
      <c r="Q4" s="38">
        <f>'Global inputs'!Q4</f>
        <v>45382</v>
      </c>
      <c r="R4" s="38">
        <f>'Global inputs'!R4</f>
        <v>45747</v>
      </c>
      <c r="S4" s="38">
        <f>Escalators!T4</f>
        <v>46112</v>
      </c>
      <c r="T4" s="38"/>
    </row>
    <row r="5" spans="1:24" s="12" customFormat="1" ht="12" customHeight="1" x14ac:dyDescent="0.2">
      <c r="B5" s="96" t="s">
        <v>44</v>
      </c>
      <c r="C5" s="44"/>
      <c r="D5" s="47"/>
      <c r="E5" s="47"/>
      <c r="F5" s="43"/>
      <c r="G5" s="46"/>
      <c r="H5" s="39" t="str">
        <f>'Global inputs'!H5</f>
        <v>RY15</v>
      </c>
      <c r="I5" s="39" t="str">
        <f>'Global inputs'!I5</f>
        <v>RY16</v>
      </c>
      <c r="J5" s="39" t="str">
        <f>'Global inputs'!J5</f>
        <v>RY17</v>
      </c>
      <c r="K5" s="39" t="str">
        <f>'Global inputs'!K5</f>
        <v>RY18</v>
      </c>
      <c r="L5" s="39" t="str">
        <f>'Global inputs'!L5</f>
        <v>RY19</v>
      </c>
      <c r="M5" s="39" t="str">
        <f>'Global inputs'!M5</f>
        <v>RY20</v>
      </c>
      <c r="N5" s="39" t="str">
        <f>'Global inputs'!N5</f>
        <v>RY21</v>
      </c>
      <c r="O5" s="39" t="str">
        <f>'Global inputs'!O5</f>
        <v>RY22</v>
      </c>
      <c r="P5" s="39" t="str">
        <f>'Global inputs'!P5</f>
        <v>RY23</v>
      </c>
      <c r="Q5" s="39" t="str">
        <f>'Global inputs'!Q5</f>
        <v>RY24</v>
      </c>
      <c r="R5" s="39" t="str">
        <f>'Global inputs'!R5</f>
        <v>RY25</v>
      </c>
      <c r="S5" s="39" t="str">
        <f>Escalators!T5</f>
        <v>RY26</v>
      </c>
      <c r="T5" s="39"/>
    </row>
    <row r="6" spans="1:24" s="12" customFormat="1" ht="12" customHeight="1" x14ac:dyDescent="0.2">
      <c r="B6" s="96" t="s">
        <v>45</v>
      </c>
      <c r="C6" s="44"/>
      <c r="D6" s="47"/>
      <c r="E6" s="47"/>
      <c r="F6" s="43"/>
      <c r="G6" s="46"/>
      <c r="H6" s="40" t="s">
        <v>46</v>
      </c>
      <c r="I6" s="48"/>
      <c r="J6" s="48"/>
      <c r="K6" s="48"/>
      <c r="L6" s="48"/>
      <c r="M6" s="40" t="s">
        <v>47</v>
      </c>
      <c r="N6" s="48"/>
      <c r="O6" s="40" t="s">
        <v>48</v>
      </c>
      <c r="P6" s="48"/>
      <c r="Q6" s="48"/>
      <c r="R6" s="48"/>
      <c r="S6" s="48"/>
      <c r="T6" s="40" t="s">
        <v>49</v>
      </c>
    </row>
    <row r="7" spans="1:24" ht="12" customHeight="1" x14ac:dyDescent="0.2">
      <c r="B7" s="18"/>
      <c r="C7" s="16"/>
      <c r="D7" s="19"/>
      <c r="E7" s="19"/>
      <c r="F7" s="18"/>
      <c r="G7" s="18"/>
      <c r="H7" s="18"/>
      <c r="I7" s="18"/>
      <c r="J7" s="18"/>
      <c r="K7" s="18"/>
      <c r="L7" s="18"/>
      <c r="M7" s="18"/>
      <c r="N7" s="18"/>
      <c r="O7" s="18"/>
      <c r="P7" s="18"/>
      <c r="Q7" s="18"/>
      <c r="R7" s="18"/>
      <c r="S7" s="18"/>
      <c r="T7" s="18"/>
    </row>
    <row r="8" spans="1:24" ht="12" customHeight="1" x14ac:dyDescent="0.2">
      <c r="B8" s="18"/>
      <c r="C8" s="16"/>
      <c r="D8" s="19"/>
      <c r="E8" s="19"/>
      <c r="F8" s="18"/>
      <c r="G8" s="18"/>
      <c r="H8" s="18"/>
      <c r="I8" s="18"/>
      <c r="J8" s="18"/>
      <c r="K8" s="18"/>
      <c r="L8" s="18"/>
      <c r="M8" s="18"/>
      <c r="N8" s="18"/>
      <c r="O8" s="18"/>
      <c r="P8" s="18"/>
      <c r="Q8" s="18"/>
      <c r="R8" s="18"/>
      <c r="S8" s="18"/>
      <c r="T8" s="18"/>
    </row>
    <row r="9" spans="1:24" s="13" customFormat="1" ht="12" customHeight="1" x14ac:dyDescent="0.2">
      <c r="A9" s="15"/>
      <c r="B9" s="49" t="s">
        <v>319</v>
      </c>
      <c r="C9" s="50" t="s">
        <v>51</v>
      </c>
      <c r="D9" s="51" t="s">
        <v>52</v>
      </c>
      <c r="E9" s="50" t="s">
        <v>53</v>
      </c>
      <c r="F9" s="18"/>
      <c r="G9" s="20"/>
      <c r="H9" s="20"/>
      <c r="I9" s="20"/>
      <c r="J9" s="20"/>
      <c r="K9" s="18"/>
      <c r="L9" s="18"/>
      <c r="M9" s="18"/>
      <c r="N9" s="18"/>
      <c r="O9" s="18"/>
      <c r="P9" s="18"/>
      <c r="Q9" s="18"/>
      <c r="R9" s="18"/>
      <c r="S9" s="18"/>
      <c r="T9" s="18"/>
    </row>
    <row r="10" spans="1:24" x14ac:dyDescent="0.2">
      <c r="K10" s="31"/>
      <c r="L10" s="31"/>
      <c r="M10" s="31"/>
      <c r="N10" s="31"/>
      <c r="O10" s="31"/>
      <c r="P10" s="31"/>
      <c r="Q10" s="31"/>
      <c r="R10" s="31"/>
      <c r="S10" s="31"/>
      <c r="T10" s="18"/>
    </row>
    <row r="11" spans="1:24" x14ac:dyDescent="0.2">
      <c r="B11" s="15" t="s">
        <v>67</v>
      </c>
      <c r="C11" s="15" t="s">
        <v>67</v>
      </c>
      <c r="K11" s="31"/>
      <c r="M11" s="74">
        <f>YEAR(M$4)</f>
        <v>2020</v>
      </c>
      <c r="N11" s="74">
        <f t="shared" ref="N11:S11" si="0">YEAR(N$4)</f>
        <v>2021</v>
      </c>
      <c r="O11" s="74">
        <f t="shared" si="0"/>
        <v>2022</v>
      </c>
      <c r="P11" s="74">
        <f t="shared" si="0"/>
        <v>2023</v>
      </c>
      <c r="Q11" s="74">
        <f t="shared" si="0"/>
        <v>2024</v>
      </c>
      <c r="R11" s="74">
        <f t="shared" si="0"/>
        <v>2025</v>
      </c>
      <c r="S11" s="74">
        <f t="shared" si="0"/>
        <v>2026</v>
      </c>
      <c r="T11" s="18"/>
    </row>
    <row r="12" spans="1:24" x14ac:dyDescent="0.2">
      <c r="K12" s="31"/>
      <c r="L12" s="31"/>
      <c r="M12" s="74"/>
      <c r="N12" s="74"/>
      <c r="O12" s="74"/>
      <c r="P12" s="74"/>
      <c r="Q12" s="74"/>
      <c r="R12" s="74"/>
      <c r="S12" s="74"/>
      <c r="T12" s="18"/>
    </row>
    <row r="13" spans="1:24" s="13" customFormat="1" ht="12" customHeight="1" x14ac:dyDescent="0.2">
      <c r="A13" s="15"/>
      <c r="B13" s="49" t="s">
        <v>320</v>
      </c>
      <c r="C13" s="50" t="s">
        <v>51</v>
      </c>
      <c r="D13" s="51" t="s">
        <v>52</v>
      </c>
      <c r="E13" s="50" t="s">
        <v>53</v>
      </c>
      <c r="F13" s="18"/>
      <c r="G13" s="20"/>
      <c r="H13" s="20"/>
      <c r="I13" s="20"/>
      <c r="J13" s="20"/>
      <c r="K13" s="18"/>
      <c r="L13" s="18"/>
      <c r="M13" s="18"/>
      <c r="N13" s="18"/>
      <c r="O13" s="18"/>
      <c r="P13" s="18"/>
      <c r="Q13" s="18"/>
      <c r="R13" s="18"/>
      <c r="S13" s="18"/>
      <c r="T13" s="18"/>
    </row>
    <row r="14" spans="1:24" x14ac:dyDescent="0.2">
      <c r="I14" s="15"/>
    </row>
    <row r="15" spans="1:24" x14ac:dyDescent="0.2">
      <c r="B15" s="137" t="s">
        <v>263</v>
      </c>
      <c r="C15" s="25" t="s">
        <v>242</v>
      </c>
      <c r="D15" s="27"/>
      <c r="E15" s="27" t="s">
        <v>321</v>
      </c>
      <c r="F15" s="27"/>
      <c r="G15" s="27"/>
      <c r="H15" s="93"/>
      <c r="I15" s="93"/>
      <c r="J15" s="93"/>
      <c r="K15" s="93"/>
      <c r="L15" s="93"/>
      <c r="M15" s="207">
        <v>656503.92800000007</v>
      </c>
      <c r="N15" s="207">
        <v>646607.38122538698</v>
      </c>
      <c r="O15" s="207">
        <v>622943.64098053228</v>
      </c>
      <c r="P15" s="207">
        <v>612687.75176290597</v>
      </c>
      <c r="Q15" s="207">
        <v>372620.22571699979</v>
      </c>
      <c r="R15" s="207">
        <v>276174.38431405096</v>
      </c>
      <c r="S15" s="207">
        <v>267669.48698261386</v>
      </c>
      <c r="T15" s="13"/>
    </row>
    <row r="16" spans="1:24" x14ac:dyDescent="0.2">
      <c r="B16" s="138" t="s">
        <v>322</v>
      </c>
      <c r="C16" s="25" t="s">
        <v>242</v>
      </c>
      <c r="D16" s="27"/>
      <c r="E16" s="27" t="s">
        <v>321</v>
      </c>
      <c r="F16" s="27"/>
      <c r="G16" s="27"/>
      <c r="H16" s="93"/>
      <c r="I16" s="93"/>
      <c r="J16" s="93"/>
      <c r="K16" s="93"/>
      <c r="L16" s="93"/>
      <c r="M16" s="207">
        <v>868995.18460273964</v>
      </c>
      <c r="N16" s="207">
        <v>766705.9973483138</v>
      </c>
      <c r="O16" s="207">
        <v>741032.90113689855</v>
      </c>
      <c r="P16" s="207">
        <v>728832.83865819057</v>
      </c>
      <c r="Q16" s="207">
        <v>716736.37846383068</v>
      </c>
      <c r="R16" s="207">
        <v>521253.99326720618</v>
      </c>
      <c r="S16" s="207">
        <v>512292.45262331673</v>
      </c>
      <c r="T16" s="13"/>
    </row>
    <row r="17" spans="1:21" outlineLevel="1" x14ac:dyDescent="0.2">
      <c r="B17" s="127" t="s">
        <v>323</v>
      </c>
      <c r="C17" s="25" t="s">
        <v>242</v>
      </c>
      <c r="D17" s="27"/>
      <c r="E17" s="27"/>
      <c r="F17" s="27"/>
      <c r="G17" s="27"/>
      <c r="H17" s="93"/>
      <c r="I17" s="93"/>
      <c r="J17" s="93"/>
      <c r="K17" s="93"/>
      <c r="L17" s="93"/>
      <c r="M17" s="208">
        <v>0</v>
      </c>
      <c r="N17" s="208">
        <v>0</v>
      </c>
      <c r="O17" s="208">
        <v>0</v>
      </c>
      <c r="P17" s="208">
        <v>0</v>
      </c>
      <c r="Q17" s="208">
        <v>0</v>
      </c>
      <c r="R17" s="208">
        <v>0</v>
      </c>
      <c r="S17" s="208">
        <v>0</v>
      </c>
      <c r="T17" s="13"/>
    </row>
    <row r="18" spans="1:21" outlineLevel="1" x14ac:dyDescent="0.2">
      <c r="B18" s="127" t="s">
        <v>323</v>
      </c>
      <c r="C18" s="25" t="s">
        <v>242</v>
      </c>
      <c r="D18" s="27"/>
      <c r="E18" s="27"/>
      <c r="F18" s="27"/>
      <c r="G18" s="27"/>
      <c r="H18" s="93"/>
      <c r="I18" s="93"/>
      <c r="J18" s="93"/>
      <c r="K18" s="93"/>
      <c r="L18" s="93"/>
      <c r="M18" s="197">
        <v>0</v>
      </c>
      <c r="N18" s="197">
        <v>0</v>
      </c>
      <c r="O18" s="197">
        <v>0</v>
      </c>
      <c r="P18" s="197">
        <v>0</v>
      </c>
      <c r="Q18" s="197">
        <v>0</v>
      </c>
      <c r="R18" s="197">
        <v>0</v>
      </c>
      <c r="S18" s="197">
        <v>0</v>
      </c>
      <c r="T18" s="13"/>
    </row>
    <row r="19" spans="1:21" outlineLevel="1" x14ac:dyDescent="0.2">
      <c r="B19" s="127" t="s">
        <v>323</v>
      </c>
      <c r="C19" s="25" t="s">
        <v>242</v>
      </c>
      <c r="D19" s="27"/>
      <c r="E19" s="27"/>
      <c r="F19" s="27"/>
      <c r="G19" s="27"/>
      <c r="H19" s="93"/>
      <c r="I19" s="93"/>
      <c r="J19" s="93"/>
      <c r="K19" s="93"/>
      <c r="L19" s="93"/>
      <c r="M19" s="197">
        <v>0</v>
      </c>
      <c r="N19" s="197">
        <v>0</v>
      </c>
      <c r="O19" s="197">
        <v>0</v>
      </c>
      <c r="P19" s="197">
        <v>0</v>
      </c>
      <c r="Q19" s="197">
        <v>0</v>
      </c>
      <c r="R19" s="197">
        <v>0</v>
      </c>
      <c r="S19" s="197">
        <v>0</v>
      </c>
      <c r="T19" s="13"/>
    </row>
    <row r="20" spans="1:21" outlineLevel="1" x14ac:dyDescent="0.2">
      <c r="B20" s="127" t="s">
        <v>323</v>
      </c>
      <c r="C20" s="25" t="s">
        <v>242</v>
      </c>
      <c r="D20" s="27"/>
      <c r="E20" s="27"/>
      <c r="F20" s="27"/>
      <c r="G20" s="27"/>
      <c r="H20" s="93"/>
      <c r="I20" s="93"/>
      <c r="J20" s="93"/>
      <c r="K20" s="93"/>
      <c r="L20" s="93"/>
      <c r="M20" s="197">
        <v>0</v>
      </c>
      <c r="N20" s="197">
        <v>0</v>
      </c>
      <c r="O20" s="197">
        <v>0</v>
      </c>
      <c r="P20" s="197">
        <v>0</v>
      </c>
      <c r="Q20" s="197">
        <v>0</v>
      </c>
      <c r="R20" s="197">
        <v>0</v>
      </c>
      <c r="S20" s="197">
        <v>0</v>
      </c>
      <c r="T20" s="13"/>
    </row>
    <row r="21" spans="1:21" outlineLevel="1" x14ac:dyDescent="0.2">
      <c r="B21" s="127" t="s">
        <v>323</v>
      </c>
      <c r="C21" s="25" t="s">
        <v>242</v>
      </c>
      <c r="D21" s="27"/>
      <c r="E21" s="27"/>
      <c r="F21" s="27"/>
      <c r="G21" s="27"/>
      <c r="H21" s="93"/>
      <c r="I21" s="93"/>
      <c r="J21" s="93"/>
      <c r="K21" s="93"/>
      <c r="L21" s="93"/>
      <c r="M21" s="197">
        <v>0</v>
      </c>
      <c r="N21" s="197">
        <v>0</v>
      </c>
      <c r="O21" s="197">
        <v>0</v>
      </c>
      <c r="P21" s="197">
        <v>0</v>
      </c>
      <c r="Q21" s="197">
        <v>0</v>
      </c>
      <c r="R21" s="197">
        <v>0</v>
      </c>
      <c r="S21" s="197">
        <v>0</v>
      </c>
      <c r="T21" s="13"/>
    </row>
    <row r="22" spans="1:21" outlineLevel="1" x14ac:dyDescent="0.2">
      <c r="B22" s="127" t="s">
        <v>323</v>
      </c>
      <c r="C22" s="25" t="s">
        <v>242</v>
      </c>
      <c r="D22" s="27"/>
      <c r="E22" s="27"/>
      <c r="F22" s="27"/>
      <c r="G22" s="27"/>
      <c r="H22" s="93"/>
      <c r="I22" s="93"/>
      <c r="J22" s="93"/>
      <c r="K22" s="93"/>
      <c r="L22" s="93"/>
      <c r="M22" s="197">
        <v>0</v>
      </c>
      <c r="N22" s="197">
        <v>0</v>
      </c>
      <c r="O22" s="197">
        <v>0</v>
      </c>
      <c r="P22" s="197">
        <v>0</v>
      </c>
      <c r="Q22" s="197">
        <v>0</v>
      </c>
      <c r="R22" s="197">
        <v>0</v>
      </c>
      <c r="S22" s="197">
        <v>0</v>
      </c>
      <c r="T22" s="13"/>
    </row>
    <row r="23" spans="1:21" outlineLevel="1" x14ac:dyDescent="0.2">
      <c r="B23" s="127" t="s">
        <v>323</v>
      </c>
      <c r="C23" s="25" t="s">
        <v>242</v>
      </c>
      <c r="D23" s="27"/>
      <c r="E23" s="27"/>
      <c r="F23" s="27"/>
      <c r="G23" s="27"/>
      <c r="H23" s="93"/>
      <c r="I23" s="93"/>
      <c r="J23" s="93"/>
      <c r="K23" s="93"/>
      <c r="L23" s="93"/>
      <c r="M23" s="197">
        <v>0</v>
      </c>
      <c r="N23" s="197">
        <v>0</v>
      </c>
      <c r="O23" s="197">
        <v>0</v>
      </c>
      <c r="P23" s="197">
        <v>0</v>
      </c>
      <c r="Q23" s="197">
        <v>0</v>
      </c>
      <c r="R23" s="197">
        <v>0</v>
      </c>
      <c r="S23" s="197">
        <v>0</v>
      </c>
      <c r="T23" s="13"/>
    </row>
    <row r="24" spans="1:21" outlineLevel="1" x14ac:dyDescent="0.2">
      <c r="B24" s="127" t="s">
        <v>323</v>
      </c>
      <c r="C24" s="25" t="s">
        <v>242</v>
      </c>
      <c r="D24" s="27"/>
      <c r="E24" s="27"/>
      <c r="F24" s="27"/>
      <c r="G24" s="27"/>
      <c r="H24" s="93"/>
      <c r="I24" s="93"/>
      <c r="J24" s="93"/>
      <c r="K24" s="93"/>
      <c r="L24" s="93"/>
      <c r="M24" s="197">
        <v>0</v>
      </c>
      <c r="N24" s="197">
        <v>0</v>
      </c>
      <c r="O24" s="197">
        <v>0</v>
      </c>
      <c r="P24" s="197">
        <v>0</v>
      </c>
      <c r="Q24" s="197">
        <v>0</v>
      </c>
      <c r="R24" s="197">
        <v>0</v>
      </c>
      <c r="S24" s="197">
        <v>0</v>
      </c>
      <c r="T24" s="13"/>
    </row>
    <row r="25" spans="1:21" outlineLevel="1" x14ac:dyDescent="0.2">
      <c r="B25" s="127" t="s">
        <v>323</v>
      </c>
      <c r="C25" s="25" t="s">
        <v>242</v>
      </c>
      <c r="D25" s="27"/>
      <c r="E25" s="27"/>
      <c r="F25" s="27"/>
      <c r="G25" s="27"/>
      <c r="H25" s="93"/>
      <c r="I25" s="93"/>
      <c r="J25" s="93"/>
      <c r="K25" s="93"/>
      <c r="L25" s="93"/>
      <c r="M25" s="197">
        <v>0</v>
      </c>
      <c r="N25" s="197">
        <v>0</v>
      </c>
      <c r="O25" s="197">
        <v>0</v>
      </c>
      <c r="P25" s="197">
        <v>0</v>
      </c>
      <c r="Q25" s="197">
        <v>0</v>
      </c>
      <c r="R25" s="197">
        <v>0</v>
      </c>
      <c r="S25" s="197">
        <v>0</v>
      </c>
      <c r="T25" s="13"/>
    </row>
    <row r="26" spans="1:21" outlineLevel="1" x14ac:dyDescent="0.2">
      <c r="B26" s="127" t="s">
        <v>323</v>
      </c>
      <c r="C26" s="25" t="s">
        <v>242</v>
      </c>
      <c r="D26" s="27"/>
      <c r="E26" s="27"/>
      <c r="F26" s="27"/>
      <c r="G26" s="27"/>
      <c r="H26" s="93"/>
      <c r="I26" s="93"/>
      <c r="J26" s="93"/>
      <c r="K26" s="93"/>
      <c r="L26" s="93"/>
      <c r="M26" s="198">
        <v>0</v>
      </c>
      <c r="N26" s="198">
        <v>0</v>
      </c>
      <c r="O26" s="198">
        <v>0</v>
      </c>
      <c r="P26" s="198">
        <v>0</v>
      </c>
      <c r="Q26" s="198">
        <v>0</v>
      </c>
      <c r="R26" s="198">
        <v>0</v>
      </c>
      <c r="S26" s="198">
        <v>0</v>
      </c>
    </row>
    <row r="27" spans="1:21" s="12" customFormat="1" x14ac:dyDescent="0.2">
      <c r="B27" s="12" t="s">
        <v>49</v>
      </c>
      <c r="C27" s="69" t="s">
        <v>242</v>
      </c>
      <c r="D27" s="26"/>
      <c r="E27" s="26"/>
      <c r="F27" s="26"/>
      <c r="G27" s="26"/>
      <c r="H27" s="93"/>
      <c r="I27" s="93"/>
      <c r="J27" s="93"/>
      <c r="K27" s="93"/>
      <c r="L27" s="93"/>
      <c r="M27" s="124">
        <f t="shared" ref="M27:S27" si="1">SUM(M15:M26)</f>
        <v>1525499.1126027396</v>
      </c>
      <c r="N27" s="124">
        <f t="shared" si="1"/>
        <v>1413313.3785737008</v>
      </c>
      <c r="O27" s="124">
        <f t="shared" si="1"/>
        <v>1363976.5421174308</v>
      </c>
      <c r="P27" s="124">
        <f t="shared" si="1"/>
        <v>1341520.5904210964</v>
      </c>
      <c r="Q27" s="124">
        <f t="shared" si="1"/>
        <v>1089356.6041808305</v>
      </c>
      <c r="R27" s="124">
        <f t="shared" si="1"/>
        <v>797428.37758125714</v>
      </c>
      <c r="S27" s="124">
        <f t="shared" si="1"/>
        <v>779961.93960593059</v>
      </c>
    </row>
    <row r="28" spans="1:21" s="58" customFormat="1" ht="12" customHeight="1" x14ac:dyDescent="0.2">
      <c r="A28" s="12"/>
      <c r="B28" s="81" t="s">
        <v>324</v>
      </c>
      <c r="C28" s="66"/>
      <c r="D28" s="12"/>
      <c r="E28" s="12"/>
      <c r="F28" s="12"/>
      <c r="G28" s="12"/>
      <c r="H28" s="142"/>
      <c r="I28" s="142"/>
      <c r="J28" s="142"/>
      <c r="K28" s="142"/>
      <c r="L28" s="142"/>
      <c r="M28" s="67"/>
      <c r="N28" s="67"/>
      <c r="O28" s="67"/>
      <c r="P28" s="67"/>
      <c r="Q28" s="67"/>
      <c r="R28" s="67"/>
      <c r="S28" s="67"/>
      <c r="T28" s="12"/>
      <c r="U28" s="12"/>
    </row>
    <row r="29" spans="1:21" x14ac:dyDescent="0.2">
      <c r="D29" s="27"/>
      <c r="E29" s="27"/>
      <c r="F29" s="27"/>
      <c r="G29" s="27"/>
      <c r="H29" s="93"/>
      <c r="I29" s="93"/>
      <c r="J29" s="93"/>
      <c r="K29" s="93"/>
      <c r="L29" s="93"/>
      <c r="M29" s="27"/>
      <c r="N29" s="27"/>
      <c r="O29" s="27"/>
    </row>
    <row r="30" spans="1:21" s="13" customFormat="1" ht="12" customHeight="1" x14ac:dyDescent="0.2">
      <c r="A30" s="15"/>
      <c r="B30" s="49" t="s">
        <v>325</v>
      </c>
      <c r="C30" s="50" t="s">
        <v>51</v>
      </c>
      <c r="D30" s="51" t="s">
        <v>52</v>
      </c>
      <c r="E30" s="50" t="s">
        <v>53</v>
      </c>
      <c r="F30" s="18"/>
      <c r="G30" s="20"/>
      <c r="H30" s="20"/>
      <c r="I30" s="20"/>
      <c r="J30" s="20"/>
      <c r="K30" s="18"/>
      <c r="L30" s="18"/>
      <c r="M30" s="18"/>
      <c r="N30" s="18"/>
      <c r="O30" s="18"/>
      <c r="P30" s="18"/>
      <c r="Q30" s="18"/>
      <c r="R30" s="18"/>
      <c r="S30" s="18"/>
      <c r="T30" s="18"/>
    </row>
    <row r="31" spans="1:21" x14ac:dyDescent="0.2">
      <c r="I31" s="15"/>
    </row>
    <row r="32" spans="1:21" x14ac:dyDescent="0.2">
      <c r="B32" s="138" t="s">
        <v>89</v>
      </c>
      <c r="C32" s="25" t="s">
        <v>242</v>
      </c>
      <c r="D32" s="27"/>
      <c r="E32" s="27" t="s">
        <v>321</v>
      </c>
      <c r="F32" s="27"/>
      <c r="G32" s="27"/>
      <c r="H32" s="93"/>
      <c r="I32" s="93"/>
      <c r="J32" s="93"/>
      <c r="K32" s="93"/>
      <c r="L32" s="93"/>
      <c r="M32" s="197">
        <v>1572901.8771693718</v>
      </c>
      <c r="N32" s="197">
        <v>0</v>
      </c>
      <c r="O32" s="197">
        <v>0</v>
      </c>
      <c r="P32" s="197">
        <v>0</v>
      </c>
      <c r="Q32" s="197">
        <v>155726.22986255892</v>
      </c>
      <c r="R32" s="197">
        <v>124872.11166684427</v>
      </c>
      <c r="S32" s="197">
        <v>0</v>
      </c>
      <c r="T32" s="13"/>
    </row>
    <row r="33" spans="1:21" x14ac:dyDescent="0.2">
      <c r="B33" s="138" t="s">
        <v>91</v>
      </c>
      <c r="C33" s="25" t="s">
        <v>242</v>
      </c>
      <c r="D33" s="27"/>
      <c r="E33" s="27" t="s">
        <v>321</v>
      </c>
      <c r="F33" s="27"/>
      <c r="G33" s="27"/>
      <c r="H33" s="93"/>
      <c r="I33" s="93"/>
      <c r="J33" s="93"/>
      <c r="K33" s="93"/>
      <c r="L33" s="93"/>
      <c r="M33" s="197">
        <v>3348425.1664176038</v>
      </c>
      <c r="N33" s="197">
        <v>142644.78090744404</v>
      </c>
      <c r="O33" s="197">
        <v>459350.29462085513</v>
      </c>
      <c r="P33" s="197">
        <v>253104.7368231788</v>
      </c>
      <c r="Q33" s="197">
        <v>305513.10731964739</v>
      </c>
      <c r="R33" s="197">
        <v>0</v>
      </c>
      <c r="S33" s="197">
        <v>0</v>
      </c>
      <c r="T33" s="13"/>
    </row>
    <row r="34" spans="1:21" outlineLevel="1" x14ac:dyDescent="0.2">
      <c r="B34" s="127" t="s">
        <v>323</v>
      </c>
      <c r="C34" s="25" t="s">
        <v>242</v>
      </c>
      <c r="D34" s="27"/>
      <c r="E34" s="27"/>
      <c r="F34" s="27"/>
      <c r="G34" s="27"/>
      <c r="H34" s="93"/>
      <c r="I34" s="93"/>
      <c r="J34" s="93"/>
      <c r="K34" s="93"/>
      <c r="L34" s="93"/>
      <c r="M34" s="197">
        <v>0</v>
      </c>
      <c r="N34" s="197">
        <v>0</v>
      </c>
      <c r="O34" s="197">
        <v>0</v>
      </c>
      <c r="P34" s="197">
        <v>0</v>
      </c>
      <c r="Q34" s="197">
        <v>0</v>
      </c>
      <c r="R34" s="197">
        <v>0</v>
      </c>
      <c r="S34" s="197">
        <v>0</v>
      </c>
      <c r="T34" s="13"/>
    </row>
    <row r="35" spans="1:21" outlineLevel="1" x14ac:dyDescent="0.2">
      <c r="B35" s="127" t="s">
        <v>323</v>
      </c>
      <c r="C35" s="25" t="s">
        <v>242</v>
      </c>
      <c r="D35" s="27"/>
      <c r="E35" s="27"/>
      <c r="F35" s="27"/>
      <c r="G35" s="27"/>
      <c r="H35" s="93"/>
      <c r="I35" s="93"/>
      <c r="J35" s="93"/>
      <c r="K35" s="93"/>
      <c r="L35" s="93"/>
      <c r="M35" s="197">
        <v>0</v>
      </c>
      <c r="N35" s="197">
        <v>0</v>
      </c>
      <c r="O35" s="197">
        <v>0</v>
      </c>
      <c r="P35" s="197">
        <v>0</v>
      </c>
      <c r="Q35" s="197">
        <v>0</v>
      </c>
      <c r="R35" s="197">
        <v>0</v>
      </c>
      <c r="S35" s="197">
        <v>0</v>
      </c>
      <c r="T35" s="13"/>
    </row>
    <row r="36" spans="1:21" outlineLevel="1" x14ac:dyDescent="0.2">
      <c r="B36" s="127" t="s">
        <v>323</v>
      </c>
      <c r="C36" s="25" t="s">
        <v>242</v>
      </c>
      <c r="D36" s="27"/>
      <c r="E36" s="27"/>
      <c r="F36" s="27"/>
      <c r="G36" s="27"/>
      <c r="H36" s="93"/>
      <c r="I36" s="93"/>
      <c r="J36" s="93"/>
      <c r="K36" s="93"/>
      <c r="L36" s="93"/>
      <c r="M36" s="197">
        <v>0</v>
      </c>
      <c r="N36" s="197">
        <v>0</v>
      </c>
      <c r="O36" s="197">
        <v>0</v>
      </c>
      <c r="P36" s="197">
        <v>0</v>
      </c>
      <c r="Q36" s="197">
        <v>0</v>
      </c>
      <c r="R36" s="197">
        <v>0</v>
      </c>
      <c r="S36" s="197">
        <v>0</v>
      </c>
      <c r="T36" s="13"/>
    </row>
    <row r="37" spans="1:21" outlineLevel="1" x14ac:dyDescent="0.2">
      <c r="B37" s="127" t="s">
        <v>323</v>
      </c>
      <c r="C37" s="25" t="s">
        <v>242</v>
      </c>
      <c r="D37" s="27"/>
      <c r="E37" s="27"/>
      <c r="F37" s="27"/>
      <c r="G37" s="27"/>
      <c r="H37" s="93"/>
      <c r="I37" s="93"/>
      <c r="J37" s="93"/>
      <c r="K37" s="93"/>
      <c r="L37" s="93"/>
      <c r="M37" s="197">
        <v>0</v>
      </c>
      <c r="N37" s="197">
        <v>0</v>
      </c>
      <c r="O37" s="197">
        <v>0</v>
      </c>
      <c r="P37" s="197">
        <v>0</v>
      </c>
      <c r="Q37" s="197">
        <v>0</v>
      </c>
      <c r="R37" s="197">
        <v>0</v>
      </c>
      <c r="S37" s="197">
        <v>0</v>
      </c>
      <c r="T37" s="13"/>
    </row>
    <row r="38" spans="1:21" outlineLevel="1" x14ac:dyDescent="0.2">
      <c r="B38" s="127" t="s">
        <v>323</v>
      </c>
      <c r="C38" s="25" t="s">
        <v>242</v>
      </c>
      <c r="D38" s="27"/>
      <c r="E38" s="27"/>
      <c r="F38" s="27"/>
      <c r="G38" s="27"/>
      <c r="H38" s="93"/>
      <c r="I38" s="93"/>
      <c r="J38" s="93"/>
      <c r="K38" s="93"/>
      <c r="L38" s="93"/>
      <c r="M38" s="197">
        <v>0</v>
      </c>
      <c r="N38" s="197">
        <v>0</v>
      </c>
      <c r="O38" s="197">
        <v>0</v>
      </c>
      <c r="P38" s="197">
        <v>0</v>
      </c>
      <c r="Q38" s="197">
        <v>0</v>
      </c>
      <c r="R38" s="197">
        <v>0</v>
      </c>
      <c r="S38" s="197">
        <v>0</v>
      </c>
      <c r="T38" s="13"/>
    </row>
    <row r="39" spans="1:21" outlineLevel="1" x14ac:dyDescent="0.2">
      <c r="B39" s="127" t="s">
        <v>323</v>
      </c>
      <c r="C39" s="25" t="s">
        <v>242</v>
      </c>
      <c r="D39" s="27"/>
      <c r="E39" s="27"/>
      <c r="F39" s="27"/>
      <c r="G39" s="27"/>
      <c r="H39" s="93"/>
      <c r="I39" s="93"/>
      <c r="J39" s="93"/>
      <c r="K39" s="93"/>
      <c r="L39" s="93"/>
      <c r="M39" s="197">
        <v>0</v>
      </c>
      <c r="N39" s="197">
        <v>0</v>
      </c>
      <c r="O39" s="197">
        <v>0</v>
      </c>
      <c r="P39" s="197">
        <v>0</v>
      </c>
      <c r="Q39" s="197">
        <v>0</v>
      </c>
      <c r="R39" s="197">
        <v>0</v>
      </c>
      <c r="S39" s="197">
        <v>0</v>
      </c>
      <c r="T39" s="13"/>
    </row>
    <row r="40" spans="1:21" outlineLevel="1" x14ac:dyDescent="0.2">
      <c r="B40" s="127" t="s">
        <v>323</v>
      </c>
      <c r="C40" s="25" t="s">
        <v>242</v>
      </c>
      <c r="D40" s="27"/>
      <c r="E40" s="27"/>
      <c r="F40" s="27"/>
      <c r="G40" s="27"/>
      <c r="H40" s="93"/>
      <c r="I40" s="93"/>
      <c r="J40" s="93"/>
      <c r="K40" s="93"/>
      <c r="L40" s="93"/>
      <c r="M40" s="197">
        <v>0</v>
      </c>
      <c r="N40" s="197">
        <v>0</v>
      </c>
      <c r="O40" s="197">
        <v>0</v>
      </c>
      <c r="P40" s="197">
        <v>0</v>
      </c>
      <c r="Q40" s="197">
        <v>0</v>
      </c>
      <c r="R40" s="197">
        <v>0</v>
      </c>
      <c r="S40" s="197">
        <v>0</v>
      </c>
      <c r="T40" s="13"/>
    </row>
    <row r="41" spans="1:21" outlineLevel="1" x14ac:dyDescent="0.2">
      <c r="B41" s="127" t="s">
        <v>323</v>
      </c>
      <c r="C41" s="25" t="s">
        <v>242</v>
      </c>
      <c r="D41" s="27"/>
      <c r="E41" s="27"/>
      <c r="F41" s="27"/>
      <c r="G41" s="27"/>
      <c r="H41" s="93"/>
      <c r="I41" s="93"/>
      <c r="J41" s="93"/>
      <c r="K41" s="93"/>
      <c r="L41" s="93"/>
      <c r="M41" s="197">
        <v>0</v>
      </c>
      <c r="N41" s="197">
        <v>0</v>
      </c>
      <c r="O41" s="197">
        <v>0</v>
      </c>
      <c r="P41" s="197">
        <v>0</v>
      </c>
      <c r="Q41" s="197">
        <v>0</v>
      </c>
      <c r="R41" s="197">
        <v>0</v>
      </c>
      <c r="S41" s="197">
        <v>0</v>
      </c>
      <c r="T41" s="13"/>
    </row>
    <row r="42" spans="1:21" outlineLevel="1" x14ac:dyDescent="0.2">
      <c r="B42" s="127" t="s">
        <v>323</v>
      </c>
      <c r="C42" s="25" t="s">
        <v>242</v>
      </c>
      <c r="D42" s="27"/>
      <c r="E42" s="27"/>
      <c r="F42" s="27"/>
      <c r="G42" s="27"/>
      <c r="H42" s="93"/>
      <c r="I42" s="93"/>
      <c r="J42" s="93"/>
      <c r="K42" s="93"/>
      <c r="L42" s="93"/>
      <c r="M42" s="197">
        <v>0</v>
      </c>
      <c r="N42" s="197">
        <v>0</v>
      </c>
      <c r="O42" s="197">
        <v>0</v>
      </c>
      <c r="P42" s="197">
        <v>0</v>
      </c>
      <c r="Q42" s="197">
        <v>0</v>
      </c>
      <c r="R42" s="197">
        <v>0</v>
      </c>
      <c r="S42" s="197">
        <v>0</v>
      </c>
      <c r="T42" s="13"/>
    </row>
    <row r="43" spans="1:21" outlineLevel="1" x14ac:dyDescent="0.2">
      <c r="B43" s="127" t="s">
        <v>323</v>
      </c>
      <c r="C43" s="25" t="s">
        <v>242</v>
      </c>
      <c r="D43" s="27"/>
      <c r="E43" s="27"/>
      <c r="F43" s="27"/>
      <c r="G43" s="27"/>
      <c r="H43" s="93"/>
      <c r="I43" s="93"/>
      <c r="J43" s="93"/>
      <c r="K43" s="93"/>
      <c r="L43" s="93"/>
      <c r="M43" s="198">
        <v>0</v>
      </c>
      <c r="N43" s="198">
        <v>0</v>
      </c>
      <c r="O43" s="198">
        <v>0</v>
      </c>
      <c r="P43" s="198">
        <v>0</v>
      </c>
      <c r="Q43" s="198">
        <v>0</v>
      </c>
      <c r="R43" s="198">
        <v>0</v>
      </c>
      <c r="S43" s="198">
        <v>0</v>
      </c>
    </row>
    <row r="44" spans="1:21" s="12" customFormat="1" x14ac:dyDescent="0.2">
      <c r="B44" s="12" t="s">
        <v>49</v>
      </c>
      <c r="C44" s="69" t="s">
        <v>242</v>
      </c>
      <c r="D44" s="26"/>
      <c r="E44" s="26"/>
      <c r="F44" s="26"/>
      <c r="G44" s="26"/>
      <c r="H44" s="93"/>
      <c r="I44" s="93"/>
      <c r="J44" s="93"/>
      <c r="K44" s="93"/>
      <c r="L44" s="93"/>
      <c r="M44" s="124">
        <f t="shared" ref="M44:S44" si="2">SUM(M32:M43)</f>
        <v>4921327.0435869759</v>
      </c>
      <c r="N44" s="124">
        <f t="shared" si="2"/>
        <v>142644.78090744404</v>
      </c>
      <c r="O44" s="124">
        <f t="shared" si="2"/>
        <v>459350.29462085513</v>
      </c>
      <c r="P44" s="124">
        <f t="shared" si="2"/>
        <v>253104.7368231788</v>
      </c>
      <c r="Q44" s="124">
        <f t="shared" si="2"/>
        <v>461239.33718220633</v>
      </c>
      <c r="R44" s="124">
        <f t="shared" si="2"/>
        <v>124872.11166684427</v>
      </c>
      <c r="S44" s="124">
        <f t="shared" si="2"/>
        <v>0</v>
      </c>
    </row>
    <row r="45" spans="1:21" s="58" customFormat="1" ht="12" customHeight="1" x14ac:dyDescent="0.2">
      <c r="A45" s="12"/>
      <c r="B45" s="81" t="s">
        <v>324</v>
      </c>
      <c r="C45" s="66"/>
      <c r="D45" s="12"/>
      <c r="E45" s="12"/>
      <c r="F45" s="12"/>
      <c r="G45" s="12"/>
      <c r="H45" s="142"/>
      <c r="I45" s="142"/>
      <c r="J45" s="142"/>
      <c r="K45" s="142"/>
      <c r="L45" s="142"/>
      <c r="M45" s="67"/>
      <c r="N45" s="67"/>
      <c r="O45" s="67"/>
      <c r="P45" s="67"/>
      <c r="Q45" s="67"/>
      <c r="R45" s="67"/>
      <c r="S45" s="67"/>
      <c r="T45" s="12"/>
      <c r="U45" s="12"/>
    </row>
    <row r="46" spans="1:21" x14ac:dyDescent="0.2">
      <c r="D46" s="27"/>
      <c r="E46" s="27"/>
      <c r="F46" s="27"/>
      <c r="G46" s="27"/>
      <c r="H46" s="93"/>
      <c r="I46" s="93"/>
      <c r="J46" s="93"/>
      <c r="K46" s="93"/>
      <c r="L46" s="93"/>
      <c r="M46" s="27"/>
      <c r="N46" s="27"/>
      <c r="O46" s="27"/>
    </row>
    <row r="47" spans="1:21" s="13" customFormat="1" ht="12" customHeight="1" x14ac:dyDescent="0.2">
      <c r="A47" s="15"/>
      <c r="B47" s="49" t="s">
        <v>326</v>
      </c>
      <c r="C47" s="50" t="s">
        <v>51</v>
      </c>
      <c r="D47" s="51" t="s">
        <v>52</v>
      </c>
      <c r="E47" s="50" t="s">
        <v>53</v>
      </c>
      <c r="F47" s="18"/>
      <c r="G47" s="20"/>
      <c r="H47" s="20"/>
      <c r="I47" s="20"/>
      <c r="J47" s="20"/>
      <c r="K47" s="18"/>
      <c r="L47" s="18"/>
      <c r="M47" s="18"/>
      <c r="N47" s="18"/>
      <c r="O47" s="18"/>
      <c r="P47" s="18"/>
      <c r="Q47" s="18"/>
      <c r="R47" s="18"/>
      <c r="S47" s="18"/>
      <c r="T47" s="18"/>
    </row>
    <row r="48" spans="1:21" x14ac:dyDescent="0.2">
      <c r="I48" s="15"/>
    </row>
    <row r="49" spans="1:21" x14ac:dyDescent="0.2">
      <c r="B49" s="68" t="s">
        <v>327</v>
      </c>
      <c r="I49" s="15"/>
    </row>
    <row r="50" spans="1:21" x14ac:dyDescent="0.2">
      <c r="I50" s="15"/>
    </row>
    <row r="51" spans="1:21" x14ac:dyDescent="0.2">
      <c r="B51" s="137" t="s">
        <v>263</v>
      </c>
      <c r="C51" s="25" t="s">
        <v>250</v>
      </c>
      <c r="D51" s="27"/>
      <c r="E51" s="27"/>
      <c r="F51" s="27"/>
      <c r="G51" s="27"/>
      <c r="H51" s="93"/>
      <c r="I51" s="93"/>
      <c r="J51" s="93"/>
      <c r="K51" s="93"/>
      <c r="L51" s="93"/>
      <c r="M51" s="197">
        <v>-637425.59579650196</v>
      </c>
      <c r="N51" s="197">
        <v>0</v>
      </c>
      <c r="O51" s="197">
        <v>0</v>
      </c>
      <c r="P51" s="197">
        <v>0</v>
      </c>
      <c r="Q51" s="197">
        <v>0</v>
      </c>
      <c r="R51" s="197">
        <v>0</v>
      </c>
      <c r="S51" s="197">
        <v>0</v>
      </c>
      <c r="T51" s="13"/>
    </row>
    <row r="52" spans="1:21" x14ac:dyDescent="0.2">
      <c r="B52" s="138" t="s">
        <v>322</v>
      </c>
      <c r="C52" s="25" t="s">
        <v>250</v>
      </c>
      <c r="D52" s="27"/>
      <c r="E52" s="27"/>
      <c r="F52" s="27"/>
      <c r="G52" s="27"/>
      <c r="H52" s="93"/>
      <c r="I52" s="93"/>
      <c r="J52" s="93"/>
      <c r="K52" s="93"/>
      <c r="L52" s="93"/>
      <c r="M52" s="197">
        <v>-740545.97640785144</v>
      </c>
      <c r="N52" s="197">
        <v>0</v>
      </c>
      <c r="O52" s="197">
        <v>0</v>
      </c>
      <c r="P52" s="197">
        <v>0</v>
      </c>
      <c r="Q52" s="197">
        <v>0</v>
      </c>
      <c r="R52" s="197">
        <v>0</v>
      </c>
      <c r="S52" s="197">
        <v>0</v>
      </c>
      <c r="T52" s="13"/>
    </row>
    <row r="53" spans="1:21" outlineLevel="1" x14ac:dyDescent="0.2">
      <c r="B53" s="127" t="s">
        <v>323</v>
      </c>
      <c r="C53" s="25" t="s">
        <v>250</v>
      </c>
      <c r="D53" s="27"/>
      <c r="E53" s="27"/>
      <c r="F53" s="27"/>
      <c r="G53" s="27"/>
      <c r="H53" s="93"/>
      <c r="I53" s="93"/>
      <c r="J53" s="93"/>
      <c r="K53" s="93"/>
      <c r="L53" s="93"/>
      <c r="M53" s="197">
        <v>0</v>
      </c>
      <c r="N53" s="197">
        <v>0</v>
      </c>
      <c r="O53" s="197">
        <v>0</v>
      </c>
      <c r="P53" s="197">
        <v>0</v>
      </c>
      <c r="Q53" s="197">
        <v>0</v>
      </c>
      <c r="R53" s="197">
        <v>0</v>
      </c>
      <c r="S53" s="197">
        <v>0</v>
      </c>
      <c r="T53" s="13"/>
    </row>
    <row r="54" spans="1:21" outlineLevel="1" x14ac:dyDescent="0.2">
      <c r="B54" s="127" t="s">
        <v>323</v>
      </c>
      <c r="C54" s="25" t="s">
        <v>250</v>
      </c>
      <c r="D54" s="27"/>
      <c r="E54" s="27"/>
      <c r="F54" s="27"/>
      <c r="G54" s="27"/>
      <c r="H54" s="93"/>
      <c r="I54" s="93"/>
      <c r="J54" s="93"/>
      <c r="K54" s="93"/>
      <c r="L54" s="93"/>
      <c r="M54" s="197">
        <v>0</v>
      </c>
      <c r="N54" s="197">
        <v>0</v>
      </c>
      <c r="O54" s="197">
        <v>0</v>
      </c>
      <c r="P54" s="197">
        <v>0</v>
      </c>
      <c r="Q54" s="197">
        <v>0</v>
      </c>
      <c r="R54" s="197">
        <v>0</v>
      </c>
      <c r="S54" s="197">
        <v>0</v>
      </c>
      <c r="T54" s="13"/>
    </row>
    <row r="55" spans="1:21" outlineLevel="1" x14ac:dyDescent="0.2">
      <c r="B55" s="127" t="s">
        <v>323</v>
      </c>
      <c r="C55" s="25" t="s">
        <v>250</v>
      </c>
      <c r="D55" s="27"/>
      <c r="E55" s="27"/>
      <c r="F55" s="27"/>
      <c r="G55" s="27"/>
      <c r="H55" s="93"/>
      <c r="I55" s="93"/>
      <c r="J55" s="93"/>
      <c r="K55" s="93"/>
      <c r="L55" s="93"/>
      <c r="M55" s="197">
        <v>0</v>
      </c>
      <c r="N55" s="197">
        <v>0</v>
      </c>
      <c r="O55" s="197">
        <v>0</v>
      </c>
      <c r="P55" s="197">
        <v>0</v>
      </c>
      <c r="Q55" s="197">
        <v>0</v>
      </c>
      <c r="R55" s="197">
        <v>0</v>
      </c>
      <c r="S55" s="197">
        <v>0</v>
      </c>
      <c r="T55" s="13"/>
    </row>
    <row r="56" spans="1:21" outlineLevel="1" x14ac:dyDescent="0.2">
      <c r="B56" s="127" t="s">
        <v>323</v>
      </c>
      <c r="C56" s="25" t="s">
        <v>250</v>
      </c>
      <c r="D56" s="27"/>
      <c r="E56" s="27"/>
      <c r="F56" s="27"/>
      <c r="G56" s="27"/>
      <c r="H56" s="93"/>
      <c r="I56" s="93"/>
      <c r="J56" s="93"/>
      <c r="K56" s="93"/>
      <c r="L56" s="93"/>
      <c r="M56" s="197">
        <v>0</v>
      </c>
      <c r="N56" s="197">
        <v>0</v>
      </c>
      <c r="O56" s="197">
        <v>0</v>
      </c>
      <c r="P56" s="197">
        <v>0</v>
      </c>
      <c r="Q56" s="197">
        <v>0</v>
      </c>
      <c r="R56" s="197">
        <v>0</v>
      </c>
      <c r="S56" s="197">
        <v>0</v>
      </c>
      <c r="T56" s="13"/>
    </row>
    <row r="57" spans="1:21" outlineLevel="1" x14ac:dyDescent="0.2">
      <c r="B57" s="127" t="s">
        <v>323</v>
      </c>
      <c r="C57" s="25" t="s">
        <v>250</v>
      </c>
      <c r="D57" s="27"/>
      <c r="E57" s="27"/>
      <c r="F57" s="27"/>
      <c r="G57" s="27"/>
      <c r="H57" s="93"/>
      <c r="I57" s="93"/>
      <c r="J57" s="93"/>
      <c r="K57" s="93"/>
      <c r="L57" s="93"/>
      <c r="M57" s="197">
        <v>0</v>
      </c>
      <c r="N57" s="197">
        <v>0</v>
      </c>
      <c r="O57" s="197">
        <v>0</v>
      </c>
      <c r="P57" s="197">
        <v>0</v>
      </c>
      <c r="Q57" s="197">
        <v>0</v>
      </c>
      <c r="R57" s="197">
        <v>0</v>
      </c>
      <c r="S57" s="197">
        <v>0</v>
      </c>
      <c r="T57" s="13"/>
    </row>
    <row r="58" spans="1:21" outlineLevel="1" x14ac:dyDescent="0.2">
      <c r="B58" s="127" t="s">
        <v>323</v>
      </c>
      <c r="C58" s="25" t="s">
        <v>250</v>
      </c>
      <c r="D58" s="27"/>
      <c r="E58" s="27"/>
      <c r="F58" s="27"/>
      <c r="G58" s="27"/>
      <c r="H58" s="93"/>
      <c r="I58" s="93"/>
      <c r="J58" s="93"/>
      <c r="K58" s="93"/>
      <c r="L58" s="93"/>
      <c r="M58" s="197">
        <v>0</v>
      </c>
      <c r="N58" s="197">
        <v>0</v>
      </c>
      <c r="O58" s="197">
        <v>0</v>
      </c>
      <c r="P58" s="197">
        <v>0</v>
      </c>
      <c r="Q58" s="197">
        <v>0</v>
      </c>
      <c r="R58" s="197">
        <v>0</v>
      </c>
      <c r="S58" s="197">
        <v>0</v>
      </c>
      <c r="T58" s="13"/>
    </row>
    <row r="59" spans="1:21" outlineLevel="1" x14ac:dyDescent="0.2">
      <c r="B59" s="127" t="s">
        <v>323</v>
      </c>
      <c r="C59" s="25" t="s">
        <v>250</v>
      </c>
      <c r="D59" s="27"/>
      <c r="E59" s="27"/>
      <c r="F59" s="27"/>
      <c r="G59" s="27"/>
      <c r="H59" s="93"/>
      <c r="I59" s="93"/>
      <c r="J59" s="93"/>
      <c r="K59" s="93"/>
      <c r="L59" s="93"/>
      <c r="M59" s="197">
        <v>0</v>
      </c>
      <c r="N59" s="197">
        <v>0</v>
      </c>
      <c r="O59" s="197">
        <v>0</v>
      </c>
      <c r="P59" s="197">
        <v>0</v>
      </c>
      <c r="Q59" s="197">
        <v>0</v>
      </c>
      <c r="R59" s="197">
        <v>0</v>
      </c>
      <c r="S59" s="197">
        <v>0</v>
      </c>
      <c r="T59" s="13"/>
    </row>
    <row r="60" spans="1:21" outlineLevel="1" x14ac:dyDescent="0.2">
      <c r="B60" s="127" t="s">
        <v>323</v>
      </c>
      <c r="C60" s="25" t="s">
        <v>250</v>
      </c>
      <c r="D60" s="27"/>
      <c r="E60" s="27"/>
      <c r="F60" s="27"/>
      <c r="G60" s="27"/>
      <c r="H60" s="93"/>
      <c r="I60" s="93"/>
      <c r="J60" s="93"/>
      <c r="K60" s="93"/>
      <c r="L60" s="93"/>
      <c r="M60" s="197">
        <v>0</v>
      </c>
      <c r="N60" s="197">
        <v>0</v>
      </c>
      <c r="O60" s="197">
        <v>0</v>
      </c>
      <c r="P60" s="197">
        <v>0</v>
      </c>
      <c r="Q60" s="197">
        <v>0</v>
      </c>
      <c r="R60" s="197">
        <v>0</v>
      </c>
      <c r="S60" s="197">
        <v>0</v>
      </c>
      <c r="T60" s="13"/>
    </row>
    <row r="61" spans="1:21" outlineLevel="1" x14ac:dyDescent="0.2">
      <c r="B61" s="127" t="s">
        <v>323</v>
      </c>
      <c r="C61" s="25" t="s">
        <v>250</v>
      </c>
      <c r="D61" s="27"/>
      <c r="E61" s="27"/>
      <c r="F61" s="27"/>
      <c r="G61" s="27"/>
      <c r="H61" s="93"/>
      <c r="I61" s="93"/>
      <c r="J61" s="93"/>
      <c r="K61" s="93"/>
      <c r="L61" s="93"/>
      <c r="M61" s="197">
        <v>0</v>
      </c>
      <c r="N61" s="197">
        <v>0</v>
      </c>
      <c r="O61" s="197">
        <v>0</v>
      </c>
      <c r="P61" s="197">
        <v>0</v>
      </c>
      <c r="Q61" s="197">
        <v>0</v>
      </c>
      <c r="R61" s="197">
        <v>0</v>
      </c>
      <c r="S61" s="197">
        <v>0</v>
      </c>
      <c r="T61" s="13"/>
    </row>
    <row r="62" spans="1:21" outlineLevel="1" x14ac:dyDescent="0.2">
      <c r="B62" s="127" t="s">
        <v>323</v>
      </c>
      <c r="C62" s="25" t="s">
        <v>250</v>
      </c>
      <c r="D62" s="27"/>
      <c r="E62" s="27"/>
      <c r="F62" s="27"/>
      <c r="G62" s="27"/>
      <c r="H62" s="93"/>
      <c r="I62" s="93"/>
      <c r="J62" s="93"/>
      <c r="K62" s="93"/>
      <c r="L62" s="93"/>
      <c r="M62" s="198">
        <v>0</v>
      </c>
      <c r="N62" s="198">
        <v>0</v>
      </c>
      <c r="O62" s="198">
        <v>0</v>
      </c>
      <c r="P62" s="198">
        <v>0</v>
      </c>
      <c r="Q62" s="198">
        <v>0</v>
      </c>
      <c r="R62" s="198">
        <v>0</v>
      </c>
      <c r="S62" s="198">
        <v>0</v>
      </c>
    </row>
    <row r="63" spans="1:21" s="12" customFormat="1" x14ac:dyDescent="0.2">
      <c r="B63" s="12" t="s">
        <v>49</v>
      </c>
      <c r="C63" s="69" t="s">
        <v>250</v>
      </c>
      <c r="D63" s="26"/>
      <c r="E63" s="26"/>
      <c r="F63" s="26"/>
      <c r="G63" s="26"/>
      <c r="H63" s="93"/>
      <c r="I63" s="93"/>
      <c r="J63" s="93"/>
      <c r="K63" s="93"/>
      <c r="L63" s="93"/>
      <c r="M63" s="124">
        <f t="shared" ref="M63:S63" si="3">SUM(M51:M62)</f>
        <v>-1377971.5722043533</v>
      </c>
      <c r="N63" s="124">
        <f t="shared" si="3"/>
        <v>0</v>
      </c>
      <c r="O63" s="124">
        <f t="shared" si="3"/>
        <v>0</v>
      </c>
      <c r="P63" s="124">
        <f t="shared" si="3"/>
        <v>0</v>
      </c>
      <c r="Q63" s="124">
        <f t="shared" si="3"/>
        <v>0</v>
      </c>
      <c r="R63" s="124">
        <f t="shared" si="3"/>
        <v>0</v>
      </c>
      <c r="S63" s="124">
        <f t="shared" si="3"/>
        <v>0</v>
      </c>
    </row>
    <row r="64" spans="1:21" s="58" customFormat="1" ht="12" customHeight="1" x14ac:dyDescent="0.2">
      <c r="A64" s="12"/>
      <c r="B64" s="81" t="s">
        <v>324</v>
      </c>
      <c r="C64" s="66"/>
      <c r="D64" s="12"/>
      <c r="E64" s="12"/>
      <c r="F64" s="12"/>
      <c r="G64" s="12"/>
      <c r="H64" s="142"/>
      <c r="I64" s="142"/>
      <c r="J64" s="142"/>
      <c r="K64" s="142"/>
      <c r="L64" s="142"/>
      <c r="M64" s="67"/>
      <c r="N64" s="67"/>
      <c r="O64" s="67"/>
      <c r="P64" s="67"/>
      <c r="Q64" s="67"/>
      <c r="R64" s="67"/>
      <c r="S64" s="67"/>
      <c r="T64" s="12"/>
      <c r="U64" s="12"/>
    </row>
    <row r="65" spans="4:15" x14ac:dyDescent="0.2">
      <c r="D65" s="27"/>
      <c r="E65" s="27"/>
      <c r="F65" s="27"/>
      <c r="G65" s="27"/>
      <c r="H65" s="93"/>
      <c r="I65" s="93"/>
      <c r="J65" s="93"/>
      <c r="K65" s="93"/>
      <c r="L65" s="93"/>
      <c r="M65" s="27"/>
      <c r="N65" s="27"/>
      <c r="O65" s="27"/>
    </row>
  </sheetData>
  <sheetProtection algorithmName="SHA-512" hashValue="4UCpGEZV0EsmG2e0PDSsJ6V0+6359zqgUSZhaLrGkN1fS6RVA/lFu59vvq9cExrR8SGTfp1+nJIgatxAjqTXew==" saltValue="ugsKoBzRf2UAJieVtCxMQQ==" spinCount="100000" sheet="1" objects="1" scenarios="1"/>
  <conditionalFormatting sqref="C2">
    <cfRule type="expression" dxfId="421" priority="1">
      <formula>Model_check&lt;&gt;0</formula>
    </cfRule>
    <cfRule type="expression" dxfId="420" priority="2">
      <formula>Model_check=0</formula>
    </cfRule>
  </conditionalFormatting>
  <dataValidations count="1">
    <dataValidation allowBlank="1" sqref="H65:S65 H46:S46 H51:S63 H29:S29 H15:S27 H32:S44" xr:uid="{BED0326D-D8E8-4FDF-B06F-5146044037A7}"/>
  </dataValidations>
  <pageMargins left="0.70866141732283472" right="0.70866141732283472" top="0.74803149606299213" bottom="0.74803149606299213" header="0.31496062992125984" footer="0.31496062992125984"/>
  <pageSetup paperSize="9" scale="53" orientation="landscape" r:id="rId1"/>
  <headerFooter>
    <oddFooter>&amp;A</oddFooter>
  </headerFooter>
  <extLst>
    <ext xmlns:x14="http://schemas.microsoft.com/office/spreadsheetml/2009/9/main" uri="{78C0D931-6437-407d-A8EE-F0AAD7539E65}">
      <x14:conditionalFormattings>
        <x14:conditionalFormatting xmlns:xm="http://schemas.microsoft.com/office/excel/2006/main">
          <x14:cfRule type="expression" priority="3" id="{1EE860E0-CECF-4890-A7AD-FAAB3EE7FC62}">
            <xm:f>'Global inputs'!$A1="MODEL ERROR"</xm:f>
            <x14:dxf>
              <fill>
                <patternFill>
                  <bgColor theme="1"/>
                </patternFill>
              </fill>
            </x14:dxf>
          </x14:cfRule>
          <xm:sqref>A1:XFD1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U454"/>
  <sheetViews>
    <sheetView showGridLines="0" zoomScale="85" zoomScaleNormal="85" workbookViewId="0">
      <pane ySplit="7" topLeftCell="A8" activePane="bottomLeft" state="frozen"/>
      <selection activeCell="B116" sqref="B116"/>
      <selection pane="bottomLeft" activeCell="A8" sqref="A8"/>
    </sheetView>
  </sheetViews>
  <sheetFormatPr defaultColWidth="0" defaultRowHeight="12.75" outlineLevelRow="1" outlineLevelCol="1" x14ac:dyDescent="0.2"/>
  <cols>
    <col min="1" max="1" width="2.75" style="250" customWidth="1"/>
    <col min="2" max="2" width="22.5" style="232" customWidth="1"/>
    <col min="3" max="3" width="40.5" style="250" bestFit="1" customWidth="1"/>
    <col min="4" max="4" width="27.625" style="263" customWidth="1"/>
    <col min="5" max="6" width="27.625" style="263" customWidth="1" outlineLevel="1"/>
    <col min="7" max="7" width="27.625" style="263" customWidth="1"/>
    <col min="8" max="8" width="9.875" style="250" customWidth="1"/>
    <col min="9" max="9" width="9.25" style="232" customWidth="1"/>
    <col min="10" max="10" width="20.625" style="250" customWidth="1"/>
    <col min="11" max="13" width="20.625" style="231" customWidth="1"/>
    <col min="14" max="18" width="20.625" style="250" customWidth="1"/>
    <col min="19" max="19" width="2.75" style="250" customWidth="1"/>
    <col min="20" max="16384" width="0" style="27" hidden="1"/>
  </cols>
  <sheetData>
    <row r="1" spans="1:21" s="15" customFormat="1" ht="12" customHeight="1" x14ac:dyDescent="0.2">
      <c r="A1" s="229"/>
      <c r="B1" s="229"/>
      <c r="C1" s="229"/>
      <c r="D1" s="239"/>
      <c r="E1" s="239"/>
      <c r="F1" s="239"/>
      <c r="G1" s="239"/>
      <c r="H1" s="229"/>
      <c r="I1" s="229"/>
      <c r="J1" s="229"/>
      <c r="K1" s="229"/>
      <c r="L1" s="229"/>
      <c r="M1" s="229"/>
      <c r="N1" s="229"/>
      <c r="O1" s="229"/>
      <c r="P1" s="229"/>
      <c r="Q1" s="229"/>
      <c r="R1" s="229"/>
      <c r="S1" s="229"/>
      <c r="T1" s="13"/>
      <c r="U1" s="13"/>
    </row>
    <row r="2" spans="1:21" s="13" customFormat="1" ht="15" customHeight="1" x14ac:dyDescent="0.25">
      <c r="A2" s="229"/>
      <c r="B2" s="240" t="str">
        <f ca="1">MID(CELL("filename",B2),FIND("]",CELL("filename",B2))+1,255)</f>
        <v>Forecast opex</v>
      </c>
      <c r="C2" s="241" t="str">
        <f>'Global inputs'!$C$2</f>
        <v>Model: Ok</v>
      </c>
      <c r="D2" s="229"/>
      <c r="E2" s="229"/>
      <c r="F2" s="229"/>
      <c r="G2" s="229"/>
      <c r="H2" s="242"/>
      <c r="I2" s="242"/>
      <c r="J2" s="242"/>
      <c r="K2" s="242"/>
      <c r="L2" s="242"/>
      <c r="M2" s="242"/>
      <c r="N2" s="242"/>
      <c r="O2" s="242"/>
      <c r="P2" s="242"/>
      <c r="Q2" s="242"/>
      <c r="R2" s="242"/>
      <c r="S2" s="229"/>
    </row>
    <row r="3" spans="1:21" s="12" customFormat="1" ht="12" customHeight="1" x14ac:dyDescent="0.2">
      <c r="A3" s="243"/>
      <c r="B3" s="244"/>
      <c r="C3" s="245"/>
      <c r="D3" s="246"/>
      <c r="E3" s="246"/>
      <c r="F3" s="246"/>
      <c r="G3" s="246"/>
      <c r="H3" s="213"/>
      <c r="I3" s="247"/>
      <c r="J3" s="214" t="s">
        <v>212</v>
      </c>
      <c r="K3" s="214" t="s">
        <v>328</v>
      </c>
      <c r="L3" s="214" t="s">
        <v>329</v>
      </c>
      <c r="M3" s="214" t="s">
        <v>330</v>
      </c>
      <c r="N3" s="213"/>
      <c r="O3" s="214" t="s">
        <v>212</v>
      </c>
      <c r="P3" s="213"/>
      <c r="Q3" s="213"/>
      <c r="R3" s="214" t="s">
        <v>212</v>
      </c>
      <c r="S3" s="243"/>
    </row>
    <row r="4" spans="1:21" s="12" customFormat="1" ht="12" customHeight="1" x14ac:dyDescent="0.2">
      <c r="A4" s="243"/>
      <c r="B4" s="244" t="s">
        <v>331</v>
      </c>
      <c r="C4" s="244" t="s">
        <v>332</v>
      </c>
      <c r="D4" s="244" t="s">
        <v>333</v>
      </c>
      <c r="E4" s="244" t="s">
        <v>334</v>
      </c>
      <c r="F4" s="244" t="s">
        <v>335</v>
      </c>
      <c r="G4" s="244" t="s">
        <v>336</v>
      </c>
      <c r="H4" s="244" t="s">
        <v>337</v>
      </c>
      <c r="I4" s="244" t="s">
        <v>338</v>
      </c>
      <c r="J4" s="214" t="s">
        <v>339</v>
      </c>
      <c r="K4" s="214" t="s">
        <v>340</v>
      </c>
      <c r="L4" s="214" t="s">
        <v>339</v>
      </c>
      <c r="M4" s="214" t="s">
        <v>339</v>
      </c>
      <c r="N4" s="214" t="s">
        <v>341</v>
      </c>
      <c r="O4" s="214" t="s">
        <v>342</v>
      </c>
      <c r="P4" s="214" t="s">
        <v>343</v>
      </c>
      <c r="Q4" s="214" t="s">
        <v>341</v>
      </c>
      <c r="R4" s="214" t="s">
        <v>342</v>
      </c>
      <c r="S4" s="243"/>
    </row>
    <row r="5" spans="1:21" s="12" customFormat="1" ht="12" customHeight="1" x14ac:dyDescent="0.2">
      <c r="A5" s="243"/>
      <c r="B5" s="244"/>
      <c r="C5" s="244"/>
      <c r="D5" s="244"/>
      <c r="E5" s="244"/>
      <c r="F5" s="244"/>
      <c r="G5" s="244" t="s">
        <v>344</v>
      </c>
      <c r="H5" s="244"/>
      <c r="I5" s="244"/>
      <c r="J5" s="214" t="s">
        <v>345</v>
      </c>
      <c r="K5" s="214" t="s">
        <v>346</v>
      </c>
      <c r="L5" s="214" t="s">
        <v>345</v>
      </c>
      <c r="M5" s="214" t="s">
        <v>345</v>
      </c>
      <c r="N5" s="214" t="s">
        <v>347</v>
      </c>
      <c r="O5" s="214" t="s">
        <v>345</v>
      </c>
      <c r="P5" s="214"/>
      <c r="Q5" s="214" t="s">
        <v>348</v>
      </c>
      <c r="R5" s="214" t="s">
        <v>345</v>
      </c>
      <c r="S5" s="243"/>
    </row>
    <row r="6" spans="1:21" s="12" customFormat="1" ht="12" customHeight="1" x14ac:dyDescent="0.2">
      <c r="A6" s="243"/>
      <c r="B6" s="244"/>
      <c r="C6" s="245"/>
      <c r="D6" s="246"/>
      <c r="E6" s="246"/>
      <c r="F6" s="246"/>
      <c r="G6" s="246"/>
      <c r="H6" s="213"/>
      <c r="I6" s="247"/>
      <c r="J6" s="214" t="s">
        <v>347</v>
      </c>
      <c r="K6" s="214"/>
      <c r="L6" s="214" t="s">
        <v>347</v>
      </c>
      <c r="M6" s="214" t="s">
        <v>347</v>
      </c>
      <c r="N6" s="213"/>
      <c r="O6" s="214" t="s">
        <v>347</v>
      </c>
      <c r="P6" s="213"/>
      <c r="Q6" s="213"/>
      <c r="R6" s="214" t="s">
        <v>348</v>
      </c>
      <c r="S6" s="243"/>
    </row>
    <row r="7" spans="1:21" s="15" customFormat="1" ht="12" customHeight="1" x14ac:dyDescent="0.2">
      <c r="A7" s="232"/>
      <c r="B7" s="242"/>
      <c r="C7" s="248"/>
      <c r="D7" s="249"/>
      <c r="E7" s="249"/>
      <c r="F7" s="249"/>
      <c r="G7" s="249"/>
      <c r="H7" s="242"/>
      <c r="I7" s="242"/>
      <c r="J7" s="242"/>
      <c r="K7" s="242"/>
      <c r="L7" s="242"/>
      <c r="M7" s="242"/>
      <c r="N7" s="242"/>
      <c r="O7" s="242"/>
      <c r="P7" s="242"/>
      <c r="Q7" s="242"/>
      <c r="R7" s="242"/>
      <c r="S7" s="232"/>
    </row>
    <row r="8" spans="1:21" s="15" customFormat="1" ht="12" customHeight="1" x14ac:dyDescent="0.2">
      <c r="A8" s="232"/>
      <c r="B8" s="242"/>
      <c r="C8" s="248"/>
      <c r="D8" s="249"/>
      <c r="E8" s="249"/>
      <c r="F8" s="249"/>
      <c r="G8" s="249"/>
      <c r="H8" s="242"/>
      <c r="I8" s="242"/>
      <c r="J8" s="242"/>
      <c r="K8" s="242"/>
      <c r="L8" s="242"/>
      <c r="M8" s="242"/>
      <c r="N8" s="242"/>
      <c r="O8" s="242"/>
      <c r="P8" s="242"/>
      <c r="Q8" s="242"/>
      <c r="R8" s="242"/>
      <c r="S8" s="232"/>
    </row>
    <row r="9" spans="1:21" x14ac:dyDescent="0.2">
      <c r="B9" s="192" t="s">
        <v>258</v>
      </c>
      <c r="C9" s="192" t="s">
        <v>68</v>
      </c>
      <c r="D9" s="192" t="s">
        <v>418</v>
      </c>
      <c r="E9" s="251" t="str">
        <f>IF(AND(B9=$B$14,C9=$C$14,D9=$D$14,H9=$H$14),'Operating leases'!$B$16,"")</f>
        <v/>
      </c>
      <c r="F9" s="252" t="str">
        <f>IF(AND(B9=$B$16,C9=$C$16,D9=$D$16,H9=$H$16),'Operating leases'!$B$15,"")</f>
        <v/>
      </c>
      <c r="G9" s="252" t="str">
        <f>E9&amp;F9</f>
        <v/>
      </c>
      <c r="H9" s="192" t="s">
        <v>221</v>
      </c>
      <c r="I9" s="192">
        <v>2020</v>
      </c>
      <c r="J9" s="209">
        <v>8785221.4886030033</v>
      </c>
      <c r="K9" s="253">
        <f>IF(C9='Global inputs'!$B$127,INDEX('Global inputs'!$L$127:$S$127,MATCH('Forecast opex'!I9,'Global inputs'!$L$126:$S$126,0)),1)</f>
        <v>0.9772285687272837</v>
      </c>
      <c r="L9" s="254">
        <f>J9/K9</f>
        <v>8989935.1796935704</v>
      </c>
      <c r="M9" s="255">
        <f>IF(AND('Global inputs'!$D$128="Yes",C9='Global inputs'!$B$127),'Forecast opex'!L9*'Global inputs'!$L$127,'Forecast opex'!J9)</f>
        <v>8785221.4886030033</v>
      </c>
      <c r="N9" s="256">
        <f>IF(ISNA(MATCH(G9,'Operating leases'!$B$15:$B$26,0)),0,INDEX('Operating leases'!$M$15:$S$26,MATCH(G9,'Operating leases'!$B$15:$B$26,0),MATCH(I9,'Operating leases'!$M$11:$S$11,0)))</f>
        <v>0</v>
      </c>
      <c r="O9" s="257">
        <f>M9-N9</f>
        <v>8785221.4886030033</v>
      </c>
      <c r="P9" s="258">
        <f>INDEX('Escalators '!$M$144:$S$149,MATCH(H9,'Escalators '!$D$144:$D$149,0),MATCH(I9,'Escalators '!$M$133:$S$133,0))</f>
        <v>1</v>
      </c>
      <c r="Q9" s="257">
        <f>N9*P9</f>
        <v>0</v>
      </c>
      <c r="R9" s="257">
        <f>O9*P9</f>
        <v>8785221.4886030033</v>
      </c>
    </row>
    <row r="10" spans="1:21" x14ac:dyDescent="0.2">
      <c r="B10" s="192" t="s">
        <v>258</v>
      </c>
      <c r="C10" s="192" t="s">
        <v>68</v>
      </c>
      <c r="D10" s="192" t="s">
        <v>420</v>
      </c>
      <c r="E10" s="251" t="str">
        <f>IF(AND(B10=$B$14,C10=$C$14,D10=$D$14,H10=$H$14),'Operating leases'!$B$16,"")</f>
        <v/>
      </c>
      <c r="F10" s="252" t="str">
        <f>IF(AND(B10=$B$16,C10=$C$16,D10=$D$16,H10=$H$16),'Operating leases'!$B$15,"")</f>
        <v/>
      </c>
      <c r="G10" s="252" t="str">
        <f t="shared" ref="G10:G73" si="0">E10&amp;F10</f>
        <v/>
      </c>
      <c r="H10" s="192" t="s">
        <v>221</v>
      </c>
      <c r="I10" s="192">
        <v>2020</v>
      </c>
      <c r="J10" s="209">
        <v>0</v>
      </c>
      <c r="K10" s="253">
        <f>IF(C10='Global inputs'!$B$127,INDEX('Global inputs'!$L$127:$S$127,MATCH('Forecast opex'!I10,'Global inputs'!$L$126:$S$126,0)),1)</f>
        <v>0.9772285687272837</v>
      </c>
      <c r="L10" s="254">
        <f t="shared" ref="L10:L73" si="1">J10/K10</f>
        <v>0</v>
      </c>
      <c r="M10" s="255">
        <f>IF(AND('Global inputs'!$D$128="Yes",C10='Global inputs'!$B$127),'Forecast opex'!L10*'Global inputs'!$L$127,'Forecast opex'!J10)</f>
        <v>0</v>
      </c>
      <c r="N10" s="256">
        <f>IF(ISNA(MATCH(G10,'Operating leases'!$B$15:$B$26,0)),0,INDEX('Operating leases'!$M$15:$S$26,MATCH(G10,'Operating leases'!$B$15:$B$26,0),MATCH(I10,'Operating leases'!$M$11:$S$11,0)))</f>
        <v>0</v>
      </c>
      <c r="O10" s="257">
        <f t="shared" ref="O10:O73" si="2">M10-N10</f>
        <v>0</v>
      </c>
      <c r="P10" s="258">
        <f>INDEX('Escalators '!$M$144:$S$149,MATCH(H10,'Escalators '!$D$144:$D$149,0),MATCH(I10,'Escalators '!$M$133:$S$133,0))</f>
        <v>1</v>
      </c>
      <c r="Q10" s="257">
        <f t="shared" ref="Q10:Q73" si="3">N10*P10</f>
        <v>0</v>
      </c>
      <c r="R10" s="257">
        <f t="shared" ref="R10:R73" si="4">O10*P10</f>
        <v>0</v>
      </c>
    </row>
    <row r="11" spans="1:21" x14ac:dyDescent="0.2">
      <c r="B11" s="192" t="s">
        <v>258</v>
      </c>
      <c r="C11" s="192" t="s">
        <v>68</v>
      </c>
      <c r="D11" s="192" t="s">
        <v>421</v>
      </c>
      <c r="E11" s="251" t="str">
        <f>IF(AND(B11=$B$14,C11=$C$14,D11=$D$14,H11=$H$14),'Operating leases'!$B$16,"")</f>
        <v/>
      </c>
      <c r="F11" s="252" t="str">
        <f>IF(AND(B11=$B$16,C11=$C$16,D11=$D$16,H11=$H$16),'Operating leases'!$B$15,"")</f>
        <v/>
      </c>
      <c r="G11" s="252" t="str">
        <f t="shared" si="0"/>
        <v/>
      </c>
      <c r="H11" s="192" t="s">
        <v>221</v>
      </c>
      <c r="I11" s="192">
        <v>2020</v>
      </c>
      <c r="J11" s="209">
        <v>0</v>
      </c>
      <c r="K11" s="253">
        <f>IF(C11='Global inputs'!$B$127,INDEX('Global inputs'!$L$127:$S$127,MATCH('Forecast opex'!I11,'Global inputs'!$L$126:$S$126,0)),1)</f>
        <v>0.9772285687272837</v>
      </c>
      <c r="L11" s="254">
        <f t="shared" si="1"/>
        <v>0</v>
      </c>
      <c r="M11" s="255">
        <f>IF(AND('Global inputs'!$D$128="Yes",C11='Global inputs'!$B$127),'Forecast opex'!L11*'Global inputs'!$L$127,'Forecast opex'!J11)</f>
        <v>0</v>
      </c>
      <c r="N11" s="256">
        <f>IF(ISNA(MATCH(G11,'Operating leases'!$B$15:$B$26,0)),0,INDEX('Operating leases'!$M$15:$S$26,MATCH(G11,'Operating leases'!$B$15:$B$26,0),MATCH(I11,'Operating leases'!$M$11:$S$11,0)))</f>
        <v>0</v>
      </c>
      <c r="O11" s="257">
        <f t="shared" si="2"/>
        <v>0</v>
      </c>
      <c r="P11" s="258">
        <f>INDEX('Escalators '!$M$144:$S$149,MATCH(H11,'Escalators '!$D$144:$D$149,0),MATCH(I11,'Escalators '!$M$133:$S$133,0))</f>
        <v>1</v>
      </c>
      <c r="Q11" s="257">
        <f t="shared" si="3"/>
        <v>0</v>
      </c>
      <c r="R11" s="257">
        <f t="shared" si="4"/>
        <v>0</v>
      </c>
    </row>
    <row r="12" spans="1:21" x14ac:dyDescent="0.2">
      <c r="B12" s="192" t="s">
        <v>258</v>
      </c>
      <c r="C12" s="192" t="s">
        <v>246</v>
      </c>
      <c r="D12" s="192" t="s">
        <v>422</v>
      </c>
      <c r="E12" s="251" t="str">
        <f>IF(AND(B12=$B$14,C12=$C$14,D12=$D$14,H12=$H$14),'Operating leases'!$B$16,"")</f>
        <v/>
      </c>
      <c r="F12" s="252" t="str">
        <f>IF(AND(B12=$B$16,C12=$C$16,D12=$D$16,H12=$H$16),'Operating leases'!$B$15,"")</f>
        <v/>
      </c>
      <c r="G12" s="252" t="str">
        <f t="shared" si="0"/>
        <v/>
      </c>
      <c r="H12" s="192" t="s">
        <v>221</v>
      </c>
      <c r="I12" s="192">
        <v>2020</v>
      </c>
      <c r="J12" s="209">
        <v>14124336.799698584</v>
      </c>
      <c r="K12" s="253">
        <f>IF(C12='Global inputs'!$B$127,INDEX('Global inputs'!$L$127:$S$127,MATCH('Forecast opex'!I12,'Global inputs'!$L$126:$S$126,0)),1)</f>
        <v>1</v>
      </c>
      <c r="L12" s="254">
        <f t="shared" si="1"/>
        <v>14124336.799698584</v>
      </c>
      <c r="M12" s="255">
        <f>IF(AND('Global inputs'!$D$128="Yes",C12='Global inputs'!$B$127),'Forecast opex'!L12*'Global inputs'!$L$127,'Forecast opex'!J12)</f>
        <v>14124336.799698584</v>
      </c>
      <c r="N12" s="256">
        <f>IF(ISNA(MATCH(G12,'Operating leases'!$B$15:$B$26,0)),0,INDEX('Operating leases'!$M$15:$S$26,MATCH(G12,'Operating leases'!$B$15:$B$26,0),MATCH(I12,'Operating leases'!$M$11:$S$11,0)))</f>
        <v>0</v>
      </c>
      <c r="O12" s="257">
        <f t="shared" si="2"/>
        <v>14124336.799698584</v>
      </c>
      <c r="P12" s="258">
        <f>INDEX('Escalators '!$M$144:$S$149,MATCH(H12,'Escalators '!$D$144:$D$149,0),MATCH(I12,'Escalators '!$M$133:$S$133,0))</f>
        <v>1</v>
      </c>
      <c r="Q12" s="257">
        <f t="shared" si="3"/>
        <v>0</v>
      </c>
      <c r="R12" s="257">
        <f t="shared" si="4"/>
        <v>14124336.799698584</v>
      </c>
    </row>
    <row r="13" spans="1:21" x14ac:dyDescent="0.2">
      <c r="B13" s="192" t="s">
        <v>258</v>
      </c>
      <c r="C13" s="192" t="s">
        <v>68</v>
      </c>
      <c r="D13" s="192" t="s">
        <v>418</v>
      </c>
      <c r="E13" s="251" t="str">
        <f>IF(AND(B13=$B$14,C13=$C$14,D13=$D$14,H13=$H$14),'Operating leases'!$B$16,"")</f>
        <v/>
      </c>
      <c r="F13" s="252" t="str">
        <f>IF(AND(B13=$B$16,C13=$C$16,D13=$D$16,H13=$H$16),'Operating leases'!$B$15,"")</f>
        <v/>
      </c>
      <c r="G13" s="252" t="str">
        <f t="shared" si="0"/>
        <v/>
      </c>
      <c r="H13" s="192" t="s">
        <v>229</v>
      </c>
      <c r="I13" s="192">
        <v>2020</v>
      </c>
      <c r="J13" s="209">
        <v>976135.72095588932</v>
      </c>
      <c r="K13" s="253">
        <f>IF(C13='Global inputs'!$B$127,INDEX('Global inputs'!$L$127:$S$127,MATCH('Forecast opex'!I13,'Global inputs'!$L$126:$S$126,0)),1)</f>
        <v>0.9772285687272837</v>
      </c>
      <c r="L13" s="254">
        <f t="shared" si="1"/>
        <v>998881.68663261889</v>
      </c>
      <c r="M13" s="255">
        <f>IF(AND('Global inputs'!$D$128="Yes",C13='Global inputs'!$B$127),'Forecast opex'!L13*'Global inputs'!$L$127,'Forecast opex'!J13)</f>
        <v>976135.72095588932</v>
      </c>
      <c r="N13" s="256">
        <f>IF(ISNA(MATCH(G13,'Operating leases'!$B$15:$B$26,0)),0,INDEX('Operating leases'!$M$15:$S$26,MATCH(G13,'Operating leases'!$B$15:$B$26,0),MATCH(I13,'Operating leases'!$M$11:$S$11,0)))</f>
        <v>0</v>
      </c>
      <c r="O13" s="257">
        <f t="shared" si="2"/>
        <v>976135.72095588932</v>
      </c>
      <c r="P13" s="258">
        <f>INDEX('Escalators '!$M$144:$S$149,MATCH(H13,'Escalators '!$D$144:$D$149,0),MATCH(I13,'Escalators '!$M$133:$S$133,0))</f>
        <v>1</v>
      </c>
      <c r="Q13" s="257">
        <f t="shared" si="3"/>
        <v>0</v>
      </c>
      <c r="R13" s="257">
        <f t="shared" si="4"/>
        <v>976135.72095588932</v>
      </c>
    </row>
    <row r="14" spans="1:21" x14ac:dyDescent="0.2">
      <c r="B14" s="192" t="s">
        <v>258</v>
      </c>
      <c r="C14" s="192" t="s">
        <v>68</v>
      </c>
      <c r="D14" s="192" t="s">
        <v>420</v>
      </c>
      <c r="E14" s="251" t="str">
        <f>IF(AND(B14=$B$14,C14=$C$14,D14=$D$14,H14=$H$14),'Operating leases'!$B$16,"")</f>
        <v>Premises Plant &amp; Insurance</v>
      </c>
      <c r="F14" s="252" t="str">
        <f>IF(AND(B14=$B$16,C14=$C$16,D14=$D$16,H14=$H$16),'Operating leases'!$B$15,"")</f>
        <v/>
      </c>
      <c r="G14" s="252" t="str">
        <f t="shared" si="0"/>
        <v>Premises Plant &amp; Insurance</v>
      </c>
      <c r="H14" s="192" t="s">
        <v>229</v>
      </c>
      <c r="I14" s="192">
        <v>2020</v>
      </c>
      <c r="J14" s="209">
        <v>1017004.2522362155</v>
      </c>
      <c r="K14" s="253">
        <f>IF(C14='Global inputs'!$B$127,INDEX('Global inputs'!$L$127:$S$127,MATCH('Forecast opex'!I14,'Global inputs'!$L$126:$S$126,0)),1)</f>
        <v>0.9772285687272837</v>
      </c>
      <c r="L14" s="254">
        <f t="shared" si="1"/>
        <v>1040702.5385685711</v>
      </c>
      <c r="M14" s="255">
        <f>IF(AND('Global inputs'!$D$128="Yes",C14='Global inputs'!$B$127),'Forecast opex'!L14*'Global inputs'!$L$127,'Forecast opex'!J14)</f>
        <v>1017004.2522362155</v>
      </c>
      <c r="N14" s="256">
        <f>IF(ISNA(MATCH(G14,'Operating leases'!$B$15:$B$26,0)),0,INDEX('Operating leases'!$M$15:$S$26,MATCH(G14,'Operating leases'!$B$15:$B$26,0),MATCH(I14,'Operating leases'!$M$11:$S$11,0)))</f>
        <v>868995.18460273964</v>
      </c>
      <c r="O14" s="257">
        <f t="shared" si="2"/>
        <v>148009.06763347588</v>
      </c>
      <c r="P14" s="258">
        <f>INDEX('Escalators '!$M$144:$S$149,MATCH(H14,'Escalators '!$D$144:$D$149,0),MATCH(I14,'Escalators '!$M$133:$S$133,0))</f>
        <v>1</v>
      </c>
      <c r="Q14" s="257">
        <f t="shared" si="3"/>
        <v>868995.18460273964</v>
      </c>
      <c r="R14" s="257">
        <f t="shared" si="4"/>
        <v>148009.06763347588</v>
      </c>
    </row>
    <row r="15" spans="1:21" x14ac:dyDescent="0.2">
      <c r="B15" s="192" t="s">
        <v>258</v>
      </c>
      <c r="C15" s="192" t="s">
        <v>68</v>
      </c>
      <c r="D15" s="192" t="s">
        <v>421</v>
      </c>
      <c r="E15" s="251" t="str">
        <f>IF(AND(B15=$B$14,C15=$C$14,D15=$D$14,H15=$H$14),'Operating leases'!$B$16,"")</f>
        <v/>
      </c>
      <c r="F15" s="252" t="str">
        <f>IF(AND(B15=$B$16,C15=$C$16,D15=$D$16,H15=$H$16),'Operating leases'!$B$15,"")</f>
        <v/>
      </c>
      <c r="G15" s="252" t="str">
        <f t="shared" si="0"/>
        <v/>
      </c>
      <c r="H15" s="192" t="s">
        <v>229</v>
      </c>
      <c r="I15" s="192">
        <v>2020</v>
      </c>
      <c r="J15" s="209">
        <v>2836888.9357454856</v>
      </c>
      <c r="K15" s="253">
        <f>IF(C15='Global inputs'!$B$127,INDEX('Global inputs'!$L$127:$S$127,MATCH('Forecast opex'!I15,'Global inputs'!$L$126:$S$126,0)),1)</f>
        <v>0.9772285687272837</v>
      </c>
      <c r="L15" s="254">
        <f t="shared" si="1"/>
        <v>2902994.2702557025</v>
      </c>
      <c r="M15" s="255">
        <f>IF(AND('Global inputs'!$D$128="Yes",C15='Global inputs'!$B$127),'Forecast opex'!L15*'Global inputs'!$L$127,'Forecast opex'!J15)</f>
        <v>2836888.9357454856</v>
      </c>
      <c r="N15" s="256">
        <f>IF(ISNA(MATCH(G15,'Operating leases'!$B$15:$B$26,0)),0,INDEX('Operating leases'!$M$15:$S$26,MATCH(G15,'Operating leases'!$B$15:$B$26,0),MATCH(I15,'Operating leases'!$M$11:$S$11,0)))</f>
        <v>0</v>
      </c>
      <c r="O15" s="257">
        <f t="shared" si="2"/>
        <v>2836888.9357454856</v>
      </c>
      <c r="P15" s="258">
        <f>INDEX('Escalators '!$M$144:$S$149,MATCH(H15,'Escalators '!$D$144:$D$149,0),MATCH(I15,'Escalators '!$M$133:$S$133,0))</f>
        <v>1</v>
      </c>
      <c r="Q15" s="257">
        <f t="shared" si="3"/>
        <v>0</v>
      </c>
      <c r="R15" s="257">
        <f t="shared" si="4"/>
        <v>2836888.9357454856</v>
      </c>
    </row>
    <row r="16" spans="1:21" x14ac:dyDescent="0.2">
      <c r="B16" s="192" t="s">
        <v>258</v>
      </c>
      <c r="C16" s="192" t="s">
        <v>246</v>
      </c>
      <c r="D16" s="192" t="s">
        <v>422</v>
      </c>
      <c r="E16" s="251" t="str">
        <f>IF(AND(B16=$B$14,C16=$C$14,D16=$D$14,H16=$H$14),'Operating leases'!$B$16,"")</f>
        <v/>
      </c>
      <c r="F16" s="252" t="str">
        <f>IF(AND(B16=$B$16,C16=$C$16,D16=$D$16,H16=$H$16),'Operating leases'!$B$15,"")</f>
        <v>SONS</v>
      </c>
      <c r="G16" s="252" t="str">
        <f t="shared" si="0"/>
        <v>SONS</v>
      </c>
      <c r="H16" s="192" t="s">
        <v>229</v>
      </c>
      <c r="I16" s="192">
        <v>2020</v>
      </c>
      <c r="J16" s="209">
        <v>1569370.7555220649</v>
      </c>
      <c r="K16" s="253">
        <f>IF(C16='Global inputs'!$B$127,INDEX('Global inputs'!$L$127:$S$127,MATCH('Forecast opex'!I16,'Global inputs'!$L$126:$S$126,0)),1)</f>
        <v>1</v>
      </c>
      <c r="L16" s="254">
        <f t="shared" si="1"/>
        <v>1569370.7555220649</v>
      </c>
      <c r="M16" s="255">
        <f>IF(AND('Global inputs'!$D$128="Yes",C16='Global inputs'!$B$127),'Forecast opex'!L16*'Global inputs'!$L$127,'Forecast opex'!J16)</f>
        <v>1569370.7555220649</v>
      </c>
      <c r="N16" s="256">
        <f>IF(ISNA(MATCH(G16,'Operating leases'!$B$15:$B$26,0)),0,INDEX('Operating leases'!$M$15:$S$26,MATCH(G16,'Operating leases'!$B$15:$B$26,0),MATCH(I16,'Operating leases'!$M$11:$S$11,0)))</f>
        <v>656503.92800000007</v>
      </c>
      <c r="O16" s="257">
        <f t="shared" si="2"/>
        <v>912866.82752206479</v>
      </c>
      <c r="P16" s="258">
        <f>INDEX('Escalators '!$M$144:$S$149,MATCH(H16,'Escalators '!$D$144:$D$149,0),MATCH(I16,'Escalators '!$M$133:$S$133,0))</f>
        <v>1</v>
      </c>
      <c r="Q16" s="257">
        <f t="shared" si="3"/>
        <v>656503.92800000007</v>
      </c>
      <c r="R16" s="257">
        <f t="shared" si="4"/>
        <v>912866.82752206479</v>
      </c>
    </row>
    <row r="17" spans="2:18" x14ac:dyDescent="0.2">
      <c r="B17" s="192" t="s">
        <v>253</v>
      </c>
      <c r="C17" s="192" t="s">
        <v>244</v>
      </c>
      <c r="D17" s="192" t="s">
        <v>416</v>
      </c>
      <c r="E17" s="251" t="str">
        <f>IF(AND(B17=$B$14,C17=$C$14,D17=$D$14,H17=$H$14),'Operating leases'!$B$16,"")</f>
        <v/>
      </c>
      <c r="F17" s="252" t="str">
        <f>IF(AND(B17=$B$16,C17=$C$16,D17=$D$16,H17=$H$16),'Operating leases'!$B$15,"")</f>
        <v/>
      </c>
      <c r="G17" s="252" t="str">
        <f t="shared" si="0"/>
        <v/>
      </c>
      <c r="H17" s="192" t="s">
        <v>221</v>
      </c>
      <c r="I17" s="192">
        <v>2020</v>
      </c>
      <c r="J17" s="209">
        <v>2944207.8</v>
      </c>
      <c r="K17" s="253">
        <f>IF(C17='Global inputs'!$B$127,INDEX('Global inputs'!$L$127:$S$127,MATCH('Forecast opex'!I17,'Global inputs'!$L$126:$S$126,0)),1)</f>
        <v>1</v>
      </c>
      <c r="L17" s="254">
        <f t="shared" si="1"/>
        <v>2944207.8</v>
      </c>
      <c r="M17" s="255">
        <f>IF(AND('Global inputs'!$D$128="Yes",C17='Global inputs'!$B$127),'Forecast opex'!L17*'Global inputs'!$L$127,'Forecast opex'!J17)</f>
        <v>2944207.8</v>
      </c>
      <c r="N17" s="256">
        <f>IF(ISNA(MATCH(G17,'Operating leases'!$B$15:$B$26,0)),0,INDEX('Operating leases'!$M$15:$S$26,MATCH(G17,'Operating leases'!$B$15:$B$26,0),MATCH(I17,'Operating leases'!$M$11:$S$11,0)))</f>
        <v>0</v>
      </c>
      <c r="O17" s="257">
        <f t="shared" si="2"/>
        <v>2944207.8</v>
      </c>
      <c r="P17" s="258">
        <f>INDEX('Escalators '!$M$144:$S$149,MATCH(H17,'Escalators '!$D$144:$D$149,0),MATCH(I17,'Escalators '!$M$133:$S$133,0))</f>
        <v>1</v>
      </c>
      <c r="Q17" s="257">
        <f t="shared" si="3"/>
        <v>0</v>
      </c>
      <c r="R17" s="257">
        <f t="shared" si="4"/>
        <v>2944207.8</v>
      </c>
    </row>
    <row r="18" spans="2:18" x14ac:dyDescent="0.2">
      <c r="B18" s="192" t="s">
        <v>253</v>
      </c>
      <c r="C18" s="192" t="s">
        <v>244</v>
      </c>
      <c r="D18" s="192" t="s">
        <v>416</v>
      </c>
      <c r="E18" s="251" t="str">
        <f>IF(AND(B18=$B$14,C18=$C$14,D18=$D$14,H18=$H$14),'Operating leases'!$B$16,"")</f>
        <v/>
      </c>
      <c r="F18" s="252" t="str">
        <f>IF(AND(B18=$B$16,C18=$C$16,D18=$D$16,H18=$H$16),'Operating leases'!$B$15,"")</f>
        <v/>
      </c>
      <c r="G18" s="252" t="str">
        <f t="shared" si="0"/>
        <v/>
      </c>
      <c r="H18" s="192" t="s">
        <v>229</v>
      </c>
      <c r="I18" s="192">
        <v>2020</v>
      </c>
      <c r="J18" s="209">
        <v>1962805.2000000002</v>
      </c>
      <c r="K18" s="253">
        <f>IF(C18='Global inputs'!$B$127,INDEX('Global inputs'!$L$127:$S$127,MATCH('Forecast opex'!I18,'Global inputs'!$L$126:$S$126,0)),1)</f>
        <v>1</v>
      </c>
      <c r="L18" s="254">
        <f t="shared" si="1"/>
        <v>1962805.2000000002</v>
      </c>
      <c r="M18" s="255">
        <f>IF(AND('Global inputs'!$D$128="Yes",C18='Global inputs'!$B$127),'Forecast opex'!L18*'Global inputs'!$L$127,'Forecast opex'!J18)</f>
        <v>1962805.2000000002</v>
      </c>
      <c r="N18" s="256">
        <f>IF(ISNA(MATCH(G18,'Operating leases'!$B$15:$B$26,0)),0,INDEX('Operating leases'!$M$15:$S$26,MATCH(G18,'Operating leases'!$B$15:$B$26,0),MATCH(I18,'Operating leases'!$M$11:$S$11,0)))</f>
        <v>0</v>
      </c>
      <c r="O18" s="257">
        <f t="shared" si="2"/>
        <v>1962805.2000000002</v>
      </c>
      <c r="P18" s="258">
        <f>INDEX('Escalators '!$M$144:$S$149,MATCH(H18,'Escalators '!$D$144:$D$149,0),MATCH(I18,'Escalators '!$M$133:$S$133,0))</f>
        <v>1</v>
      </c>
      <c r="Q18" s="257">
        <f t="shared" si="3"/>
        <v>0</v>
      </c>
      <c r="R18" s="257">
        <f t="shared" si="4"/>
        <v>1962805.2000000002</v>
      </c>
    </row>
    <row r="19" spans="2:18" x14ac:dyDescent="0.2">
      <c r="B19" s="192" t="s">
        <v>253</v>
      </c>
      <c r="C19" s="192" t="s">
        <v>244</v>
      </c>
      <c r="D19" s="192" t="s">
        <v>417</v>
      </c>
      <c r="E19" s="251" t="str">
        <f>IF(AND(B19=$B$14,C19=$C$14,D19=$D$14,H19=$H$14),'Operating leases'!$B$16,"")</f>
        <v/>
      </c>
      <c r="F19" s="252" t="str">
        <f>IF(AND(B19=$B$16,C19=$C$16,D19=$D$16,H19=$H$16),'Operating leases'!$B$15,"")</f>
        <v/>
      </c>
      <c r="G19" s="252" t="str">
        <f t="shared" si="0"/>
        <v/>
      </c>
      <c r="H19" s="192" t="s">
        <v>221</v>
      </c>
      <c r="I19" s="192">
        <v>2020</v>
      </c>
      <c r="J19" s="209">
        <v>1601152.8</v>
      </c>
      <c r="K19" s="253">
        <f>IF(C19='Global inputs'!$B$127,INDEX('Global inputs'!$L$127:$S$127,MATCH('Forecast opex'!I19,'Global inputs'!$L$126:$S$126,0)),1)</f>
        <v>1</v>
      </c>
      <c r="L19" s="254">
        <f t="shared" si="1"/>
        <v>1601152.8</v>
      </c>
      <c r="M19" s="255">
        <f>IF(AND('Global inputs'!$D$128="Yes",C19='Global inputs'!$B$127),'Forecast opex'!L19*'Global inputs'!$L$127,'Forecast opex'!J19)</f>
        <v>1601152.8</v>
      </c>
      <c r="N19" s="256">
        <f>IF(ISNA(MATCH(G19,'Operating leases'!$B$15:$B$26,0)),0,INDEX('Operating leases'!$M$15:$S$26,MATCH(G19,'Operating leases'!$B$15:$B$26,0),MATCH(I19,'Operating leases'!$M$11:$S$11,0)))</f>
        <v>0</v>
      </c>
      <c r="O19" s="257">
        <f t="shared" si="2"/>
        <v>1601152.8</v>
      </c>
      <c r="P19" s="258">
        <f>INDEX('Escalators '!$M$144:$S$149,MATCH(H19,'Escalators '!$D$144:$D$149,0),MATCH(I19,'Escalators '!$M$133:$S$133,0))</f>
        <v>1</v>
      </c>
      <c r="Q19" s="257">
        <f t="shared" si="3"/>
        <v>0</v>
      </c>
      <c r="R19" s="257">
        <f t="shared" si="4"/>
        <v>1601152.8</v>
      </c>
    </row>
    <row r="20" spans="2:18" x14ac:dyDescent="0.2">
      <c r="B20" s="192" t="s">
        <v>253</v>
      </c>
      <c r="C20" s="192" t="s">
        <v>244</v>
      </c>
      <c r="D20" s="192" t="s">
        <v>417</v>
      </c>
      <c r="E20" s="251" t="str">
        <f>IF(AND(B20=$B$14,C20=$C$14,D20=$D$14,H20=$H$14),'Operating leases'!$B$16,"")</f>
        <v/>
      </c>
      <c r="F20" s="252" t="str">
        <f>IF(AND(B20=$B$16,C20=$C$16,D20=$D$16,H20=$H$16),'Operating leases'!$B$15,"")</f>
        <v/>
      </c>
      <c r="G20" s="252" t="str">
        <f t="shared" si="0"/>
        <v/>
      </c>
      <c r="H20" s="192" t="s">
        <v>229</v>
      </c>
      <c r="I20" s="192">
        <v>2020</v>
      </c>
      <c r="J20" s="209">
        <v>1067435.2</v>
      </c>
      <c r="K20" s="253">
        <f>IF(C20='Global inputs'!$B$127,INDEX('Global inputs'!$L$127:$S$127,MATCH('Forecast opex'!I20,'Global inputs'!$L$126:$S$126,0)),1)</f>
        <v>1</v>
      </c>
      <c r="L20" s="254">
        <f t="shared" si="1"/>
        <v>1067435.2</v>
      </c>
      <c r="M20" s="255">
        <f>IF(AND('Global inputs'!$D$128="Yes",C20='Global inputs'!$B$127),'Forecast opex'!L20*'Global inputs'!$L$127,'Forecast opex'!J20)</f>
        <v>1067435.2</v>
      </c>
      <c r="N20" s="256">
        <f>IF(ISNA(MATCH(G20,'Operating leases'!$B$15:$B$26,0)),0,INDEX('Operating leases'!$M$15:$S$26,MATCH(G20,'Operating leases'!$B$15:$B$26,0),MATCH(I20,'Operating leases'!$M$11:$S$11,0)))</f>
        <v>0</v>
      </c>
      <c r="O20" s="257">
        <f t="shared" si="2"/>
        <v>1067435.2</v>
      </c>
      <c r="P20" s="258">
        <f>INDEX('Escalators '!$M$144:$S$149,MATCH(H20,'Escalators '!$D$144:$D$149,0),MATCH(I20,'Escalators '!$M$133:$S$133,0))</f>
        <v>1</v>
      </c>
      <c r="Q20" s="257">
        <f t="shared" si="3"/>
        <v>0</v>
      </c>
      <c r="R20" s="257">
        <f t="shared" si="4"/>
        <v>1067435.2</v>
      </c>
    </row>
    <row r="21" spans="2:18" x14ac:dyDescent="0.2">
      <c r="B21" s="192" t="s">
        <v>258</v>
      </c>
      <c r="C21" s="192" t="s">
        <v>68</v>
      </c>
      <c r="D21" s="192" t="s">
        <v>419</v>
      </c>
      <c r="E21" s="251" t="str">
        <f>IF(AND(B21=$B$14,C21=$C$14,D21=$D$14,H21=$H$14),'Operating leases'!$B$16,"")</f>
        <v/>
      </c>
      <c r="F21" s="252" t="str">
        <f>IF(AND(B21=$B$16,C21=$C$16,D21=$D$16,H21=$H$16),'Operating leases'!$B$15,"")</f>
        <v/>
      </c>
      <c r="G21" s="252" t="str">
        <f t="shared" si="0"/>
        <v/>
      </c>
      <c r="H21" s="192" t="s">
        <v>221</v>
      </c>
      <c r="I21" s="192">
        <v>2020</v>
      </c>
      <c r="J21" s="209">
        <v>2114242.83</v>
      </c>
      <c r="K21" s="253">
        <f>IF(C21='Global inputs'!$B$127,INDEX('Global inputs'!$L$127:$S$127,MATCH('Forecast opex'!I21,'Global inputs'!$L$126:$S$126,0)),1)</f>
        <v>0.9772285687272837</v>
      </c>
      <c r="L21" s="254">
        <f t="shared" si="1"/>
        <v>2163509.0271189404</v>
      </c>
      <c r="M21" s="255">
        <f>IF(AND('Global inputs'!$D$128="Yes",C21='Global inputs'!$B$127),'Forecast opex'!L21*'Global inputs'!$L$127,'Forecast opex'!J21)</f>
        <v>2114242.83</v>
      </c>
      <c r="N21" s="256">
        <f>IF(ISNA(MATCH(G21,'Operating leases'!$B$15:$B$26,0)),0,INDEX('Operating leases'!$M$15:$S$26,MATCH(G21,'Operating leases'!$B$15:$B$26,0),MATCH(I21,'Operating leases'!$M$11:$S$11,0)))</f>
        <v>0</v>
      </c>
      <c r="O21" s="257">
        <f t="shared" si="2"/>
        <v>2114242.83</v>
      </c>
      <c r="P21" s="258">
        <f>INDEX('Escalators '!$M$144:$S$149,MATCH(H21,'Escalators '!$D$144:$D$149,0),MATCH(I21,'Escalators '!$M$133:$S$133,0))</f>
        <v>1</v>
      </c>
      <c r="Q21" s="257">
        <f t="shared" si="3"/>
        <v>0</v>
      </c>
      <c r="R21" s="257">
        <f t="shared" si="4"/>
        <v>2114242.83</v>
      </c>
    </row>
    <row r="22" spans="2:18" x14ac:dyDescent="0.2">
      <c r="B22" s="192" t="s">
        <v>258</v>
      </c>
      <c r="C22" s="192" t="s">
        <v>68</v>
      </c>
      <c r="D22" s="192" t="s">
        <v>419</v>
      </c>
      <c r="E22" s="251" t="str">
        <f>IF(AND(B22=$B$14,C22=$C$14,D22=$D$14,H22=$H$14),'Operating leases'!$B$16,"")</f>
        <v/>
      </c>
      <c r="F22" s="252" t="str">
        <f>IF(AND(B22=$B$16,C22=$C$16,D22=$D$16,H22=$H$16),'Operating leases'!$B$15,"")</f>
        <v/>
      </c>
      <c r="G22" s="252" t="str">
        <f t="shared" si="0"/>
        <v/>
      </c>
      <c r="H22" s="192" t="s">
        <v>229</v>
      </c>
      <c r="I22" s="192">
        <v>2020</v>
      </c>
      <c r="J22" s="209">
        <v>234915.87000000002</v>
      </c>
      <c r="K22" s="253">
        <f>IF(C22='Global inputs'!$B$127,INDEX('Global inputs'!$L$127:$S$127,MATCH('Forecast opex'!I22,'Global inputs'!$L$126:$S$126,0)),1)</f>
        <v>0.9772285687272837</v>
      </c>
      <c r="L22" s="254">
        <f t="shared" si="1"/>
        <v>240389.89190210449</v>
      </c>
      <c r="M22" s="255">
        <f>IF(AND('Global inputs'!$D$128="Yes",C22='Global inputs'!$B$127),'Forecast opex'!L22*'Global inputs'!$L$127,'Forecast opex'!J22)</f>
        <v>234915.87000000002</v>
      </c>
      <c r="N22" s="256">
        <f>IF(ISNA(MATCH(G22,'Operating leases'!$B$15:$B$26,0)),0,INDEX('Operating leases'!$M$15:$S$26,MATCH(G22,'Operating leases'!$B$15:$B$26,0),MATCH(I22,'Operating leases'!$M$11:$S$11,0)))</f>
        <v>0</v>
      </c>
      <c r="O22" s="257">
        <f t="shared" si="2"/>
        <v>234915.87000000002</v>
      </c>
      <c r="P22" s="258">
        <f>INDEX('Escalators '!$M$144:$S$149,MATCH(H22,'Escalators '!$D$144:$D$149,0),MATCH(I22,'Escalators '!$M$133:$S$133,0))</f>
        <v>1</v>
      </c>
      <c r="Q22" s="257">
        <f t="shared" si="3"/>
        <v>0</v>
      </c>
      <c r="R22" s="257">
        <f t="shared" si="4"/>
        <v>234915.87000000002</v>
      </c>
    </row>
    <row r="23" spans="2:18" x14ac:dyDescent="0.2">
      <c r="B23" s="192" t="s">
        <v>253</v>
      </c>
      <c r="C23" s="192" t="s">
        <v>241</v>
      </c>
      <c r="D23" s="192" t="s">
        <v>414</v>
      </c>
      <c r="E23" s="251" t="str">
        <f>IF(AND(B23=$B$14,C23=$C$14,D23=$D$14,H23=$H$14),'Operating leases'!$B$16,"")</f>
        <v/>
      </c>
      <c r="F23" s="252" t="str">
        <f>IF(AND(B23=$B$16,C23=$C$16,D23=$D$16,H23=$H$16),'Operating leases'!$B$15,"")</f>
        <v/>
      </c>
      <c r="G23" s="252" t="str">
        <f t="shared" si="0"/>
        <v/>
      </c>
      <c r="H23" s="192" t="s">
        <v>221</v>
      </c>
      <c r="I23" s="192">
        <v>2020</v>
      </c>
      <c r="J23" s="209">
        <v>2765660.4499999997</v>
      </c>
      <c r="K23" s="253">
        <f>IF(C23='Global inputs'!$B$127,INDEX('Global inputs'!$L$127:$S$127,MATCH('Forecast opex'!I23,'Global inputs'!$L$126:$S$126,0)),1)</f>
        <v>1</v>
      </c>
      <c r="L23" s="254">
        <f t="shared" si="1"/>
        <v>2765660.4499999997</v>
      </c>
      <c r="M23" s="255">
        <f>IF(AND('Global inputs'!$D$128="Yes",C23='Global inputs'!$B$127),'Forecast opex'!L23*'Global inputs'!$L$127,'Forecast opex'!J23)</f>
        <v>2765660.4499999997</v>
      </c>
      <c r="N23" s="256">
        <f>IF(ISNA(MATCH(G23,'Operating leases'!$B$15:$B$26,0)),0,INDEX('Operating leases'!$M$15:$S$26,MATCH(G23,'Operating leases'!$B$15:$B$26,0),MATCH(I23,'Operating leases'!$M$11:$S$11,0)))</f>
        <v>0</v>
      </c>
      <c r="O23" s="257">
        <f t="shared" si="2"/>
        <v>2765660.4499999997</v>
      </c>
      <c r="P23" s="258">
        <f>INDEX('Escalators '!$M$144:$S$149,MATCH(H23,'Escalators '!$D$144:$D$149,0),MATCH(I23,'Escalators '!$M$133:$S$133,0))</f>
        <v>1</v>
      </c>
      <c r="Q23" s="257">
        <f t="shared" si="3"/>
        <v>0</v>
      </c>
      <c r="R23" s="257">
        <f t="shared" si="4"/>
        <v>2765660.4499999997</v>
      </c>
    </row>
    <row r="24" spans="2:18" x14ac:dyDescent="0.2">
      <c r="B24" s="192" t="s">
        <v>253</v>
      </c>
      <c r="C24" s="192" t="s">
        <v>241</v>
      </c>
      <c r="D24" s="192" t="s">
        <v>414</v>
      </c>
      <c r="E24" s="251" t="str">
        <f>IF(AND(B24=$B$14,C24=$C$14,D24=$D$14,H24=$H$14),'Operating leases'!$B$16,"")</f>
        <v/>
      </c>
      <c r="F24" s="252" t="str">
        <f>IF(AND(B24=$B$16,C24=$C$16,D24=$D$16,H24=$H$16),'Operating leases'!$B$15,"")</f>
        <v/>
      </c>
      <c r="G24" s="252" t="str">
        <f t="shared" si="0"/>
        <v/>
      </c>
      <c r="H24" s="192" t="s">
        <v>229</v>
      </c>
      <c r="I24" s="192">
        <v>2020</v>
      </c>
      <c r="J24" s="209">
        <v>1185283.05</v>
      </c>
      <c r="K24" s="253">
        <f>IF(C24='Global inputs'!$B$127,INDEX('Global inputs'!$L$127:$S$127,MATCH('Forecast opex'!I24,'Global inputs'!$L$126:$S$126,0)),1)</f>
        <v>1</v>
      </c>
      <c r="L24" s="254">
        <f t="shared" si="1"/>
        <v>1185283.05</v>
      </c>
      <c r="M24" s="255">
        <f>IF(AND('Global inputs'!$D$128="Yes",C24='Global inputs'!$B$127),'Forecast opex'!L24*'Global inputs'!$L$127,'Forecast opex'!J24)</f>
        <v>1185283.05</v>
      </c>
      <c r="N24" s="256">
        <f>IF(ISNA(MATCH(G24,'Operating leases'!$B$15:$B$26,0)),0,INDEX('Operating leases'!$M$15:$S$26,MATCH(G24,'Operating leases'!$B$15:$B$26,0),MATCH(I24,'Operating leases'!$M$11:$S$11,0)))</f>
        <v>0</v>
      </c>
      <c r="O24" s="257">
        <f t="shared" si="2"/>
        <v>1185283.05</v>
      </c>
      <c r="P24" s="258">
        <f>INDEX('Escalators '!$M$144:$S$149,MATCH(H24,'Escalators '!$D$144:$D$149,0),MATCH(I24,'Escalators '!$M$133:$S$133,0))</f>
        <v>1</v>
      </c>
      <c r="Q24" s="257">
        <f t="shared" si="3"/>
        <v>0</v>
      </c>
      <c r="R24" s="257">
        <f t="shared" si="4"/>
        <v>1185283.05</v>
      </c>
    </row>
    <row r="25" spans="2:18" x14ac:dyDescent="0.2">
      <c r="B25" s="192" t="s">
        <v>253</v>
      </c>
      <c r="C25" s="192" t="s">
        <v>243</v>
      </c>
      <c r="D25" s="192" t="s">
        <v>415</v>
      </c>
      <c r="E25" s="251" t="str">
        <f>IF(AND(B25=$B$14,C25=$C$14,D25=$D$14,H25=$H$14),'Operating leases'!$B$16,"")</f>
        <v/>
      </c>
      <c r="F25" s="252" t="str">
        <f>IF(AND(B25=$B$16,C25=$C$16,D25=$D$16,H25=$H$16),'Operating leases'!$B$15,"")</f>
        <v/>
      </c>
      <c r="G25" s="252" t="str">
        <f t="shared" si="0"/>
        <v/>
      </c>
      <c r="H25" s="192" t="s">
        <v>221</v>
      </c>
      <c r="I25" s="192">
        <v>2020</v>
      </c>
      <c r="J25" s="209">
        <v>3905656.3426539013</v>
      </c>
      <c r="K25" s="253">
        <f>IF(C25='Global inputs'!$B$127,INDEX('Global inputs'!$L$127:$S$127,MATCH('Forecast opex'!I25,'Global inputs'!$L$126:$S$126,0)),1)</f>
        <v>1</v>
      </c>
      <c r="L25" s="254">
        <f t="shared" si="1"/>
        <v>3905656.3426539013</v>
      </c>
      <c r="M25" s="255">
        <f>IF(AND('Global inputs'!$D$128="Yes",C25='Global inputs'!$B$127),'Forecast opex'!L25*'Global inputs'!$L$127,'Forecast opex'!J25)</f>
        <v>3905656.3426539013</v>
      </c>
      <c r="N25" s="256">
        <f>IF(ISNA(MATCH(G25,'Operating leases'!$B$15:$B$26,0)),0,INDEX('Operating leases'!$M$15:$S$26,MATCH(G25,'Operating leases'!$B$15:$B$26,0),MATCH(I25,'Operating leases'!$M$11:$S$11,0)))</f>
        <v>0</v>
      </c>
      <c r="O25" s="257">
        <f t="shared" si="2"/>
        <v>3905656.3426539013</v>
      </c>
      <c r="P25" s="258">
        <f>INDEX('Escalators '!$M$144:$S$149,MATCH(H25,'Escalators '!$D$144:$D$149,0),MATCH(I25,'Escalators '!$M$133:$S$133,0))</f>
        <v>1</v>
      </c>
      <c r="Q25" s="257">
        <f t="shared" si="3"/>
        <v>0</v>
      </c>
      <c r="R25" s="257">
        <f t="shared" si="4"/>
        <v>3905656.3426539013</v>
      </c>
    </row>
    <row r="26" spans="2:18" x14ac:dyDescent="0.2">
      <c r="B26" s="192" t="s">
        <v>253</v>
      </c>
      <c r="C26" s="192" t="s">
        <v>243</v>
      </c>
      <c r="D26" s="192" t="s">
        <v>415</v>
      </c>
      <c r="E26" s="251" t="str">
        <f>IF(AND(B26=$B$14,C26=$C$14,D26=$D$14,H26=$H$14),'Operating leases'!$B$16,"")</f>
        <v/>
      </c>
      <c r="F26" s="252" t="str">
        <f>IF(AND(B26=$B$16,C26=$C$16,D26=$D$16,H26=$H$16),'Operating leases'!$B$15,"")</f>
        <v/>
      </c>
      <c r="G26" s="252" t="str">
        <f t="shared" si="0"/>
        <v/>
      </c>
      <c r="H26" s="192" t="s">
        <v>229</v>
      </c>
      <c r="I26" s="192">
        <v>2020</v>
      </c>
      <c r="J26" s="209">
        <v>1673852.7182802435</v>
      </c>
      <c r="K26" s="253">
        <f>IF(C26='Global inputs'!$B$127,INDEX('Global inputs'!$L$127:$S$127,MATCH('Forecast opex'!I26,'Global inputs'!$L$126:$S$126,0)),1)</f>
        <v>1</v>
      </c>
      <c r="L26" s="254">
        <f t="shared" si="1"/>
        <v>1673852.7182802435</v>
      </c>
      <c r="M26" s="255">
        <f>IF(AND('Global inputs'!$D$128="Yes",C26='Global inputs'!$B$127),'Forecast opex'!L26*'Global inputs'!$L$127,'Forecast opex'!J26)</f>
        <v>1673852.7182802435</v>
      </c>
      <c r="N26" s="256">
        <f>IF(ISNA(MATCH(G26,'Operating leases'!$B$15:$B$26,0)),0,INDEX('Operating leases'!$M$15:$S$26,MATCH(G26,'Operating leases'!$B$15:$B$26,0),MATCH(I26,'Operating leases'!$M$11:$S$11,0)))</f>
        <v>0</v>
      </c>
      <c r="O26" s="257">
        <f t="shared" si="2"/>
        <v>1673852.7182802435</v>
      </c>
      <c r="P26" s="258">
        <f>INDEX('Escalators '!$M$144:$S$149,MATCH(H26,'Escalators '!$D$144:$D$149,0),MATCH(I26,'Escalators '!$M$133:$S$133,0))</f>
        <v>1</v>
      </c>
      <c r="Q26" s="257">
        <f t="shared" si="3"/>
        <v>0</v>
      </c>
      <c r="R26" s="257">
        <f t="shared" si="4"/>
        <v>1673852.7182802435</v>
      </c>
    </row>
    <row r="27" spans="2:18" x14ac:dyDescent="0.2">
      <c r="B27" s="192" t="s">
        <v>258</v>
      </c>
      <c r="C27" s="192" t="s">
        <v>68</v>
      </c>
      <c r="D27" s="192" t="s">
        <v>418</v>
      </c>
      <c r="E27" s="251" t="str">
        <f>IF(AND(B27=$B$14,C27=$C$14,D27=$D$14,H27=$H$14),'Operating leases'!$B$16,"")</f>
        <v/>
      </c>
      <c r="F27" s="252" t="str">
        <f>IF(AND(B27=$B$16,C27=$C$16,D27=$D$16,H27=$H$16),'Operating leases'!$B$15,"")</f>
        <v/>
      </c>
      <c r="G27" s="252" t="str">
        <f t="shared" si="0"/>
        <v/>
      </c>
      <c r="H27" s="192" t="s">
        <v>221</v>
      </c>
      <c r="I27" s="192">
        <v>2021</v>
      </c>
      <c r="J27" s="209">
        <v>7601236.0321627902</v>
      </c>
      <c r="K27" s="253">
        <f>IF(C27='Global inputs'!$B$127,INDEX('Global inputs'!$L$127:$S$127,MATCH('Forecast opex'!I27,'Global inputs'!$L$126:$S$126,0)),1)</f>
        <v>0.98578441028066921</v>
      </c>
      <c r="L27" s="254">
        <f t="shared" si="1"/>
        <v>7710850.3166514793</v>
      </c>
      <c r="M27" s="255">
        <f>IF(AND('Global inputs'!$D$128="Yes",C27='Global inputs'!$B$127),'Forecast opex'!L27*'Global inputs'!$L$127,'Forecast opex'!J27)</f>
        <v>7601236.0321627902</v>
      </c>
      <c r="N27" s="256">
        <f>IF(ISNA(MATCH(G27,'Operating leases'!$B$15:$B$26,0)),0,INDEX('Operating leases'!$M$15:$S$26,MATCH(G27,'Operating leases'!$B$15:$B$26,0),MATCH(I27,'Operating leases'!$M$11:$S$11,0)))</f>
        <v>0</v>
      </c>
      <c r="O27" s="257">
        <f t="shared" si="2"/>
        <v>7601236.0321627902</v>
      </c>
      <c r="P27" s="258">
        <f>INDEX('Escalators '!$M$144:$S$149,MATCH(H27,'Escalators '!$D$144:$D$149,0),MATCH(I27,'Escalators '!$M$133:$S$133,0))</f>
        <v>1.0148371916640342</v>
      </c>
      <c r="Q27" s="257">
        <f t="shared" si="3"/>
        <v>0</v>
      </c>
      <c r="R27" s="257">
        <f t="shared" si="4"/>
        <v>7714017.0280555524</v>
      </c>
    </row>
    <row r="28" spans="2:18" x14ac:dyDescent="0.2">
      <c r="B28" s="192" t="s">
        <v>258</v>
      </c>
      <c r="C28" s="192" t="s">
        <v>68</v>
      </c>
      <c r="D28" s="192" t="s">
        <v>420</v>
      </c>
      <c r="E28" s="251" t="str">
        <f>IF(AND(B28=$B$14,C28=$C$14,D28=$D$14,H28=$H$14),'Operating leases'!$B$16,"")</f>
        <v/>
      </c>
      <c r="F28" s="252" t="str">
        <f>IF(AND(B28=$B$16,C28=$C$16,D28=$D$16,H28=$H$16),'Operating leases'!$B$15,"")</f>
        <v/>
      </c>
      <c r="G28" s="252" t="str">
        <f t="shared" si="0"/>
        <v/>
      </c>
      <c r="H28" s="192" t="s">
        <v>221</v>
      </c>
      <c r="I28" s="192">
        <v>2021</v>
      </c>
      <c r="J28" s="209">
        <v>0</v>
      </c>
      <c r="K28" s="253">
        <f>IF(C28='Global inputs'!$B$127,INDEX('Global inputs'!$L$127:$S$127,MATCH('Forecast opex'!I28,'Global inputs'!$L$126:$S$126,0)),1)</f>
        <v>0.98578441028066921</v>
      </c>
      <c r="L28" s="254">
        <f t="shared" si="1"/>
        <v>0</v>
      </c>
      <c r="M28" s="255">
        <f>IF(AND('Global inputs'!$D$128="Yes",C28='Global inputs'!$B$127),'Forecast opex'!L28*'Global inputs'!$L$127,'Forecast opex'!J28)</f>
        <v>0</v>
      </c>
      <c r="N28" s="256">
        <f>IF(ISNA(MATCH(G28,'Operating leases'!$B$15:$B$26,0)),0,INDEX('Operating leases'!$M$15:$S$26,MATCH(G28,'Operating leases'!$B$15:$B$26,0),MATCH(I28,'Operating leases'!$M$11:$S$11,0)))</f>
        <v>0</v>
      </c>
      <c r="O28" s="257">
        <f t="shared" si="2"/>
        <v>0</v>
      </c>
      <c r="P28" s="258">
        <f>INDEX('Escalators '!$M$144:$S$149,MATCH(H28,'Escalators '!$D$144:$D$149,0),MATCH(I28,'Escalators '!$M$133:$S$133,0))</f>
        <v>1.0148371916640342</v>
      </c>
      <c r="Q28" s="257">
        <f t="shared" si="3"/>
        <v>0</v>
      </c>
      <c r="R28" s="257">
        <f t="shared" si="4"/>
        <v>0</v>
      </c>
    </row>
    <row r="29" spans="2:18" x14ac:dyDescent="0.2">
      <c r="B29" s="192" t="s">
        <v>258</v>
      </c>
      <c r="C29" s="192" t="s">
        <v>68</v>
      </c>
      <c r="D29" s="192" t="s">
        <v>421</v>
      </c>
      <c r="E29" s="251" t="str">
        <f>IF(AND(B29=$B$14,C29=$C$14,D29=$D$14,H29=$H$14),'Operating leases'!$B$16,"")</f>
        <v/>
      </c>
      <c r="F29" s="252" t="str">
        <f>IF(AND(B29=$B$16,C29=$C$16,D29=$D$16,H29=$H$16),'Operating leases'!$B$15,"")</f>
        <v/>
      </c>
      <c r="G29" s="252" t="str">
        <f t="shared" si="0"/>
        <v/>
      </c>
      <c r="H29" s="192" t="s">
        <v>221</v>
      </c>
      <c r="I29" s="192">
        <v>2021</v>
      </c>
      <c r="J29" s="209">
        <v>0</v>
      </c>
      <c r="K29" s="253">
        <f>IF(C29='Global inputs'!$B$127,INDEX('Global inputs'!$L$127:$S$127,MATCH('Forecast opex'!I29,'Global inputs'!$L$126:$S$126,0)),1)</f>
        <v>0.98578441028066921</v>
      </c>
      <c r="L29" s="254">
        <f t="shared" si="1"/>
        <v>0</v>
      </c>
      <c r="M29" s="255">
        <f>IF(AND('Global inputs'!$D$128="Yes",C29='Global inputs'!$B$127),'Forecast opex'!L29*'Global inputs'!$L$127,'Forecast opex'!J29)</f>
        <v>0</v>
      </c>
      <c r="N29" s="256">
        <f>IF(ISNA(MATCH(G29,'Operating leases'!$B$15:$B$26,0)),0,INDEX('Operating leases'!$M$15:$S$26,MATCH(G29,'Operating leases'!$B$15:$B$26,0),MATCH(I29,'Operating leases'!$M$11:$S$11,0)))</f>
        <v>0</v>
      </c>
      <c r="O29" s="257">
        <f t="shared" si="2"/>
        <v>0</v>
      </c>
      <c r="P29" s="258">
        <f>INDEX('Escalators '!$M$144:$S$149,MATCH(H29,'Escalators '!$D$144:$D$149,0),MATCH(I29,'Escalators '!$M$133:$S$133,0))</f>
        <v>1.0148371916640342</v>
      </c>
      <c r="Q29" s="257">
        <f t="shared" si="3"/>
        <v>0</v>
      </c>
      <c r="R29" s="257">
        <f t="shared" si="4"/>
        <v>0</v>
      </c>
    </row>
    <row r="30" spans="2:18" x14ac:dyDescent="0.2">
      <c r="B30" s="192" t="s">
        <v>258</v>
      </c>
      <c r="C30" s="192" t="s">
        <v>68</v>
      </c>
      <c r="D30" s="192" t="s">
        <v>418</v>
      </c>
      <c r="E30" s="251" t="str">
        <f>IF(AND(B30=$B$14,C30=$C$14,D30=$D$14,H30=$H$14),'Operating leases'!$B$16,"")</f>
        <v/>
      </c>
      <c r="F30" s="252" t="str">
        <f>IF(AND(B30=$B$16,C30=$C$16,D30=$D$16,H30=$H$16),'Operating leases'!$B$15,"")</f>
        <v/>
      </c>
      <c r="G30" s="252" t="str">
        <f t="shared" si="0"/>
        <v/>
      </c>
      <c r="H30" s="192" t="s">
        <v>229</v>
      </c>
      <c r="I30" s="192">
        <v>2021</v>
      </c>
      <c r="J30" s="209">
        <v>844581.78135142126</v>
      </c>
      <c r="K30" s="253">
        <f>IF(C30='Global inputs'!$B$127,INDEX('Global inputs'!$L$127:$S$127,MATCH('Forecast opex'!I30,'Global inputs'!$L$126:$S$126,0)),1)</f>
        <v>0.98578441028066921</v>
      </c>
      <c r="L30" s="254">
        <f t="shared" si="1"/>
        <v>856761.14629460895</v>
      </c>
      <c r="M30" s="255">
        <f>IF(AND('Global inputs'!$D$128="Yes",C30='Global inputs'!$B$127),'Forecast opex'!L30*'Global inputs'!$L$127,'Forecast opex'!J30)</f>
        <v>844581.78135142126</v>
      </c>
      <c r="N30" s="256">
        <f>IF(ISNA(MATCH(G30,'Operating leases'!$B$15:$B$26,0)),0,INDEX('Operating leases'!$M$15:$S$26,MATCH(G30,'Operating leases'!$B$15:$B$26,0),MATCH(I30,'Operating leases'!$M$11:$S$11,0)))</f>
        <v>0</v>
      </c>
      <c r="O30" s="257">
        <f t="shared" si="2"/>
        <v>844581.78135142126</v>
      </c>
      <c r="P30" s="258">
        <f>INDEX('Escalators '!$M$144:$S$149,MATCH(H30,'Escalators '!$D$144:$D$149,0),MATCH(I30,'Escalators '!$M$133:$S$133,0))</f>
        <v>1.0109584373880847</v>
      </c>
      <c r="Q30" s="257">
        <f t="shared" si="3"/>
        <v>0</v>
      </c>
      <c r="R30" s="257">
        <f t="shared" si="4"/>
        <v>853837.07792147784</v>
      </c>
    </row>
    <row r="31" spans="2:18" x14ac:dyDescent="0.2">
      <c r="B31" s="192" t="s">
        <v>258</v>
      </c>
      <c r="C31" s="192" t="s">
        <v>68</v>
      </c>
      <c r="D31" s="192" t="s">
        <v>420</v>
      </c>
      <c r="E31" s="251" t="str">
        <f>IF(AND(B31=$B$14,C31=$C$14,D31=$D$14,H31=$H$14),'Operating leases'!$B$16,"")</f>
        <v>Premises Plant &amp; Insurance</v>
      </c>
      <c r="F31" s="252" t="str">
        <f>IF(AND(B31=$B$16,C31=$C$16,D31=$D$16,H31=$H$16),'Operating leases'!$B$15,"")</f>
        <v/>
      </c>
      <c r="G31" s="252" t="str">
        <f t="shared" si="0"/>
        <v>Premises Plant &amp; Insurance</v>
      </c>
      <c r="H31" s="192" t="s">
        <v>229</v>
      </c>
      <c r="I31" s="192">
        <v>2021</v>
      </c>
      <c r="J31" s="209">
        <v>1007463.8903151624</v>
      </c>
      <c r="K31" s="253">
        <f>IF(C31='Global inputs'!$B$127,INDEX('Global inputs'!$L$127:$S$127,MATCH('Forecast opex'!I31,'Global inputs'!$L$126:$S$126,0)),1)</f>
        <v>0.98578441028066921</v>
      </c>
      <c r="L31" s="254">
        <f t="shared" si="1"/>
        <v>1021992.1108595344</v>
      </c>
      <c r="M31" s="255">
        <f>IF(AND('Global inputs'!$D$128="Yes",C31='Global inputs'!$B$127),'Forecast opex'!L31*'Global inputs'!$L$127,'Forecast opex'!J31)</f>
        <v>1007463.8903151624</v>
      </c>
      <c r="N31" s="256">
        <f>IF(ISNA(MATCH(G31,'Operating leases'!$B$15:$B$26,0)),0,INDEX('Operating leases'!$M$15:$S$26,MATCH(G31,'Operating leases'!$B$15:$B$26,0),MATCH(I31,'Operating leases'!$M$11:$S$11,0)))</f>
        <v>766705.9973483138</v>
      </c>
      <c r="O31" s="257">
        <f t="shared" si="2"/>
        <v>240757.89296684857</v>
      </c>
      <c r="P31" s="258">
        <f>INDEX('Escalators '!$M$144:$S$149,MATCH(H31,'Escalators '!$D$144:$D$149,0),MATCH(I31,'Escalators '!$M$133:$S$133,0))</f>
        <v>1.0109584373880847</v>
      </c>
      <c r="Q31" s="257">
        <f t="shared" si="3"/>
        <v>775107.89701532433</v>
      </c>
      <c r="R31" s="257">
        <f t="shared" si="4"/>
        <v>243396.22326261297</v>
      </c>
    </row>
    <row r="32" spans="2:18" x14ac:dyDescent="0.2">
      <c r="B32" s="192" t="s">
        <v>258</v>
      </c>
      <c r="C32" s="192" t="s">
        <v>68</v>
      </c>
      <c r="D32" s="192" t="s">
        <v>421</v>
      </c>
      <c r="E32" s="251" t="str">
        <f>IF(AND(B32=$B$14,C32=$C$14,D32=$D$14,H32=$H$14),'Operating leases'!$B$16,"")</f>
        <v/>
      </c>
      <c r="F32" s="252" t="str">
        <f>IF(AND(B32=$B$16,C32=$C$16,D32=$D$16,H32=$H$16),'Operating leases'!$B$15,"")</f>
        <v/>
      </c>
      <c r="G32" s="252" t="str">
        <f t="shared" si="0"/>
        <v/>
      </c>
      <c r="H32" s="192" t="s">
        <v>229</v>
      </c>
      <c r="I32" s="192">
        <v>2021</v>
      </c>
      <c r="J32" s="209">
        <v>2847867.9978730772</v>
      </c>
      <c r="K32" s="253">
        <f>IF(C32='Global inputs'!$B$127,INDEX('Global inputs'!$L$127:$S$127,MATCH('Forecast opex'!I32,'Global inputs'!$L$126:$S$126,0)),1)</f>
        <v>0.98578441028066921</v>
      </c>
      <c r="L32" s="254">
        <f t="shared" si="1"/>
        <v>2888935.9257185268</v>
      </c>
      <c r="M32" s="255">
        <f>IF(AND('Global inputs'!$D$128="Yes",C32='Global inputs'!$B$127),'Forecast opex'!L32*'Global inputs'!$L$127,'Forecast opex'!J32)</f>
        <v>2847867.9978730772</v>
      </c>
      <c r="N32" s="256">
        <f>IF(ISNA(MATCH(G32,'Operating leases'!$B$15:$B$26,0)),0,INDEX('Operating leases'!$M$15:$S$26,MATCH(G32,'Operating leases'!$B$15:$B$26,0),MATCH(I32,'Operating leases'!$M$11:$S$11,0)))</f>
        <v>0</v>
      </c>
      <c r="O32" s="257">
        <f t="shared" si="2"/>
        <v>2847867.9978730772</v>
      </c>
      <c r="P32" s="258">
        <f>INDEX('Escalators '!$M$144:$S$149,MATCH(H32,'Escalators '!$D$144:$D$149,0),MATCH(I32,'Escalators '!$M$133:$S$133,0))</f>
        <v>1.0109584373880847</v>
      </c>
      <c r="Q32" s="257">
        <f t="shared" si="3"/>
        <v>0</v>
      </c>
      <c r="R32" s="257">
        <f t="shared" si="4"/>
        <v>2879076.1810172992</v>
      </c>
    </row>
    <row r="33" spans="2:18" x14ac:dyDescent="0.2">
      <c r="B33" s="192" t="s">
        <v>258</v>
      </c>
      <c r="C33" s="192" t="s">
        <v>246</v>
      </c>
      <c r="D33" s="192" t="s">
        <v>422</v>
      </c>
      <c r="E33" s="251" t="str">
        <f>IF(AND(B33=$B$14,C33=$C$14,D33=$D$14,H33=$H$14),'Operating leases'!$B$16,"")</f>
        <v/>
      </c>
      <c r="F33" s="252" t="str">
        <f>IF(AND(B33=$B$16,C33=$C$16,D33=$D$16,H33=$H$16),'Operating leases'!$B$15,"")</f>
        <v/>
      </c>
      <c r="G33" s="252" t="str">
        <f t="shared" si="0"/>
        <v/>
      </c>
      <c r="H33" s="192" t="s">
        <v>221</v>
      </c>
      <c r="I33" s="192">
        <v>2021</v>
      </c>
      <c r="J33" s="209">
        <v>14750119.866144044</v>
      </c>
      <c r="K33" s="253">
        <f>IF(C33='Global inputs'!$B$127,INDEX('Global inputs'!$L$127:$S$127,MATCH('Forecast opex'!I33,'Global inputs'!$L$126:$S$126,0)),1)</f>
        <v>1</v>
      </c>
      <c r="L33" s="254">
        <f t="shared" si="1"/>
        <v>14750119.866144044</v>
      </c>
      <c r="M33" s="255">
        <f>IF(AND('Global inputs'!$D$128="Yes",C33='Global inputs'!$B$127),'Forecast opex'!L33*'Global inputs'!$L$127,'Forecast opex'!J33)</f>
        <v>14750119.866144044</v>
      </c>
      <c r="N33" s="256">
        <f>IF(ISNA(MATCH(G33,'Operating leases'!$B$15:$B$26,0)),0,INDEX('Operating leases'!$M$15:$S$26,MATCH(G33,'Operating leases'!$B$15:$B$26,0),MATCH(I33,'Operating leases'!$M$11:$S$11,0)))</f>
        <v>0</v>
      </c>
      <c r="O33" s="257">
        <f t="shared" si="2"/>
        <v>14750119.866144044</v>
      </c>
      <c r="P33" s="258">
        <f>INDEX('Escalators '!$M$144:$S$149,MATCH(H33,'Escalators '!$D$144:$D$149,0),MATCH(I33,'Escalators '!$M$133:$S$133,0))</f>
        <v>1.0148371916640342</v>
      </c>
      <c r="Q33" s="257">
        <f t="shared" si="3"/>
        <v>0</v>
      </c>
      <c r="R33" s="257">
        <f t="shared" si="4"/>
        <v>14968970.221665502</v>
      </c>
    </row>
    <row r="34" spans="2:18" x14ac:dyDescent="0.2">
      <c r="B34" s="192" t="s">
        <v>258</v>
      </c>
      <c r="C34" s="192" t="s">
        <v>246</v>
      </c>
      <c r="D34" s="192" t="s">
        <v>422</v>
      </c>
      <c r="E34" s="251" t="str">
        <f>IF(AND(B34=$B$14,C34=$C$14,D34=$D$14,H34=$H$14),'Operating leases'!$B$16,"")</f>
        <v/>
      </c>
      <c r="F34" s="252" t="str">
        <f>IF(AND(B34=$B$16,C34=$C$16,D34=$D$16,H34=$H$16),'Operating leases'!$B$15,"")</f>
        <v>SONS</v>
      </c>
      <c r="G34" s="252" t="str">
        <f t="shared" si="0"/>
        <v>SONS</v>
      </c>
      <c r="H34" s="192" t="s">
        <v>229</v>
      </c>
      <c r="I34" s="192">
        <v>2021</v>
      </c>
      <c r="J34" s="209">
        <v>1638902.2073493383</v>
      </c>
      <c r="K34" s="253">
        <f>IF(C34='Global inputs'!$B$127,INDEX('Global inputs'!$L$127:$S$127,MATCH('Forecast opex'!I34,'Global inputs'!$L$126:$S$126,0)),1)</f>
        <v>1</v>
      </c>
      <c r="L34" s="254">
        <f t="shared" si="1"/>
        <v>1638902.2073493383</v>
      </c>
      <c r="M34" s="255">
        <f>IF(AND('Global inputs'!$D$128="Yes",C34='Global inputs'!$B$127),'Forecast opex'!L34*'Global inputs'!$L$127,'Forecast opex'!J34)</f>
        <v>1638902.2073493383</v>
      </c>
      <c r="N34" s="256">
        <f>IF(ISNA(MATCH(G34,'Operating leases'!$B$15:$B$26,0)),0,INDEX('Operating leases'!$M$15:$S$26,MATCH(G34,'Operating leases'!$B$15:$B$26,0),MATCH(I34,'Operating leases'!$M$11:$S$11,0)))</f>
        <v>646607.38122538698</v>
      </c>
      <c r="O34" s="257">
        <f t="shared" si="2"/>
        <v>992294.82612395135</v>
      </c>
      <c r="P34" s="258">
        <f>INDEX('Escalators '!$M$144:$S$149,MATCH(H34,'Escalators '!$D$144:$D$149,0),MATCH(I34,'Escalators '!$M$133:$S$133,0))</f>
        <v>1.0109584373880847</v>
      </c>
      <c r="Q34" s="257">
        <f t="shared" si="3"/>
        <v>653693.18772721873</v>
      </c>
      <c r="R34" s="257">
        <f t="shared" si="4"/>
        <v>1003168.826846551</v>
      </c>
    </row>
    <row r="35" spans="2:18" x14ac:dyDescent="0.2">
      <c r="B35" s="192" t="s">
        <v>253</v>
      </c>
      <c r="C35" s="192" t="s">
        <v>244</v>
      </c>
      <c r="D35" s="192" t="s">
        <v>416</v>
      </c>
      <c r="E35" s="251" t="str">
        <f>IF(AND(B35=$B$14,C35=$C$14,D35=$D$14,H35=$H$14),'Operating leases'!$B$16,"")</f>
        <v/>
      </c>
      <c r="F35" s="252" t="str">
        <f>IF(AND(B35=$B$16,C35=$C$16,D35=$D$16,H35=$H$16),'Operating leases'!$B$15,"")</f>
        <v/>
      </c>
      <c r="G35" s="252" t="str">
        <f t="shared" si="0"/>
        <v/>
      </c>
      <c r="H35" s="192" t="s">
        <v>221</v>
      </c>
      <c r="I35" s="192">
        <v>2021</v>
      </c>
      <c r="J35" s="209">
        <v>3371138.0731714121</v>
      </c>
      <c r="K35" s="253">
        <f>IF(C35='Global inputs'!$B$127,INDEX('Global inputs'!$L$127:$S$127,MATCH('Forecast opex'!I35,'Global inputs'!$L$126:$S$126,0)),1)</f>
        <v>1</v>
      </c>
      <c r="L35" s="254">
        <f t="shared" si="1"/>
        <v>3371138.0731714121</v>
      </c>
      <c r="M35" s="255">
        <f>IF(AND('Global inputs'!$D$128="Yes",C35='Global inputs'!$B$127),'Forecast opex'!L35*'Global inputs'!$L$127,'Forecast opex'!J35)</f>
        <v>3371138.0731714121</v>
      </c>
      <c r="N35" s="256">
        <f>IF(ISNA(MATCH(G35,'Operating leases'!$B$15:$B$26,0)),0,INDEX('Operating leases'!$M$15:$S$26,MATCH(G35,'Operating leases'!$B$15:$B$26,0),MATCH(I35,'Operating leases'!$M$11:$S$11,0)))</f>
        <v>0</v>
      </c>
      <c r="O35" s="257">
        <f t="shared" si="2"/>
        <v>3371138.0731714121</v>
      </c>
      <c r="P35" s="258">
        <f>INDEX('Escalators '!$M$144:$S$149,MATCH(H35,'Escalators '!$D$144:$D$149,0),MATCH(I35,'Escalators '!$M$133:$S$133,0))</f>
        <v>1.0148371916640342</v>
      </c>
      <c r="Q35" s="257">
        <f t="shared" si="3"/>
        <v>0</v>
      </c>
      <c r="R35" s="257">
        <f t="shared" si="4"/>
        <v>3421156.2948889793</v>
      </c>
    </row>
    <row r="36" spans="2:18" x14ac:dyDescent="0.2">
      <c r="B36" s="192" t="s">
        <v>253</v>
      </c>
      <c r="C36" s="192" t="s">
        <v>244</v>
      </c>
      <c r="D36" s="192" t="s">
        <v>416</v>
      </c>
      <c r="E36" s="251" t="str">
        <f>IF(AND(B36=$B$14,C36=$C$14,D36=$D$14,H36=$H$14),'Operating leases'!$B$16,"")</f>
        <v/>
      </c>
      <c r="F36" s="252" t="str">
        <f>IF(AND(B36=$B$16,C36=$C$16,D36=$D$16,H36=$H$16),'Operating leases'!$B$15,"")</f>
        <v/>
      </c>
      <c r="G36" s="252" t="str">
        <f t="shared" si="0"/>
        <v/>
      </c>
      <c r="H36" s="192" t="s">
        <v>229</v>
      </c>
      <c r="I36" s="192">
        <v>2021</v>
      </c>
      <c r="J36" s="209">
        <v>2247425.3821142749</v>
      </c>
      <c r="K36" s="253">
        <f>IF(C36='Global inputs'!$B$127,INDEX('Global inputs'!$L$127:$S$127,MATCH('Forecast opex'!I36,'Global inputs'!$L$126:$S$126,0)),1)</f>
        <v>1</v>
      </c>
      <c r="L36" s="254">
        <f t="shared" si="1"/>
        <v>2247425.3821142749</v>
      </c>
      <c r="M36" s="255">
        <f>IF(AND('Global inputs'!$D$128="Yes",C36='Global inputs'!$B$127),'Forecast opex'!L36*'Global inputs'!$L$127,'Forecast opex'!J36)</f>
        <v>2247425.3821142749</v>
      </c>
      <c r="N36" s="256">
        <f>IF(ISNA(MATCH(G36,'Operating leases'!$B$15:$B$26,0)),0,INDEX('Operating leases'!$M$15:$S$26,MATCH(G36,'Operating leases'!$B$15:$B$26,0),MATCH(I36,'Operating leases'!$M$11:$S$11,0)))</f>
        <v>0</v>
      </c>
      <c r="O36" s="257">
        <f t="shared" si="2"/>
        <v>2247425.3821142749</v>
      </c>
      <c r="P36" s="258">
        <f>INDEX('Escalators '!$M$144:$S$149,MATCH(H36,'Escalators '!$D$144:$D$149,0),MATCH(I36,'Escalators '!$M$133:$S$133,0))</f>
        <v>1.0109584373880847</v>
      </c>
      <c r="Q36" s="257">
        <f t="shared" si="3"/>
        <v>0</v>
      </c>
      <c r="R36" s="257">
        <f t="shared" si="4"/>
        <v>2272053.6524485666</v>
      </c>
    </row>
    <row r="37" spans="2:18" x14ac:dyDescent="0.2">
      <c r="B37" s="192" t="s">
        <v>253</v>
      </c>
      <c r="C37" s="192" t="s">
        <v>244</v>
      </c>
      <c r="D37" s="192" t="s">
        <v>417</v>
      </c>
      <c r="E37" s="251" t="str">
        <f>IF(AND(B37=$B$14,C37=$C$14,D37=$D$14,H37=$H$14),'Operating leases'!$B$16,"")</f>
        <v/>
      </c>
      <c r="F37" s="252" t="str">
        <f>IF(AND(B37=$B$16,C37=$C$16,D37=$D$16,H37=$H$16),'Operating leases'!$B$15,"")</f>
        <v/>
      </c>
      <c r="G37" s="252" t="str">
        <f t="shared" si="0"/>
        <v/>
      </c>
      <c r="H37" s="192" t="s">
        <v>221</v>
      </c>
      <c r="I37" s="192">
        <v>2021</v>
      </c>
      <c r="J37" s="209">
        <v>1929957.1707130759</v>
      </c>
      <c r="K37" s="253">
        <f>IF(C37='Global inputs'!$B$127,INDEX('Global inputs'!$L$127:$S$127,MATCH('Forecast opex'!I37,'Global inputs'!$L$126:$S$126,0)),1)</f>
        <v>1</v>
      </c>
      <c r="L37" s="254">
        <f t="shared" si="1"/>
        <v>1929957.1707130759</v>
      </c>
      <c r="M37" s="255">
        <f>IF(AND('Global inputs'!$D$128="Yes",C37='Global inputs'!$B$127),'Forecast opex'!L37*'Global inputs'!$L$127,'Forecast opex'!J37)</f>
        <v>1929957.1707130759</v>
      </c>
      <c r="N37" s="256">
        <f>IF(ISNA(MATCH(G37,'Operating leases'!$B$15:$B$26,0)),0,INDEX('Operating leases'!$M$15:$S$26,MATCH(G37,'Operating leases'!$B$15:$B$26,0),MATCH(I37,'Operating leases'!$M$11:$S$11,0)))</f>
        <v>0</v>
      </c>
      <c r="O37" s="257">
        <f t="shared" si="2"/>
        <v>1929957.1707130759</v>
      </c>
      <c r="P37" s="258">
        <f>INDEX('Escalators '!$M$144:$S$149,MATCH(H37,'Escalators '!$D$144:$D$149,0),MATCH(I37,'Escalators '!$M$133:$S$133,0))</f>
        <v>1.0148371916640342</v>
      </c>
      <c r="Q37" s="257">
        <f t="shared" si="3"/>
        <v>0</v>
      </c>
      <c r="R37" s="257">
        <f t="shared" si="4"/>
        <v>1958592.3151583229</v>
      </c>
    </row>
    <row r="38" spans="2:18" x14ac:dyDescent="0.2">
      <c r="B38" s="192" t="s">
        <v>253</v>
      </c>
      <c r="C38" s="192" t="s">
        <v>244</v>
      </c>
      <c r="D38" s="192" t="s">
        <v>417</v>
      </c>
      <c r="E38" s="251" t="str">
        <f>IF(AND(B38=$B$14,C38=$C$14,D38=$D$14,H38=$H$14),'Operating leases'!$B$16,"")</f>
        <v/>
      </c>
      <c r="F38" s="252" t="str">
        <f>IF(AND(B38=$B$16,C38=$C$16,D38=$D$16,H38=$H$16),'Operating leases'!$B$15,"")</f>
        <v/>
      </c>
      <c r="G38" s="252" t="str">
        <f t="shared" si="0"/>
        <v/>
      </c>
      <c r="H38" s="192" t="s">
        <v>229</v>
      </c>
      <c r="I38" s="192">
        <v>2021</v>
      </c>
      <c r="J38" s="209">
        <v>1286638.1138087173</v>
      </c>
      <c r="K38" s="253">
        <f>IF(C38='Global inputs'!$B$127,INDEX('Global inputs'!$L$127:$S$127,MATCH('Forecast opex'!I38,'Global inputs'!$L$126:$S$126,0)),1)</f>
        <v>1</v>
      </c>
      <c r="L38" s="254">
        <f t="shared" si="1"/>
        <v>1286638.1138087173</v>
      </c>
      <c r="M38" s="255">
        <f>IF(AND('Global inputs'!$D$128="Yes",C38='Global inputs'!$B$127),'Forecast opex'!L38*'Global inputs'!$L$127,'Forecast opex'!J38)</f>
        <v>1286638.1138087173</v>
      </c>
      <c r="N38" s="256">
        <f>IF(ISNA(MATCH(G38,'Operating leases'!$B$15:$B$26,0)),0,INDEX('Operating leases'!$M$15:$S$26,MATCH(G38,'Operating leases'!$B$15:$B$26,0),MATCH(I38,'Operating leases'!$M$11:$S$11,0)))</f>
        <v>0</v>
      </c>
      <c r="O38" s="257">
        <f t="shared" si="2"/>
        <v>1286638.1138087173</v>
      </c>
      <c r="P38" s="258">
        <f>INDEX('Escalators '!$M$144:$S$149,MATCH(H38,'Escalators '!$D$144:$D$149,0),MATCH(I38,'Escalators '!$M$133:$S$133,0))</f>
        <v>1.0109584373880847</v>
      </c>
      <c r="Q38" s="257">
        <f t="shared" si="3"/>
        <v>0</v>
      </c>
      <c r="R38" s="257">
        <f t="shared" si="4"/>
        <v>1300737.6570200135</v>
      </c>
    </row>
    <row r="39" spans="2:18" x14ac:dyDescent="0.2">
      <c r="B39" s="192" t="s">
        <v>258</v>
      </c>
      <c r="C39" s="192" t="s">
        <v>68</v>
      </c>
      <c r="D39" s="192" t="s">
        <v>419</v>
      </c>
      <c r="E39" s="251" t="str">
        <f>IF(AND(B39=$B$14,C39=$C$14,D39=$D$14,H39=$H$14),'Operating leases'!$B$16,"")</f>
        <v/>
      </c>
      <c r="F39" s="252" t="str">
        <f>IF(AND(B39=$B$16,C39=$C$16,D39=$D$16,H39=$H$16),'Operating leases'!$B$15,"")</f>
        <v/>
      </c>
      <c r="G39" s="252" t="str">
        <f t="shared" si="0"/>
        <v/>
      </c>
      <c r="H39" s="192" t="s">
        <v>221</v>
      </c>
      <c r="I39" s="192">
        <v>2021</v>
      </c>
      <c r="J39" s="209">
        <v>2758192.83</v>
      </c>
      <c r="K39" s="253">
        <f>IF(C39='Global inputs'!$B$127,INDEX('Global inputs'!$L$127:$S$127,MATCH('Forecast opex'!I39,'Global inputs'!$L$126:$S$126,0)),1)</f>
        <v>0.98578441028066921</v>
      </c>
      <c r="L39" s="254">
        <f t="shared" si="1"/>
        <v>2797967.5892974376</v>
      </c>
      <c r="M39" s="255">
        <f>IF(AND('Global inputs'!$D$128="Yes",C39='Global inputs'!$B$127),'Forecast opex'!L39*'Global inputs'!$L$127,'Forecast opex'!J39)</f>
        <v>2758192.83</v>
      </c>
      <c r="N39" s="256">
        <f>IF(ISNA(MATCH(G39,'Operating leases'!$B$15:$B$26,0)),0,INDEX('Operating leases'!$M$15:$S$26,MATCH(G39,'Operating leases'!$B$15:$B$26,0),MATCH(I39,'Operating leases'!$M$11:$S$11,0)))</f>
        <v>0</v>
      </c>
      <c r="O39" s="257">
        <f t="shared" si="2"/>
        <v>2758192.83</v>
      </c>
      <c r="P39" s="258">
        <f>INDEX('Escalators '!$M$144:$S$149,MATCH(H39,'Escalators '!$D$144:$D$149,0),MATCH(I39,'Escalators '!$M$133:$S$133,0))</f>
        <v>1.0148371916640342</v>
      </c>
      <c r="Q39" s="257">
        <f t="shared" si="3"/>
        <v>0</v>
      </c>
      <c r="R39" s="257">
        <f t="shared" si="4"/>
        <v>2799116.6656650747</v>
      </c>
    </row>
    <row r="40" spans="2:18" x14ac:dyDescent="0.2">
      <c r="B40" s="192" t="s">
        <v>258</v>
      </c>
      <c r="C40" s="192" t="s">
        <v>68</v>
      </c>
      <c r="D40" s="192" t="s">
        <v>419</v>
      </c>
      <c r="E40" s="251" t="str">
        <f>IF(AND(B40=$B$14,C40=$C$14,D40=$D$14,H40=$H$14),'Operating leases'!$B$16,"")</f>
        <v/>
      </c>
      <c r="F40" s="252" t="str">
        <f>IF(AND(B40=$B$16,C40=$C$16,D40=$D$16,H40=$H$16),'Operating leases'!$B$15,"")</f>
        <v/>
      </c>
      <c r="G40" s="252" t="str">
        <f t="shared" si="0"/>
        <v/>
      </c>
      <c r="H40" s="192" t="s">
        <v>229</v>
      </c>
      <c r="I40" s="192">
        <v>2021</v>
      </c>
      <c r="J40" s="209">
        <v>306465.87000000005</v>
      </c>
      <c r="K40" s="253">
        <f>IF(C40='Global inputs'!$B$127,INDEX('Global inputs'!$L$127:$S$127,MATCH('Forecast opex'!I40,'Global inputs'!$L$126:$S$126,0)),1)</f>
        <v>0.98578441028066921</v>
      </c>
      <c r="L40" s="254">
        <f t="shared" si="1"/>
        <v>310885.28769971529</v>
      </c>
      <c r="M40" s="255">
        <f>IF(AND('Global inputs'!$D$128="Yes",C40='Global inputs'!$B$127),'Forecast opex'!L40*'Global inputs'!$L$127,'Forecast opex'!J40)</f>
        <v>306465.87000000005</v>
      </c>
      <c r="N40" s="256">
        <f>IF(ISNA(MATCH(G40,'Operating leases'!$B$15:$B$26,0)),0,INDEX('Operating leases'!$M$15:$S$26,MATCH(G40,'Operating leases'!$B$15:$B$26,0),MATCH(I40,'Operating leases'!$M$11:$S$11,0)))</f>
        <v>0</v>
      </c>
      <c r="O40" s="257">
        <f t="shared" si="2"/>
        <v>306465.87000000005</v>
      </c>
      <c r="P40" s="258">
        <f>INDEX('Escalators '!$M$144:$S$149,MATCH(H40,'Escalators '!$D$144:$D$149,0),MATCH(I40,'Escalators '!$M$133:$S$133,0))</f>
        <v>1.0109584373880847</v>
      </c>
      <c r="Q40" s="257">
        <f t="shared" si="3"/>
        <v>0</v>
      </c>
      <c r="R40" s="257">
        <f t="shared" si="4"/>
        <v>309824.25704797998</v>
      </c>
    </row>
    <row r="41" spans="2:18" x14ac:dyDescent="0.2">
      <c r="B41" s="192" t="s">
        <v>253</v>
      </c>
      <c r="C41" s="192" t="s">
        <v>241</v>
      </c>
      <c r="D41" s="192" t="s">
        <v>414</v>
      </c>
      <c r="E41" s="251" t="str">
        <f>IF(AND(B41=$B$14,C41=$C$14,D41=$D$14,H41=$H$14),'Operating leases'!$B$16,"")</f>
        <v/>
      </c>
      <c r="F41" s="252" t="str">
        <f>IF(AND(B41=$B$16,C41=$C$16,D41=$D$16,H41=$H$16),'Operating leases'!$B$15,"")</f>
        <v/>
      </c>
      <c r="G41" s="252" t="str">
        <f t="shared" si="0"/>
        <v/>
      </c>
      <c r="H41" s="192" t="s">
        <v>221</v>
      </c>
      <c r="I41" s="192">
        <v>2021</v>
      </c>
      <c r="J41" s="209">
        <v>3277762.392638504</v>
      </c>
      <c r="K41" s="253">
        <f>IF(C41='Global inputs'!$B$127,INDEX('Global inputs'!$L$127:$S$127,MATCH('Forecast opex'!I41,'Global inputs'!$L$126:$S$126,0)),1)</f>
        <v>1</v>
      </c>
      <c r="L41" s="254">
        <f t="shared" si="1"/>
        <v>3277762.392638504</v>
      </c>
      <c r="M41" s="255">
        <f>IF(AND('Global inputs'!$D$128="Yes",C41='Global inputs'!$B$127),'Forecast opex'!L41*'Global inputs'!$L$127,'Forecast opex'!J41)</f>
        <v>3277762.392638504</v>
      </c>
      <c r="N41" s="256">
        <f>IF(ISNA(MATCH(G41,'Operating leases'!$B$15:$B$26,0)),0,INDEX('Operating leases'!$M$15:$S$26,MATCH(G41,'Operating leases'!$B$15:$B$26,0),MATCH(I41,'Operating leases'!$M$11:$S$11,0)))</f>
        <v>0</v>
      </c>
      <c r="O41" s="257">
        <f t="shared" si="2"/>
        <v>3277762.392638504</v>
      </c>
      <c r="P41" s="258">
        <f>INDEX('Escalators '!$M$144:$S$149,MATCH(H41,'Escalators '!$D$144:$D$149,0),MATCH(I41,'Escalators '!$M$133:$S$133,0))</f>
        <v>1.0148371916640342</v>
      </c>
      <c r="Q41" s="257">
        <f t="shared" si="3"/>
        <v>0</v>
      </c>
      <c r="R41" s="257">
        <f t="shared" si="4"/>
        <v>3326395.181487245</v>
      </c>
    </row>
    <row r="42" spans="2:18" x14ac:dyDescent="0.2">
      <c r="B42" s="192" t="s">
        <v>253</v>
      </c>
      <c r="C42" s="192" t="s">
        <v>241</v>
      </c>
      <c r="D42" s="192" t="s">
        <v>414</v>
      </c>
      <c r="E42" s="251" t="str">
        <f>IF(AND(B42=$B$14,C42=$C$14,D42=$D$14,H42=$H$14),'Operating leases'!$B$16,"")</f>
        <v/>
      </c>
      <c r="F42" s="252" t="str">
        <f>IF(AND(B42=$B$16,C42=$C$16,D42=$D$16,H42=$H$16),'Operating leases'!$B$15,"")</f>
        <v/>
      </c>
      <c r="G42" s="252" t="str">
        <f t="shared" si="0"/>
        <v/>
      </c>
      <c r="H42" s="192" t="s">
        <v>229</v>
      </c>
      <c r="I42" s="192">
        <v>2021</v>
      </c>
      <c r="J42" s="209">
        <v>1404755.3111307875</v>
      </c>
      <c r="K42" s="253">
        <f>IF(C42='Global inputs'!$B$127,INDEX('Global inputs'!$L$127:$S$127,MATCH('Forecast opex'!I42,'Global inputs'!$L$126:$S$126,0)),1)</f>
        <v>1</v>
      </c>
      <c r="L42" s="254">
        <f t="shared" si="1"/>
        <v>1404755.3111307875</v>
      </c>
      <c r="M42" s="255">
        <f>IF(AND('Global inputs'!$D$128="Yes",C42='Global inputs'!$B$127),'Forecast opex'!L42*'Global inputs'!$L$127,'Forecast opex'!J42)</f>
        <v>1404755.3111307875</v>
      </c>
      <c r="N42" s="256">
        <f>IF(ISNA(MATCH(G42,'Operating leases'!$B$15:$B$26,0)),0,INDEX('Operating leases'!$M$15:$S$26,MATCH(G42,'Operating leases'!$B$15:$B$26,0),MATCH(I42,'Operating leases'!$M$11:$S$11,0)))</f>
        <v>0</v>
      </c>
      <c r="O42" s="257">
        <f t="shared" si="2"/>
        <v>1404755.3111307875</v>
      </c>
      <c r="P42" s="258">
        <f>INDEX('Escalators '!$M$144:$S$149,MATCH(H42,'Escalators '!$D$144:$D$149,0),MATCH(I42,'Escalators '!$M$133:$S$133,0))</f>
        <v>1.0109584373880847</v>
      </c>
      <c r="Q42" s="257">
        <f t="shared" si="3"/>
        <v>0</v>
      </c>
      <c r="R42" s="257">
        <f t="shared" si="4"/>
        <v>1420149.2342533937</v>
      </c>
    </row>
    <row r="43" spans="2:18" x14ac:dyDescent="0.2">
      <c r="B43" s="192" t="s">
        <v>258</v>
      </c>
      <c r="C43" s="192" t="s">
        <v>246</v>
      </c>
      <c r="D43" s="192" t="s">
        <v>423</v>
      </c>
      <c r="E43" s="251" t="str">
        <f>IF(AND(B43=$B$14,C43=$C$14,D43=$D$14,H43=$H$14),'Operating leases'!$B$16,"")</f>
        <v/>
      </c>
      <c r="F43" s="252" t="str">
        <f>IF(AND(B43=$B$16,C43=$C$16,D43=$D$16,H43=$H$16),'Operating leases'!$B$15,"")</f>
        <v/>
      </c>
      <c r="G43" s="252" t="str">
        <f t="shared" si="0"/>
        <v/>
      </c>
      <c r="H43" s="192" t="s">
        <v>221</v>
      </c>
      <c r="I43" s="192">
        <v>2021</v>
      </c>
      <c r="J43" s="209">
        <v>0</v>
      </c>
      <c r="K43" s="253">
        <f>IF(C43='Global inputs'!$B$127,INDEX('Global inputs'!$L$127:$S$127,MATCH('Forecast opex'!I43,'Global inputs'!$L$126:$S$126,0)),1)</f>
        <v>1</v>
      </c>
      <c r="L43" s="254">
        <f t="shared" si="1"/>
        <v>0</v>
      </c>
      <c r="M43" s="255">
        <f>IF(AND('Global inputs'!$D$128="Yes",C43='Global inputs'!$B$127),'Forecast opex'!L43*'Global inputs'!$L$127,'Forecast opex'!J43)</f>
        <v>0</v>
      </c>
      <c r="N43" s="256">
        <f>IF(ISNA(MATCH(G43,'Operating leases'!$B$15:$B$26,0)),0,INDEX('Operating leases'!$M$15:$S$26,MATCH(G43,'Operating leases'!$B$15:$B$26,0),MATCH(I43,'Operating leases'!$M$11:$S$11,0)))</f>
        <v>0</v>
      </c>
      <c r="O43" s="257">
        <f t="shared" si="2"/>
        <v>0</v>
      </c>
      <c r="P43" s="258">
        <f>INDEX('Escalators '!$M$144:$S$149,MATCH(H43,'Escalators '!$D$144:$D$149,0),MATCH(I43,'Escalators '!$M$133:$S$133,0))</f>
        <v>1.0148371916640342</v>
      </c>
      <c r="Q43" s="257">
        <f t="shared" si="3"/>
        <v>0</v>
      </c>
      <c r="R43" s="257">
        <f t="shared" si="4"/>
        <v>0</v>
      </c>
    </row>
    <row r="44" spans="2:18" x14ac:dyDescent="0.2">
      <c r="B44" s="192" t="s">
        <v>258</v>
      </c>
      <c r="C44" s="192" t="s">
        <v>246</v>
      </c>
      <c r="D44" s="192" t="s">
        <v>423</v>
      </c>
      <c r="E44" s="251" t="str">
        <f>IF(AND(B44=$B$14,C44=$C$14,D44=$D$14,H44=$H$14),'Operating leases'!$B$16,"")</f>
        <v/>
      </c>
      <c r="F44" s="252" t="str">
        <f>IF(AND(B44=$B$16,C44=$C$16,D44=$D$16,H44=$H$16),'Operating leases'!$B$15,"")</f>
        <v/>
      </c>
      <c r="G44" s="252" t="str">
        <f t="shared" si="0"/>
        <v/>
      </c>
      <c r="H44" s="192" t="s">
        <v>229</v>
      </c>
      <c r="I44" s="192">
        <v>2021</v>
      </c>
      <c r="J44" s="209">
        <v>0</v>
      </c>
      <c r="K44" s="253">
        <f>IF(C44='Global inputs'!$B$127,INDEX('Global inputs'!$L$127:$S$127,MATCH('Forecast opex'!I44,'Global inputs'!$L$126:$S$126,0)),1)</f>
        <v>1</v>
      </c>
      <c r="L44" s="254">
        <f t="shared" si="1"/>
        <v>0</v>
      </c>
      <c r="M44" s="255">
        <f>IF(AND('Global inputs'!$D$128="Yes",C44='Global inputs'!$B$127),'Forecast opex'!L44*'Global inputs'!$L$127,'Forecast opex'!J44)</f>
        <v>0</v>
      </c>
      <c r="N44" s="256">
        <f>IF(ISNA(MATCH(G44,'Operating leases'!$B$15:$B$26,0)),0,INDEX('Operating leases'!$M$15:$S$26,MATCH(G44,'Operating leases'!$B$15:$B$26,0),MATCH(I44,'Operating leases'!$M$11:$S$11,0)))</f>
        <v>0</v>
      </c>
      <c r="O44" s="257">
        <f t="shared" si="2"/>
        <v>0</v>
      </c>
      <c r="P44" s="258">
        <f>INDEX('Escalators '!$M$144:$S$149,MATCH(H44,'Escalators '!$D$144:$D$149,0),MATCH(I44,'Escalators '!$M$133:$S$133,0))</f>
        <v>1.0109584373880847</v>
      </c>
      <c r="Q44" s="257">
        <f t="shared" si="3"/>
        <v>0</v>
      </c>
      <c r="R44" s="257">
        <f t="shared" si="4"/>
        <v>0</v>
      </c>
    </row>
    <row r="45" spans="2:18" x14ac:dyDescent="0.2">
      <c r="B45" s="192" t="s">
        <v>253</v>
      </c>
      <c r="C45" s="192" t="s">
        <v>243</v>
      </c>
      <c r="D45" s="192" t="s">
        <v>415</v>
      </c>
      <c r="E45" s="251" t="str">
        <f>IF(AND(B45=$B$14,C45=$C$14,D45=$D$14,H45=$H$14),'Operating leases'!$B$16,"")</f>
        <v/>
      </c>
      <c r="F45" s="252" t="str">
        <f>IF(AND(B45=$B$16,C45=$C$16,D45=$D$16,H45=$H$16),'Operating leases'!$B$15,"")</f>
        <v/>
      </c>
      <c r="G45" s="252" t="str">
        <f t="shared" si="0"/>
        <v/>
      </c>
      <c r="H45" s="192" t="s">
        <v>221</v>
      </c>
      <c r="I45" s="192">
        <v>2021</v>
      </c>
      <c r="J45" s="209">
        <v>2814000</v>
      </c>
      <c r="K45" s="253">
        <f>IF(C45='Global inputs'!$B$127,INDEX('Global inputs'!$L$127:$S$127,MATCH('Forecast opex'!I45,'Global inputs'!$L$126:$S$126,0)),1)</f>
        <v>1</v>
      </c>
      <c r="L45" s="254">
        <f t="shared" si="1"/>
        <v>2814000</v>
      </c>
      <c r="M45" s="255">
        <f>IF(AND('Global inputs'!$D$128="Yes",C45='Global inputs'!$B$127),'Forecast opex'!L45*'Global inputs'!$L$127,'Forecast opex'!J45)</f>
        <v>2814000</v>
      </c>
      <c r="N45" s="256">
        <f>IF(ISNA(MATCH(G45,'Operating leases'!$B$15:$B$26,0)),0,INDEX('Operating leases'!$M$15:$S$26,MATCH(G45,'Operating leases'!$B$15:$B$26,0),MATCH(I45,'Operating leases'!$M$11:$S$11,0)))</f>
        <v>0</v>
      </c>
      <c r="O45" s="257">
        <f t="shared" si="2"/>
        <v>2814000</v>
      </c>
      <c r="P45" s="258">
        <f>INDEX('Escalators '!$M$144:$S$149,MATCH(H45,'Escalators '!$D$144:$D$149,0),MATCH(I45,'Escalators '!$M$133:$S$133,0))</f>
        <v>1.0148371916640342</v>
      </c>
      <c r="Q45" s="257">
        <f t="shared" si="3"/>
        <v>0</v>
      </c>
      <c r="R45" s="257">
        <f t="shared" si="4"/>
        <v>2855751.857342592</v>
      </c>
    </row>
    <row r="46" spans="2:18" x14ac:dyDescent="0.2">
      <c r="B46" s="192" t="s">
        <v>253</v>
      </c>
      <c r="C46" s="192" t="s">
        <v>243</v>
      </c>
      <c r="D46" s="192" t="s">
        <v>415</v>
      </c>
      <c r="E46" s="251" t="str">
        <f>IF(AND(B46=$B$14,C46=$C$14,D46=$D$14,H46=$H$14),'Operating leases'!$B$16,"")</f>
        <v/>
      </c>
      <c r="F46" s="252" t="str">
        <f>IF(AND(B46=$B$16,C46=$C$16,D46=$D$16,H46=$H$16),'Operating leases'!$B$15,"")</f>
        <v/>
      </c>
      <c r="G46" s="252" t="str">
        <f t="shared" si="0"/>
        <v/>
      </c>
      <c r="H46" s="192" t="s">
        <v>229</v>
      </c>
      <c r="I46" s="192">
        <v>2021</v>
      </c>
      <c r="J46" s="209">
        <v>1206000</v>
      </c>
      <c r="K46" s="253">
        <f>IF(C46='Global inputs'!$B$127,INDEX('Global inputs'!$L$127:$S$127,MATCH('Forecast opex'!I46,'Global inputs'!$L$126:$S$126,0)),1)</f>
        <v>1</v>
      </c>
      <c r="L46" s="254">
        <f t="shared" si="1"/>
        <v>1206000</v>
      </c>
      <c r="M46" s="255">
        <f>IF(AND('Global inputs'!$D$128="Yes",C46='Global inputs'!$B$127),'Forecast opex'!L46*'Global inputs'!$L$127,'Forecast opex'!J46)</f>
        <v>1206000</v>
      </c>
      <c r="N46" s="256">
        <f>IF(ISNA(MATCH(G46,'Operating leases'!$B$15:$B$26,0)),0,INDEX('Operating leases'!$M$15:$S$26,MATCH(G46,'Operating leases'!$B$15:$B$26,0),MATCH(I46,'Operating leases'!$M$11:$S$11,0)))</f>
        <v>0</v>
      </c>
      <c r="O46" s="257">
        <f t="shared" si="2"/>
        <v>1206000</v>
      </c>
      <c r="P46" s="258">
        <f>INDEX('Escalators '!$M$144:$S$149,MATCH(H46,'Escalators '!$D$144:$D$149,0),MATCH(I46,'Escalators '!$M$133:$S$133,0))</f>
        <v>1.0109584373880847</v>
      </c>
      <c r="Q46" s="257">
        <f t="shared" si="3"/>
        <v>0</v>
      </c>
      <c r="R46" s="257">
        <f t="shared" si="4"/>
        <v>1219215.87549003</v>
      </c>
    </row>
    <row r="47" spans="2:18" x14ac:dyDescent="0.2">
      <c r="B47" s="192" t="s">
        <v>258</v>
      </c>
      <c r="C47" s="192" t="s">
        <v>68</v>
      </c>
      <c r="D47" s="192" t="s">
        <v>418</v>
      </c>
      <c r="E47" s="251" t="str">
        <f>IF(AND(B47=$B$14,C47=$C$14,D47=$D$14,H47=$H$14),'Operating leases'!$B$16,"")</f>
        <v/>
      </c>
      <c r="F47" s="252" t="str">
        <f>IF(AND(B47=$B$16,C47=$C$16,D47=$D$16,H47=$H$16),'Operating leases'!$B$15,"")</f>
        <v/>
      </c>
      <c r="G47" s="252" t="str">
        <f t="shared" si="0"/>
        <v/>
      </c>
      <c r="H47" s="192" t="s">
        <v>221</v>
      </c>
      <c r="I47" s="192">
        <v>2022</v>
      </c>
      <c r="J47" s="209">
        <v>4763620.5243387204</v>
      </c>
      <c r="K47" s="253">
        <f>IF(C47='Global inputs'!$B$127,INDEX('Global inputs'!$L$127:$S$127,MATCH('Forecast opex'!I47,'Global inputs'!$L$126:$S$126,0)),1)</f>
        <v>0.99643344348088236</v>
      </c>
      <c r="L47" s="254">
        <f t="shared" si="1"/>
        <v>4780671.0578659093</v>
      </c>
      <c r="M47" s="255">
        <f>IF(AND('Global inputs'!$D$128="Yes",C47='Global inputs'!$B$127),'Forecast opex'!L47*'Global inputs'!$L$127,'Forecast opex'!J47)</f>
        <v>4763620.5243387204</v>
      </c>
      <c r="N47" s="256">
        <f>IF(ISNA(MATCH(G47,'Operating leases'!$B$15:$B$26,0)),0,INDEX('Operating leases'!$M$15:$S$26,MATCH(G47,'Operating leases'!$B$15:$B$26,0),MATCH(I47,'Operating leases'!$M$11:$S$11,0)))</f>
        <v>0</v>
      </c>
      <c r="O47" s="257">
        <f t="shared" si="2"/>
        <v>4763620.5243387204</v>
      </c>
      <c r="P47" s="258">
        <f>INDEX('Escalators '!$M$144:$S$149,MATCH(H47,'Escalators '!$D$144:$D$149,0),MATCH(I47,'Escalators '!$M$133:$S$133,0))</f>
        <v>1.0298635502016533</v>
      </c>
      <c r="Q47" s="257">
        <f t="shared" si="3"/>
        <v>0</v>
      </c>
      <c r="R47" s="257">
        <f t="shared" si="4"/>
        <v>4905879.1450089356</v>
      </c>
    </row>
    <row r="48" spans="2:18" x14ac:dyDescent="0.2">
      <c r="B48" s="192" t="s">
        <v>258</v>
      </c>
      <c r="C48" s="192" t="s">
        <v>68</v>
      </c>
      <c r="D48" s="192" t="s">
        <v>420</v>
      </c>
      <c r="E48" s="251" t="str">
        <f>IF(AND(B48=$B$14,C48=$C$14,D48=$D$14,H48=$H$14),'Operating leases'!$B$16,"")</f>
        <v/>
      </c>
      <c r="F48" s="252" t="str">
        <f>IF(AND(B48=$B$16,C48=$C$16,D48=$D$16,H48=$H$16),'Operating leases'!$B$15,"")</f>
        <v/>
      </c>
      <c r="G48" s="252" t="str">
        <f t="shared" si="0"/>
        <v/>
      </c>
      <c r="H48" s="192" t="s">
        <v>221</v>
      </c>
      <c r="I48" s="192">
        <v>2022</v>
      </c>
      <c r="J48" s="209">
        <v>0</v>
      </c>
      <c r="K48" s="253">
        <f>IF(C48='Global inputs'!$B$127,INDEX('Global inputs'!$L$127:$S$127,MATCH('Forecast opex'!I48,'Global inputs'!$L$126:$S$126,0)),1)</f>
        <v>0.99643344348088236</v>
      </c>
      <c r="L48" s="254">
        <f t="shared" si="1"/>
        <v>0</v>
      </c>
      <c r="M48" s="255">
        <f>IF(AND('Global inputs'!$D$128="Yes",C48='Global inputs'!$B$127),'Forecast opex'!L48*'Global inputs'!$L$127,'Forecast opex'!J48)</f>
        <v>0</v>
      </c>
      <c r="N48" s="256">
        <f>IF(ISNA(MATCH(G48,'Operating leases'!$B$15:$B$26,0)),0,INDEX('Operating leases'!$M$15:$S$26,MATCH(G48,'Operating leases'!$B$15:$B$26,0),MATCH(I48,'Operating leases'!$M$11:$S$11,0)))</f>
        <v>0</v>
      </c>
      <c r="O48" s="257">
        <f t="shared" si="2"/>
        <v>0</v>
      </c>
      <c r="P48" s="258">
        <f>INDEX('Escalators '!$M$144:$S$149,MATCH(H48,'Escalators '!$D$144:$D$149,0),MATCH(I48,'Escalators '!$M$133:$S$133,0))</f>
        <v>1.0298635502016533</v>
      </c>
      <c r="Q48" s="257">
        <f t="shared" si="3"/>
        <v>0</v>
      </c>
      <c r="R48" s="257">
        <f t="shared" si="4"/>
        <v>0</v>
      </c>
    </row>
    <row r="49" spans="2:18" x14ac:dyDescent="0.2">
      <c r="B49" s="192" t="s">
        <v>258</v>
      </c>
      <c r="C49" s="192" t="s">
        <v>68</v>
      </c>
      <c r="D49" s="192" t="s">
        <v>421</v>
      </c>
      <c r="E49" s="251" t="str">
        <f>IF(AND(B49=$B$14,C49=$C$14,D49=$D$14,H49=$H$14),'Operating leases'!$B$16,"")</f>
        <v/>
      </c>
      <c r="F49" s="252" t="str">
        <f>IF(AND(B49=$B$16,C49=$C$16,D49=$D$16,H49=$H$16),'Operating leases'!$B$15,"")</f>
        <v/>
      </c>
      <c r="G49" s="252" t="str">
        <f t="shared" si="0"/>
        <v/>
      </c>
      <c r="H49" s="192" t="s">
        <v>221</v>
      </c>
      <c r="I49" s="192">
        <v>2022</v>
      </c>
      <c r="J49" s="209">
        <v>0</v>
      </c>
      <c r="K49" s="253">
        <f>IF(C49='Global inputs'!$B$127,INDEX('Global inputs'!$L$127:$S$127,MATCH('Forecast opex'!I49,'Global inputs'!$L$126:$S$126,0)),1)</f>
        <v>0.99643344348088236</v>
      </c>
      <c r="L49" s="254">
        <f t="shared" si="1"/>
        <v>0</v>
      </c>
      <c r="M49" s="255">
        <f>IF(AND('Global inputs'!$D$128="Yes",C49='Global inputs'!$B$127),'Forecast opex'!L49*'Global inputs'!$L$127,'Forecast opex'!J49)</f>
        <v>0</v>
      </c>
      <c r="N49" s="256">
        <f>IF(ISNA(MATCH(G49,'Operating leases'!$B$15:$B$26,0)),0,INDEX('Operating leases'!$M$15:$S$26,MATCH(G49,'Operating leases'!$B$15:$B$26,0),MATCH(I49,'Operating leases'!$M$11:$S$11,0)))</f>
        <v>0</v>
      </c>
      <c r="O49" s="257">
        <f t="shared" si="2"/>
        <v>0</v>
      </c>
      <c r="P49" s="258">
        <f>INDEX('Escalators '!$M$144:$S$149,MATCH(H49,'Escalators '!$D$144:$D$149,0),MATCH(I49,'Escalators '!$M$133:$S$133,0))</f>
        <v>1.0298635502016533</v>
      </c>
      <c r="Q49" s="257">
        <f t="shared" si="3"/>
        <v>0</v>
      </c>
      <c r="R49" s="257">
        <f t="shared" si="4"/>
        <v>0</v>
      </c>
    </row>
    <row r="50" spans="2:18" x14ac:dyDescent="0.2">
      <c r="B50" s="192" t="s">
        <v>258</v>
      </c>
      <c r="C50" s="192" t="s">
        <v>68</v>
      </c>
      <c r="D50" s="192" t="s">
        <v>418</v>
      </c>
      <c r="E50" s="251" t="str">
        <f>IF(AND(B50=$B$14,C50=$C$14,D50=$D$14,H50=$H$14),'Operating leases'!$B$16,"")</f>
        <v/>
      </c>
      <c r="F50" s="252" t="str">
        <f>IF(AND(B50=$B$16,C50=$C$16,D50=$D$16,H50=$H$16),'Operating leases'!$B$15,"")</f>
        <v/>
      </c>
      <c r="G50" s="252" t="str">
        <f t="shared" si="0"/>
        <v/>
      </c>
      <c r="H50" s="192" t="s">
        <v>229</v>
      </c>
      <c r="I50" s="192">
        <v>2022</v>
      </c>
      <c r="J50" s="209">
        <v>529291.16937096906</v>
      </c>
      <c r="K50" s="253">
        <f>IF(C50='Global inputs'!$B$127,INDEX('Global inputs'!$L$127:$S$127,MATCH('Forecast opex'!I50,'Global inputs'!$L$126:$S$126,0)),1)</f>
        <v>0.99643344348088236</v>
      </c>
      <c r="L50" s="254">
        <f t="shared" si="1"/>
        <v>531185.67309621221</v>
      </c>
      <c r="M50" s="255">
        <f>IF(AND('Global inputs'!$D$128="Yes",C50='Global inputs'!$B$127),'Forecast opex'!L50*'Global inputs'!$L$127,'Forecast opex'!J50)</f>
        <v>529291.16937096906</v>
      </c>
      <c r="N50" s="256">
        <f>IF(ISNA(MATCH(G50,'Operating leases'!$B$15:$B$26,0)),0,INDEX('Operating leases'!$M$15:$S$26,MATCH(G50,'Operating leases'!$B$15:$B$26,0),MATCH(I50,'Operating leases'!$M$11:$S$11,0)))</f>
        <v>0</v>
      </c>
      <c r="O50" s="257">
        <f t="shared" si="2"/>
        <v>529291.16937096906</v>
      </c>
      <c r="P50" s="258">
        <f>INDEX('Escalators '!$M$144:$S$149,MATCH(H50,'Escalators '!$D$144:$D$149,0),MATCH(I50,'Escalators '!$M$133:$S$133,0))</f>
        <v>1.0232052721525164</v>
      </c>
      <c r="Q50" s="257">
        <f t="shared" si="3"/>
        <v>0</v>
      </c>
      <c r="R50" s="257">
        <f t="shared" si="4"/>
        <v>541573.51500414603</v>
      </c>
    </row>
    <row r="51" spans="2:18" x14ac:dyDescent="0.2">
      <c r="B51" s="192" t="s">
        <v>258</v>
      </c>
      <c r="C51" s="192" t="s">
        <v>68</v>
      </c>
      <c r="D51" s="192" t="s">
        <v>420</v>
      </c>
      <c r="E51" s="251" t="str">
        <f>IF(AND(B51=$B$14,C51=$C$14,D51=$D$14,H51=$H$14),'Operating leases'!$B$16,"")</f>
        <v>Premises Plant &amp; Insurance</v>
      </c>
      <c r="F51" s="252" t="str">
        <f>IF(AND(B51=$B$16,C51=$C$16,D51=$D$16,H51=$H$16),'Operating leases'!$B$15,"")</f>
        <v/>
      </c>
      <c r="G51" s="252" t="str">
        <f t="shared" si="0"/>
        <v>Premises Plant &amp; Insurance</v>
      </c>
      <c r="H51" s="192" t="s">
        <v>229</v>
      </c>
      <c r="I51" s="192">
        <v>2022</v>
      </c>
      <c r="J51" s="209">
        <v>1023921.6936551109</v>
      </c>
      <c r="K51" s="253">
        <f>IF(C51='Global inputs'!$B$127,INDEX('Global inputs'!$L$127:$S$127,MATCH('Forecast opex'!I51,'Global inputs'!$L$126:$S$126,0)),1)</f>
        <v>0.99643344348088236</v>
      </c>
      <c r="L51" s="254">
        <f t="shared" si="1"/>
        <v>1027586.6394831176</v>
      </c>
      <c r="M51" s="255">
        <f>IF(AND('Global inputs'!$D$128="Yes",C51='Global inputs'!$B$127),'Forecast opex'!L51*'Global inputs'!$L$127,'Forecast opex'!J51)</f>
        <v>1023921.6936551109</v>
      </c>
      <c r="N51" s="256">
        <f>IF(ISNA(MATCH(G51,'Operating leases'!$B$15:$B$26,0)),0,INDEX('Operating leases'!$M$15:$S$26,MATCH(G51,'Operating leases'!$B$15:$B$26,0),MATCH(I51,'Operating leases'!$M$11:$S$11,0)))</f>
        <v>741032.90113689855</v>
      </c>
      <c r="O51" s="257">
        <f t="shared" si="2"/>
        <v>282888.79251821234</v>
      </c>
      <c r="P51" s="258">
        <f>INDEX('Escalators '!$M$144:$S$149,MATCH(H51,'Escalators '!$D$144:$D$149,0),MATCH(I51,'Escalators '!$M$133:$S$133,0))</f>
        <v>1.0232052721525164</v>
      </c>
      <c r="Q51" s="257">
        <f t="shared" si="3"/>
        <v>758228.77128174913</v>
      </c>
      <c r="R51" s="257">
        <f t="shared" si="4"/>
        <v>289453.30393749423</v>
      </c>
    </row>
    <row r="52" spans="2:18" x14ac:dyDescent="0.2">
      <c r="B52" s="192" t="s">
        <v>258</v>
      </c>
      <c r="C52" s="192" t="s">
        <v>68</v>
      </c>
      <c r="D52" s="192" t="s">
        <v>421</v>
      </c>
      <c r="E52" s="251" t="str">
        <f>IF(AND(B52=$B$14,C52=$C$14,D52=$D$14,H52=$H$14),'Operating leases'!$B$16,"")</f>
        <v/>
      </c>
      <c r="F52" s="252" t="str">
        <f>IF(AND(B52=$B$16,C52=$C$16,D52=$D$16,H52=$H$16),'Operating leases'!$B$15,"")</f>
        <v/>
      </c>
      <c r="G52" s="252" t="str">
        <f t="shared" si="0"/>
        <v/>
      </c>
      <c r="H52" s="192" t="s">
        <v>229</v>
      </c>
      <c r="I52" s="192">
        <v>2022</v>
      </c>
      <c r="J52" s="209">
        <v>2824147.7979987813</v>
      </c>
      <c r="K52" s="253">
        <f>IF(C52='Global inputs'!$B$127,INDEX('Global inputs'!$L$127:$S$127,MATCH('Forecast opex'!I52,'Global inputs'!$L$126:$S$126,0)),1)</f>
        <v>0.99643344348088236</v>
      </c>
      <c r="L52" s="254">
        <f t="shared" si="1"/>
        <v>2834256.3334015249</v>
      </c>
      <c r="M52" s="255">
        <f>IF(AND('Global inputs'!$D$128="Yes",C52='Global inputs'!$B$127),'Forecast opex'!L52*'Global inputs'!$L$127,'Forecast opex'!J52)</f>
        <v>2824147.7979987813</v>
      </c>
      <c r="N52" s="256">
        <f>IF(ISNA(MATCH(G52,'Operating leases'!$B$15:$B$26,0)),0,INDEX('Operating leases'!$M$15:$S$26,MATCH(G52,'Operating leases'!$B$15:$B$26,0),MATCH(I52,'Operating leases'!$M$11:$S$11,0)))</f>
        <v>0</v>
      </c>
      <c r="O52" s="257">
        <f t="shared" si="2"/>
        <v>2824147.7979987813</v>
      </c>
      <c r="P52" s="258">
        <f>INDEX('Escalators '!$M$144:$S$149,MATCH(H52,'Escalators '!$D$144:$D$149,0),MATCH(I52,'Escalators '!$M$133:$S$133,0))</f>
        <v>1.0232052721525164</v>
      </c>
      <c r="Q52" s="257">
        <f t="shared" si="3"/>
        <v>0</v>
      </c>
      <c r="R52" s="257">
        <f t="shared" si="4"/>
        <v>2889682.9162502731</v>
      </c>
    </row>
    <row r="53" spans="2:18" x14ac:dyDescent="0.2">
      <c r="B53" s="192" t="s">
        <v>258</v>
      </c>
      <c r="C53" s="192" t="s">
        <v>246</v>
      </c>
      <c r="D53" s="192" t="s">
        <v>422</v>
      </c>
      <c r="E53" s="251" t="str">
        <f>IF(AND(B53=$B$14,C53=$C$14,D53=$D$14,H53=$H$14),'Operating leases'!$B$16,"")</f>
        <v/>
      </c>
      <c r="F53" s="252" t="str">
        <f>IF(AND(B53=$B$16,C53=$C$16,D53=$D$16,H53=$H$16),'Operating leases'!$B$15,"")</f>
        <v/>
      </c>
      <c r="G53" s="252" t="str">
        <f t="shared" si="0"/>
        <v/>
      </c>
      <c r="H53" s="192" t="s">
        <v>221</v>
      </c>
      <c r="I53" s="192">
        <v>2022</v>
      </c>
      <c r="J53" s="209">
        <v>10314745.919560593</v>
      </c>
      <c r="K53" s="253">
        <f>IF(C53='Global inputs'!$B$127,INDEX('Global inputs'!$L$127:$S$127,MATCH('Forecast opex'!I53,'Global inputs'!$L$126:$S$126,0)),1)</f>
        <v>1</v>
      </c>
      <c r="L53" s="254">
        <f t="shared" si="1"/>
        <v>10314745.919560593</v>
      </c>
      <c r="M53" s="255">
        <f>IF(AND('Global inputs'!$D$128="Yes",C53='Global inputs'!$B$127),'Forecast opex'!L53*'Global inputs'!$L$127,'Forecast opex'!J53)</f>
        <v>10314745.919560593</v>
      </c>
      <c r="N53" s="256">
        <f>IF(ISNA(MATCH(G53,'Operating leases'!$B$15:$B$26,0)),0,INDEX('Operating leases'!$M$15:$S$26,MATCH(G53,'Operating leases'!$B$15:$B$26,0),MATCH(I53,'Operating leases'!$M$11:$S$11,0)))</f>
        <v>0</v>
      </c>
      <c r="O53" s="257">
        <f t="shared" si="2"/>
        <v>10314745.919560593</v>
      </c>
      <c r="P53" s="258">
        <f>INDEX('Escalators '!$M$144:$S$149,MATCH(H53,'Escalators '!$D$144:$D$149,0),MATCH(I53,'Escalators '!$M$133:$S$133,0))</f>
        <v>1.0298635502016533</v>
      </c>
      <c r="Q53" s="257">
        <f t="shared" si="3"/>
        <v>0</v>
      </c>
      <c r="R53" s="257">
        <f t="shared" si="4"/>
        <v>10622780.852146689</v>
      </c>
    </row>
    <row r="54" spans="2:18" x14ac:dyDescent="0.2">
      <c r="B54" s="192" t="s">
        <v>258</v>
      </c>
      <c r="C54" s="192" t="s">
        <v>246</v>
      </c>
      <c r="D54" s="192" t="s">
        <v>422</v>
      </c>
      <c r="E54" s="251" t="str">
        <f>IF(AND(B54=$B$14,C54=$C$14,D54=$D$14,H54=$H$14),'Operating leases'!$B$16,"")</f>
        <v/>
      </c>
      <c r="F54" s="252" t="str">
        <f>IF(AND(B54=$B$16,C54=$C$16,D54=$D$16,H54=$H$16),'Operating leases'!$B$15,"")</f>
        <v>SONS</v>
      </c>
      <c r="G54" s="252" t="str">
        <f t="shared" si="0"/>
        <v>SONS</v>
      </c>
      <c r="H54" s="192" t="s">
        <v>229</v>
      </c>
      <c r="I54" s="192">
        <v>2022</v>
      </c>
      <c r="J54" s="209">
        <v>1146082.8799511769</v>
      </c>
      <c r="K54" s="253">
        <f>IF(C54='Global inputs'!$B$127,INDEX('Global inputs'!$L$127:$S$127,MATCH('Forecast opex'!I54,'Global inputs'!$L$126:$S$126,0)),1)</f>
        <v>1</v>
      </c>
      <c r="L54" s="254">
        <f t="shared" si="1"/>
        <v>1146082.8799511769</v>
      </c>
      <c r="M54" s="255">
        <f>IF(AND('Global inputs'!$D$128="Yes",C54='Global inputs'!$B$127),'Forecast opex'!L54*'Global inputs'!$L$127,'Forecast opex'!J54)</f>
        <v>1146082.8799511769</v>
      </c>
      <c r="N54" s="256">
        <f>IF(ISNA(MATCH(G54,'Operating leases'!$B$15:$B$26,0)),0,INDEX('Operating leases'!$M$15:$S$26,MATCH(G54,'Operating leases'!$B$15:$B$26,0),MATCH(I54,'Operating leases'!$M$11:$S$11,0)))</f>
        <v>622943.64098053228</v>
      </c>
      <c r="O54" s="257">
        <f t="shared" si="2"/>
        <v>523139.23897064466</v>
      </c>
      <c r="P54" s="258">
        <f>INDEX('Escalators '!$M$144:$S$149,MATCH(H54,'Escalators '!$D$144:$D$149,0),MATCH(I54,'Escalators '!$M$133:$S$133,0))</f>
        <v>1.0232052721525164</v>
      </c>
      <c r="Q54" s="257">
        <f t="shared" si="3"/>
        <v>637399.21770516504</v>
      </c>
      <c r="R54" s="257">
        <f t="shared" si="4"/>
        <v>535278.82738461881</v>
      </c>
    </row>
    <row r="55" spans="2:18" x14ac:dyDescent="0.2">
      <c r="B55" s="192" t="s">
        <v>253</v>
      </c>
      <c r="C55" s="192" t="s">
        <v>244</v>
      </c>
      <c r="D55" s="192" t="s">
        <v>416</v>
      </c>
      <c r="E55" s="251" t="str">
        <f>IF(AND(B55=$B$14,C55=$C$14,D55=$D$14,H55=$H$14),'Operating leases'!$B$16,"")</f>
        <v/>
      </c>
      <c r="F55" s="252" t="str">
        <f>IF(AND(B55=$B$16,C55=$C$16,D55=$D$16,H55=$H$16),'Operating leases'!$B$15,"")</f>
        <v/>
      </c>
      <c r="G55" s="252" t="str">
        <f t="shared" si="0"/>
        <v/>
      </c>
      <c r="H55" s="192" t="s">
        <v>221</v>
      </c>
      <c r="I55" s="192">
        <v>2022</v>
      </c>
      <c r="J55" s="209">
        <v>3899865.3167122775</v>
      </c>
      <c r="K55" s="253">
        <f>IF(C55='Global inputs'!$B$127,INDEX('Global inputs'!$L$127:$S$127,MATCH('Forecast opex'!I55,'Global inputs'!$L$126:$S$126,0)),1)</f>
        <v>1</v>
      </c>
      <c r="L55" s="254">
        <f t="shared" si="1"/>
        <v>3899865.3167122775</v>
      </c>
      <c r="M55" s="255">
        <f>IF(AND('Global inputs'!$D$128="Yes",C55='Global inputs'!$B$127),'Forecast opex'!L55*'Global inputs'!$L$127,'Forecast opex'!J55)</f>
        <v>3899865.3167122775</v>
      </c>
      <c r="N55" s="256">
        <f>IF(ISNA(MATCH(G55,'Operating leases'!$B$15:$B$26,0)),0,INDEX('Operating leases'!$M$15:$S$26,MATCH(G55,'Operating leases'!$B$15:$B$26,0),MATCH(I55,'Operating leases'!$M$11:$S$11,0)))</f>
        <v>0</v>
      </c>
      <c r="O55" s="257">
        <f t="shared" si="2"/>
        <v>3899865.3167122775</v>
      </c>
      <c r="P55" s="258">
        <f>INDEX('Escalators '!$M$144:$S$149,MATCH(H55,'Escalators '!$D$144:$D$149,0),MATCH(I55,'Escalators '!$M$133:$S$133,0))</f>
        <v>1.0298635502016533</v>
      </c>
      <c r="Q55" s="257">
        <f t="shared" si="3"/>
        <v>0</v>
      </c>
      <c r="R55" s="257">
        <f t="shared" si="4"/>
        <v>4016329.1403776011</v>
      </c>
    </row>
    <row r="56" spans="2:18" x14ac:dyDescent="0.2">
      <c r="B56" s="192" t="s">
        <v>253</v>
      </c>
      <c r="C56" s="192" t="s">
        <v>244</v>
      </c>
      <c r="D56" s="192" t="s">
        <v>416</v>
      </c>
      <c r="E56" s="251" t="str">
        <f>IF(AND(B56=$B$14,C56=$C$14,D56=$D$14,H56=$H$14),'Operating leases'!$B$16,"")</f>
        <v/>
      </c>
      <c r="F56" s="252" t="str">
        <f>IF(AND(B56=$B$16,C56=$C$16,D56=$D$16,H56=$H$16),'Operating leases'!$B$15,"")</f>
        <v/>
      </c>
      <c r="G56" s="252" t="str">
        <f t="shared" si="0"/>
        <v/>
      </c>
      <c r="H56" s="192" t="s">
        <v>229</v>
      </c>
      <c r="I56" s="192">
        <v>2022</v>
      </c>
      <c r="J56" s="209">
        <v>2599910.2111415188</v>
      </c>
      <c r="K56" s="253">
        <f>IF(C56='Global inputs'!$B$127,INDEX('Global inputs'!$L$127:$S$127,MATCH('Forecast opex'!I56,'Global inputs'!$L$126:$S$126,0)),1)</f>
        <v>1</v>
      </c>
      <c r="L56" s="254">
        <f t="shared" si="1"/>
        <v>2599910.2111415188</v>
      </c>
      <c r="M56" s="255">
        <f>IF(AND('Global inputs'!$D$128="Yes",C56='Global inputs'!$B$127),'Forecast opex'!L56*'Global inputs'!$L$127,'Forecast opex'!J56)</f>
        <v>2599910.2111415188</v>
      </c>
      <c r="N56" s="256">
        <f>IF(ISNA(MATCH(G56,'Operating leases'!$B$15:$B$26,0)),0,INDEX('Operating leases'!$M$15:$S$26,MATCH(G56,'Operating leases'!$B$15:$B$26,0),MATCH(I56,'Operating leases'!$M$11:$S$11,0)))</f>
        <v>0</v>
      </c>
      <c r="O56" s="257">
        <f t="shared" si="2"/>
        <v>2599910.2111415188</v>
      </c>
      <c r="P56" s="258">
        <f>INDEX('Escalators '!$M$144:$S$149,MATCH(H56,'Escalators '!$D$144:$D$149,0),MATCH(I56,'Escalators '!$M$133:$S$133,0))</f>
        <v>1.0232052721525164</v>
      </c>
      <c r="Q56" s="257">
        <f t="shared" si="3"/>
        <v>0</v>
      </c>
      <c r="R56" s="257">
        <f t="shared" si="4"/>
        <v>2660241.8351631644</v>
      </c>
    </row>
    <row r="57" spans="2:18" x14ac:dyDescent="0.2">
      <c r="B57" s="192" t="s">
        <v>253</v>
      </c>
      <c r="C57" s="192" t="s">
        <v>244</v>
      </c>
      <c r="D57" s="192" t="s">
        <v>417</v>
      </c>
      <c r="E57" s="251" t="str">
        <f>IF(AND(B57=$B$14,C57=$C$14,D57=$D$14,H57=$H$14),'Operating leases'!$B$16,"")</f>
        <v/>
      </c>
      <c r="F57" s="252" t="str">
        <f>IF(AND(B57=$B$16,C57=$C$16,D57=$D$16,H57=$H$16),'Operating leases'!$B$15,"")</f>
        <v/>
      </c>
      <c r="G57" s="252" t="str">
        <f t="shared" si="0"/>
        <v/>
      </c>
      <c r="H57" s="192" t="s">
        <v>221</v>
      </c>
      <c r="I57" s="192">
        <v>2022</v>
      </c>
      <c r="J57" s="209">
        <v>2199030.3121351716</v>
      </c>
      <c r="K57" s="253">
        <f>IF(C57='Global inputs'!$B$127,INDEX('Global inputs'!$L$127:$S$127,MATCH('Forecast opex'!I57,'Global inputs'!$L$126:$S$126,0)),1)</f>
        <v>1</v>
      </c>
      <c r="L57" s="254">
        <f t="shared" si="1"/>
        <v>2199030.3121351716</v>
      </c>
      <c r="M57" s="255">
        <f>IF(AND('Global inputs'!$D$128="Yes",C57='Global inputs'!$B$127),'Forecast opex'!L57*'Global inputs'!$L$127,'Forecast opex'!J57)</f>
        <v>2199030.3121351716</v>
      </c>
      <c r="N57" s="256">
        <f>IF(ISNA(MATCH(G57,'Operating leases'!$B$15:$B$26,0)),0,INDEX('Operating leases'!$M$15:$S$26,MATCH(G57,'Operating leases'!$B$15:$B$26,0),MATCH(I57,'Operating leases'!$M$11:$S$11,0)))</f>
        <v>0</v>
      </c>
      <c r="O57" s="257">
        <f t="shared" si="2"/>
        <v>2199030.3121351716</v>
      </c>
      <c r="P57" s="258">
        <f>INDEX('Escalators '!$M$144:$S$149,MATCH(H57,'Escalators '!$D$144:$D$149,0),MATCH(I57,'Escalators '!$M$133:$S$133,0))</f>
        <v>1.0298635502016533</v>
      </c>
      <c r="Q57" s="257">
        <f t="shared" si="3"/>
        <v>0</v>
      </c>
      <c r="R57" s="257">
        <f t="shared" si="4"/>
        <v>2264701.1642565778</v>
      </c>
    </row>
    <row r="58" spans="2:18" x14ac:dyDescent="0.2">
      <c r="B58" s="192" t="s">
        <v>253</v>
      </c>
      <c r="C58" s="192" t="s">
        <v>244</v>
      </c>
      <c r="D58" s="192" t="s">
        <v>417</v>
      </c>
      <c r="E58" s="251" t="str">
        <f>IF(AND(B58=$B$14,C58=$C$14,D58=$D$14,H58=$H$14),'Operating leases'!$B$16,"")</f>
        <v/>
      </c>
      <c r="F58" s="252" t="str">
        <f>IF(AND(B58=$B$16,C58=$C$16,D58=$D$16,H58=$H$16),'Operating leases'!$B$15,"")</f>
        <v/>
      </c>
      <c r="G58" s="252" t="str">
        <f t="shared" si="0"/>
        <v/>
      </c>
      <c r="H58" s="192" t="s">
        <v>229</v>
      </c>
      <c r="I58" s="192">
        <v>2022</v>
      </c>
      <c r="J58" s="209">
        <v>1466020.2080901144</v>
      </c>
      <c r="K58" s="253">
        <f>IF(C58='Global inputs'!$B$127,INDEX('Global inputs'!$L$127:$S$127,MATCH('Forecast opex'!I58,'Global inputs'!$L$126:$S$126,0)),1)</f>
        <v>1</v>
      </c>
      <c r="L58" s="254">
        <f t="shared" si="1"/>
        <v>1466020.2080901144</v>
      </c>
      <c r="M58" s="255">
        <f>IF(AND('Global inputs'!$D$128="Yes",C58='Global inputs'!$B$127),'Forecast opex'!L58*'Global inputs'!$L$127,'Forecast opex'!J58)</f>
        <v>1466020.2080901144</v>
      </c>
      <c r="N58" s="256">
        <f>IF(ISNA(MATCH(G58,'Operating leases'!$B$15:$B$26,0)),0,INDEX('Operating leases'!$M$15:$S$26,MATCH(G58,'Operating leases'!$B$15:$B$26,0),MATCH(I58,'Operating leases'!$M$11:$S$11,0)))</f>
        <v>0</v>
      </c>
      <c r="O58" s="257">
        <f t="shared" si="2"/>
        <v>1466020.2080901144</v>
      </c>
      <c r="P58" s="258">
        <f>INDEX('Escalators '!$M$144:$S$149,MATCH(H58,'Escalators '!$D$144:$D$149,0),MATCH(I58,'Escalators '!$M$133:$S$133,0))</f>
        <v>1.0232052721525164</v>
      </c>
      <c r="Q58" s="257">
        <f t="shared" si="3"/>
        <v>0</v>
      </c>
      <c r="R58" s="257">
        <f t="shared" si="4"/>
        <v>1500039.6059999343</v>
      </c>
    </row>
    <row r="59" spans="2:18" x14ac:dyDescent="0.2">
      <c r="B59" s="192" t="s">
        <v>258</v>
      </c>
      <c r="C59" s="192" t="s">
        <v>68</v>
      </c>
      <c r="D59" s="192" t="s">
        <v>419</v>
      </c>
      <c r="E59" s="251" t="str">
        <f>IF(AND(B59=$B$14,C59=$C$14,D59=$D$14,H59=$H$14),'Operating leases'!$B$16,"")</f>
        <v/>
      </c>
      <c r="F59" s="252" t="str">
        <f>IF(AND(B59=$B$16,C59=$C$16,D59=$D$16,H59=$H$16),'Operating leases'!$B$15,"")</f>
        <v/>
      </c>
      <c r="G59" s="252" t="str">
        <f t="shared" si="0"/>
        <v/>
      </c>
      <c r="H59" s="192" t="s">
        <v>221</v>
      </c>
      <c r="I59" s="192">
        <v>2022</v>
      </c>
      <c r="J59" s="209">
        <v>3118782.4380000001</v>
      </c>
      <c r="K59" s="253">
        <f>IF(C59='Global inputs'!$B$127,INDEX('Global inputs'!$L$127:$S$127,MATCH('Forecast opex'!I59,'Global inputs'!$L$126:$S$126,0)),1)</f>
        <v>0.99643344348088236</v>
      </c>
      <c r="L59" s="254">
        <f t="shared" si="1"/>
        <v>3129945.5657620518</v>
      </c>
      <c r="M59" s="255">
        <f>IF(AND('Global inputs'!$D$128="Yes",C59='Global inputs'!$B$127),'Forecast opex'!L59*'Global inputs'!$L$127,'Forecast opex'!J59)</f>
        <v>3118782.4380000001</v>
      </c>
      <c r="N59" s="256">
        <f>IF(ISNA(MATCH(G59,'Operating leases'!$B$15:$B$26,0)),0,INDEX('Operating leases'!$M$15:$S$26,MATCH(G59,'Operating leases'!$B$15:$B$26,0),MATCH(I59,'Operating leases'!$M$11:$S$11,0)))</f>
        <v>0</v>
      </c>
      <c r="O59" s="257">
        <f t="shared" si="2"/>
        <v>3118782.4380000001</v>
      </c>
      <c r="P59" s="258">
        <f>INDEX('Escalators '!$M$144:$S$149,MATCH(H59,'Escalators '!$D$144:$D$149,0),MATCH(I59,'Escalators '!$M$133:$S$133,0))</f>
        <v>1.0298635502016533</v>
      </c>
      <c r="Q59" s="257">
        <f t="shared" si="3"/>
        <v>0</v>
      </c>
      <c r="R59" s="257">
        <f t="shared" si="4"/>
        <v>3211920.353905248</v>
      </c>
    </row>
    <row r="60" spans="2:18" x14ac:dyDescent="0.2">
      <c r="B60" s="192" t="s">
        <v>258</v>
      </c>
      <c r="C60" s="192" t="s">
        <v>68</v>
      </c>
      <c r="D60" s="192" t="s">
        <v>419</v>
      </c>
      <c r="E60" s="251" t="str">
        <f>IF(AND(B60=$B$14,C60=$C$14,D60=$D$14,H60=$H$14),'Operating leases'!$B$16,"")</f>
        <v/>
      </c>
      <c r="F60" s="252" t="str">
        <f>IF(AND(B60=$B$16,C60=$C$16,D60=$D$16,H60=$H$16),'Operating leases'!$B$15,"")</f>
        <v/>
      </c>
      <c r="G60" s="252" t="str">
        <f t="shared" si="0"/>
        <v/>
      </c>
      <c r="H60" s="192" t="s">
        <v>229</v>
      </c>
      <c r="I60" s="192">
        <v>2022</v>
      </c>
      <c r="J60" s="209">
        <v>346531.38199999998</v>
      </c>
      <c r="K60" s="253">
        <f>IF(C60='Global inputs'!$B$127,INDEX('Global inputs'!$L$127:$S$127,MATCH('Forecast opex'!I60,'Global inputs'!$L$126:$S$126,0)),1)</f>
        <v>0.99643344348088236</v>
      </c>
      <c r="L60" s="254">
        <f t="shared" si="1"/>
        <v>347771.72952911688</v>
      </c>
      <c r="M60" s="255">
        <f>IF(AND('Global inputs'!$D$128="Yes",C60='Global inputs'!$B$127),'Forecast opex'!L60*'Global inputs'!$L$127,'Forecast opex'!J60)</f>
        <v>346531.38199999998</v>
      </c>
      <c r="N60" s="256">
        <f>IF(ISNA(MATCH(G60,'Operating leases'!$B$15:$B$26,0)),0,INDEX('Operating leases'!$M$15:$S$26,MATCH(G60,'Operating leases'!$B$15:$B$26,0),MATCH(I60,'Operating leases'!$M$11:$S$11,0)))</f>
        <v>0</v>
      </c>
      <c r="O60" s="257">
        <f t="shared" si="2"/>
        <v>346531.38199999998</v>
      </c>
      <c r="P60" s="258">
        <f>INDEX('Escalators '!$M$144:$S$149,MATCH(H60,'Escalators '!$D$144:$D$149,0),MATCH(I60,'Escalators '!$M$133:$S$133,0))</f>
        <v>1.0232052721525164</v>
      </c>
      <c r="Q60" s="257">
        <f t="shared" si="3"/>
        <v>0</v>
      </c>
      <c r="R60" s="257">
        <f t="shared" si="4"/>
        <v>354572.73702869762</v>
      </c>
    </row>
    <row r="61" spans="2:18" x14ac:dyDescent="0.2">
      <c r="B61" s="192" t="s">
        <v>253</v>
      </c>
      <c r="C61" s="192" t="s">
        <v>241</v>
      </c>
      <c r="D61" s="192" t="s">
        <v>414</v>
      </c>
      <c r="E61" s="251" t="str">
        <f>IF(AND(B61=$B$14,C61=$C$14,D61=$D$14,H61=$H$14),'Operating leases'!$B$16,"")</f>
        <v/>
      </c>
      <c r="F61" s="252" t="str">
        <f>IF(AND(B61=$B$16,C61=$C$16,D61=$D$16,H61=$H$16),'Operating leases'!$B$15,"")</f>
        <v/>
      </c>
      <c r="G61" s="252" t="str">
        <f t="shared" si="0"/>
        <v/>
      </c>
      <c r="H61" s="192" t="s">
        <v>221</v>
      </c>
      <c r="I61" s="192">
        <v>2022</v>
      </c>
      <c r="J61" s="209">
        <v>3239334.269391533</v>
      </c>
      <c r="K61" s="253">
        <f>IF(C61='Global inputs'!$B$127,INDEX('Global inputs'!$L$127:$S$127,MATCH('Forecast opex'!I61,'Global inputs'!$L$126:$S$126,0)),1)</f>
        <v>1</v>
      </c>
      <c r="L61" s="254">
        <f t="shared" si="1"/>
        <v>3239334.269391533</v>
      </c>
      <c r="M61" s="255">
        <f>IF(AND('Global inputs'!$D$128="Yes",C61='Global inputs'!$B$127),'Forecast opex'!L61*'Global inputs'!$L$127,'Forecast opex'!J61)</f>
        <v>3239334.269391533</v>
      </c>
      <c r="N61" s="256">
        <f>IF(ISNA(MATCH(G61,'Operating leases'!$B$15:$B$26,0)),0,INDEX('Operating leases'!$M$15:$S$26,MATCH(G61,'Operating leases'!$B$15:$B$26,0),MATCH(I61,'Operating leases'!$M$11:$S$11,0)))</f>
        <v>0</v>
      </c>
      <c r="O61" s="257">
        <f t="shared" si="2"/>
        <v>3239334.269391533</v>
      </c>
      <c r="P61" s="258">
        <f>INDEX('Escalators '!$M$144:$S$149,MATCH(H61,'Escalators '!$D$144:$D$149,0),MATCH(I61,'Escalators '!$M$133:$S$133,0))</f>
        <v>1.0298635502016533</v>
      </c>
      <c r="Q61" s="257">
        <f t="shared" si="3"/>
        <v>0</v>
      </c>
      <c r="R61" s="257">
        <f t="shared" si="4"/>
        <v>3336072.290965443</v>
      </c>
    </row>
    <row r="62" spans="2:18" x14ac:dyDescent="0.2">
      <c r="B62" s="192" t="s">
        <v>253</v>
      </c>
      <c r="C62" s="192" t="s">
        <v>241</v>
      </c>
      <c r="D62" s="192" t="s">
        <v>414</v>
      </c>
      <c r="E62" s="251" t="str">
        <f>IF(AND(B62=$B$14,C62=$C$14,D62=$D$14,H62=$H$14),'Operating leases'!$B$16,"")</f>
        <v/>
      </c>
      <c r="F62" s="252" t="str">
        <f>IF(AND(B62=$B$16,C62=$C$16,D62=$D$16,H62=$H$16),'Operating leases'!$B$15,"")</f>
        <v/>
      </c>
      <c r="G62" s="252" t="str">
        <f t="shared" si="0"/>
        <v/>
      </c>
      <c r="H62" s="192" t="s">
        <v>229</v>
      </c>
      <c r="I62" s="192">
        <v>2022</v>
      </c>
      <c r="J62" s="209">
        <v>1388286.115453514</v>
      </c>
      <c r="K62" s="253">
        <f>IF(C62='Global inputs'!$B$127,INDEX('Global inputs'!$L$127:$S$127,MATCH('Forecast opex'!I62,'Global inputs'!$L$126:$S$126,0)),1)</f>
        <v>1</v>
      </c>
      <c r="L62" s="254">
        <f t="shared" si="1"/>
        <v>1388286.115453514</v>
      </c>
      <c r="M62" s="255">
        <f>IF(AND('Global inputs'!$D$128="Yes",C62='Global inputs'!$B$127),'Forecast opex'!L62*'Global inputs'!$L$127,'Forecast opex'!J62)</f>
        <v>1388286.115453514</v>
      </c>
      <c r="N62" s="256">
        <f>IF(ISNA(MATCH(G62,'Operating leases'!$B$15:$B$26,0)),0,INDEX('Operating leases'!$M$15:$S$26,MATCH(G62,'Operating leases'!$B$15:$B$26,0),MATCH(I62,'Operating leases'!$M$11:$S$11,0)))</f>
        <v>0</v>
      </c>
      <c r="O62" s="257">
        <f t="shared" si="2"/>
        <v>1388286.115453514</v>
      </c>
      <c r="P62" s="258">
        <f>INDEX('Escalators '!$M$144:$S$149,MATCH(H62,'Escalators '!$D$144:$D$149,0),MATCH(I62,'Escalators '!$M$133:$S$133,0))</f>
        <v>1.0232052721525164</v>
      </c>
      <c r="Q62" s="257">
        <f t="shared" si="3"/>
        <v>0</v>
      </c>
      <c r="R62" s="257">
        <f t="shared" si="4"/>
        <v>1420501.6725881726</v>
      </c>
    </row>
    <row r="63" spans="2:18" x14ac:dyDescent="0.2">
      <c r="B63" s="192" t="s">
        <v>258</v>
      </c>
      <c r="C63" s="192" t="s">
        <v>246</v>
      </c>
      <c r="D63" s="192" t="s">
        <v>423</v>
      </c>
      <c r="E63" s="251" t="str">
        <f>IF(AND(B63=$B$14,C63=$C$14,D63=$D$14,H63=$H$14),'Operating leases'!$B$16,"")</f>
        <v/>
      </c>
      <c r="F63" s="252" t="str">
        <f>IF(AND(B63=$B$16,C63=$C$16,D63=$D$16,H63=$H$16),'Operating leases'!$B$15,"")</f>
        <v/>
      </c>
      <c r="G63" s="252" t="str">
        <f t="shared" si="0"/>
        <v/>
      </c>
      <c r="H63" s="192" t="s">
        <v>221</v>
      </c>
      <c r="I63" s="192">
        <v>2022</v>
      </c>
      <c r="J63" s="209">
        <v>238299.0313846154</v>
      </c>
      <c r="K63" s="253">
        <f>IF(C63='Global inputs'!$B$127,INDEX('Global inputs'!$L$127:$S$127,MATCH('Forecast opex'!I63,'Global inputs'!$L$126:$S$126,0)),1)</f>
        <v>1</v>
      </c>
      <c r="L63" s="254">
        <f t="shared" si="1"/>
        <v>238299.0313846154</v>
      </c>
      <c r="M63" s="255">
        <f>IF(AND('Global inputs'!$D$128="Yes",C63='Global inputs'!$B$127),'Forecast opex'!L63*'Global inputs'!$L$127,'Forecast opex'!J63)</f>
        <v>238299.0313846154</v>
      </c>
      <c r="N63" s="256">
        <f>IF(ISNA(MATCH(G63,'Operating leases'!$B$15:$B$26,0)),0,INDEX('Operating leases'!$M$15:$S$26,MATCH(G63,'Operating leases'!$B$15:$B$26,0),MATCH(I63,'Operating leases'!$M$11:$S$11,0)))</f>
        <v>0</v>
      </c>
      <c r="O63" s="257">
        <f t="shared" si="2"/>
        <v>238299.0313846154</v>
      </c>
      <c r="P63" s="258">
        <f>INDEX('Escalators '!$M$144:$S$149,MATCH(H63,'Escalators '!$D$144:$D$149,0),MATCH(I63,'Escalators '!$M$133:$S$133,0))</f>
        <v>1.0298635502016533</v>
      </c>
      <c r="Q63" s="257">
        <f t="shared" si="3"/>
        <v>0</v>
      </c>
      <c r="R63" s="257">
        <f t="shared" si="4"/>
        <v>245415.48647137522</v>
      </c>
    </row>
    <row r="64" spans="2:18" x14ac:dyDescent="0.2">
      <c r="B64" s="192" t="s">
        <v>258</v>
      </c>
      <c r="C64" s="192" t="s">
        <v>246</v>
      </c>
      <c r="D64" s="192" t="s">
        <v>423</v>
      </c>
      <c r="E64" s="251" t="str">
        <f>IF(AND(B64=$B$14,C64=$C$14,D64=$D$14,H64=$H$14),'Operating leases'!$B$16,"")</f>
        <v/>
      </c>
      <c r="F64" s="252" t="str">
        <f>IF(AND(B64=$B$16,C64=$C$16,D64=$D$16,H64=$H$16),'Operating leases'!$B$15,"")</f>
        <v/>
      </c>
      <c r="G64" s="252" t="str">
        <f t="shared" si="0"/>
        <v/>
      </c>
      <c r="H64" s="192" t="s">
        <v>229</v>
      </c>
      <c r="I64" s="192">
        <v>2022</v>
      </c>
      <c r="J64" s="209">
        <v>26477.670153846157</v>
      </c>
      <c r="K64" s="253">
        <f>IF(C64='Global inputs'!$B$127,INDEX('Global inputs'!$L$127:$S$127,MATCH('Forecast opex'!I64,'Global inputs'!$L$126:$S$126,0)),1)</f>
        <v>1</v>
      </c>
      <c r="L64" s="254">
        <f t="shared" si="1"/>
        <v>26477.670153846157</v>
      </c>
      <c r="M64" s="255">
        <f>IF(AND('Global inputs'!$D$128="Yes",C64='Global inputs'!$B$127),'Forecast opex'!L64*'Global inputs'!$L$127,'Forecast opex'!J64)</f>
        <v>26477.670153846157</v>
      </c>
      <c r="N64" s="256">
        <f>IF(ISNA(MATCH(G64,'Operating leases'!$B$15:$B$26,0)),0,INDEX('Operating leases'!$M$15:$S$26,MATCH(G64,'Operating leases'!$B$15:$B$26,0),MATCH(I64,'Operating leases'!$M$11:$S$11,0)))</f>
        <v>0</v>
      </c>
      <c r="O64" s="257">
        <f t="shared" si="2"/>
        <v>26477.670153846157</v>
      </c>
      <c r="P64" s="258">
        <f>INDEX('Escalators '!$M$144:$S$149,MATCH(H64,'Escalators '!$D$144:$D$149,0),MATCH(I64,'Escalators '!$M$133:$S$133,0))</f>
        <v>1.0232052721525164</v>
      </c>
      <c r="Q64" s="257">
        <f t="shared" si="3"/>
        <v>0</v>
      </c>
      <c r="R64" s="257">
        <f t="shared" si="4"/>
        <v>27092.09169573072</v>
      </c>
    </row>
    <row r="65" spans="2:18" x14ac:dyDescent="0.2">
      <c r="B65" s="192" t="s">
        <v>253</v>
      </c>
      <c r="C65" s="192" t="s">
        <v>243</v>
      </c>
      <c r="D65" s="192" t="s">
        <v>415</v>
      </c>
      <c r="E65" s="251" t="str">
        <f>IF(AND(B65=$B$14,C65=$C$14,D65=$D$14,H65=$H$14),'Operating leases'!$B$16,"")</f>
        <v/>
      </c>
      <c r="F65" s="252" t="str">
        <f>IF(AND(B65=$B$16,C65=$C$16,D65=$D$16,H65=$H$16),'Operating leases'!$B$15,"")</f>
        <v/>
      </c>
      <c r="G65" s="252" t="str">
        <f t="shared" si="0"/>
        <v/>
      </c>
      <c r="H65" s="192" t="s">
        <v>221</v>
      </c>
      <c r="I65" s="192">
        <v>2022</v>
      </c>
      <c r="J65" s="209">
        <v>2867030.345896122</v>
      </c>
      <c r="K65" s="253">
        <f>IF(C65='Global inputs'!$B$127,INDEX('Global inputs'!$L$127:$S$127,MATCH('Forecast opex'!I65,'Global inputs'!$L$126:$S$126,0)),1)</f>
        <v>1</v>
      </c>
      <c r="L65" s="254">
        <f t="shared" si="1"/>
        <v>2867030.345896122</v>
      </c>
      <c r="M65" s="255">
        <f>IF(AND('Global inputs'!$D$128="Yes",C65='Global inputs'!$B$127),'Forecast opex'!L65*'Global inputs'!$L$127,'Forecast opex'!J65)</f>
        <v>2867030.345896122</v>
      </c>
      <c r="N65" s="256">
        <f>IF(ISNA(MATCH(G65,'Operating leases'!$B$15:$B$26,0)),0,INDEX('Operating leases'!$M$15:$S$26,MATCH(G65,'Operating leases'!$B$15:$B$26,0),MATCH(I65,'Operating leases'!$M$11:$S$11,0)))</f>
        <v>0</v>
      </c>
      <c r="O65" s="257">
        <f t="shared" si="2"/>
        <v>2867030.345896122</v>
      </c>
      <c r="P65" s="258">
        <f>INDEX('Escalators '!$M$144:$S$149,MATCH(H65,'Escalators '!$D$144:$D$149,0),MATCH(I65,'Escalators '!$M$133:$S$133,0))</f>
        <v>1.0298635502016533</v>
      </c>
      <c r="Q65" s="257">
        <f t="shared" si="3"/>
        <v>0</v>
      </c>
      <c r="R65" s="257">
        <f t="shared" si="4"/>
        <v>2952650.0505604544</v>
      </c>
    </row>
    <row r="66" spans="2:18" x14ac:dyDescent="0.2">
      <c r="B66" s="192" t="s">
        <v>253</v>
      </c>
      <c r="C66" s="192" t="s">
        <v>243</v>
      </c>
      <c r="D66" s="192" t="s">
        <v>415</v>
      </c>
      <c r="E66" s="251" t="str">
        <f>IF(AND(B66=$B$14,C66=$C$14,D66=$D$14,H66=$H$14),'Operating leases'!$B$16,"")</f>
        <v/>
      </c>
      <c r="F66" s="252" t="str">
        <f>IF(AND(B66=$B$16,C66=$C$16,D66=$D$16,H66=$H$16),'Operating leases'!$B$15,"")</f>
        <v/>
      </c>
      <c r="G66" s="252" t="str">
        <f t="shared" si="0"/>
        <v/>
      </c>
      <c r="H66" s="192" t="s">
        <v>229</v>
      </c>
      <c r="I66" s="192">
        <v>2022</v>
      </c>
      <c r="J66" s="209">
        <v>1228727.2910983381</v>
      </c>
      <c r="K66" s="253">
        <f>IF(C66='Global inputs'!$B$127,INDEX('Global inputs'!$L$127:$S$127,MATCH('Forecast opex'!I66,'Global inputs'!$L$126:$S$126,0)),1)</f>
        <v>1</v>
      </c>
      <c r="L66" s="254">
        <f t="shared" si="1"/>
        <v>1228727.2910983381</v>
      </c>
      <c r="M66" s="255">
        <f>IF(AND('Global inputs'!$D$128="Yes",C66='Global inputs'!$B$127),'Forecast opex'!L66*'Global inputs'!$L$127,'Forecast opex'!J66)</f>
        <v>1228727.2910983381</v>
      </c>
      <c r="N66" s="256">
        <f>IF(ISNA(MATCH(G66,'Operating leases'!$B$15:$B$26,0)),0,INDEX('Operating leases'!$M$15:$S$26,MATCH(G66,'Operating leases'!$B$15:$B$26,0),MATCH(I66,'Operating leases'!$M$11:$S$11,0)))</f>
        <v>0</v>
      </c>
      <c r="O66" s="257">
        <f t="shared" si="2"/>
        <v>1228727.2910983381</v>
      </c>
      <c r="P66" s="258">
        <f>INDEX('Escalators '!$M$144:$S$149,MATCH(H66,'Escalators '!$D$144:$D$149,0),MATCH(I66,'Escalators '!$M$133:$S$133,0))</f>
        <v>1.0232052721525164</v>
      </c>
      <c r="Q66" s="257">
        <f t="shared" si="3"/>
        <v>0</v>
      </c>
      <c r="R66" s="257">
        <f t="shared" si="4"/>
        <v>1257240.2422894994</v>
      </c>
    </row>
    <row r="67" spans="2:18" x14ac:dyDescent="0.2">
      <c r="B67" s="192" t="s">
        <v>258</v>
      </c>
      <c r="C67" s="192" t="s">
        <v>68</v>
      </c>
      <c r="D67" s="192" t="s">
        <v>418</v>
      </c>
      <c r="E67" s="251" t="str">
        <f>IF(AND(B67=$B$14,C67=$C$14,D67=$D$14,H67=$H$14),'Operating leases'!$B$16,"")</f>
        <v/>
      </c>
      <c r="F67" s="252" t="str">
        <f>IF(AND(B67=$B$16,C67=$C$16,D67=$D$16,H67=$H$16),'Operating leases'!$B$15,"")</f>
        <v/>
      </c>
      <c r="G67" s="252" t="str">
        <f t="shared" si="0"/>
        <v/>
      </c>
      <c r="H67" s="192" t="s">
        <v>221</v>
      </c>
      <c r="I67" s="192">
        <v>2023</v>
      </c>
      <c r="J67" s="209">
        <v>5676370.5243387204</v>
      </c>
      <c r="K67" s="253">
        <f>IF(C67='Global inputs'!$B$127,INDEX('Global inputs'!$L$127:$S$127,MATCH('Forecast opex'!I67,'Global inputs'!$L$126:$S$126,0)),1)</f>
        <v>1</v>
      </c>
      <c r="L67" s="254">
        <f t="shared" si="1"/>
        <v>5676370.5243387204</v>
      </c>
      <c r="M67" s="255">
        <f>IF(AND('Global inputs'!$D$128="Yes",C67='Global inputs'!$B$127),'Forecast opex'!L67*'Global inputs'!$L$127,'Forecast opex'!J67)</f>
        <v>5676370.5243387204</v>
      </c>
      <c r="N67" s="256">
        <f>IF(ISNA(MATCH(G67,'Operating leases'!$B$15:$B$26,0)),0,INDEX('Operating leases'!$M$15:$S$26,MATCH(G67,'Operating leases'!$B$15:$B$26,0),MATCH(I67,'Operating leases'!$M$11:$S$11,0)))</f>
        <v>0</v>
      </c>
      <c r="O67" s="257">
        <f t="shared" si="2"/>
        <v>5676370.5243387204</v>
      </c>
      <c r="P67" s="258">
        <f>INDEX('Escalators '!$M$144:$S$149,MATCH(H67,'Escalators '!$D$144:$D$149,0),MATCH(I67,'Escalators '!$M$133:$S$133,0))</f>
        <v>1.0476447344468334</v>
      </c>
      <c r="Q67" s="257">
        <f t="shared" si="3"/>
        <v>0</v>
      </c>
      <c r="R67" s="257">
        <f t="shared" si="4"/>
        <v>5946819.6905926708</v>
      </c>
    </row>
    <row r="68" spans="2:18" x14ac:dyDescent="0.2">
      <c r="B68" s="192" t="s">
        <v>258</v>
      </c>
      <c r="C68" s="192" t="s">
        <v>68</v>
      </c>
      <c r="D68" s="192" t="s">
        <v>420</v>
      </c>
      <c r="E68" s="251" t="str">
        <f>IF(AND(B68=$B$14,C68=$C$14,D68=$D$14,H68=$H$14),'Operating leases'!$B$16,"")</f>
        <v/>
      </c>
      <c r="F68" s="252" t="str">
        <f>IF(AND(B68=$B$16,C68=$C$16,D68=$D$16,H68=$H$16),'Operating leases'!$B$15,"")</f>
        <v/>
      </c>
      <c r="G68" s="252" t="str">
        <f t="shared" si="0"/>
        <v/>
      </c>
      <c r="H68" s="192" t="s">
        <v>221</v>
      </c>
      <c r="I68" s="192">
        <v>2023</v>
      </c>
      <c r="J68" s="209">
        <v>0</v>
      </c>
      <c r="K68" s="253">
        <f>IF(C68='Global inputs'!$B$127,INDEX('Global inputs'!$L$127:$S$127,MATCH('Forecast opex'!I68,'Global inputs'!$L$126:$S$126,0)),1)</f>
        <v>1</v>
      </c>
      <c r="L68" s="254">
        <f t="shared" si="1"/>
        <v>0</v>
      </c>
      <c r="M68" s="255">
        <f>IF(AND('Global inputs'!$D$128="Yes",C68='Global inputs'!$B$127),'Forecast opex'!L68*'Global inputs'!$L$127,'Forecast opex'!J68)</f>
        <v>0</v>
      </c>
      <c r="N68" s="256">
        <f>IF(ISNA(MATCH(G68,'Operating leases'!$B$15:$B$26,0)),0,INDEX('Operating leases'!$M$15:$S$26,MATCH(G68,'Operating leases'!$B$15:$B$26,0),MATCH(I68,'Operating leases'!$M$11:$S$11,0)))</f>
        <v>0</v>
      </c>
      <c r="O68" s="257">
        <f t="shared" si="2"/>
        <v>0</v>
      </c>
      <c r="P68" s="258">
        <f>INDEX('Escalators '!$M$144:$S$149,MATCH(H68,'Escalators '!$D$144:$D$149,0),MATCH(I68,'Escalators '!$M$133:$S$133,0))</f>
        <v>1.0476447344468334</v>
      </c>
      <c r="Q68" s="257">
        <f t="shared" si="3"/>
        <v>0</v>
      </c>
      <c r="R68" s="257">
        <f t="shared" si="4"/>
        <v>0</v>
      </c>
    </row>
    <row r="69" spans="2:18" x14ac:dyDescent="0.2">
      <c r="B69" s="192" t="s">
        <v>258</v>
      </c>
      <c r="C69" s="192" t="s">
        <v>68</v>
      </c>
      <c r="D69" s="192" t="s">
        <v>421</v>
      </c>
      <c r="E69" s="251" t="str">
        <f>IF(AND(B69=$B$14,C69=$C$14,D69=$D$14,H69=$H$14),'Operating leases'!$B$16,"")</f>
        <v/>
      </c>
      <c r="F69" s="252" t="str">
        <f>IF(AND(B69=$B$16,C69=$C$16,D69=$D$16,H69=$H$16),'Operating leases'!$B$15,"")</f>
        <v/>
      </c>
      <c r="G69" s="252" t="str">
        <f t="shared" si="0"/>
        <v/>
      </c>
      <c r="H69" s="192" t="s">
        <v>221</v>
      </c>
      <c r="I69" s="192">
        <v>2023</v>
      </c>
      <c r="J69" s="209">
        <v>0</v>
      </c>
      <c r="K69" s="253">
        <f>IF(C69='Global inputs'!$B$127,INDEX('Global inputs'!$L$127:$S$127,MATCH('Forecast opex'!I69,'Global inputs'!$L$126:$S$126,0)),1)</f>
        <v>1</v>
      </c>
      <c r="L69" s="254">
        <f t="shared" si="1"/>
        <v>0</v>
      </c>
      <c r="M69" s="255">
        <f>IF(AND('Global inputs'!$D$128="Yes",C69='Global inputs'!$B$127),'Forecast opex'!L69*'Global inputs'!$L$127,'Forecast opex'!J69)</f>
        <v>0</v>
      </c>
      <c r="N69" s="256">
        <f>IF(ISNA(MATCH(G69,'Operating leases'!$B$15:$B$26,0)),0,INDEX('Operating leases'!$M$15:$S$26,MATCH(G69,'Operating leases'!$B$15:$B$26,0),MATCH(I69,'Operating leases'!$M$11:$S$11,0)))</f>
        <v>0</v>
      </c>
      <c r="O69" s="257">
        <f t="shared" si="2"/>
        <v>0</v>
      </c>
      <c r="P69" s="258">
        <f>INDEX('Escalators '!$M$144:$S$149,MATCH(H69,'Escalators '!$D$144:$D$149,0),MATCH(I69,'Escalators '!$M$133:$S$133,0))</f>
        <v>1.0476447344468334</v>
      </c>
      <c r="Q69" s="257">
        <f t="shared" si="3"/>
        <v>0</v>
      </c>
      <c r="R69" s="257">
        <f t="shared" si="4"/>
        <v>0</v>
      </c>
    </row>
    <row r="70" spans="2:18" x14ac:dyDescent="0.2">
      <c r="B70" s="192" t="s">
        <v>258</v>
      </c>
      <c r="C70" s="192" t="s">
        <v>68</v>
      </c>
      <c r="D70" s="192" t="s">
        <v>418</v>
      </c>
      <c r="E70" s="251" t="str">
        <f>IF(AND(B70=$B$14,C70=$C$14,D70=$D$14,H70=$H$14),'Operating leases'!$B$16,"")</f>
        <v/>
      </c>
      <c r="F70" s="252" t="str">
        <f>IF(AND(B70=$B$16,C70=$C$16,D70=$D$16,H70=$H$16),'Operating leases'!$B$15,"")</f>
        <v/>
      </c>
      <c r="G70" s="252" t="str">
        <f t="shared" si="0"/>
        <v/>
      </c>
      <c r="H70" s="192" t="s">
        <v>229</v>
      </c>
      <c r="I70" s="192">
        <v>2023</v>
      </c>
      <c r="J70" s="209">
        <v>630707.8360376358</v>
      </c>
      <c r="K70" s="253">
        <f>IF(C70='Global inputs'!$B$127,INDEX('Global inputs'!$L$127:$S$127,MATCH('Forecast opex'!I70,'Global inputs'!$L$126:$S$126,0)),1)</f>
        <v>1</v>
      </c>
      <c r="L70" s="254">
        <f t="shared" si="1"/>
        <v>630707.8360376358</v>
      </c>
      <c r="M70" s="255">
        <f>IF(AND('Global inputs'!$D$128="Yes",C70='Global inputs'!$B$127),'Forecast opex'!L70*'Global inputs'!$L$127,'Forecast opex'!J70)</f>
        <v>630707.8360376358</v>
      </c>
      <c r="N70" s="256">
        <f>IF(ISNA(MATCH(G70,'Operating leases'!$B$15:$B$26,0)),0,INDEX('Operating leases'!$M$15:$S$26,MATCH(G70,'Operating leases'!$B$15:$B$26,0),MATCH(I70,'Operating leases'!$M$11:$S$11,0)))</f>
        <v>0</v>
      </c>
      <c r="O70" s="257">
        <f t="shared" si="2"/>
        <v>630707.8360376358</v>
      </c>
      <c r="P70" s="258">
        <f>INDEX('Escalators '!$M$144:$S$149,MATCH(H70,'Escalators '!$D$144:$D$149,0),MATCH(I70,'Escalators '!$M$133:$S$133,0))</f>
        <v>1.0336685867073583</v>
      </c>
      <c r="Q70" s="257">
        <f t="shared" si="3"/>
        <v>0</v>
      </c>
      <c r="R70" s="257">
        <f t="shared" si="4"/>
        <v>651942.87750227924</v>
      </c>
    </row>
    <row r="71" spans="2:18" x14ac:dyDescent="0.2">
      <c r="B71" s="192" t="s">
        <v>258</v>
      </c>
      <c r="C71" s="192" t="s">
        <v>68</v>
      </c>
      <c r="D71" s="192" t="s">
        <v>420</v>
      </c>
      <c r="E71" s="251" t="str">
        <f>IF(AND(B71=$B$14,C71=$C$14,D71=$D$14,H71=$H$14),'Operating leases'!$B$16,"")</f>
        <v>Premises Plant &amp; Insurance</v>
      </c>
      <c r="F71" s="252" t="str">
        <f>IF(AND(B71=$B$16,C71=$C$16,D71=$D$16,H71=$H$16),'Operating leases'!$B$15,"")</f>
        <v/>
      </c>
      <c r="G71" s="252" t="str">
        <f t="shared" si="0"/>
        <v>Premises Plant &amp; Insurance</v>
      </c>
      <c r="H71" s="192" t="s">
        <v>229</v>
      </c>
      <c r="I71" s="192">
        <v>2023</v>
      </c>
      <c r="J71" s="209">
        <v>1028180.0370396019</v>
      </c>
      <c r="K71" s="253">
        <f>IF(C71='Global inputs'!$B$127,INDEX('Global inputs'!$L$127:$S$127,MATCH('Forecast opex'!I71,'Global inputs'!$L$126:$S$126,0)),1)</f>
        <v>1</v>
      </c>
      <c r="L71" s="254">
        <f t="shared" si="1"/>
        <v>1028180.0370396019</v>
      </c>
      <c r="M71" s="255">
        <f>IF(AND('Global inputs'!$D$128="Yes",C71='Global inputs'!$B$127),'Forecast opex'!L71*'Global inputs'!$L$127,'Forecast opex'!J71)</f>
        <v>1028180.0370396019</v>
      </c>
      <c r="N71" s="256">
        <f>IF(ISNA(MATCH(G71,'Operating leases'!$B$15:$B$26,0)),0,INDEX('Operating leases'!$M$15:$S$26,MATCH(G71,'Operating leases'!$B$15:$B$26,0),MATCH(I71,'Operating leases'!$M$11:$S$11,0)))</f>
        <v>728832.83865819057</v>
      </c>
      <c r="O71" s="257">
        <f t="shared" si="2"/>
        <v>299347.19838141138</v>
      </c>
      <c r="P71" s="258">
        <f>INDEX('Escalators '!$M$144:$S$149,MATCH(H71,'Escalators '!$D$144:$D$149,0),MATCH(I71,'Escalators '!$M$133:$S$133,0))</f>
        <v>1.0336685867073583</v>
      </c>
      <c r="Q71" s="257">
        <f t="shared" si="3"/>
        <v>753371.6102817239</v>
      </c>
      <c r="R71" s="257">
        <f t="shared" si="4"/>
        <v>309425.79548572068</v>
      </c>
    </row>
    <row r="72" spans="2:18" x14ac:dyDescent="0.2">
      <c r="B72" s="192" t="s">
        <v>258</v>
      </c>
      <c r="C72" s="192" t="s">
        <v>68</v>
      </c>
      <c r="D72" s="192" t="s">
        <v>421</v>
      </c>
      <c r="E72" s="251" t="str">
        <f>IF(AND(B72=$B$14,C72=$C$14,D72=$D$14,H72=$H$14),'Operating leases'!$B$16,"")</f>
        <v/>
      </c>
      <c r="F72" s="252" t="str">
        <f>IF(AND(B72=$B$16,C72=$C$16,D72=$D$16,H72=$H$16),'Operating leases'!$B$15,"")</f>
        <v/>
      </c>
      <c r="G72" s="252" t="str">
        <f t="shared" si="0"/>
        <v/>
      </c>
      <c r="H72" s="192" t="s">
        <v>229</v>
      </c>
      <c r="I72" s="192">
        <v>2023</v>
      </c>
      <c r="J72" s="209">
        <v>2923231.5119063752</v>
      </c>
      <c r="K72" s="253">
        <f>IF(C72='Global inputs'!$B$127,INDEX('Global inputs'!$L$127:$S$127,MATCH('Forecast opex'!I72,'Global inputs'!$L$126:$S$126,0)),1)</f>
        <v>1</v>
      </c>
      <c r="L72" s="254">
        <f t="shared" si="1"/>
        <v>2923231.5119063752</v>
      </c>
      <c r="M72" s="255">
        <f>IF(AND('Global inputs'!$D$128="Yes",C72='Global inputs'!$B$127),'Forecast opex'!L72*'Global inputs'!$L$127,'Forecast opex'!J72)</f>
        <v>2923231.5119063752</v>
      </c>
      <c r="N72" s="256">
        <f>IF(ISNA(MATCH(G72,'Operating leases'!$B$15:$B$26,0)),0,INDEX('Operating leases'!$M$15:$S$26,MATCH(G72,'Operating leases'!$B$15:$B$26,0),MATCH(I72,'Operating leases'!$M$11:$S$11,0)))</f>
        <v>0</v>
      </c>
      <c r="O72" s="257">
        <f t="shared" si="2"/>
        <v>2923231.5119063752</v>
      </c>
      <c r="P72" s="258">
        <f>INDEX('Escalators '!$M$144:$S$149,MATCH(H72,'Escalators '!$D$144:$D$149,0),MATCH(I72,'Escalators '!$M$133:$S$133,0))</f>
        <v>1.0336685867073583</v>
      </c>
      <c r="Q72" s="257">
        <f t="shared" si="3"/>
        <v>0</v>
      </c>
      <c r="R72" s="257">
        <f t="shared" si="4"/>
        <v>3021652.5855306769</v>
      </c>
    </row>
    <row r="73" spans="2:18" x14ac:dyDescent="0.2">
      <c r="B73" s="192" t="s">
        <v>258</v>
      </c>
      <c r="C73" s="192" t="s">
        <v>246</v>
      </c>
      <c r="D73" s="192" t="s">
        <v>422</v>
      </c>
      <c r="E73" s="251" t="str">
        <f>IF(AND(B73=$B$14,C73=$C$14,D73=$D$14,H73=$H$14),'Operating leases'!$B$16,"")</f>
        <v/>
      </c>
      <c r="F73" s="252" t="str">
        <f>IF(AND(B73=$B$16,C73=$C$16,D73=$D$16,H73=$H$16),'Operating leases'!$B$15,"")</f>
        <v/>
      </c>
      <c r="G73" s="252" t="str">
        <f t="shared" si="0"/>
        <v/>
      </c>
      <c r="H73" s="192" t="s">
        <v>221</v>
      </c>
      <c r="I73" s="192">
        <v>2023</v>
      </c>
      <c r="J73" s="209">
        <v>11307785.780950896</v>
      </c>
      <c r="K73" s="253">
        <f>IF(C73='Global inputs'!$B$127,INDEX('Global inputs'!$L$127:$S$127,MATCH('Forecast opex'!I73,'Global inputs'!$L$126:$S$126,0)),1)</f>
        <v>1</v>
      </c>
      <c r="L73" s="254">
        <f t="shared" si="1"/>
        <v>11307785.780950896</v>
      </c>
      <c r="M73" s="255">
        <f>IF(AND('Global inputs'!$D$128="Yes",C73='Global inputs'!$B$127),'Forecast opex'!L73*'Global inputs'!$L$127,'Forecast opex'!J73)</f>
        <v>11307785.780950896</v>
      </c>
      <c r="N73" s="256">
        <f>IF(ISNA(MATCH(G73,'Operating leases'!$B$15:$B$26,0)),0,INDEX('Operating leases'!$M$15:$S$26,MATCH(G73,'Operating leases'!$B$15:$B$26,0),MATCH(I73,'Operating leases'!$M$11:$S$11,0)))</f>
        <v>0</v>
      </c>
      <c r="O73" s="257">
        <f t="shared" si="2"/>
        <v>11307785.780950896</v>
      </c>
      <c r="P73" s="258">
        <f>INDEX('Escalators '!$M$144:$S$149,MATCH(H73,'Escalators '!$D$144:$D$149,0),MATCH(I73,'Escalators '!$M$133:$S$133,0))</f>
        <v>1.0476447344468334</v>
      </c>
      <c r="Q73" s="257">
        <f t="shared" si="3"/>
        <v>0</v>
      </c>
      <c r="R73" s="257">
        <f t="shared" si="4"/>
        <v>11846542.23166598</v>
      </c>
    </row>
    <row r="74" spans="2:18" x14ac:dyDescent="0.2">
      <c r="B74" s="192" t="s">
        <v>258</v>
      </c>
      <c r="C74" s="192" t="s">
        <v>246</v>
      </c>
      <c r="D74" s="192" t="s">
        <v>422</v>
      </c>
      <c r="E74" s="251" t="str">
        <f>IF(AND(B74=$B$14,C74=$C$14,D74=$D$14,H74=$H$14),'Operating leases'!$B$16,"")</f>
        <v/>
      </c>
      <c r="F74" s="252" t="str">
        <f>IF(AND(B74=$B$16,C74=$C$16,D74=$D$16,H74=$H$16),'Operating leases'!$B$15,"")</f>
        <v>SONS</v>
      </c>
      <c r="G74" s="252" t="str">
        <f t="shared" ref="G74:G137" si="5">E74&amp;F74</f>
        <v>SONS</v>
      </c>
      <c r="H74" s="192" t="s">
        <v>229</v>
      </c>
      <c r="I74" s="192">
        <v>2023</v>
      </c>
      <c r="J74" s="209">
        <v>1256420.6423278775</v>
      </c>
      <c r="K74" s="253">
        <f>IF(C74='Global inputs'!$B$127,INDEX('Global inputs'!$L$127:$S$127,MATCH('Forecast opex'!I74,'Global inputs'!$L$126:$S$126,0)),1)</f>
        <v>1</v>
      </c>
      <c r="L74" s="254">
        <f t="shared" ref="L74:L137" si="6">J74/K74</f>
        <v>1256420.6423278775</v>
      </c>
      <c r="M74" s="255">
        <f>IF(AND('Global inputs'!$D$128="Yes",C74='Global inputs'!$B$127),'Forecast opex'!L74*'Global inputs'!$L$127,'Forecast opex'!J74)</f>
        <v>1256420.6423278775</v>
      </c>
      <c r="N74" s="256">
        <f>IF(ISNA(MATCH(G74,'Operating leases'!$B$15:$B$26,0)),0,INDEX('Operating leases'!$M$15:$S$26,MATCH(G74,'Operating leases'!$B$15:$B$26,0),MATCH(I74,'Operating leases'!$M$11:$S$11,0)))</f>
        <v>612687.75176290597</v>
      </c>
      <c r="O74" s="257">
        <f t="shared" ref="O74:O137" si="7">M74-N74</f>
        <v>643732.89056497149</v>
      </c>
      <c r="P74" s="258">
        <f>INDEX('Escalators '!$M$144:$S$149,MATCH(H74,'Escalators '!$D$144:$D$149,0),MATCH(I74,'Escalators '!$M$133:$S$133,0))</f>
        <v>1.0336685867073583</v>
      </c>
      <c r="Q74" s="257">
        <f t="shared" ref="Q74:Q137" si="8">N74*P74</f>
        <v>633316.08245767176</v>
      </c>
      <c r="R74" s="257">
        <f t="shared" ref="R74:R137" si="9">O74*P74</f>
        <v>665406.46720733657</v>
      </c>
    </row>
    <row r="75" spans="2:18" x14ac:dyDescent="0.2">
      <c r="B75" s="192" t="s">
        <v>253</v>
      </c>
      <c r="C75" s="192" t="s">
        <v>244</v>
      </c>
      <c r="D75" s="192" t="s">
        <v>416</v>
      </c>
      <c r="E75" s="251" t="str">
        <f>IF(AND(B75=$B$14,C75=$C$14,D75=$D$14,H75=$H$14),'Operating leases'!$B$16,"")</f>
        <v/>
      </c>
      <c r="F75" s="252" t="str">
        <f>IF(AND(B75=$B$16,C75=$C$16,D75=$D$16,H75=$H$16),'Operating leases'!$B$15,"")</f>
        <v/>
      </c>
      <c r="G75" s="252" t="str">
        <f t="shared" si="5"/>
        <v/>
      </c>
      <c r="H75" s="192" t="s">
        <v>221</v>
      </c>
      <c r="I75" s="192">
        <v>2023</v>
      </c>
      <c r="J75" s="209">
        <v>3598914.75884454</v>
      </c>
      <c r="K75" s="253">
        <f>IF(C75='Global inputs'!$B$127,INDEX('Global inputs'!$L$127:$S$127,MATCH('Forecast opex'!I75,'Global inputs'!$L$126:$S$126,0)),1)</f>
        <v>1</v>
      </c>
      <c r="L75" s="254">
        <f t="shared" si="6"/>
        <v>3598914.75884454</v>
      </c>
      <c r="M75" s="255">
        <f>IF(AND('Global inputs'!$D$128="Yes",C75='Global inputs'!$B$127),'Forecast opex'!L75*'Global inputs'!$L$127,'Forecast opex'!J75)</f>
        <v>3598914.75884454</v>
      </c>
      <c r="N75" s="256">
        <f>IF(ISNA(MATCH(G75,'Operating leases'!$B$15:$B$26,0)),0,INDEX('Operating leases'!$M$15:$S$26,MATCH(G75,'Operating leases'!$B$15:$B$26,0),MATCH(I75,'Operating leases'!$M$11:$S$11,0)))</f>
        <v>0</v>
      </c>
      <c r="O75" s="257">
        <f t="shared" si="7"/>
        <v>3598914.75884454</v>
      </c>
      <c r="P75" s="258">
        <f>INDEX('Escalators '!$M$144:$S$149,MATCH(H75,'Escalators '!$D$144:$D$149,0),MATCH(I75,'Escalators '!$M$133:$S$133,0))</f>
        <v>1.0476447344468334</v>
      </c>
      <c r="Q75" s="257">
        <f t="shared" si="8"/>
        <v>0</v>
      </c>
      <c r="R75" s="257">
        <f t="shared" si="9"/>
        <v>3770384.0968264774</v>
      </c>
    </row>
    <row r="76" spans="2:18" x14ac:dyDescent="0.2">
      <c r="B76" s="192" t="s">
        <v>253</v>
      </c>
      <c r="C76" s="192" t="s">
        <v>244</v>
      </c>
      <c r="D76" s="192" t="s">
        <v>416</v>
      </c>
      <c r="E76" s="251" t="str">
        <f>IF(AND(B76=$B$14,C76=$C$14,D76=$D$14,H76=$H$14),'Operating leases'!$B$16,"")</f>
        <v/>
      </c>
      <c r="F76" s="252" t="str">
        <f>IF(AND(B76=$B$16,C76=$C$16,D76=$D$16,H76=$H$16),'Operating leases'!$B$15,"")</f>
        <v/>
      </c>
      <c r="G76" s="252" t="str">
        <f t="shared" si="5"/>
        <v/>
      </c>
      <c r="H76" s="192" t="s">
        <v>229</v>
      </c>
      <c r="I76" s="192">
        <v>2023</v>
      </c>
      <c r="J76" s="209">
        <v>2399276.5058963601</v>
      </c>
      <c r="K76" s="253">
        <f>IF(C76='Global inputs'!$B$127,INDEX('Global inputs'!$L$127:$S$127,MATCH('Forecast opex'!I76,'Global inputs'!$L$126:$S$126,0)),1)</f>
        <v>1</v>
      </c>
      <c r="L76" s="254">
        <f t="shared" si="6"/>
        <v>2399276.5058963601</v>
      </c>
      <c r="M76" s="255">
        <f>IF(AND('Global inputs'!$D$128="Yes",C76='Global inputs'!$B$127),'Forecast opex'!L76*'Global inputs'!$L$127,'Forecast opex'!J76)</f>
        <v>2399276.5058963601</v>
      </c>
      <c r="N76" s="256">
        <f>IF(ISNA(MATCH(G76,'Operating leases'!$B$15:$B$26,0)),0,INDEX('Operating leases'!$M$15:$S$26,MATCH(G76,'Operating leases'!$B$15:$B$26,0),MATCH(I76,'Operating leases'!$M$11:$S$11,0)))</f>
        <v>0</v>
      </c>
      <c r="O76" s="257">
        <f t="shared" si="7"/>
        <v>2399276.5058963601</v>
      </c>
      <c r="P76" s="258">
        <f>INDEX('Escalators '!$M$144:$S$149,MATCH(H76,'Escalators '!$D$144:$D$149,0),MATCH(I76,'Escalators '!$M$133:$S$133,0))</f>
        <v>1.0336685867073583</v>
      </c>
      <c r="Q76" s="257">
        <f t="shared" si="8"/>
        <v>0</v>
      </c>
      <c r="R76" s="257">
        <f t="shared" si="9"/>
        <v>2480056.7549700593</v>
      </c>
    </row>
    <row r="77" spans="2:18" x14ac:dyDescent="0.2">
      <c r="B77" s="192" t="s">
        <v>253</v>
      </c>
      <c r="C77" s="192" t="s">
        <v>244</v>
      </c>
      <c r="D77" s="192" t="s">
        <v>417</v>
      </c>
      <c r="E77" s="251" t="str">
        <f>IF(AND(B77=$B$14,C77=$C$14,D77=$D$14,H77=$H$14),'Operating leases'!$B$16,"")</f>
        <v/>
      </c>
      <c r="F77" s="252" t="str">
        <f>IF(AND(B77=$B$16,C77=$C$16,D77=$D$16,H77=$H$16),'Operating leases'!$B$15,"")</f>
        <v/>
      </c>
      <c r="G77" s="252" t="str">
        <f t="shared" si="5"/>
        <v/>
      </c>
      <c r="H77" s="192" t="s">
        <v>221</v>
      </c>
      <c r="I77" s="192">
        <v>2023</v>
      </c>
      <c r="J77" s="209">
        <v>2167644.4553002892</v>
      </c>
      <c r="K77" s="253">
        <f>IF(C77='Global inputs'!$B$127,INDEX('Global inputs'!$L$127:$S$127,MATCH('Forecast opex'!I77,'Global inputs'!$L$126:$S$126,0)),1)</f>
        <v>1</v>
      </c>
      <c r="L77" s="254">
        <f t="shared" si="6"/>
        <v>2167644.4553002892</v>
      </c>
      <c r="M77" s="255">
        <f>IF(AND('Global inputs'!$D$128="Yes",C77='Global inputs'!$B$127),'Forecast opex'!L77*'Global inputs'!$L$127,'Forecast opex'!J77)</f>
        <v>2167644.4553002892</v>
      </c>
      <c r="N77" s="256">
        <f>IF(ISNA(MATCH(G77,'Operating leases'!$B$15:$B$26,0)),0,INDEX('Operating leases'!$M$15:$S$26,MATCH(G77,'Operating leases'!$B$15:$B$26,0),MATCH(I77,'Operating leases'!$M$11:$S$11,0)))</f>
        <v>0</v>
      </c>
      <c r="O77" s="257">
        <f t="shared" si="7"/>
        <v>2167644.4553002892</v>
      </c>
      <c r="P77" s="258">
        <f>INDEX('Escalators '!$M$144:$S$149,MATCH(H77,'Escalators '!$D$144:$D$149,0),MATCH(I77,'Escalators '!$M$133:$S$133,0))</f>
        <v>1.0476447344468334</v>
      </c>
      <c r="Q77" s="257">
        <f t="shared" si="8"/>
        <v>0</v>
      </c>
      <c r="R77" s="257">
        <f t="shared" si="9"/>
        <v>2270921.2997482223</v>
      </c>
    </row>
    <row r="78" spans="2:18" x14ac:dyDescent="0.2">
      <c r="B78" s="192" t="s">
        <v>253</v>
      </c>
      <c r="C78" s="192" t="s">
        <v>244</v>
      </c>
      <c r="D78" s="192" t="s">
        <v>417</v>
      </c>
      <c r="E78" s="251" t="str">
        <f>IF(AND(B78=$B$14,C78=$C$14,D78=$D$14,H78=$H$14),'Operating leases'!$B$16,"")</f>
        <v/>
      </c>
      <c r="F78" s="252" t="str">
        <f>IF(AND(B78=$B$16,C78=$C$16,D78=$D$16,H78=$H$16),'Operating leases'!$B$15,"")</f>
        <v/>
      </c>
      <c r="G78" s="252" t="str">
        <f t="shared" si="5"/>
        <v/>
      </c>
      <c r="H78" s="192" t="s">
        <v>229</v>
      </c>
      <c r="I78" s="192">
        <v>2023</v>
      </c>
      <c r="J78" s="209">
        <v>1445096.3035335259</v>
      </c>
      <c r="K78" s="253">
        <f>IF(C78='Global inputs'!$B$127,INDEX('Global inputs'!$L$127:$S$127,MATCH('Forecast opex'!I78,'Global inputs'!$L$126:$S$126,0)),1)</f>
        <v>1</v>
      </c>
      <c r="L78" s="254">
        <f t="shared" si="6"/>
        <v>1445096.3035335259</v>
      </c>
      <c r="M78" s="255">
        <f>IF(AND('Global inputs'!$D$128="Yes",C78='Global inputs'!$B$127),'Forecast opex'!L78*'Global inputs'!$L$127,'Forecast opex'!J78)</f>
        <v>1445096.3035335259</v>
      </c>
      <c r="N78" s="256">
        <f>IF(ISNA(MATCH(G78,'Operating leases'!$B$15:$B$26,0)),0,INDEX('Operating leases'!$M$15:$S$26,MATCH(G78,'Operating leases'!$B$15:$B$26,0),MATCH(I78,'Operating leases'!$M$11:$S$11,0)))</f>
        <v>0</v>
      </c>
      <c r="O78" s="257">
        <f t="shared" si="7"/>
        <v>1445096.3035335259</v>
      </c>
      <c r="P78" s="258">
        <f>INDEX('Escalators '!$M$144:$S$149,MATCH(H78,'Escalators '!$D$144:$D$149,0),MATCH(I78,'Escalators '!$M$133:$S$133,0))</f>
        <v>1.0336685867073583</v>
      </c>
      <c r="Q78" s="257">
        <f t="shared" si="8"/>
        <v>0</v>
      </c>
      <c r="R78" s="257">
        <f t="shared" si="9"/>
        <v>1493750.6537295273</v>
      </c>
    </row>
    <row r="79" spans="2:18" x14ac:dyDescent="0.2">
      <c r="B79" s="192" t="s">
        <v>258</v>
      </c>
      <c r="C79" s="192" t="s">
        <v>68</v>
      </c>
      <c r="D79" s="192" t="s">
        <v>419</v>
      </c>
      <c r="E79" s="251" t="str">
        <f>IF(AND(B79=$B$14,C79=$C$14,D79=$D$14,H79=$H$14),'Operating leases'!$B$16,"")</f>
        <v/>
      </c>
      <c r="F79" s="252" t="str">
        <f>IF(AND(B79=$B$16,C79=$C$16,D79=$D$16,H79=$H$16),'Operating leases'!$B$15,"")</f>
        <v/>
      </c>
      <c r="G79" s="252" t="str">
        <f t="shared" si="5"/>
        <v/>
      </c>
      <c r="H79" s="192" t="s">
        <v>221</v>
      </c>
      <c r="I79" s="192">
        <v>2023</v>
      </c>
      <c r="J79" s="209">
        <v>2974046.6700000004</v>
      </c>
      <c r="K79" s="253">
        <f>IF(C79='Global inputs'!$B$127,INDEX('Global inputs'!$L$127:$S$127,MATCH('Forecast opex'!I79,'Global inputs'!$L$126:$S$126,0)),1)</f>
        <v>1</v>
      </c>
      <c r="L79" s="254">
        <f t="shared" si="6"/>
        <v>2974046.6700000004</v>
      </c>
      <c r="M79" s="255">
        <f>IF(AND('Global inputs'!$D$128="Yes",C79='Global inputs'!$B$127),'Forecast opex'!L79*'Global inputs'!$L$127,'Forecast opex'!J79)</f>
        <v>2974046.6700000004</v>
      </c>
      <c r="N79" s="256">
        <f>IF(ISNA(MATCH(G79,'Operating leases'!$B$15:$B$26,0)),0,INDEX('Operating leases'!$M$15:$S$26,MATCH(G79,'Operating leases'!$B$15:$B$26,0),MATCH(I79,'Operating leases'!$M$11:$S$11,0)))</f>
        <v>0</v>
      </c>
      <c r="O79" s="257">
        <f t="shared" si="7"/>
        <v>2974046.6700000004</v>
      </c>
      <c r="P79" s="258">
        <f>INDEX('Escalators '!$M$144:$S$149,MATCH(H79,'Escalators '!$D$144:$D$149,0),MATCH(I79,'Escalators '!$M$133:$S$133,0))</f>
        <v>1.0476447344468334</v>
      </c>
      <c r="Q79" s="257">
        <f t="shared" si="8"/>
        <v>0</v>
      </c>
      <c r="R79" s="257">
        <f t="shared" si="9"/>
        <v>3115744.3338246397</v>
      </c>
    </row>
    <row r="80" spans="2:18" x14ac:dyDescent="0.2">
      <c r="B80" s="192" t="s">
        <v>258</v>
      </c>
      <c r="C80" s="192" t="s">
        <v>68</v>
      </c>
      <c r="D80" s="192" t="s">
        <v>419</v>
      </c>
      <c r="E80" s="251" t="str">
        <f>IF(AND(B80=$B$14,C80=$C$14,D80=$D$14,H80=$H$14),'Operating leases'!$B$16,"")</f>
        <v/>
      </c>
      <c r="F80" s="252" t="str">
        <f>IF(AND(B80=$B$16,C80=$C$16,D80=$D$16,H80=$H$16),'Operating leases'!$B$15,"")</f>
        <v/>
      </c>
      <c r="G80" s="252" t="str">
        <f t="shared" si="5"/>
        <v/>
      </c>
      <c r="H80" s="192" t="s">
        <v>229</v>
      </c>
      <c r="I80" s="192">
        <v>2023</v>
      </c>
      <c r="J80" s="209">
        <v>330449.63000000006</v>
      </c>
      <c r="K80" s="253">
        <f>IF(C80='Global inputs'!$B$127,INDEX('Global inputs'!$L$127:$S$127,MATCH('Forecast opex'!I80,'Global inputs'!$L$126:$S$126,0)),1)</f>
        <v>1</v>
      </c>
      <c r="L80" s="254">
        <f t="shared" si="6"/>
        <v>330449.63000000006</v>
      </c>
      <c r="M80" s="255">
        <f>IF(AND('Global inputs'!$D$128="Yes",C80='Global inputs'!$B$127),'Forecast opex'!L80*'Global inputs'!$L$127,'Forecast opex'!J80)</f>
        <v>330449.63000000006</v>
      </c>
      <c r="N80" s="256">
        <f>IF(ISNA(MATCH(G80,'Operating leases'!$B$15:$B$26,0)),0,INDEX('Operating leases'!$M$15:$S$26,MATCH(G80,'Operating leases'!$B$15:$B$26,0),MATCH(I80,'Operating leases'!$M$11:$S$11,0)))</f>
        <v>0</v>
      </c>
      <c r="O80" s="257">
        <f t="shared" si="7"/>
        <v>330449.63000000006</v>
      </c>
      <c r="P80" s="258">
        <f>INDEX('Escalators '!$M$144:$S$149,MATCH(H80,'Escalators '!$D$144:$D$149,0),MATCH(I80,'Escalators '!$M$133:$S$133,0))</f>
        <v>1.0336685867073583</v>
      </c>
      <c r="Q80" s="257">
        <f t="shared" si="8"/>
        <v>0</v>
      </c>
      <c r="R80" s="257">
        <f t="shared" si="9"/>
        <v>341575.40202006954</v>
      </c>
    </row>
    <row r="81" spans="2:18" x14ac:dyDescent="0.2">
      <c r="B81" s="192" t="s">
        <v>253</v>
      </c>
      <c r="C81" s="192" t="s">
        <v>241</v>
      </c>
      <c r="D81" s="192" t="s">
        <v>414</v>
      </c>
      <c r="E81" s="251" t="str">
        <f>IF(AND(B81=$B$14,C81=$C$14,D81=$D$14,H81=$H$14),'Operating leases'!$B$16,"")</f>
        <v/>
      </c>
      <c r="F81" s="252" t="str">
        <f>IF(AND(B81=$B$16,C81=$C$16,D81=$D$16,H81=$H$16),'Operating leases'!$B$15,"")</f>
        <v/>
      </c>
      <c r="G81" s="252" t="str">
        <f t="shared" si="5"/>
        <v/>
      </c>
      <c r="H81" s="192" t="s">
        <v>221</v>
      </c>
      <c r="I81" s="192">
        <v>2023</v>
      </c>
      <c r="J81" s="209">
        <v>3210009.9117561886</v>
      </c>
      <c r="K81" s="253">
        <f>IF(C81='Global inputs'!$B$127,INDEX('Global inputs'!$L$127:$S$127,MATCH('Forecast opex'!I81,'Global inputs'!$L$126:$S$126,0)),1)</f>
        <v>1</v>
      </c>
      <c r="L81" s="254">
        <f t="shared" si="6"/>
        <v>3210009.9117561886</v>
      </c>
      <c r="M81" s="255">
        <f>IF(AND('Global inputs'!$D$128="Yes",C81='Global inputs'!$B$127),'Forecast opex'!L81*'Global inputs'!$L$127,'Forecast opex'!J81)</f>
        <v>3210009.9117561886</v>
      </c>
      <c r="N81" s="256">
        <f>IF(ISNA(MATCH(G81,'Operating leases'!$B$15:$B$26,0)),0,INDEX('Operating leases'!$M$15:$S$26,MATCH(G81,'Operating leases'!$B$15:$B$26,0),MATCH(I81,'Operating leases'!$M$11:$S$11,0)))</f>
        <v>0</v>
      </c>
      <c r="O81" s="257">
        <f t="shared" si="7"/>
        <v>3210009.9117561886</v>
      </c>
      <c r="P81" s="258">
        <f>INDEX('Escalators '!$M$144:$S$149,MATCH(H81,'Escalators '!$D$144:$D$149,0),MATCH(I81,'Escalators '!$M$133:$S$133,0))</f>
        <v>1.0476447344468334</v>
      </c>
      <c r="Q81" s="257">
        <f t="shared" si="8"/>
        <v>0</v>
      </c>
      <c r="R81" s="257">
        <f t="shared" si="9"/>
        <v>3362949.9815735151</v>
      </c>
    </row>
    <row r="82" spans="2:18" x14ac:dyDescent="0.2">
      <c r="B82" s="192" t="s">
        <v>253</v>
      </c>
      <c r="C82" s="192" t="s">
        <v>241</v>
      </c>
      <c r="D82" s="192" t="s">
        <v>414</v>
      </c>
      <c r="E82" s="251" t="str">
        <f>IF(AND(B82=$B$14,C82=$C$14,D82=$D$14,H82=$H$14),'Operating leases'!$B$16,"")</f>
        <v/>
      </c>
      <c r="F82" s="252" t="str">
        <f>IF(AND(B82=$B$16,C82=$C$16,D82=$D$16,H82=$H$16),'Operating leases'!$B$15,"")</f>
        <v/>
      </c>
      <c r="G82" s="252" t="str">
        <f t="shared" si="5"/>
        <v/>
      </c>
      <c r="H82" s="192" t="s">
        <v>229</v>
      </c>
      <c r="I82" s="192">
        <v>2023</v>
      </c>
      <c r="J82" s="209">
        <v>1375718.5336097952</v>
      </c>
      <c r="K82" s="253">
        <f>IF(C82='Global inputs'!$B$127,INDEX('Global inputs'!$L$127:$S$127,MATCH('Forecast opex'!I82,'Global inputs'!$L$126:$S$126,0)),1)</f>
        <v>1</v>
      </c>
      <c r="L82" s="254">
        <f t="shared" si="6"/>
        <v>1375718.5336097952</v>
      </c>
      <c r="M82" s="255">
        <f>IF(AND('Global inputs'!$D$128="Yes",C82='Global inputs'!$B$127),'Forecast opex'!L82*'Global inputs'!$L$127,'Forecast opex'!J82)</f>
        <v>1375718.5336097952</v>
      </c>
      <c r="N82" s="256">
        <f>IF(ISNA(MATCH(G82,'Operating leases'!$B$15:$B$26,0)),0,INDEX('Operating leases'!$M$15:$S$26,MATCH(G82,'Operating leases'!$B$15:$B$26,0),MATCH(I82,'Operating leases'!$M$11:$S$11,0)))</f>
        <v>0</v>
      </c>
      <c r="O82" s="257">
        <f t="shared" si="7"/>
        <v>1375718.5336097952</v>
      </c>
      <c r="P82" s="258">
        <f>INDEX('Escalators '!$M$144:$S$149,MATCH(H82,'Escalators '!$D$144:$D$149,0),MATCH(I82,'Escalators '!$M$133:$S$133,0))</f>
        <v>1.0336685867073583</v>
      </c>
      <c r="Q82" s="257">
        <f t="shared" si="8"/>
        <v>0</v>
      </c>
      <c r="R82" s="257">
        <f t="shared" si="9"/>
        <v>1422037.0323435564</v>
      </c>
    </row>
    <row r="83" spans="2:18" x14ac:dyDescent="0.2">
      <c r="B83" s="192" t="s">
        <v>258</v>
      </c>
      <c r="C83" s="192" t="s">
        <v>246</v>
      </c>
      <c r="D83" s="192" t="s">
        <v>423</v>
      </c>
      <c r="E83" s="251" t="str">
        <f>IF(AND(B83=$B$14,C83=$C$14,D83=$D$14,H83=$H$14),'Operating leases'!$B$16,"")</f>
        <v/>
      </c>
      <c r="F83" s="252" t="str">
        <f>IF(AND(B83=$B$16,C83=$C$16,D83=$D$16,H83=$H$16),'Operating leases'!$B$15,"")</f>
        <v/>
      </c>
      <c r="G83" s="252" t="str">
        <f t="shared" si="5"/>
        <v/>
      </c>
      <c r="H83" s="192" t="s">
        <v>221</v>
      </c>
      <c r="I83" s="192">
        <v>2023</v>
      </c>
      <c r="J83" s="209">
        <v>534232.64373654593</v>
      </c>
      <c r="K83" s="253">
        <f>IF(C83='Global inputs'!$B$127,INDEX('Global inputs'!$L$127:$S$127,MATCH('Forecast opex'!I83,'Global inputs'!$L$126:$S$126,0)),1)</f>
        <v>1</v>
      </c>
      <c r="L83" s="254">
        <f t="shared" si="6"/>
        <v>534232.64373654593</v>
      </c>
      <c r="M83" s="255">
        <f>IF(AND('Global inputs'!$D$128="Yes",C83='Global inputs'!$B$127),'Forecast opex'!L83*'Global inputs'!$L$127,'Forecast opex'!J83)</f>
        <v>534232.64373654593</v>
      </c>
      <c r="N83" s="256">
        <f>IF(ISNA(MATCH(G83,'Operating leases'!$B$15:$B$26,0)),0,INDEX('Operating leases'!$M$15:$S$26,MATCH(G83,'Operating leases'!$B$15:$B$26,0),MATCH(I83,'Operating leases'!$M$11:$S$11,0)))</f>
        <v>0</v>
      </c>
      <c r="O83" s="257">
        <f t="shared" si="7"/>
        <v>534232.64373654593</v>
      </c>
      <c r="P83" s="258">
        <f>INDEX('Escalators '!$M$144:$S$149,MATCH(H83,'Escalators '!$D$144:$D$149,0),MATCH(I83,'Escalators '!$M$133:$S$133,0))</f>
        <v>1.0476447344468334</v>
      </c>
      <c r="Q83" s="257">
        <f t="shared" si="8"/>
        <v>0</v>
      </c>
      <c r="R83" s="257">
        <f t="shared" si="9"/>
        <v>559686.01618020341</v>
      </c>
    </row>
    <row r="84" spans="2:18" x14ac:dyDescent="0.2">
      <c r="B84" s="192" t="s">
        <v>258</v>
      </c>
      <c r="C84" s="192" t="s">
        <v>246</v>
      </c>
      <c r="D84" s="192" t="s">
        <v>423</v>
      </c>
      <c r="E84" s="251" t="str">
        <f>IF(AND(B84=$B$14,C84=$C$14,D84=$D$14,H84=$H$14),'Operating leases'!$B$16,"")</f>
        <v/>
      </c>
      <c r="F84" s="252" t="str">
        <f>IF(AND(B84=$B$16,C84=$C$16,D84=$D$16,H84=$H$16),'Operating leases'!$B$15,"")</f>
        <v/>
      </c>
      <c r="G84" s="252" t="str">
        <f t="shared" si="5"/>
        <v/>
      </c>
      <c r="H84" s="192" t="s">
        <v>229</v>
      </c>
      <c r="I84" s="192">
        <v>2023</v>
      </c>
      <c r="J84" s="209">
        <v>59359.182637393991</v>
      </c>
      <c r="K84" s="253">
        <f>IF(C84='Global inputs'!$B$127,INDEX('Global inputs'!$L$127:$S$127,MATCH('Forecast opex'!I84,'Global inputs'!$L$126:$S$126,0)),1)</f>
        <v>1</v>
      </c>
      <c r="L84" s="254">
        <f t="shared" si="6"/>
        <v>59359.182637393991</v>
      </c>
      <c r="M84" s="255">
        <f>IF(AND('Global inputs'!$D$128="Yes",C84='Global inputs'!$B$127),'Forecast opex'!L84*'Global inputs'!$L$127,'Forecast opex'!J84)</f>
        <v>59359.182637393991</v>
      </c>
      <c r="N84" s="256">
        <f>IF(ISNA(MATCH(G84,'Operating leases'!$B$15:$B$26,0)),0,INDEX('Operating leases'!$M$15:$S$26,MATCH(G84,'Operating leases'!$B$15:$B$26,0),MATCH(I84,'Operating leases'!$M$11:$S$11,0)))</f>
        <v>0</v>
      </c>
      <c r="O84" s="257">
        <f t="shared" si="7"/>
        <v>59359.182637393991</v>
      </c>
      <c r="P84" s="258">
        <f>INDEX('Escalators '!$M$144:$S$149,MATCH(H84,'Escalators '!$D$144:$D$149,0),MATCH(I84,'Escalators '!$M$133:$S$133,0))</f>
        <v>1.0336685867073583</v>
      </c>
      <c r="Q84" s="257">
        <f t="shared" si="8"/>
        <v>0</v>
      </c>
      <c r="R84" s="257">
        <f t="shared" si="9"/>
        <v>61357.72242489901</v>
      </c>
    </row>
    <row r="85" spans="2:18" x14ac:dyDescent="0.2">
      <c r="B85" s="192" t="s">
        <v>253</v>
      </c>
      <c r="C85" s="192" t="s">
        <v>243</v>
      </c>
      <c r="D85" s="192" t="s">
        <v>415</v>
      </c>
      <c r="E85" s="251" t="str">
        <f>IF(AND(B85=$B$14,C85=$C$14,D85=$D$14,H85=$H$14),'Operating leases'!$B$16,"")</f>
        <v/>
      </c>
      <c r="F85" s="252" t="str">
        <f>IF(AND(B85=$B$16,C85=$C$16,D85=$D$16,H85=$H$16),'Operating leases'!$B$15,"")</f>
        <v/>
      </c>
      <c r="G85" s="252" t="str">
        <f t="shared" si="5"/>
        <v/>
      </c>
      <c r="H85" s="192" t="s">
        <v>221</v>
      </c>
      <c r="I85" s="192">
        <v>2023</v>
      </c>
      <c r="J85" s="209">
        <v>2658149.3365002745</v>
      </c>
      <c r="K85" s="253">
        <f>IF(C85='Global inputs'!$B$127,INDEX('Global inputs'!$L$127:$S$127,MATCH('Forecast opex'!I85,'Global inputs'!$L$126:$S$126,0)),1)</f>
        <v>1</v>
      </c>
      <c r="L85" s="254">
        <f t="shared" si="6"/>
        <v>2658149.3365002745</v>
      </c>
      <c r="M85" s="255">
        <f>IF(AND('Global inputs'!$D$128="Yes",C85='Global inputs'!$B$127),'Forecast opex'!L85*'Global inputs'!$L$127,'Forecast opex'!J85)</f>
        <v>2658149.3365002745</v>
      </c>
      <c r="N85" s="256">
        <f>IF(ISNA(MATCH(G85,'Operating leases'!$B$15:$B$26,0)),0,INDEX('Operating leases'!$M$15:$S$26,MATCH(G85,'Operating leases'!$B$15:$B$26,0),MATCH(I85,'Operating leases'!$M$11:$S$11,0)))</f>
        <v>0</v>
      </c>
      <c r="O85" s="257">
        <f t="shared" si="7"/>
        <v>2658149.3365002745</v>
      </c>
      <c r="P85" s="258">
        <f>INDEX('Escalators '!$M$144:$S$149,MATCH(H85,'Escalators '!$D$144:$D$149,0),MATCH(I85,'Escalators '!$M$133:$S$133,0))</f>
        <v>1.0476447344468334</v>
      </c>
      <c r="Q85" s="257">
        <f t="shared" si="8"/>
        <v>0</v>
      </c>
      <c r="R85" s="257">
        <f t="shared" si="9"/>
        <v>2784796.1557578566</v>
      </c>
    </row>
    <row r="86" spans="2:18" x14ac:dyDescent="0.2">
      <c r="B86" s="192" t="s">
        <v>253</v>
      </c>
      <c r="C86" s="192" t="s">
        <v>243</v>
      </c>
      <c r="D86" s="192" t="s">
        <v>415</v>
      </c>
      <c r="E86" s="251" t="str">
        <f>IF(AND(B86=$B$14,C86=$C$14,D86=$D$14,H86=$H$14),'Operating leases'!$B$16,"")</f>
        <v/>
      </c>
      <c r="F86" s="252" t="str">
        <f>IF(AND(B86=$B$16,C86=$C$16,D86=$D$16,H86=$H$16),'Operating leases'!$B$15,"")</f>
        <v/>
      </c>
      <c r="G86" s="252" t="str">
        <f t="shared" si="5"/>
        <v/>
      </c>
      <c r="H86" s="192" t="s">
        <v>229</v>
      </c>
      <c r="I86" s="192">
        <v>2023</v>
      </c>
      <c r="J86" s="209">
        <v>1139206.8585001177</v>
      </c>
      <c r="K86" s="253">
        <f>IF(C86='Global inputs'!$B$127,INDEX('Global inputs'!$L$127:$S$127,MATCH('Forecast opex'!I86,'Global inputs'!$L$126:$S$126,0)),1)</f>
        <v>1</v>
      </c>
      <c r="L86" s="254">
        <f t="shared" si="6"/>
        <v>1139206.8585001177</v>
      </c>
      <c r="M86" s="255">
        <f>IF(AND('Global inputs'!$D$128="Yes",C86='Global inputs'!$B$127),'Forecast opex'!L86*'Global inputs'!$L$127,'Forecast opex'!J86)</f>
        <v>1139206.8585001177</v>
      </c>
      <c r="N86" s="256">
        <f>IF(ISNA(MATCH(G86,'Operating leases'!$B$15:$B$26,0)),0,INDEX('Operating leases'!$M$15:$S$26,MATCH(G86,'Operating leases'!$B$15:$B$26,0),MATCH(I86,'Operating leases'!$M$11:$S$11,0)))</f>
        <v>0</v>
      </c>
      <c r="O86" s="257">
        <f t="shared" si="7"/>
        <v>1139206.8585001177</v>
      </c>
      <c r="P86" s="258">
        <f>INDEX('Escalators '!$M$144:$S$149,MATCH(H86,'Escalators '!$D$144:$D$149,0),MATCH(I86,'Escalators '!$M$133:$S$133,0))</f>
        <v>1.0336685867073583</v>
      </c>
      <c r="Q86" s="257">
        <f t="shared" si="8"/>
        <v>0</v>
      </c>
      <c r="R86" s="257">
        <f t="shared" si="9"/>
        <v>1177562.3433931461</v>
      </c>
    </row>
    <row r="87" spans="2:18" x14ac:dyDescent="0.2">
      <c r="B87" s="192" t="s">
        <v>258</v>
      </c>
      <c r="C87" s="192" t="s">
        <v>68</v>
      </c>
      <c r="D87" s="192" t="s">
        <v>418</v>
      </c>
      <c r="E87" s="251" t="str">
        <f>IF(AND(B87=$B$14,C87=$C$14,D87=$D$14,H87=$H$14),'Operating leases'!$B$16,"")</f>
        <v/>
      </c>
      <c r="F87" s="252" t="str">
        <f>IF(AND(B87=$B$16,C87=$C$16,D87=$D$16,H87=$H$16),'Operating leases'!$B$15,"")</f>
        <v/>
      </c>
      <c r="G87" s="252" t="str">
        <f t="shared" si="5"/>
        <v/>
      </c>
      <c r="H87" s="192" t="s">
        <v>221</v>
      </c>
      <c r="I87" s="192">
        <v>2024</v>
      </c>
      <c r="J87" s="209">
        <v>4918328.4300816637</v>
      </c>
      <c r="K87" s="253">
        <f>IF(C87='Global inputs'!$B$127,INDEX('Global inputs'!$L$127:$S$127,MATCH('Forecast opex'!I87,'Global inputs'!$L$126:$S$126,0)),1)</f>
        <v>1</v>
      </c>
      <c r="L87" s="254">
        <f t="shared" si="6"/>
        <v>4918328.4300816637</v>
      </c>
      <c r="M87" s="255">
        <f>IF(AND('Global inputs'!$D$128="Yes",C87='Global inputs'!$B$127),'Forecast opex'!L87*'Global inputs'!$L$127,'Forecast opex'!J87)</f>
        <v>4918328.4300816637</v>
      </c>
      <c r="N87" s="256">
        <f>IF(ISNA(MATCH(G87,'Operating leases'!$B$15:$B$26,0)),0,INDEX('Operating leases'!$M$15:$S$26,MATCH(G87,'Operating leases'!$B$15:$B$26,0),MATCH(I87,'Operating leases'!$M$11:$S$11,0)))</f>
        <v>0</v>
      </c>
      <c r="O87" s="257">
        <f t="shared" si="7"/>
        <v>4918328.4300816637</v>
      </c>
      <c r="P87" s="258">
        <f>INDEX('Escalators '!$M$144:$S$149,MATCH(H87,'Escalators '!$D$144:$D$149,0),MATCH(I87,'Escalators '!$M$133:$S$133,0))</f>
        <v>1.065596680418939</v>
      </c>
      <c r="Q87" s="257">
        <f t="shared" si="8"/>
        <v>0</v>
      </c>
      <c r="R87" s="257">
        <f t="shared" si="9"/>
        <v>5240954.4483051123</v>
      </c>
    </row>
    <row r="88" spans="2:18" x14ac:dyDescent="0.2">
      <c r="B88" s="192" t="s">
        <v>258</v>
      </c>
      <c r="C88" s="192" t="s">
        <v>68</v>
      </c>
      <c r="D88" s="192" t="s">
        <v>420</v>
      </c>
      <c r="E88" s="251" t="str">
        <f>IF(AND(B88=$B$14,C88=$C$14,D88=$D$14,H88=$H$14),'Operating leases'!$B$16,"")</f>
        <v/>
      </c>
      <c r="F88" s="252" t="str">
        <f>IF(AND(B88=$B$16,C88=$C$16,D88=$D$16,H88=$H$16),'Operating leases'!$B$15,"")</f>
        <v/>
      </c>
      <c r="G88" s="252" t="str">
        <f t="shared" si="5"/>
        <v/>
      </c>
      <c r="H88" s="192" t="s">
        <v>221</v>
      </c>
      <c r="I88" s="192">
        <v>2024</v>
      </c>
      <c r="J88" s="209">
        <v>0</v>
      </c>
      <c r="K88" s="253">
        <f>IF(C88='Global inputs'!$B$127,INDEX('Global inputs'!$L$127:$S$127,MATCH('Forecast opex'!I88,'Global inputs'!$L$126:$S$126,0)),1)</f>
        <v>1</v>
      </c>
      <c r="L88" s="254">
        <f t="shared" si="6"/>
        <v>0</v>
      </c>
      <c r="M88" s="255">
        <f>IF(AND('Global inputs'!$D$128="Yes",C88='Global inputs'!$B$127),'Forecast opex'!L88*'Global inputs'!$L$127,'Forecast opex'!J88)</f>
        <v>0</v>
      </c>
      <c r="N88" s="256">
        <f>IF(ISNA(MATCH(G88,'Operating leases'!$B$15:$B$26,0)),0,INDEX('Operating leases'!$M$15:$S$26,MATCH(G88,'Operating leases'!$B$15:$B$26,0),MATCH(I88,'Operating leases'!$M$11:$S$11,0)))</f>
        <v>0</v>
      </c>
      <c r="O88" s="257">
        <f t="shared" si="7"/>
        <v>0</v>
      </c>
      <c r="P88" s="258">
        <f>INDEX('Escalators '!$M$144:$S$149,MATCH(H88,'Escalators '!$D$144:$D$149,0),MATCH(I88,'Escalators '!$M$133:$S$133,0))</f>
        <v>1.065596680418939</v>
      </c>
      <c r="Q88" s="257">
        <f t="shared" si="8"/>
        <v>0</v>
      </c>
      <c r="R88" s="257">
        <f t="shared" si="9"/>
        <v>0</v>
      </c>
    </row>
    <row r="89" spans="2:18" x14ac:dyDescent="0.2">
      <c r="B89" s="192" t="s">
        <v>258</v>
      </c>
      <c r="C89" s="192" t="s">
        <v>68</v>
      </c>
      <c r="D89" s="192" t="s">
        <v>421</v>
      </c>
      <c r="E89" s="251" t="str">
        <f>IF(AND(B89=$B$14,C89=$C$14,D89=$D$14,H89=$H$14),'Operating leases'!$B$16,"")</f>
        <v/>
      </c>
      <c r="F89" s="252" t="str">
        <f>IF(AND(B89=$B$16,C89=$C$16,D89=$D$16,H89=$H$16),'Operating leases'!$B$15,"")</f>
        <v/>
      </c>
      <c r="G89" s="252" t="str">
        <f t="shared" si="5"/>
        <v/>
      </c>
      <c r="H89" s="192" t="s">
        <v>221</v>
      </c>
      <c r="I89" s="192">
        <v>2024</v>
      </c>
      <c r="J89" s="209">
        <v>0</v>
      </c>
      <c r="K89" s="253">
        <f>IF(C89='Global inputs'!$B$127,INDEX('Global inputs'!$L$127:$S$127,MATCH('Forecast opex'!I89,'Global inputs'!$L$126:$S$126,0)),1)</f>
        <v>1</v>
      </c>
      <c r="L89" s="254">
        <f t="shared" si="6"/>
        <v>0</v>
      </c>
      <c r="M89" s="255">
        <f>IF(AND('Global inputs'!$D$128="Yes",C89='Global inputs'!$B$127),'Forecast opex'!L89*'Global inputs'!$L$127,'Forecast opex'!J89)</f>
        <v>0</v>
      </c>
      <c r="N89" s="256">
        <f>IF(ISNA(MATCH(G89,'Operating leases'!$B$15:$B$26,0)),0,INDEX('Operating leases'!$M$15:$S$26,MATCH(G89,'Operating leases'!$B$15:$B$26,0),MATCH(I89,'Operating leases'!$M$11:$S$11,0)))</f>
        <v>0</v>
      </c>
      <c r="O89" s="257">
        <f t="shared" si="7"/>
        <v>0</v>
      </c>
      <c r="P89" s="258">
        <f>INDEX('Escalators '!$M$144:$S$149,MATCH(H89,'Escalators '!$D$144:$D$149,0),MATCH(I89,'Escalators '!$M$133:$S$133,0))</f>
        <v>1.065596680418939</v>
      </c>
      <c r="Q89" s="257">
        <f t="shared" si="8"/>
        <v>0</v>
      </c>
      <c r="R89" s="257">
        <f t="shared" si="9"/>
        <v>0</v>
      </c>
    </row>
    <row r="90" spans="2:18" x14ac:dyDescent="0.2">
      <c r="B90" s="192" t="s">
        <v>258</v>
      </c>
      <c r="C90" s="192" t="s">
        <v>68</v>
      </c>
      <c r="D90" s="192" t="s">
        <v>418</v>
      </c>
      <c r="E90" s="251" t="str">
        <f>IF(AND(B90=$B$14,C90=$C$14,D90=$D$14,H90=$H$14),'Operating leases'!$B$16,"")</f>
        <v/>
      </c>
      <c r="F90" s="252" t="str">
        <f>IF(AND(B90=$B$16,C90=$C$16,D90=$D$16,H90=$H$16),'Operating leases'!$B$15,"")</f>
        <v/>
      </c>
      <c r="G90" s="252" t="str">
        <f t="shared" si="5"/>
        <v/>
      </c>
      <c r="H90" s="192" t="s">
        <v>229</v>
      </c>
      <c r="I90" s="192">
        <v>2024</v>
      </c>
      <c r="J90" s="209">
        <v>546480.93667574052</v>
      </c>
      <c r="K90" s="253">
        <f>IF(C90='Global inputs'!$B$127,INDEX('Global inputs'!$L$127:$S$127,MATCH('Forecast opex'!I90,'Global inputs'!$L$126:$S$126,0)),1)</f>
        <v>1</v>
      </c>
      <c r="L90" s="254">
        <f t="shared" si="6"/>
        <v>546480.93667574052</v>
      </c>
      <c r="M90" s="255">
        <f>IF(AND('Global inputs'!$D$128="Yes",C90='Global inputs'!$B$127),'Forecast opex'!L90*'Global inputs'!$L$127,'Forecast opex'!J90)</f>
        <v>546480.93667574052</v>
      </c>
      <c r="N90" s="256">
        <f>IF(ISNA(MATCH(G90,'Operating leases'!$B$15:$B$26,0)),0,INDEX('Operating leases'!$M$15:$S$26,MATCH(G90,'Operating leases'!$B$15:$B$26,0),MATCH(I90,'Operating leases'!$M$11:$S$11,0)))</f>
        <v>0</v>
      </c>
      <c r="O90" s="257">
        <f t="shared" si="7"/>
        <v>546480.93667574052</v>
      </c>
      <c r="P90" s="258">
        <f>INDEX('Escalators '!$M$144:$S$149,MATCH(H90,'Escalators '!$D$144:$D$149,0),MATCH(I90,'Escalators '!$M$133:$S$133,0))</f>
        <v>1.0508019367064954</v>
      </c>
      <c r="Q90" s="257">
        <f t="shared" si="8"/>
        <v>0</v>
      </c>
      <c r="R90" s="257">
        <f t="shared" si="9"/>
        <v>574243.22663204779</v>
      </c>
    </row>
    <row r="91" spans="2:18" x14ac:dyDescent="0.2">
      <c r="B91" s="192" t="s">
        <v>258</v>
      </c>
      <c r="C91" s="192" t="s">
        <v>68</v>
      </c>
      <c r="D91" s="192" t="s">
        <v>420</v>
      </c>
      <c r="E91" s="251" t="str">
        <f>IF(AND(B91=$B$14,C91=$C$14,D91=$D$14,H91=$H$14),'Operating leases'!$B$16,"")</f>
        <v>Premises Plant &amp; Insurance</v>
      </c>
      <c r="F91" s="252" t="str">
        <f>IF(AND(B91=$B$16,C91=$C$16,D91=$D$16,H91=$H$16),'Operating leases'!$B$15,"")</f>
        <v/>
      </c>
      <c r="G91" s="252" t="str">
        <f t="shared" si="5"/>
        <v>Premises Plant &amp; Insurance</v>
      </c>
      <c r="H91" s="192" t="s">
        <v>229</v>
      </c>
      <c r="I91" s="192">
        <v>2024</v>
      </c>
      <c r="J91" s="209">
        <v>1017663.0166717427</v>
      </c>
      <c r="K91" s="253">
        <f>IF(C91='Global inputs'!$B$127,INDEX('Global inputs'!$L$127:$S$127,MATCH('Forecast opex'!I91,'Global inputs'!$L$126:$S$126,0)),1)</f>
        <v>1</v>
      </c>
      <c r="L91" s="254">
        <f t="shared" si="6"/>
        <v>1017663.0166717427</v>
      </c>
      <c r="M91" s="255">
        <f>IF(AND('Global inputs'!$D$128="Yes",C91='Global inputs'!$B$127),'Forecast opex'!L91*'Global inputs'!$L$127,'Forecast opex'!J91)</f>
        <v>1017663.0166717427</v>
      </c>
      <c r="N91" s="256">
        <f>IF(ISNA(MATCH(G91,'Operating leases'!$B$15:$B$26,0)),0,INDEX('Operating leases'!$M$15:$S$26,MATCH(G91,'Operating leases'!$B$15:$B$26,0),MATCH(I91,'Operating leases'!$M$11:$S$11,0)))</f>
        <v>716736.37846383068</v>
      </c>
      <c r="O91" s="257">
        <f t="shared" si="7"/>
        <v>300926.63820791198</v>
      </c>
      <c r="P91" s="258">
        <f>INDEX('Escalators '!$M$144:$S$149,MATCH(H91,'Escalators '!$D$144:$D$149,0),MATCH(I91,'Escalators '!$M$133:$S$133,0))</f>
        <v>1.0508019367064954</v>
      </c>
      <c r="Q91" s="257">
        <f t="shared" si="8"/>
        <v>753147.97459779296</v>
      </c>
      <c r="R91" s="257">
        <f t="shared" si="9"/>
        <v>316214.29423544876</v>
      </c>
    </row>
    <row r="92" spans="2:18" x14ac:dyDescent="0.2">
      <c r="B92" s="192" t="s">
        <v>258</v>
      </c>
      <c r="C92" s="192" t="s">
        <v>68</v>
      </c>
      <c r="D92" s="192" t="s">
        <v>421</v>
      </c>
      <c r="E92" s="251" t="str">
        <f>IF(AND(B92=$B$14,C92=$C$14,D92=$D$14,H92=$H$14),'Operating leases'!$B$16,"")</f>
        <v/>
      </c>
      <c r="F92" s="252" t="str">
        <f>IF(AND(B92=$B$16,C92=$C$16,D92=$D$16,H92=$H$16),'Operating leases'!$B$15,"")</f>
        <v/>
      </c>
      <c r="G92" s="252" t="str">
        <f t="shared" si="5"/>
        <v/>
      </c>
      <c r="H92" s="192" t="s">
        <v>229</v>
      </c>
      <c r="I92" s="192">
        <v>2024</v>
      </c>
      <c r="J92" s="209">
        <v>2928827.5974573088</v>
      </c>
      <c r="K92" s="253">
        <f>IF(C92='Global inputs'!$B$127,INDEX('Global inputs'!$L$127:$S$127,MATCH('Forecast opex'!I92,'Global inputs'!$L$126:$S$126,0)),1)</f>
        <v>1</v>
      </c>
      <c r="L92" s="254">
        <f t="shared" si="6"/>
        <v>2928827.5974573088</v>
      </c>
      <c r="M92" s="255">
        <f>IF(AND('Global inputs'!$D$128="Yes",C92='Global inputs'!$B$127),'Forecast opex'!L92*'Global inputs'!$L$127,'Forecast opex'!J92)</f>
        <v>2928827.5974573088</v>
      </c>
      <c r="N92" s="256">
        <f>IF(ISNA(MATCH(G92,'Operating leases'!$B$15:$B$26,0)),0,INDEX('Operating leases'!$M$15:$S$26,MATCH(G92,'Operating leases'!$B$15:$B$26,0),MATCH(I92,'Operating leases'!$M$11:$S$11,0)))</f>
        <v>0</v>
      </c>
      <c r="O92" s="257">
        <f t="shared" si="7"/>
        <v>2928827.5974573088</v>
      </c>
      <c r="P92" s="258">
        <f>INDEX('Escalators '!$M$144:$S$149,MATCH(H92,'Escalators '!$D$144:$D$149,0),MATCH(I92,'Escalators '!$M$133:$S$133,0))</f>
        <v>1.0508019367064954</v>
      </c>
      <c r="Q92" s="257">
        <f t="shared" si="8"/>
        <v>0</v>
      </c>
      <c r="R92" s="257">
        <f t="shared" si="9"/>
        <v>3077617.7116875718</v>
      </c>
    </row>
    <row r="93" spans="2:18" x14ac:dyDescent="0.2">
      <c r="B93" s="192" t="s">
        <v>258</v>
      </c>
      <c r="C93" s="192" t="s">
        <v>246</v>
      </c>
      <c r="D93" s="192" t="s">
        <v>422</v>
      </c>
      <c r="E93" s="251" t="str">
        <f>IF(AND(B93=$B$14,C93=$C$14,D93=$D$14,H93=$H$14),'Operating leases'!$B$16,"")</f>
        <v/>
      </c>
      <c r="F93" s="252" t="str">
        <f>IF(AND(B93=$B$16,C93=$C$16,D93=$D$16,H93=$H$16),'Operating leases'!$B$15,"")</f>
        <v/>
      </c>
      <c r="G93" s="252" t="str">
        <f t="shared" si="5"/>
        <v/>
      </c>
      <c r="H93" s="192" t="s">
        <v>221</v>
      </c>
      <c r="I93" s="192">
        <v>2024</v>
      </c>
      <c r="J93" s="209">
        <v>9921649.3168185689</v>
      </c>
      <c r="K93" s="253">
        <f>IF(C93='Global inputs'!$B$127,INDEX('Global inputs'!$L$127:$S$127,MATCH('Forecast opex'!I93,'Global inputs'!$L$126:$S$126,0)),1)</f>
        <v>1</v>
      </c>
      <c r="L93" s="254">
        <f t="shared" si="6"/>
        <v>9921649.3168185689</v>
      </c>
      <c r="M93" s="255">
        <f>IF(AND('Global inputs'!$D$128="Yes",C93='Global inputs'!$B$127),'Forecast opex'!L93*'Global inputs'!$L$127,'Forecast opex'!J93)</f>
        <v>9921649.3168185689</v>
      </c>
      <c r="N93" s="256">
        <f>IF(ISNA(MATCH(G93,'Operating leases'!$B$15:$B$26,0)),0,INDEX('Operating leases'!$M$15:$S$26,MATCH(G93,'Operating leases'!$B$15:$B$26,0),MATCH(I93,'Operating leases'!$M$11:$S$11,0)))</f>
        <v>0</v>
      </c>
      <c r="O93" s="257">
        <f t="shared" si="7"/>
        <v>9921649.3168185689</v>
      </c>
      <c r="P93" s="258">
        <f>INDEX('Escalators '!$M$144:$S$149,MATCH(H93,'Escalators '!$D$144:$D$149,0),MATCH(I93,'Escalators '!$M$133:$S$133,0))</f>
        <v>1.065596680418939</v>
      </c>
      <c r="Q93" s="257">
        <f t="shared" si="8"/>
        <v>0</v>
      </c>
      <c r="R93" s="257">
        <f t="shared" si="9"/>
        <v>10572476.576282701</v>
      </c>
    </row>
    <row r="94" spans="2:18" x14ac:dyDescent="0.2">
      <c r="B94" s="192" t="s">
        <v>258</v>
      </c>
      <c r="C94" s="192" t="s">
        <v>246</v>
      </c>
      <c r="D94" s="192" t="s">
        <v>422</v>
      </c>
      <c r="E94" s="251" t="str">
        <f>IF(AND(B94=$B$14,C94=$C$14,D94=$D$14,H94=$H$14),'Operating leases'!$B$16,"")</f>
        <v/>
      </c>
      <c r="F94" s="252" t="str">
        <f>IF(AND(B94=$B$16,C94=$C$16,D94=$D$16,H94=$H$16),'Operating leases'!$B$15,"")</f>
        <v>SONS</v>
      </c>
      <c r="G94" s="252" t="str">
        <f t="shared" si="5"/>
        <v>SONS</v>
      </c>
      <c r="H94" s="192" t="s">
        <v>229</v>
      </c>
      <c r="I94" s="192">
        <v>2024</v>
      </c>
      <c r="J94" s="209">
        <v>1102405.4796465077</v>
      </c>
      <c r="K94" s="253">
        <f>IF(C94='Global inputs'!$B$127,INDEX('Global inputs'!$L$127:$S$127,MATCH('Forecast opex'!I94,'Global inputs'!$L$126:$S$126,0)),1)</f>
        <v>1</v>
      </c>
      <c r="L94" s="254">
        <f t="shared" si="6"/>
        <v>1102405.4796465077</v>
      </c>
      <c r="M94" s="255">
        <f>IF(AND('Global inputs'!$D$128="Yes",C94='Global inputs'!$B$127),'Forecast opex'!L94*'Global inputs'!$L$127,'Forecast opex'!J94)</f>
        <v>1102405.4796465077</v>
      </c>
      <c r="N94" s="256">
        <f>IF(ISNA(MATCH(G94,'Operating leases'!$B$15:$B$26,0)),0,INDEX('Operating leases'!$M$15:$S$26,MATCH(G94,'Operating leases'!$B$15:$B$26,0),MATCH(I94,'Operating leases'!$M$11:$S$11,0)))</f>
        <v>372620.22571699979</v>
      </c>
      <c r="O94" s="257">
        <f t="shared" si="7"/>
        <v>729785.25392950792</v>
      </c>
      <c r="P94" s="258">
        <f>INDEX('Escalators '!$M$144:$S$149,MATCH(H94,'Escalators '!$D$144:$D$149,0),MATCH(I94,'Escalators '!$M$133:$S$133,0))</f>
        <v>1.0508019367064954</v>
      </c>
      <c r="Q94" s="257">
        <f t="shared" si="8"/>
        <v>391550.0548394348</v>
      </c>
      <c r="R94" s="257">
        <f t="shared" si="9"/>
        <v>766859.75820896844</v>
      </c>
    </row>
    <row r="95" spans="2:18" x14ac:dyDescent="0.2">
      <c r="B95" s="192" t="s">
        <v>253</v>
      </c>
      <c r="C95" s="192" t="s">
        <v>244</v>
      </c>
      <c r="D95" s="192" t="s">
        <v>416</v>
      </c>
      <c r="E95" s="251" t="str">
        <f>IF(AND(B95=$B$14,C95=$C$14,D95=$D$14,H95=$H$14),'Operating leases'!$B$16,"")</f>
        <v/>
      </c>
      <c r="F95" s="252" t="str">
        <f>IF(AND(B95=$B$16,C95=$C$16,D95=$D$16,H95=$H$16),'Operating leases'!$B$15,"")</f>
        <v/>
      </c>
      <c r="G95" s="252" t="str">
        <f t="shared" si="5"/>
        <v/>
      </c>
      <c r="H95" s="192" t="s">
        <v>221</v>
      </c>
      <c r="I95" s="192">
        <v>2024</v>
      </c>
      <c r="J95" s="209">
        <v>3875374.1471001161</v>
      </c>
      <c r="K95" s="253">
        <f>IF(C95='Global inputs'!$B$127,INDEX('Global inputs'!$L$127:$S$127,MATCH('Forecast opex'!I95,'Global inputs'!$L$126:$S$126,0)),1)</f>
        <v>1</v>
      </c>
      <c r="L95" s="254">
        <f t="shared" si="6"/>
        <v>3875374.1471001161</v>
      </c>
      <c r="M95" s="255">
        <f>IF(AND('Global inputs'!$D$128="Yes",C95='Global inputs'!$B$127),'Forecast opex'!L95*'Global inputs'!$L$127,'Forecast opex'!J95)</f>
        <v>3875374.1471001161</v>
      </c>
      <c r="N95" s="256">
        <f>IF(ISNA(MATCH(G95,'Operating leases'!$B$15:$B$26,0)),0,INDEX('Operating leases'!$M$15:$S$26,MATCH(G95,'Operating leases'!$B$15:$B$26,0),MATCH(I95,'Operating leases'!$M$11:$S$11,0)))</f>
        <v>0</v>
      </c>
      <c r="O95" s="257">
        <f t="shared" si="7"/>
        <v>3875374.1471001161</v>
      </c>
      <c r="P95" s="258">
        <f>INDEX('Escalators '!$M$144:$S$149,MATCH(H95,'Escalators '!$D$144:$D$149,0),MATCH(I95,'Escalators '!$M$133:$S$133,0))</f>
        <v>1.065596680418939</v>
      </c>
      <c r="Q95" s="257">
        <f t="shared" si="8"/>
        <v>0</v>
      </c>
      <c r="R95" s="257">
        <f t="shared" si="9"/>
        <v>4129585.8265312607</v>
      </c>
    </row>
    <row r="96" spans="2:18" x14ac:dyDescent="0.2">
      <c r="B96" s="192" t="s">
        <v>253</v>
      </c>
      <c r="C96" s="192" t="s">
        <v>244</v>
      </c>
      <c r="D96" s="192" t="s">
        <v>416</v>
      </c>
      <c r="E96" s="251" t="str">
        <f>IF(AND(B96=$B$14,C96=$C$14,D96=$D$14,H96=$H$14),'Operating leases'!$B$16,"")</f>
        <v/>
      </c>
      <c r="F96" s="252" t="str">
        <f>IF(AND(B96=$B$16,C96=$C$16,D96=$D$16,H96=$H$16),'Operating leases'!$B$15,"")</f>
        <v/>
      </c>
      <c r="G96" s="252" t="str">
        <f t="shared" si="5"/>
        <v/>
      </c>
      <c r="H96" s="192" t="s">
        <v>229</v>
      </c>
      <c r="I96" s="192">
        <v>2024</v>
      </c>
      <c r="J96" s="209">
        <v>2583582.7647334114</v>
      </c>
      <c r="K96" s="253">
        <f>IF(C96='Global inputs'!$B$127,INDEX('Global inputs'!$L$127:$S$127,MATCH('Forecast opex'!I96,'Global inputs'!$L$126:$S$126,0)),1)</f>
        <v>1</v>
      </c>
      <c r="L96" s="254">
        <f t="shared" si="6"/>
        <v>2583582.7647334114</v>
      </c>
      <c r="M96" s="255">
        <f>IF(AND('Global inputs'!$D$128="Yes",C96='Global inputs'!$B$127),'Forecast opex'!L96*'Global inputs'!$L$127,'Forecast opex'!J96)</f>
        <v>2583582.7647334114</v>
      </c>
      <c r="N96" s="256">
        <f>IF(ISNA(MATCH(G96,'Operating leases'!$B$15:$B$26,0)),0,INDEX('Operating leases'!$M$15:$S$26,MATCH(G96,'Operating leases'!$B$15:$B$26,0),MATCH(I96,'Operating leases'!$M$11:$S$11,0)))</f>
        <v>0</v>
      </c>
      <c r="O96" s="257">
        <f t="shared" si="7"/>
        <v>2583582.7647334114</v>
      </c>
      <c r="P96" s="258">
        <f>INDEX('Escalators '!$M$144:$S$149,MATCH(H96,'Escalators '!$D$144:$D$149,0),MATCH(I96,'Escalators '!$M$133:$S$133,0))</f>
        <v>1.0508019367064954</v>
      </c>
      <c r="Q96" s="257">
        <f t="shared" si="8"/>
        <v>0</v>
      </c>
      <c r="R96" s="257">
        <f t="shared" si="9"/>
        <v>2714833.7728233906</v>
      </c>
    </row>
    <row r="97" spans="2:18" x14ac:dyDescent="0.2">
      <c r="B97" s="192" t="s">
        <v>253</v>
      </c>
      <c r="C97" s="192" t="s">
        <v>244</v>
      </c>
      <c r="D97" s="192" t="s">
        <v>417</v>
      </c>
      <c r="E97" s="251" t="str">
        <f>IF(AND(B97=$B$14,C97=$C$14,D97=$D$14,H97=$H$14),'Operating leases'!$B$16,"")</f>
        <v/>
      </c>
      <c r="F97" s="252" t="str">
        <f>IF(AND(B97=$B$16,C97=$C$16,D97=$D$16,H97=$H$16),'Operating leases'!$B$15,"")</f>
        <v/>
      </c>
      <c r="G97" s="252" t="str">
        <f t="shared" si="5"/>
        <v/>
      </c>
      <c r="H97" s="192" t="s">
        <v>221</v>
      </c>
      <c r="I97" s="192">
        <v>2024</v>
      </c>
      <c r="J97" s="209">
        <v>1938942.2536706789</v>
      </c>
      <c r="K97" s="253">
        <f>IF(C97='Global inputs'!$B$127,INDEX('Global inputs'!$L$127:$S$127,MATCH('Forecast opex'!I97,'Global inputs'!$L$126:$S$126,0)),1)</f>
        <v>1</v>
      </c>
      <c r="L97" s="254">
        <f t="shared" si="6"/>
        <v>1938942.2536706789</v>
      </c>
      <c r="M97" s="255">
        <f>IF(AND('Global inputs'!$D$128="Yes",C97='Global inputs'!$B$127),'Forecast opex'!L97*'Global inputs'!$L$127,'Forecast opex'!J97)</f>
        <v>1938942.2536706789</v>
      </c>
      <c r="N97" s="256">
        <f>IF(ISNA(MATCH(G97,'Operating leases'!$B$15:$B$26,0)),0,INDEX('Operating leases'!$M$15:$S$26,MATCH(G97,'Operating leases'!$B$15:$B$26,0),MATCH(I97,'Operating leases'!$M$11:$S$11,0)))</f>
        <v>0</v>
      </c>
      <c r="O97" s="257">
        <f t="shared" si="7"/>
        <v>1938942.2536706789</v>
      </c>
      <c r="P97" s="258">
        <f>INDEX('Escalators '!$M$144:$S$149,MATCH(H97,'Escalators '!$D$144:$D$149,0),MATCH(I97,'Escalators '!$M$133:$S$133,0))</f>
        <v>1.065596680418939</v>
      </c>
      <c r="Q97" s="257">
        <f t="shared" si="8"/>
        <v>0</v>
      </c>
      <c r="R97" s="257">
        <f t="shared" si="9"/>
        <v>2066130.4290354918</v>
      </c>
    </row>
    <row r="98" spans="2:18" x14ac:dyDescent="0.2">
      <c r="B98" s="192" t="s">
        <v>253</v>
      </c>
      <c r="C98" s="192" t="s">
        <v>244</v>
      </c>
      <c r="D98" s="192" t="s">
        <v>417</v>
      </c>
      <c r="E98" s="251" t="str">
        <f>IF(AND(B98=$B$14,C98=$C$14,D98=$D$14,H98=$H$14),'Operating leases'!$B$16,"")</f>
        <v/>
      </c>
      <c r="F98" s="252" t="str">
        <f>IF(AND(B98=$B$16,C98=$C$16,D98=$D$16,H98=$H$16),'Operating leases'!$B$15,"")</f>
        <v/>
      </c>
      <c r="G98" s="252" t="str">
        <f t="shared" si="5"/>
        <v/>
      </c>
      <c r="H98" s="192" t="s">
        <v>229</v>
      </c>
      <c r="I98" s="192">
        <v>2024</v>
      </c>
      <c r="J98" s="209">
        <v>1292628.169113786</v>
      </c>
      <c r="K98" s="253">
        <f>IF(C98='Global inputs'!$B$127,INDEX('Global inputs'!$L$127:$S$127,MATCH('Forecast opex'!I98,'Global inputs'!$L$126:$S$126,0)),1)</f>
        <v>1</v>
      </c>
      <c r="L98" s="254">
        <f t="shared" si="6"/>
        <v>1292628.169113786</v>
      </c>
      <c r="M98" s="255">
        <f>IF(AND('Global inputs'!$D$128="Yes",C98='Global inputs'!$B$127),'Forecast opex'!L98*'Global inputs'!$L$127,'Forecast opex'!J98)</f>
        <v>1292628.169113786</v>
      </c>
      <c r="N98" s="256">
        <f>IF(ISNA(MATCH(G98,'Operating leases'!$B$15:$B$26,0)),0,INDEX('Operating leases'!$M$15:$S$26,MATCH(G98,'Operating leases'!$B$15:$B$26,0),MATCH(I98,'Operating leases'!$M$11:$S$11,0)))</f>
        <v>0</v>
      </c>
      <c r="O98" s="257">
        <f t="shared" si="7"/>
        <v>1292628.169113786</v>
      </c>
      <c r="P98" s="258">
        <f>INDEX('Escalators '!$M$144:$S$149,MATCH(H98,'Escalators '!$D$144:$D$149,0),MATCH(I98,'Escalators '!$M$133:$S$133,0))</f>
        <v>1.0508019367064954</v>
      </c>
      <c r="Q98" s="257">
        <f t="shared" si="8"/>
        <v>0</v>
      </c>
      <c r="R98" s="257">
        <f t="shared" si="9"/>
        <v>1358296.1835461375</v>
      </c>
    </row>
    <row r="99" spans="2:18" x14ac:dyDescent="0.2">
      <c r="B99" s="192" t="s">
        <v>258</v>
      </c>
      <c r="C99" s="192" t="s">
        <v>68</v>
      </c>
      <c r="D99" s="192" t="s">
        <v>419</v>
      </c>
      <c r="E99" s="251" t="str">
        <f>IF(AND(B99=$B$14,C99=$C$14,D99=$D$14,H99=$H$14),'Operating leases'!$B$16,"")</f>
        <v/>
      </c>
      <c r="F99" s="252" t="str">
        <f>IF(AND(B99=$B$16,C99=$C$16,D99=$D$16,H99=$H$16),'Operating leases'!$B$15,"")</f>
        <v/>
      </c>
      <c r="G99" s="252" t="str">
        <f t="shared" si="5"/>
        <v/>
      </c>
      <c r="H99" s="192" t="s">
        <v>221</v>
      </c>
      <c r="I99" s="192">
        <v>2024</v>
      </c>
      <c r="J99" s="209">
        <v>3129746.6700000004</v>
      </c>
      <c r="K99" s="253">
        <f>IF(C99='Global inputs'!$B$127,INDEX('Global inputs'!$L$127:$S$127,MATCH('Forecast opex'!I99,'Global inputs'!$L$126:$S$126,0)),1)</f>
        <v>1</v>
      </c>
      <c r="L99" s="254">
        <f t="shared" si="6"/>
        <v>3129746.6700000004</v>
      </c>
      <c r="M99" s="255">
        <f>IF(AND('Global inputs'!$D$128="Yes",C99='Global inputs'!$B$127),'Forecast opex'!L99*'Global inputs'!$L$127,'Forecast opex'!J99)</f>
        <v>3129746.6700000004</v>
      </c>
      <c r="N99" s="256">
        <f>IF(ISNA(MATCH(G99,'Operating leases'!$B$15:$B$26,0)),0,INDEX('Operating leases'!$M$15:$S$26,MATCH(G99,'Operating leases'!$B$15:$B$26,0),MATCH(I99,'Operating leases'!$M$11:$S$11,0)))</f>
        <v>0</v>
      </c>
      <c r="O99" s="257">
        <f t="shared" si="7"/>
        <v>3129746.6700000004</v>
      </c>
      <c r="P99" s="258">
        <f>INDEX('Escalators '!$M$144:$S$149,MATCH(H99,'Escalators '!$D$144:$D$149,0),MATCH(I99,'Escalators '!$M$133:$S$133,0))</f>
        <v>1.065596680418939</v>
      </c>
      <c r="Q99" s="257">
        <f t="shared" si="8"/>
        <v>0</v>
      </c>
      <c r="R99" s="257">
        <f t="shared" si="9"/>
        <v>3335047.662104229</v>
      </c>
    </row>
    <row r="100" spans="2:18" x14ac:dyDescent="0.2">
      <c r="B100" s="192" t="s">
        <v>258</v>
      </c>
      <c r="C100" s="192" t="s">
        <v>68</v>
      </c>
      <c r="D100" s="192" t="s">
        <v>419</v>
      </c>
      <c r="E100" s="251" t="str">
        <f>IF(AND(B100=$B$14,C100=$C$14,D100=$D$14,H100=$H$14),'Operating leases'!$B$16,"")</f>
        <v/>
      </c>
      <c r="F100" s="252" t="str">
        <f>IF(AND(B100=$B$16,C100=$C$16,D100=$D$16,H100=$H$16),'Operating leases'!$B$15,"")</f>
        <v/>
      </c>
      <c r="G100" s="252" t="str">
        <f t="shared" si="5"/>
        <v/>
      </c>
      <c r="H100" s="192" t="s">
        <v>229</v>
      </c>
      <c r="I100" s="192">
        <v>2024</v>
      </c>
      <c r="J100" s="209">
        <v>347749.63000000006</v>
      </c>
      <c r="K100" s="253">
        <f>IF(C100='Global inputs'!$B$127,INDEX('Global inputs'!$L$127:$S$127,MATCH('Forecast opex'!I100,'Global inputs'!$L$126:$S$126,0)),1)</f>
        <v>1</v>
      </c>
      <c r="L100" s="254">
        <f t="shared" si="6"/>
        <v>347749.63000000006</v>
      </c>
      <c r="M100" s="255">
        <f>IF(AND('Global inputs'!$D$128="Yes",C100='Global inputs'!$B$127),'Forecast opex'!L100*'Global inputs'!$L$127,'Forecast opex'!J100)</f>
        <v>347749.63000000006</v>
      </c>
      <c r="N100" s="256">
        <f>IF(ISNA(MATCH(G100,'Operating leases'!$B$15:$B$26,0)),0,INDEX('Operating leases'!$M$15:$S$26,MATCH(G100,'Operating leases'!$B$15:$B$26,0),MATCH(I100,'Operating leases'!$M$11:$S$11,0)))</f>
        <v>0</v>
      </c>
      <c r="O100" s="257">
        <f t="shared" si="7"/>
        <v>347749.63000000006</v>
      </c>
      <c r="P100" s="258">
        <f>INDEX('Escalators '!$M$144:$S$149,MATCH(H100,'Escalators '!$D$144:$D$149,0),MATCH(I100,'Escalators '!$M$133:$S$133,0))</f>
        <v>1.0508019367064954</v>
      </c>
      <c r="Q100" s="257">
        <f t="shared" si="8"/>
        <v>0</v>
      </c>
      <c r="R100" s="257">
        <f t="shared" si="9"/>
        <v>365415.98469296726</v>
      </c>
    </row>
    <row r="101" spans="2:18" x14ac:dyDescent="0.2">
      <c r="B101" s="192" t="s">
        <v>253</v>
      </c>
      <c r="C101" s="192" t="s">
        <v>241</v>
      </c>
      <c r="D101" s="192" t="s">
        <v>414</v>
      </c>
      <c r="E101" s="251" t="str">
        <f>IF(AND(B101=$B$14,C101=$C$14,D101=$D$14,H101=$H$14),'Operating leases'!$B$16,"")</f>
        <v/>
      </c>
      <c r="F101" s="252" t="str">
        <f>IF(AND(B101=$B$16,C101=$C$16,D101=$D$16,H101=$H$16),'Operating leases'!$B$15,"")</f>
        <v/>
      </c>
      <c r="G101" s="252" t="str">
        <f t="shared" si="5"/>
        <v/>
      </c>
      <c r="H101" s="192" t="s">
        <v>221</v>
      </c>
      <c r="I101" s="192">
        <v>2024</v>
      </c>
      <c r="J101" s="209">
        <v>3154208.3589767967</v>
      </c>
      <c r="K101" s="253">
        <f>IF(C101='Global inputs'!$B$127,INDEX('Global inputs'!$L$127:$S$127,MATCH('Forecast opex'!I101,'Global inputs'!$L$126:$S$126,0)),1)</f>
        <v>1</v>
      </c>
      <c r="L101" s="254">
        <f t="shared" si="6"/>
        <v>3154208.3589767967</v>
      </c>
      <c r="M101" s="255">
        <f>IF(AND('Global inputs'!$D$128="Yes",C101='Global inputs'!$B$127),'Forecast opex'!L101*'Global inputs'!$L$127,'Forecast opex'!J101)</f>
        <v>3154208.3589767967</v>
      </c>
      <c r="N101" s="256">
        <f>IF(ISNA(MATCH(G101,'Operating leases'!$B$15:$B$26,0)),0,INDEX('Operating leases'!$M$15:$S$26,MATCH(G101,'Operating leases'!$B$15:$B$26,0),MATCH(I101,'Operating leases'!$M$11:$S$11,0)))</f>
        <v>0</v>
      </c>
      <c r="O101" s="257">
        <f t="shared" si="7"/>
        <v>3154208.3589767967</v>
      </c>
      <c r="P101" s="258">
        <f>INDEX('Escalators '!$M$144:$S$149,MATCH(H101,'Escalators '!$D$144:$D$149,0),MATCH(I101,'Escalators '!$M$133:$S$133,0))</f>
        <v>1.065596680418939</v>
      </c>
      <c r="Q101" s="257">
        <f t="shared" si="8"/>
        <v>0</v>
      </c>
      <c r="R101" s="257">
        <f t="shared" si="9"/>
        <v>3361113.9566753437</v>
      </c>
    </row>
    <row r="102" spans="2:18" x14ac:dyDescent="0.2">
      <c r="B102" s="192" t="s">
        <v>253</v>
      </c>
      <c r="C102" s="192" t="s">
        <v>241</v>
      </c>
      <c r="D102" s="192" t="s">
        <v>414</v>
      </c>
      <c r="E102" s="251" t="str">
        <f>IF(AND(B102=$B$14,C102=$C$14,D102=$D$14,H102=$H$14),'Operating leases'!$B$16,"")</f>
        <v/>
      </c>
      <c r="F102" s="252" t="str">
        <f>IF(AND(B102=$B$16,C102=$C$16,D102=$D$16,H102=$H$16),'Operating leases'!$B$15,"")</f>
        <v/>
      </c>
      <c r="G102" s="252" t="str">
        <f t="shared" si="5"/>
        <v/>
      </c>
      <c r="H102" s="192" t="s">
        <v>229</v>
      </c>
      <c r="I102" s="192">
        <v>2024</v>
      </c>
      <c r="J102" s="209">
        <v>1351803.5824186273</v>
      </c>
      <c r="K102" s="253">
        <f>IF(C102='Global inputs'!$B$127,INDEX('Global inputs'!$L$127:$S$127,MATCH('Forecast opex'!I102,'Global inputs'!$L$126:$S$126,0)),1)</f>
        <v>1</v>
      </c>
      <c r="L102" s="254">
        <f t="shared" si="6"/>
        <v>1351803.5824186273</v>
      </c>
      <c r="M102" s="255">
        <f>IF(AND('Global inputs'!$D$128="Yes",C102='Global inputs'!$B$127),'Forecast opex'!L102*'Global inputs'!$L$127,'Forecast opex'!J102)</f>
        <v>1351803.5824186273</v>
      </c>
      <c r="N102" s="256">
        <f>IF(ISNA(MATCH(G102,'Operating leases'!$B$15:$B$26,0)),0,INDEX('Operating leases'!$M$15:$S$26,MATCH(G102,'Operating leases'!$B$15:$B$26,0),MATCH(I102,'Operating leases'!$M$11:$S$11,0)))</f>
        <v>0</v>
      </c>
      <c r="O102" s="257">
        <f t="shared" si="7"/>
        <v>1351803.5824186273</v>
      </c>
      <c r="P102" s="258">
        <f>INDEX('Escalators '!$M$144:$S$149,MATCH(H102,'Escalators '!$D$144:$D$149,0),MATCH(I102,'Escalators '!$M$133:$S$133,0))</f>
        <v>1.0508019367064954</v>
      </c>
      <c r="Q102" s="257">
        <f t="shared" si="8"/>
        <v>0</v>
      </c>
      <c r="R102" s="257">
        <f t="shared" si="9"/>
        <v>1420477.8224522721</v>
      </c>
    </row>
    <row r="103" spans="2:18" x14ac:dyDescent="0.2">
      <c r="B103" s="192" t="s">
        <v>258</v>
      </c>
      <c r="C103" s="192" t="s">
        <v>246</v>
      </c>
      <c r="D103" s="192" t="s">
        <v>423</v>
      </c>
      <c r="E103" s="251" t="str">
        <f>IF(AND(B103=$B$14,C103=$C$14,D103=$D$14,H103=$H$14),'Operating leases'!$B$16,"")</f>
        <v/>
      </c>
      <c r="F103" s="252" t="str">
        <f>IF(AND(B103=$B$16,C103=$C$16,D103=$D$16,H103=$H$16),'Operating leases'!$B$15,"")</f>
        <v/>
      </c>
      <c r="G103" s="252" t="str">
        <f t="shared" si="5"/>
        <v/>
      </c>
      <c r="H103" s="192" t="s">
        <v>221</v>
      </c>
      <c r="I103" s="192">
        <v>2024</v>
      </c>
      <c r="J103" s="209">
        <v>523369.79015487479</v>
      </c>
      <c r="K103" s="253">
        <f>IF(C103='Global inputs'!$B$127,INDEX('Global inputs'!$L$127:$S$127,MATCH('Forecast opex'!I103,'Global inputs'!$L$126:$S$126,0)),1)</f>
        <v>1</v>
      </c>
      <c r="L103" s="254">
        <f t="shared" si="6"/>
        <v>523369.79015487479</v>
      </c>
      <c r="M103" s="255">
        <f>IF(AND('Global inputs'!$D$128="Yes",C103='Global inputs'!$B$127),'Forecast opex'!L103*'Global inputs'!$L$127,'Forecast opex'!J103)</f>
        <v>523369.79015487479</v>
      </c>
      <c r="N103" s="256">
        <f>IF(ISNA(MATCH(G103,'Operating leases'!$B$15:$B$26,0)),0,INDEX('Operating leases'!$M$15:$S$26,MATCH(G103,'Operating leases'!$B$15:$B$26,0),MATCH(I103,'Operating leases'!$M$11:$S$11,0)))</f>
        <v>0</v>
      </c>
      <c r="O103" s="257">
        <f t="shared" si="7"/>
        <v>523369.79015487479</v>
      </c>
      <c r="P103" s="258">
        <f>INDEX('Escalators '!$M$144:$S$149,MATCH(H103,'Escalators '!$D$144:$D$149,0),MATCH(I103,'Escalators '!$M$133:$S$133,0))</f>
        <v>1.065596680418939</v>
      </c>
      <c r="Q103" s="257">
        <f t="shared" si="8"/>
        <v>0</v>
      </c>
      <c r="R103" s="257">
        <f t="shared" si="9"/>
        <v>557701.11102059123</v>
      </c>
    </row>
    <row r="104" spans="2:18" x14ac:dyDescent="0.2">
      <c r="B104" s="192" t="s">
        <v>258</v>
      </c>
      <c r="C104" s="192" t="s">
        <v>246</v>
      </c>
      <c r="D104" s="192" t="s">
        <v>423</v>
      </c>
      <c r="E104" s="251" t="str">
        <f>IF(AND(B104=$B$14,C104=$C$14,D104=$D$14,H104=$H$14),'Operating leases'!$B$16,"")</f>
        <v/>
      </c>
      <c r="F104" s="252" t="str">
        <f>IF(AND(B104=$B$16,C104=$C$16,D104=$D$16,H104=$H$16),'Operating leases'!$B$15,"")</f>
        <v/>
      </c>
      <c r="G104" s="252" t="str">
        <f t="shared" si="5"/>
        <v/>
      </c>
      <c r="H104" s="192" t="s">
        <v>229</v>
      </c>
      <c r="I104" s="192">
        <v>2024</v>
      </c>
      <c r="J104" s="209">
        <v>58152.198906097205</v>
      </c>
      <c r="K104" s="253">
        <f>IF(C104='Global inputs'!$B$127,INDEX('Global inputs'!$L$127:$S$127,MATCH('Forecast opex'!I104,'Global inputs'!$L$126:$S$126,0)),1)</f>
        <v>1</v>
      </c>
      <c r="L104" s="254">
        <f t="shared" si="6"/>
        <v>58152.198906097205</v>
      </c>
      <c r="M104" s="255">
        <f>IF(AND('Global inputs'!$D$128="Yes",C104='Global inputs'!$B$127),'Forecast opex'!L104*'Global inputs'!$L$127,'Forecast opex'!J104)</f>
        <v>58152.198906097205</v>
      </c>
      <c r="N104" s="256">
        <f>IF(ISNA(MATCH(G104,'Operating leases'!$B$15:$B$26,0)),0,INDEX('Operating leases'!$M$15:$S$26,MATCH(G104,'Operating leases'!$B$15:$B$26,0),MATCH(I104,'Operating leases'!$M$11:$S$11,0)))</f>
        <v>0</v>
      </c>
      <c r="O104" s="257">
        <f t="shared" si="7"/>
        <v>58152.198906097205</v>
      </c>
      <c r="P104" s="258">
        <f>INDEX('Escalators '!$M$144:$S$149,MATCH(H104,'Escalators '!$D$144:$D$149,0),MATCH(I104,'Escalators '!$M$133:$S$133,0))</f>
        <v>1.0508019367064954</v>
      </c>
      <c r="Q104" s="257">
        <f t="shared" si="8"/>
        <v>0</v>
      </c>
      <c r="R104" s="257">
        <f t="shared" si="9"/>
        <v>61106.443234268285</v>
      </c>
    </row>
    <row r="105" spans="2:18" x14ac:dyDescent="0.2">
      <c r="B105" s="192" t="s">
        <v>253</v>
      </c>
      <c r="C105" s="192" t="s">
        <v>243</v>
      </c>
      <c r="D105" s="192" t="s">
        <v>415</v>
      </c>
      <c r="E105" s="251" t="str">
        <f>IF(AND(B105=$B$14,C105=$C$14,D105=$D$14,H105=$H$14),'Operating leases'!$B$16,"")</f>
        <v/>
      </c>
      <c r="F105" s="252" t="str">
        <f>IF(AND(B105=$B$16,C105=$C$16,D105=$D$16,H105=$H$16),'Operating leases'!$B$15,"")</f>
        <v/>
      </c>
      <c r="G105" s="252" t="str">
        <f t="shared" si="5"/>
        <v/>
      </c>
      <c r="H105" s="192" t="s">
        <v>221</v>
      </c>
      <c r="I105" s="192">
        <v>2024</v>
      </c>
      <c r="J105" s="209">
        <v>1947900.5233848756</v>
      </c>
      <c r="K105" s="253">
        <f>IF(C105='Global inputs'!$B$127,INDEX('Global inputs'!$L$127:$S$127,MATCH('Forecast opex'!I105,'Global inputs'!$L$126:$S$126,0)),1)</f>
        <v>1</v>
      </c>
      <c r="L105" s="254">
        <f t="shared" si="6"/>
        <v>1947900.5233848756</v>
      </c>
      <c r="M105" s="255">
        <f>IF(AND('Global inputs'!$D$128="Yes",C105='Global inputs'!$B$127),'Forecast opex'!L105*'Global inputs'!$L$127,'Forecast opex'!J105)</f>
        <v>1947900.5233848756</v>
      </c>
      <c r="N105" s="256">
        <f>IF(ISNA(MATCH(G105,'Operating leases'!$B$15:$B$26,0)),0,INDEX('Operating leases'!$M$15:$S$26,MATCH(G105,'Operating leases'!$B$15:$B$26,0),MATCH(I105,'Operating leases'!$M$11:$S$11,0)))</f>
        <v>0</v>
      </c>
      <c r="O105" s="257">
        <f t="shared" si="7"/>
        <v>1947900.5233848756</v>
      </c>
      <c r="P105" s="258">
        <f>INDEX('Escalators '!$M$144:$S$149,MATCH(H105,'Escalators '!$D$144:$D$149,0),MATCH(I105,'Escalators '!$M$133:$S$133,0))</f>
        <v>1.065596680418939</v>
      </c>
      <c r="Q105" s="257">
        <f t="shared" si="8"/>
        <v>0</v>
      </c>
      <c r="R105" s="257">
        <f t="shared" si="9"/>
        <v>2075676.3315052371</v>
      </c>
    </row>
    <row r="106" spans="2:18" x14ac:dyDescent="0.2">
      <c r="B106" s="192" t="s">
        <v>253</v>
      </c>
      <c r="C106" s="192" t="s">
        <v>243</v>
      </c>
      <c r="D106" s="192" t="s">
        <v>415</v>
      </c>
      <c r="E106" s="251" t="str">
        <f>IF(AND(B106=$B$14,C106=$C$14,D106=$D$14,H106=$H$14),'Operating leases'!$B$16,"")</f>
        <v/>
      </c>
      <c r="F106" s="252" t="str">
        <f>IF(AND(B106=$B$16,C106=$C$16,D106=$D$16,H106=$H$16),'Operating leases'!$B$15,"")</f>
        <v/>
      </c>
      <c r="G106" s="252" t="str">
        <f t="shared" si="5"/>
        <v/>
      </c>
      <c r="H106" s="192" t="s">
        <v>229</v>
      </c>
      <c r="I106" s="192">
        <v>2024</v>
      </c>
      <c r="J106" s="209">
        <v>834814.51002208958</v>
      </c>
      <c r="K106" s="253">
        <f>IF(C106='Global inputs'!$B$127,INDEX('Global inputs'!$L$127:$S$127,MATCH('Forecast opex'!I106,'Global inputs'!$L$126:$S$126,0)),1)</f>
        <v>1</v>
      </c>
      <c r="L106" s="254">
        <f t="shared" si="6"/>
        <v>834814.51002208958</v>
      </c>
      <c r="M106" s="255">
        <f>IF(AND('Global inputs'!$D$128="Yes",C106='Global inputs'!$B$127),'Forecast opex'!L106*'Global inputs'!$L$127,'Forecast opex'!J106)</f>
        <v>834814.51002208958</v>
      </c>
      <c r="N106" s="256">
        <f>IF(ISNA(MATCH(G106,'Operating leases'!$B$15:$B$26,0)),0,INDEX('Operating leases'!$M$15:$S$26,MATCH(G106,'Operating leases'!$B$15:$B$26,0),MATCH(I106,'Operating leases'!$M$11:$S$11,0)))</f>
        <v>0</v>
      </c>
      <c r="O106" s="257">
        <f t="shared" si="7"/>
        <v>834814.51002208958</v>
      </c>
      <c r="P106" s="258">
        <f>INDEX('Escalators '!$M$144:$S$149,MATCH(H106,'Escalators '!$D$144:$D$149,0),MATCH(I106,'Escalators '!$M$133:$S$133,0))</f>
        <v>1.0508019367064954</v>
      </c>
      <c r="Q106" s="257">
        <f t="shared" si="8"/>
        <v>0</v>
      </c>
      <c r="R106" s="257">
        <f t="shared" si="9"/>
        <v>877224.70392189571</v>
      </c>
    </row>
    <row r="107" spans="2:18" x14ac:dyDescent="0.2">
      <c r="B107" s="192" t="s">
        <v>258</v>
      </c>
      <c r="C107" s="192" t="s">
        <v>68</v>
      </c>
      <c r="D107" s="192" t="s">
        <v>418</v>
      </c>
      <c r="E107" s="251" t="str">
        <f>IF(AND(B107=$B$14,C107=$C$14,D107=$D$14,H107=$H$14),'Operating leases'!$B$16,"")</f>
        <v/>
      </c>
      <c r="F107" s="252" t="str">
        <f>IF(AND(B107=$B$16,C107=$C$16,D107=$D$16,H107=$H$16),'Operating leases'!$B$15,"")</f>
        <v/>
      </c>
      <c r="G107" s="252" t="str">
        <f t="shared" si="5"/>
        <v/>
      </c>
      <c r="H107" s="192" t="s">
        <v>221</v>
      </c>
      <c r="I107" s="192">
        <v>2025</v>
      </c>
      <c r="J107" s="209">
        <v>4531536.3358246069</v>
      </c>
      <c r="K107" s="253">
        <f>IF(C107='Global inputs'!$B$127,INDEX('Global inputs'!$L$127:$S$127,MATCH('Forecast opex'!I107,'Global inputs'!$L$126:$S$126,0)),1)</f>
        <v>1</v>
      </c>
      <c r="L107" s="254">
        <f t="shared" si="6"/>
        <v>4531536.3358246069</v>
      </c>
      <c r="M107" s="255">
        <f>IF(AND('Global inputs'!$D$128="Yes",C107='Global inputs'!$B$127),'Forecast opex'!L107*'Global inputs'!$L$127,'Forecast opex'!J107)</f>
        <v>4531536.3358246069</v>
      </c>
      <c r="N107" s="256">
        <f>IF(ISNA(MATCH(G107,'Operating leases'!$B$15:$B$26,0)),0,INDEX('Operating leases'!$M$15:$S$26,MATCH(G107,'Operating leases'!$B$15:$B$26,0),MATCH(I107,'Operating leases'!$M$11:$S$11,0)))</f>
        <v>0</v>
      </c>
      <c r="O107" s="257">
        <f t="shared" si="7"/>
        <v>4531536.3358246069</v>
      </c>
      <c r="P107" s="258">
        <f>INDEX('Escalators '!$M$144:$S$149,MATCH(H107,'Escalators '!$D$144:$D$149,0),MATCH(I107,'Escalators '!$M$133:$S$133,0))</f>
        <v>1.0869600116875184</v>
      </c>
      <c r="Q107" s="257">
        <f t="shared" si="8"/>
        <v>0</v>
      </c>
      <c r="R107" s="257">
        <f t="shared" si="9"/>
        <v>4925598.7885503294</v>
      </c>
    </row>
    <row r="108" spans="2:18" x14ac:dyDescent="0.2">
      <c r="B108" s="192" t="s">
        <v>258</v>
      </c>
      <c r="C108" s="192" t="s">
        <v>68</v>
      </c>
      <c r="D108" s="192" t="s">
        <v>420</v>
      </c>
      <c r="E108" s="251" t="str">
        <f>IF(AND(B108=$B$14,C108=$C$14,D108=$D$14,H108=$H$14),'Operating leases'!$B$16,"")</f>
        <v/>
      </c>
      <c r="F108" s="252" t="str">
        <f>IF(AND(B108=$B$16,C108=$C$16,D108=$D$16,H108=$H$16),'Operating leases'!$B$15,"")</f>
        <v/>
      </c>
      <c r="G108" s="252" t="str">
        <f t="shared" si="5"/>
        <v/>
      </c>
      <c r="H108" s="192" t="s">
        <v>221</v>
      </c>
      <c r="I108" s="192">
        <v>2025</v>
      </c>
      <c r="J108" s="209">
        <v>0</v>
      </c>
      <c r="K108" s="253">
        <f>IF(C108='Global inputs'!$B$127,INDEX('Global inputs'!$L$127:$S$127,MATCH('Forecast opex'!I108,'Global inputs'!$L$126:$S$126,0)),1)</f>
        <v>1</v>
      </c>
      <c r="L108" s="254">
        <f t="shared" si="6"/>
        <v>0</v>
      </c>
      <c r="M108" s="255">
        <f>IF(AND('Global inputs'!$D$128="Yes",C108='Global inputs'!$B$127),'Forecast opex'!L108*'Global inputs'!$L$127,'Forecast opex'!J108)</f>
        <v>0</v>
      </c>
      <c r="N108" s="256">
        <f>IF(ISNA(MATCH(G108,'Operating leases'!$B$15:$B$26,0)),0,INDEX('Operating leases'!$M$15:$S$26,MATCH(G108,'Operating leases'!$B$15:$B$26,0),MATCH(I108,'Operating leases'!$M$11:$S$11,0)))</f>
        <v>0</v>
      </c>
      <c r="O108" s="257">
        <f t="shared" si="7"/>
        <v>0</v>
      </c>
      <c r="P108" s="258">
        <f>INDEX('Escalators '!$M$144:$S$149,MATCH(H108,'Escalators '!$D$144:$D$149,0),MATCH(I108,'Escalators '!$M$133:$S$133,0))</f>
        <v>1.0869600116875184</v>
      </c>
      <c r="Q108" s="257">
        <f t="shared" si="8"/>
        <v>0</v>
      </c>
      <c r="R108" s="257">
        <f t="shared" si="9"/>
        <v>0</v>
      </c>
    </row>
    <row r="109" spans="2:18" x14ac:dyDescent="0.2">
      <c r="B109" s="192" t="s">
        <v>258</v>
      </c>
      <c r="C109" s="192" t="s">
        <v>68</v>
      </c>
      <c r="D109" s="192" t="s">
        <v>421</v>
      </c>
      <c r="E109" s="251" t="str">
        <f>IF(AND(B109=$B$14,C109=$C$14,D109=$D$14,H109=$H$14),'Operating leases'!$B$16,"")</f>
        <v/>
      </c>
      <c r="F109" s="252" t="str">
        <f>IF(AND(B109=$B$16,C109=$C$16,D109=$D$16,H109=$H$16),'Operating leases'!$B$15,"")</f>
        <v/>
      </c>
      <c r="G109" s="252" t="str">
        <f t="shared" si="5"/>
        <v/>
      </c>
      <c r="H109" s="192" t="s">
        <v>221</v>
      </c>
      <c r="I109" s="192">
        <v>2025</v>
      </c>
      <c r="J109" s="209">
        <v>0</v>
      </c>
      <c r="K109" s="253">
        <f>IF(C109='Global inputs'!$B$127,INDEX('Global inputs'!$L$127:$S$127,MATCH('Forecast opex'!I109,'Global inputs'!$L$126:$S$126,0)),1)</f>
        <v>1</v>
      </c>
      <c r="L109" s="254">
        <f t="shared" si="6"/>
        <v>0</v>
      </c>
      <c r="M109" s="255">
        <f>IF(AND('Global inputs'!$D$128="Yes",C109='Global inputs'!$B$127),'Forecast opex'!L109*'Global inputs'!$L$127,'Forecast opex'!J109)</f>
        <v>0</v>
      </c>
      <c r="N109" s="256">
        <f>IF(ISNA(MATCH(G109,'Operating leases'!$B$15:$B$26,0)),0,INDEX('Operating leases'!$M$15:$S$26,MATCH(G109,'Operating leases'!$B$15:$B$26,0),MATCH(I109,'Operating leases'!$M$11:$S$11,0)))</f>
        <v>0</v>
      </c>
      <c r="O109" s="257">
        <f t="shared" si="7"/>
        <v>0</v>
      </c>
      <c r="P109" s="258">
        <f>INDEX('Escalators '!$M$144:$S$149,MATCH(H109,'Escalators '!$D$144:$D$149,0),MATCH(I109,'Escalators '!$M$133:$S$133,0))</f>
        <v>1.0869600116875184</v>
      </c>
      <c r="Q109" s="257">
        <f t="shared" si="8"/>
        <v>0</v>
      </c>
      <c r="R109" s="257">
        <f t="shared" si="9"/>
        <v>0</v>
      </c>
    </row>
    <row r="110" spans="2:18" x14ac:dyDescent="0.2">
      <c r="B110" s="192" t="s">
        <v>258</v>
      </c>
      <c r="C110" s="192" t="s">
        <v>68</v>
      </c>
      <c r="D110" s="192" t="s">
        <v>418</v>
      </c>
      <c r="E110" s="251" t="str">
        <f>IF(AND(B110=$B$14,C110=$C$14,D110=$D$14,H110=$H$14),'Operating leases'!$B$16,"")</f>
        <v/>
      </c>
      <c r="F110" s="252" t="str">
        <f>IF(AND(B110=$B$16,C110=$C$16,D110=$D$16,H110=$H$16),'Operating leases'!$B$15,"")</f>
        <v/>
      </c>
      <c r="G110" s="252" t="str">
        <f t="shared" si="5"/>
        <v/>
      </c>
      <c r="H110" s="192" t="s">
        <v>229</v>
      </c>
      <c r="I110" s="192">
        <v>2025</v>
      </c>
      <c r="J110" s="209">
        <v>503504.0373138453</v>
      </c>
      <c r="K110" s="253">
        <f>IF(C110='Global inputs'!$B$127,INDEX('Global inputs'!$L$127:$S$127,MATCH('Forecast opex'!I110,'Global inputs'!$L$126:$S$126,0)),1)</f>
        <v>1</v>
      </c>
      <c r="L110" s="254">
        <f t="shared" si="6"/>
        <v>503504.0373138453</v>
      </c>
      <c r="M110" s="255">
        <f>IF(AND('Global inputs'!$D$128="Yes",C110='Global inputs'!$B$127),'Forecast opex'!L110*'Global inputs'!$L$127,'Forecast opex'!J110)</f>
        <v>503504.0373138453</v>
      </c>
      <c r="N110" s="256">
        <f>IF(ISNA(MATCH(G110,'Operating leases'!$B$15:$B$26,0)),0,INDEX('Operating leases'!$M$15:$S$26,MATCH(G110,'Operating leases'!$B$15:$B$26,0),MATCH(I110,'Operating leases'!$M$11:$S$11,0)))</f>
        <v>0</v>
      </c>
      <c r="O110" s="257">
        <f t="shared" si="7"/>
        <v>503504.0373138453</v>
      </c>
      <c r="P110" s="258">
        <f>INDEX('Escalators '!$M$144:$S$149,MATCH(H110,'Escalators '!$D$144:$D$149,0),MATCH(I110,'Escalators '!$M$133:$S$133,0))</f>
        <v>1.0685077117025477</v>
      </c>
      <c r="Q110" s="257">
        <f t="shared" si="8"/>
        <v>0</v>
      </c>
      <c r="R110" s="257">
        <f t="shared" si="9"/>
        <v>537997.94674321101</v>
      </c>
    </row>
    <row r="111" spans="2:18" x14ac:dyDescent="0.2">
      <c r="B111" s="192" t="s">
        <v>258</v>
      </c>
      <c r="C111" s="192" t="s">
        <v>68</v>
      </c>
      <c r="D111" s="192" t="s">
        <v>420</v>
      </c>
      <c r="E111" s="251" t="str">
        <f>IF(AND(B111=$B$14,C111=$C$14,D111=$D$14,H111=$H$14),'Operating leases'!$B$16,"")</f>
        <v>Premises Plant &amp; Insurance</v>
      </c>
      <c r="F111" s="252" t="str">
        <f>IF(AND(B111=$B$16,C111=$C$16,D111=$D$16,H111=$H$16),'Operating leases'!$B$15,"")</f>
        <v/>
      </c>
      <c r="G111" s="252" t="str">
        <f t="shared" si="5"/>
        <v>Premises Plant &amp; Insurance</v>
      </c>
      <c r="H111" s="192" t="s">
        <v>229</v>
      </c>
      <c r="I111" s="192">
        <v>2025</v>
      </c>
      <c r="J111" s="209">
        <v>1028371.4661069844</v>
      </c>
      <c r="K111" s="253">
        <f>IF(C111='Global inputs'!$B$127,INDEX('Global inputs'!$L$127:$S$127,MATCH('Forecast opex'!I111,'Global inputs'!$L$126:$S$126,0)),1)</f>
        <v>1</v>
      </c>
      <c r="L111" s="254">
        <f t="shared" si="6"/>
        <v>1028371.4661069844</v>
      </c>
      <c r="M111" s="255">
        <f>IF(AND('Global inputs'!$D$128="Yes",C111='Global inputs'!$B$127),'Forecast opex'!L111*'Global inputs'!$L$127,'Forecast opex'!J111)</f>
        <v>1028371.4661069844</v>
      </c>
      <c r="N111" s="256">
        <f>IF(ISNA(MATCH(G111,'Operating leases'!$B$15:$B$26,0)),0,INDEX('Operating leases'!$M$15:$S$26,MATCH(G111,'Operating leases'!$B$15:$B$26,0),MATCH(I111,'Operating leases'!$M$11:$S$11,0)))</f>
        <v>521253.99326720618</v>
      </c>
      <c r="O111" s="257">
        <f t="shared" si="7"/>
        <v>507117.47283977823</v>
      </c>
      <c r="P111" s="258">
        <f>INDEX('Escalators '!$M$144:$S$149,MATCH(H111,'Escalators '!$D$144:$D$149,0),MATCH(I111,'Escalators '!$M$133:$S$133,0))</f>
        <v>1.0685077117025477</v>
      </c>
      <c r="Q111" s="257">
        <f t="shared" si="8"/>
        <v>556963.91156175768</v>
      </c>
      <c r="R111" s="257">
        <f t="shared" si="9"/>
        <v>541858.93046841025</v>
      </c>
    </row>
    <row r="112" spans="2:18" x14ac:dyDescent="0.2">
      <c r="B112" s="192" t="s">
        <v>258</v>
      </c>
      <c r="C112" s="192" t="s">
        <v>68</v>
      </c>
      <c r="D112" s="192" t="s">
        <v>421</v>
      </c>
      <c r="E112" s="251" t="str">
        <f>IF(AND(B112=$B$14,C112=$C$14,D112=$D$14,H112=$H$14),'Operating leases'!$B$16,"")</f>
        <v/>
      </c>
      <c r="F112" s="252" t="str">
        <f>IF(AND(B112=$B$16,C112=$C$16,D112=$D$16,H112=$H$16),'Operating leases'!$B$15,"")</f>
        <v/>
      </c>
      <c r="G112" s="252" t="str">
        <f t="shared" si="5"/>
        <v/>
      </c>
      <c r="H112" s="192" t="s">
        <v>229</v>
      </c>
      <c r="I112" s="192">
        <v>2025</v>
      </c>
      <c r="J112" s="209">
        <v>2899615.3412175919</v>
      </c>
      <c r="K112" s="253">
        <f>IF(C112='Global inputs'!$B$127,INDEX('Global inputs'!$L$127:$S$127,MATCH('Forecast opex'!I112,'Global inputs'!$L$126:$S$126,0)),1)</f>
        <v>1</v>
      </c>
      <c r="L112" s="254">
        <f t="shared" si="6"/>
        <v>2899615.3412175919</v>
      </c>
      <c r="M112" s="255">
        <f>IF(AND('Global inputs'!$D$128="Yes",C112='Global inputs'!$B$127),'Forecast opex'!L112*'Global inputs'!$L$127,'Forecast opex'!J112)</f>
        <v>2899615.3412175919</v>
      </c>
      <c r="N112" s="256">
        <f>IF(ISNA(MATCH(G112,'Operating leases'!$B$15:$B$26,0)),0,INDEX('Operating leases'!$M$15:$S$26,MATCH(G112,'Operating leases'!$B$15:$B$26,0),MATCH(I112,'Operating leases'!$M$11:$S$11,0)))</f>
        <v>0</v>
      </c>
      <c r="O112" s="257">
        <f t="shared" si="7"/>
        <v>2899615.3412175919</v>
      </c>
      <c r="P112" s="258">
        <f>INDEX('Escalators '!$M$144:$S$149,MATCH(H112,'Escalators '!$D$144:$D$149,0),MATCH(I112,'Escalators '!$M$133:$S$133,0))</f>
        <v>1.0685077117025477</v>
      </c>
      <c r="Q112" s="257">
        <f t="shared" si="8"/>
        <v>0</v>
      </c>
      <c r="R112" s="257">
        <f t="shared" si="9"/>
        <v>3098261.3530620108</v>
      </c>
    </row>
    <row r="113" spans="2:18" x14ac:dyDescent="0.2">
      <c r="B113" s="192" t="s">
        <v>258</v>
      </c>
      <c r="C113" s="192" t="s">
        <v>246</v>
      </c>
      <c r="D113" s="192" t="s">
        <v>422</v>
      </c>
      <c r="E113" s="251" t="str">
        <f>IF(AND(B113=$B$14,C113=$C$14,D113=$D$14,H113=$H$14),'Operating leases'!$B$16,"")</f>
        <v/>
      </c>
      <c r="F113" s="252" t="str">
        <f>IF(AND(B113=$B$16,C113=$C$16,D113=$D$16,H113=$H$16),'Operating leases'!$B$15,"")</f>
        <v/>
      </c>
      <c r="G113" s="252" t="str">
        <f t="shared" si="5"/>
        <v/>
      </c>
      <c r="H113" s="192" t="s">
        <v>221</v>
      </c>
      <c r="I113" s="192">
        <v>2025</v>
      </c>
      <c r="J113" s="209">
        <v>9400943.2388142608</v>
      </c>
      <c r="K113" s="253">
        <f>IF(C113='Global inputs'!$B$127,INDEX('Global inputs'!$L$127:$S$127,MATCH('Forecast opex'!I113,'Global inputs'!$L$126:$S$126,0)),1)</f>
        <v>1</v>
      </c>
      <c r="L113" s="254">
        <f t="shared" si="6"/>
        <v>9400943.2388142608</v>
      </c>
      <c r="M113" s="255">
        <f>IF(AND('Global inputs'!$D$128="Yes",C113='Global inputs'!$B$127),'Forecast opex'!L113*'Global inputs'!$L$127,'Forecast opex'!J113)</f>
        <v>9400943.2388142608</v>
      </c>
      <c r="N113" s="256">
        <f>IF(ISNA(MATCH(G113,'Operating leases'!$B$15:$B$26,0)),0,INDEX('Operating leases'!$M$15:$S$26,MATCH(G113,'Operating leases'!$B$15:$B$26,0),MATCH(I113,'Operating leases'!$M$11:$S$11,0)))</f>
        <v>0</v>
      </c>
      <c r="O113" s="257">
        <f t="shared" si="7"/>
        <v>9400943.2388142608</v>
      </c>
      <c r="P113" s="258">
        <f>INDEX('Escalators '!$M$144:$S$149,MATCH(H113,'Escalators '!$D$144:$D$149,0),MATCH(I113,'Escalators '!$M$133:$S$133,0))</f>
        <v>1.0869600116875184</v>
      </c>
      <c r="Q113" s="257">
        <f t="shared" si="8"/>
        <v>0</v>
      </c>
      <c r="R113" s="257">
        <f t="shared" si="9"/>
        <v>10218449.372735247</v>
      </c>
    </row>
    <row r="114" spans="2:18" x14ac:dyDescent="0.2">
      <c r="B114" s="192" t="s">
        <v>258</v>
      </c>
      <c r="C114" s="192" t="s">
        <v>246</v>
      </c>
      <c r="D114" s="192" t="s">
        <v>422</v>
      </c>
      <c r="E114" s="251" t="str">
        <f>IF(AND(B114=$B$14,C114=$C$14,D114=$D$14,H114=$H$14),'Operating leases'!$B$16,"")</f>
        <v/>
      </c>
      <c r="F114" s="252" t="str">
        <f>IF(AND(B114=$B$16,C114=$C$16,D114=$D$16,H114=$H$16),'Operating leases'!$B$15,"")</f>
        <v>SONS</v>
      </c>
      <c r="G114" s="252" t="str">
        <f t="shared" si="5"/>
        <v>SONS</v>
      </c>
      <c r="H114" s="192" t="s">
        <v>229</v>
      </c>
      <c r="I114" s="192">
        <v>2025</v>
      </c>
      <c r="J114" s="209">
        <v>1044549.24875714</v>
      </c>
      <c r="K114" s="253">
        <f>IF(C114='Global inputs'!$B$127,INDEX('Global inputs'!$L$127:$S$127,MATCH('Forecast opex'!I114,'Global inputs'!$L$126:$S$126,0)),1)</f>
        <v>1</v>
      </c>
      <c r="L114" s="254">
        <f t="shared" si="6"/>
        <v>1044549.24875714</v>
      </c>
      <c r="M114" s="255">
        <f>IF(AND('Global inputs'!$D$128="Yes",C114='Global inputs'!$B$127),'Forecast opex'!L114*'Global inputs'!$L$127,'Forecast opex'!J114)</f>
        <v>1044549.24875714</v>
      </c>
      <c r="N114" s="256">
        <f>IF(ISNA(MATCH(G114,'Operating leases'!$B$15:$B$26,0)),0,INDEX('Operating leases'!$M$15:$S$26,MATCH(G114,'Operating leases'!$B$15:$B$26,0),MATCH(I114,'Operating leases'!$M$11:$S$11,0)))</f>
        <v>276174.38431405096</v>
      </c>
      <c r="O114" s="257">
        <f t="shared" si="7"/>
        <v>768374.86444308911</v>
      </c>
      <c r="P114" s="258">
        <f>INDEX('Escalators '!$M$144:$S$149,MATCH(H114,'Escalators '!$D$144:$D$149,0),MATCH(I114,'Escalators '!$M$133:$S$133,0))</f>
        <v>1.0685077117025477</v>
      </c>
      <c r="Q114" s="257">
        <f t="shared" si="8"/>
        <v>295094.45941426657</v>
      </c>
      <c r="R114" s="257">
        <f t="shared" si="9"/>
        <v>821014.46813584038</v>
      </c>
    </row>
    <row r="115" spans="2:18" x14ac:dyDescent="0.2">
      <c r="B115" s="192" t="s">
        <v>253</v>
      </c>
      <c r="C115" s="192" t="s">
        <v>244</v>
      </c>
      <c r="D115" s="192" t="s">
        <v>416</v>
      </c>
      <c r="E115" s="251" t="str">
        <f>IF(AND(B115=$B$14,C115=$C$14,D115=$D$14,H115=$H$14),'Operating leases'!$B$16,"")</f>
        <v/>
      </c>
      <c r="F115" s="252" t="str">
        <f>IF(AND(B115=$B$16,C115=$C$16,D115=$D$16,H115=$H$16),'Operating leases'!$B$15,"")</f>
        <v/>
      </c>
      <c r="G115" s="252" t="str">
        <f t="shared" si="5"/>
        <v/>
      </c>
      <c r="H115" s="192" t="s">
        <v>221</v>
      </c>
      <c r="I115" s="192">
        <v>2025</v>
      </c>
      <c r="J115" s="209">
        <v>3362567.6993845901</v>
      </c>
      <c r="K115" s="253">
        <f>IF(C115='Global inputs'!$B$127,INDEX('Global inputs'!$L$127:$S$127,MATCH('Forecast opex'!I115,'Global inputs'!$L$126:$S$126,0)),1)</f>
        <v>1</v>
      </c>
      <c r="L115" s="254">
        <f t="shared" si="6"/>
        <v>3362567.6993845901</v>
      </c>
      <c r="M115" s="255">
        <f>IF(AND('Global inputs'!$D$128="Yes",C115='Global inputs'!$B$127),'Forecast opex'!L115*'Global inputs'!$L$127,'Forecast opex'!J115)</f>
        <v>3362567.6993845901</v>
      </c>
      <c r="N115" s="256">
        <f>IF(ISNA(MATCH(G115,'Operating leases'!$B$15:$B$26,0)),0,INDEX('Operating leases'!$M$15:$S$26,MATCH(G115,'Operating leases'!$B$15:$B$26,0),MATCH(I115,'Operating leases'!$M$11:$S$11,0)))</f>
        <v>0</v>
      </c>
      <c r="O115" s="257">
        <f t="shared" si="7"/>
        <v>3362567.6993845901</v>
      </c>
      <c r="P115" s="258">
        <f>INDEX('Escalators '!$M$144:$S$149,MATCH(H115,'Escalators '!$D$144:$D$149,0),MATCH(I115,'Escalators '!$M$133:$S$133,0))</f>
        <v>1.0869600116875184</v>
      </c>
      <c r="Q115" s="257">
        <f t="shared" si="8"/>
        <v>0</v>
      </c>
      <c r="R115" s="257">
        <f t="shared" si="9"/>
        <v>3654976.6258231462</v>
      </c>
    </row>
    <row r="116" spans="2:18" x14ac:dyDescent="0.2">
      <c r="B116" s="192" t="s">
        <v>253</v>
      </c>
      <c r="C116" s="192" t="s">
        <v>244</v>
      </c>
      <c r="D116" s="192" t="s">
        <v>416</v>
      </c>
      <c r="E116" s="251" t="str">
        <f>IF(AND(B116=$B$14,C116=$C$14,D116=$D$14,H116=$H$14),'Operating leases'!$B$16,"")</f>
        <v/>
      </c>
      <c r="F116" s="252" t="str">
        <f>IF(AND(B116=$B$16,C116=$C$16,D116=$D$16,H116=$H$16),'Operating leases'!$B$15,"")</f>
        <v/>
      </c>
      <c r="G116" s="252" t="str">
        <f t="shared" si="5"/>
        <v/>
      </c>
      <c r="H116" s="192" t="s">
        <v>229</v>
      </c>
      <c r="I116" s="192">
        <v>2025</v>
      </c>
      <c r="J116" s="209">
        <v>2241711.7995897266</v>
      </c>
      <c r="K116" s="253">
        <f>IF(C116='Global inputs'!$B$127,INDEX('Global inputs'!$L$127:$S$127,MATCH('Forecast opex'!I116,'Global inputs'!$L$126:$S$126,0)),1)</f>
        <v>1</v>
      </c>
      <c r="L116" s="254">
        <f t="shared" si="6"/>
        <v>2241711.7995897266</v>
      </c>
      <c r="M116" s="255">
        <f>IF(AND('Global inputs'!$D$128="Yes",C116='Global inputs'!$B$127),'Forecast opex'!L116*'Global inputs'!$L$127,'Forecast opex'!J116)</f>
        <v>2241711.7995897266</v>
      </c>
      <c r="N116" s="256">
        <f>IF(ISNA(MATCH(G116,'Operating leases'!$B$15:$B$26,0)),0,INDEX('Operating leases'!$M$15:$S$26,MATCH(G116,'Operating leases'!$B$15:$B$26,0),MATCH(I116,'Operating leases'!$M$11:$S$11,0)))</f>
        <v>0</v>
      </c>
      <c r="O116" s="257">
        <f t="shared" si="7"/>
        <v>2241711.7995897266</v>
      </c>
      <c r="P116" s="258">
        <f>INDEX('Escalators '!$M$144:$S$149,MATCH(H116,'Escalators '!$D$144:$D$149,0),MATCH(I116,'Escalators '!$M$133:$S$133,0))</f>
        <v>1.0685077117025477</v>
      </c>
      <c r="Q116" s="257">
        <f t="shared" si="8"/>
        <v>0</v>
      </c>
      <c r="R116" s="257">
        <f t="shared" si="9"/>
        <v>2395286.3452762188</v>
      </c>
    </row>
    <row r="117" spans="2:18" x14ac:dyDescent="0.2">
      <c r="B117" s="192" t="s">
        <v>253</v>
      </c>
      <c r="C117" s="192" t="s">
        <v>244</v>
      </c>
      <c r="D117" s="192" t="s">
        <v>417</v>
      </c>
      <c r="E117" s="251" t="str">
        <f>IF(AND(B117=$B$14,C117=$C$14,D117=$D$14,H117=$H$14),'Operating leases'!$B$16,"")</f>
        <v/>
      </c>
      <c r="F117" s="252" t="str">
        <f>IF(AND(B117=$B$16,C117=$C$16,D117=$D$16,H117=$H$16),'Operating leases'!$B$15,"")</f>
        <v/>
      </c>
      <c r="G117" s="252" t="str">
        <f t="shared" si="5"/>
        <v/>
      </c>
      <c r="H117" s="192" t="s">
        <v>221</v>
      </c>
      <c r="I117" s="192">
        <v>2025</v>
      </c>
      <c r="J117" s="209">
        <v>1875316.4543709951</v>
      </c>
      <c r="K117" s="253">
        <f>IF(C117='Global inputs'!$B$127,INDEX('Global inputs'!$L$127:$S$127,MATCH('Forecast opex'!I117,'Global inputs'!$L$126:$S$126,0)),1)</f>
        <v>1</v>
      </c>
      <c r="L117" s="254">
        <f t="shared" si="6"/>
        <v>1875316.4543709951</v>
      </c>
      <c r="M117" s="255">
        <f>IF(AND('Global inputs'!$D$128="Yes",C117='Global inputs'!$B$127),'Forecast opex'!L117*'Global inputs'!$L$127,'Forecast opex'!J117)</f>
        <v>1875316.4543709951</v>
      </c>
      <c r="N117" s="256">
        <f>IF(ISNA(MATCH(G117,'Operating leases'!$B$15:$B$26,0)),0,INDEX('Operating leases'!$M$15:$S$26,MATCH(G117,'Operating leases'!$B$15:$B$26,0),MATCH(I117,'Operating leases'!$M$11:$S$11,0)))</f>
        <v>0</v>
      </c>
      <c r="O117" s="257">
        <f t="shared" si="7"/>
        <v>1875316.4543709951</v>
      </c>
      <c r="P117" s="258">
        <f>INDEX('Escalators '!$M$144:$S$149,MATCH(H117,'Escalators '!$D$144:$D$149,0),MATCH(I117,'Escalators '!$M$133:$S$133,0))</f>
        <v>1.0869600116875184</v>
      </c>
      <c r="Q117" s="257">
        <f t="shared" si="8"/>
        <v>0</v>
      </c>
      <c r="R117" s="257">
        <f t="shared" si="9"/>
        <v>2038393.9951608924</v>
      </c>
    </row>
    <row r="118" spans="2:18" x14ac:dyDescent="0.2">
      <c r="B118" s="192" t="s">
        <v>253</v>
      </c>
      <c r="C118" s="192" t="s">
        <v>244</v>
      </c>
      <c r="D118" s="192" t="s">
        <v>417</v>
      </c>
      <c r="E118" s="251" t="str">
        <f>IF(AND(B118=$B$14,C118=$C$14,D118=$D$14,H118=$H$14),'Operating leases'!$B$16,"")</f>
        <v/>
      </c>
      <c r="F118" s="252" t="str">
        <f>IF(AND(B118=$B$16,C118=$C$16,D118=$D$16,H118=$H$16),'Operating leases'!$B$15,"")</f>
        <v/>
      </c>
      <c r="G118" s="252" t="str">
        <f t="shared" si="5"/>
        <v/>
      </c>
      <c r="H118" s="192" t="s">
        <v>229</v>
      </c>
      <c r="I118" s="192">
        <v>2025</v>
      </c>
      <c r="J118" s="209">
        <v>1250210.9695806634</v>
      </c>
      <c r="K118" s="253">
        <f>IF(C118='Global inputs'!$B$127,INDEX('Global inputs'!$L$127:$S$127,MATCH('Forecast opex'!I118,'Global inputs'!$L$126:$S$126,0)),1)</f>
        <v>1</v>
      </c>
      <c r="L118" s="254">
        <f t="shared" si="6"/>
        <v>1250210.9695806634</v>
      </c>
      <c r="M118" s="255">
        <f>IF(AND('Global inputs'!$D$128="Yes",C118='Global inputs'!$B$127),'Forecast opex'!L118*'Global inputs'!$L$127,'Forecast opex'!J118)</f>
        <v>1250210.9695806634</v>
      </c>
      <c r="N118" s="256">
        <f>IF(ISNA(MATCH(G118,'Operating leases'!$B$15:$B$26,0)),0,INDEX('Operating leases'!$M$15:$S$26,MATCH(G118,'Operating leases'!$B$15:$B$26,0),MATCH(I118,'Operating leases'!$M$11:$S$11,0)))</f>
        <v>0</v>
      </c>
      <c r="O118" s="257">
        <f t="shared" si="7"/>
        <v>1250210.9695806634</v>
      </c>
      <c r="P118" s="258">
        <f>INDEX('Escalators '!$M$144:$S$149,MATCH(H118,'Escalators '!$D$144:$D$149,0),MATCH(I118,'Escalators '!$M$133:$S$133,0))</f>
        <v>1.0685077117025477</v>
      </c>
      <c r="Q118" s="257">
        <f t="shared" si="8"/>
        <v>0</v>
      </c>
      <c r="R118" s="257">
        <f t="shared" si="9"/>
        <v>1335860.0622520579</v>
      </c>
    </row>
    <row r="119" spans="2:18" x14ac:dyDescent="0.2">
      <c r="B119" s="192" t="s">
        <v>258</v>
      </c>
      <c r="C119" s="192" t="s">
        <v>68</v>
      </c>
      <c r="D119" s="192" t="s">
        <v>419</v>
      </c>
      <c r="E119" s="251" t="str">
        <f>IF(AND(B119=$B$14,C119=$C$14,D119=$D$14,H119=$H$14),'Operating leases'!$B$16,"")</f>
        <v/>
      </c>
      <c r="F119" s="252" t="str">
        <f>IF(AND(B119=$B$16,C119=$C$16,D119=$D$16,H119=$H$16),'Operating leases'!$B$15,"")</f>
        <v/>
      </c>
      <c r="G119" s="252" t="str">
        <f t="shared" si="5"/>
        <v/>
      </c>
      <c r="H119" s="192" t="s">
        <v>221</v>
      </c>
      <c r="I119" s="192">
        <v>2025</v>
      </c>
      <c r="J119" s="209">
        <v>3076365.1230000001</v>
      </c>
      <c r="K119" s="253">
        <f>IF(C119='Global inputs'!$B$127,INDEX('Global inputs'!$L$127:$S$127,MATCH('Forecast opex'!I119,'Global inputs'!$L$126:$S$126,0)),1)</f>
        <v>1</v>
      </c>
      <c r="L119" s="254">
        <f t="shared" si="6"/>
        <v>3076365.1230000001</v>
      </c>
      <c r="M119" s="255">
        <f>IF(AND('Global inputs'!$D$128="Yes",C119='Global inputs'!$B$127),'Forecast opex'!L119*'Global inputs'!$L$127,'Forecast opex'!J119)</f>
        <v>3076365.1230000001</v>
      </c>
      <c r="N119" s="256">
        <f>IF(ISNA(MATCH(G119,'Operating leases'!$B$15:$B$26,0)),0,INDEX('Operating leases'!$M$15:$S$26,MATCH(G119,'Operating leases'!$B$15:$B$26,0),MATCH(I119,'Operating leases'!$M$11:$S$11,0)))</f>
        <v>0</v>
      </c>
      <c r="O119" s="257">
        <f t="shared" si="7"/>
        <v>3076365.1230000001</v>
      </c>
      <c r="P119" s="258">
        <f>INDEX('Escalators '!$M$144:$S$149,MATCH(H119,'Escalators '!$D$144:$D$149,0),MATCH(I119,'Escalators '!$M$133:$S$133,0))</f>
        <v>1.0869600116875184</v>
      </c>
      <c r="Q119" s="257">
        <f t="shared" si="8"/>
        <v>0</v>
      </c>
      <c r="R119" s="257">
        <f t="shared" si="9"/>
        <v>3343885.8700511544</v>
      </c>
    </row>
    <row r="120" spans="2:18" x14ac:dyDescent="0.2">
      <c r="B120" s="192" t="s">
        <v>258</v>
      </c>
      <c r="C120" s="192" t="s">
        <v>68</v>
      </c>
      <c r="D120" s="192" t="s">
        <v>419</v>
      </c>
      <c r="E120" s="251" t="str">
        <f>IF(AND(B120=$B$14,C120=$C$14,D120=$D$14,H120=$H$14),'Operating leases'!$B$16,"")</f>
        <v/>
      </c>
      <c r="F120" s="252" t="str">
        <f>IF(AND(B120=$B$16,C120=$C$16,D120=$D$16,H120=$H$16),'Operating leases'!$B$15,"")</f>
        <v/>
      </c>
      <c r="G120" s="252" t="str">
        <f t="shared" si="5"/>
        <v/>
      </c>
      <c r="H120" s="192" t="s">
        <v>229</v>
      </c>
      <c r="I120" s="192">
        <v>2025</v>
      </c>
      <c r="J120" s="209">
        <v>341818.34700000007</v>
      </c>
      <c r="K120" s="253">
        <f>IF(C120='Global inputs'!$B$127,INDEX('Global inputs'!$L$127:$S$127,MATCH('Forecast opex'!I120,'Global inputs'!$L$126:$S$126,0)),1)</f>
        <v>1</v>
      </c>
      <c r="L120" s="254">
        <f t="shared" si="6"/>
        <v>341818.34700000007</v>
      </c>
      <c r="M120" s="255">
        <f>IF(AND('Global inputs'!$D$128="Yes",C120='Global inputs'!$B$127),'Forecast opex'!L120*'Global inputs'!$L$127,'Forecast opex'!J120)</f>
        <v>341818.34700000007</v>
      </c>
      <c r="N120" s="256">
        <f>IF(ISNA(MATCH(G120,'Operating leases'!$B$15:$B$26,0)),0,INDEX('Operating leases'!$M$15:$S$26,MATCH(G120,'Operating leases'!$B$15:$B$26,0),MATCH(I120,'Operating leases'!$M$11:$S$11,0)))</f>
        <v>0</v>
      </c>
      <c r="O120" s="257">
        <f t="shared" si="7"/>
        <v>341818.34700000007</v>
      </c>
      <c r="P120" s="258">
        <f>INDEX('Escalators '!$M$144:$S$149,MATCH(H120,'Escalators '!$D$144:$D$149,0),MATCH(I120,'Escalators '!$M$133:$S$133,0))</f>
        <v>1.0685077117025477</v>
      </c>
      <c r="Q120" s="257">
        <f t="shared" si="8"/>
        <v>0</v>
      </c>
      <c r="R120" s="257">
        <f t="shared" si="9"/>
        <v>365235.53977091744</v>
      </c>
    </row>
    <row r="121" spans="2:18" x14ac:dyDescent="0.2">
      <c r="B121" s="192" t="s">
        <v>253</v>
      </c>
      <c r="C121" s="192" t="s">
        <v>241</v>
      </c>
      <c r="D121" s="192" t="s">
        <v>414</v>
      </c>
      <c r="E121" s="251" t="str">
        <f>IF(AND(B121=$B$14,C121=$C$14,D121=$D$14,H121=$H$14),'Operating leases'!$B$16,"")</f>
        <v/>
      </c>
      <c r="F121" s="252" t="str">
        <f>IF(AND(B121=$B$16,C121=$C$16,D121=$D$16,H121=$H$16),'Operating leases'!$B$15,"")</f>
        <v/>
      </c>
      <c r="G121" s="252" t="str">
        <f t="shared" si="5"/>
        <v/>
      </c>
      <c r="H121" s="192" t="s">
        <v>221</v>
      </c>
      <c r="I121" s="192">
        <v>2025</v>
      </c>
      <c r="J121" s="209">
        <v>3108084.4342744774</v>
      </c>
      <c r="K121" s="253">
        <f>IF(C121='Global inputs'!$B$127,INDEX('Global inputs'!$L$127:$S$127,MATCH('Forecast opex'!I121,'Global inputs'!$L$126:$S$126,0)),1)</f>
        <v>1</v>
      </c>
      <c r="L121" s="254">
        <f t="shared" si="6"/>
        <v>3108084.4342744774</v>
      </c>
      <c r="M121" s="255">
        <f>IF(AND('Global inputs'!$D$128="Yes",C121='Global inputs'!$B$127),'Forecast opex'!L121*'Global inputs'!$L$127,'Forecast opex'!J121)</f>
        <v>3108084.4342744774</v>
      </c>
      <c r="N121" s="256">
        <f>IF(ISNA(MATCH(G121,'Operating leases'!$B$15:$B$26,0)),0,INDEX('Operating leases'!$M$15:$S$26,MATCH(G121,'Operating leases'!$B$15:$B$26,0),MATCH(I121,'Operating leases'!$M$11:$S$11,0)))</f>
        <v>0</v>
      </c>
      <c r="O121" s="257">
        <f t="shared" si="7"/>
        <v>3108084.4342744774</v>
      </c>
      <c r="P121" s="258">
        <f>INDEX('Escalators '!$M$144:$S$149,MATCH(H121,'Escalators '!$D$144:$D$149,0),MATCH(I121,'Escalators '!$M$133:$S$133,0))</f>
        <v>1.0869600116875184</v>
      </c>
      <c r="Q121" s="257">
        <f t="shared" si="8"/>
        <v>0</v>
      </c>
      <c r="R121" s="257">
        <f t="shared" si="9"/>
        <v>3378363.4930047803</v>
      </c>
    </row>
    <row r="122" spans="2:18" x14ac:dyDescent="0.2">
      <c r="B122" s="192" t="s">
        <v>253</v>
      </c>
      <c r="C122" s="192" t="s">
        <v>241</v>
      </c>
      <c r="D122" s="192" t="s">
        <v>414</v>
      </c>
      <c r="E122" s="251" t="str">
        <f>IF(AND(B122=$B$14,C122=$C$14,D122=$D$14,H122=$H$14),'Operating leases'!$B$16,"")</f>
        <v/>
      </c>
      <c r="F122" s="252" t="str">
        <f>IF(AND(B122=$B$16,C122=$C$16,D122=$D$16,H122=$H$16),'Operating leases'!$B$15,"")</f>
        <v/>
      </c>
      <c r="G122" s="252" t="str">
        <f t="shared" si="5"/>
        <v/>
      </c>
      <c r="H122" s="192" t="s">
        <v>229</v>
      </c>
      <c r="I122" s="192">
        <v>2025</v>
      </c>
      <c r="J122" s="209">
        <v>1332036.1861176332</v>
      </c>
      <c r="K122" s="253">
        <f>IF(C122='Global inputs'!$B$127,INDEX('Global inputs'!$L$127:$S$127,MATCH('Forecast opex'!I122,'Global inputs'!$L$126:$S$126,0)),1)</f>
        <v>1</v>
      </c>
      <c r="L122" s="254">
        <f t="shared" si="6"/>
        <v>1332036.1861176332</v>
      </c>
      <c r="M122" s="255">
        <f>IF(AND('Global inputs'!$D$128="Yes",C122='Global inputs'!$B$127),'Forecast opex'!L122*'Global inputs'!$L$127,'Forecast opex'!J122)</f>
        <v>1332036.1861176332</v>
      </c>
      <c r="N122" s="256">
        <f>IF(ISNA(MATCH(G122,'Operating leases'!$B$15:$B$26,0)),0,INDEX('Operating leases'!$M$15:$S$26,MATCH(G122,'Operating leases'!$B$15:$B$26,0),MATCH(I122,'Operating leases'!$M$11:$S$11,0)))</f>
        <v>0</v>
      </c>
      <c r="O122" s="257">
        <f t="shared" si="7"/>
        <v>1332036.1861176332</v>
      </c>
      <c r="P122" s="258">
        <f>INDEX('Escalators '!$M$144:$S$149,MATCH(H122,'Escalators '!$D$144:$D$149,0),MATCH(I122,'Escalators '!$M$133:$S$133,0))</f>
        <v>1.0685077117025477</v>
      </c>
      <c r="Q122" s="257">
        <f t="shared" si="8"/>
        <v>0</v>
      </c>
      <c r="R122" s="257">
        <f t="shared" si="9"/>
        <v>1423290.9371335411</v>
      </c>
    </row>
    <row r="123" spans="2:18" x14ac:dyDescent="0.2">
      <c r="B123" s="192" t="s">
        <v>258</v>
      </c>
      <c r="C123" s="192" t="s">
        <v>246</v>
      </c>
      <c r="D123" s="192" t="s">
        <v>423</v>
      </c>
      <c r="E123" s="251" t="str">
        <f>IF(AND(B123=$B$14,C123=$C$14,D123=$D$14,H123=$H$14),'Operating leases'!$B$16,"")</f>
        <v/>
      </c>
      <c r="F123" s="252" t="str">
        <f>IF(AND(B123=$B$16,C123=$C$16,D123=$D$16,H123=$H$16),'Operating leases'!$B$15,"")</f>
        <v/>
      </c>
      <c r="G123" s="252" t="str">
        <f t="shared" si="5"/>
        <v/>
      </c>
      <c r="H123" s="192" t="s">
        <v>221</v>
      </c>
      <c r="I123" s="192">
        <v>2025</v>
      </c>
      <c r="J123" s="209">
        <v>629099.8749244808</v>
      </c>
      <c r="K123" s="253">
        <f>IF(C123='Global inputs'!$B$127,INDEX('Global inputs'!$L$127:$S$127,MATCH('Forecast opex'!I123,'Global inputs'!$L$126:$S$126,0)),1)</f>
        <v>1</v>
      </c>
      <c r="L123" s="254">
        <f t="shared" si="6"/>
        <v>629099.8749244808</v>
      </c>
      <c r="M123" s="255">
        <f>IF(AND('Global inputs'!$D$128="Yes",C123='Global inputs'!$B$127),'Forecast opex'!L123*'Global inputs'!$L$127,'Forecast opex'!J123)</f>
        <v>629099.8749244808</v>
      </c>
      <c r="N123" s="256">
        <f>IF(ISNA(MATCH(G123,'Operating leases'!$B$15:$B$26,0)),0,INDEX('Operating leases'!$M$15:$S$26,MATCH(G123,'Operating leases'!$B$15:$B$26,0),MATCH(I123,'Operating leases'!$M$11:$S$11,0)))</f>
        <v>0</v>
      </c>
      <c r="O123" s="257">
        <f t="shared" si="7"/>
        <v>629099.8749244808</v>
      </c>
      <c r="P123" s="258">
        <f>INDEX('Escalators '!$M$144:$S$149,MATCH(H123,'Escalators '!$D$144:$D$149,0),MATCH(I123,'Escalators '!$M$133:$S$133,0))</f>
        <v>1.0869600116875184</v>
      </c>
      <c r="Q123" s="257">
        <f t="shared" si="8"/>
        <v>0</v>
      </c>
      <c r="R123" s="257">
        <f t="shared" si="9"/>
        <v>683806.40740053006</v>
      </c>
    </row>
    <row r="124" spans="2:18" x14ac:dyDescent="0.2">
      <c r="B124" s="192" t="s">
        <v>258</v>
      </c>
      <c r="C124" s="192" t="s">
        <v>246</v>
      </c>
      <c r="D124" s="192" t="s">
        <v>423</v>
      </c>
      <c r="E124" s="251" t="str">
        <f>IF(AND(B124=$B$14,C124=$C$14,D124=$D$14,H124=$H$14),'Operating leases'!$B$16,"")</f>
        <v/>
      </c>
      <c r="F124" s="252" t="str">
        <f>IF(AND(B124=$B$16,C124=$C$16,D124=$D$16,H124=$H$16),'Operating leases'!$B$15,"")</f>
        <v/>
      </c>
      <c r="G124" s="252" t="str">
        <f t="shared" si="5"/>
        <v/>
      </c>
      <c r="H124" s="192" t="s">
        <v>229</v>
      </c>
      <c r="I124" s="192">
        <v>2025</v>
      </c>
      <c r="J124" s="209">
        <v>69899.986102720082</v>
      </c>
      <c r="K124" s="253">
        <f>IF(C124='Global inputs'!$B$127,INDEX('Global inputs'!$L$127:$S$127,MATCH('Forecast opex'!I124,'Global inputs'!$L$126:$S$126,0)),1)</f>
        <v>1</v>
      </c>
      <c r="L124" s="254">
        <f t="shared" si="6"/>
        <v>69899.986102720082</v>
      </c>
      <c r="M124" s="255">
        <f>IF(AND('Global inputs'!$D$128="Yes",C124='Global inputs'!$B$127),'Forecast opex'!L124*'Global inputs'!$L$127,'Forecast opex'!J124)</f>
        <v>69899.986102720082</v>
      </c>
      <c r="N124" s="256">
        <f>IF(ISNA(MATCH(G124,'Operating leases'!$B$15:$B$26,0)),0,INDEX('Operating leases'!$M$15:$S$26,MATCH(G124,'Operating leases'!$B$15:$B$26,0),MATCH(I124,'Operating leases'!$M$11:$S$11,0)))</f>
        <v>0</v>
      </c>
      <c r="O124" s="257">
        <f t="shared" si="7"/>
        <v>69899.986102720082</v>
      </c>
      <c r="P124" s="258">
        <f>INDEX('Escalators '!$M$144:$S$149,MATCH(H124,'Escalators '!$D$144:$D$149,0),MATCH(I124,'Escalators '!$M$133:$S$133,0))</f>
        <v>1.0685077117025477</v>
      </c>
      <c r="Q124" s="257">
        <f t="shared" si="8"/>
        <v>0</v>
      </c>
      <c r="R124" s="257">
        <f t="shared" si="9"/>
        <v>74688.674198657318</v>
      </c>
    </row>
    <row r="125" spans="2:18" x14ac:dyDescent="0.2">
      <c r="B125" s="192" t="s">
        <v>253</v>
      </c>
      <c r="C125" s="192" t="s">
        <v>243</v>
      </c>
      <c r="D125" s="192" t="s">
        <v>415</v>
      </c>
      <c r="E125" s="251" t="str">
        <f>IF(AND(B125=$B$14,C125=$C$14,D125=$D$14,H125=$H$14),'Operating leases'!$B$16,"")</f>
        <v/>
      </c>
      <c r="F125" s="252" t="str">
        <f>IF(AND(B125=$B$16,C125=$C$16,D125=$D$16,H125=$H$16),'Operating leases'!$B$15,"")</f>
        <v/>
      </c>
      <c r="G125" s="252" t="str">
        <f t="shared" si="5"/>
        <v/>
      </c>
      <c r="H125" s="192" t="s">
        <v>221</v>
      </c>
      <c r="I125" s="192">
        <v>2025</v>
      </c>
      <c r="J125" s="209">
        <v>1910780.4117805827</v>
      </c>
      <c r="K125" s="253">
        <f>IF(C125='Global inputs'!$B$127,INDEX('Global inputs'!$L$127:$S$127,MATCH('Forecast opex'!I125,'Global inputs'!$L$126:$S$126,0)),1)</f>
        <v>1</v>
      </c>
      <c r="L125" s="254">
        <f t="shared" si="6"/>
        <v>1910780.4117805827</v>
      </c>
      <c r="M125" s="255">
        <f>IF(AND('Global inputs'!$D$128="Yes",C125='Global inputs'!$B$127),'Forecast opex'!L125*'Global inputs'!$L$127,'Forecast opex'!J125)</f>
        <v>1910780.4117805827</v>
      </c>
      <c r="N125" s="256">
        <f>IF(ISNA(MATCH(G125,'Operating leases'!$B$15:$B$26,0)),0,INDEX('Operating leases'!$M$15:$S$26,MATCH(G125,'Operating leases'!$B$15:$B$26,0),MATCH(I125,'Operating leases'!$M$11:$S$11,0)))</f>
        <v>0</v>
      </c>
      <c r="O125" s="257">
        <f t="shared" si="7"/>
        <v>1910780.4117805827</v>
      </c>
      <c r="P125" s="258">
        <f>INDEX('Escalators '!$M$144:$S$149,MATCH(H125,'Escalators '!$D$144:$D$149,0),MATCH(I125,'Escalators '!$M$133:$S$133,0))</f>
        <v>1.0869600116875184</v>
      </c>
      <c r="Q125" s="257">
        <f t="shared" si="8"/>
        <v>0</v>
      </c>
      <c r="R125" s="257">
        <f t="shared" si="9"/>
        <v>2076941.8987213036</v>
      </c>
    </row>
    <row r="126" spans="2:18" x14ac:dyDescent="0.2">
      <c r="B126" s="192" t="s">
        <v>253</v>
      </c>
      <c r="C126" s="192" t="s">
        <v>243</v>
      </c>
      <c r="D126" s="192" t="s">
        <v>415</v>
      </c>
      <c r="E126" s="251" t="str">
        <f>IF(AND(B126=$B$14,C126=$C$14,D126=$D$14,H126=$H$14),'Operating leases'!$B$16,"")</f>
        <v/>
      </c>
      <c r="F126" s="252" t="str">
        <f>IF(AND(B126=$B$16,C126=$C$16,D126=$D$16,H126=$H$16),'Operating leases'!$B$15,"")</f>
        <v/>
      </c>
      <c r="G126" s="252" t="str">
        <f t="shared" si="5"/>
        <v/>
      </c>
      <c r="H126" s="192" t="s">
        <v>229</v>
      </c>
      <c r="I126" s="192">
        <v>2025</v>
      </c>
      <c r="J126" s="209">
        <v>818905.89076310699</v>
      </c>
      <c r="K126" s="253">
        <f>IF(C126='Global inputs'!$B$127,INDEX('Global inputs'!$L$127:$S$127,MATCH('Forecast opex'!I126,'Global inputs'!$L$126:$S$126,0)),1)</f>
        <v>1</v>
      </c>
      <c r="L126" s="254">
        <f t="shared" si="6"/>
        <v>818905.89076310699</v>
      </c>
      <c r="M126" s="255">
        <f>IF(AND('Global inputs'!$D$128="Yes",C126='Global inputs'!$B$127),'Forecast opex'!L126*'Global inputs'!$L$127,'Forecast opex'!J126)</f>
        <v>818905.89076310699</v>
      </c>
      <c r="N126" s="256">
        <f>IF(ISNA(MATCH(G126,'Operating leases'!$B$15:$B$26,0)),0,INDEX('Operating leases'!$M$15:$S$26,MATCH(G126,'Operating leases'!$B$15:$B$26,0),MATCH(I126,'Operating leases'!$M$11:$S$11,0)))</f>
        <v>0</v>
      </c>
      <c r="O126" s="257">
        <f t="shared" si="7"/>
        <v>818905.89076310699</v>
      </c>
      <c r="P126" s="258">
        <f>INDEX('Escalators '!$M$144:$S$149,MATCH(H126,'Escalators '!$D$144:$D$149,0),MATCH(I126,'Escalators '!$M$133:$S$133,0))</f>
        <v>1.0685077117025477</v>
      </c>
      <c r="Q126" s="257">
        <f t="shared" si="8"/>
        <v>0</v>
      </c>
      <c r="R126" s="257">
        <f t="shared" si="9"/>
        <v>875007.25943902391</v>
      </c>
    </row>
    <row r="127" spans="2:18" x14ac:dyDescent="0.2">
      <c r="B127" s="192" t="s">
        <v>258</v>
      </c>
      <c r="C127" s="192" t="s">
        <v>68</v>
      </c>
      <c r="D127" s="192" t="s">
        <v>418</v>
      </c>
      <c r="E127" s="251" t="str">
        <f>IF(AND(B127=$B$14,C127=$C$14,D127=$D$14,H127=$H$14),'Operating leases'!$B$16,"")</f>
        <v/>
      </c>
      <c r="F127" s="252" t="str">
        <f>IF(AND(B127=$B$16,C127=$C$16,D127=$D$16,H127=$H$16),'Operating leases'!$B$15,"")</f>
        <v/>
      </c>
      <c r="G127" s="252" t="str">
        <f t="shared" si="5"/>
        <v/>
      </c>
      <c r="H127" s="192" t="s">
        <v>221</v>
      </c>
      <c r="I127" s="192">
        <v>2026</v>
      </c>
      <c r="J127" s="209">
        <v>4531536.3358246069</v>
      </c>
      <c r="K127" s="253">
        <f>IF(C127='Global inputs'!$B$127,INDEX('Global inputs'!$L$127:$S$127,MATCH('Forecast opex'!I127,'Global inputs'!$L$126:$S$126,0)),1)</f>
        <v>1</v>
      </c>
      <c r="L127" s="254">
        <f t="shared" si="6"/>
        <v>4531536.3358246069</v>
      </c>
      <c r="M127" s="255">
        <f>IF(AND('Global inputs'!$D$128="Yes",C127='Global inputs'!$B$127),'Forecast opex'!L127*'Global inputs'!$L$127,'Forecast opex'!J127)</f>
        <v>4531536.3358246069</v>
      </c>
      <c r="N127" s="256">
        <f>IF(ISNA(MATCH(G127,'Operating leases'!$B$15:$B$26,0)),0,INDEX('Operating leases'!$M$15:$S$26,MATCH(G127,'Operating leases'!$B$15:$B$26,0),MATCH(I127,'Operating leases'!$M$11:$S$11,0)))</f>
        <v>0</v>
      </c>
      <c r="O127" s="257">
        <f t="shared" si="7"/>
        <v>4531536.3358246069</v>
      </c>
      <c r="P127" s="258">
        <f>INDEX('Escalators '!$M$144:$S$149,MATCH(H127,'Escalators '!$D$144:$D$149,0),MATCH(I127,'Escalators '!$M$133:$S$133,0))</f>
        <v>1.1087516400137722</v>
      </c>
      <c r="Q127" s="257">
        <f t="shared" si="8"/>
        <v>0</v>
      </c>
      <c r="R127" s="257">
        <f t="shared" si="9"/>
        <v>5024348.344127533</v>
      </c>
    </row>
    <row r="128" spans="2:18" x14ac:dyDescent="0.2">
      <c r="B128" s="192" t="s">
        <v>258</v>
      </c>
      <c r="C128" s="192" t="s">
        <v>68</v>
      </c>
      <c r="D128" s="192" t="s">
        <v>420</v>
      </c>
      <c r="E128" s="251" t="str">
        <f>IF(AND(B128=$B$14,C128=$C$14,D128=$D$14,H128=$H$14),'Operating leases'!$B$16,"")</f>
        <v/>
      </c>
      <c r="F128" s="252" t="str">
        <f>IF(AND(B128=$B$16,C128=$C$16,D128=$D$16,H128=$H$16),'Operating leases'!$B$15,"")</f>
        <v/>
      </c>
      <c r="G128" s="252" t="str">
        <f t="shared" si="5"/>
        <v/>
      </c>
      <c r="H128" s="192" t="s">
        <v>221</v>
      </c>
      <c r="I128" s="192">
        <v>2026</v>
      </c>
      <c r="J128" s="209">
        <v>0</v>
      </c>
      <c r="K128" s="253">
        <f>IF(C128='Global inputs'!$B$127,INDEX('Global inputs'!$L$127:$S$127,MATCH('Forecast opex'!I128,'Global inputs'!$L$126:$S$126,0)),1)</f>
        <v>1</v>
      </c>
      <c r="L128" s="254">
        <f t="shared" si="6"/>
        <v>0</v>
      </c>
      <c r="M128" s="255">
        <f>IF(AND('Global inputs'!$D$128="Yes",C128='Global inputs'!$B$127),'Forecast opex'!L128*'Global inputs'!$L$127,'Forecast opex'!J128)</f>
        <v>0</v>
      </c>
      <c r="N128" s="256">
        <f>IF(ISNA(MATCH(G128,'Operating leases'!$B$15:$B$26,0)),0,INDEX('Operating leases'!$M$15:$S$26,MATCH(G128,'Operating leases'!$B$15:$B$26,0),MATCH(I128,'Operating leases'!$M$11:$S$11,0)))</f>
        <v>0</v>
      </c>
      <c r="O128" s="257">
        <f t="shared" si="7"/>
        <v>0</v>
      </c>
      <c r="P128" s="258">
        <f>INDEX('Escalators '!$M$144:$S$149,MATCH(H128,'Escalators '!$D$144:$D$149,0),MATCH(I128,'Escalators '!$M$133:$S$133,0))</f>
        <v>1.1087516400137722</v>
      </c>
      <c r="Q128" s="257">
        <f t="shared" si="8"/>
        <v>0</v>
      </c>
      <c r="R128" s="257">
        <f t="shared" si="9"/>
        <v>0</v>
      </c>
    </row>
    <row r="129" spans="2:18" x14ac:dyDescent="0.2">
      <c r="B129" s="192" t="s">
        <v>258</v>
      </c>
      <c r="C129" s="192" t="s">
        <v>68</v>
      </c>
      <c r="D129" s="192" t="s">
        <v>421</v>
      </c>
      <c r="E129" s="251" t="str">
        <f>IF(AND(B129=$B$14,C129=$C$14,D129=$D$14,H129=$H$14),'Operating leases'!$B$16,"")</f>
        <v/>
      </c>
      <c r="F129" s="252" t="str">
        <f>IF(AND(B129=$B$16,C129=$C$16,D129=$D$16,H129=$H$16),'Operating leases'!$B$15,"")</f>
        <v/>
      </c>
      <c r="G129" s="252" t="str">
        <f t="shared" si="5"/>
        <v/>
      </c>
      <c r="H129" s="192" t="s">
        <v>221</v>
      </c>
      <c r="I129" s="192">
        <v>2026</v>
      </c>
      <c r="J129" s="209">
        <v>0</v>
      </c>
      <c r="K129" s="253">
        <f>IF(C129='Global inputs'!$B$127,INDEX('Global inputs'!$L$127:$S$127,MATCH('Forecast opex'!I129,'Global inputs'!$L$126:$S$126,0)),1)</f>
        <v>1</v>
      </c>
      <c r="L129" s="254">
        <f t="shared" si="6"/>
        <v>0</v>
      </c>
      <c r="M129" s="255">
        <f>IF(AND('Global inputs'!$D$128="Yes",C129='Global inputs'!$B$127),'Forecast opex'!L129*'Global inputs'!$L$127,'Forecast opex'!J129)</f>
        <v>0</v>
      </c>
      <c r="N129" s="256">
        <f>IF(ISNA(MATCH(G129,'Operating leases'!$B$15:$B$26,0)),0,INDEX('Operating leases'!$M$15:$S$26,MATCH(G129,'Operating leases'!$B$15:$B$26,0),MATCH(I129,'Operating leases'!$M$11:$S$11,0)))</f>
        <v>0</v>
      </c>
      <c r="O129" s="257">
        <f t="shared" si="7"/>
        <v>0</v>
      </c>
      <c r="P129" s="258">
        <f>INDEX('Escalators '!$M$144:$S$149,MATCH(H129,'Escalators '!$D$144:$D$149,0),MATCH(I129,'Escalators '!$M$133:$S$133,0))</f>
        <v>1.1087516400137722</v>
      </c>
      <c r="Q129" s="257">
        <f t="shared" si="8"/>
        <v>0</v>
      </c>
      <c r="R129" s="257">
        <f t="shared" si="9"/>
        <v>0</v>
      </c>
    </row>
    <row r="130" spans="2:18" x14ac:dyDescent="0.2">
      <c r="B130" s="192" t="s">
        <v>258</v>
      </c>
      <c r="C130" s="192" t="s">
        <v>68</v>
      </c>
      <c r="D130" s="192" t="s">
        <v>418</v>
      </c>
      <c r="E130" s="251" t="str">
        <f>IF(AND(B130=$B$14,C130=$C$14,D130=$D$14,H130=$H$14),'Operating leases'!$B$16,"")</f>
        <v/>
      </c>
      <c r="F130" s="252" t="str">
        <f>IF(AND(B130=$B$16,C130=$C$16,D130=$D$16,H130=$H$16),'Operating leases'!$B$15,"")</f>
        <v/>
      </c>
      <c r="G130" s="252" t="str">
        <f t="shared" si="5"/>
        <v/>
      </c>
      <c r="H130" s="192" t="s">
        <v>229</v>
      </c>
      <c r="I130" s="192">
        <v>2026</v>
      </c>
      <c r="J130" s="209">
        <v>503504.0373138453</v>
      </c>
      <c r="K130" s="253">
        <f>IF(C130='Global inputs'!$B$127,INDEX('Global inputs'!$L$127:$S$127,MATCH('Forecast opex'!I130,'Global inputs'!$L$126:$S$126,0)),1)</f>
        <v>1</v>
      </c>
      <c r="L130" s="254">
        <f t="shared" si="6"/>
        <v>503504.0373138453</v>
      </c>
      <c r="M130" s="255">
        <f>IF(AND('Global inputs'!$D$128="Yes",C130='Global inputs'!$B$127),'Forecast opex'!L130*'Global inputs'!$L$127,'Forecast opex'!J130)</f>
        <v>503504.0373138453</v>
      </c>
      <c r="N130" s="256">
        <f>IF(ISNA(MATCH(G130,'Operating leases'!$B$15:$B$26,0)),0,INDEX('Operating leases'!$M$15:$S$26,MATCH(G130,'Operating leases'!$B$15:$B$26,0),MATCH(I130,'Operating leases'!$M$11:$S$11,0)))</f>
        <v>0</v>
      </c>
      <c r="O130" s="257">
        <f t="shared" si="7"/>
        <v>503504.0373138453</v>
      </c>
      <c r="P130" s="258">
        <f>INDEX('Escalators '!$M$144:$S$149,MATCH(H130,'Escalators '!$D$144:$D$149,0),MATCH(I130,'Escalators '!$M$133:$S$133,0))</f>
        <v>1.086511825003146</v>
      </c>
      <c r="Q130" s="257">
        <f t="shared" si="8"/>
        <v>0</v>
      </c>
      <c r="R130" s="257">
        <f t="shared" si="9"/>
        <v>547063.09047831816</v>
      </c>
    </row>
    <row r="131" spans="2:18" x14ac:dyDescent="0.2">
      <c r="B131" s="192" t="s">
        <v>258</v>
      </c>
      <c r="C131" s="192" t="s">
        <v>68</v>
      </c>
      <c r="D131" s="192" t="s">
        <v>420</v>
      </c>
      <c r="E131" s="251" t="str">
        <f>IF(AND(B131=$B$14,C131=$C$14,D131=$D$14,H131=$H$14),'Operating leases'!$B$16,"")</f>
        <v>Premises Plant &amp; Insurance</v>
      </c>
      <c r="F131" s="252" t="str">
        <f>IF(AND(B131=$B$16,C131=$C$16,D131=$D$16,H131=$H$16),'Operating leases'!$B$15,"")</f>
        <v/>
      </c>
      <c r="G131" s="252" t="str">
        <f t="shared" si="5"/>
        <v>Premises Plant &amp; Insurance</v>
      </c>
      <c r="H131" s="192" t="s">
        <v>229</v>
      </c>
      <c r="I131" s="192">
        <v>2026</v>
      </c>
      <c r="J131" s="209">
        <v>1037244.6373218975</v>
      </c>
      <c r="K131" s="253">
        <f>IF(C131='Global inputs'!$B$127,INDEX('Global inputs'!$L$127:$S$127,MATCH('Forecast opex'!I131,'Global inputs'!$L$126:$S$126,0)),1)</f>
        <v>1</v>
      </c>
      <c r="L131" s="254">
        <f t="shared" si="6"/>
        <v>1037244.6373218975</v>
      </c>
      <c r="M131" s="255">
        <f>IF(AND('Global inputs'!$D$128="Yes",C131='Global inputs'!$B$127),'Forecast opex'!L131*'Global inputs'!$L$127,'Forecast opex'!J131)</f>
        <v>1037244.6373218975</v>
      </c>
      <c r="N131" s="256">
        <f>IF(ISNA(MATCH(G131,'Operating leases'!$B$15:$B$26,0)),0,INDEX('Operating leases'!$M$15:$S$26,MATCH(G131,'Operating leases'!$B$15:$B$26,0),MATCH(I131,'Operating leases'!$M$11:$S$11,0)))</f>
        <v>512292.45262331673</v>
      </c>
      <c r="O131" s="257">
        <f t="shared" si="7"/>
        <v>524952.18469858076</v>
      </c>
      <c r="P131" s="258">
        <f>INDEX('Escalators '!$M$144:$S$149,MATCH(H131,'Escalators '!$D$144:$D$149,0),MATCH(I131,'Escalators '!$M$133:$S$133,0))</f>
        <v>1.086511825003146</v>
      </c>
      <c r="Q131" s="257">
        <f t="shared" si="8"/>
        <v>556611.80763509753</v>
      </c>
      <c r="R131" s="257">
        <f t="shared" si="9"/>
        <v>570366.75623624353</v>
      </c>
    </row>
    <row r="132" spans="2:18" x14ac:dyDescent="0.2">
      <c r="B132" s="192" t="s">
        <v>258</v>
      </c>
      <c r="C132" s="192" t="s">
        <v>68</v>
      </c>
      <c r="D132" s="192" t="s">
        <v>421</v>
      </c>
      <c r="E132" s="251" t="str">
        <f>IF(AND(B132=$B$14,C132=$C$14,D132=$D$14,H132=$H$14),'Operating leases'!$B$16,"")</f>
        <v/>
      </c>
      <c r="F132" s="252" t="str">
        <f>IF(AND(B132=$B$16,C132=$C$16,D132=$D$16,H132=$H$16),'Operating leases'!$B$15,"")</f>
        <v/>
      </c>
      <c r="G132" s="252" t="str">
        <f t="shared" si="5"/>
        <v/>
      </c>
      <c r="H132" s="192" t="s">
        <v>229</v>
      </c>
      <c r="I132" s="192">
        <v>2026</v>
      </c>
      <c r="J132" s="209">
        <v>2923096.3336242321</v>
      </c>
      <c r="K132" s="253">
        <f>IF(C132='Global inputs'!$B$127,INDEX('Global inputs'!$L$127:$S$127,MATCH('Forecast opex'!I132,'Global inputs'!$L$126:$S$126,0)),1)</f>
        <v>1</v>
      </c>
      <c r="L132" s="254">
        <f t="shared" si="6"/>
        <v>2923096.3336242321</v>
      </c>
      <c r="M132" s="255">
        <f>IF(AND('Global inputs'!$D$128="Yes",C132='Global inputs'!$B$127),'Forecast opex'!L132*'Global inputs'!$L$127,'Forecast opex'!J132)</f>
        <v>2923096.3336242321</v>
      </c>
      <c r="N132" s="256">
        <f>IF(ISNA(MATCH(G132,'Operating leases'!$B$15:$B$26,0)),0,INDEX('Operating leases'!$M$15:$S$26,MATCH(G132,'Operating leases'!$B$15:$B$26,0),MATCH(I132,'Operating leases'!$M$11:$S$11,0)))</f>
        <v>0</v>
      </c>
      <c r="O132" s="257">
        <f t="shared" si="7"/>
        <v>2923096.3336242321</v>
      </c>
      <c r="P132" s="258">
        <f>INDEX('Escalators '!$M$144:$S$149,MATCH(H132,'Escalators '!$D$144:$D$149,0),MATCH(I132,'Escalators '!$M$133:$S$133,0))</f>
        <v>1.086511825003146</v>
      </c>
      <c r="Q132" s="257">
        <f t="shared" si="8"/>
        <v>0</v>
      </c>
      <c r="R132" s="257">
        <f t="shared" si="9"/>
        <v>3175978.7321060696</v>
      </c>
    </row>
    <row r="133" spans="2:18" x14ac:dyDescent="0.2">
      <c r="B133" s="192" t="s">
        <v>258</v>
      </c>
      <c r="C133" s="192" t="s">
        <v>246</v>
      </c>
      <c r="D133" s="192" t="s">
        <v>422</v>
      </c>
      <c r="E133" s="251" t="str">
        <f>IF(AND(B133=$B$14,C133=$C$14,D133=$D$14,H133=$H$14),'Operating leases'!$B$16,"")</f>
        <v/>
      </c>
      <c r="F133" s="252" t="str">
        <f>IF(AND(B133=$B$16,C133=$C$16,D133=$D$16,H133=$H$16),'Operating leases'!$B$15,"")</f>
        <v/>
      </c>
      <c r="G133" s="252" t="str">
        <f t="shared" si="5"/>
        <v/>
      </c>
      <c r="H133" s="192" t="s">
        <v>221</v>
      </c>
      <c r="I133" s="192">
        <v>2026</v>
      </c>
      <c r="J133" s="209">
        <v>8900728.6207571179</v>
      </c>
      <c r="K133" s="253">
        <f>IF(C133='Global inputs'!$B$127,INDEX('Global inputs'!$L$127:$S$127,MATCH('Forecast opex'!I133,'Global inputs'!$L$126:$S$126,0)),1)</f>
        <v>1</v>
      </c>
      <c r="L133" s="254">
        <f t="shared" si="6"/>
        <v>8900728.6207571179</v>
      </c>
      <c r="M133" s="255">
        <f>IF(AND('Global inputs'!$D$128="Yes",C133='Global inputs'!$B$127),'Forecast opex'!L133*'Global inputs'!$L$127,'Forecast opex'!J133)</f>
        <v>8900728.6207571179</v>
      </c>
      <c r="N133" s="256">
        <f>IF(ISNA(MATCH(G133,'Operating leases'!$B$15:$B$26,0)),0,INDEX('Operating leases'!$M$15:$S$26,MATCH(G133,'Operating leases'!$B$15:$B$26,0),MATCH(I133,'Operating leases'!$M$11:$S$11,0)))</f>
        <v>0</v>
      </c>
      <c r="O133" s="257">
        <f t="shared" si="7"/>
        <v>8900728.6207571179</v>
      </c>
      <c r="P133" s="258">
        <f>INDEX('Escalators '!$M$144:$S$149,MATCH(H133,'Escalators '!$D$144:$D$149,0),MATCH(I133,'Escalators '!$M$133:$S$133,0))</f>
        <v>1.1087516400137722</v>
      </c>
      <c r="Q133" s="257">
        <f t="shared" si="8"/>
        <v>0</v>
      </c>
      <c r="R133" s="257">
        <f t="shared" si="9"/>
        <v>9868697.4555819761</v>
      </c>
    </row>
    <row r="134" spans="2:18" x14ac:dyDescent="0.2">
      <c r="B134" s="192" t="s">
        <v>258</v>
      </c>
      <c r="C134" s="192" t="s">
        <v>246</v>
      </c>
      <c r="D134" s="192" t="s">
        <v>422</v>
      </c>
      <c r="E134" s="251" t="str">
        <f>IF(AND(B134=$B$14,C134=$C$14,D134=$D$14,H134=$H$14),'Operating leases'!$B$16,"")</f>
        <v/>
      </c>
      <c r="F134" s="252" t="str">
        <f>IF(AND(B134=$B$16,C134=$C$16,D134=$D$16,H134=$H$16),'Operating leases'!$B$15,"")</f>
        <v>SONS</v>
      </c>
      <c r="G134" s="252" t="str">
        <f t="shared" si="5"/>
        <v>SONS</v>
      </c>
      <c r="H134" s="192" t="s">
        <v>229</v>
      </c>
      <c r="I134" s="192">
        <v>2026</v>
      </c>
      <c r="J134" s="209">
        <v>988969.84675079084</v>
      </c>
      <c r="K134" s="253">
        <f>IF(C134='Global inputs'!$B$127,INDEX('Global inputs'!$L$127:$S$127,MATCH('Forecast opex'!I134,'Global inputs'!$L$126:$S$126,0)),1)</f>
        <v>1</v>
      </c>
      <c r="L134" s="254">
        <f t="shared" si="6"/>
        <v>988969.84675079084</v>
      </c>
      <c r="M134" s="255">
        <f>IF(AND('Global inputs'!$D$128="Yes",C134='Global inputs'!$B$127),'Forecast opex'!L134*'Global inputs'!$L$127,'Forecast opex'!J134)</f>
        <v>988969.84675079084</v>
      </c>
      <c r="N134" s="256">
        <f>IF(ISNA(MATCH(G134,'Operating leases'!$B$15:$B$26,0)),0,INDEX('Operating leases'!$M$15:$S$26,MATCH(G134,'Operating leases'!$B$15:$B$26,0),MATCH(I134,'Operating leases'!$M$11:$S$11,0)))</f>
        <v>267669.48698261386</v>
      </c>
      <c r="O134" s="257">
        <f t="shared" si="7"/>
        <v>721300.35976817692</v>
      </c>
      <c r="P134" s="258">
        <f>INDEX('Escalators '!$M$144:$S$149,MATCH(H134,'Escalators '!$D$144:$D$149,0),MATCH(I134,'Escalators '!$M$133:$S$133,0))</f>
        <v>1.086511825003146</v>
      </c>
      <c r="Q134" s="257">
        <f t="shared" si="8"/>
        <v>290826.06279913563</v>
      </c>
      <c r="R134" s="257">
        <f t="shared" si="9"/>
        <v>783701.37026714766</v>
      </c>
    </row>
    <row r="135" spans="2:18" x14ac:dyDescent="0.2">
      <c r="B135" s="192" t="s">
        <v>253</v>
      </c>
      <c r="C135" s="192" t="s">
        <v>244</v>
      </c>
      <c r="D135" s="192" t="s">
        <v>416</v>
      </c>
      <c r="E135" s="251" t="str">
        <f>IF(AND(B135=$B$14,C135=$C$14,D135=$D$14,H135=$H$14),'Operating leases'!$B$16,"")</f>
        <v/>
      </c>
      <c r="F135" s="252" t="str">
        <f>IF(AND(B135=$B$16,C135=$C$16,D135=$D$16,H135=$H$16),'Operating leases'!$B$15,"")</f>
        <v/>
      </c>
      <c r="G135" s="252" t="str">
        <f t="shared" si="5"/>
        <v/>
      </c>
      <c r="H135" s="192" t="s">
        <v>221</v>
      </c>
      <c r="I135" s="192">
        <v>2026</v>
      </c>
      <c r="J135" s="209">
        <v>3582150.0596691952</v>
      </c>
      <c r="K135" s="253">
        <f>IF(C135='Global inputs'!$B$127,INDEX('Global inputs'!$L$127:$S$127,MATCH('Forecast opex'!I135,'Global inputs'!$L$126:$S$126,0)),1)</f>
        <v>1</v>
      </c>
      <c r="L135" s="254">
        <f t="shared" si="6"/>
        <v>3582150.0596691952</v>
      </c>
      <c r="M135" s="255">
        <f>IF(AND('Global inputs'!$D$128="Yes",C135='Global inputs'!$B$127),'Forecast opex'!L135*'Global inputs'!$L$127,'Forecast opex'!J135)</f>
        <v>3582150.0596691952</v>
      </c>
      <c r="N135" s="256">
        <f>IF(ISNA(MATCH(G135,'Operating leases'!$B$15:$B$26,0)),0,INDEX('Operating leases'!$M$15:$S$26,MATCH(G135,'Operating leases'!$B$15:$B$26,0),MATCH(I135,'Operating leases'!$M$11:$S$11,0)))</f>
        <v>0</v>
      </c>
      <c r="O135" s="257">
        <f t="shared" si="7"/>
        <v>3582150.0596691952</v>
      </c>
      <c r="P135" s="258">
        <f>INDEX('Escalators '!$M$144:$S$149,MATCH(H135,'Escalators '!$D$144:$D$149,0),MATCH(I135,'Escalators '!$M$133:$S$133,0))</f>
        <v>1.1087516400137722</v>
      </c>
      <c r="Q135" s="257">
        <f t="shared" si="8"/>
        <v>0</v>
      </c>
      <c r="R135" s="257">
        <f t="shared" si="9"/>
        <v>3971714.7534336522</v>
      </c>
    </row>
    <row r="136" spans="2:18" x14ac:dyDescent="0.2">
      <c r="B136" s="192" t="s">
        <v>253</v>
      </c>
      <c r="C136" s="192" t="s">
        <v>244</v>
      </c>
      <c r="D136" s="192" t="s">
        <v>416</v>
      </c>
      <c r="E136" s="251" t="str">
        <f>IF(AND(B136=$B$14,C136=$C$14,D136=$D$14,H136=$H$14),'Operating leases'!$B$16,"")</f>
        <v/>
      </c>
      <c r="F136" s="252" t="str">
        <f>IF(AND(B136=$B$16,C136=$C$16,D136=$D$16,H136=$H$16),'Operating leases'!$B$15,"")</f>
        <v/>
      </c>
      <c r="G136" s="252" t="str">
        <f t="shared" si="5"/>
        <v/>
      </c>
      <c r="H136" s="192" t="s">
        <v>229</v>
      </c>
      <c r="I136" s="192">
        <v>2026</v>
      </c>
      <c r="J136" s="209">
        <v>2388100.0397794633</v>
      </c>
      <c r="K136" s="253">
        <f>IF(C136='Global inputs'!$B$127,INDEX('Global inputs'!$L$127:$S$127,MATCH('Forecast opex'!I136,'Global inputs'!$L$126:$S$126,0)),1)</f>
        <v>1</v>
      </c>
      <c r="L136" s="254">
        <f t="shared" si="6"/>
        <v>2388100.0397794633</v>
      </c>
      <c r="M136" s="255">
        <f>IF(AND('Global inputs'!$D$128="Yes",C136='Global inputs'!$B$127),'Forecast opex'!L136*'Global inputs'!$L$127,'Forecast opex'!J136)</f>
        <v>2388100.0397794633</v>
      </c>
      <c r="N136" s="256">
        <f>IF(ISNA(MATCH(G136,'Operating leases'!$B$15:$B$26,0)),0,INDEX('Operating leases'!$M$15:$S$26,MATCH(G136,'Operating leases'!$B$15:$B$26,0),MATCH(I136,'Operating leases'!$M$11:$S$11,0)))</f>
        <v>0</v>
      </c>
      <c r="O136" s="257">
        <f t="shared" si="7"/>
        <v>2388100.0397794633</v>
      </c>
      <c r="P136" s="258">
        <f>INDEX('Escalators '!$M$144:$S$149,MATCH(H136,'Escalators '!$D$144:$D$149,0),MATCH(I136,'Escalators '!$M$133:$S$133,0))</f>
        <v>1.086511825003146</v>
      </c>
      <c r="Q136" s="257">
        <f t="shared" si="8"/>
        <v>0</v>
      </c>
      <c r="R136" s="257">
        <f t="shared" si="9"/>
        <v>2594698.9325108705</v>
      </c>
    </row>
    <row r="137" spans="2:18" x14ac:dyDescent="0.2">
      <c r="B137" s="192" t="s">
        <v>253</v>
      </c>
      <c r="C137" s="192" t="s">
        <v>244</v>
      </c>
      <c r="D137" s="192" t="s">
        <v>417</v>
      </c>
      <c r="E137" s="251" t="str">
        <f>IF(AND(B137=$B$14,C137=$C$14,D137=$D$14,H137=$H$14),'Operating leases'!$B$16,"")</f>
        <v/>
      </c>
      <c r="F137" s="252" t="str">
        <f>IF(AND(B137=$B$16,C137=$C$16,D137=$D$16,H137=$H$16),'Operating leases'!$B$15,"")</f>
        <v/>
      </c>
      <c r="G137" s="252" t="str">
        <f t="shared" si="5"/>
        <v/>
      </c>
      <c r="H137" s="192" t="s">
        <v>221</v>
      </c>
      <c r="I137" s="192">
        <v>2026</v>
      </c>
      <c r="J137" s="209">
        <v>1646664.9657176028</v>
      </c>
      <c r="K137" s="253">
        <f>IF(C137='Global inputs'!$B$127,INDEX('Global inputs'!$L$127:$S$127,MATCH('Forecast opex'!I137,'Global inputs'!$L$126:$S$126,0)),1)</f>
        <v>1</v>
      </c>
      <c r="L137" s="254">
        <f t="shared" si="6"/>
        <v>1646664.9657176028</v>
      </c>
      <c r="M137" s="255">
        <f>IF(AND('Global inputs'!$D$128="Yes",C137='Global inputs'!$B$127),'Forecast opex'!L137*'Global inputs'!$L$127,'Forecast opex'!J137)</f>
        <v>1646664.9657176028</v>
      </c>
      <c r="N137" s="256">
        <f>IF(ISNA(MATCH(G137,'Operating leases'!$B$15:$B$26,0)),0,INDEX('Operating leases'!$M$15:$S$26,MATCH(G137,'Operating leases'!$B$15:$B$26,0),MATCH(I137,'Operating leases'!$M$11:$S$11,0)))</f>
        <v>0</v>
      </c>
      <c r="O137" s="257">
        <f t="shared" si="7"/>
        <v>1646664.9657176028</v>
      </c>
      <c r="P137" s="258">
        <f>INDEX('Escalators '!$M$144:$S$149,MATCH(H137,'Escalators '!$D$144:$D$149,0),MATCH(I137,'Escalators '!$M$133:$S$133,0))</f>
        <v>1.1087516400137722</v>
      </c>
      <c r="Q137" s="257">
        <f t="shared" si="8"/>
        <v>0</v>
      </c>
      <c r="R137" s="257">
        <f t="shared" si="9"/>
        <v>1825742.481292614</v>
      </c>
    </row>
    <row r="138" spans="2:18" x14ac:dyDescent="0.2">
      <c r="B138" s="192" t="s">
        <v>253</v>
      </c>
      <c r="C138" s="192" t="s">
        <v>244</v>
      </c>
      <c r="D138" s="192" t="s">
        <v>417</v>
      </c>
      <c r="E138" s="251" t="str">
        <f>IF(AND(B138=$B$14,C138=$C$14,D138=$D$14,H138=$H$14),'Operating leases'!$B$16,"")</f>
        <v/>
      </c>
      <c r="F138" s="252" t="str">
        <f>IF(AND(B138=$B$16,C138=$C$16,D138=$D$16,H138=$H$16),'Operating leases'!$B$15,"")</f>
        <v/>
      </c>
      <c r="G138" s="252" t="str">
        <f t="shared" ref="G138:G146" si="10">E138&amp;F138</f>
        <v/>
      </c>
      <c r="H138" s="192" t="s">
        <v>229</v>
      </c>
      <c r="I138" s="192">
        <v>2026</v>
      </c>
      <c r="J138" s="209">
        <v>1097776.6438117351</v>
      </c>
      <c r="K138" s="253">
        <f>IF(C138='Global inputs'!$B$127,INDEX('Global inputs'!$L$127:$S$127,MATCH('Forecast opex'!I138,'Global inputs'!$L$126:$S$126,0)),1)</f>
        <v>1</v>
      </c>
      <c r="L138" s="254">
        <f t="shared" ref="L138:L146" si="11">J138/K138</f>
        <v>1097776.6438117351</v>
      </c>
      <c r="M138" s="255">
        <f>IF(AND('Global inputs'!$D$128="Yes",C138='Global inputs'!$B$127),'Forecast opex'!L138*'Global inputs'!$L$127,'Forecast opex'!J138)</f>
        <v>1097776.6438117351</v>
      </c>
      <c r="N138" s="256">
        <f>IF(ISNA(MATCH(G138,'Operating leases'!$B$15:$B$26,0)),0,INDEX('Operating leases'!$M$15:$S$26,MATCH(G138,'Operating leases'!$B$15:$B$26,0),MATCH(I138,'Operating leases'!$M$11:$S$11,0)))</f>
        <v>0</v>
      </c>
      <c r="O138" s="257">
        <f t="shared" ref="O138:O146" si="12">M138-N138</f>
        <v>1097776.6438117351</v>
      </c>
      <c r="P138" s="258">
        <f>INDEX('Escalators '!$M$144:$S$149,MATCH(H138,'Escalators '!$D$144:$D$149,0),MATCH(I138,'Escalators '!$M$133:$S$133,0))</f>
        <v>1.086511825003146</v>
      </c>
      <c r="Q138" s="257">
        <f t="shared" ref="Q138:Q146" si="13">N138*P138</f>
        <v>0</v>
      </c>
      <c r="R138" s="257">
        <f t="shared" ref="R138:R146" si="14">O138*P138</f>
        <v>1192747.304713717</v>
      </c>
    </row>
    <row r="139" spans="2:18" x14ac:dyDescent="0.2">
      <c r="B139" s="192" t="s">
        <v>258</v>
      </c>
      <c r="C139" s="192" t="s">
        <v>68</v>
      </c>
      <c r="D139" s="192" t="s">
        <v>419</v>
      </c>
      <c r="E139" s="251" t="str">
        <f>IF(AND(B139=$B$14,C139=$C$14,D139=$D$14,H139=$H$14),'Operating leases'!$B$16,"")</f>
        <v/>
      </c>
      <c r="F139" s="252" t="str">
        <f>IF(AND(B139=$B$16,C139=$C$16,D139=$D$16,H139=$H$16),'Operating leases'!$B$15,"")</f>
        <v/>
      </c>
      <c r="G139" s="252" t="str">
        <f t="shared" si="10"/>
        <v/>
      </c>
      <c r="H139" s="192" t="s">
        <v>221</v>
      </c>
      <c r="I139" s="192">
        <v>2026</v>
      </c>
      <c r="J139" s="209">
        <v>3030015.1230000001</v>
      </c>
      <c r="K139" s="253">
        <f>IF(C139='Global inputs'!$B$127,INDEX('Global inputs'!$L$127:$S$127,MATCH('Forecast opex'!I139,'Global inputs'!$L$126:$S$126,0)),1)</f>
        <v>1</v>
      </c>
      <c r="L139" s="254">
        <f t="shared" si="11"/>
        <v>3030015.1230000001</v>
      </c>
      <c r="M139" s="255">
        <f>IF(AND('Global inputs'!$D$128="Yes",C139='Global inputs'!$B$127),'Forecast opex'!L139*'Global inputs'!$L$127,'Forecast opex'!J139)</f>
        <v>3030015.1230000001</v>
      </c>
      <c r="N139" s="256">
        <f>IF(ISNA(MATCH(G139,'Operating leases'!$B$15:$B$26,0)),0,INDEX('Operating leases'!$M$15:$S$26,MATCH(G139,'Operating leases'!$B$15:$B$26,0),MATCH(I139,'Operating leases'!$M$11:$S$11,0)))</f>
        <v>0</v>
      </c>
      <c r="O139" s="257">
        <f t="shared" si="12"/>
        <v>3030015.1230000001</v>
      </c>
      <c r="P139" s="258">
        <f>INDEX('Escalators '!$M$144:$S$149,MATCH(H139,'Escalators '!$D$144:$D$149,0),MATCH(I139,'Escalators '!$M$133:$S$133,0))</f>
        <v>1.1087516400137722</v>
      </c>
      <c r="Q139" s="257">
        <f t="shared" si="13"/>
        <v>0</v>
      </c>
      <c r="R139" s="257">
        <f t="shared" si="14"/>
        <v>3359534.2368927822</v>
      </c>
    </row>
    <row r="140" spans="2:18" x14ac:dyDescent="0.2">
      <c r="B140" s="192" t="s">
        <v>258</v>
      </c>
      <c r="C140" s="192" t="s">
        <v>68</v>
      </c>
      <c r="D140" s="192" t="s">
        <v>419</v>
      </c>
      <c r="E140" s="251" t="str">
        <f>IF(AND(B140=$B$14,C140=$C$14,D140=$D$14,H140=$H$14),'Operating leases'!$B$16,"")</f>
        <v/>
      </c>
      <c r="F140" s="252" t="str">
        <f>IF(AND(B140=$B$16,C140=$C$16,D140=$D$16,H140=$H$16),'Operating leases'!$B$15,"")</f>
        <v/>
      </c>
      <c r="G140" s="252" t="str">
        <f t="shared" si="10"/>
        <v/>
      </c>
      <c r="H140" s="192" t="s">
        <v>229</v>
      </c>
      <c r="I140" s="192">
        <v>2026</v>
      </c>
      <c r="J140" s="209">
        <v>336668.34700000007</v>
      </c>
      <c r="K140" s="253">
        <f>IF(C140='Global inputs'!$B$127,INDEX('Global inputs'!$L$127:$S$127,MATCH('Forecast opex'!I140,'Global inputs'!$L$126:$S$126,0)),1)</f>
        <v>1</v>
      </c>
      <c r="L140" s="254">
        <f t="shared" si="11"/>
        <v>336668.34700000007</v>
      </c>
      <c r="M140" s="255">
        <f>IF(AND('Global inputs'!$D$128="Yes",C140='Global inputs'!$B$127),'Forecast opex'!L140*'Global inputs'!$L$127,'Forecast opex'!J140)</f>
        <v>336668.34700000007</v>
      </c>
      <c r="N140" s="256">
        <f>IF(ISNA(MATCH(G140,'Operating leases'!$B$15:$B$26,0)),0,INDEX('Operating leases'!$M$15:$S$26,MATCH(G140,'Operating leases'!$B$15:$B$26,0),MATCH(I140,'Operating leases'!$M$11:$S$11,0)))</f>
        <v>0</v>
      </c>
      <c r="O140" s="257">
        <f t="shared" si="12"/>
        <v>336668.34700000007</v>
      </c>
      <c r="P140" s="258">
        <f>INDEX('Escalators '!$M$144:$S$149,MATCH(H140,'Escalators '!$D$144:$D$149,0),MATCH(I140,'Escalators '!$M$133:$S$133,0))</f>
        <v>1.086511825003146</v>
      </c>
      <c r="Q140" s="257">
        <f t="shared" si="13"/>
        <v>0</v>
      </c>
      <c r="R140" s="257">
        <f t="shared" si="14"/>
        <v>365794.14011976251</v>
      </c>
    </row>
    <row r="141" spans="2:18" x14ac:dyDescent="0.2">
      <c r="B141" s="192" t="s">
        <v>253</v>
      </c>
      <c r="C141" s="192" t="s">
        <v>241</v>
      </c>
      <c r="D141" s="192" t="s">
        <v>414</v>
      </c>
      <c r="E141" s="251" t="str">
        <f>IF(AND(B141=$B$14,C141=$C$14,D141=$D$14,H141=$H$14),'Operating leases'!$B$16,"")</f>
        <v/>
      </c>
      <c r="F141" s="252" t="str">
        <f>IF(AND(B141=$B$16,C141=$C$16,D141=$D$16,H141=$H$16),'Operating leases'!$B$15,"")</f>
        <v/>
      </c>
      <c r="G141" s="252" t="str">
        <f t="shared" si="10"/>
        <v/>
      </c>
      <c r="H141" s="192" t="s">
        <v>221</v>
      </c>
      <c r="I141" s="192">
        <v>2026</v>
      </c>
      <c r="J141" s="209">
        <v>3040563.8378908113</v>
      </c>
      <c r="K141" s="253">
        <f>IF(C141='Global inputs'!$B$127,INDEX('Global inputs'!$L$127:$S$127,MATCH('Forecast opex'!I141,'Global inputs'!$L$126:$S$126,0)),1)</f>
        <v>1</v>
      </c>
      <c r="L141" s="254">
        <f t="shared" si="11"/>
        <v>3040563.8378908113</v>
      </c>
      <c r="M141" s="255">
        <f>IF(AND('Global inputs'!$D$128="Yes",C141='Global inputs'!$B$127),'Forecast opex'!L141*'Global inputs'!$L$127,'Forecast opex'!J141)</f>
        <v>3040563.8378908113</v>
      </c>
      <c r="N141" s="256">
        <f>IF(ISNA(MATCH(G141,'Operating leases'!$B$15:$B$26,0)),0,INDEX('Operating leases'!$M$15:$S$26,MATCH(G141,'Operating leases'!$B$15:$B$26,0),MATCH(I141,'Operating leases'!$M$11:$S$11,0)))</f>
        <v>0</v>
      </c>
      <c r="O141" s="257">
        <f t="shared" si="12"/>
        <v>3040563.8378908113</v>
      </c>
      <c r="P141" s="258">
        <f>INDEX('Escalators '!$M$144:$S$149,MATCH(H141,'Escalators '!$D$144:$D$149,0),MATCH(I141,'Escalators '!$M$133:$S$133,0))</f>
        <v>1.1087516400137722</v>
      </c>
      <c r="Q141" s="257">
        <f t="shared" si="13"/>
        <v>0</v>
      </c>
      <c r="R141" s="257">
        <f t="shared" si="14"/>
        <v>3371230.1418280066</v>
      </c>
    </row>
    <row r="142" spans="2:18" x14ac:dyDescent="0.2">
      <c r="B142" s="192" t="s">
        <v>253</v>
      </c>
      <c r="C142" s="192" t="s">
        <v>241</v>
      </c>
      <c r="D142" s="192" t="s">
        <v>414</v>
      </c>
      <c r="E142" s="251" t="str">
        <f>IF(AND(B142=$B$14,C142=$C$14,D142=$D$14,H142=$H$14),'Operating leases'!$B$16,"")</f>
        <v/>
      </c>
      <c r="F142" s="252" t="str">
        <f>IF(AND(B142=$B$16,C142=$C$16,D142=$D$16,H142=$H$16),'Operating leases'!$B$15,"")</f>
        <v/>
      </c>
      <c r="G142" s="252" t="str">
        <f t="shared" si="10"/>
        <v/>
      </c>
      <c r="H142" s="192" t="s">
        <v>229</v>
      </c>
      <c r="I142" s="192">
        <v>2026</v>
      </c>
      <c r="J142" s="209">
        <v>1303098.7876674905</v>
      </c>
      <c r="K142" s="253">
        <f>IF(C142='Global inputs'!$B$127,INDEX('Global inputs'!$L$127:$S$127,MATCH('Forecast opex'!I142,'Global inputs'!$L$126:$S$126,0)),1)</f>
        <v>1</v>
      </c>
      <c r="L142" s="254">
        <f t="shared" si="11"/>
        <v>1303098.7876674905</v>
      </c>
      <c r="M142" s="255">
        <f>IF(AND('Global inputs'!$D$128="Yes",C142='Global inputs'!$B$127),'Forecast opex'!L142*'Global inputs'!$L$127,'Forecast opex'!J142)</f>
        <v>1303098.7876674905</v>
      </c>
      <c r="N142" s="256">
        <f>IF(ISNA(MATCH(G142,'Operating leases'!$B$15:$B$26,0)),0,INDEX('Operating leases'!$M$15:$S$26,MATCH(G142,'Operating leases'!$B$15:$B$26,0),MATCH(I142,'Operating leases'!$M$11:$S$11,0)))</f>
        <v>0</v>
      </c>
      <c r="O142" s="257">
        <f t="shared" si="12"/>
        <v>1303098.7876674905</v>
      </c>
      <c r="P142" s="258">
        <f>INDEX('Escalators '!$M$144:$S$149,MATCH(H142,'Escalators '!$D$144:$D$149,0),MATCH(I142,'Escalators '!$M$133:$S$133,0))</f>
        <v>1.086511825003146</v>
      </c>
      <c r="Q142" s="257">
        <f t="shared" si="13"/>
        <v>0</v>
      </c>
      <c r="R142" s="257">
        <f t="shared" si="14"/>
        <v>1415832.2419479922</v>
      </c>
    </row>
    <row r="143" spans="2:18" x14ac:dyDescent="0.2">
      <c r="B143" s="192" t="s">
        <v>258</v>
      </c>
      <c r="C143" s="192" t="s">
        <v>246</v>
      </c>
      <c r="D143" s="192" t="s">
        <v>423</v>
      </c>
      <c r="E143" s="251" t="str">
        <f>IF(AND(B143=$B$14,C143=$C$14,D143=$D$14,H143=$H$14),'Operating leases'!$B$16,"")</f>
        <v/>
      </c>
      <c r="F143" s="252" t="str">
        <f>IF(AND(B143=$B$16,C143=$C$16,D143=$D$16,H143=$H$16),'Operating leases'!$B$15,"")</f>
        <v/>
      </c>
      <c r="G143" s="252" t="str">
        <f t="shared" si="10"/>
        <v/>
      </c>
      <c r="H143" s="192" t="s">
        <v>221</v>
      </c>
      <c r="I143" s="192">
        <v>2026</v>
      </c>
      <c r="J143" s="209">
        <v>776178.00945545081</v>
      </c>
      <c r="K143" s="253">
        <f>IF(C143='Global inputs'!$B$127,INDEX('Global inputs'!$L$127:$S$127,MATCH('Forecast opex'!I143,'Global inputs'!$L$126:$S$126,0)),1)</f>
        <v>1</v>
      </c>
      <c r="L143" s="254">
        <f t="shared" si="11"/>
        <v>776178.00945545081</v>
      </c>
      <c r="M143" s="255">
        <f>IF(AND('Global inputs'!$D$128="Yes",C143='Global inputs'!$B$127),'Forecast opex'!L143*'Global inputs'!$L$127,'Forecast opex'!J143)</f>
        <v>776178.00945545081</v>
      </c>
      <c r="N143" s="256">
        <f>IF(ISNA(MATCH(G143,'Operating leases'!$B$15:$B$26,0)),0,INDEX('Operating leases'!$M$15:$S$26,MATCH(G143,'Operating leases'!$B$15:$B$26,0),MATCH(I143,'Operating leases'!$M$11:$S$11,0)))</f>
        <v>0</v>
      </c>
      <c r="O143" s="257">
        <f t="shared" si="12"/>
        <v>776178.00945545081</v>
      </c>
      <c r="P143" s="258">
        <f>INDEX('Escalators '!$M$144:$S$149,MATCH(H143,'Escalators '!$D$144:$D$149,0),MATCH(I143,'Escalators '!$M$133:$S$133,0))</f>
        <v>1.1087516400137722</v>
      </c>
      <c r="Q143" s="257">
        <f t="shared" si="13"/>
        <v>0</v>
      </c>
      <c r="R143" s="257">
        <f t="shared" si="14"/>
        <v>860588.64092635631</v>
      </c>
    </row>
    <row r="144" spans="2:18" x14ac:dyDescent="0.2">
      <c r="B144" s="192" t="s">
        <v>258</v>
      </c>
      <c r="C144" s="192" t="s">
        <v>246</v>
      </c>
      <c r="D144" s="192" t="s">
        <v>423</v>
      </c>
      <c r="E144" s="251" t="str">
        <f>IF(AND(B144=$B$14,C144=$C$14,D144=$D$14,H144=$H$14),'Operating leases'!$B$16,"")</f>
        <v/>
      </c>
      <c r="F144" s="252" t="str">
        <f>IF(AND(B144=$B$16,C144=$C$16,D144=$D$16,H144=$H$16),'Operating leases'!$B$15,"")</f>
        <v/>
      </c>
      <c r="G144" s="252" t="str">
        <f t="shared" si="10"/>
        <v/>
      </c>
      <c r="H144" s="192" t="s">
        <v>229</v>
      </c>
      <c r="I144" s="192">
        <v>2026</v>
      </c>
      <c r="J144" s="209">
        <v>86242.001050605657</v>
      </c>
      <c r="K144" s="253">
        <f>IF(C144='Global inputs'!$B$127,INDEX('Global inputs'!$L$127:$S$127,MATCH('Forecast opex'!I144,'Global inputs'!$L$126:$S$126,0)),1)</f>
        <v>1</v>
      </c>
      <c r="L144" s="254">
        <f t="shared" si="11"/>
        <v>86242.001050605657</v>
      </c>
      <c r="M144" s="255">
        <f>IF(AND('Global inputs'!$D$128="Yes",C144='Global inputs'!$B$127),'Forecast opex'!L144*'Global inputs'!$L$127,'Forecast opex'!J144)</f>
        <v>86242.001050605657</v>
      </c>
      <c r="N144" s="256">
        <f>IF(ISNA(MATCH(G144,'Operating leases'!$B$15:$B$26,0)),0,INDEX('Operating leases'!$M$15:$S$26,MATCH(G144,'Operating leases'!$B$15:$B$26,0),MATCH(I144,'Operating leases'!$M$11:$S$11,0)))</f>
        <v>0</v>
      </c>
      <c r="O144" s="257">
        <f t="shared" si="12"/>
        <v>86242.001050605657</v>
      </c>
      <c r="P144" s="258">
        <f>INDEX('Escalators '!$M$144:$S$149,MATCH(H144,'Escalators '!$D$144:$D$149,0),MATCH(I144,'Escalators '!$M$133:$S$133,0))</f>
        <v>1.086511825003146</v>
      </c>
      <c r="Q144" s="257">
        <f t="shared" si="13"/>
        <v>0</v>
      </c>
      <c r="R144" s="257">
        <f t="shared" si="14"/>
        <v>93702.953953416785</v>
      </c>
    </row>
    <row r="145" spans="2:18" x14ac:dyDescent="0.2">
      <c r="B145" s="192" t="s">
        <v>253</v>
      </c>
      <c r="C145" s="192" t="s">
        <v>243</v>
      </c>
      <c r="D145" s="192" t="s">
        <v>415</v>
      </c>
      <c r="E145" s="251" t="str">
        <f>IF(AND(B145=$B$14,C145=$C$14,D145=$D$14,H145=$H$14),'Operating leases'!$B$16,"")</f>
        <v/>
      </c>
      <c r="F145" s="252" t="str">
        <f>IF(AND(B145=$B$16,C145=$C$16,D145=$D$16,H145=$H$16),'Operating leases'!$B$15,"")</f>
        <v/>
      </c>
      <c r="G145" s="252" t="str">
        <f t="shared" si="10"/>
        <v/>
      </c>
      <c r="H145" s="192" t="s">
        <v>221</v>
      </c>
      <c r="I145" s="192">
        <v>2026</v>
      </c>
      <c r="J145" s="209">
        <v>1861575.1506282992</v>
      </c>
      <c r="K145" s="253">
        <f>IF(C145='Global inputs'!$B$127,INDEX('Global inputs'!$L$127:$S$127,MATCH('Forecast opex'!I145,'Global inputs'!$L$126:$S$126,0)),1)</f>
        <v>1</v>
      </c>
      <c r="L145" s="254">
        <f t="shared" si="11"/>
        <v>1861575.1506282992</v>
      </c>
      <c r="M145" s="255">
        <f>IF(AND('Global inputs'!$D$128="Yes",C145='Global inputs'!$B$127),'Forecast opex'!L145*'Global inputs'!$L$127,'Forecast opex'!J145)</f>
        <v>1861575.1506282992</v>
      </c>
      <c r="N145" s="256">
        <f>IF(ISNA(MATCH(G145,'Operating leases'!$B$15:$B$26,0)),0,INDEX('Operating leases'!$M$15:$S$26,MATCH(G145,'Operating leases'!$B$15:$B$26,0),MATCH(I145,'Operating leases'!$M$11:$S$11,0)))</f>
        <v>0</v>
      </c>
      <c r="O145" s="257">
        <f t="shared" si="12"/>
        <v>1861575.1506282992</v>
      </c>
      <c r="P145" s="258">
        <f>INDEX('Escalators '!$M$144:$S$149,MATCH(H145,'Escalators '!$D$144:$D$149,0),MATCH(I145,'Escalators '!$M$133:$S$133,0))</f>
        <v>1.1087516400137722</v>
      </c>
      <c r="Q145" s="257">
        <f t="shared" si="13"/>
        <v>0</v>
      </c>
      <c r="R145" s="257">
        <f t="shared" si="14"/>
        <v>2064024.5012680118</v>
      </c>
    </row>
    <row r="146" spans="2:18" x14ac:dyDescent="0.2">
      <c r="B146" s="192" t="s">
        <v>253</v>
      </c>
      <c r="C146" s="192" t="s">
        <v>243</v>
      </c>
      <c r="D146" s="192" t="s">
        <v>415</v>
      </c>
      <c r="E146" s="251" t="str">
        <f>IF(AND(B146=$B$14,C146=$C$14,D146=$D$14,H146=$H$14),'Operating leases'!$B$16,"")</f>
        <v/>
      </c>
      <c r="F146" s="252" t="str">
        <f>IF(AND(B146=$B$16,C146=$C$16,D146=$D$16,H146=$H$16),'Operating leases'!$B$15,"")</f>
        <v/>
      </c>
      <c r="G146" s="252" t="str">
        <f t="shared" si="10"/>
        <v/>
      </c>
      <c r="H146" s="192" t="s">
        <v>229</v>
      </c>
      <c r="I146" s="192">
        <v>2026</v>
      </c>
      <c r="J146" s="209">
        <v>797817.92169784254</v>
      </c>
      <c r="K146" s="253">
        <f>IF(C146='Global inputs'!$B$127,INDEX('Global inputs'!$L$127:$S$127,MATCH('Forecast opex'!I146,'Global inputs'!$L$126:$S$126,0)),1)</f>
        <v>1</v>
      </c>
      <c r="L146" s="254">
        <f t="shared" si="11"/>
        <v>797817.92169784254</v>
      </c>
      <c r="M146" s="255">
        <f>IF(AND('Global inputs'!$D$128="Yes",C146='Global inputs'!$B$127),'Forecast opex'!L146*'Global inputs'!$L$127,'Forecast opex'!J146)</f>
        <v>797817.92169784254</v>
      </c>
      <c r="N146" s="256">
        <f>IF(ISNA(MATCH(G146,'Operating leases'!$B$15:$B$26,0)),0,INDEX('Operating leases'!$M$15:$S$26,MATCH(G146,'Operating leases'!$B$15:$B$26,0),MATCH(I146,'Operating leases'!$M$11:$S$11,0)))</f>
        <v>0</v>
      </c>
      <c r="O146" s="257">
        <f t="shared" si="12"/>
        <v>797817.92169784254</v>
      </c>
      <c r="P146" s="258">
        <f>INDEX('Escalators '!$M$144:$S$149,MATCH(H146,'Escalators '!$D$144:$D$149,0),MATCH(I146,'Escalators '!$M$133:$S$133,0))</f>
        <v>1.086511825003146</v>
      </c>
      <c r="Q146" s="257">
        <f t="shared" si="13"/>
        <v>0</v>
      </c>
      <c r="R146" s="257">
        <f t="shared" si="14"/>
        <v>866838.60612413997</v>
      </c>
    </row>
    <row r="147" spans="2:18" x14ac:dyDescent="0.2">
      <c r="B147" s="259"/>
      <c r="C147" s="259"/>
      <c r="D147" s="259"/>
      <c r="E147" s="251"/>
      <c r="F147" s="252"/>
      <c r="G147" s="252"/>
      <c r="H147" s="259"/>
      <c r="I147" s="259"/>
      <c r="J147" s="259"/>
      <c r="K147" s="260"/>
      <c r="L147" s="255"/>
      <c r="M147" s="255"/>
      <c r="N147" s="256"/>
      <c r="O147" s="257"/>
      <c r="P147" s="258"/>
      <c r="Q147" s="257"/>
      <c r="R147" s="257"/>
    </row>
    <row r="148" spans="2:18" outlineLevel="1" x14ac:dyDescent="0.2">
      <c r="B148" s="259"/>
      <c r="C148" s="259"/>
      <c r="D148" s="259"/>
      <c r="E148" s="251"/>
      <c r="F148" s="252"/>
      <c r="G148" s="252"/>
      <c r="H148" s="259"/>
      <c r="I148" s="259"/>
      <c r="J148" s="259"/>
      <c r="K148" s="260"/>
      <c r="L148" s="255"/>
      <c r="M148" s="255"/>
      <c r="N148" s="256"/>
      <c r="O148" s="257"/>
      <c r="P148" s="258"/>
      <c r="Q148" s="257"/>
      <c r="R148" s="257"/>
    </row>
    <row r="149" spans="2:18" outlineLevel="1" x14ac:dyDescent="0.2">
      <c r="B149" s="259"/>
      <c r="C149" s="259"/>
      <c r="D149" s="259"/>
      <c r="E149" s="251"/>
      <c r="F149" s="252"/>
      <c r="G149" s="252"/>
      <c r="H149" s="259"/>
      <c r="I149" s="259"/>
      <c r="J149" s="259"/>
      <c r="K149" s="260"/>
      <c r="L149" s="255"/>
      <c r="M149" s="255"/>
      <c r="N149" s="256"/>
      <c r="O149" s="257"/>
      <c r="P149" s="258"/>
      <c r="Q149" s="257"/>
      <c r="R149" s="257"/>
    </row>
    <row r="150" spans="2:18" outlineLevel="1" x14ac:dyDescent="0.2">
      <c r="B150" s="259"/>
      <c r="C150" s="259"/>
      <c r="D150" s="259"/>
      <c r="E150" s="251"/>
      <c r="F150" s="252"/>
      <c r="G150" s="252"/>
      <c r="H150" s="259"/>
      <c r="I150" s="259"/>
      <c r="J150" s="259"/>
      <c r="K150" s="260"/>
      <c r="L150" s="255"/>
      <c r="M150" s="255"/>
      <c r="N150" s="256"/>
      <c r="O150" s="257"/>
      <c r="P150" s="258"/>
      <c r="Q150" s="257"/>
      <c r="R150" s="257"/>
    </row>
    <row r="151" spans="2:18" outlineLevel="1" x14ac:dyDescent="0.2">
      <c r="B151" s="259"/>
      <c r="C151" s="259"/>
      <c r="D151" s="259"/>
      <c r="E151" s="251"/>
      <c r="F151" s="252"/>
      <c r="G151" s="252"/>
      <c r="H151" s="259"/>
      <c r="I151" s="259"/>
      <c r="J151" s="259"/>
      <c r="K151" s="260"/>
      <c r="L151" s="255"/>
      <c r="M151" s="255"/>
      <c r="N151" s="256"/>
      <c r="O151" s="257"/>
      <c r="P151" s="258"/>
      <c r="Q151" s="257"/>
      <c r="R151" s="257"/>
    </row>
    <row r="152" spans="2:18" outlineLevel="1" x14ac:dyDescent="0.2">
      <c r="B152" s="259"/>
      <c r="C152" s="259"/>
      <c r="D152" s="259"/>
      <c r="E152" s="251"/>
      <c r="F152" s="252"/>
      <c r="G152" s="252"/>
      <c r="H152" s="259"/>
      <c r="I152" s="259"/>
      <c r="J152" s="259"/>
      <c r="K152" s="260"/>
      <c r="L152" s="255"/>
      <c r="M152" s="255"/>
      <c r="N152" s="256"/>
      <c r="O152" s="257"/>
      <c r="P152" s="258"/>
      <c r="Q152" s="257"/>
      <c r="R152" s="257"/>
    </row>
    <row r="153" spans="2:18" outlineLevel="1" x14ac:dyDescent="0.2">
      <c r="B153" s="259"/>
      <c r="C153" s="259"/>
      <c r="D153" s="259"/>
      <c r="E153" s="251"/>
      <c r="F153" s="252"/>
      <c r="G153" s="252"/>
      <c r="H153" s="259"/>
      <c r="I153" s="259"/>
      <c r="J153" s="259"/>
      <c r="K153" s="260"/>
      <c r="L153" s="255"/>
      <c r="M153" s="255"/>
      <c r="N153" s="256"/>
      <c r="O153" s="257"/>
      <c r="P153" s="258"/>
      <c r="Q153" s="257"/>
      <c r="R153" s="257"/>
    </row>
    <row r="154" spans="2:18" outlineLevel="1" x14ac:dyDescent="0.2">
      <c r="B154" s="259"/>
      <c r="C154" s="259"/>
      <c r="D154" s="259"/>
      <c r="E154" s="251"/>
      <c r="F154" s="252"/>
      <c r="G154" s="252"/>
      <c r="H154" s="259"/>
      <c r="I154" s="259"/>
      <c r="J154" s="259"/>
      <c r="K154" s="260"/>
      <c r="L154" s="255"/>
      <c r="M154" s="255"/>
      <c r="N154" s="256"/>
      <c r="O154" s="257"/>
      <c r="P154" s="258"/>
      <c r="Q154" s="257"/>
      <c r="R154" s="257"/>
    </row>
    <row r="155" spans="2:18" outlineLevel="1" x14ac:dyDescent="0.2">
      <c r="B155" s="259"/>
      <c r="C155" s="259"/>
      <c r="D155" s="259"/>
      <c r="E155" s="251"/>
      <c r="F155" s="252"/>
      <c r="G155" s="252"/>
      <c r="H155" s="259"/>
      <c r="I155" s="259"/>
      <c r="J155" s="259"/>
      <c r="K155" s="260"/>
      <c r="L155" s="255"/>
      <c r="M155" s="255"/>
      <c r="N155" s="256"/>
      <c r="O155" s="257"/>
      <c r="P155" s="258"/>
      <c r="Q155" s="257"/>
      <c r="R155" s="257"/>
    </row>
    <row r="156" spans="2:18" outlineLevel="1" x14ac:dyDescent="0.2">
      <c r="B156" s="259"/>
      <c r="C156" s="259"/>
      <c r="D156" s="259"/>
      <c r="E156" s="251"/>
      <c r="F156" s="252"/>
      <c r="G156" s="252"/>
      <c r="H156" s="259"/>
      <c r="I156" s="259"/>
      <c r="J156" s="259"/>
      <c r="K156" s="260"/>
      <c r="L156" s="255"/>
      <c r="M156" s="255"/>
      <c r="N156" s="256"/>
      <c r="O156" s="257"/>
      <c r="P156" s="258"/>
      <c r="Q156" s="257"/>
      <c r="R156" s="257"/>
    </row>
    <row r="157" spans="2:18" outlineLevel="1" x14ac:dyDescent="0.2">
      <c r="B157" s="259"/>
      <c r="C157" s="259"/>
      <c r="D157" s="259"/>
      <c r="E157" s="251"/>
      <c r="F157" s="252"/>
      <c r="G157" s="252"/>
      <c r="H157" s="259"/>
      <c r="I157" s="259"/>
      <c r="J157" s="259"/>
      <c r="K157" s="260"/>
      <c r="L157" s="255"/>
      <c r="M157" s="255"/>
      <c r="N157" s="256"/>
      <c r="O157" s="257"/>
      <c r="P157" s="258"/>
      <c r="Q157" s="257"/>
      <c r="R157" s="257"/>
    </row>
    <row r="158" spans="2:18" outlineLevel="1" x14ac:dyDescent="0.2">
      <c r="B158" s="259"/>
      <c r="C158" s="259"/>
      <c r="D158" s="259"/>
      <c r="E158" s="251"/>
      <c r="F158" s="252"/>
      <c r="G158" s="252"/>
      <c r="H158" s="259"/>
      <c r="I158" s="259"/>
      <c r="J158" s="259"/>
      <c r="K158" s="260"/>
      <c r="L158" s="255"/>
      <c r="M158" s="255"/>
      <c r="N158" s="256"/>
      <c r="O158" s="257"/>
      <c r="P158" s="258"/>
      <c r="Q158" s="257"/>
      <c r="R158" s="257"/>
    </row>
    <row r="159" spans="2:18" outlineLevel="1" x14ac:dyDescent="0.2">
      <c r="B159" s="259"/>
      <c r="C159" s="259"/>
      <c r="D159" s="259"/>
      <c r="E159" s="251"/>
      <c r="F159" s="252"/>
      <c r="G159" s="252"/>
      <c r="H159" s="259"/>
      <c r="I159" s="259"/>
      <c r="J159" s="259"/>
      <c r="K159" s="260"/>
      <c r="L159" s="255"/>
      <c r="M159" s="255"/>
      <c r="N159" s="256"/>
      <c r="O159" s="257"/>
      <c r="P159" s="258"/>
      <c r="Q159" s="257"/>
      <c r="R159" s="257"/>
    </row>
    <row r="160" spans="2:18" outlineLevel="1" x14ac:dyDescent="0.2">
      <c r="B160" s="259"/>
      <c r="C160" s="259"/>
      <c r="D160" s="259"/>
      <c r="E160" s="251"/>
      <c r="F160" s="252"/>
      <c r="G160" s="252"/>
      <c r="H160" s="259"/>
      <c r="I160" s="259"/>
      <c r="J160" s="259"/>
      <c r="K160" s="260"/>
      <c r="L160" s="255"/>
      <c r="M160" s="255"/>
      <c r="N160" s="256"/>
      <c r="O160" s="257"/>
      <c r="P160" s="258"/>
      <c r="Q160" s="257"/>
      <c r="R160" s="257"/>
    </row>
    <row r="161" spans="2:18" outlineLevel="1" x14ac:dyDescent="0.2">
      <c r="B161" s="259"/>
      <c r="C161" s="259"/>
      <c r="D161" s="259"/>
      <c r="E161" s="251"/>
      <c r="F161" s="252"/>
      <c r="G161" s="252"/>
      <c r="H161" s="259"/>
      <c r="I161" s="259"/>
      <c r="J161" s="259"/>
      <c r="K161" s="260"/>
      <c r="L161" s="255"/>
      <c r="M161" s="255"/>
      <c r="N161" s="256"/>
      <c r="O161" s="257"/>
      <c r="P161" s="258"/>
      <c r="Q161" s="257"/>
      <c r="R161" s="257"/>
    </row>
    <row r="162" spans="2:18" outlineLevel="1" x14ac:dyDescent="0.2">
      <c r="B162" s="259"/>
      <c r="C162" s="259"/>
      <c r="D162" s="259"/>
      <c r="E162" s="251"/>
      <c r="F162" s="252"/>
      <c r="G162" s="252"/>
      <c r="H162" s="259"/>
      <c r="I162" s="259"/>
      <c r="J162" s="259"/>
      <c r="K162" s="260"/>
      <c r="L162" s="255"/>
      <c r="M162" s="255"/>
      <c r="N162" s="256"/>
      <c r="O162" s="257"/>
      <c r="P162" s="258"/>
      <c r="Q162" s="257"/>
      <c r="R162" s="257"/>
    </row>
    <row r="163" spans="2:18" outlineLevel="1" x14ac:dyDescent="0.2">
      <c r="B163" s="259"/>
      <c r="C163" s="259"/>
      <c r="D163" s="259"/>
      <c r="E163" s="251"/>
      <c r="F163" s="252"/>
      <c r="G163" s="252"/>
      <c r="H163" s="259"/>
      <c r="I163" s="259"/>
      <c r="J163" s="259"/>
      <c r="K163" s="260"/>
      <c r="L163" s="255"/>
      <c r="M163" s="255"/>
      <c r="N163" s="256"/>
      <c r="O163" s="257"/>
      <c r="P163" s="258"/>
      <c r="Q163" s="257"/>
      <c r="R163" s="257"/>
    </row>
    <row r="164" spans="2:18" outlineLevel="1" x14ac:dyDescent="0.2">
      <c r="B164" s="259"/>
      <c r="C164" s="259"/>
      <c r="D164" s="259"/>
      <c r="E164" s="251"/>
      <c r="F164" s="252"/>
      <c r="G164" s="252"/>
      <c r="H164" s="259"/>
      <c r="I164" s="259"/>
      <c r="J164" s="259"/>
      <c r="K164" s="260"/>
      <c r="L164" s="255"/>
      <c r="M164" s="255"/>
      <c r="N164" s="256"/>
      <c r="O164" s="257"/>
      <c r="P164" s="258"/>
      <c r="Q164" s="257"/>
      <c r="R164" s="257"/>
    </row>
    <row r="165" spans="2:18" outlineLevel="1" x14ac:dyDescent="0.2">
      <c r="B165" s="259"/>
      <c r="C165" s="259"/>
      <c r="D165" s="259"/>
      <c r="E165" s="251"/>
      <c r="F165" s="252"/>
      <c r="G165" s="252"/>
      <c r="H165" s="259"/>
      <c r="I165" s="259"/>
      <c r="J165" s="259"/>
      <c r="K165" s="260"/>
      <c r="L165" s="255"/>
      <c r="M165" s="255"/>
      <c r="N165" s="256"/>
      <c r="O165" s="257"/>
      <c r="P165" s="258"/>
      <c r="Q165" s="257"/>
      <c r="R165" s="257"/>
    </row>
    <row r="166" spans="2:18" outlineLevel="1" x14ac:dyDescent="0.2">
      <c r="B166" s="259"/>
      <c r="C166" s="259"/>
      <c r="D166" s="259"/>
      <c r="E166" s="251"/>
      <c r="F166" s="252"/>
      <c r="G166" s="252"/>
      <c r="H166" s="259"/>
      <c r="I166" s="259"/>
      <c r="J166" s="259"/>
      <c r="K166" s="260"/>
      <c r="L166" s="255"/>
      <c r="M166" s="255"/>
      <c r="N166" s="256"/>
      <c r="O166" s="257"/>
      <c r="P166" s="258"/>
      <c r="Q166" s="257"/>
      <c r="R166" s="257"/>
    </row>
    <row r="167" spans="2:18" outlineLevel="1" x14ac:dyDescent="0.2">
      <c r="B167" s="259"/>
      <c r="C167" s="259"/>
      <c r="D167" s="259"/>
      <c r="E167" s="251"/>
      <c r="F167" s="252"/>
      <c r="G167" s="252"/>
      <c r="H167" s="259"/>
      <c r="I167" s="259"/>
      <c r="J167" s="259"/>
      <c r="K167" s="260"/>
      <c r="L167" s="255"/>
      <c r="M167" s="255"/>
      <c r="N167" s="256"/>
      <c r="O167" s="257"/>
      <c r="P167" s="258"/>
      <c r="Q167" s="257"/>
      <c r="R167" s="257"/>
    </row>
    <row r="168" spans="2:18" outlineLevel="1" x14ac:dyDescent="0.2">
      <c r="B168" s="259"/>
      <c r="C168" s="259"/>
      <c r="D168" s="259"/>
      <c r="E168" s="251"/>
      <c r="F168" s="252"/>
      <c r="G168" s="252"/>
      <c r="H168" s="259"/>
      <c r="I168" s="259"/>
      <c r="J168" s="259"/>
      <c r="K168" s="260"/>
      <c r="L168" s="255"/>
      <c r="M168" s="255"/>
      <c r="N168" s="256"/>
      <c r="O168" s="257"/>
      <c r="P168" s="258"/>
      <c r="Q168" s="257"/>
      <c r="R168" s="257"/>
    </row>
    <row r="169" spans="2:18" outlineLevel="1" x14ac:dyDescent="0.2">
      <c r="B169" s="259"/>
      <c r="C169" s="259"/>
      <c r="D169" s="259"/>
      <c r="E169" s="251"/>
      <c r="F169" s="252"/>
      <c r="G169" s="252"/>
      <c r="H169" s="259"/>
      <c r="I169" s="259"/>
      <c r="J169" s="259"/>
      <c r="K169" s="260"/>
      <c r="L169" s="255"/>
      <c r="M169" s="255"/>
      <c r="N169" s="256"/>
      <c r="O169" s="257"/>
      <c r="P169" s="258"/>
      <c r="Q169" s="257"/>
      <c r="R169" s="257"/>
    </row>
    <row r="170" spans="2:18" outlineLevel="1" x14ac:dyDescent="0.2">
      <c r="B170" s="259"/>
      <c r="C170" s="259"/>
      <c r="D170" s="259"/>
      <c r="E170" s="251"/>
      <c r="F170" s="252"/>
      <c r="G170" s="252"/>
      <c r="H170" s="259"/>
      <c r="I170" s="259"/>
      <c r="J170" s="259"/>
      <c r="K170" s="260"/>
      <c r="L170" s="255"/>
      <c r="M170" s="255"/>
      <c r="N170" s="256"/>
      <c r="O170" s="257"/>
      <c r="P170" s="258"/>
      <c r="Q170" s="257"/>
      <c r="R170" s="257"/>
    </row>
    <row r="171" spans="2:18" outlineLevel="1" x14ac:dyDescent="0.2">
      <c r="B171" s="259"/>
      <c r="C171" s="259"/>
      <c r="D171" s="259"/>
      <c r="E171" s="251"/>
      <c r="F171" s="252"/>
      <c r="G171" s="252"/>
      <c r="H171" s="259"/>
      <c r="I171" s="259"/>
      <c r="J171" s="259"/>
      <c r="K171" s="260"/>
      <c r="L171" s="255"/>
      <c r="M171" s="255"/>
      <c r="N171" s="256"/>
      <c r="O171" s="257"/>
      <c r="P171" s="258"/>
      <c r="Q171" s="257"/>
      <c r="R171" s="257"/>
    </row>
    <row r="172" spans="2:18" outlineLevel="1" x14ac:dyDescent="0.2">
      <c r="B172" s="259"/>
      <c r="C172" s="259"/>
      <c r="D172" s="259"/>
      <c r="E172" s="251"/>
      <c r="F172" s="252"/>
      <c r="G172" s="252"/>
      <c r="H172" s="259"/>
      <c r="I172" s="259"/>
      <c r="J172" s="259"/>
      <c r="K172" s="260"/>
      <c r="L172" s="255"/>
      <c r="M172" s="255"/>
      <c r="N172" s="256"/>
      <c r="O172" s="257"/>
      <c r="P172" s="258"/>
      <c r="Q172" s="257"/>
      <c r="R172" s="257"/>
    </row>
    <row r="173" spans="2:18" outlineLevel="1" x14ac:dyDescent="0.2">
      <c r="B173" s="259"/>
      <c r="C173" s="259"/>
      <c r="D173" s="259"/>
      <c r="E173" s="251"/>
      <c r="F173" s="252"/>
      <c r="G173" s="252"/>
      <c r="H173" s="259"/>
      <c r="I173" s="259"/>
      <c r="J173" s="259"/>
      <c r="K173" s="260"/>
      <c r="L173" s="255"/>
      <c r="M173" s="255"/>
      <c r="N173" s="256"/>
      <c r="O173" s="257"/>
      <c r="P173" s="258"/>
      <c r="Q173" s="257"/>
      <c r="R173" s="257"/>
    </row>
    <row r="174" spans="2:18" outlineLevel="1" x14ac:dyDescent="0.2">
      <c r="B174" s="259"/>
      <c r="C174" s="259"/>
      <c r="D174" s="259"/>
      <c r="E174" s="251"/>
      <c r="F174" s="252"/>
      <c r="G174" s="252"/>
      <c r="H174" s="259"/>
      <c r="I174" s="259"/>
      <c r="J174" s="259"/>
      <c r="K174" s="260"/>
      <c r="L174" s="255"/>
      <c r="M174" s="255"/>
      <c r="N174" s="256"/>
      <c r="O174" s="257"/>
      <c r="P174" s="258"/>
      <c r="Q174" s="257"/>
      <c r="R174" s="257"/>
    </row>
    <row r="175" spans="2:18" outlineLevel="1" x14ac:dyDescent="0.2">
      <c r="B175" s="259"/>
      <c r="C175" s="259"/>
      <c r="D175" s="259"/>
      <c r="E175" s="251"/>
      <c r="F175" s="252"/>
      <c r="G175" s="252"/>
      <c r="H175" s="259"/>
      <c r="I175" s="259"/>
      <c r="J175" s="259"/>
      <c r="K175" s="260"/>
      <c r="L175" s="255"/>
      <c r="M175" s="255"/>
      <c r="N175" s="256"/>
      <c r="O175" s="257"/>
      <c r="P175" s="258"/>
      <c r="Q175" s="257"/>
      <c r="R175" s="257"/>
    </row>
    <row r="176" spans="2:18" outlineLevel="1" x14ac:dyDescent="0.2">
      <c r="B176" s="259"/>
      <c r="C176" s="259"/>
      <c r="D176" s="259"/>
      <c r="E176" s="251"/>
      <c r="F176" s="252"/>
      <c r="G176" s="252"/>
      <c r="H176" s="259"/>
      <c r="I176" s="259"/>
      <c r="J176" s="259"/>
      <c r="K176" s="260"/>
      <c r="L176" s="255"/>
      <c r="M176" s="255"/>
      <c r="N176" s="256"/>
      <c r="O176" s="257"/>
      <c r="P176" s="258"/>
      <c r="Q176" s="257"/>
      <c r="R176" s="257"/>
    </row>
    <row r="177" spans="2:18" outlineLevel="1" x14ac:dyDescent="0.2">
      <c r="B177" s="259"/>
      <c r="C177" s="259"/>
      <c r="D177" s="259"/>
      <c r="E177" s="251"/>
      <c r="F177" s="252"/>
      <c r="G177" s="252"/>
      <c r="H177" s="259"/>
      <c r="I177" s="259"/>
      <c r="J177" s="259"/>
      <c r="K177" s="260"/>
      <c r="L177" s="255"/>
      <c r="M177" s="255"/>
      <c r="N177" s="256"/>
      <c r="O177" s="257"/>
      <c r="P177" s="258"/>
      <c r="Q177" s="257"/>
      <c r="R177" s="257"/>
    </row>
    <row r="178" spans="2:18" outlineLevel="1" x14ac:dyDescent="0.2">
      <c r="B178" s="259"/>
      <c r="C178" s="259"/>
      <c r="D178" s="259"/>
      <c r="E178" s="251"/>
      <c r="F178" s="252"/>
      <c r="G178" s="252"/>
      <c r="H178" s="259"/>
      <c r="I178" s="259"/>
      <c r="J178" s="259"/>
      <c r="K178" s="260"/>
      <c r="L178" s="255"/>
      <c r="M178" s="255"/>
      <c r="N178" s="256"/>
      <c r="O178" s="257"/>
      <c r="P178" s="258"/>
      <c r="Q178" s="257"/>
      <c r="R178" s="257"/>
    </row>
    <row r="179" spans="2:18" outlineLevel="1" x14ac:dyDescent="0.2">
      <c r="B179" s="259"/>
      <c r="C179" s="259"/>
      <c r="D179" s="259"/>
      <c r="E179" s="251"/>
      <c r="F179" s="252"/>
      <c r="G179" s="252"/>
      <c r="H179" s="259"/>
      <c r="I179" s="259"/>
      <c r="J179" s="259"/>
      <c r="K179" s="260"/>
      <c r="L179" s="255"/>
      <c r="M179" s="255"/>
      <c r="N179" s="256"/>
      <c r="O179" s="257"/>
      <c r="P179" s="258"/>
      <c r="Q179" s="257"/>
      <c r="R179" s="257"/>
    </row>
    <row r="180" spans="2:18" outlineLevel="1" x14ac:dyDescent="0.2">
      <c r="B180" s="259"/>
      <c r="C180" s="259"/>
      <c r="D180" s="259"/>
      <c r="E180" s="251"/>
      <c r="F180" s="252"/>
      <c r="G180" s="252"/>
      <c r="H180" s="259"/>
      <c r="I180" s="259"/>
      <c r="J180" s="259"/>
      <c r="K180" s="260"/>
      <c r="L180" s="255"/>
      <c r="M180" s="255"/>
      <c r="N180" s="256"/>
      <c r="O180" s="257"/>
      <c r="P180" s="258"/>
      <c r="Q180" s="257"/>
      <c r="R180" s="257"/>
    </row>
    <row r="181" spans="2:18" outlineLevel="1" x14ac:dyDescent="0.2">
      <c r="B181" s="259"/>
      <c r="C181" s="259"/>
      <c r="D181" s="259"/>
      <c r="E181" s="251"/>
      <c r="F181" s="252"/>
      <c r="G181" s="252"/>
      <c r="H181" s="259"/>
      <c r="I181" s="259"/>
      <c r="J181" s="259"/>
      <c r="K181" s="260"/>
      <c r="L181" s="255"/>
      <c r="M181" s="255"/>
      <c r="N181" s="256"/>
      <c r="O181" s="257"/>
      <c r="P181" s="258"/>
      <c r="Q181" s="257"/>
      <c r="R181" s="257"/>
    </row>
    <row r="182" spans="2:18" outlineLevel="1" x14ac:dyDescent="0.2">
      <c r="B182" s="259"/>
      <c r="C182" s="259"/>
      <c r="D182" s="259"/>
      <c r="E182" s="251"/>
      <c r="F182" s="252"/>
      <c r="G182" s="252"/>
      <c r="H182" s="259"/>
      <c r="I182" s="259"/>
      <c r="J182" s="259"/>
      <c r="K182" s="260"/>
      <c r="L182" s="255"/>
      <c r="M182" s="255"/>
      <c r="N182" s="256"/>
      <c r="O182" s="257"/>
      <c r="P182" s="258"/>
      <c r="Q182" s="257"/>
      <c r="R182" s="257"/>
    </row>
    <row r="183" spans="2:18" outlineLevel="1" x14ac:dyDescent="0.2">
      <c r="B183" s="259"/>
      <c r="C183" s="259"/>
      <c r="D183" s="259"/>
      <c r="E183" s="251"/>
      <c r="F183" s="252"/>
      <c r="G183" s="252"/>
      <c r="H183" s="259"/>
      <c r="I183" s="259"/>
      <c r="J183" s="259"/>
      <c r="K183" s="260"/>
      <c r="L183" s="255"/>
      <c r="M183" s="255"/>
      <c r="N183" s="256"/>
      <c r="O183" s="257"/>
      <c r="P183" s="258"/>
      <c r="Q183" s="257"/>
      <c r="R183" s="257"/>
    </row>
    <row r="184" spans="2:18" outlineLevel="1" x14ac:dyDescent="0.2">
      <c r="B184" s="259"/>
      <c r="C184" s="259"/>
      <c r="D184" s="259"/>
      <c r="E184" s="251"/>
      <c r="F184" s="252"/>
      <c r="G184" s="252"/>
      <c r="H184" s="259"/>
      <c r="I184" s="259"/>
      <c r="J184" s="259"/>
      <c r="K184" s="260"/>
      <c r="L184" s="255"/>
      <c r="M184" s="255"/>
      <c r="N184" s="256"/>
      <c r="O184" s="257"/>
      <c r="P184" s="258"/>
      <c r="Q184" s="257"/>
      <c r="R184" s="257"/>
    </row>
    <row r="185" spans="2:18" outlineLevel="1" x14ac:dyDescent="0.2">
      <c r="B185" s="259"/>
      <c r="C185" s="259"/>
      <c r="D185" s="259"/>
      <c r="E185" s="251"/>
      <c r="F185" s="252"/>
      <c r="G185" s="252"/>
      <c r="H185" s="259"/>
      <c r="I185" s="259"/>
      <c r="J185" s="259"/>
      <c r="K185" s="260"/>
      <c r="L185" s="255"/>
      <c r="M185" s="255"/>
      <c r="N185" s="256"/>
      <c r="O185" s="257"/>
      <c r="P185" s="258"/>
      <c r="Q185" s="257"/>
      <c r="R185" s="257"/>
    </row>
    <row r="186" spans="2:18" outlineLevel="1" x14ac:dyDescent="0.2">
      <c r="B186" s="259"/>
      <c r="C186" s="259"/>
      <c r="D186" s="259"/>
      <c r="E186" s="251"/>
      <c r="F186" s="252"/>
      <c r="G186" s="252"/>
      <c r="H186" s="259"/>
      <c r="I186" s="259"/>
      <c r="J186" s="259"/>
      <c r="K186" s="260"/>
      <c r="L186" s="255"/>
      <c r="M186" s="255"/>
      <c r="N186" s="256"/>
      <c r="O186" s="257"/>
      <c r="P186" s="258"/>
      <c r="Q186" s="257"/>
      <c r="R186" s="257"/>
    </row>
    <row r="187" spans="2:18" outlineLevel="1" x14ac:dyDescent="0.2">
      <c r="B187" s="259"/>
      <c r="C187" s="259"/>
      <c r="D187" s="259"/>
      <c r="E187" s="251"/>
      <c r="F187" s="252"/>
      <c r="G187" s="252"/>
      <c r="H187" s="259"/>
      <c r="I187" s="259"/>
      <c r="J187" s="259"/>
      <c r="K187" s="260"/>
      <c r="L187" s="255"/>
      <c r="M187" s="255"/>
      <c r="N187" s="256"/>
      <c r="O187" s="257"/>
      <c r="P187" s="258"/>
      <c r="Q187" s="257"/>
      <c r="R187" s="257"/>
    </row>
    <row r="188" spans="2:18" outlineLevel="1" x14ac:dyDescent="0.2">
      <c r="B188" s="259"/>
      <c r="C188" s="259"/>
      <c r="D188" s="259"/>
      <c r="E188" s="251"/>
      <c r="F188" s="252"/>
      <c r="G188" s="252"/>
      <c r="H188" s="259"/>
      <c r="I188" s="259"/>
      <c r="J188" s="259"/>
      <c r="K188" s="260"/>
      <c r="L188" s="255"/>
      <c r="M188" s="255"/>
      <c r="N188" s="256"/>
      <c r="O188" s="257"/>
      <c r="P188" s="258"/>
      <c r="Q188" s="257"/>
      <c r="R188" s="257"/>
    </row>
    <row r="189" spans="2:18" outlineLevel="1" x14ac:dyDescent="0.2">
      <c r="B189" s="259"/>
      <c r="C189" s="259"/>
      <c r="D189" s="259"/>
      <c r="E189" s="251"/>
      <c r="F189" s="252"/>
      <c r="G189" s="252"/>
      <c r="H189" s="259"/>
      <c r="I189" s="259"/>
      <c r="J189" s="259"/>
      <c r="K189" s="260"/>
      <c r="L189" s="255"/>
      <c r="M189" s="255"/>
      <c r="N189" s="256"/>
      <c r="O189" s="257"/>
      <c r="P189" s="258"/>
      <c r="Q189" s="257"/>
      <c r="R189" s="257"/>
    </row>
    <row r="190" spans="2:18" outlineLevel="1" x14ac:dyDescent="0.2">
      <c r="B190" s="259"/>
      <c r="C190" s="259"/>
      <c r="D190" s="259"/>
      <c r="E190" s="251"/>
      <c r="F190" s="252"/>
      <c r="G190" s="252"/>
      <c r="H190" s="259"/>
      <c r="I190" s="259"/>
      <c r="J190" s="259"/>
      <c r="K190" s="260"/>
      <c r="L190" s="255"/>
      <c r="M190" s="255"/>
      <c r="N190" s="256"/>
      <c r="O190" s="257"/>
      <c r="P190" s="258"/>
      <c r="Q190" s="257"/>
      <c r="R190" s="257"/>
    </row>
    <row r="191" spans="2:18" outlineLevel="1" x14ac:dyDescent="0.2">
      <c r="B191" s="259"/>
      <c r="C191" s="259"/>
      <c r="D191" s="259"/>
      <c r="E191" s="251"/>
      <c r="F191" s="252"/>
      <c r="G191" s="252"/>
      <c r="H191" s="259"/>
      <c r="I191" s="259"/>
      <c r="J191" s="259"/>
      <c r="K191" s="260"/>
      <c r="L191" s="255"/>
      <c r="M191" s="255"/>
      <c r="N191" s="256"/>
      <c r="O191" s="257"/>
      <c r="P191" s="258"/>
      <c r="Q191" s="257"/>
      <c r="R191" s="257"/>
    </row>
    <row r="192" spans="2:18" outlineLevel="1" x14ac:dyDescent="0.2">
      <c r="B192" s="259"/>
      <c r="C192" s="259"/>
      <c r="D192" s="259"/>
      <c r="E192" s="251"/>
      <c r="F192" s="252"/>
      <c r="G192" s="252"/>
      <c r="H192" s="259"/>
      <c r="I192" s="259"/>
      <c r="J192" s="259"/>
      <c r="K192" s="260"/>
      <c r="L192" s="255"/>
      <c r="M192" s="255"/>
      <c r="N192" s="256"/>
      <c r="O192" s="257"/>
      <c r="P192" s="258"/>
      <c r="Q192" s="257"/>
      <c r="R192" s="257"/>
    </row>
    <row r="193" spans="2:18" outlineLevel="1" x14ac:dyDescent="0.2">
      <c r="B193" s="259"/>
      <c r="C193" s="259"/>
      <c r="D193" s="259"/>
      <c r="E193" s="251"/>
      <c r="F193" s="252"/>
      <c r="G193" s="252"/>
      <c r="H193" s="259"/>
      <c r="I193" s="259"/>
      <c r="J193" s="259"/>
      <c r="K193" s="260"/>
      <c r="L193" s="255"/>
      <c r="M193" s="255"/>
      <c r="N193" s="256"/>
      <c r="O193" s="257"/>
      <c r="P193" s="258"/>
      <c r="Q193" s="257"/>
      <c r="R193" s="257"/>
    </row>
    <row r="194" spans="2:18" outlineLevel="1" x14ac:dyDescent="0.2">
      <c r="B194" s="259"/>
      <c r="C194" s="259"/>
      <c r="D194" s="259"/>
      <c r="E194" s="251"/>
      <c r="F194" s="252"/>
      <c r="G194" s="252"/>
      <c r="H194" s="259"/>
      <c r="I194" s="259"/>
      <c r="J194" s="259"/>
      <c r="K194" s="260"/>
      <c r="L194" s="255"/>
      <c r="M194" s="255"/>
      <c r="N194" s="256"/>
      <c r="O194" s="257"/>
      <c r="P194" s="258"/>
      <c r="Q194" s="257"/>
      <c r="R194" s="257"/>
    </row>
    <row r="195" spans="2:18" outlineLevel="1" x14ac:dyDescent="0.2">
      <c r="B195" s="259"/>
      <c r="C195" s="259"/>
      <c r="D195" s="259"/>
      <c r="E195" s="251"/>
      <c r="F195" s="252"/>
      <c r="G195" s="252"/>
      <c r="H195" s="259"/>
      <c r="I195" s="259"/>
      <c r="J195" s="259"/>
      <c r="K195" s="260"/>
      <c r="L195" s="255"/>
      <c r="M195" s="255"/>
      <c r="N195" s="256"/>
      <c r="O195" s="257"/>
      <c r="P195" s="258"/>
      <c r="Q195" s="257"/>
      <c r="R195" s="257"/>
    </row>
    <row r="196" spans="2:18" outlineLevel="1" x14ac:dyDescent="0.2">
      <c r="B196" s="259"/>
      <c r="C196" s="259"/>
      <c r="D196" s="259"/>
      <c r="E196" s="251"/>
      <c r="F196" s="252"/>
      <c r="G196" s="252"/>
      <c r="H196" s="259"/>
      <c r="I196" s="259"/>
      <c r="J196" s="259"/>
      <c r="K196" s="260"/>
      <c r="L196" s="255"/>
      <c r="M196" s="255"/>
      <c r="N196" s="256"/>
      <c r="O196" s="257"/>
      <c r="P196" s="258"/>
      <c r="Q196" s="257"/>
      <c r="R196" s="257"/>
    </row>
    <row r="197" spans="2:18" outlineLevel="1" x14ac:dyDescent="0.2">
      <c r="B197" s="259"/>
      <c r="C197" s="259"/>
      <c r="D197" s="259"/>
      <c r="E197" s="251"/>
      <c r="F197" s="252"/>
      <c r="G197" s="252"/>
      <c r="H197" s="259"/>
      <c r="I197" s="259"/>
      <c r="J197" s="259"/>
      <c r="K197" s="260"/>
      <c r="L197" s="255"/>
      <c r="M197" s="255"/>
      <c r="N197" s="256"/>
      <c r="O197" s="257"/>
      <c r="P197" s="258"/>
      <c r="Q197" s="257"/>
      <c r="R197" s="257"/>
    </row>
    <row r="198" spans="2:18" outlineLevel="1" x14ac:dyDescent="0.2">
      <c r="B198" s="259"/>
      <c r="C198" s="259"/>
      <c r="D198" s="259"/>
      <c r="E198" s="251"/>
      <c r="F198" s="252"/>
      <c r="G198" s="252"/>
      <c r="H198" s="259"/>
      <c r="I198" s="259"/>
      <c r="J198" s="259"/>
      <c r="K198" s="260"/>
      <c r="L198" s="255"/>
      <c r="M198" s="255"/>
      <c r="N198" s="256"/>
      <c r="O198" s="257"/>
      <c r="P198" s="258"/>
      <c r="Q198" s="257"/>
      <c r="R198" s="257"/>
    </row>
    <row r="199" spans="2:18" outlineLevel="1" x14ac:dyDescent="0.2">
      <c r="B199" s="259"/>
      <c r="C199" s="259"/>
      <c r="D199" s="259"/>
      <c r="E199" s="251"/>
      <c r="F199" s="252"/>
      <c r="G199" s="252"/>
      <c r="H199" s="259"/>
      <c r="I199" s="259"/>
      <c r="J199" s="259"/>
      <c r="K199" s="260"/>
      <c r="L199" s="255"/>
      <c r="M199" s="255"/>
      <c r="N199" s="256"/>
      <c r="O199" s="257"/>
      <c r="P199" s="258"/>
      <c r="Q199" s="257"/>
      <c r="R199" s="257"/>
    </row>
    <row r="200" spans="2:18" outlineLevel="1" x14ac:dyDescent="0.2">
      <c r="B200" s="259"/>
      <c r="C200" s="259"/>
      <c r="D200" s="259"/>
      <c r="E200" s="251"/>
      <c r="F200" s="252"/>
      <c r="G200" s="252"/>
      <c r="H200" s="259"/>
      <c r="I200" s="259"/>
      <c r="J200" s="259"/>
      <c r="K200" s="260"/>
      <c r="L200" s="255"/>
      <c r="M200" s="255"/>
      <c r="N200" s="256"/>
      <c r="O200" s="257"/>
      <c r="P200" s="258"/>
      <c r="Q200" s="257"/>
      <c r="R200" s="257"/>
    </row>
    <row r="201" spans="2:18" outlineLevel="1" x14ac:dyDescent="0.2">
      <c r="B201" s="259"/>
      <c r="C201" s="259"/>
      <c r="D201" s="259"/>
      <c r="E201" s="251"/>
      <c r="F201" s="252"/>
      <c r="G201" s="252"/>
      <c r="H201" s="259"/>
      <c r="I201" s="259"/>
      <c r="J201" s="259"/>
      <c r="K201" s="260"/>
      <c r="L201" s="255"/>
      <c r="M201" s="255"/>
      <c r="N201" s="256"/>
      <c r="O201" s="257"/>
      <c r="P201" s="258"/>
      <c r="Q201" s="257"/>
      <c r="R201" s="257"/>
    </row>
    <row r="202" spans="2:18" outlineLevel="1" x14ac:dyDescent="0.2">
      <c r="B202" s="259"/>
      <c r="C202" s="259"/>
      <c r="D202" s="259"/>
      <c r="E202" s="251"/>
      <c r="F202" s="252"/>
      <c r="G202" s="252"/>
      <c r="H202" s="259"/>
      <c r="I202" s="259"/>
      <c r="J202" s="259"/>
      <c r="K202" s="260"/>
      <c r="L202" s="255"/>
      <c r="M202" s="255"/>
      <c r="N202" s="256"/>
      <c r="O202" s="257"/>
      <c r="P202" s="258"/>
      <c r="Q202" s="257"/>
      <c r="R202" s="257"/>
    </row>
    <row r="203" spans="2:18" outlineLevel="1" x14ac:dyDescent="0.2">
      <c r="B203" s="259"/>
      <c r="C203" s="259"/>
      <c r="D203" s="259"/>
      <c r="E203" s="251"/>
      <c r="F203" s="252"/>
      <c r="G203" s="252"/>
      <c r="H203" s="259"/>
      <c r="I203" s="259"/>
      <c r="J203" s="259"/>
      <c r="K203" s="260"/>
      <c r="L203" s="255"/>
      <c r="M203" s="255"/>
      <c r="N203" s="256"/>
      <c r="O203" s="257"/>
      <c r="P203" s="258"/>
      <c r="Q203" s="257"/>
      <c r="R203" s="257"/>
    </row>
    <row r="204" spans="2:18" outlineLevel="1" x14ac:dyDescent="0.2">
      <c r="B204" s="259"/>
      <c r="C204" s="259"/>
      <c r="D204" s="259"/>
      <c r="E204" s="251"/>
      <c r="F204" s="252"/>
      <c r="G204" s="252"/>
      <c r="H204" s="259"/>
      <c r="I204" s="259"/>
      <c r="J204" s="259"/>
      <c r="K204" s="260"/>
      <c r="L204" s="255"/>
      <c r="M204" s="255"/>
      <c r="N204" s="256"/>
      <c r="O204" s="257"/>
      <c r="P204" s="258"/>
      <c r="Q204" s="257"/>
      <c r="R204" s="257"/>
    </row>
    <row r="205" spans="2:18" outlineLevel="1" x14ac:dyDescent="0.2">
      <c r="B205" s="259"/>
      <c r="C205" s="259"/>
      <c r="D205" s="259"/>
      <c r="E205" s="251"/>
      <c r="F205" s="252"/>
      <c r="G205" s="252"/>
      <c r="H205" s="259"/>
      <c r="I205" s="259"/>
      <c r="J205" s="259"/>
      <c r="K205" s="260"/>
      <c r="L205" s="255"/>
      <c r="M205" s="255"/>
      <c r="N205" s="256"/>
      <c r="O205" s="257"/>
      <c r="P205" s="258"/>
      <c r="Q205" s="257"/>
      <c r="R205" s="257"/>
    </row>
    <row r="206" spans="2:18" outlineLevel="1" x14ac:dyDescent="0.2">
      <c r="B206" s="259"/>
      <c r="C206" s="259"/>
      <c r="D206" s="259"/>
      <c r="E206" s="251"/>
      <c r="F206" s="252"/>
      <c r="G206" s="252"/>
      <c r="H206" s="259"/>
      <c r="I206" s="259"/>
      <c r="J206" s="259"/>
      <c r="K206" s="260"/>
      <c r="L206" s="255"/>
      <c r="M206" s="255"/>
      <c r="N206" s="256"/>
      <c r="O206" s="257"/>
      <c r="P206" s="258"/>
      <c r="Q206" s="257"/>
      <c r="R206" s="257"/>
    </row>
    <row r="207" spans="2:18" outlineLevel="1" x14ac:dyDescent="0.2">
      <c r="B207" s="259"/>
      <c r="C207" s="259"/>
      <c r="D207" s="259"/>
      <c r="E207" s="251"/>
      <c r="F207" s="252"/>
      <c r="G207" s="252"/>
      <c r="H207" s="259"/>
      <c r="I207" s="259"/>
      <c r="J207" s="259"/>
      <c r="K207" s="260"/>
      <c r="L207" s="255"/>
      <c r="M207" s="255"/>
      <c r="N207" s="256"/>
      <c r="O207" s="257"/>
      <c r="P207" s="258"/>
      <c r="Q207" s="257"/>
      <c r="R207" s="257"/>
    </row>
    <row r="208" spans="2:18" outlineLevel="1" x14ac:dyDescent="0.2">
      <c r="B208" s="259"/>
      <c r="C208" s="259"/>
      <c r="D208" s="259"/>
      <c r="E208" s="251"/>
      <c r="F208" s="252"/>
      <c r="G208" s="252"/>
      <c r="H208" s="259"/>
      <c r="I208" s="259"/>
      <c r="J208" s="259"/>
      <c r="K208" s="260"/>
      <c r="L208" s="255"/>
      <c r="M208" s="255"/>
      <c r="N208" s="256"/>
      <c r="O208" s="257"/>
      <c r="P208" s="258"/>
      <c r="Q208" s="257"/>
      <c r="R208" s="257"/>
    </row>
    <row r="209" spans="2:18" outlineLevel="1" x14ac:dyDescent="0.2">
      <c r="B209" s="259"/>
      <c r="C209" s="259"/>
      <c r="D209" s="259"/>
      <c r="E209" s="251"/>
      <c r="F209" s="252"/>
      <c r="G209" s="252"/>
      <c r="H209" s="259"/>
      <c r="I209" s="259"/>
      <c r="J209" s="259"/>
      <c r="K209" s="260"/>
      <c r="L209" s="255"/>
      <c r="M209" s="255"/>
      <c r="N209" s="256"/>
      <c r="O209" s="257"/>
      <c r="P209" s="258"/>
      <c r="Q209" s="257"/>
      <c r="R209" s="257"/>
    </row>
    <row r="210" spans="2:18" outlineLevel="1" x14ac:dyDescent="0.2">
      <c r="B210" s="259"/>
      <c r="C210" s="259"/>
      <c r="D210" s="259"/>
      <c r="E210" s="251"/>
      <c r="F210" s="252"/>
      <c r="G210" s="252"/>
      <c r="H210" s="259"/>
      <c r="I210" s="259"/>
      <c r="J210" s="259"/>
      <c r="K210" s="260"/>
      <c r="L210" s="255"/>
      <c r="M210" s="255"/>
      <c r="N210" s="256"/>
      <c r="O210" s="257"/>
      <c r="P210" s="258"/>
      <c r="Q210" s="257"/>
      <c r="R210" s="257"/>
    </row>
    <row r="211" spans="2:18" outlineLevel="1" x14ac:dyDescent="0.2">
      <c r="B211" s="259"/>
      <c r="C211" s="259"/>
      <c r="D211" s="259"/>
      <c r="E211" s="251"/>
      <c r="F211" s="252"/>
      <c r="G211" s="252"/>
      <c r="H211" s="259"/>
      <c r="I211" s="259"/>
      <c r="J211" s="259"/>
      <c r="K211" s="260"/>
      <c r="L211" s="255"/>
      <c r="M211" s="255"/>
      <c r="N211" s="256"/>
      <c r="O211" s="257"/>
      <c r="P211" s="258"/>
      <c r="Q211" s="257"/>
      <c r="R211" s="257"/>
    </row>
    <row r="212" spans="2:18" outlineLevel="1" x14ac:dyDescent="0.2">
      <c r="B212" s="259"/>
      <c r="C212" s="259"/>
      <c r="D212" s="259"/>
      <c r="E212" s="251"/>
      <c r="F212" s="252"/>
      <c r="G212" s="252"/>
      <c r="H212" s="259"/>
      <c r="I212" s="259"/>
      <c r="J212" s="259"/>
      <c r="K212" s="260"/>
      <c r="L212" s="255"/>
      <c r="M212" s="255"/>
      <c r="N212" s="256"/>
      <c r="O212" s="257"/>
      <c r="P212" s="258"/>
      <c r="Q212" s="257"/>
      <c r="R212" s="257"/>
    </row>
    <row r="213" spans="2:18" outlineLevel="1" x14ac:dyDescent="0.2">
      <c r="B213" s="259"/>
      <c r="C213" s="259"/>
      <c r="D213" s="259"/>
      <c r="E213" s="251"/>
      <c r="F213" s="252"/>
      <c r="G213" s="252"/>
      <c r="H213" s="259"/>
      <c r="I213" s="259"/>
      <c r="J213" s="259"/>
      <c r="K213" s="260"/>
      <c r="L213" s="255"/>
      <c r="M213" s="255"/>
      <c r="N213" s="256"/>
      <c r="O213" s="257"/>
      <c r="P213" s="258"/>
      <c r="Q213" s="257"/>
      <c r="R213" s="257"/>
    </row>
    <row r="214" spans="2:18" outlineLevel="1" x14ac:dyDescent="0.2">
      <c r="B214" s="259"/>
      <c r="C214" s="259"/>
      <c r="D214" s="259"/>
      <c r="E214" s="251"/>
      <c r="F214" s="252"/>
      <c r="G214" s="252"/>
      <c r="H214" s="259"/>
      <c r="I214" s="259"/>
      <c r="J214" s="259"/>
      <c r="K214" s="260"/>
      <c r="L214" s="255"/>
      <c r="M214" s="255"/>
      <c r="N214" s="256"/>
      <c r="O214" s="257"/>
      <c r="P214" s="258"/>
      <c r="Q214" s="257"/>
      <c r="R214" s="257"/>
    </row>
    <row r="215" spans="2:18" outlineLevel="1" x14ac:dyDescent="0.2">
      <c r="B215" s="259"/>
      <c r="C215" s="259"/>
      <c r="D215" s="259"/>
      <c r="E215" s="251"/>
      <c r="F215" s="252"/>
      <c r="G215" s="252"/>
      <c r="H215" s="259"/>
      <c r="I215" s="259"/>
      <c r="J215" s="259"/>
      <c r="K215" s="260"/>
      <c r="L215" s="255"/>
      <c r="M215" s="255"/>
      <c r="N215" s="256"/>
      <c r="O215" s="257"/>
      <c r="P215" s="258"/>
      <c r="Q215" s="257"/>
      <c r="R215" s="257"/>
    </row>
    <row r="216" spans="2:18" outlineLevel="1" x14ac:dyDescent="0.2">
      <c r="B216" s="259"/>
      <c r="C216" s="259"/>
      <c r="D216" s="259"/>
      <c r="E216" s="251"/>
      <c r="F216" s="252"/>
      <c r="G216" s="252"/>
      <c r="H216" s="259"/>
      <c r="I216" s="259"/>
      <c r="J216" s="259"/>
      <c r="K216" s="260"/>
      <c r="L216" s="255"/>
      <c r="M216" s="255"/>
      <c r="N216" s="256"/>
      <c r="O216" s="257"/>
      <c r="P216" s="258"/>
      <c r="Q216" s="257"/>
      <c r="R216" s="257"/>
    </row>
    <row r="217" spans="2:18" outlineLevel="1" x14ac:dyDescent="0.2">
      <c r="B217" s="259"/>
      <c r="C217" s="259"/>
      <c r="D217" s="259"/>
      <c r="E217" s="251"/>
      <c r="F217" s="252"/>
      <c r="G217" s="252"/>
      <c r="H217" s="259"/>
      <c r="I217" s="259"/>
      <c r="J217" s="259"/>
      <c r="K217" s="260"/>
      <c r="L217" s="255"/>
      <c r="M217" s="255"/>
      <c r="N217" s="256"/>
      <c r="O217" s="257"/>
      <c r="P217" s="258"/>
      <c r="Q217" s="257"/>
      <c r="R217" s="257"/>
    </row>
    <row r="218" spans="2:18" outlineLevel="1" x14ac:dyDescent="0.2">
      <c r="B218" s="259"/>
      <c r="C218" s="259"/>
      <c r="D218" s="259"/>
      <c r="E218" s="251"/>
      <c r="F218" s="252"/>
      <c r="G218" s="252"/>
      <c r="H218" s="259"/>
      <c r="I218" s="259"/>
      <c r="J218" s="259"/>
      <c r="K218" s="260"/>
      <c r="L218" s="255"/>
      <c r="M218" s="255"/>
      <c r="N218" s="256"/>
      <c r="O218" s="257"/>
      <c r="P218" s="258"/>
      <c r="Q218" s="257"/>
      <c r="R218" s="257"/>
    </row>
    <row r="219" spans="2:18" outlineLevel="1" x14ac:dyDescent="0.2">
      <c r="B219" s="259"/>
      <c r="C219" s="259"/>
      <c r="D219" s="259"/>
      <c r="E219" s="251"/>
      <c r="F219" s="252"/>
      <c r="G219" s="252"/>
      <c r="H219" s="259"/>
      <c r="I219" s="259"/>
      <c r="J219" s="259"/>
      <c r="K219" s="261"/>
      <c r="L219" s="230"/>
      <c r="M219" s="230"/>
      <c r="N219" s="256"/>
      <c r="O219" s="257"/>
      <c r="P219" s="258"/>
      <c r="Q219" s="257"/>
      <c r="R219" s="257"/>
    </row>
    <row r="220" spans="2:18" outlineLevel="1" x14ac:dyDescent="0.2">
      <c r="B220" s="259"/>
      <c r="C220" s="259"/>
      <c r="D220" s="259"/>
      <c r="E220" s="251"/>
      <c r="F220" s="252"/>
      <c r="G220" s="252"/>
      <c r="H220" s="259"/>
      <c r="I220" s="259"/>
      <c r="J220" s="259"/>
      <c r="K220" s="261"/>
      <c r="L220" s="230"/>
      <c r="M220" s="230"/>
      <c r="N220" s="256"/>
      <c r="O220" s="257"/>
      <c r="P220" s="258"/>
      <c r="Q220" s="257"/>
      <c r="R220" s="257"/>
    </row>
    <row r="221" spans="2:18" outlineLevel="1" x14ac:dyDescent="0.2">
      <c r="B221" s="259"/>
      <c r="C221" s="259"/>
      <c r="D221" s="259"/>
      <c r="E221" s="251"/>
      <c r="F221" s="252"/>
      <c r="G221" s="252"/>
      <c r="H221" s="259"/>
      <c r="I221" s="259"/>
      <c r="J221" s="259"/>
      <c r="K221" s="261"/>
      <c r="L221" s="230"/>
      <c r="M221" s="230"/>
      <c r="N221" s="256"/>
      <c r="O221" s="257"/>
      <c r="P221" s="258"/>
      <c r="Q221" s="257"/>
      <c r="R221" s="257"/>
    </row>
    <row r="222" spans="2:18" outlineLevel="1" x14ac:dyDescent="0.2">
      <c r="B222" s="259"/>
      <c r="C222" s="259"/>
      <c r="D222" s="259"/>
      <c r="E222" s="251"/>
      <c r="F222" s="252"/>
      <c r="G222" s="252"/>
      <c r="H222" s="259"/>
      <c r="I222" s="259"/>
      <c r="J222" s="259"/>
      <c r="K222" s="261"/>
      <c r="L222" s="230"/>
      <c r="M222" s="230"/>
      <c r="N222" s="256"/>
      <c r="O222" s="257"/>
      <c r="P222" s="258"/>
      <c r="Q222" s="257"/>
      <c r="R222" s="257"/>
    </row>
    <row r="223" spans="2:18" outlineLevel="1" x14ac:dyDescent="0.2">
      <c r="B223" s="259"/>
      <c r="C223" s="259"/>
      <c r="D223" s="259"/>
      <c r="E223" s="251"/>
      <c r="F223" s="252"/>
      <c r="G223" s="252"/>
      <c r="H223" s="259"/>
      <c r="I223" s="259"/>
      <c r="J223" s="259"/>
      <c r="K223" s="261"/>
      <c r="L223" s="230"/>
      <c r="M223" s="230"/>
      <c r="N223" s="256"/>
      <c r="O223" s="257"/>
      <c r="P223" s="258"/>
      <c r="Q223" s="257"/>
      <c r="R223" s="257"/>
    </row>
    <row r="224" spans="2:18" outlineLevel="1" x14ac:dyDescent="0.2">
      <c r="B224" s="259"/>
      <c r="C224" s="259"/>
      <c r="D224" s="259"/>
      <c r="E224" s="251"/>
      <c r="F224" s="252"/>
      <c r="G224" s="252"/>
      <c r="H224" s="259"/>
      <c r="I224" s="259"/>
      <c r="J224" s="259"/>
      <c r="K224" s="261"/>
      <c r="L224" s="230"/>
      <c r="M224" s="230"/>
      <c r="N224" s="256"/>
      <c r="O224" s="257"/>
      <c r="P224" s="258"/>
      <c r="Q224" s="257"/>
      <c r="R224" s="257"/>
    </row>
    <row r="225" spans="2:18" outlineLevel="1" x14ac:dyDescent="0.2">
      <c r="B225" s="259"/>
      <c r="C225" s="259"/>
      <c r="D225" s="259"/>
      <c r="E225" s="251"/>
      <c r="F225" s="252"/>
      <c r="G225" s="252"/>
      <c r="H225" s="259"/>
      <c r="I225" s="259"/>
      <c r="J225" s="259"/>
      <c r="K225" s="261"/>
      <c r="L225" s="230"/>
      <c r="M225" s="230"/>
      <c r="N225" s="256"/>
      <c r="O225" s="257"/>
      <c r="P225" s="258"/>
      <c r="Q225" s="257"/>
      <c r="R225" s="257"/>
    </row>
    <row r="226" spans="2:18" outlineLevel="1" x14ac:dyDescent="0.2">
      <c r="B226" s="259"/>
      <c r="C226" s="259"/>
      <c r="D226" s="259"/>
      <c r="E226" s="251"/>
      <c r="F226" s="252"/>
      <c r="G226" s="252"/>
      <c r="H226" s="259"/>
      <c r="I226" s="259"/>
      <c r="J226" s="259"/>
      <c r="K226" s="261"/>
      <c r="L226" s="230"/>
      <c r="M226" s="230"/>
      <c r="N226" s="256"/>
      <c r="O226" s="257"/>
      <c r="P226" s="258"/>
      <c r="Q226" s="257"/>
      <c r="R226" s="257"/>
    </row>
    <row r="227" spans="2:18" outlineLevel="1" x14ac:dyDescent="0.2">
      <c r="B227" s="259"/>
      <c r="C227" s="259"/>
      <c r="D227" s="259"/>
      <c r="E227" s="251"/>
      <c r="F227" s="251"/>
      <c r="G227" s="251"/>
      <c r="H227" s="259"/>
      <c r="I227" s="259"/>
      <c r="J227" s="262"/>
      <c r="K227" s="261"/>
      <c r="L227" s="230"/>
      <c r="M227" s="230"/>
      <c r="N227" s="256"/>
      <c r="O227" s="257"/>
      <c r="P227" s="258"/>
      <c r="Q227" s="257"/>
      <c r="R227" s="257"/>
    </row>
    <row r="228" spans="2:18" outlineLevel="1" x14ac:dyDescent="0.2">
      <c r="B228" s="259"/>
      <c r="C228" s="259"/>
      <c r="D228" s="259"/>
      <c r="E228" s="251"/>
      <c r="F228" s="251"/>
      <c r="G228" s="251"/>
      <c r="H228" s="259"/>
      <c r="I228" s="259"/>
      <c r="J228" s="262"/>
      <c r="K228" s="261"/>
      <c r="L228" s="230"/>
      <c r="M228" s="230"/>
      <c r="N228" s="256"/>
      <c r="O228" s="257"/>
      <c r="P228" s="258"/>
      <c r="Q228" s="257"/>
      <c r="R228" s="257"/>
    </row>
    <row r="229" spans="2:18" outlineLevel="1" x14ac:dyDescent="0.2">
      <c r="B229" s="259"/>
      <c r="C229" s="259"/>
      <c r="D229" s="259"/>
      <c r="E229" s="251"/>
      <c r="F229" s="251"/>
      <c r="G229" s="251"/>
      <c r="H229" s="259"/>
      <c r="I229" s="259"/>
      <c r="J229" s="262"/>
      <c r="K229" s="261"/>
      <c r="L229" s="230"/>
      <c r="M229" s="230"/>
      <c r="N229" s="256"/>
      <c r="O229" s="257"/>
      <c r="P229" s="258"/>
      <c r="Q229" s="257"/>
      <c r="R229" s="257"/>
    </row>
    <row r="230" spans="2:18" outlineLevel="1" x14ac:dyDescent="0.2">
      <c r="B230" s="259"/>
      <c r="C230" s="259"/>
      <c r="D230" s="259"/>
      <c r="E230" s="251"/>
      <c r="F230" s="251"/>
      <c r="G230" s="251"/>
      <c r="H230" s="259"/>
      <c r="I230" s="259"/>
      <c r="J230" s="262"/>
      <c r="K230" s="261"/>
      <c r="L230" s="230"/>
      <c r="M230" s="230"/>
      <c r="N230" s="256"/>
      <c r="O230" s="257"/>
      <c r="P230" s="258"/>
      <c r="Q230" s="257"/>
      <c r="R230" s="257"/>
    </row>
    <row r="231" spans="2:18" outlineLevel="1" x14ac:dyDescent="0.2">
      <c r="B231" s="259"/>
      <c r="C231" s="259"/>
      <c r="D231" s="259"/>
      <c r="E231" s="251"/>
      <c r="F231" s="251"/>
      <c r="G231" s="251"/>
      <c r="H231" s="259"/>
      <c r="I231" s="259"/>
      <c r="J231" s="262"/>
      <c r="K231" s="261"/>
      <c r="L231" s="230"/>
      <c r="M231" s="230"/>
      <c r="N231" s="256"/>
      <c r="O231" s="257"/>
      <c r="P231" s="258"/>
      <c r="Q231" s="257"/>
      <c r="R231" s="257"/>
    </row>
    <row r="232" spans="2:18" outlineLevel="1" x14ac:dyDescent="0.2">
      <c r="B232" s="259"/>
      <c r="C232" s="259"/>
      <c r="D232" s="259"/>
      <c r="E232" s="251"/>
      <c r="F232" s="251"/>
      <c r="G232" s="251"/>
      <c r="H232" s="259"/>
      <c r="I232" s="259"/>
      <c r="J232" s="262"/>
      <c r="K232" s="261"/>
      <c r="L232" s="230"/>
      <c r="M232" s="230"/>
      <c r="N232" s="256"/>
      <c r="O232" s="257"/>
      <c r="P232" s="258"/>
      <c r="Q232" s="257"/>
      <c r="R232" s="257"/>
    </row>
    <row r="233" spans="2:18" x14ac:dyDescent="0.2">
      <c r="J233" s="226"/>
      <c r="K233" s="224"/>
      <c r="L233" s="224"/>
      <c r="M233" s="224"/>
      <c r="N233" s="226"/>
      <c r="O233" s="226"/>
      <c r="P233" s="264"/>
      <c r="Q233" s="264"/>
      <c r="R233" s="226"/>
    </row>
    <row r="245" spans="3:7" ht="14.25" x14ac:dyDescent="0.2">
      <c r="C245" s="265"/>
      <c r="D245" s="265"/>
      <c r="E245" s="265"/>
      <c r="F245" s="265"/>
      <c r="G245" s="265"/>
    </row>
    <row r="246" spans="3:7" ht="14.25" x14ac:dyDescent="0.2">
      <c r="C246" s="265"/>
      <c r="D246" s="265"/>
      <c r="E246" s="265"/>
      <c r="F246" s="265"/>
      <c r="G246" s="265"/>
    </row>
    <row r="247" spans="3:7" ht="14.25" x14ac:dyDescent="0.2">
      <c r="C247" s="265"/>
      <c r="D247" s="265"/>
      <c r="E247" s="265"/>
      <c r="F247" s="265"/>
      <c r="G247" s="265"/>
    </row>
    <row r="248" spans="3:7" ht="14.25" x14ac:dyDescent="0.2">
      <c r="C248" s="265"/>
      <c r="D248" s="265"/>
      <c r="E248" s="265"/>
      <c r="F248" s="265"/>
      <c r="G248" s="265"/>
    </row>
    <row r="249" spans="3:7" ht="14.25" x14ac:dyDescent="0.2">
      <c r="C249" s="265"/>
      <c r="D249" s="265"/>
      <c r="E249" s="265"/>
      <c r="F249" s="265"/>
      <c r="G249" s="265"/>
    </row>
    <row r="250" spans="3:7" ht="14.25" x14ac:dyDescent="0.2">
      <c r="C250" s="265"/>
      <c r="D250" s="265"/>
      <c r="E250" s="265"/>
      <c r="F250" s="265"/>
      <c r="G250" s="265"/>
    </row>
    <row r="251" spans="3:7" ht="14.25" x14ac:dyDescent="0.2">
      <c r="C251" s="265"/>
      <c r="D251" s="265"/>
      <c r="E251" s="265"/>
      <c r="F251" s="265"/>
      <c r="G251" s="265"/>
    </row>
    <row r="252" spans="3:7" ht="14.25" x14ac:dyDescent="0.2">
      <c r="C252" s="265"/>
      <c r="D252" s="265"/>
      <c r="E252" s="265"/>
      <c r="F252" s="265"/>
      <c r="G252" s="265"/>
    </row>
    <row r="253" spans="3:7" ht="14.25" x14ac:dyDescent="0.2">
      <c r="C253" s="265"/>
      <c r="D253" s="265"/>
      <c r="E253" s="265"/>
      <c r="F253" s="265"/>
      <c r="G253" s="265"/>
    </row>
    <row r="254" spans="3:7" ht="14.25" x14ac:dyDescent="0.2">
      <c r="C254" s="265"/>
      <c r="D254" s="265"/>
      <c r="E254" s="265"/>
      <c r="F254" s="265"/>
      <c r="G254" s="265"/>
    </row>
    <row r="255" spans="3:7" ht="14.25" x14ac:dyDescent="0.2">
      <c r="C255" s="265"/>
      <c r="D255" s="265"/>
      <c r="E255" s="265"/>
      <c r="F255" s="265"/>
      <c r="G255" s="265"/>
    </row>
    <row r="256" spans="3:7" ht="14.25" x14ac:dyDescent="0.2">
      <c r="C256" s="265"/>
      <c r="D256" s="265"/>
      <c r="E256" s="265"/>
      <c r="F256" s="265"/>
      <c r="G256" s="265"/>
    </row>
    <row r="257" spans="3:7" ht="14.25" x14ac:dyDescent="0.2">
      <c r="C257" s="265"/>
      <c r="D257" s="265"/>
      <c r="E257" s="265"/>
      <c r="F257" s="265"/>
      <c r="G257" s="265"/>
    </row>
    <row r="258" spans="3:7" ht="14.25" x14ac:dyDescent="0.2">
      <c r="C258" s="265"/>
      <c r="D258" s="265"/>
      <c r="E258" s="265"/>
      <c r="F258" s="265"/>
      <c r="G258" s="265"/>
    </row>
    <row r="259" spans="3:7" ht="14.25" x14ac:dyDescent="0.2">
      <c r="C259" s="265"/>
      <c r="D259" s="265"/>
      <c r="E259" s="265"/>
      <c r="F259" s="265"/>
      <c r="G259" s="265"/>
    </row>
    <row r="260" spans="3:7" ht="14.25" x14ac:dyDescent="0.2">
      <c r="C260" s="265"/>
      <c r="D260" s="265"/>
      <c r="E260" s="265"/>
      <c r="F260" s="265"/>
      <c r="G260" s="265"/>
    </row>
    <row r="261" spans="3:7" ht="14.25" x14ac:dyDescent="0.2">
      <c r="C261" s="265"/>
      <c r="D261" s="265"/>
      <c r="E261" s="265"/>
      <c r="F261" s="265"/>
      <c r="G261" s="265"/>
    </row>
    <row r="262" spans="3:7" ht="14.25" x14ac:dyDescent="0.2">
      <c r="C262" s="265"/>
      <c r="D262" s="265"/>
      <c r="E262" s="265"/>
      <c r="F262" s="265"/>
      <c r="G262" s="265"/>
    </row>
    <row r="263" spans="3:7" ht="14.25" x14ac:dyDescent="0.2">
      <c r="C263" s="265"/>
      <c r="D263" s="265"/>
      <c r="E263" s="265"/>
      <c r="F263" s="265"/>
      <c r="G263" s="265"/>
    </row>
    <row r="264" spans="3:7" ht="14.25" x14ac:dyDescent="0.2">
      <c r="C264" s="265"/>
      <c r="D264" s="265"/>
      <c r="E264" s="265"/>
      <c r="F264" s="265"/>
      <c r="G264" s="265"/>
    </row>
    <row r="265" spans="3:7" ht="14.25" x14ac:dyDescent="0.2">
      <c r="C265" s="265"/>
      <c r="D265" s="265"/>
      <c r="E265" s="265"/>
      <c r="F265" s="265"/>
      <c r="G265" s="265"/>
    </row>
    <row r="266" spans="3:7" ht="14.25" x14ac:dyDescent="0.2">
      <c r="C266" s="265"/>
      <c r="D266" s="265"/>
      <c r="E266" s="265"/>
      <c r="F266" s="265"/>
      <c r="G266" s="265"/>
    </row>
    <row r="267" spans="3:7" ht="14.25" x14ac:dyDescent="0.2">
      <c r="C267" s="265"/>
      <c r="D267" s="265"/>
      <c r="E267" s="265"/>
      <c r="F267" s="265"/>
      <c r="G267" s="265"/>
    </row>
    <row r="268" spans="3:7" ht="14.25" x14ac:dyDescent="0.2">
      <c r="C268" s="265"/>
      <c r="D268" s="265"/>
      <c r="E268" s="265"/>
      <c r="F268" s="265"/>
      <c r="G268" s="265"/>
    </row>
    <row r="269" spans="3:7" ht="14.25" x14ac:dyDescent="0.2">
      <c r="C269" s="265"/>
      <c r="D269" s="265"/>
      <c r="E269" s="265"/>
      <c r="F269" s="265"/>
      <c r="G269" s="265"/>
    </row>
    <row r="270" spans="3:7" ht="14.25" x14ac:dyDescent="0.2">
      <c r="C270" s="265"/>
      <c r="D270" s="265"/>
      <c r="E270" s="265"/>
      <c r="F270" s="265"/>
      <c r="G270" s="265"/>
    </row>
    <row r="271" spans="3:7" ht="14.25" x14ac:dyDescent="0.2">
      <c r="C271" s="265"/>
      <c r="D271" s="265"/>
      <c r="E271" s="265"/>
      <c r="F271" s="265"/>
      <c r="G271" s="265"/>
    </row>
    <row r="272" spans="3:7" ht="14.25" x14ac:dyDescent="0.2">
      <c r="C272" s="265"/>
      <c r="D272" s="265"/>
      <c r="E272" s="265"/>
      <c r="F272" s="265"/>
      <c r="G272" s="265"/>
    </row>
    <row r="273" spans="3:7" ht="14.25" x14ac:dyDescent="0.2">
      <c r="C273" s="265"/>
      <c r="D273" s="265"/>
      <c r="E273" s="265"/>
      <c r="F273" s="265"/>
      <c r="G273" s="265"/>
    </row>
    <row r="274" spans="3:7" ht="14.25" x14ac:dyDescent="0.2">
      <c r="C274" s="265"/>
      <c r="D274" s="265"/>
      <c r="E274" s="265"/>
      <c r="F274" s="265"/>
      <c r="G274" s="265"/>
    </row>
    <row r="275" spans="3:7" ht="14.25" x14ac:dyDescent="0.2">
      <c r="C275" s="265"/>
      <c r="D275" s="265"/>
      <c r="E275" s="265"/>
      <c r="F275" s="265"/>
      <c r="G275" s="265"/>
    </row>
    <row r="276" spans="3:7" ht="14.25" x14ac:dyDescent="0.2">
      <c r="C276" s="265"/>
      <c r="D276" s="265"/>
      <c r="E276" s="265"/>
      <c r="F276" s="265"/>
      <c r="G276" s="265"/>
    </row>
    <row r="277" spans="3:7" ht="14.25" x14ac:dyDescent="0.2">
      <c r="C277" s="265"/>
      <c r="D277" s="265"/>
      <c r="E277" s="265"/>
      <c r="F277" s="265"/>
      <c r="G277" s="265"/>
    </row>
    <row r="278" spans="3:7" ht="14.25" x14ac:dyDescent="0.2">
      <c r="C278" s="265"/>
      <c r="D278" s="265"/>
      <c r="E278" s="265"/>
      <c r="F278" s="265"/>
      <c r="G278" s="265"/>
    </row>
    <row r="279" spans="3:7" ht="14.25" x14ac:dyDescent="0.2">
      <c r="C279" s="265"/>
      <c r="D279" s="265"/>
      <c r="E279" s="265"/>
      <c r="F279" s="265"/>
      <c r="G279" s="265"/>
    </row>
    <row r="280" spans="3:7" ht="14.25" x14ac:dyDescent="0.2">
      <c r="C280" s="265"/>
      <c r="D280" s="265"/>
      <c r="E280" s="265"/>
      <c r="F280" s="265"/>
      <c r="G280" s="265"/>
    </row>
    <row r="281" spans="3:7" ht="14.25" x14ac:dyDescent="0.2">
      <c r="C281" s="265"/>
      <c r="D281" s="265"/>
      <c r="E281" s="265"/>
      <c r="F281" s="265"/>
      <c r="G281" s="265"/>
    </row>
    <row r="282" spans="3:7" ht="14.25" x14ac:dyDescent="0.2">
      <c r="C282" s="265"/>
      <c r="D282" s="265"/>
      <c r="E282" s="265"/>
      <c r="F282" s="265"/>
      <c r="G282" s="265"/>
    </row>
    <row r="283" spans="3:7" ht="14.25" x14ac:dyDescent="0.2">
      <c r="C283" s="265"/>
      <c r="D283" s="265"/>
      <c r="E283" s="265"/>
      <c r="F283" s="265"/>
      <c r="G283" s="265"/>
    </row>
    <row r="284" spans="3:7" ht="14.25" x14ac:dyDescent="0.2">
      <c r="C284" s="265"/>
      <c r="D284" s="265"/>
      <c r="E284" s="265"/>
      <c r="F284" s="265"/>
      <c r="G284" s="265"/>
    </row>
    <row r="285" spans="3:7" ht="14.25" x14ac:dyDescent="0.2">
      <c r="C285" s="265"/>
      <c r="D285" s="265"/>
      <c r="E285" s="265"/>
      <c r="F285" s="265"/>
      <c r="G285" s="265"/>
    </row>
    <row r="286" spans="3:7" ht="14.25" x14ac:dyDescent="0.2">
      <c r="C286" s="265"/>
      <c r="D286" s="265"/>
      <c r="E286" s="265"/>
      <c r="F286" s="265"/>
      <c r="G286" s="265"/>
    </row>
    <row r="287" spans="3:7" ht="14.25" x14ac:dyDescent="0.2">
      <c r="C287" s="265"/>
      <c r="D287" s="265"/>
      <c r="E287" s="265"/>
      <c r="F287" s="265"/>
      <c r="G287" s="265"/>
    </row>
    <row r="288" spans="3:7" ht="14.25" x14ac:dyDescent="0.2">
      <c r="C288" s="265"/>
      <c r="D288" s="265"/>
      <c r="E288" s="265"/>
      <c r="F288" s="265"/>
      <c r="G288" s="265"/>
    </row>
    <row r="289" spans="3:7" ht="14.25" x14ac:dyDescent="0.2">
      <c r="C289" s="265"/>
      <c r="D289" s="265"/>
      <c r="E289" s="265"/>
      <c r="F289" s="265"/>
      <c r="G289" s="265"/>
    </row>
    <row r="290" spans="3:7" ht="14.25" x14ac:dyDescent="0.2">
      <c r="C290" s="265"/>
      <c r="D290" s="265"/>
      <c r="E290" s="265"/>
      <c r="F290" s="265"/>
      <c r="G290" s="265"/>
    </row>
    <row r="291" spans="3:7" ht="14.25" x14ac:dyDescent="0.2">
      <c r="C291" s="265"/>
      <c r="D291" s="265"/>
      <c r="E291" s="265"/>
      <c r="F291" s="265"/>
      <c r="G291" s="265"/>
    </row>
    <row r="292" spans="3:7" ht="14.25" x14ac:dyDescent="0.2">
      <c r="C292" s="265"/>
      <c r="D292" s="265"/>
      <c r="E292" s="265"/>
      <c r="F292" s="265"/>
      <c r="G292" s="265"/>
    </row>
    <row r="293" spans="3:7" ht="14.25" x14ac:dyDescent="0.2">
      <c r="C293" s="265"/>
      <c r="D293" s="265"/>
      <c r="E293" s="265"/>
      <c r="F293" s="265"/>
      <c r="G293" s="265"/>
    </row>
    <row r="294" spans="3:7" ht="14.25" x14ac:dyDescent="0.2">
      <c r="C294" s="265"/>
      <c r="D294" s="265"/>
      <c r="E294" s="265"/>
      <c r="F294" s="265"/>
      <c r="G294" s="265"/>
    </row>
    <row r="295" spans="3:7" ht="14.25" x14ac:dyDescent="0.2">
      <c r="C295" s="265"/>
      <c r="D295" s="265"/>
      <c r="E295" s="265"/>
      <c r="F295" s="265"/>
      <c r="G295" s="265"/>
    </row>
    <row r="296" spans="3:7" ht="14.25" x14ac:dyDescent="0.2">
      <c r="C296" s="265"/>
      <c r="D296" s="265"/>
      <c r="E296" s="265"/>
      <c r="F296" s="265"/>
      <c r="G296" s="265"/>
    </row>
    <row r="297" spans="3:7" ht="14.25" x14ac:dyDescent="0.2">
      <c r="C297" s="265"/>
      <c r="D297" s="265"/>
      <c r="E297" s="265"/>
      <c r="F297" s="265"/>
      <c r="G297" s="265"/>
    </row>
    <row r="298" spans="3:7" ht="14.25" x14ac:dyDescent="0.2">
      <c r="C298" s="265"/>
      <c r="D298" s="265"/>
      <c r="E298" s="265"/>
      <c r="F298" s="265"/>
      <c r="G298" s="265"/>
    </row>
    <row r="299" spans="3:7" ht="14.25" x14ac:dyDescent="0.2">
      <c r="C299" s="265"/>
      <c r="D299" s="265"/>
      <c r="E299" s="265"/>
      <c r="F299" s="265"/>
      <c r="G299" s="265"/>
    </row>
    <row r="300" spans="3:7" ht="14.25" x14ac:dyDescent="0.2">
      <c r="C300" s="265"/>
      <c r="D300" s="265"/>
      <c r="E300" s="265"/>
      <c r="F300" s="265"/>
      <c r="G300" s="265"/>
    </row>
    <row r="301" spans="3:7" ht="14.25" x14ac:dyDescent="0.2">
      <c r="C301" s="265"/>
      <c r="D301" s="265"/>
      <c r="E301" s="265"/>
      <c r="F301" s="265"/>
      <c r="G301" s="265"/>
    </row>
    <row r="302" spans="3:7" ht="14.25" x14ac:dyDescent="0.2">
      <c r="C302" s="265"/>
      <c r="D302" s="265"/>
      <c r="E302" s="265"/>
      <c r="F302" s="265"/>
      <c r="G302" s="265"/>
    </row>
    <row r="303" spans="3:7" ht="14.25" x14ac:dyDescent="0.2">
      <c r="C303" s="265"/>
      <c r="D303" s="265"/>
      <c r="E303" s="265"/>
      <c r="F303" s="265"/>
      <c r="G303" s="265"/>
    </row>
    <row r="304" spans="3:7" ht="14.25" x14ac:dyDescent="0.2">
      <c r="C304" s="265"/>
      <c r="D304" s="265"/>
      <c r="E304" s="265"/>
      <c r="F304" s="265"/>
      <c r="G304" s="265"/>
    </row>
    <row r="305" spans="3:7" ht="14.25" x14ac:dyDescent="0.2">
      <c r="C305" s="265"/>
      <c r="D305" s="265"/>
      <c r="E305" s="265"/>
      <c r="F305" s="265"/>
      <c r="G305" s="265"/>
    </row>
    <row r="306" spans="3:7" ht="14.25" x14ac:dyDescent="0.2">
      <c r="C306" s="265"/>
      <c r="D306" s="265"/>
      <c r="E306" s="265"/>
      <c r="F306" s="265"/>
      <c r="G306" s="265"/>
    </row>
    <row r="307" spans="3:7" ht="14.25" x14ac:dyDescent="0.2">
      <c r="C307" s="265"/>
      <c r="D307" s="265"/>
      <c r="E307" s="265"/>
      <c r="F307" s="265"/>
      <c r="G307" s="265"/>
    </row>
    <row r="308" spans="3:7" ht="14.25" x14ac:dyDescent="0.2">
      <c r="C308" s="265"/>
      <c r="D308" s="265"/>
      <c r="E308" s="265"/>
      <c r="F308" s="265"/>
      <c r="G308" s="265"/>
    </row>
    <row r="309" spans="3:7" ht="14.25" x14ac:dyDescent="0.2">
      <c r="C309" s="265"/>
      <c r="D309" s="265"/>
      <c r="E309" s="265"/>
      <c r="F309" s="265"/>
      <c r="G309" s="265"/>
    </row>
    <row r="310" spans="3:7" ht="14.25" x14ac:dyDescent="0.2">
      <c r="C310" s="265"/>
      <c r="D310" s="265"/>
      <c r="E310" s="265"/>
      <c r="F310" s="265"/>
      <c r="G310" s="265"/>
    </row>
    <row r="311" spans="3:7" ht="14.25" x14ac:dyDescent="0.2">
      <c r="C311" s="265"/>
      <c r="D311" s="265"/>
      <c r="E311" s="265"/>
      <c r="F311" s="265"/>
      <c r="G311" s="265"/>
    </row>
    <row r="312" spans="3:7" ht="14.25" x14ac:dyDescent="0.2">
      <c r="C312" s="265"/>
      <c r="D312" s="265"/>
      <c r="E312" s="265"/>
      <c r="F312" s="265"/>
      <c r="G312" s="265"/>
    </row>
    <row r="313" spans="3:7" ht="14.25" x14ac:dyDescent="0.2">
      <c r="C313" s="265"/>
      <c r="D313" s="265"/>
      <c r="E313" s="265"/>
      <c r="F313" s="265"/>
      <c r="G313" s="265"/>
    </row>
    <row r="314" spans="3:7" ht="14.25" x14ac:dyDescent="0.2">
      <c r="C314" s="265"/>
      <c r="D314" s="265"/>
      <c r="E314" s="265"/>
      <c r="F314" s="265"/>
      <c r="G314" s="265"/>
    </row>
    <row r="315" spans="3:7" ht="14.25" x14ac:dyDescent="0.2">
      <c r="C315" s="265"/>
      <c r="D315" s="265"/>
      <c r="E315" s="265"/>
      <c r="F315" s="265"/>
      <c r="G315" s="265"/>
    </row>
    <row r="316" spans="3:7" ht="14.25" x14ac:dyDescent="0.2">
      <c r="C316" s="265"/>
      <c r="D316" s="265"/>
      <c r="E316" s="265"/>
      <c r="F316" s="265"/>
      <c r="G316" s="265"/>
    </row>
    <row r="317" spans="3:7" ht="14.25" x14ac:dyDescent="0.2">
      <c r="C317" s="265"/>
      <c r="D317" s="265"/>
      <c r="E317" s="265"/>
      <c r="F317" s="265"/>
      <c r="G317" s="265"/>
    </row>
    <row r="318" spans="3:7" ht="14.25" x14ac:dyDescent="0.2">
      <c r="C318" s="265"/>
      <c r="D318" s="265"/>
      <c r="E318" s="265"/>
      <c r="F318" s="265"/>
      <c r="G318" s="265"/>
    </row>
    <row r="319" spans="3:7" ht="14.25" x14ac:dyDescent="0.2">
      <c r="C319" s="265"/>
      <c r="D319" s="265"/>
      <c r="E319" s="265"/>
      <c r="F319" s="265"/>
      <c r="G319" s="265"/>
    </row>
    <row r="320" spans="3:7" ht="14.25" x14ac:dyDescent="0.2">
      <c r="C320" s="265"/>
      <c r="D320" s="265"/>
      <c r="E320" s="265"/>
      <c r="F320" s="265"/>
      <c r="G320" s="265"/>
    </row>
    <row r="321" spans="3:7" ht="14.25" x14ac:dyDescent="0.2">
      <c r="C321" s="265"/>
      <c r="D321" s="265"/>
      <c r="E321" s="265"/>
      <c r="F321" s="265"/>
      <c r="G321" s="265"/>
    </row>
    <row r="322" spans="3:7" ht="14.25" x14ac:dyDescent="0.2">
      <c r="C322" s="265"/>
      <c r="D322" s="265"/>
      <c r="E322" s="265"/>
      <c r="F322" s="265"/>
      <c r="G322" s="265"/>
    </row>
    <row r="323" spans="3:7" ht="14.25" x14ac:dyDescent="0.2">
      <c r="C323" s="265"/>
      <c r="D323" s="265"/>
      <c r="E323" s="265"/>
      <c r="F323" s="265"/>
      <c r="G323" s="265"/>
    </row>
    <row r="324" spans="3:7" ht="14.25" x14ac:dyDescent="0.2">
      <c r="C324" s="265"/>
      <c r="D324" s="265"/>
      <c r="E324" s="265"/>
      <c r="F324" s="265"/>
      <c r="G324" s="265"/>
    </row>
    <row r="325" spans="3:7" ht="14.25" x14ac:dyDescent="0.2">
      <c r="C325" s="265"/>
      <c r="D325" s="265"/>
      <c r="E325" s="265"/>
      <c r="F325" s="265"/>
      <c r="G325" s="265"/>
    </row>
    <row r="326" spans="3:7" ht="14.25" x14ac:dyDescent="0.2">
      <c r="C326" s="265"/>
      <c r="D326" s="265"/>
      <c r="E326" s="265"/>
      <c r="F326" s="265"/>
      <c r="G326" s="265"/>
    </row>
    <row r="327" spans="3:7" ht="14.25" x14ac:dyDescent="0.2">
      <c r="C327" s="265"/>
      <c r="D327" s="265"/>
      <c r="E327" s="265"/>
      <c r="F327" s="265"/>
      <c r="G327" s="265"/>
    </row>
    <row r="328" spans="3:7" ht="14.25" x14ac:dyDescent="0.2">
      <c r="C328" s="265"/>
      <c r="D328" s="265"/>
      <c r="E328" s="265"/>
      <c r="F328" s="265"/>
      <c r="G328" s="265"/>
    </row>
    <row r="329" spans="3:7" ht="14.25" x14ac:dyDescent="0.2">
      <c r="C329" s="265"/>
      <c r="D329" s="265"/>
      <c r="E329" s="265"/>
      <c r="F329" s="265"/>
      <c r="G329" s="265"/>
    </row>
    <row r="330" spans="3:7" ht="14.25" x14ac:dyDescent="0.2">
      <c r="C330" s="265"/>
      <c r="D330" s="265"/>
      <c r="E330" s="265"/>
      <c r="F330" s="265"/>
      <c r="G330" s="265"/>
    </row>
    <row r="331" spans="3:7" ht="14.25" x14ac:dyDescent="0.2">
      <c r="C331" s="265"/>
      <c r="D331" s="265"/>
      <c r="E331" s="265"/>
      <c r="F331" s="265"/>
      <c r="G331" s="265"/>
    </row>
    <row r="332" spans="3:7" ht="14.25" x14ac:dyDescent="0.2">
      <c r="C332" s="265"/>
      <c r="D332" s="265"/>
      <c r="E332" s="265"/>
      <c r="F332" s="265"/>
      <c r="G332" s="265"/>
    </row>
    <row r="333" spans="3:7" ht="14.25" x14ac:dyDescent="0.2">
      <c r="C333" s="265"/>
      <c r="D333" s="265"/>
      <c r="E333" s="265"/>
      <c r="F333" s="265"/>
      <c r="G333" s="265"/>
    </row>
    <row r="334" spans="3:7" ht="14.25" x14ac:dyDescent="0.2">
      <c r="C334" s="265"/>
      <c r="D334" s="265"/>
      <c r="E334" s="265"/>
      <c r="F334" s="265"/>
      <c r="G334" s="265"/>
    </row>
    <row r="335" spans="3:7" ht="14.25" x14ac:dyDescent="0.2">
      <c r="C335" s="265"/>
      <c r="D335" s="265"/>
      <c r="E335" s="265"/>
      <c r="F335" s="265"/>
      <c r="G335" s="265"/>
    </row>
    <row r="336" spans="3:7" ht="14.25" x14ac:dyDescent="0.2">
      <c r="C336" s="265"/>
      <c r="D336" s="265"/>
      <c r="E336" s="265"/>
      <c r="F336" s="265"/>
      <c r="G336" s="265"/>
    </row>
    <row r="337" spans="3:7" ht="14.25" x14ac:dyDescent="0.2">
      <c r="C337" s="265"/>
      <c r="D337" s="265"/>
      <c r="E337" s="265"/>
      <c r="F337" s="265"/>
      <c r="G337" s="265"/>
    </row>
    <row r="338" spans="3:7" ht="14.25" x14ac:dyDescent="0.2">
      <c r="C338" s="265"/>
      <c r="D338" s="265"/>
      <c r="E338" s="265"/>
      <c r="F338" s="265"/>
      <c r="G338" s="265"/>
    </row>
    <row r="339" spans="3:7" ht="14.25" x14ac:dyDescent="0.2">
      <c r="C339" s="265"/>
      <c r="D339" s="265"/>
      <c r="E339" s="265"/>
      <c r="F339" s="265"/>
      <c r="G339" s="265"/>
    </row>
    <row r="340" spans="3:7" ht="14.25" x14ac:dyDescent="0.2">
      <c r="C340" s="265"/>
      <c r="D340" s="265"/>
      <c r="E340" s="265"/>
      <c r="F340" s="265"/>
      <c r="G340" s="265"/>
    </row>
    <row r="341" spans="3:7" ht="14.25" x14ac:dyDescent="0.2">
      <c r="C341" s="265"/>
      <c r="D341" s="265"/>
      <c r="E341" s="265"/>
      <c r="F341" s="265"/>
      <c r="G341" s="265"/>
    </row>
    <row r="342" spans="3:7" ht="14.25" x14ac:dyDescent="0.2">
      <c r="C342" s="265"/>
      <c r="D342" s="265"/>
      <c r="E342" s="265"/>
      <c r="F342" s="265"/>
      <c r="G342" s="265"/>
    </row>
    <row r="343" spans="3:7" ht="14.25" x14ac:dyDescent="0.2">
      <c r="C343" s="265"/>
      <c r="D343" s="265"/>
      <c r="E343" s="265"/>
      <c r="F343" s="265"/>
      <c r="G343" s="265"/>
    </row>
    <row r="344" spans="3:7" ht="14.25" x14ac:dyDescent="0.2">
      <c r="C344" s="265"/>
      <c r="D344" s="265"/>
      <c r="E344" s="265"/>
      <c r="F344" s="265"/>
      <c r="G344" s="265"/>
    </row>
    <row r="345" spans="3:7" ht="14.25" x14ac:dyDescent="0.2">
      <c r="C345" s="265"/>
      <c r="D345" s="265"/>
      <c r="E345" s="265"/>
      <c r="F345" s="265"/>
      <c r="G345" s="265"/>
    </row>
    <row r="346" spans="3:7" ht="14.25" x14ac:dyDescent="0.2">
      <c r="C346" s="265"/>
      <c r="D346" s="265"/>
      <c r="E346" s="265"/>
      <c r="F346" s="265"/>
      <c r="G346" s="265"/>
    </row>
    <row r="347" spans="3:7" ht="14.25" x14ac:dyDescent="0.2">
      <c r="C347" s="265"/>
      <c r="D347" s="265"/>
      <c r="E347" s="265"/>
      <c r="F347" s="265"/>
      <c r="G347" s="265"/>
    </row>
    <row r="348" spans="3:7" ht="14.25" x14ac:dyDescent="0.2">
      <c r="C348" s="265"/>
      <c r="D348" s="265"/>
      <c r="E348" s="265"/>
      <c r="F348" s="265"/>
      <c r="G348" s="265"/>
    </row>
    <row r="349" spans="3:7" ht="14.25" x14ac:dyDescent="0.2">
      <c r="C349" s="265"/>
      <c r="D349" s="265"/>
      <c r="E349" s="265"/>
      <c r="F349" s="265"/>
      <c r="G349" s="265"/>
    </row>
    <row r="350" spans="3:7" ht="14.25" x14ac:dyDescent="0.2">
      <c r="C350" s="265"/>
      <c r="D350" s="265"/>
      <c r="E350" s="265"/>
      <c r="F350" s="265"/>
      <c r="G350" s="265"/>
    </row>
    <row r="351" spans="3:7" ht="14.25" x14ac:dyDescent="0.2">
      <c r="C351" s="265"/>
      <c r="D351" s="265"/>
      <c r="E351" s="265"/>
      <c r="F351" s="265"/>
      <c r="G351" s="265"/>
    </row>
    <row r="352" spans="3:7" ht="14.25" x14ac:dyDescent="0.2">
      <c r="C352" s="265"/>
      <c r="D352" s="265"/>
      <c r="E352" s="265"/>
      <c r="F352" s="265"/>
      <c r="G352" s="265"/>
    </row>
    <row r="353" spans="3:7" ht="14.25" x14ac:dyDescent="0.2">
      <c r="C353" s="265"/>
      <c r="D353" s="265"/>
      <c r="E353" s="265"/>
      <c r="F353" s="265"/>
      <c r="G353" s="265"/>
    </row>
    <row r="354" spans="3:7" ht="14.25" x14ac:dyDescent="0.2">
      <c r="C354" s="265"/>
      <c r="D354" s="265"/>
      <c r="E354" s="265"/>
      <c r="F354" s="265"/>
      <c r="G354" s="265"/>
    </row>
    <row r="355" spans="3:7" ht="14.25" x14ac:dyDescent="0.2">
      <c r="C355" s="265"/>
      <c r="D355" s="265"/>
      <c r="E355" s="265"/>
      <c r="F355" s="265"/>
      <c r="G355" s="265"/>
    </row>
    <row r="356" spans="3:7" ht="14.25" x14ac:dyDescent="0.2">
      <c r="C356" s="265"/>
      <c r="D356" s="265"/>
      <c r="E356" s="265"/>
      <c r="F356" s="265"/>
      <c r="G356" s="265"/>
    </row>
    <row r="357" spans="3:7" ht="14.25" x14ac:dyDescent="0.2">
      <c r="C357" s="265"/>
      <c r="D357" s="265"/>
      <c r="E357" s="265"/>
      <c r="F357" s="265"/>
      <c r="G357" s="265"/>
    </row>
    <row r="358" spans="3:7" ht="14.25" x14ac:dyDescent="0.2">
      <c r="C358" s="265"/>
      <c r="D358" s="265"/>
      <c r="E358" s="265"/>
      <c r="F358" s="265"/>
      <c r="G358" s="265"/>
    </row>
    <row r="359" spans="3:7" ht="14.25" x14ac:dyDescent="0.2">
      <c r="C359" s="265"/>
      <c r="D359" s="265"/>
      <c r="E359" s="265"/>
      <c r="F359" s="265"/>
      <c r="G359" s="265"/>
    </row>
    <row r="360" spans="3:7" ht="14.25" x14ac:dyDescent="0.2">
      <c r="C360" s="265"/>
      <c r="D360" s="265"/>
      <c r="E360" s="265"/>
      <c r="F360" s="265"/>
      <c r="G360" s="265"/>
    </row>
    <row r="361" spans="3:7" ht="14.25" x14ac:dyDescent="0.2">
      <c r="C361" s="265"/>
      <c r="D361" s="265"/>
      <c r="E361" s="265"/>
      <c r="F361" s="265"/>
      <c r="G361" s="265"/>
    </row>
    <row r="362" spans="3:7" ht="14.25" x14ac:dyDescent="0.2">
      <c r="C362" s="265"/>
      <c r="D362" s="265"/>
      <c r="E362" s="265"/>
      <c r="F362" s="265"/>
      <c r="G362" s="265"/>
    </row>
    <row r="363" spans="3:7" ht="14.25" x14ac:dyDescent="0.2">
      <c r="C363" s="265"/>
      <c r="D363" s="265"/>
      <c r="E363" s="265"/>
      <c r="F363" s="265"/>
      <c r="G363" s="265"/>
    </row>
    <row r="364" spans="3:7" ht="14.25" x14ac:dyDescent="0.2">
      <c r="C364" s="265"/>
      <c r="D364" s="265"/>
      <c r="E364" s="265"/>
      <c r="F364" s="265"/>
      <c r="G364" s="265"/>
    </row>
    <row r="365" spans="3:7" ht="14.25" x14ac:dyDescent="0.2">
      <c r="C365" s="265"/>
      <c r="D365" s="265"/>
      <c r="E365" s="265"/>
      <c r="F365" s="265"/>
      <c r="G365" s="265"/>
    </row>
    <row r="366" spans="3:7" ht="14.25" x14ac:dyDescent="0.2">
      <c r="C366" s="265"/>
      <c r="D366" s="265"/>
      <c r="E366" s="265"/>
      <c r="F366" s="265"/>
      <c r="G366" s="265"/>
    </row>
    <row r="367" spans="3:7" ht="14.25" x14ac:dyDescent="0.2">
      <c r="C367" s="265"/>
      <c r="D367" s="265"/>
      <c r="E367" s="265"/>
      <c r="F367" s="265"/>
      <c r="G367" s="265"/>
    </row>
    <row r="368" spans="3:7" ht="14.25" x14ac:dyDescent="0.2">
      <c r="C368" s="265"/>
      <c r="D368" s="265"/>
      <c r="E368" s="265"/>
      <c r="F368" s="265"/>
      <c r="G368" s="265"/>
    </row>
    <row r="369" spans="3:7" ht="14.25" x14ac:dyDescent="0.2">
      <c r="C369" s="265"/>
      <c r="D369" s="265"/>
      <c r="E369" s="265"/>
      <c r="F369" s="265"/>
      <c r="G369" s="265"/>
    </row>
    <row r="370" spans="3:7" ht="14.25" x14ac:dyDescent="0.2">
      <c r="C370" s="265"/>
      <c r="D370" s="265"/>
      <c r="E370" s="265"/>
      <c r="F370" s="265"/>
      <c r="G370" s="265"/>
    </row>
    <row r="371" spans="3:7" ht="14.25" x14ac:dyDescent="0.2">
      <c r="C371" s="265"/>
      <c r="D371" s="265"/>
      <c r="E371" s="265"/>
      <c r="F371" s="265"/>
      <c r="G371" s="265"/>
    </row>
    <row r="372" spans="3:7" ht="14.25" x14ac:dyDescent="0.2">
      <c r="C372" s="265"/>
      <c r="D372" s="265"/>
      <c r="E372" s="265"/>
      <c r="F372" s="265"/>
      <c r="G372" s="265"/>
    </row>
    <row r="373" spans="3:7" ht="14.25" x14ac:dyDescent="0.2">
      <c r="C373" s="265"/>
      <c r="D373" s="265"/>
      <c r="E373" s="265"/>
      <c r="F373" s="265"/>
      <c r="G373" s="265"/>
    </row>
    <row r="374" spans="3:7" ht="14.25" x14ac:dyDescent="0.2">
      <c r="C374" s="265"/>
      <c r="D374" s="265"/>
      <c r="E374" s="265"/>
      <c r="F374" s="265"/>
      <c r="G374" s="265"/>
    </row>
    <row r="375" spans="3:7" ht="14.25" x14ac:dyDescent="0.2">
      <c r="C375" s="265"/>
      <c r="D375" s="265"/>
      <c r="E375" s="265"/>
      <c r="F375" s="265"/>
      <c r="G375" s="265"/>
    </row>
    <row r="376" spans="3:7" ht="14.25" x14ac:dyDescent="0.2">
      <c r="C376" s="265"/>
      <c r="D376" s="265"/>
      <c r="E376" s="265"/>
      <c r="F376" s="265"/>
      <c r="G376" s="265"/>
    </row>
    <row r="377" spans="3:7" ht="14.25" x14ac:dyDescent="0.2">
      <c r="C377" s="265"/>
      <c r="D377" s="265"/>
      <c r="E377" s="265"/>
      <c r="F377" s="265"/>
      <c r="G377" s="265"/>
    </row>
    <row r="378" spans="3:7" ht="14.25" x14ac:dyDescent="0.2">
      <c r="C378" s="265"/>
      <c r="D378" s="265"/>
      <c r="E378" s="265"/>
      <c r="F378" s="265"/>
      <c r="G378" s="265"/>
    </row>
    <row r="379" spans="3:7" ht="14.25" x14ac:dyDescent="0.2">
      <c r="C379" s="265"/>
      <c r="D379" s="265"/>
      <c r="E379" s="265"/>
      <c r="F379" s="265"/>
      <c r="G379" s="265"/>
    </row>
    <row r="380" spans="3:7" ht="14.25" x14ac:dyDescent="0.2">
      <c r="C380" s="265"/>
      <c r="D380" s="265"/>
      <c r="E380" s="265"/>
      <c r="F380" s="265"/>
      <c r="G380" s="265"/>
    </row>
    <row r="381" spans="3:7" ht="14.25" x14ac:dyDescent="0.2">
      <c r="C381" s="265"/>
      <c r="D381" s="265"/>
      <c r="E381" s="265"/>
      <c r="F381" s="265"/>
      <c r="G381" s="265"/>
    </row>
    <row r="382" spans="3:7" ht="14.25" x14ac:dyDescent="0.2">
      <c r="C382" s="265"/>
      <c r="D382" s="265"/>
      <c r="E382" s="265"/>
      <c r="F382" s="265"/>
      <c r="G382" s="265"/>
    </row>
    <row r="383" spans="3:7" ht="14.25" x14ac:dyDescent="0.2">
      <c r="C383" s="265"/>
      <c r="D383" s="265"/>
      <c r="E383" s="265"/>
      <c r="F383" s="265"/>
      <c r="G383" s="265"/>
    </row>
    <row r="384" spans="3:7" ht="14.25" x14ac:dyDescent="0.2">
      <c r="C384" s="265"/>
      <c r="D384" s="265"/>
      <c r="E384" s="265"/>
      <c r="F384" s="265"/>
      <c r="G384" s="265"/>
    </row>
    <row r="385" spans="3:7" ht="14.25" x14ac:dyDescent="0.2">
      <c r="C385" s="265"/>
      <c r="D385" s="265"/>
      <c r="E385" s="265"/>
      <c r="F385" s="265"/>
      <c r="G385" s="265"/>
    </row>
    <row r="386" spans="3:7" ht="14.25" x14ac:dyDescent="0.2">
      <c r="C386" s="265"/>
      <c r="D386" s="265"/>
      <c r="E386" s="265"/>
      <c r="F386" s="265"/>
      <c r="G386" s="265"/>
    </row>
    <row r="387" spans="3:7" ht="14.25" x14ac:dyDescent="0.2">
      <c r="C387" s="265"/>
      <c r="D387" s="265"/>
      <c r="E387" s="265"/>
      <c r="F387" s="265"/>
      <c r="G387" s="265"/>
    </row>
    <row r="388" spans="3:7" ht="14.25" x14ac:dyDescent="0.2">
      <c r="C388" s="265"/>
      <c r="D388" s="265"/>
      <c r="E388" s="265"/>
      <c r="F388" s="265"/>
      <c r="G388" s="265"/>
    </row>
    <row r="389" spans="3:7" ht="14.25" x14ac:dyDescent="0.2">
      <c r="C389" s="265"/>
      <c r="D389" s="265"/>
      <c r="E389" s="265"/>
      <c r="F389" s="265"/>
      <c r="G389" s="265"/>
    </row>
    <row r="390" spans="3:7" ht="14.25" x14ac:dyDescent="0.2">
      <c r="C390" s="265"/>
      <c r="D390" s="265"/>
      <c r="E390" s="265"/>
      <c r="F390" s="265"/>
      <c r="G390" s="265"/>
    </row>
    <row r="391" spans="3:7" ht="14.25" x14ac:dyDescent="0.2">
      <c r="C391" s="265"/>
      <c r="D391" s="265"/>
      <c r="E391" s="265"/>
      <c r="F391" s="265"/>
      <c r="G391" s="265"/>
    </row>
    <row r="392" spans="3:7" ht="14.25" x14ac:dyDescent="0.2">
      <c r="C392" s="265"/>
      <c r="D392" s="265"/>
      <c r="E392" s="265"/>
      <c r="F392" s="265"/>
      <c r="G392" s="265"/>
    </row>
    <row r="393" spans="3:7" ht="14.25" x14ac:dyDescent="0.2">
      <c r="C393" s="265"/>
      <c r="D393" s="265"/>
      <c r="E393" s="265"/>
      <c r="F393" s="265"/>
      <c r="G393" s="265"/>
    </row>
    <row r="394" spans="3:7" ht="14.25" x14ac:dyDescent="0.2">
      <c r="C394" s="265"/>
      <c r="D394" s="265"/>
      <c r="E394" s="265"/>
      <c r="F394" s="265"/>
      <c r="G394" s="265"/>
    </row>
    <row r="395" spans="3:7" ht="14.25" x14ac:dyDescent="0.2">
      <c r="C395" s="265"/>
      <c r="D395" s="265"/>
      <c r="E395" s="265"/>
      <c r="F395" s="265"/>
      <c r="G395" s="265"/>
    </row>
    <row r="396" spans="3:7" ht="14.25" x14ac:dyDescent="0.2">
      <c r="C396" s="265"/>
      <c r="D396" s="265"/>
      <c r="E396" s="265"/>
      <c r="F396" s="265"/>
      <c r="G396" s="265"/>
    </row>
    <row r="397" spans="3:7" ht="14.25" x14ac:dyDescent="0.2">
      <c r="C397" s="265"/>
      <c r="D397" s="265"/>
      <c r="E397" s="265"/>
      <c r="F397" s="265"/>
      <c r="G397" s="265"/>
    </row>
    <row r="398" spans="3:7" ht="14.25" x14ac:dyDescent="0.2">
      <c r="C398" s="265"/>
      <c r="D398" s="265"/>
      <c r="E398" s="265"/>
      <c r="F398" s="265"/>
      <c r="G398" s="265"/>
    </row>
    <row r="399" spans="3:7" ht="14.25" x14ac:dyDescent="0.2">
      <c r="C399" s="265"/>
      <c r="D399" s="265"/>
      <c r="E399" s="265"/>
      <c r="F399" s="265"/>
      <c r="G399" s="265"/>
    </row>
    <row r="400" spans="3:7" ht="14.25" x14ac:dyDescent="0.2">
      <c r="C400" s="265"/>
      <c r="D400" s="265"/>
      <c r="E400" s="265"/>
      <c r="F400" s="265"/>
      <c r="G400" s="265"/>
    </row>
    <row r="401" spans="3:7" ht="14.25" x14ac:dyDescent="0.2">
      <c r="C401" s="265"/>
      <c r="D401" s="265"/>
      <c r="E401" s="265"/>
      <c r="F401" s="265"/>
      <c r="G401" s="265"/>
    </row>
    <row r="402" spans="3:7" ht="14.25" x14ac:dyDescent="0.2">
      <c r="C402" s="265"/>
      <c r="D402" s="265"/>
      <c r="E402" s="265"/>
      <c r="F402" s="265"/>
      <c r="G402" s="265"/>
    </row>
    <row r="403" spans="3:7" ht="14.25" x14ac:dyDescent="0.2">
      <c r="C403" s="265"/>
      <c r="D403" s="265"/>
      <c r="E403" s="265"/>
      <c r="F403" s="265"/>
      <c r="G403" s="265"/>
    </row>
    <row r="404" spans="3:7" ht="14.25" x14ac:dyDescent="0.2">
      <c r="C404" s="265"/>
      <c r="D404" s="265"/>
      <c r="E404" s="265"/>
      <c r="F404" s="265"/>
      <c r="G404" s="265"/>
    </row>
    <row r="405" spans="3:7" ht="14.25" x14ac:dyDescent="0.2">
      <c r="C405" s="265"/>
      <c r="D405" s="265"/>
      <c r="E405" s="265"/>
      <c r="F405" s="265"/>
      <c r="G405" s="265"/>
    </row>
    <row r="406" spans="3:7" ht="14.25" x14ac:dyDescent="0.2">
      <c r="C406" s="265"/>
      <c r="D406" s="265"/>
      <c r="E406" s="265"/>
      <c r="F406" s="265"/>
      <c r="G406" s="265"/>
    </row>
    <row r="407" spans="3:7" ht="14.25" x14ac:dyDescent="0.2">
      <c r="C407" s="265"/>
      <c r="D407" s="265"/>
      <c r="E407" s="265"/>
      <c r="F407" s="265"/>
      <c r="G407" s="265"/>
    </row>
    <row r="408" spans="3:7" ht="14.25" x14ac:dyDescent="0.2">
      <c r="C408" s="265"/>
      <c r="D408" s="265"/>
      <c r="E408" s="265"/>
      <c r="F408" s="265"/>
      <c r="G408" s="265"/>
    </row>
    <row r="409" spans="3:7" ht="14.25" x14ac:dyDescent="0.2">
      <c r="C409" s="265"/>
      <c r="D409" s="265"/>
      <c r="E409" s="265"/>
      <c r="F409" s="265"/>
      <c r="G409" s="265"/>
    </row>
    <row r="410" spans="3:7" ht="14.25" x14ac:dyDescent="0.2">
      <c r="C410" s="265"/>
      <c r="D410" s="265"/>
      <c r="E410" s="265"/>
      <c r="F410" s="265"/>
      <c r="G410" s="265"/>
    </row>
    <row r="411" spans="3:7" ht="14.25" x14ac:dyDescent="0.2">
      <c r="C411" s="265"/>
      <c r="D411" s="265"/>
      <c r="E411" s="265"/>
      <c r="F411" s="265"/>
      <c r="G411" s="265"/>
    </row>
    <row r="412" spans="3:7" ht="14.25" x14ac:dyDescent="0.2">
      <c r="C412" s="265"/>
      <c r="D412" s="265"/>
      <c r="E412" s="265"/>
      <c r="F412" s="265"/>
      <c r="G412" s="265"/>
    </row>
    <row r="413" spans="3:7" ht="14.25" x14ac:dyDescent="0.2">
      <c r="C413" s="265"/>
      <c r="D413" s="265"/>
      <c r="E413" s="265"/>
      <c r="F413" s="265"/>
      <c r="G413" s="265"/>
    </row>
    <row r="414" spans="3:7" ht="14.25" x14ac:dyDescent="0.2">
      <c r="C414" s="265"/>
      <c r="D414" s="265"/>
      <c r="E414" s="265"/>
      <c r="F414" s="265"/>
      <c r="G414" s="265"/>
    </row>
    <row r="415" spans="3:7" ht="14.25" x14ac:dyDescent="0.2">
      <c r="C415" s="265"/>
      <c r="D415" s="265"/>
      <c r="E415" s="265"/>
      <c r="F415" s="265"/>
      <c r="G415" s="265"/>
    </row>
    <row r="416" spans="3:7" ht="14.25" x14ac:dyDescent="0.2">
      <c r="C416" s="265"/>
      <c r="D416" s="265"/>
      <c r="E416" s="265"/>
      <c r="F416" s="265"/>
      <c r="G416" s="265"/>
    </row>
    <row r="417" spans="3:7" ht="14.25" x14ac:dyDescent="0.2">
      <c r="C417" s="265"/>
      <c r="D417" s="265"/>
      <c r="E417" s="265"/>
      <c r="F417" s="265"/>
      <c r="G417" s="265"/>
    </row>
    <row r="418" spans="3:7" ht="14.25" x14ac:dyDescent="0.2">
      <c r="C418" s="265"/>
      <c r="D418" s="265"/>
      <c r="E418" s="265"/>
      <c r="F418" s="265"/>
      <c r="G418" s="265"/>
    </row>
    <row r="419" spans="3:7" ht="14.25" x14ac:dyDescent="0.2">
      <c r="C419" s="265"/>
      <c r="D419" s="265"/>
      <c r="E419" s="265"/>
      <c r="F419" s="265"/>
      <c r="G419" s="265"/>
    </row>
    <row r="420" spans="3:7" ht="14.25" x14ac:dyDescent="0.2">
      <c r="C420" s="265"/>
      <c r="D420" s="265"/>
      <c r="E420" s="265"/>
      <c r="F420" s="265"/>
      <c r="G420" s="265"/>
    </row>
    <row r="421" spans="3:7" ht="14.25" x14ac:dyDescent="0.2">
      <c r="C421" s="265"/>
      <c r="D421" s="265"/>
      <c r="E421" s="265"/>
      <c r="F421" s="265"/>
      <c r="G421" s="265"/>
    </row>
    <row r="422" spans="3:7" ht="14.25" x14ac:dyDescent="0.2">
      <c r="C422" s="265"/>
      <c r="D422" s="265"/>
      <c r="E422" s="265"/>
      <c r="F422" s="265"/>
      <c r="G422" s="265"/>
    </row>
    <row r="423" spans="3:7" ht="14.25" x14ac:dyDescent="0.2">
      <c r="C423" s="265"/>
      <c r="D423" s="265"/>
      <c r="E423" s="265"/>
      <c r="F423" s="265"/>
      <c r="G423" s="265"/>
    </row>
    <row r="424" spans="3:7" ht="14.25" x14ac:dyDescent="0.2">
      <c r="C424" s="265"/>
      <c r="D424" s="265"/>
      <c r="E424" s="265"/>
      <c r="F424" s="265"/>
      <c r="G424" s="265"/>
    </row>
    <row r="425" spans="3:7" ht="14.25" x14ac:dyDescent="0.2">
      <c r="C425" s="265"/>
      <c r="D425" s="265"/>
      <c r="E425" s="265"/>
      <c r="F425" s="265"/>
      <c r="G425" s="265"/>
    </row>
    <row r="426" spans="3:7" ht="14.25" x14ac:dyDescent="0.2">
      <c r="C426" s="265"/>
      <c r="D426" s="265"/>
      <c r="E426" s="265"/>
      <c r="F426" s="265"/>
      <c r="G426" s="265"/>
    </row>
    <row r="427" spans="3:7" ht="14.25" x14ac:dyDescent="0.2">
      <c r="C427" s="265"/>
      <c r="D427" s="265"/>
      <c r="E427" s="265"/>
      <c r="F427" s="265"/>
      <c r="G427" s="265"/>
    </row>
    <row r="428" spans="3:7" ht="14.25" x14ac:dyDescent="0.2">
      <c r="C428" s="265"/>
      <c r="D428" s="265"/>
      <c r="E428" s="265"/>
      <c r="F428" s="265"/>
      <c r="G428" s="265"/>
    </row>
    <row r="429" spans="3:7" ht="14.25" x14ac:dyDescent="0.2">
      <c r="C429" s="265"/>
      <c r="D429" s="265"/>
      <c r="E429" s="265"/>
      <c r="F429" s="265"/>
      <c r="G429" s="265"/>
    </row>
    <row r="430" spans="3:7" ht="14.25" x14ac:dyDescent="0.2">
      <c r="C430" s="265"/>
      <c r="D430" s="265"/>
      <c r="E430" s="265"/>
      <c r="F430" s="265"/>
      <c r="G430" s="265"/>
    </row>
    <row r="431" spans="3:7" ht="14.25" x14ac:dyDescent="0.2">
      <c r="C431" s="265"/>
      <c r="D431" s="265"/>
      <c r="E431" s="265"/>
      <c r="F431" s="265"/>
      <c r="G431" s="265"/>
    </row>
    <row r="432" spans="3:7" ht="14.25" x14ac:dyDescent="0.2">
      <c r="C432" s="265"/>
      <c r="D432" s="265"/>
      <c r="E432" s="265"/>
      <c r="F432" s="265"/>
      <c r="G432" s="265"/>
    </row>
    <row r="433" spans="3:7" ht="14.25" x14ac:dyDescent="0.2">
      <c r="C433" s="265"/>
      <c r="D433" s="265"/>
      <c r="E433" s="265"/>
      <c r="F433" s="265"/>
      <c r="G433" s="265"/>
    </row>
    <row r="434" spans="3:7" ht="14.25" x14ac:dyDescent="0.2">
      <c r="C434" s="265"/>
      <c r="D434" s="265"/>
      <c r="E434" s="265"/>
      <c r="F434" s="265"/>
      <c r="G434" s="265"/>
    </row>
    <row r="435" spans="3:7" ht="14.25" x14ac:dyDescent="0.2">
      <c r="C435" s="265"/>
      <c r="D435" s="265"/>
      <c r="E435" s="265"/>
      <c r="F435" s="265"/>
      <c r="G435" s="265"/>
    </row>
    <row r="436" spans="3:7" ht="14.25" x14ac:dyDescent="0.2">
      <c r="C436" s="265"/>
      <c r="D436" s="265"/>
      <c r="E436" s="265"/>
      <c r="F436" s="265"/>
      <c r="G436" s="265"/>
    </row>
    <row r="437" spans="3:7" ht="14.25" x14ac:dyDescent="0.2">
      <c r="C437" s="265"/>
      <c r="D437" s="265"/>
      <c r="E437" s="265"/>
      <c r="F437" s="265"/>
      <c r="G437" s="265"/>
    </row>
    <row r="438" spans="3:7" ht="14.25" x14ac:dyDescent="0.2">
      <c r="C438" s="265"/>
      <c r="D438" s="265"/>
      <c r="E438" s="265"/>
      <c r="F438" s="265"/>
      <c r="G438" s="265"/>
    </row>
    <row r="439" spans="3:7" ht="14.25" x14ac:dyDescent="0.2">
      <c r="C439" s="265"/>
      <c r="D439" s="265"/>
      <c r="E439" s="265"/>
      <c r="F439" s="265"/>
      <c r="G439" s="265"/>
    </row>
    <row r="440" spans="3:7" ht="14.25" x14ac:dyDescent="0.2">
      <c r="C440" s="265"/>
      <c r="D440" s="265"/>
      <c r="E440" s="265"/>
      <c r="F440" s="265"/>
      <c r="G440" s="265"/>
    </row>
    <row r="441" spans="3:7" ht="14.25" x14ac:dyDescent="0.2">
      <c r="C441" s="265"/>
      <c r="D441" s="265"/>
      <c r="E441" s="265"/>
      <c r="F441" s="265"/>
      <c r="G441" s="265"/>
    </row>
    <row r="442" spans="3:7" ht="14.25" x14ac:dyDescent="0.2">
      <c r="C442" s="265"/>
      <c r="D442" s="265"/>
      <c r="E442" s="265"/>
      <c r="F442" s="265"/>
      <c r="G442" s="265"/>
    </row>
    <row r="443" spans="3:7" ht="14.25" x14ac:dyDescent="0.2">
      <c r="C443" s="265"/>
      <c r="D443" s="265"/>
      <c r="E443" s="265"/>
      <c r="F443" s="265"/>
      <c r="G443" s="265"/>
    </row>
    <row r="444" spans="3:7" ht="14.25" x14ac:dyDescent="0.2">
      <c r="C444" s="265"/>
      <c r="D444" s="265"/>
      <c r="E444" s="265"/>
      <c r="F444" s="265"/>
      <c r="G444" s="265"/>
    </row>
    <row r="445" spans="3:7" ht="14.25" x14ac:dyDescent="0.2">
      <c r="C445" s="265"/>
      <c r="D445" s="265"/>
      <c r="E445" s="265"/>
      <c r="F445" s="265"/>
      <c r="G445" s="265"/>
    </row>
    <row r="446" spans="3:7" ht="14.25" x14ac:dyDescent="0.2">
      <c r="C446" s="265"/>
      <c r="D446" s="265"/>
      <c r="E446" s="265"/>
      <c r="F446" s="265"/>
      <c r="G446" s="265"/>
    </row>
    <row r="447" spans="3:7" ht="14.25" x14ac:dyDescent="0.2">
      <c r="C447" s="265"/>
      <c r="D447" s="265"/>
      <c r="E447" s="265"/>
      <c r="F447" s="265"/>
      <c r="G447" s="265"/>
    </row>
    <row r="448" spans="3:7" ht="14.25" x14ac:dyDescent="0.2">
      <c r="C448" s="265"/>
      <c r="D448" s="265"/>
      <c r="E448" s="265"/>
      <c r="F448" s="265"/>
      <c r="G448" s="265"/>
    </row>
    <row r="449" spans="3:7" ht="14.25" x14ac:dyDescent="0.2">
      <c r="C449" s="265"/>
      <c r="D449" s="265"/>
      <c r="E449" s="265"/>
      <c r="F449" s="265"/>
      <c r="G449" s="265"/>
    </row>
    <row r="450" spans="3:7" ht="14.25" x14ac:dyDescent="0.2">
      <c r="C450" s="265"/>
      <c r="D450" s="265"/>
      <c r="E450" s="265"/>
      <c r="F450" s="265"/>
      <c r="G450" s="265"/>
    </row>
    <row r="451" spans="3:7" ht="14.25" x14ac:dyDescent="0.2">
      <c r="C451" s="265"/>
      <c r="D451" s="265"/>
      <c r="E451" s="265"/>
      <c r="F451" s="265"/>
      <c r="G451" s="265"/>
    </row>
    <row r="452" spans="3:7" ht="14.25" x14ac:dyDescent="0.2">
      <c r="C452" s="265"/>
      <c r="D452" s="265"/>
      <c r="E452" s="265"/>
      <c r="F452" s="265"/>
      <c r="G452" s="265"/>
    </row>
    <row r="453" spans="3:7" ht="14.25" x14ac:dyDescent="0.2">
      <c r="C453" s="265"/>
      <c r="D453" s="265"/>
      <c r="E453" s="265"/>
      <c r="F453" s="265"/>
      <c r="G453" s="265"/>
    </row>
    <row r="454" spans="3:7" ht="14.25" x14ac:dyDescent="0.2">
      <c r="C454" s="265"/>
      <c r="D454" s="265"/>
      <c r="E454" s="265"/>
      <c r="F454" s="265"/>
      <c r="G454" s="265"/>
    </row>
  </sheetData>
  <sheetProtection algorithmName="SHA-512" hashValue="jLIm3SOHkJ/OVi0fy+X+Qp3dOgfbUmlqAMjvIKrJiBhCUtdsGW/YRZhoZL9bzb59QF1lkFFhs8lUl8in0PmL+w==" saltValue="CyRKgCj869VrGnmHW0svNA==" spinCount="100000" sheet="1" objects="1" scenarios="1"/>
  <sortState xmlns:xlrd2="http://schemas.microsoft.com/office/spreadsheetml/2017/richdata2" ref="B9:R232">
    <sortCondition ref="I9:I232"/>
  </sortState>
  <conditionalFormatting sqref="C2">
    <cfRule type="expression" dxfId="418" priority="5">
      <formula>Model_check&lt;&gt;0</formula>
    </cfRule>
    <cfRule type="expression" dxfId="417" priority="6">
      <formula>Model_check=0</formula>
    </cfRule>
  </conditionalFormatting>
  <pageMargins left="0.70866141732283472" right="0.70866141732283472" top="0.74803149606299213" bottom="0.74803149606299213" header="0.31496062992125984" footer="0.31496062992125984"/>
  <pageSetup paperSize="9" scale="55" pageOrder="overThenDown" orientation="landscape"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FFAE-40AE-4D52-9E20-447A40BC16BC}">
  <sheetPr codeName="Sheet9"/>
  <dimension ref="A1:BG1940"/>
  <sheetViews>
    <sheetView showGridLines="0" zoomScale="85" zoomScaleNormal="85" workbookViewId="0">
      <pane xSplit="3" ySplit="7" topLeftCell="D8" activePane="bottomRight" state="frozen"/>
      <selection pane="topRight" activeCell="B116" sqref="B116"/>
      <selection pane="bottomLeft" activeCell="B116" sqref="B116"/>
      <selection pane="bottomRight" activeCell="D8" sqref="D8"/>
    </sheetView>
  </sheetViews>
  <sheetFormatPr defaultColWidth="0" defaultRowHeight="12.75" outlineLevelRow="1" outlineLevelCol="1" x14ac:dyDescent="0.2"/>
  <cols>
    <col min="1" max="1" width="2.75" style="250" customWidth="1"/>
    <col min="2" max="2" width="27.625" style="263" customWidth="1"/>
    <col min="3" max="3" width="34.5" style="250" customWidth="1"/>
    <col min="4" max="4" width="40.5" style="250" bestFit="1" customWidth="1"/>
    <col min="5" max="5" width="78.75" style="250" customWidth="1"/>
    <col min="6" max="6" width="48" style="232" bestFit="1" customWidth="1"/>
    <col min="7" max="7" width="34.875" style="232" customWidth="1"/>
    <col min="8" max="11" width="20.625" style="250" customWidth="1"/>
    <col min="12" max="20" width="20.625" style="250" customWidth="1" outlineLevel="1"/>
    <col min="21" max="29" width="20.625" style="250" customWidth="1"/>
    <col min="30" max="31" width="27.75" style="250" customWidth="1"/>
    <col min="32" max="32" width="2.625" style="250" customWidth="1"/>
    <col min="33" max="59" width="0" style="27" hidden="1" customWidth="1"/>
    <col min="60" max="16384" width="8.75" style="27" hidden="1"/>
  </cols>
  <sheetData>
    <row r="1" spans="1:31" s="15" customFormat="1" ht="12" customHeight="1" x14ac:dyDescent="0.2">
      <c r="A1" s="229"/>
      <c r="B1" s="23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row>
    <row r="2" spans="1:31" s="13" customFormat="1" ht="15" customHeight="1" x14ac:dyDescent="0.25">
      <c r="A2" s="229"/>
      <c r="B2" s="240" t="str">
        <f ca="1">MID(CELL("filename",B2),FIND("]",CELL("filename",B2))+1,255)</f>
        <v>Forecast capex</v>
      </c>
      <c r="C2" s="241" t="str">
        <f>'Global inputs'!$C$2</f>
        <v>Model: Ok</v>
      </c>
      <c r="D2" s="229"/>
      <c r="E2" s="242"/>
      <c r="F2" s="242"/>
      <c r="G2" s="229"/>
      <c r="H2" s="242"/>
      <c r="I2" s="242"/>
      <c r="J2" s="242"/>
      <c r="K2" s="242"/>
      <c r="L2" s="242"/>
      <c r="M2" s="242"/>
      <c r="N2" s="242"/>
      <c r="O2" s="242"/>
      <c r="P2" s="242"/>
      <c r="Q2" s="242"/>
      <c r="R2" s="229"/>
      <c r="S2" s="242"/>
      <c r="T2" s="242"/>
      <c r="U2" s="242"/>
      <c r="V2" s="242"/>
      <c r="W2" s="242"/>
      <c r="X2" s="229"/>
      <c r="Y2" s="229"/>
      <c r="Z2" s="242"/>
      <c r="AA2" s="242"/>
      <c r="AB2" s="242"/>
      <c r="AC2" s="229"/>
      <c r="AD2" s="229"/>
      <c r="AE2" s="229"/>
    </row>
    <row r="3" spans="1:31" s="12" customFormat="1" ht="12" customHeight="1" x14ac:dyDescent="0.2">
      <c r="A3" s="243"/>
      <c r="B3" s="246"/>
      <c r="C3" s="245"/>
      <c r="D3" s="245"/>
      <c r="E3" s="213"/>
      <c r="F3" s="247"/>
      <c r="G3" s="244"/>
      <c r="H3" s="213"/>
      <c r="I3" s="213"/>
      <c r="J3" s="214" t="s">
        <v>349</v>
      </c>
      <c r="K3" s="214" t="s">
        <v>350</v>
      </c>
      <c r="L3" s="214"/>
      <c r="M3" s="214" t="s">
        <v>351</v>
      </c>
      <c r="N3" s="214" t="s">
        <v>352</v>
      </c>
      <c r="O3" s="213"/>
      <c r="P3" s="214" t="s">
        <v>351</v>
      </c>
      <c r="Q3" s="214" t="s">
        <v>351</v>
      </c>
      <c r="R3" s="245"/>
      <c r="S3" s="213"/>
      <c r="T3" s="214" t="s">
        <v>352</v>
      </c>
      <c r="U3" s="214" t="s">
        <v>351</v>
      </c>
      <c r="V3" s="214" t="s">
        <v>351</v>
      </c>
      <c r="W3" s="214" t="s">
        <v>351</v>
      </c>
      <c r="X3" s="214" t="s">
        <v>351</v>
      </c>
      <c r="Y3" s="245"/>
      <c r="Z3" s="214"/>
      <c r="AA3" s="214"/>
      <c r="AB3" s="214" t="s">
        <v>266</v>
      </c>
      <c r="AC3" s="245" t="s">
        <v>266</v>
      </c>
      <c r="AD3" s="245"/>
      <c r="AE3" s="245" t="s">
        <v>293</v>
      </c>
    </row>
    <row r="4" spans="1:31" s="12" customFormat="1" ht="12" customHeight="1" x14ac:dyDescent="0.2">
      <c r="A4" s="243"/>
      <c r="B4" s="244" t="s">
        <v>353</v>
      </c>
      <c r="C4" s="244" t="s">
        <v>354</v>
      </c>
      <c r="D4" s="244" t="s">
        <v>333</v>
      </c>
      <c r="E4" s="244" t="s">
        <v>355</v>
      </c>
      <c r="F4" s="244" t="s">
        <v>356</v>
      </c>
      <c r="G4" s="244" t="s">
        <v>357</v>
      </c>
      <c r="H4" s="266" t="s">
        <v>358</v>
      </c>
      <c r="I4" s="266" t="s">
        <v>337</v>
      </c>
      <c r="J4" s="214" t="s">
        <v>359</v>
      </c>
      <c r="K4" s="214" t="s">
        <v>360</v>
      </c>
      <c r="L4" s="214" t="s">
        <v>361</v>
      </c>
      <c r="M4" s="214" t="s">
        <v>362</v>
      </c>
      <c r="N4" s="214" t="s">
        <v>363</v>
      </c>
      <c r="O4" s="214" t="s">
        <v>364</v>
      </c>
      <c r="P4" s="214" t="s">
        <v>365</v>
      </c>
      <c r="Q4" s="214" t="s">
        <v>365</v>
      </c>
      <c r="R4" s="214" t="s">
        <v>366</v>
      </c>
      <c r="S4" s="214" t="s">
        <v>364</v>
      </c>
      <c r="T4" s="214" t="s">
        <v>363</v>
      </c>
      <c r="U4" s="214" t="s">
        <v>362</v>
      </c>
      <c r="V4" s="214" t="s">
        <v>362</v>
      </c>
      <c r="W4" s="214" t="s">
        <v>365</v>
      </c>
      <c r="X4" s="214" t="s">
        <v>365</v>
      </c>
      <c r="Y4" s="214" t="s">
        <v>367</v>
      </c>
      <c r="Z4" s="214" t="s">
        <v>368</v>
      </c>
      <c r="AA4" s="214" t="s">
        <v>368</v>
      </c>
      <c r="AB4" s="214" t="s">
        <v>369</v>
      </c>
      <c r="AC4" s="214" t="s">
        <v>369</v>
      </c>
      <c r="AD4" s="245" t="s">
        <v>370</v>
      </c>
      <c r="AE4" s="245" t="s">
        <v>371</v>
      </c>
    </row>
    <row r="5" spans="1:31" s="12" customFormat="1" ht="12" customHeight="1" x14ac:dyDescent="0.2">
      <c r="A5" s="243"/>
      <c r="B5" s="244"/>
      <c r="C5" s="244"/>
      <c r="D5" s="244"/>
      <c r="E5" s="244"/>
      <c r="F5" s="244"/>
      <c r="G5" s="244"/>
      <c r="H5" s="266" t="s">
        <v>372</v>
      </c>
      <c r="I5" s="266"/>
      <c r="J5" s="214" t="s">
        <v>338</v>
      </c>
      <c r="K5" s="214" t="s">
        <v>338</v>
      </c>
      <c r="L5" s="214" t="s">
        <v>350</v>
      </c>
      <c r="M5" s="214" t="s">
        <v>373</v>
      </c>
      <c r="N5" s="214" t="s">
        <v>347</v>
      </c>
      <c r="O5" s="214" t="s">
        <v>347</v>
      </c>
      <c r="P5" s="214" t="s">
        <v>373</v>
      </c>
      <c r="Q5" s="214" t="s">
        <v>374</v>
      </c>
      <c r="R5" s="214"/>
      <c r="S5" s="214" t="s">
        <v>348</v>
      </c>
      <c r="T5" s="214" t="s">
        <v>348</v>
      </c>
      <c r="U5" s="214" t="s">
        <v>373</v>
      </c>
      <c r="V5" s="214" t="s">
        <v>374</v>
      </c>
      <c r="W5" s="214" t="s">
        <v>373</v>
      </c>
      <c r="X5" s="214" t="s">
        <v>374</v>
      </c>
      <c r="Y5" s="214" t="s">
        <v>375</v>
      </c>
      <c r="Z5" s="214" t="s">
        <v>376</v>
      </c>
      <c r="AA5" s="214" t="s">
        <v>348</v>
      </c>
      <c r="AB5" s="214" t="s">
        <v>373</v>
      </c>
      <c r="AC5" s="214" t="s">
        <v>374</v>
      </c>
      <c r="AD5" s="214" t="s">
        <v>377</v>
      </c>
      <c r="AE5" s="214" t="s">
        <v>377</v>
      </c>
    </row>
    <row r="6" spans="1:31" s="12" customFormat="1" ht="12" customHeight="1" x14ac:dyDescent="0.2">
      <c r="A6" s="243"/>
      <c r="B6" s="246"/>
      <c r="C6" s="245"/>
      <c r="D6" s="245"/>
      <c r="E6" s="213"/>
      <c r="F6" s="247"/>
      <c r="G6" s="244"/>
      <c r="H6" s="213"/>
      <c r="I6" s="213"/>
      <c r="J6" s="213"/>
      <c r="K6" s="213"/>
      <c r="L6" s="213"/>
      <c r="M6" s="214" t="s">
        <v>347</v>
      </c>
      <c r="N6" s="213"/>
      <c r="O6" s="213"/>
      <c r="P6" s="214" t="s">
        <v>347</v>
      </c>
      <c r="Q6" s="214" t="s">
        <v>347</v>
      </c>
      <c r="R6" s="245"/>
      <c r="S6" s="213"/>
      <c r="T6" s="213"/>
      <c r="U6" s="214" t="s">
        <v>348</v>
      </c>
      <c r="V6" s="214" t="s">
        <v>348</v>
      </c>
      <c r="W6" s="214" t="s">
        <v>348</v>
      </c>
      <c r="X6" s="214" t="s">
        <v>348</v>
      </c>
      <c r="Y6" s="245"/>
      <c r="Z6" s="213"/>
      <c r="AA6" s="213"/>
      <c r="AB6" s="214" t="s">
        <v>348</v>
      </c>
      <c r="AC6" s="214" t="s">
        <v>348</v>
      </c>
      <c r="AD6" s="245"/>
      <c r="AE6" s="214" t="s">
        <v>378</v>
      </c>
    </row>
    <row r="7" spans="1:31" s="15" customFormat="1" ht="12" customHeight="1" x14ac:dyDescent="0.2">
      <c r="A7" s="232"/>
      <c r="B7" s="249"/>
      <c r="C7" s="232"/>
      <c r="D7" s="248"/>
      <c r="E7" s="242"/>
      <c r="F7" s="242"/>
      <c r="G7" s="242"/>
      <c r="H7" s="242"/>
      <c r="I7" s="242"/>
      <c r="J7" s="242"/>
      <c r="K7" s="242"/>
      <c r="L7" s="242"/>
      <c r="M7" s="242"/>
      <c r="N7" s="242"/>
      <c r="O7" s="242"/>
      <c r="P7" s="242"/>
      <c r="Q7" s="242"/>
      <c r="R7" s="232"/>
      <c r="S7" s="242"/>
      <c r="T7" s="242"/>
      <c r="U7" s="242"/>
      <c r="V7" s="242"/>
      <c r="W7" s="242"/>
      <c r="X7" s="232"/>
      <c r="Y7" s="232"/>
      <c r="Z7" s="242"/>
      <c r="AA7" s="242"/>
      <c r="AB7" s="242"/>
      <c r="AC7" s="232"/>
      <c r="AD7" s="232"/>
      <c r="AE7" s="232"/>
    </row>
    <row r="8" spans="1:31" s="15" customFormat="1" ht="12" customHeight="1" x14ac:dyDescent="0.2">
      <c r="A8" s="232"/>
      <c r="B8" s="249"/>
      <c r="C8" s="232"/>
      <c r="D8" s="248"/>
      <c r="E8" s="242"/>
      <c r="F8" s="242"/>
      <c r="G8" s="242"/>
      <c r="H8" s="242"/>
      <c r="I8" s="242"/>
      <c r="J8" s="242"/>
      <c r="K8" s="242"/>
      <c r="L8" s="242"/>
      <c r="M8" s="242"/>
      <c r="N8" s="242"/>
      <c r="O8" s="242"/>
      <c r="P8" s="242"/>
      <c r="Q8" s="242"/>
      <c r="R8" s="232"/>
      <c r="S8" s="242"/>
      <c r="T8" s="242"/>
      <c r="U8" s="242"/>
      <c r="V8" s="242"/>
      <c r="W8" s="242"/>
      <c r="X8" s="232"/>
      <c r="Y8" s="232"/>
      <c r="Z8" s="242"/>
      <c r="AA8" s="242"/>
      <c r="AB8" s="242"/>
      <c r="AC8" s="232"/>
      <c r="AD8" s="232"/>
      <c r="AE8" s="232"/>
    </row>
    <row r="9" spans="1:31" s="27" customFormat="1" x14ac:dyDescent="0.2">
      <c r="A9" s="250"/>
      <c r="B9" s="210" t="s">
        <v>714</v>
      </c>
      <c r="C9" s="210" t="s">
        <v>284</v>
      </c>
      <c r="D9" s="210" t="s">
        <v>715</v>
      </c>
      <c r="E9" s="210" t="s">
        <v>127</v>
      </c>
      <c r="F9" s="210" t="s">
        <v>92</v>
      </c>
      <c r="G9" s="210" t="s">
        <v>716</v>
      </c>
      <c r="H9" s="197">
        <v>0</v>
      </c>
      <c r="I9" s="210" t="s">
        <v>229</v>
      </c>
      <c r="J9" s="210">
        <v>2020</v>
      </c>
      <c r="K9" s="210">
        <v>2020</v>
      </c>
      <c r="L9" s="268" t="str">
        <f>IF(J9=K9,"Simple","Complex")</f>
        <v>Simple</v>
      </c>
      <c r="M9" s="197">
        <v>7149.5532163415892</v>
      </c>
      <c r="N9" s="197">
        <v>3426.7089380098741</v>
      </c>
      <c r="O9" s="257">
        <f>IF(ISNA(MATCH(H9,'Operating leases'!$B$32:$B$43,0)),0,INDEX('Operating leases'!$M$32:$S$43,MATCH(H9,'Operating leases'!$B$32:$B$43,0),MATCH(J9,'Operating leases'!$M$11:$S$11,0)))</f>
        <v>0</v>
      </c>
      <c r="P9" s="257">
        <f>O9+M9</f>
        <v>7149.5532163415892</v>
      </c>
      <c r="Q9" s="257">
        <f t="shared" ref="Q9" si="0">M9+N9+O9</f>
        <v>10576.262154351463</v>
      </c>
      <c r="R9" s="258">
        <f>INDEX('Escalators '!$M$124:$S$129,MATCH(I9,'Escalators '!$B$124:$B$129,0),MATCH(J9,'Escalators '!$M$113:$S$113,0))</f>
        <v>1</v>
      </c>
      <c r="S9" s="257">
        <f t="shared" ref="S9" si="1">O9*R9</f>
        <v>0</v>
      </c>
      <c r="T9" s="257">
        <f t="shared" ref="T9" si="2">N9*R9</f>
        <v>3426.7089380098741</v>
      </c>
      <c r="U9" s="269">
        <f t="shared" ref="U9" si="3">W9-S9</f>
        <v>7149.5532163415892</v>
      </c>
      <c r="V9" s="269">
        <f t="shared" ref="V9" si="4">U9+T9</f>
        <v>10576.262154351463</v>
      </c>
      <c r="W9" s="269">
        <f t="shared" ref="W9" si="5">X9-T9</f>
        <v>7149.5532163415892</v>
      </c>
      <c r="X9" s="257">
        <f t="shared" ref="X9" si="6">Q9*R9</f>
        <v>10576.262154351463</v>
      </c>
      <c r="Y9" s="270">
        <f>IF(L9="Complex",(INDEX('Escalators '!$M$176:$S$176,MATCH('Forecast capex'!J9,'Escalators '!$M$178:$S$178,0))/12+1)^((K9-J9)*12)-1,0)</f>
        <v>0</v>
      </c>
      <c r="Z9" s="257">
        <f>P9*Y9</f>
        <v>0</v>
      </c>
      <c r="AA9" s="257">
        <f t="shared" ref="AA9" si="7">W9*Y9</f>
        <v>0</v>
      </c>
      <c r="AB9" s="269">
        <f t="shared" ref="AB9" si="8">IF(L9="Complex",AC9-T9,0)</f>
        <v>0</v>
      </c>
      <c r="AC9" s="269">
        <f t="shared" ref="AC9" si="9">IF(L9="Complex",V9+AA9,0)</f>
        <v>0</v>
      </c>
      <c r="AD9" s="271" t="str">
        <f>INDEX('Global inputs'!$C$134:$C$171,MATCH(F9,'Global inputs'!$B$134:$B$171,0))</f>
        <v>Asset relocations and undergrounding</v>
      </c>
      <c r="AE9" s="272">
        <f>IF(OR(H9='Operating leases'!$B$32,H9='Operating leases'!$B$33),"",INDEX('Global inputs'!$C$186:$C$243,MATCH(E9,'Global inputs'!$B$186:$B$243,0)))</f>
        <v>0.08</v>
      </c>
    </row>
    <row r="10" spans="1:31" s="27" customFormat="1" x14ac:dyDescent="0.2">
      <c r="A10" s="250"/>
      <c r="B10" s="210" t="s">
        <v>714</v>
      </c>
      <c r="C10" s="210" t="s">
        <v>284</v>
      </c>
      <c r="D10" s="210" t="s">
        <v>715</v>
      </c>
      <c r="E10" s="210" t="s">
        <v>127</v>
      </c>
      <c r="F10" s="210" t="s">
        <v>92</v>
      </c>
      <c r="G10" s="210" t="s">
        <v>716</v>
      </c>
      <c r="H10" s="197">
        <v>0</v>
      </c>
      <c r="I10" s="210" t="s">
        <v>221</v>
      </c>
      <c r="J10" s="210">
        <v>2020</v>
      </c>
      <c r="K10" s="210">
        <v>2020</v>
      </c>
      <c r="L10" s="268" t="str">
        <f t="shared" ref="L10:L73" si="10">IF(J10=K10,"Simple","Complex")</f>
        <v>Simple</v>
      </c>
      <c r="M10" s="197">
        <v>7149.5532163415892</v>
      </c>
      <c r="N10" s="197">
        <v>3426.7089380098741</v>
      </c>
      <c r="O10" s="257">
        <f>IF(ISNA(MATCH(H10,'Operating leases'!$B$32:$B$43,0)),0,INDEX('Operating leases'!$M$32:$S$43,MATCH(H10,'Operating leases'!$B$32:$B$43,0),MATCH(J10,'Operating leases'!$M$11:$S$11,0)))</f>
        <v>0</v>
      </c>
      <c r="P10" s="257">
        <f t="shared" ref="P10:P73" si="11">O10+M10</f>
        <v>7149.5532163415892</v>
      </c>
      <c r="Q10" s="257">
        <f t="shared" ref="Q10:Q73" si="12">M10+N10+O10</f>
        <v>10576.262154351463</v>
      </c>
      <c r="R10" s="258">
        <f>INDEX('Escalators '!$M$124:$S$129,MATCH(I10,'Escalators '!$B$124:$B$129,0),MATCH(J10,'Escalators '!$M$113:$S$113,0))</f>
        <v>1</v>
      </c>
      <c r="S10" s="257">
        <f t="shared" ref="S10:S73" si="13">O10*R10</f>
        <v>0</v>
      </c>
      <c r="T10" s="257">
        <f t="shared" ref="T10:T73" si="14">N10*R10</f>
        <v>3426.7089380098741</v>
      </c>
      <c r="U10" s="269">
        <f t="shared" ref="U10:U73" si="15">W10-S10</f>
        <v>7149.5532163415892</v>
      </c>
      <c r="V10" s="269">
        <f t="shared" ref="V10:V73" si="16">U10+T10</f>
        <v>10576.262154351463</v>
      </c>
      <c r="W10" s="269">
        <f t="shared" ref="W10:W73" si="17">X10-T10</f>
        <v>7149.5532163415892</v>
      </c>
      <c r="X10" s="257">
        <f t="shared" ref="X10:X73" si="18">Q10*R10</f>
        <v>10576.262154351463</v>
      </c>
      <c r="Y10" s="270">
        <f>IF(L10="Complex",(INDEX('Escalators '!$M$176:$S$176,MATCH('Forecast capex'!J10,'Escalators '!$M$178:$S$178,0))/12+1)^((K10-J10)*12)-1,0)</f>
        <v>0</v>
      </c>
      <c r="Z10" s="257">
        <f t="shared" ref="Z10:Z73" si="19">P10*Y10</f>
        <v>0</v>
      </c>
      <c r="AA10" s="257">
        <f t="shared" ref="AA10:AA73" si="20">W10*Y10</f>
        <v>0</v>
      </c>
      <c r="AB10" s="269">
        <f t="shared" ref="AB10:AB73" si="21">IF(L10="Complex",AC10-T10,0)</f>
        <v>0</v>
      </c>
      <c r="AC10" s="269">
        <f t="shared" ref="AC10:AC73" si="22">IF(L10="Complex",V10+AA10,0)</f>
        <v>0</v>
      </c>
      <c r="AD10" s="271" t="str">
        <f>INDEX('Global inputs'!$C$134:$C$171,MATCH(F10,'Global inputs'!$B$134:$B$171,0))</f>
        <v>Asset relocations and undergrounding</v>
      </c>
      <c r="AE10" s="272">
        <f>IF(OR(H10='Operating leases'!$B$32,H10='Operating leases'!$B$33),"",INDEX('Global inputs'!$C$186:$C$243,MATCH(E10,'Global inputs'!$B$186:$B$243,0)))</f>
        <v>0.08</v>
      </c>
    </row>
    <row r="11" spans="1:31" s="27" customFormat="1" x14ac:dyDescent="0.2">
      <c r="A11" s="250"/>
      <c r="B11" s="210" t="s">
        <v>714</v>
      </c>
      <c r="C11" s="210" t="s">
        <v>284</v>
      </c>
      <c r="D11" s="210" t="s">
        <v>715</v>
      </c>
      <c r="E11" s="210" t="s">
        <v>129</v>
      </c>
      <c r="F11" s="210" t="s">
        <v>92</v>
      </c>
      <c r="G11" s="210" t="s">
        <v>716</v>
      </c>
      <c r="H11" s="197">
        <v>0</v>
      </c>
      <c r="I11" s="210" t="s">
        <v>229</v>
      </c>
      <c r="J11" s="210">
        <v>2020</v>
      </c>
      <c r="K11" s="210">
        <v>2020</v>
      </c>
      <c r="L11" s="268" t="str">
        <f t="shared" si="10"/>
        <v>Simple</v>
      </c>
      <c r="M11" s="197">
        <v>7149.5532163415892</v>
      </c>
      <c r="N11" s="197">
        <v>3426.7089380098741</v>
      </c>
      <c r="O11" s="257">
        <f>IF(ISNA(MATCH(H11,'Operating leases'!$B$32:$B$43,0)),0,INDEX('Operating leases'!$M$32:$S$43,MATCH(H11,'Operating leases'!$B$32:$B$43,0),MATCH(J11,'Operating leases'!$M$11:$S$11,0)))</f>
        <v>0</v>
      </c>
      <c r="P11" s="257">
        <f t="shared" si="11"/>
        <v>7149.5532163415892</v>
      </c>
      <c r="Q11" s="257">
        <f t="shared" si="12"/>
        <v>10576.262154351463</v>
      </c>
      <c r="R11" s="258">
        <f>INDEX('Escalators '!$M$124:$S$129,MATCH(I11,'Escalators '!$B$124:$B$129,0),MATCH(J11,'Escalators '!$M$113:$S$113,0))</f>
        <v>1</v>
      </c>
      <c r="S11" s="257">
        <f t="shared" si="13"/>
        <v>0</v>
      </c>
      <c r="T11" s="257">
        <f t="shared" si="14"/>
        <v>3426.7089380098741</v>
      </c>
      <c r="U11" s="269">
        <f t="shared" si="15"/>
        <v>7149.5532163415892</v>
      </c>
      <c r="V11" s="269">
        <f t="shared" si="16"/>
        <v>10576.262154351463</v>
      </c>
      <c r="W11" s="269">
        <f t="shared" si="17"/>
        <v>7149.5532163415892</v>
      </c>
      <c r="X11" s="257">
        <f t="shared" si="18"/>
        <v>10576.262154351463</v>
      </c>
      <c r="Y11" s="270">
        <f>IF(L11="Complex",(INDEX('Escalators '!$M$176:$S$176,MATCH('Forecast capex'!J11,'Escalators '!$M$178:$S$178,0))/12+1)^((K11-J11)*12)-1,0)</f>
        <v>0</v>
      </c>
      <c r="Z11" s="257">
        <f t="shared" si="19"/>
        <v>0</v>
      </c>
      <c r="AA11" s="257">
        <f t="shared" si="20"/>
        <v>0</v>
      </c>
      <c r="AB11" s="269">
        <f t="shared" si="21"/>
        <v>0</v>
      </c>
      <c r="AC11" s="269">
        <f t="shared" si="22"/>
        <v>0</v>
      </c>
      <c r="AD11" s="271" t="str">
        <f>INDEX('Global inputs'!$C$134:$C$171,MATCH(F11,'Global inputs'!$B$134:$B$171,0))</f>
        <v>Asset relocations and undergrounding</v>
      </c>
      <c r="AE11" s="272">
        <f>IF(OR(H11='Operating leases'!$B$32,H11='Operating leases'!$B$33),"",INDEX('Global inputs'!$C$186:$C$243,MATCH(E11,'Global inputs'!$B$186:$B$243,0)))</f>
        <v>0.1</v>
      </c>
    </row>
    <row r="12" spans="1:31" s="27" customFormat="1" x14ac:dyDescent="0.2">
      <c r="A12" s="250"/>
      <c r="B12" s="210" t="s">
        <v>714</v>
      </c>
      <c r="C12" s="210" t="s">
        <v>284</v>
      </c>
      <c r="D12" s="210" t="s">
        <v>715</v>
      </c>
      <c r="E12" s="210" t="s">
        <v>129</v>
      </c>
      <c r="F12" s="210" t="s">
        <v>92</v>
      </c>
      <c r="G12" s="210" t="s">
        <v>716</v>
      </c>
      <c r="H12" s="197">
        <v>0</v>
      </c>
      <c r="I12" s="210" t="s">
        <v>221</v>
      </c>
      <c r="J12" s="210">
        <v>2020</v>
      </c>
      <c r="K12" s="210">
        <v>2020</v>
      </c>
      <c r="L12" s="268" t="str">
        <f t="shared" si="10"/>
        <v>Simple</v>
      </c>
      <c r="M12" s="197">
        <v>7149.5532163415892</v>
      </c>
      <c r="N12" s="197">
        <v>3426.7089380098741</v>
      </c>
      <c r="O12" s="257">
        <f>IF(ISNA(MATCH(H12,'Operating leases'!$B$32:$B$43,0)),0,INDEX('Operating leases'!$M$32:$S$43,MATCH(H12,'Operating leases'!$B$32:$B$43,0),MATCH(J12,'Operating leases'!$M$11:$S$11,0)))</f>
        <v>0</v>
      </c>
      <c r="P12" s="257">
        <f t="shared" si="11"/>
        <v>7149.5532163415892</v>
      </c>
      <c r="Q12" s="257">
        <f t="shared" si="12"/>
        <v>10576.262154351463</v>
      </c>
      <c r="R12" s="258">
        <f>INDEX('Escalators '!$M$124:$S$129,MATCH(I12,'Escalators '!$B$124:$B$129,0),MATCH(J12,'Escalators '!$M$113:$S$113,0))</f>
        <v>1</v>
      </c>
      <c r="S12" s="257">
        <f t="shared" si="13"/>
        <v>0</v>
      </c>
      <c r="T12" s="257">
        <f t="shared" si="14"/>
        <v>3426.7089380098741</v>
      </c>
      <c r="U12" s="269">
        <f t="shared" si="15"/>
        <v>7149.5532163415892</v>
      </c>
      <c r="V12" s="269">
        <f t="shared" si="16"/>
        <v>10576.262154351463</v>
      </c>
      <c r="W12" s="269">
        <f t="shared" si="17"/>
        <v>7149.5532163415892</v>
      </c>
      <c r="X12" s="257">
        <f t="shared" si="18"/>
        <v>10576.262154351463</v>
      </c>
      <c r="Y12" s="270">
        <f>IF(L12="Complex",(INDEX('Escalators '!$M$176:$S$176,MATCH('Forecast capex'!J12,'Escalators '!$M$178:$S$178,0))/12+1)^((K12-J12)*12)-1,0)</f>
        <v>0</v>
      </c>
      <c r="Z12" s="257">
        <f t="shared" si="19"/>
        <v>0</v>
      </c>
      <c r="AA12" s="257">
        <f t="shared" si="20"/>
        <v>0</v>
      </c>
      <c r="AB12" s="269">
        <f t="shared" si="21"/>
        <v>0</v>
      </c>
      <c r="AC12" s="269">
        <f t="shared" si="22"/>
        <v>0</v>
      </c>
      <c r="AD12" s="271" t="str">
        <f>INDEX('Global inputs'!$C$134:$C$171,MATCH(F12,'Global inputs'!$B$134:$B$171,0))</f>
        <v>Asset relocations and undergrounding</v>
      </c>
      <c r="AE12" s="272">
        <f>IF(OR(H12='Operating leases'!$B$32,H12='Operating leases'!$B$33),"",INDEX('Global inputs'!$C$186:$C$243,MATCH(E12,'Global inputs'!$B$186:$B$243,0)))</f>
        <v>0.1</v>
      </c>
    </row>
    <row r="13" spans="1:31" s="27" customFormat="1" x14ac:dyDescent="0.2">
      <c r="A13" s="250"/>
      <c r="B13" s="210" t="s">
        <v>714</v>
      </c>
      <c r="C13" s="210" t="s">
        <v>287</v>
      </c>
      <c r="D13" s="210" t="s">
        <v>715</v>
      </c>
      <c r="E13" s="210" t="s">
        <v>150</v>
      </c>
      <c r="F13" s="210" t="s">
        <v>92</v>
      </c>
      <c r="G13" s="210" t="s">
        <v>716</v>
      </c>
      <c r="H13" s="197">
        <v>0</v>
      </c>
      <c r="I13" s="210" t="s">
        <v>229</v>
      </c>
      <c r="J13" s="210">
        <v>2020</v>
      </c>
      <c r="K13" s="210">
        <v>2020</v>
      </c>
      <c r="L13" s="268" t="str">
        <f t="shared" si="10"/>
        <v>Simple</v>
      </c>
      <c r="M13" s="197">
        <v>28598.212865366357</v>
      </c>
      <c r="N13" s="197">
        <v>13706.835752039497</v>
      </c>
      <c r="O13" s="257">
        <f>IF(ISNA(MATCH(H13,'Operating leases'!$B$32:$B$43,0)),0,INDEX('Operating leases'!$M$32:$S$43,MATCH(H13,'Operating leases'!$B$32:$B$43,0),MATCH(J13,'Operating leases'!$M$11:$S$11,0)))</f>
        <v>0</v>
      </c>
      <c r="P13" s="257">
        <f t="shared" si="11"/>
        <v>28598.212865366357</v>
      </c>
      <c r="Q13" s="257">
        <f t="shared" si="12"/>
        <v>42305.048617405853</v>
      </c>
      <c r="R13" s="258">
        <f>INDEX('Escalators '!$M$124:$S$129,MATCH(I13,'Escalators '!$B$124:$B$129,0),MATCH(J13,'Escalators '!$M$113:$S$113,0))</f>
        <v>1</v>
      </c>
      <c r="S13" s="257">
        <f t="shared" si="13"/>
        <v>0</v>
      </c>
      <c r="T13" s="257">
        <f t="shared" si="14"/>
        <v>13706.835752039497</v>
      </c>
      <c r="U13" s="269">
        <f t="shared" si="15"/>
        <v>28598.212865366357</v>
      </c>
      <c r="V13" s="269">
        <f t="shared" si="16"/>
        <v>42305.048617405853</v>
      </c>
      <c r="W13" s="269">
        <f t="shared" si="17"/>
        <v>28598.212865366357</v>
      </c>
      <c r="X13" s="257">
        <f t="shared" si="18"/>
        <v>42305.048617405853</v>
      </c>
      <c r="Y13" s="270">
        <f>IF(L13="Complex",(INDEX('Escalators '!$M$176:$S$176,MATCH('Forecast capex'!J13,'Escalators '!$M$178:$S$178,0))/12+1)^((K13-J13)*12)-1,0)</f>
        <v>0</v>
      </c>
      <c r="Z13" s="257">
        <f t="shared" si="19"/>
        <v>0</v>
      </c>
      <c r="AA13" s="257">
        <f t="shared" si="20"/>
        <v>0</v>
      </c>
      <c r="AB13" s="269">
        <f t="shared" si="21"/>
        <v>0</v>
      </c>
      <c r="AC13" s="269">
        <f t="shared" si="22"/>
        <v>0</v>
      </c>
      <c r="AD13" s="271" t="str">
        <f>INDEX('Global inputs'!$C$134:$C$171,MATCH(F13,'Global inputs'!$B$134:$B$171,0))</f>
        <v>Asset relocations and undergrounding</v>
      </c>
      <c r="AE13" s="272">
        <f>IF(OR(H13='Operating leases'!$B$32,H13='Operating leases'!$B$33),"",INDEX('Global inputs'!$C$186:$C$243,MATCH(E13,'Global inputs'!$B$186:$B$243,0)))</f>
        <v>0.08</v>
      </c>
    </row>
    <row r="14" spans="1:31" s="27" customFormat="1" x14ac:dyDescent="0.2">
      <c r="A14" s="250"/>
      <c r="B14" s="210" t="s">
        <v>714</v>
      </c>
      <c r="C14" s="210" t="s">
        <v>287</v>
      </c>
      <c r="D14" s="210" t="s">
        <v>715</v>
      </c>
      <c r="E14" s="210" t="s">
        <v>150</v>
      </c>
      <c r="F14" s="210" t="s">
        <v>92</v>
      </c>
      <c r="G14" s="210" t="s">
        <v>716</v>
      </c>
      <c r="H14" s="197">
        <v>0</v>
      </c>
      <c r="I14" s="210" t="s">
        <v>221</v>
      </c>
      <c r="J14" s="210">
        <v>2020</v>
      </c>
      <c r="K14" s="210">
        <v>2020</v>
      </c>
      <c r="L14" s="268" t="str">
        <f t="shared" si="10"/>
        <v>Simple</v>
      </c>
      <c r="M14" s="197">
        <v>28598.212865366357</v>
      </c>
      <c r="N14" s="197">
        <v>13706.835752039497</v>
      </c>
      <c r="O14" s="257">
        <f>IF(ISNA(MATCH(H14,'Operating leases'!$B$32:$B$43,0)),0,INDEX('Operating leases'!$M$32:$S$43,MATCH(H14,'Operating leases'!$B$32:$B$43,0),MATCH(J14,'Operating leases'!$M$11:$S$11,0)))</f>
        <v>0</v>
      </c>
      <c r="P14" s="257">
        <f t="shared" si="11"/>
        <v>28598.212865366357</v>
      </c>
      <c r="Q14" s="257">
        <f t="shared" si="12"/>
        <v>42305.048617405853</v>
      </c>
      <c r="R14" s="258">
        <f>INDEX('Escalators '!$M$124:$S$129,MATCH(I14,'Escalators '!$B$124:$B$129,0),MATCH(J14,'Escalators '!$M$113:$S$113,0))</f>
        <v>1</v>
      </c>
      <c r="S14" s="257">
        <f t="shared" si="13"/>
        <v>0</v>
      </c>
      <c r="T14" s="257">
        <f t="shared" si="14"/>
        <v>13706.835752039497</v>
      </c>
      <c r="U14" s="269">
        <f t="shared" si="15"/>
        <v>28598.212865366357</v>
      </c>
      <c r="V14" s="269">
        <f t="shared" si="16"/>
        <v>42305.048617405853</v>
      </c>
      <c r="W14" s="269">
        <f t="shared" si="17"/>
        <v>28598.212865366357</v>
      </c>
      <c r="X14" s="257">
        <f t="shared" si="18"/>
        <v>42305.048617405853</v>
      </c>
      <c r="Y14" s="270">
        <f>IF(L14="Complex",(INDEX('Escalators '!$M$176:$S$176,MATCH('Forecast capex'!J14,'Escalators '!$M$178:$S$178,0))/12+1)^((K14-J14)*12)-1,0)</f>
        <v>0</v>
      </c>
      <c r="Z14" s="257">
        <f t="shared" si="19"/>
        <v>0</v>
      </c>
      <c r="AA14" s="257">
        <f t="shared" si="20"/>
        <v>0</v>
      </c>
      <c r="AB14" s="269">
        <f t="shared" si="21"/>
        <v>0</v>
      </c>
      <c r="AC14" s="269">
        <f t="shared" si="22"/>
        <v>0</v>
      </c>
      <c r="AD14" s="271" t="str">
        <f>INDEX('Global inputs'!$C$134:$C$171,MATCH(F14,'Global inputs'!$B$134:$B$171,0))</f>
        <v>Asset relocations and undergrounding</v>
      </c>
      <c r="AE14" s="272">
        <f>IF(OR(H14='Operating leases'!$B$32,H14='Operating leases'!$B$33),"",INDEX('Global inputs'!$C$186:$C$243,MATCH(E14,'Global inputs'!$B$186:$B$243,0)))</f>
        <v>0.08</v>
      </c>
    </row>
    <row r="15" spans="1:31" s="27" customFormat="1" x14ac:dyDescent="0.2">
      <c r="A15" s="250"/>
      <c r="B15" s="210" t="s">
        <v>714</v>
      </c>
      <c r="C15" s="210" t="s">
        <v>287</v>
      </c>
      <c r="D15" s="210" t="s">
        <v>715</v>
      </c>
      <c r="E15" s="210" t="s">
        <v>151</v>
      </c>
      <c r="F15" s="210" t="s">
        <v>92</v>
      </c>
      <c r="G15" s="210" t="s">
        <v>716</v>
      </c>
      <c r="H15" s="197">
        <v>0</v>
      </c>
      <c r="I15" s="210" t="s">
        <v>229</v>
      </c>
      <c r="J15" s="210">
        <v>2020</v>
      </c>
      <c r="K15" s="210">
        <v>2020</v>
      </c>
      <c r="L15" s="268" t="str">
        <f t="shared" si="10"/>
        <v>Simple</v>
      </c>
      <c r="M15" s="197">
        <v>28598.212865366357</v>
      </c>
      <c r="N15" s="197">
        <v>13706.835752039497</v>
      </c>
      <c r="O15" s="257">
        <f>IF(ISNA(MATCH(H15,'Operating leases'!$B$32:$B$43,0)),0,INDEX('Operating leases'!$M$32:$S$43,MATCH(H15,'Operating leases'!$B$32:$B$43,0),MATCH(J15,'Operating leases'!$M$11:$S$11,0)))</f>
        <v>0</v>
      </c>
      <c r="P15" s="257">
        <f t="shared" si="11"/>
        <v>28598.212865366357</v>
      </c>
      <c r="Q15" s="257">
        <f t="shared" si="12"/>
        <v>42305.048617405853</v>
      </c>
      <c r="R15" s="258">
        <f>INDEX('Escalators '!$M$124:$S$129,MATCH(I15,'Escalators '!$B$124:$B$129,0),MATCH(J15,'Escalators '!$M$113:$S$113,0))</f>
        <v>1</v>
      </c>
      <c r="S15" s="257">
        <f t="shared" si="13"/>
        <v>0</v>
      </c>
      <c r="T15" s="257">
        <f t="shared" si="14"/>
        <v>13706.835752039497</v>
      </c>
      <c r="U15" s="269">
        <f t="shared" si="15"/>
        <v>28598.212865366357</v>
      </c>
      <c r="V15" s="269">
        <f t="shared" si="16"/>
        <v>42305.048617405853</v>
      </c>
      <c r="W15" s="269">
        <f t="shared" si="17"/>
        <v>28598.212865366357</v>
      </c>
      <c r="X15" s="257">
        <f t="shared" si="18"/>
        <v>42305.048617405853</v>
      </c>
      <c r="Y15" s="270">
        <f>IF(L15="Complex",(INDEX('Escalators '!$M$176:$S$176,MATCH('Forecast capex'!J15,'Escalators '!$M$178:$S$178,0))/12+1)^((K15-J15)*12)-1,0)</f>
        <v>0</v>
      </c>
      <c r="Z15" s="257">
        <f t="shared" si="19"/>
        <v>0</v>
      </c>
      <c r="AA15" s="257">
        <f t="shared" si="20"/>
        <v>0</v>
      </c>
      <c r="AB15" s="269">
        <f t="shared" si="21"/>
        <v>0</v>
      </c>
      <c r="AC15" s="269">
        <f t="shared" si="22"/>
        <v>0</v>
      </c>
      <c r="AD15" s="271" t="str">
        <f>INDEX('Global inputs'!$C$134:$C$171,MATCH(F15,'Global inputs'!$B$134:$B$171,0))</f>
        <v>Asset relocations and undergrounding</v>
      </c>
      <c r="AE15" s="272">
        <f>IF(OR(H15='Operating leases'!$B$32,H15='Operating leases'!$B$33),"",INDEX('Global inputs'!$C$186:$C$243,MATCH(E15,'Global inputs'!$B$186:$B$243,0)))</f>
        <v>0.1</v>
      </c>
    </row>
    <row r="16" spans="1:31" s="27" customFormat="1" x14ac:dyDescent="0.2">
      <c r="A16" s="250"/>
      <c r="B16" s="210" t="s">
        <v>714</v>
      </c>
      <c r="C16" s="210" t="s">
        <v>287</v>
      </c>
      <c r="D16" s="210" t="s">
        <v>715</v>
      </c>
      <c r="E16" s="210" t="s">
        <v>151</v>
      </c>
      <c r="F16" s="210" t="s">
        <v>92</v>
      </c>
      <c r="G16" s="210" t="s">
        <v>716</v>
      </c>
      <c r="H16" s="197">
        <v>0</v>
      </c>
      <c r="I16" s="210" t="s">
        <v>221</v>
      </c>
      <c r="J16" s="210">
        <v>2020</v>
      </c>
      <c r="K16" s="210">
        <v>2020</v>
      </c>
      <c r="L16" s="268" t="str">
        <f t="shared" si="10"/>
        <v>Simple</v>
      </c>
      <c r="M16" s="197">
        <v>28598.212865366357</v>
      </c>
      <c r="N16" s="197">
        <v>13706.835752039497</v>
      </c>
      <c r="O16" s="257">
        <f>IF(ISNA(MATCH(H16,'Operating leases'!$B$32:$B$43,0)),0,INDEX('Operating leases'!$M$32:$S$43,MATCH(H16,'Operating leases'!$B$32:$B$43,0),MATCH(J16,'Operating leases'!$M$11:$S$11,0)))</f>
        <v>0</v>
      </c>
      <c r="P16" s="257">
        <f t="shared" si="11"/>
        <v>28598.212865366357</v>
      </c>
      <c r="Q16" s="257">
        <f t="shared" si="12"/>
        <v>42305.048617405853</v>
      </c>
      <c r="R16" s="258">
        <f>INDEX('Escalators '!$M$124:$S$129,MATCH(I16,'Escalators '!$B$124:$B$129,0),MATCH(J16,'Escalators '!$M$113:$S$113,0))</f>
        <v>1</v>
      </c>
      <c r="S16" s="257">
        <f t="shared" si="13"/>
        <v>0</v>
      </c>
      <c r="T16" s="257">
        <f t="shared" si="14"/>
        <v>13706.835752039497</v>
      </c>
      <c r="U16" s="269">
        <f t="shared" si="15"/>
        <v>28598.212865366357</v>
      </c>
      <c r="V16" s="269">
        <f t="shared" si="16"/>
        <v>42305.048617405853</v>
      </c>
      <c r="W16" s="269">
        <f t="shared" si="17"/>
        <v>28598.212865366357</v>
      </c>
      <c r="X16" s="257">
        <f t="shared" si="18"/>
        <v>42305.048617405853</v>
      </c>
      <c r="Y16" s="270">
        <f>IF(L16="Complex",(INDEX('Escalators '!$M$176:$S$176,MATCH('Forecast capex'!J16,'Escalators '!$M$178:$S$178,0))/12+1)^((K16-J16)*12)-1,0)</f>
        <v>0</v>
      </c>
      <c r="Z16" s="257">
        <f t="shared" si="19"/>
        <v>0</v>
      </c>
      <c r="AA16" s="257">
        <f t="shared" si="20"/>
        <v>0</v>
      </c>
      <c r="AB16" s="269">
        <f t="shared" si="21"/>
        <v>0</v>
      </c>
      <c r="AC16" s="269">
        <f t="shared" si="22"/>
        <v>0</v>
      </c>
      <c r="AD16" s="271" t="str">
        <f>INDEX('Global inputs'!$C$134:$C$171,MATCH(F16,'Global inputs'!$B$134:$B$171,0))</f>
        <v>Asset relocations and undergrounding</v>
      </c>
      <c r="AE16" s="272">
        <f>IF(OR(H16='Operating leases'!$B$32,H16='Operating leases'!$B$33),"",INDEX('Global inputs'!$C$186:$C$243,MATCH(E16,'Global inputs'!$B$186:$B$243,0)))</f>
        <v>0.1</v>
      </c>
    </row>
    <row r="17" spans="1:31" s="27" customFormat="1" x14ac:dyDescent="0.2">
      <c r="A17" s="250"/>
      <c r="B17" s="210" t="s">
        <v>714</v>
      </c>
      <c r="C17" s="210" t="s">
        <v>287</v>
      </c>
      <c r="D17" s="210" t="s">
        <v>715</v>
      </c>
      <c r="E17" s="210" t="s">
        <v>153</v>
      </c>
      <c r="F17" s="210" t="s">
        <v>92</v>
      </c>
      <c r="G17" s="210" t="s">
        <v>716</v>
      </c>
      <c r="H17" s="197">
        <v>0</v>
      </c>
      <c r="I17" s="210" t="s">
        <v>229</v>
      </c>
      <c r="J17" s="210">
        <v>2020</v>
      </c>
      <c r="K17" s="210">
        <v>2020</v>
      </c>
      <c r="L17" s="268" t="str">
        <f t="shared" si="10"/>
        <v>Simple</v>
      </c>
      <c r="M17" s="197">
        <v>1299.9187666075618</v>
      </c>
      <c r="N17" s="197">
        <v>623.03798872906816</v>
      </c>
      <c r="O17" s="257">
        <f>IF(ISNA(MATCH(H17,'Operating leases'!$B$32:$B$43,0)),0,INDEX('Operating leases'!$M$32:$S$43,MATCH(H17,'Operating leases'!$B$32:$B$43,0),MATCH(J17,'Operating leases'!$M$11:$S$11,0)))</f>
        <v>0</v>
      </c>
      <c r="P17" s="257">
        <f t="shared" si="11"/>
        <v>1299.9187666075618</v>
      </c>
      <c r="Q17" s="257">
        <f t="shared" si="12"/>
        <v>1922.9567553366301</v>
      </c>
      <c r="R17" s="258">
        <f>INDEX('Escalators '!$M$124:$S$129,MATCH(I17,'Escalators '!$B$124:$B$129,0),MATCH(J17,'Escalators '!$M$113:$S$113,0))</f>
        <v>1</v>
      </c>
      <c r="S17" s="257">
        <f t="shared" si="13"/>
        <v>0</v>
      </c>
      <c r="T17" s="257">
        <f t="shared" si="14"/>
        <v>623.03798872906816</v>
      </c>
      <c r="U17" s="269">
        <f t="shared" si="15"/>
        <v>1299.9187666075618</v>
      </c>
      <c r="V17" s="269">
        <f t="shared" si="16"/>
        <v>1922.9567553366301</v>
      </c>
      <c r="W17" s="269">
        <f t="shared" si="17"/>
        <v>1299.9187666075618</v>
      </c>
      <c r="X17" s="257">
        <f t="shared" si="18"/>
        <v>1922.9567553366301</v>
      </c>
      <c r="Y17" s="270">
        <f>IF(L17="Complex",(INDEX('Escalators '!$M$176:$S$176,MATCH('Forecast capex'!J17,'Escalators '!$M$178:$S$178,0))/12+1)^((K17-J17)*12)-1,0)</f>
        <v>0</v>
      </c>
      <c r="Z17" s="257">
        <f t="shared" si="19"/>
        <v>0</v>
      </c>
      <c r="AA17" s="257">
        <f t="shared" si="20"/>
        <v>0</v>
      </c>
      <c r="AB17" s="269">
        <f t="shared" si="21"/>
        <v>0</v>
      </c>
      <c r="AC17" s="269">
        <f t="shared" si="22"/>
        <v>0</v>
      </c>
      <c r="AD17" s="271" t="str">
        <f>INDEX('Global inputs'!$C$134:$C$171,MATCH(F17,'Global inputs'!$B$134:$B$171,0))</f>
        <v>Asset relocations and undergrounding</v>
      </c>
      <c r="AE17" s="272">
        <f>IF(OR(H17='Operating leases'!$B$32,H17='Operating leases'!$B$33),"",INDEX('Global inputs'!$C$186:$C$243,MATCH(E17,'Global inputs'!$B$186:$B$243,0)))</f>
        <v>0.08</v>
      </c>
    </row>
    <row r="18" spans="1:31" s="27" customFormat="1" x14ac:dyDescent="0.2">
      <c r="A18" s="250"/>
      <c r="B18" s="210" t="s">
        <v>714</v>
      </c>
      <c r="C18" s="210" t="s">
        <v>287</v>
      </c>
      <c r="D18" s="210" t="s">
        <v>715</v>
      </c>
      <c r="E18" s="210" t="s">
        <v>153</v>
      </c>
      <c r="F18" s="210" t="s">
        <v>92</v>
      </c>
      <c r="G18" s="210" t="s">
        <v>716</v>
      </c>
      <c r="H18" s="197">
        <v>0</v>
      </c>
      <c r="I18" s="210" t="s">
        <v>221</v>
      </c>
      <c r="J18" s="210">
        <v>2020</v>
      </c>
      <c r="K18" s="210">
        <v>2020</v>
      </c>
      <c r="L18" s="268" t="str">
        <f t="shared" si="10"/>
        <v>Simple</v>
      </c>
      <c r="M18" s="197">
        <v>1299.9187666075618</v>
      </c>
      <c r="N18" s="197">
        <v>623.03798872906816</v>
      </c>
      <c r="O18" s="257">
        <f>IF(ISNA(MATCH(H18,'Operating leases'!$B$32:$B$43,0)),0,INDEX('Operating leases'!$M$32:$S$43,MATCH(H18,'Operating leases'!$B$32:$B$43,0),MATCH(J18,'Operating leases'!$M$11:$S$11,0)))</f>
        <v>0</v>
      </c>
      <c r="P18" s="257">
        <f t="shared" si="11"/>
        <v>1299.9187666075618</v>
      </c>
      <c r="Q18" s="257">
        <f t="shared" si="12"/>
        <v>1922.9567553366301</v>
      </c>
      <c r="R18" s="258">
        <f>INDEX('Escalators '!$M$124:$S$129,MATCH(I18,'Escalators '!$B$124:$B$129,0),MATCH(J18,'Escalators '!$M$113:$S$113,0))</f>
        <v>1</v>
      </c>
      <c r="S18" s="257">
        <f t="shared" si="13"/>
        <v>0</v>
      </c>
      <c r="T18" s="257">
        <f t="shared" si="14"/>
        <v>623.03798872906816</v>
      </c>
      <c r="U18" s="269">
        <f t="shared" si="15"/>
        <v>1299.9187666075618</v>
      </c>
      <c r="V18" s="269">
        <f t="shared" si="16"/>
        <v>1922.9567553366301</v>
      </c>
      <c r="W18" s="269">
        <f t="shared" si="17"/>
        <v>1299.9187666075618</v>
      </c>
      <c r="X18" s="257">
        <f t="shared" si="18"/>
        <v>1922.9567553366301</v>
      </c>
      <c r="Y18" s="270">
        <f>IF(L18="Complex",(INDEX('Escalators '!$M$176:$S$176,MATCH('Forecast capex'!J18,'Escalators '!$M$178:$S$178,0))/12+1)^((K18-J18)*12)-1,0)</f>
        <v>0</v>
      </c>
      <c r="Z18" s="257">
        <f t="shared" si="19"/>
        <v>0</v>
      </c>
      <c r="AA18" s="257">
        <f t="shared" si="20"/>
        <v>0</v>
      </c>
      <c r="AB18" s="269">
        <f t="shared" si="21"/>
        <v>0</v>
      </c>
      <c r="AC18" s="269">
        <f t="shared" si="22"/>
        <v>0</v>
      </c>
      <c r="AD18" s="271" t="str">
        <f>INDEX('Global inputs'!$C$134:$C$171,MATCH(F18,'Global inputs'!$B$134:$B$171,0))</f>
        <v>Asset relocations and undergrounding</v>
      </c>
      <c r="AE18" s="272">
        <f>IF(OR(H18='Operating leases'!$B$32,H18='Operating leases'!$B$33),"",INDEX('Global inputs'!$C$186:$C$243,MATCH(E18,'Global inputs'!$B$186:$B$243,0)))</f>
        <v>0.08</v>
      </c>
    </row>
    <row r="19" spans="1:31" s="27" customFormat="1" x14ac:dyDescent="0.2">
      <c r="A19" s="250"/>
      <c r="B19" s="210" t="s">
        <v>714</v>
      </c>
      <c r="C19" s="210" t="s">
        <v>287</v>
      </c>
      <c r="D19" s="210" t="s">
        <v>715</v>
      </c>
      <c r="E19" s="210" t="s">
        <v>154</v>
      </c>
      <c r="F19" s="210" t="s">
        <v>92</v>
      </c>
      <c r="G19" s="210" t="s">
        <v>716</v>
      </c>
      <c r="H19" s="197">
        <v>0</v>
      </c>
      <c r="I19" s="210" t="s">
        <v>229</v>
      </c>
      <c r="J19" s="210">
        <v>2020</v>
      </c>
      <c r="K19" s="210">
        <v>2020</v>
      </c>
      <c r="L19" s="268" t="str">
        <f t="shared" si="10"/>
        <v>Simple</v>
      </c>
      <c r="M19" s="197">
        <v>1299.9187666075618</v>
      </c>
      <c r="N19" s="197">
        <v>623.03798872906816</v>
      </c>
      <c r="O19" s="257">
        <f>IF(ISNA(MATCH(H19,'Operating leases'!$B$32:$B$43,0)),0,INDEX('Operating leases'!$M$32:$S$43,MATCH(H19,'Operating leases'!$B$32:$B$43,0),MATCH(J19,'Operating leases'!$M$11:$S$11,0)))</f>
        <v>0</v>
      </c>
      <c r="P19" s="257">
        <f t="shared" si="11"/>
        <v>1299.9187666075618</v>
      </c>
      <c r="Q19" s="257">
        <f t="shared" si="12"/>
        <v>1922.9567553366301</v>
      </c>
      <c r="R19" s="258">
        <f>INDEX('Escalators '!$M$124:$S$129,MATCH(I19,'Escalators '!$B$124:$B$129,0),MATCH(J19,'Escalators '!$M$113:$S$113,0))</f>
        <v>1</v>
      </c>
      <c r="S19" s="257">
        <f t="shared" si="13"/>
        <v>0</v>
      </c>
      <c r="T19" s="257">
        <f t="shared" si="14"/>
        <v>623.03798872906816</v>
      </c>
      <c r="U19" s="269">
        <f t="shared" si="15"/>
        <v>1299.9187666075618</v>
      </c>
      <c r="V19" s="269">
        <f t="shared" si="16"/>
        <v>1922.9567553366301</v>
      </c>
      <c r="W19" s="269">
        <f t="shared" si="17"/>
        <v>1299.9187666075618</v>
      </c>
      <c r="X19" s="257">
        <f t="shared" si="18"/>
        <v>1922.9567553366301</v>
      </c>
      <c r="Y19" s="270">
        <f>IF(L19="Complex",(INDEX('Escalators '!$M$176:$S$176,MATCH('Forecast capex'!J19,'Escalators '!$M$178:$S$178,0))/12+1)^((K19-J19)*12)-1,0)</f>
        <v>0</v>
      </c>
      <c r="Z19" s="257">
        <f t="shared" si="19"/>
        <v>0</v>
      </c>
      <c r="AA19" s="257">
        <f t="shared" si="20"/>
        <v>0</v>
      </c>
      <c r="AB19" s="269">
        <f t="shared" si="21"/>
        <v>0</v>
      </c>
      <c r="AC19" s="269">
        <f t="shared" si="22"/>
        <v>0</v>
      </c>
      <c r="AD19" s="271" t="str">
        <f>INDEX('Global inputs'!$C$134:$C$171,MATCH(F19,'Global inputs'!$B$134:$B$171,0))</f>
        <v>Asset relocations and undergrounding</v>
      </c>
      <c r="AE19" s="272">
        <f>IF(OR(H19='Operating leases'!$B$32,H19='Operating leases'!$B$33),"",INDEX('Global inputs'!$C$186:$C$243,MATCH(E19,'Global inputs'!$B$186:$B$243,0)))</f>
        <v>0.1</v>
      </c>
    </row>
    <row r="20" spans="1:31" s="27" customFormat="1" x14ac:dyDescent="0.2">
      <c r="A20" s="250"/>
      <c r="B20" s="210" t="s">
        <v>714</v>
      </c>
      <c r="C20" s="210" t="s">
        <v>287</v>
      </c>
      <c r="D20" s="210" t="s">
        <v>715</v>
      </c>
      <c r="E20" s="210" t="s">
        <v>154</v>
      </c>
      <c r="F20" s="210" t="s">
        <v>92</v>
      </c>
      <c r="G20" s="210" t="s">
        <v>716</v>
      </c>
      <c r="H20" s="197">
        <v>0</v>
      </c>
      <c r="I20" s="210" t="s">
        <v>221</v>
      </c>
      <c r="J20" s="210">
        <v>2020</v>
      </c>
      <c r="K20" s="210">
        <v>2020</v>
      </c>
      <c r="L20" s="268" t="str">
        <f t="shared" si="10"/>
        <v>Simple</v>
      </c>
      <c r="M20" s="197">
        <v>1299.9187666075618</v>
      </c>
      <c r="N20" s="197">
        <v>623.03798872906816</v>
      </c>
      <c r="O20" s="257">
        <f>IF(ISNA(MATCH(H20,'Operating leases'!$B$32:$B$43,0)),0,INDEX('Operating leases'!$M$32:$S$43,MATCH(H20,'Operating leases'!$B$32:$B$43,0),MATCH(J20,'Operating leases'!$M$11:$S$11,0)))</f>
        <v>0</v>
      </c>
      <c r="P20" s="257">
        <f t="shared" si="11"/>
        <v>1299.9187666075618</v>
      </c>
      <c r="Q20" s="257">
        <f t="shared" si="12"/>
        <v>1922.9567553366301</v>
      </c>
      <c r="R20" s="258">
        <f>INDEX('Escalators '!$M$124:$S$129,MATCH(I20,'Escalators '!$B$124:$B$129,0),MATCH(J20,'Escalators '!$M$113:$S$113,0))</f>
        <v>1</v>
      </c>
      <c r="S20" s="257">
        <f t="shared" si="13"/>
        <v>0</v>
      </c>
      <c r="T20" s="257">
        <f t="shared" si="14"/>
        <v>623.03798872906816</v>
      </c>
      <c r="U20" s="269">
        <f t="shared" si="15"/>
        <v>1299.9187666075618</v>
      </c>
      <c r="V20" s="269">
        <f t="shared" si="16"/>
        <v>1922.9567553366301</v>
      </c>
      <c r="W20" s="269">
        <f t="shared" si="17"/>
        <v>1299.9187666075618</v>
      </c>
      <c r="X20" s="257">
        <f t="shared" si="18"/>
        <v>1922.9567553366301</v>
      </c>
      <c r="Y20" s="270">
        <f>IF(L20="Complex",(INDEX('Escalators '!$M$176:$S$176,MATCH('Forecast capex'!J20,'Escalators '!$M$178:$S$178,0))/12+1)^((K20-J20)*12)-1,0)</f>
        <v>0</v>
      </c>
      <c r="Z20" s="257">
        <f t="shared" si="19"/>
        <v>0</v>
      </c>
      <c r="AA20" s="257">
        <f t="shared" si="20"/>
        <v>0</v>
      </c>
      <c r="AB20" s="269">
        <f t="shared" si="21"/>
        <v>0</v>
      </c>
      <c r="AC20" s="269">
        <f t="shared" si="22"/>
        <v>0</v>
      </c>
      <c r="AD20" s="271" t="str">
        <f>INDEX('Global inputs'!$C$134:$C$171,MATCH(F20,'Global inputs'!$B$134:$B$171,0))</f>
        <v>Asset relocations and undergrounding</v>
      </c>
      <c r="AE20" s="272">
        <f>IF(OR(H20='Operating leases'!$B$32,H20='Operating leases'!$B$33),"",INDEX('Global inputs'!$C$186:$C$243,MATCH(E20,'Global inputs'!$B$186:$B$243,0)))</f>
        <v>0.1</v>
      </c>
    </row>
    <row r="21" spans="1:31" s="27" customFormat="1" x14ac:dyDescent="0.2">
      <c r="A21" s="250"/>
      <c r="B21" s="210" t="s">
        <v>714</v>
      </c>
      <c r="C21" s="210" t="s">
        <v>284</v>
      </c>
      <c r="D21" s="210" t="s">
        <v>715</v>
      </c>
      <c r="E21" s="210" t="s">
        <v>127</v>
      </c>
      <c r="F21" s="210" t="s">
        <v>92</v>
      </c>
      <c r="G21" s="210" t="s">
        <v>717</v>
      </c>
      <c r="H21" s="197">
        <v>0</v>
      </c>
      <c r="I21" s="210" t="s">
        <v>229</v>
      </c>
      <c r="J21" s="210">
        <v>2020</v>
      </c>
      <c r="K21" s="210">
        <v>2020</v>
      </c>
      <c r="L21" s="268" t="str">
        <f t="shared" si="10"/>
        <v>Simple</v>
      </c>
      <c r="M21" s="197">
        <v>1949.8781499113427</v>
      </c>
      <c r="N21" s="197">
        <v>934.55698309360218</v>
      </c>
      <c r="O21" s="257">
        <f>IF(ISNA(MATCH(H21,'Operating leases'!$B$32:$B$43,0)),0,INDEX('Operating leases'!$M$32:$S$43,MATCH(H21,'Operating leases'!$B$32:$B$43,0),MATCH(J21,'Operating leases'!$M$11:$S$11,0)))</f>
        <v>0</v>
      </c>
      <c r="P21" s="257">
        <f t="shared" si="11"/>
        <v>1949.8781499113427</v>
      </c>
      <c r="Q21" s="257">
        <f t="shared" si="12"/>
        <v>2884.4351330049449</v>
      </c>
      <c r="R21" s="258">
        <f>INDEX('Escalators '!$M$124:$S$129,MATCH(I21,'Escalators '!$B$124:$B$129,0),MATCH(J21,'Escalators '!$M$113:$S$113,0))</f>
        <v>1</v>
      </c>
      <c r="S21" s="257">
        <f t="shared" si="13"/>
        <v>0</v>
      </c>
      <c r="T21" s="257">
        <f t="shared" si="14"/>
        <v>934.55698309360218</v>
      </c>
      <c r="U21" s="269">
        <f t="shared" si="15"/>
        <v>1949.8781499113427</v>
      </c>
      <c r="V21" s="269">
        <f t="shared" si="16"/>
        <v>2884.4351330049449</v>
      </c>
      <c r="W21" s="269">
        <f t="shared" si="17"/>
        <v>1949.8781499113427</v>
      </c>
      <c r="X21" s="257">
        <f t="shared" si="18"/>
        <v>2884.4351330049449</v>
      </c>
      <c r="Y21" s="270">
        <f>IF(L21="Complex",(INDEX('Escalators '!$M$176:$S$176,MATCH('Forecast capex'!J21,'Escalators '!$M$178:$S$178,0))/12+1)^((K21-J21)*12)-1,0)</f>
        <v>0</v>
      </c>
      <c r="Z21" s="257">
        <f t="shared" si="19"/>
        <v>0</v>
      </c>
      <c r="AA21" s="257">
        <f t="shared" si="20"/>
        <v>0</v>
      </c>
      <c r="AB21" s="269">
        <f t="shared" si="21"/>
        <v>0</v>
      </c>
      <c r="AC21" s="269">
        <f t="shared" si="22"/>
        <v>0</v>
      </c>
      <c r="AD21" s="271" t="str">
        <f>INDEX('Global inputs'!$C$134:$C$171,MATCH(F21,'Global inputs'!$B$134:$B$171,0))</f>
        <v>Asset relocations and undergrounding</v>
      </c>
      <c r="AE21" s="272">
        <f>IF(OR(H21='Operating leases'!$B$32,H21='Operating leases'!$B$33),"",INDEX('Global inputs'!$C$186:$C$243,MATCH(E21,'Global inputs'!$B$186:$B$243,0)))</f>
        <v>0.08</v>
      </c>
    </row>
    <row r="22" spans="1:31" s="27" customFormat="1" x14ac:dyDescent="0.2">
      <c r="A22" s="250"/>
      <c r="B22" s="210" t="s">
        <v>714</v>
      </c>
      <c r="C22" s="210" t="s">
        <v>284</v>
      </c>
      <c r="D22" s="210" t="s">
        <v>715</v>
      </c>
      <c r="E22" s="210" t="s">
        <v>127</v>
      </c>
      <c r="F22" s="210" t="s">
        <v>92</v>
      </c>
      <c r="G22" s="210" t="s">
        <v>717</v>
      </c>
      <c r="H22" s="197">
        <v>0</v>
      </c>
      <c r="I22" s="210" t="s">
        <v>221</v>
      </c>
      <c r="J22" s="210">
        <v>2020</v>
      </c>
      <c r="K22" s="210">
        <v>2020</v>
      </c>
      <c r="L22" s="268" t="str">
        <f t="shared" si="10"/>
        <v>Simple</v>
      </c>
      <c r="M22" s="197">
        <v>1949.8781499113427</v>
      </c>
      <c r="N22" s="197">
        <v>934.55698309360218</v>
      </c>
      <c r="O22" s="257">
        <f>IF(ISNA(MATCH(H22,'Operating leases'!$B$32:$B$43,0)),0,INDEX('Operating leases'!$M$32:$S$43,MATCH(H22,'Operating leases'!$B$32:$B$43,0),MATCH(J22,'Operating leases'!$M$11:$S$11,0)))</f>
        <v>0</v>
      </c>
      <c r="P22" s="257">
        <f t="shared" si="11"/>
        <v>1949.8781499113427</v>
      </c>
      <c r="Q22" s="257">
        <f t="shared" si="12"/>
        <v>2884.4351330049449</v>
      </c>
      <c r="R22" s="258">
        <f>INDEX('Escalators '!$M$124:$S$129,MATCH(I22,'Escalators '!$B$124:$B$129,0),MATCH(J22,'Escalators '!$M$113:$S$113,0))</f>
        <v>1</v>
      </c>
      <c r="S22" s="257">
        <f t="shared" si="13"/>
        <v>0</v>
      </c>
      <c r="T22" s="257">
        <f t="shared" si="14"/>
        <v>934.55698309360218</v>
      </c>
      <c r="U22" s="269">
        <f t="shared" si="15"/>
        <v>1949.8781499113427</v>
      </c>
      <c r="V22" s="269">
        <f t="shared" si="16"/>
        <v>2884.4351330049449</v>
      </c>
      <c r="W22" s="269">
        <f t="shared" si="17"/>
        <v>1949.8781499113427</v>
      </c>
      <c r="X22" s="257">
        <f t="shared" si="18"/>
        <v>2884.4351330049449</v>
      </c>
      <c r="Y22" s="270">
        <f>IF(L22="Complex",(INDEX('Escalators '!$M$176:$S$176,MATCH('Forecast capex'!J22,'Escalators '!$M$178:$S$178,0))/12+1)^((K22-J22)*12)-1,0)</f>
        <v>0</v>
      </c>
      <c r="Z22" s="257">
        <f t="shared" si="19"/>
        <v>0</v>
      </c>
      <c r="AA22" s="257">
        <f t="shared" si="20"/>
        <v>0</v>
      </c>
      <c r="AB22" s="269">
        <f t="shared" si="21"/>
        <v>0</v>
      </c>
      <c r="AC22" s="269">
        <f t="shared" si="22"/>
        <v>0</v>
      </c>
      <c r="AD22" s="271" t="str">
        <f>INDEX('Global inputs'!$C$134:$C$171,MATCH(F22,'Global inputs'!$B$134:$B$171,0))</f>
        <v>Asset relocations and undergrounding</v>
      </c>
      <c r="AE22" s="272">
        <f>IF(OR(H22='Operating leases'!$B$32,H22='Operating leases'!$B$33),"",INDEX('Global inputs'!$C$186:$C$243,MATCH(E22,'Global inputs'!$B$186:$B$243,0)))</f>
        <v>0.08</v>
      </c>
    </row>
    <row r="23" spans="1:31" s="27" customFormat="1" x14ac:dyDescent="0.2">
      <c r="A23" s="250"/>
      <c r="B23" s="210" t="s">
        <v>714</v>
      </c>
      <c r="C23" s="210" t="s">
        <v>284</v>
      </c>
      <c r="D23" s="210" t="s">
        <v>715</v>
      </c>
      <c r="E23" s="210" t="s">
        <v>129</v>
      </c>
      <c r="F23" s="210" t="s">
        <v>92</v>
      </c>
      <c r="G23" s="210" t="s">
        <v>717</v>
      </c>
      <c r="H23" s="197">
        <v>0</v>
      </c>
      <c r="I23" s="210" t="s">
        <v>229</v>
      </c>
      <c r="J23" s="210">
        <v>2020</v>
      </c>
      <c r="K23" s="210">
        <v>2020</v>
      </c>
      <c r="L23" s="268" t="str">
        <f t="shared" si="10"/>
        <v>Simple</v>
      </c>
      <c r="M23" s="197">
        <v>1949.8781499113427</v>
      </c>
      <c r="N23" s="197">
        <v>934.55698309360218</v>
      </c>
      <c r="O23" s="257">
        <f>IF(ISNA(MATCH(H23,'Operating leases'!$B$32:$B$43,0)),0,INDEX('Operating leases'!$M$32:$S$43,MATCH(H23,'Operating leases'!$B$32:$B$43,0),MATCH(J23,'Operating leases'!$M$11:$S$11,0)))</f>
        <v>0</v>
      </c>
      <c r="P23" s="257">
        <f t="shared" si="11"/>
        <v>1949.8781499113427</v>
      </c>
      <c r="Q23" s="257">
        <f t="shared" si="12"/>
        <v>2884.4351330049449</v>
      </c>
      <c r="R23" s="258">
        <f>INDEX('Escalators '!$M$124:$S$129,MATCH(I23,'Escalators '!$B$124:$B$129,0),MATCH(J23,'Escalators '!$M$113:$S$113,0))</f>
        <v>1</v>
      </c>
      <c r="S23" s="257">
        <f t="shared" si="13"/>
        <v>0</v>
      </c>
      <c r="T23" s="257">
        <f t="shared" si="14"/>
        <v>934.55698309360218</v>
      </c>
      <c r="U23" s="269">
        <f t="shared" si="15"/>
        <v>1949.8781499113427</v>
      </c>
      <c r="V23" s="269">
        <f t="shared" si="16"/>
        <v>2884.4351330049449</v>
      </c>
      <c r="W23" s="269">
        <f t="shared" si="17"/>
        <v>1949.8781499113427</v>
      </c>
      <c r="X23" s="257">
        <f t="shared" si="18"/>
        <v>2884.4351330049449</v>
      </c>
      <c r="Y23" s="270">
        <f>IF(L23="Complex",(INDEX('Escalators '!$M$176:$S$176,MATCH('Forecast capex'!J23,'Escalators '!$M$178:$S$178,0))/12+1)^((K23-J23)*12)-1,0)</f>
        <v>0</v>
      </c>
      <c r="Z23" s="257">
        <f t="shared" si="19"/>
        <v>0</v>
      </c>
      <c r="AA23" s="257">
        <f t="shared" si="20"/>
        <v>0</v>
      </c>
      <c r="AB23" s="269">
        <f t="shared" si="21"/>
        <v>0</v>
      </c>
      <c r="AC23" s="269">
        <f t="shared" si="22"/>
        <v>0</v>
      </c>
      <c r="AD23" s="271" t="str">
        <f>INDEX('Global inputs'!$C$134:$C$171,MATCH(F23,'Global inputs'!$B$134:$B$171,0))</f>
        <v>Asset relocations and undergrounding</v>
      </c>
      <c r="AE23" s="272">
        <f>IF(OR(H23='Operating leases'!$B$32,H23='Operating leases'!$B$33),"",INDEX('Global inputs'!$C$186:$C$243,MATCH(E23,'Global inputs'!$B$186:$B$243,0)))</f>
        <v>0.1</v>
      </c>
    </row>
    <row r="24" spans="1:31" s="27" customFormat="1" x14ac:dyDescent="0.2">
      <c r="A24" s="250"/>
      <c r="B24" s="210" t="s">
        <v>714</v>
      </c>
      <c r="C24" s="210" t="s">
        <v>284</v>
      </c>
      <c r="D24" s="210" t="s">
        <v>715</v>
      </c>
      <c r="E24" s="210" t="s">
        <v>129</v>
      </c>
      <c r="F24" s="210" t="s">
        <v>92</v>
      </c>
      <c r="G24" s="210" t="s">
        <v>717</v>
      </c>
      <c r="H24" s="197">
        <v>0</v>
      </c>
      <c r="I24" s="210" t="s">
        <v>221</v>
      </c>
      <c r="J24" s="210">
        <v>2020</v>
      </c>
      <c r="K24" s="210">
        <v>2020</v>
      </c>
      <c r="L24" s="268" t="str">
        <f t="shared" si="10"/>
        <v>Simple</v>
      </c>
      <c r="M24" s="197">
        <v>1949.8781499113427</v>
      </c>
      <c r="N24" s="197">
        <v>934.55698309360218</v>
      </c>
      <c r="O24" s="257">
        <f>IF(ISNA(MATCH(H24,'Operating leases'!$B$32:$B$43,0)),0,INDEX('Operating leases'!$M$32:$S$43,MATCH(H24,'Operating leases'!$B$32:$B$43,0),MATCH(J24,'Operating leases'!$M$11:$S$11,0)))</f>
        <v>0</v>
      </c>
      <c r="P24" s="257">
        <f t="shared" si="11"/>
        <v>1949.8781499113427</v>
      </c>
      <c r="Q24" s="257">
        <f t="shared" si="12"/>
        <v>2884.4351330049449</v>
      </c>
      <c r="R24" s="258">
        <f>INDEX('Escalators '!$M$124:$S$129,MATCH(I24,'Escalators '!$B$124:$B$129,0),MATCH(J24,'Escalators '!$M$113:$S$113,0))</f>
        <v>1</v>
      </c>
      <c r="S24" s="257">
        <f t="shared" si="13"/>
        <v>0</v>
      </c>
      <c r="T24" s="257">
        <f t="shared" si="14"/>
        <v>934.55698309360218</v>
      </c>
      <c r="U24" s="269">
        <f t="shared" si="15"/>
        <v>1949.8781499113427</v>
      </c>
      <c r="V24" s="269">
        <f t="shared" si="16"/>
        <v>2884.4351330049449</v>
      </c>
      <c r="W24" s="269">
        <f t="shared" si="17"/>
        <v>1949.8781499113427</v>
      </c>
      <c r="X24" s="257">
        <f t="shared" si="18"/>
        <v>2884.4351330049449</v>
      </c>
      <c r="Y24" s="270">
        <f>IF(L24="Complex",(INDEX('Escalators '!$M$176:$S$176,MATCH('Forecast capex'!J24,'Escalators '!$M$178:$S$178,0))/12+1)^((K24-J24)*12)-1,0)</f>
        <v>0</v>
      </c>
      <c r="Z24" s="257">
        <f t="shared" si="19"/>
        <v>0</v>
      </c>
      <c r="AA24" s="257">
        <f t="shared" si="20"/>
        <v>0</v>
      </c>
      <c r="AB24" s="269">
        <f t="shared" si="21"/>
        <v>0</v>
      </c>
      <c r="AC24" s="269">
        <f t="shared" si="22"/>
        <v>0</v>
      </c>
      <c r="AD24" s="271" t="str">
        <f>INDEX('Global inputs'!$C$134:$C$171,MATCH(F24,'Global inputs'!$B$134:$B$171,0))</f>
        <v>Asset relocations and undergrounding</v>
      </c>
      <c r="AE24" s="272">
        <f>IF(OR(H24='Operating leases'!$B$32,H24='Operating leases'!$B$33),"",INDEX('Global inputs'!$C$186:$C$243,MATCH(E24,'Global inputs'!$B$186:$B$243,0)))</f>
        <v>0.1</v>
      </c>
    </row>
    <row r="25" spans="1:31" s="27" customFormat="1" x14ac:dyDescent="0.2">
      <c r="A25" s="250"/>
      <c r="B25" s="210" t="s">
        <v>714</v>
      </c>
      <c r="C25" s="210" t="s">
        <v>287</v>
      </c>
      <c r="D25" s="210" t="s">
        <v>715</v>
      </c>
      <c r="E25" s="210" t="s">
        <v>150</v>
      </c>
      <c r="F25" s="210" t="s">
        <v>92</v>
      </c>
      <c r="G25" s="210" t="s">
        <v>717</v>
      </c>
      <c r="H25" s="197">
        <v>0</v>
      </c>
      <c r="I25" s="210" t="s">
        <v>229</v>
      </c>
      <c r="J25" s="210">
        <v>2020</v>
      </c>
      <c r="K25" s="210">
        <v>2020</v>
      </c>
      <c r="L25" s="268" t="str">
        <f t="shared" si="10"/>
        <v>Simple</v>
      </c>
      <c r="M25" s="197">
        <v>12999.187666075617</v>
      </c>
      <c r="N25" s="197">
        <v>6230.3798872906809</v>
      </c>
      <c r="O25" s="257">
        <f>IF(ISNA(MATCH(H25,'Operating leases'!$B$32:$B$43,0)),0,INDEX('Operating leases'!$M$32:$S$43,MATCH(H25,'Operating leases'!$B$32:$B$43,0),MATCH(J25,'Operating leases'!$M$11:$S$11,0)))</f>
        <v>0</v>
      </c>
      <c r="P25" s="257">
        <f t="shared" si="11"/>
        <v>12999.187666075617</v>
      </c>
      <c r="Q25" s="257">
        <f t="shared" si="12"/>
        <v>19229.567553366298</v>
      </c>
      <c r="R25" s="258">
        <f>INDEX('Escalators '!$M$124:$S$129,MATCH(I25,'Escalators '!$B$124:$B$129,0),MATCH(J25,'Escalators '!$M$113:$S$113,0))</f>
        <v>1</v>
      </c>
      <c r="S25" s="257">
        <f t="shared" si="13"/>
        <v>0</v>
      </c>
      <c r="T25" s="257">
        <f t="shared" si="14"/>
        <v>6230.3798872906809</v>
      </c>
      <c r="U25" s="269">
        <f t="shared" si="15"/>
        <v>12999.187666075617</v>
      </c>
      <c r="V25" s="269">
        <f t="shared" si="16"/>
        <v>19229.567553366298</v>
      </c>
      <c r="W25" s="269">
        <f t="shared" si="17"/>
        <v>12999.187666075617</v>
      </c>
      <c r="X25" s="257">
        <f t="shared" si="18"/>
        <v>19229.567553366298</v>
      </c>
      <c r="Y25" s="270">
        <f>IF(L25="Complex",(INDEX('Escalators '!$M$176:$S$176,MATCH('Forecast capex'!J25,'Escalators '!$M$178:$S$178,0))/12+1)^((K25-J25)*12)-1,0)</f>
        <v>0</v>
      </c>
      <c r="Z25" s="257">
        <f t="shared" si="19"/>
        <v>0</v>
      </c>
      <c r="AA25" s="257">
        <f t="shared" si="20"/>
        <v>0</v>
      </c>
      <c r="AB25" s="269">
        <f t="shared" si="21"/>
        <v>0</v>
      </c>
      <c r="AC25" s="269">
        <f t="shared" si="22"/>
        <v>0</v>
      </c>
      <c r="AD25" s="271" t="str">
        <f>INDEX('Global inputs'!$C$134:$C$171,MATCH(F25,'Global inputs'!$B$134:$B$171,0))</f>
        <v>Asset relocations and undergrounding</v>
      </c>
      <c r="AE25" s="272">
        <f>IF(OR(H25='Operating leases'!$B$32,H25='Operating leases'!$B$33),"",INDEX('Global inputs'!$C$186:$C$243,MATCH(E25,'Global inputs'!$B$186:$B$243,0)))</f>
        <v>0.08</v>
      </c>
    </row>
    <row r="26" spans="1:31" s="27" customFormat="1" x14ac:dyDescent="0.2">
      <c r="A26" s="250"/>
      <c r="B26" s="210" t="s">
        <v>714</v>
      </c>
      <c r="C26" s="210" t="s">
        <v>287</v>
      </c>
      <c r="D26" s="210" t="s">
        <v>715</v>
      </c>
      <c r="E26" s="210" t="s">
        <v>150</v>
      </c>
      <c r="F26" s="210" t="s">
        <v>92</v>
      </c>
      <c r="G26" s="210" t="s">
        <v>717</v>
      </c>
      <c r="H26" s="197">
        <v>0</v>
      </c>
      <c r="I26" s="210" t="s">
        <v>221</v>
      </c>
      <c r="J26" s="210">
        <v>2020</v>
      </c>
      <c r="K26" s="210">
        <v>2020</v>
      </c>
      <c r="L26" s="268" t="str">
        <f t="shared" si="10"/>
        <v>Simple</v>
      </c>
      <c r="M26" s="197">
        <v>12999.187666075617</v>
      </c>
      <c r="N26" s="197">
        <v>6230.3798872906809</v>
      </c>
      <c r="O26" s="257">
        <f>IF(ISNA(MATCH(H26,'Operating leases'!$B$32:$B$43,0)),0,INDEX('Operating leases'!$M$32:$S$43,MATCH(H26,'Operating leases'!$B$32:$B$43,0),MATCH(J26,'Operating leases'!$M$11:$S$11,0)))</f>
        <v>0</v>
      </c>
      <c r="P26" s="257">
        <f t="shared" si="11"/>
        <v>12999.187666075617</v>
      </c>
      <c r="Q26" s="257">
        <f t="shared" si="12"/>
        <v>19229.567553366298</v>
      </c>
      <c r="R26" s="258">
        <f>INDEX('Escalators '!$M$124:$S$129,MATCH(I26,'Escalators '!$B$124:$B$129,0),MATCH(J26,'Escalators '!$M$113:$S$113,0))</f>
        <v>1</v>
      </c>
      <c r="S26" s="257">
        <f t="shared" si="13"/>
        <v>0</v>
      </c>
      <c r="T26" s="257">
        <f t="shared" si="14"/>
        <v>6230.3798872906809</v>
      </c>
      <c r="U26" s="269">
        <f t="shared" si="15"/>
        <v>12999.187666075617</v>
      </c>
      <c r="V26" s="269">
        <f t="shared" si="16"/>
        <v>19229.567553366298</v>
      </c>
      <c r="W26" s="269">
        <f t="shared" si="17"/>
        <v>12999.187666075617</v>
      </c>
      <c r="X26" s="257">
        <f t="shared" si="18"/>
        <v>19229.567553366298</v>
      </c>
      <c r="Y26" s="270">
        <f>IF(L26="Complex",(INDEX('Escalators '!$M$176:$S$176,MATCH('Forecast capex'!J26,'Escalators '!$M$178:$S$178,0))/12+1)^((K26-J26)*12)-1,0)</f>
        <v>0</v>
      </c>
      <c r="Z26" s="257">
        <f t="shared" si="19"/>
        <v>0</v>
      </c>
      <c r="AA26" s="257">
        <f t="shared" si="20"/>
        <v>0</v>
      </c>
      <c r="AB26" s="269">
        <f t="shared" si="21"/>
        <v>0</v>
      </c>
      <c r="AC26" s="269">
        <f t="shared" si="22"/>
        <v>0</v>
      </c>
      <c r="AD26" s="271" t="str">
        <f>INDEX('Global inputs'!$C$134:$C$171,MATCH(F26,'Global inputs'!$B$134:$B$171,0))</f>
        <v>Asset relocations and undergrounding</v>
      </c>
      <c r="AE26" s="272">
        <f>IF(OR(H26='Operating leases'!$B$32,H26='Operating leases'!$B$33),"",INDEX('Global inputs'!$C$186:$C$243,MATCH(E26,'Global inputs'!$B$186:$B$243,0)))</f>
        <v>0.08</v>
      </c>
    </row>
    <row r="27" spans="1:31" s="27" customFormat="1" x14ac:dyDescent="0.2">
      <c r="A27" s="250"/>
      <c r="B27" s="210" t="s">
        <v>714</v>
      </c>
      <c r="C27" s="210" t="s">
        <v>287</v>
      </c>
      <c r="D27" s="210" t="s">
        <v>715</v>
      </c>
      <c r="E27" s="210" t="s">
        <v>151</v>
      </c>
      <c r="F27" s="210" t="s">
        <v>92</v>
      </c>
      <c r="G27" s="210" t="s">
        <v>717</v>
      </c>
      <c r="H27" s="197">
        <v>0</v>
      </c>
      <c r="I27" s="210" t="s">
        <v>229</v>
      </c>
      <c r="J27" s="210">
        <v>2020</v>
      </c>
      <c r="K27" s="210">
        <v>2020</v>
      </c>
      <c r="L27" s="268" t="str">
        <f t="shared" si="10"/>
        <v>Simple</v>
      </c>
      <c r="M27" s="197">
        <v>12999.187666075617</v>
      </c>
      <c r="N27" s="197">
        <v>6230.3798872906809</v>
      </c>
      <c r="O27" s="257">
        <f>IF(ISNA(MATCH(H27,'Operating leases'!$B$32:$B$43,0)),0,INDEX('Operating leases'!$M$32:$S$43,MATCH(H27,'Operating leases'!$B$32:$B$43,0),MATCH(J27,'Operating leases'!$M$11:$S$11,0)))</f>
        <v>0</v>
      </c>
      <c r="P27" s="257">
        <f t="shared" si="11"/>
        <v>12999.187666075617</v>
      </c>
      <c r="Q27" s="257">
        <f t="shared" si="12"/>
        <v>19229.567553366298</v>
      </c>
      <c r="R27" s="258">
        <f>INDEX('Escalators '!$M$124:$S$129,MATCH(I27,'Escalators '!$B$124:$B$129,0),MATCH(J27,'Escalators '!$M$113:$S$113,0))</f>
        <v>1</v>
      </c>
      <c r="S27" s="257">
        <f t="shared" si="13"/>
        <v>0</v>
      </c>
      <c r="T27" s="257">
        <f t="shared" si="14"/>
        <v>6230.3798872906809</v>
      </c>
      <c r="U27" s="269">
        <f t="shared" si="15"/>
        <v>12999.187666075617</v>
      </c>
      <c r="V27" s="269">
        <f t="shared" si="16"/>
        <v>19229.567553366298</v>
      </c>
      <c r="W27" s="269">
        <f t="shared" si="17"/>
        <v>12999.187666075617</v>
      </c>
      <c r="X27" s="257">
        <f t="shared" si="18"/>
        <v>19229.567553366298</v>
      </c>
      <c r="Y27" s="270">
        <f>IF(L27="Complex",(INDEX('Escalators '!$M$176:$S$176,MATCH('Forecast capex'!J27,'Escalators '!$M$178:$S$178,0))/12+1)^((K27-J27)*12)-1,0)</f>
        <v>0</v>
      </c>
      <c r="Z27" s="257">
        <f t="shared" si="19"/>
        <v>0</v>
      </c>
      <c r="AA27" s="257">
        <f t="shared" si="20"/>
        <v>0</v>
      </c>
      <c r="AB27" s="269">
        <f t="shared" si="21"/>
        <v>0</v>
      </c>
      <c r="AC27" s="269">
        <f t="shared" si="22"/>
        <v>0</v>
      </c>
      <c r="AD27" s="271" t="str">
        <f>INDEX('Global inputs'!$C$134:$C$171,MATCH(F27,'Global inputs'!$B$134:$B$171,0))</f>
        <v>Asset relocations and undergrounding</v>
      </c>
      <c r="AE27" s="272">
        <f>IF(OR(H27='Operating leases'!$B$32,H27='Operating leases'!$B$33),"",INDEX('Global inputs'!$C$186:$C$243,MATCH(E27,'Global inputs'!$B$186:$B$243,0)))</f>
        <v>0.1</v>
      </c>
    </row>
    <row r="28" spans="1:31" s="27" customFormat="1" x14ac:dyDescent="0.2">
      <c r="A28" s="250"/>
      <c r="B28" s="210" t="s">
        <v>714</v>
      </c>
      <c r="C28" s="210" t="s">
        <v>287</v>
      </c>
      <c r="D28" s="210" t="s">
        <v>715</v>
      </c>
      <c r="E28" s="210" t="s">
        <v>151</v>
      </c>
      <c r="F28" s="210" t="s">
        <v>92</v>
      </c>
      <c r="G28" s="210" t="s">
        <v>717</v>
      </c>
      <c r="H28" s="197">
        <v>0</v>
      </c>
      <c r="I28" s="210" t="s">
        <v>221</v>
      </c>
      <c r="J28" s="210">
        <v>2020</v>
      </c>
      <c r="K28" s="210">
        <v>2020</v>
      </c>
      <c r="L28" s="268" t="str">
        <f t="shared" si="10"/>
        <v>Simple</v>
      </c>
      <c r="M28" s="197">
        <v>12999.187666075617</v>
      </c>
      <c r="N28" s="197">
        <v>6230.3798872906809</v>
      </c>
      <c r="O28" s="257">
        <f>IF(ISNA(MATCH(H28,'Operating leases'!$B$32:$B$43,0)),0,INDEX('Operating leases'!$M$32:$S$43,MATCH(H28,'Operating leases'!$B$32:$B$43,0),MATCH(J28,'Operating leases'!$M$11:$S$11,0)))</f>
        <v>0</v>
      </c>
      <c r="P28" s="257">
        <f t="shared" si="11"/>
        <v>12999.187666075617</v>
      </c>
      <c r="Q28" s="257">
        <f t="shared" si="12"/>
        <v>19229.567553366298</v>
      </c>
      <c r="R28" s="258">
        <f>INDEX('Escalators '!$M$124:$S$129,MATCH(I28,'Escalators '!$B$124:$B$129,0),MATCH(J28,'Escalators '!$M$113:$S$113,0))</f>
        <v>1</v>
      </c>
      <c r="S28" s="257">
        <f t="shared" si="13"/>
        <v>0</v>
      </c>
      <c r="T28" s="257">
        <f t="shared" si="14"/>
        <v>6230.3798872906809</v>
      </c>
      <c r="U28" s="269">
        <f t="shared" si="15"/>
        <v>12999.187666075617</v>
      </c>
      <c r="V28" s="269">
        <f t="shared" si="16"/>
        <v>19229.567553366298</v>
      </c>
      <c r="W28" s="269">
        <f t="shared" si="17"/>
        <v>12999.187666075617</v>
      </c>
      <c r="X28" s="257">
        <f t="shared" si="18"/>
        <v>19229.567553366298</v>
      </c>
      <c r="Y28" s="270">
        <f>IF(L28="Complex",(INDEX('Escalators '!$M$176:$S$176,MATCH('Forecast capex'!J28,'Escalators '!$M$178:$S$178,0))/12+1)^((K28-J28)*12)-1,0)</f>
        <v>0</v>
      </c>
      <c r="Z28" s="257">
        <f t="shared" si="19"/>
        <v>0</v>
      </c>
      <c r="AA28" s="257">
        <f t="shared" si="20"/>
        <v>0</v>
      </c>
      <c r="AB28" s="269">
        <f t="shared" si="21"/>
        <v>0</v>
      </c>
      <c r="AC28" s="269">
        <f t="shared" si="22"/>
        <v>0</v>
      </c>
      <c r="AD28" s="271" t="str">
        <f>INDEX('Global inputs'!$C$134:$C$171,MATCH(F28,'Global inputs'!$B$134:$B$171,0))</f>
        <v>Asset relocations and undergrounding</v>
      </c>
      <c r="AE28" s="272">
        <f>IF(OR(H28='Operating leases'!$B$32,H28='Operating leases'!$B$33),"",INDEX('Global inputs'!$C$186:$C$243,MATCH(E28,'Global inputs'!$B$186:$B$243,0)))</f>
        <v>0.1</v>
      </c>
    </row>
    <row r="29" spans="1:31" s="27" customFormat="1" x14ac:dyDescent="0.2">
      <c r="A29" s="250"/>
      <c r="B29" s="210" t="s">
        <v>714</v>
      </c>
      <c r="C29" s="210" t="s">
        <v>287</v>
      </c>
      <c r="D29" s="210" t="s">
        <v>715</v>
      </c>
      <c r="E29" s="210" t="s">
        <v>153</v>
      </c>
      <c r="F29" s="210" t="s">
        <v>92</v>
      </c>
      <c r="G29" s="210" t="s">
        <v>717</v>
      </c>
      <c r="H29" s="197">
        <v>0</v>
      </c>
      <c r="I29" s="210" t="s">
        <v>229</v>
      </c>
      <c r="J29" s="210">
        <v>2020</v>
      </c>
      <c r="K29" s="210">
        <v>2020</v>
      </c>
      <c r="L29" s="268" t="str">
        <f t="shared" si="10"/>
        <v>Simple</v>
      </c>
      <c r="M29" s="197">
        <v>5199.6750664302472</v>
      </c>
      <c r="N29" s="197">
        <v>2492.1519549162726</v>
      </c>
      <c r="O29" s="257">
        <f>IF(ISNA(MATCH(H29,'Operating leases'!$B$32:$B$43,0)),0,INDEX('Operating leases'!$M$32:$S$43,MATCH(H29,'Operating leases'!$B$32:$B$43,0),MATCH(J29,'Operating leases'!$M$11:$S$11,0)))</f>
        <v>0</v>
      </c>
      <c r="P29" s="257">
        <f t="shared" si="11"/>
        <v>5199.6750664302472</v>
      </c>
      <c r="Q29" s="257">
        <f t="shared" si="12"/>
        <v>7691.8270213465203</v>
      </c>
      <c r="R29" s="258">
        <f>INDEX('Escalators '!$M$124:$S$129,MATCH(I29,'Escalators '!$B$124:$B$129,0),MATCH(J29,'Escalators '!$M$113:$S$113,0))</f>
        <v>1</v>
      </c>
      <c r="S29" s="257">
        <f t="shared" si="13"/>
        <v>0</v>
      </c>
      <c r="T29" s="257">
        <f t="shared" si="14"/>
        <v>2492.1519549162726</v>
      </c>
      <c r="U29" s="269">
        <f t="shared" si="15"/>
        <v>5199.6750664302472</v>
      </c>
      <c r="V29" s="269">
        <f t="shared" si="16"/>
        <v>7691.8270213465203</v>
      </c>
      <c r="W29" s="269">
        <f t="shared" si="17"/>
        <v>5199.6750664302472</v>
      </c>
      <c r="X29" s="257">
        <f t="shared" si="18"/>
        <v>7691.8270213465203</v>
      </c>
      <c r="Y29" s="270">
        <f>IF(L29="Complex",(INDEX('Escalators '!$M$176:$S$176,MATCH('Forecast capex'!J29,'Escalators '!$M$178:$S$178,0))/12+1)^((K29-J29)*12)-1,0)</f>
        <v>0</v>
      </c>
      <c r="Z29" s="257">
        <f t="shared" si="19"/>
        <v>0</v>
      </c>
      <c r="AA29" s="257">
        <f t="shared" si="20"/>
        <v>0</v>
      </c>
      <c r="AB29" s="269">
        <f t="shared" si="21"/>
        <v>0</v>
      </c>
      <c r="AC29" s="269">
        <f t="shared" si="22"/>
        <v>0</v>
      </c>
      <c r="AD29" s="271" t="str">
        <f>INDEX('Global inputs'!$C$134:$C$171,MATCH(F29,'Global inputs'!$B$134:$B$171,0))</f>
        <v>Asset relocations and undergrounding</v>
      </c>
      <c r="AE29" s="272">
        <f>IF(OR(H29='Operating leases'!$B$32,H29='Operating leases'!$B$33),"",INDEX('Global inputs'!$C$186:$C$243,MATCH(E29,'Global inputs'!$B$186:$B$243,0)))</f>
        <v>0.08</v>
      </c>
    </row>
    <row r="30" spans="1:31" s="27" customFormat="1" x14ac:dyDescent="0.2">
      <c r="A30" s="250"/>
      <c r="B30" s="210" t="s">
        <v>714</v>
      </c>
      <c r="C30" s="210" t="s">
        <v>287</v>
      </c>
      <c r="D30" s="210" t="s">
        <v>715</v>
      </c>
      <c r="E30" s="210" t="s">
        <v>153</v>
      </c>
      <c r="F30" s="210" t="s">
        <v>92</v>
      </c>
      <c r="G30" s="210" t="s">
        <v>717</v>
      </c>
      <c r="H30" s="197">
        <v>0</v>
      </c>
      <c r="I30" s="210" t="s">
        <v>221</v>
      </c>
      <c r="J30" s="210">
        <v>2020</v>
      </c>
      <c r="K30" s="210">
        <v>2020</v>
      </c>
      <c r="L30" s="268" t="str">
        <f t="shared" si="10"/>
        <v>Simple</v>
      </c>
      <c r="M30" s="197">
        <v>5199.6750664302472</v>
      </c>
      <c r="N30" s="197">
        <v>2492.1519549162726</v>
      </c>
      <c r="O30" s="257">
        <f>IF(ISNA(MATCH(H30,'Operating leases'!$B$32:$B$43,0)),0,INDEX('Operating leases'!$M$32:$S$43,MATCH(H30,'Operating leases'!$B$32:$B$43,0),MATCH(J30,'Operating leases'!$M$11:$S$11,0)))</f>
        <v>0</v>
      </c>
      <c r="P30" s="257">
        <f t="shared" si="11"/>
        <v>5199.6750664302472</v>
      </c>
      <c r="Q30" s="257">
        <f t="shared" si="12"/>
        <v>7691.8270213465203</v>
      </c>
      <c r="R30" s="258">
        <f>INDEX('Escalators '!$M$124:$S$129,MATCH(I30,'Escalators '!$B$124:$B$129,0),MATCH(J30,'Escalators '!$M$113:$S$113,0))</f>
        <v>1</v>
      </c>
      <c r="S30" s="257">
        <f t="shared" si="13"/>
        <v>0</v>
      </c>
      <c r="T30" s="257">
        <f t="shared" si="14"/>
        <v>2492.1519549162726</v>
      </c>
      <c r="U30" s="269">
        <f t="shared" si="15"/>
        <v>5199.6750664302472</v>
      </c>
      <c r="V30" s="269">
        <f t="shared" si="16"/>
        <v>7691.8270213465203</v>
      </c>
      <c r="W30" s="269">
        <f t="shared" si="17"/>
        <v>5199.6750664302472</v>
      </c>
      <c r="X30" s="257">
        <f t="shared" si="18"/>
        <v>7691.8270213465203</v>
      </c>
      <c r="Y30" s="270">
        <f>IF(L30="Complex",(INDEX('Escalators '!$M$176:$S$176,MATCH('Forecast capex'!J30,'Escalators '!$M$178:$S$178,0))/12+1)^((K30-J30)*12)-1,0)</f>
        <v>0</v>
      </c>
      <c r="Z30" s="257">
        <f t="shared" si="19"/>
        <v>0</v>
      </c>
      <c r="AA30" s="257">
        <f t="shared" si="20"/>
        <v>0</v>
      </c>
      <c r="AB30" s="269">
        <f t="shared" si="21"/>
        <v>0</v>
      </c>
      <c r="AC30" s="269">
        <f t="shared" si="22"/>
        <v>0</v>
      </c>
      <c r="AD30" s="271" t="str">
        <f>INDEX('Global inputs'!$C$134:$C$171,MATCH(F30,'Global inputs'!$B$134:$B$171,0))</f>
        <v>Asset relocations and undergrounding</v>
      </c>
      <c r="AE30" s="272">
        <f>IF(OR(H30='Operating leases'!$B$32,H30='Operating leases'!$B$33),"",INDEX('Global inputs'!$C$186:$C$243,MATCH(E30,'Global inputs'!$B$186:$B$243,0)))</f>
        <v>0.08</v>
      </c>
    </row>
    <row r="31" spans="1:31" s="27" customFormat="1" x14ac:dyDescent="0.2">
      <c r="A31" s="250"/>
      <c r="B31" s="210" t="s">
        <v>714</v>
      </c>
      <c r="C31" s="210" t="s">
        <v>287</v>
      </c>
      <c r="D31" s="210" t="s">
        <v>715</v>
      </c>
      <c r="E31" s="210" t="s">
        <v>154</v>
      </c>
      <c r="F31" s="210" t="s">
        <v>92</v>
      </c>
      <c r="G31" s="210" t="s">
        <v>717</v>
      </c>
      <c r="H31" s="197">
        <v>0</v>
      </c>
      <c r="I31" s="210" t="s">
        <v>229</v>
      </c>
      <c r="J31" s="210">
        <v>2020</v>
      </c>
      <c r="K31" s="210">
        <v>2020</v>
      </c>
      <c r="L31" s="268" t="str">
        <f t="shared" si="10"/>
        <v>Simple</v>
      </c>
      <c r="M31" s="197">
        <v>5199.6750664302472</v>
      </c>
      <c r="N31" s="197">
        <v>2492.1519549162726</v>
      </c>
      <c r="O31" s="257">
        <f>IF(ISNA(MATCH(H31,'Operating leases'!$B$32:$B$43,0)),0,INDEX('Operating leases'!$M$32:$S$43,MATCH(H31,'Operating leases'!$B$32:$B$43,0),MATCH(J31,'Operating leases'!$M$11:$S$11,0)))</f>
        <v>0</v>
      </c>
      <c r="P31" s="257">
        <f t="shared" si="11"/>
        <v>5199.6750664302472</v>
      </c>
      <c r="Q31" s="257">
        <f t="shared" si="12"/>
        <v>7691.8270213465203</v>
      </c>
      <c r="R31" s="258">
        <f>INDEX('Escalators '!$M$124:$S$129,MATCH(I31,'Escalators '!$B$124:$B$129,0),MATCH(J31,'Escalators '!$M$113:$S$113,0))</f>
        <v>1</v>
      </c>
      <c r="S31" s="257">
        <f t="shared" si="13"/>
        <v>0</v>
      </c>
      <c r="T31" s="257">
        <f t="shared" si="14"/>
        <v>2492.1519549162726</v>
      </c>
      <c r="U31" s="269">
        <f t="shared" si="15"/>
        <v>5199.6750664302472</v>
      </c>
      <c r="V31" s="269">
        <f t="shared" si="16"/>
        <v>7691.8270213465203</v>
      </c>
      <c r="W31" s="269">
        <f t="shared" si="17"/>
        <v>5199.6750664302472</v>
      </c>
      <c r="X31" s="257">
        <f t="shared" si="18"/>
        <v>7691.8270213465203</v>
      </c>
      <c r="Y31" s="270">
        <f>IF(L31="Complex",(INDEX('Escalators '!$M$176:$S$176,MATCH('Forecast capex'!J31,'Escalators '!$M$178:$S$178,0))/12+1)^((K31-J31)*12)-1,0)</f>
        <v>0</v>
      </c>
      <c r="Z31" s="257">
        <f t="shared" si="19"/>
        <v>0</v>
      </c>
      <c r="AA31" s="257">
        <f t="shared" si="20"/>
        <v>0</v>
      </c>
      <c r="AB31" s="269">
        <f t="shared" si="21"/>
        <v>0</v>
      </c>
      <c r="AC31" s="269">
        <f t="shared" si="22"/>
        <v>0</v>
      </c>
      <c r="AD31" s="271" t="str">
        <f>INDEX('Global inputs'!$C$134:$C$171,MATCH(F31,'Global inputs'!$B$134:$B$171,0))</f>
        <v>Asset relocations and undergrounding</v>
      </c>
      <c r="AE31" s="272">
        <f>IF(OR(H31='Operating leases'!$B$32,H31='Operating leases'!$B$33),"",INDEX('Global inputs'!$C$186:$C$243,MATCH(E31,'Global inputs'!$B$186:$B$243,0)))</f>
        <v>0.1</v>
      </c>
    </row>
    <row r="32" spans="1:31" s="27" customFormat="1" x14ac:dyDescent="0.2">
      <c r="A32" s="250"/>
      <c r="B32" s="210" t="s">
        <v>714</v>
      </c>
      <c r="C32" s="210" t="s">
        <v>287</v>
      </c>
      <c r="D32" s="210" t="s">
        <v>715</v>
      </c>
      <c r="E32" s="210" t="s">
        <v>154</v>
      </c>
      <c r="F32" s="210" t="s">
        <v>92</v>
      </c>
      <c r="G32" s="210" t="s">
        <v>717</v>
      </c>
      <c r="H32" s="197">
        <v>0</v>
      </c>
      <c r="I32" s="210" t="s">
        <v>221</v>
      </c>
      <c r="J32" s="210">
        <v>2020</v>
      </c>
      <c r="K32" s="210">
        <v>2020</v>
      </c>
      <c r="L32" s="268" t="str">
        <f t="shared" si="10"/>
        <v>Simple</v>
      </c>
      <c r="M32" s="197">
        <v>5199.6750664302472</v>
      </c>
      <c r="N32" s="197">
        <v>2492.1519549162726</v>
      </c>
      <c r="O32" s="257">
        <f>IF(ISNA(MATCH(H32,'Operating leases'!$B$32:$B$43,0)),0,INDEX('Operating leases'!$M$32:$S$43,MATCH(H32,'Operating leases'!$B$32:$B$43,0),MATCH(J32,'Operating leases'!$M$11:$S$11,0)))</f>
        <v>0</v>
      </c>
      <c r="P32" s="257">
        <f t="shared" si="11"/>
        <v>5199.6750664302472</v>
      </c>
      <c r="Q32" s="257">
        <f t="shared" si="12"/>
        <v>7691.8270213465203</v>
      </c>
      <c r="R32" s="258">
        <f>INDEX('Escalators '!$M$124:$S$129,MATCH(I32,'Escalators '!$B$124:$B$129,0),MATCH(J32,'Escalators '!$M$113:$S$113,0))</f>
        <v>1</v>
      </c>
      <c r="S32" s="257">
        <f t="shared" si="13"/>
        <v>0</v>
      </c>
      <c r="T32" s="257">
        <f t="shared" si="14"/>
        <v>2492.1519549162726</v>
      </c>
      <c r="U32" s="269">
        <f t="shared" si="15"/>
        <v>5199.6750664302472</v>
      </c>
      <c r="V32" s="269">
        <f t="shared" si="16"/>
        <v>7691.8270213465203</v>
      </c>
      <c r="W32" s="269">
        <f t="shared" si="17"/>
        <v>5199.6750664302472</v>
      </c>
      <c r="X32" s="257">
        <f t="shared" si="18"/>
        <v>7691.8270213465203</v>
      </c>
      <c r="Y32" s="270">
        <f>IF(L32="Complex",(INDEX('Escalators '!$M$176:$S$176,MATCH('Forecast capex'!J32,'Escalators '!$M$178:$S$178,0))/12+1)^((K32-J32)*12)-1,0)</f>
        <v>0</v>
      </c>
      <c r="Z32" s="257">
        <f t="shared" si="19"/>
        <v>0</v>
      </c>
      <c r="AA32" s="257">
        <f t="shared" si="20"/>
        <v>0</v>
      </c>
      <c r="AB32" s="269">
        <f t="shared" si="21"/>
        <v>0</v>
      </c>
      <c r="AC32" s="269">
        <f t="shared" si="22"/>
        <v>0</v>
      </c>
      <c r="AD32" s="271" t="str">
        <f>INDEX('Global inputs'!$C$134:$C$171,MATCH(F32,'Global inputs'!$B$134:$B$171,0))</f>
        <v>Asset relocations and undergrounding</v>
      </c>
      <c r="AE32" s="272">
        <f>IF(OR(H32='Operating leases'!$B$32,H32='Operating leases'!$B$33),"",INDEX('Global inputs'!$C$186:$C$243,MATCH(E32,'Global inputs'!$B$186:$B$243,0)))</f>
        <v>0.1</v>
      </c>
    </row>
    <row r="33" spans="1:31" s="27" customFormat="1" x14ac:dyDescent="0.2">
      <c r="A33" s="250"/>
      <c r="B33" s="210" t="s">
        <v>714</v>
      </c>
      <c r="C33" s="210" t="s">
        <v>290</v>
      </c>
      <c r="D33" s="210" t="s">
        <v>718</v>
      </c>
      <c r="E33" s="210" t="s">
        <v>173</v>
      </c>
      <c r="F33" s="210" t="s">
        <v>92</v>
      </c>
      <c r="G33" s="210" t="s">
        <v>719</v>
      </c>
      <c r="H33" s="197">
        <v>0</v>
      </c>
      <c r="I33" s="210" t="s">
        <v>142</v>
      </c>
      <c r="J33" s="210">
        <v>2020</v>
      </c>
      <c r="K33" s="210">
        <v>2020</v>
      </c>
      <c r="L33" s="268" t="str">
        <f t="shared" si="10"/>
        <v>Simple</v>
      </c>
      <c r="M33" s="197">
        <v>12479.220159432594</v>
      </c>
      <c r="N33" s="197">
        <v>5981.1646917990547</v>
      </c>
      <c r="O33" s="257">
        <f>IF(ISNA(MATCH(H33,'Operating leases'!$B$32:$B$43,0)),0,INDEX('Operating leases'!$M$32:$S$43,MATCH(H33,'Operating leases'!$B$32:$B$43,0),MATCH(J33,'Operating leases'!$M$11:$S$11,0)))</f>
        <v>0</v>
      </c>
      <c r="P33" s="257">
        <f t="shared" si="11"/>
        <v>12479.220159432594</v>
      </c>
      <c r="Q33" s="257">
        <f t="shared" si="12"/>
        <v>18460.384851231647</v>
      </c>
      <c r="R33" s="258">
        <f>INDEX('Escalators '!$M$124:$S$129,MATCH(I33,'Escalators '!$B$124:$B$129,0),MATCH(J33,'Escalators '!$M$113:$S$113,0))</f>
        <v>1</v>
      </c>
      <c r="S33" s="257">
        <f t="shared" si="13"/>
        <v>0</v>
      </c>
      <c r="T33" s="257">
        <f t="shared" si="14"/>
        <v>5981.1646917990547</v>
      </c>
      <c r="U33" s="269">
        <f t="shared" si="15"/>
        <v>12479.220159432592</v>
      </c>
      <c r="V33" s="269">
        <f t="shared" si="16"/>
        <v>18460.384851231647</v>
      </c>
      <c r="W33" s="269">
        <f t="shared" si="17"/>
        <v>12479.220159432592</v>
      </c>
      <c r="X33" s="257">
        <f t="shared" si="18"/>
        <v>18460.384851231647</v>
      </c>
      <c r="Y33" s="270">
        <f>IF(L33="Complex",(INDEX('Escalators '!$M$176:$S$176,MATCH('Forecast capex'!J33,'Escalators '!$M$178:$S$178,0))/12+1)^((K33-J33)*12)-1,0)</f>
        <v>0</v>
      </c>
      <c r="Z33" s="257">
        <f t="shared" si="19"/>
        <v>0</v>
      </c>
      <c r="AA33" s="257">
        <f t="shared" si="20"/>
        <v>0</v>
      </c>
      <c r="AB33" s="269">
        <f t="shared" si="21"/>
        <v>0</v>
      </c>
      <c r="AC33" s="269">
        <f t="shared" si="22"/>
        <v>0</v>
      </c>
      <c r="AD33" s="271" t="str">
        <f>INDEX('Global inputs'!$C$134:$C$171,MATCH(F33,'Global inputs'!$B$134:$B$171,0))</f>
        <v>Asset relocations and undergrounding</v>
      </c>
      <c r="AE33" s="272">
        <f>IF(OR(H33='Operating leases'!$B$32,H33='Operating leases'!$B$33),"",INDEX('Global inputs'!$C$186:$C$243,MATCH(E33,'Global inputs'!$B$186:$B$243,0)))</f>
        <v>0.08</v>
      </c>
    </row>
    <row r="34" spans="1:31" s="27" customFormat="1" x14ac:dyDescent="0.2">
      <c r="A34" s="250"/>
      <c r="B34" s="210" t="s">
        <v>714</v>
      </c>
      <c r="C34" s="210" t="s">
        <v>290</v>
      </c>
      <c r="D34" s="210" t="s">
        <v>718</v>
      </c>
      <c r="E34" s="210" t="s">
        <v>173</v>
      </c>
      <c r="F34" s="210" t="s">
        <v>92</v>
      </c>
      <c r="G34" s="210" t="s">
        <v>719</v>
      </c>
      <c r="H34" s="197">
        <v>0</v>
      </c>
      <c r="I34" s="210" t="s">
        <v>221</v>
      </c>
      <c r="J34" s="210">
        <v>2020</v>
      </c>
      <c r="K34" s="210">
        <v>2020</v>
      </c>
      <c r="L34" s="268" t="str">
        <f t="shared" si="10"/>
        <v>Simple</v>
      </c>
      <c r="M34" s="197">
        <v>3119.8050398581486</v>
      </c>
      <c r="N34" s="197">
        <v>1495.2911729497637</v>
      </c>
      <c r="O34" s="257">
        <f>IF(ISNA(MATCH(H34,'Operating leases'!$B$32:$B$43,0)),0,INDEX('Operating leases'!$M$32:$S$43,MATCH(H34,'Operating leases'!$B$32:$B$43,0),MATCH(J34,'Operating leases'!$M$11:$S$11,0)))</f>
        <v>0</v>
      </c>
      <c r="P34" s="257">
        <f t="shared" si="11"/>
        <v>3119.8050398581486</v>
      </c>
      <c r="Q34" s="257">
        <f t="shared" si="12"/>
        <v>4615.0962128079118</v>
      </c>
      <c r="R34" s="258">
        <f>INDEX('Escalators '!$M$124:$S$129,MATCH(I34,'Escalators '!$B$124:$B$129,0),MATCH(J34,'Escalators '!$M$113:$S$113,0))</f>
        <v>1</v>
      </c>
      <c r="S34" s="257">
        <f t="shared" si="13"/>
        <v>0</v>
      </c>
      <c r="T34" s="257">
        <f t="shared" si="14"/>
        <v>1495.2911729497637</v>
      </c>
      <c r="U34" s="269">
        <f t="shared" si="15"/>
        <v>3119.8050398581481</v>
      </c>
      <c r="V34" s="269">
        <f t="shared" si="16"/>
        <v>4615.0962128079118</v>
      </c>
      <c r="W34" s="269">
        <f t="shared" si="17"/>
        <v>3119.8050398581481</v>
      </c>
      <c r="X34" s="257">
        <f t="shared" si="18"/>
        <v>4615.0962128079118</v>
      </c>
      <c r="Y34" s="270">
        <f>IF(L34="Complex",(INDEX('Escalators '!$M$176:$S$176,MATCH('Forecast capex'!J34,'Escalators '!$M$178:$S$178,0))/12+1)^((K34-J34)*12)-1,0)</f>
        <v>0</v>
      </c>
      <c r="Z34" s="257">
        <f t="shared" si="19"/>
        <v>0</v>
      </c>
      <c r="AA34" s="257">
        <f t="shared" si="20"/>
        <v>0</v>
      </c>
      <c r="AB34" s="269">
        <f t="shared" si="21"/>
        <v>0</v>
      </c>
      <c r="AC34" s="269">
        <f t="shared" si="22"/>
        <v>0</v>
      </c>
      <c r="AD34" s="271" t="str">
        <f>INDEX('Global inputs'!$C$134:$C$171,MATCH(F34,'Global inputs'!$B$134:$B$171,0))</f>
        <v>Asset relocations and undergrounding</v>
      </c>
      <c r="AE34" s="272">
        <f>IF(OR(H34='Operating leases'!$B$32,H34='Operating leases'!$B$33),"",INDEX('Global inputs'!$C$186:$C$243,MATCH(E34,'Global inputs'!$B$186:$B$243,0)))</f>
        <v>0.08</v>
      </c>
    </row>
    <row r="35" spans="1:31" s="27" customFormat="1" x14ac:dyDescent="0.2">
      <c r="A35" s="250"/>
      <c r="B35" s="210" t="s">
        <v>714</v>
      </c>
      <c r="C35" s="210" t="s">
        <v>290</v>
      </c>
      <c r="D35" s="210" t="s">
        <v>718</v>
      </c>
      <c r="E35" s="210" t="s">
        <v>169</v>
      </c>
      <c r="F35" s="210" t="s">
        <v>92</v>
      </c>
      <c r="G35" s="210" t="s">
        <v>720</v>
      </c>
      <c r="H35" s="197">
        <v>0</v>
      </c>
      <c r="I35" s="210" t="s">
        <v>229</v>
      </c>
      <c r="J35" s="210">
        <v>2020</v>
      </c>
      <c r="K35" s="210">
        <v>2020</v>
      </c>
      <c r="L35" s="268" t="str">
        <f t="shared" si="10"/>
        <v>Simple</v>
      </c>
      <c r="M35" s="197">
        <v>26518.342838794259</v>
      </c>
      <c r="N35" s="197">
        <v>12709.97497007299</v>
      </c>
      <c r="O35" s="257">
        <f>IF(ISNA(MATCH(H35,'Operating leases'!$B$32:$B$43,0)),0,INDEX('Operating leases'!$M$32:$S$43,MATCH(H35,'Operating leases'!$B$32:$B$43,0),MATCH(J35,'Operating leases'!$M$11:$S$11,0)))</f>
        <v>0</v>
      </c>
      <c r="P35" s="257">
        <f t="shared" si="11"/>
        <v>26518.342838794259</v>
      </c>
      <c r="Q35" s="257">
        <f t="shared" si="12"/>
        <v>39228.31780886725</v>
      </c>
      <c r="R35" s="258">
        <f>INDEX('Escalators '!$M$124:$S$129,MATCH(I35,'Escalators '!$B$124:$B$129,0),MATCH(J35,'Escalators '!$M$113:$S$113,0))</f>
        <v>1</v>
      </c>
      <c r="S35" s="257">
        <f t="shared" si="13"/>
        <v>0</v>
      </c>
      <c r="T35" s="257">
        <f t="shared" si="14"/>
        <v>12709.97497007299</v>
      </c>
      <c r="U35" s="269">
        <f t="shared" si="15"/>
        <v>26518.342838794262</v>
      </c>
      <c r="V35" s="269">
        <f t="shared" si="16"/>
        <v>39228.31780886725</v>
      </c>
      <c r="W35" s="269">
        <f t="shared" si="17"/>
        <v>26518.342838794262</v>
      </c>
      <c r="X35" s="257">
        <f t="shared" si="18"/>
        <v>39228.31780886725</v>
      </c>
      <c r="Y35" s="270">
        <f>IF(L35="Complex",(INDEX('Escalators '!$M$176:$S$176,MATCH('Forecast capex'!J35,'Escalators '!$M$178:$S$178,0))/12+1)^((K35-J35)*12)-1,0)</f>
        <v>0</v>
      </c>
      <c r="Z35" s="257">
        <f t="shared" si="19"/>
        <v>0</v>
      </c>
      <c r="AA35" s="257">
        <f t="shared" si="20"/>
        <v>0</v>
      </c>
      <c r="AB35" s="269">
        <f t="shared" si="21"/>
        <v>0</v>
      </c>
      <c r="AC35" s="269">
        <f t="shared" si="22"/>
        <v>0</v>
      </c>
      <c r="AD35" s="271" t="str">
        <f>INDEX('Global inputs'!$C$134:$C$171,MATCH(F35,'Global inputs'!$B$134:$B$171,0))</f>
        <v>Asset relocations and undergrounding</v>
      </c>
      <c r="AE35" s="272">
        <f>IF(OR(H35='Operating leases'!$B$32,H35='Operating leases'!$B$33),"",INDEX('Global inputs'!$C$186:$C$243,MATCH(E35,'Global inputs'!$B$186:$B$243,0)))</f>
        <v>0.08</v>
      </c>
    </row>
    <row r="36" spans="1:31" s="27" customFormat="1" x14ac:dyDescent="0.2">
      <c r="A36" s="250"/>
      <c r="B36" s="210" t="s">
        <v>714</v>
      </c>
      <c r="C36" s="210" t="s">
        <v>290</v>
      </c>
      <c r="D36" s="210" t="s">
        <v>718</v>
      </c>
      <c r="E36" s="210" t="s">
        <v>169</v>
      </c>
      <c r="F36" s="210" t="s">
        <v>92</v>
      </c>
      <c r="G36" s="210" t="s">
        <v>720</v>
      </c>
      <c r="H36" s="197">
        <v>0</v>
      </c>
      <c r="I36" s="210" t="s">
        <v>221</v>
      </c>
      <c r="J36" s="210">
        <v>2020</v>
      </c>
      <c r="K36" s="210">
        <v>2020</v>
      </c>
      <c r="L36" s="268" t="str">
        <f t="shared" si="10"/>
        <v>Simple</v>
      </c>
      <c r="M36" s="197">
        <v>17678.895225862838</v>
      </c>
      <c r="N36" s="197">
        <v>8473.316646715326</v>
      </c>
      <c r="O36" s="257">
        <f>IF(ISNA(MATCH(H36,'Operating leases'!$B$32:$B$43,0)),0,INDEX('Operating leases'!$M$32:$S$43,MATCH(H36,'Operating leases'!$B$32:$B$43,0),MATCH(J36,'Operating leases'!$M$11:$S$11,0)))</f>
        <v>0</v>
      </c>
      <c r="P36" s="257">
        <f t="shared" si="11"/>
        <v>17678.895225862838</v>
      </c>
      <c r="Q36" s="257">
        <f t="shared" si="12"/>
        <v>26152.211872578162</v>
      </c>
      <c r="R36" s="258">
        <f>INDEX('Escalators '!$M$124:$S$129,MATCH(I36,'Escalators '!$B$124:$B$129,0),MATCH(J36,'Escalators '!$M$113:$S$113,0))</f>
        <v>1</v>
      </c>
      <c r="S36" s="257">
        <f t="shared" si="13"/>
        <v>0</v>
      </c>
      <c r="T36" s="257">
        <f t="shared" si="14"/>
        <v>8473.316646715326</v>
      </c>
      <c r="U36" s="269">
        <f t="shared" si="15"/>
        <v>17678.895225862834</v>
      </c>
      <c r="V36" s="269">
        <f t="shared" si="16"/>
        <v>26152.211872578162</v>
      </c>
      <c r="W36" s="269">
        <f t="shared" si="17"/>
        <v>17678.895225862834</v>
      </c>
      <c r="X36" s="257">
        <f t="shared" si="18"/>
        <v>26152.211872578162</v>
      </c>
      <c r="Y36" s="270">
        <f>IF(L36="Complex",(INDEX('Escalators '!$M$176:$S$176,MATCH('Forecast capex'!J36,'Escalators '!$M$178:$S$178,0))/12+1)^((K36-J36)*12)-1,0)</f>
        <v>0</v>
      </c>
      <c r="Z36" s="257">
        <f t="shared" si="19"/>
        <v>0</v>
      </c>
      <c r="AA36" s="257">
        <f t="shared" si="20"/>
        <v>0</v>
      </c>
      <c r="AB36" s="269">
        <f t="shared" si="21"/>
        <v>0</v>
      </c>
      <c r="AC36" s="269">
        <f t="shared" si="22"/>
        <v>0</v>
      </c>
      <c r="AD36" s="271" t="str">
        <f>INDEX('Global inputs'!$C$134:$C$171,MATCH(F36,'Global inputs'!$B$134:$B$171,0))</f>
        <v>Asset relocations and undergrounding</v>
      </c>
      <c r="AE36" s="272">
        <f>IF(OR(H36='Operating leases'!$B$32,H36='Operating leases'!$B$33),"",INDEX('Global inputs'!$C$186:$C$243,MATCH(E36,'Global inputs'!$B$186:$B$243,0)))</f>
        <v>0.08</v>
      </c>
    </row>
    <row r="37" spans="1:31" s="27" customFormat="1" x14ac:dyDescent="0.2">
      <c r="A37" s="250"/>
      <c r="B37" s="210" t="s">
        <v>714</v>
      </c>
      <c r="C37" s="210" t="s">
        <v>290</v>
      </c>
      <c r="D37" s="210" t="s">
        <v>718</v>
      </c>
      <c r="E37" s="210" t="s">
        <v>170</v>
      </c>
      <c r="F37" s="210" t="s">
        <v>92</v>
      </c>
      <c r="G37" s="210" t="s">
        <v>721</v>
      </c>
      <c r="H37" s="197">
        <v>0</v>
      </c>
      <c r="I37" s="210" t="s">
        <v>229</v>
      </c>
      <c r="J37" s="210">
        <v>2020</v>
      </c>
      <c r="K37" s="210">
        <v>2020</v>
      </c>
      <c r="L37" s="268" t="str">
        <f t="shared" si="10"/>
        <v>Simple</v>
      </c>
      <c r="M37" s="197">
        <v>23398.537798936111</v>
      </c>
      <c r="N37" s="197">
        <v>11214.683797123227</v>
      </c>
      <c r="O37" s="257">
        <f>IF(ISNA(MATCH(H37,'Operating leases'!$B$32:$B$43,0)),0,INDEX('Operating leases'!$M$32:$S$43,MATCH(H37,'Operating leases'!$B$32:$B$43,0),MATCH(J37,'Operating leases'!$M$11:$S$11,0)))</f>
        <v>0</v>
      </c>
      <c r="P37" s="257">
        <f t="shared" si="11"/>
        <v>23398.537798936111</v>
      </c>
      <c r="Q37" s="257">
        <f t="shared" si="12"/>
        <v>34613.221596059338</v>
      </c>
      <c r="R37" s="258">
        <f>INDEX('Escalators '!$M$124:$S$129,MATCH(I37,'Escalators '!$B$124:$B$129,0),MATCH(J37,'Escalators '!$M$113:$S$113,0))</f>
        <v>1</v>
      </c>
      <c r="S37" s="257">
        <f t="shared" si="13"/>
        <v>0</v>
      </c>
      <c r="T37" s="257">
        <f t="shared" si="14"/>
        <v>11214.683797123227</v>
      </c>
      <c r="U37" s="269">
        <f t="shared" si="15"/>
        <v>23398.537798936111</v>
      </c>
      <c r="V37" s="269">
        <f t="shared" si="16"/>
        <v>34613.221596059338</v>
      </c>
      <c r="W37" s="269">
        <f t="shared" si="17"/>
        <v>23398.537798936111</v>
      </c>
      <c r="X37" s="257">
        <f t="shared" si="18"/>
        <v>34613.221596059338</v>
      </c>
      <c r="Y37" s="270">
        <f>IF(L37="Complex",(INDEX('Escalators '!$M$176:$S$176,MATCH('Forecast capex'!J37,'Escalators '!$M$178:$S$178,0))/12+1)^((K37-J37)*12)-1,0)</f>
        <v>0</v>
      </c>
      <c r="Z37" s="257">
        <f t="shared" si="19"/>
        <v>0</v>
      </c>
      <c r="AA37" s="257">
        <f t="shared" si="20"/>
        <v>0</v>
      </c>
      <c r="AB37" s="269">
        <f t="shared" si="21"/>
        <v>0</v>
      </c>
      <c r="AC37" s="269">
        <f t="shared" si="22"/>
        <v>0</v>
      </c>
      <c r="AD37" s="271" t="str">
        <f>INDEX('Global inputs'!$C$134:$C$171,MATCH(F37,'Global inputs'!$B$134:$B$171,0))</f>
        <v>Asset relocations and undergrounding</v>
      </c>
      <c r="AE37" s="272">
        <f>IF(OR(H37='Operating leases'!$B$32,H37='Operating leases'!$B$33),"",INDEX('Global inputs'!$C$186:$C$243,MATCH(E37,'Global inputs'!$B$186:$B$243,0)))</f>
        <v>0.08</v>
      </c>
    </row>
    <row r="38" spans="1:31" s="27" customFormat="1" x14ac:dyDescent="0.2">
      <c r="A38" s="250"/>
      <c r="B38" s="210" t="s">
        <v>714</v>
      </c>
      <c r="C38" s="210" t="s">
        <v>290</v>
      </c>
      <c r="D38" s="210" t="s">
        <v>718</v>
      </c>
      <c r="E38" s="210" t="s">
        <v>170</v>
      </c>
      <c r="F38" s="210" t="s">
        <v>92</v>
      </c>
      <c r="G38" s="210" t="s">
        <v>721</v>
      </c>
      <c r="H38" s="197">
        <v>0</v>
      </c>
      <c r="I38" s="210" t="s">
        <v>221</v>
      </c>
      <c r="J38" s="210">
        <v>2020</v>
      </c>
      <c r="K38" s="210">
        <v>2020</v>
      </c>
      <c r="L38" s="268" t="str">
        <f t="shared" si="10"/>
        <v>Simple</v>
      </c>
      <c r="M38" s="197">
        <v>23398.537798936111</v>
      </c>
      <c r="N38" s="197">
        <v>11214.683797123227</v>
      </c>
      <c r="O38" s="257">
        <f>IF(ISNA(MATCH(H38,'Operating leases'!$B$32:$B$43,0)),0,INDEX('Operating leases'!$M$32:$S$43,MATCH(H38,'Operating leases'!$B$32:$B$43,0),MATCH(J38,'Operating leases'!$M$11:$S$11,0)))</f>
        <v>0</v>
      </c>
      <c r="P38" s="257">
        <f t="shared" si="11"/>
        <v>23398.537798936111</v>
      </c>
      <c r="Q38" s="257">
        <f t="shared" si="12"/>
        <v>34613.221596059338</v>
      </c>
      <c r="R38" s="258">
        <f>INDEX('Escalators '!$M$124:$S$129,MATCH(I38,'Escalators '!$B$124:$B$129,0),MATCH(J38,'Escalators '!$M$113:$S$113,0))</f>
        <v>1</v>
      </c>
      <c r="S38" s="257">
        <f t="shared" si="13"/>
        <v>0</v>
      </c>
      <c r="T38" s="257">
        <f t="shared" si="14"/>
        <v>11214.683797123227</v>
      </c>
      <c r="U38" s="269">
        <f t="shared" si="15"/>
        <v>23398.537798936111</v>
      </c>
      <c r="V38" s="269">
        <f t="shared" si="16"/>
        <v>34613.221596059338</v>
      </c>
      <c r="W38" s="269">
        <f t="shared" si="17"/>
        <v>23398.537798936111</v>
      </c>
      <c r="X38" s="257">
        <f t="shared" si="18"/>
        <v>34613.221596059338</v>
      </c>
      <c r="Y38" s="270">
        <f>IF(L38="Complex",(INDEX('Escalators '!$M$176:$S$176,MATCH('Forecast capex'!J38,'Escalators '!$M$178:$S$178,0))/12+1)^((K38-J38)*12)-1,0)</f>
        <v>0</v>
      </c>
      <c r="Z38" s="257">
        <f t="shared" si="19"/>
        <v>0</v>
      </c>
      <c r="AA38" s="257">
        <f t="shared" si="20"/>
        <v>0</v>
      </c>
      <c r="AB38" s="269">
        <f t="shared" si="21"/>
        <v>0</v>
      </c>
      <c r="AC38" s="269">
        <f t="shared" si="22"/>
        <v>0</v>
      </c>
      <c r="AD38" s="271" t="str">
        <f>INDEX('Global inputs'!$C$134:$C$171,MATCH(F38,'Global inputs'!$B$134:$B$171,0))</f>
        <v>Asset relocations and undergrounding</v>
      </c>
      <c r="AE38" s="272">
        <f>IF(OR(H38='Operating leases'!$B$32,H38='Operating leases'!$B$33),"",INDEX('Global inputs'!$C$186:$C$243,MATCH(E38,'Global inputs'!$B$186:$B$243,0)))</f>
        <v>0.08</v>
      </c>
    </row>
    <row r="39" spans="1:31" s="27" customFormat="1" x14ac:dyDescent="0.2">
      <c r="A39" s="250"/>
      <c r="B39" s="210" t="s">
        <v>714</v>
      </c>
      <c r="C39" s="210" t="s">
        <v>288</v>
      </c>
      <c r="D39" s="210" t="s">
        <v>718</v>
      </c>
      <c r="E39" s="210" t="s">
        <v>160</v>
      </c>
      <c r="F39" s="210" t="s">
        <v>92</v>
      </c>
      <c r="G39" s="210" t="s">
        <v>722</v>
      </c>
      <c r="H39" s="197">
        <v>0</v>
      </c>
      <c r="I39" s="210" t="s">
        <v>229</v>
      </c>
      <c r="J39" s="210">
        <v>2020</v>
      </c>
      <c r="K39" s="210">
        <v>2020</v>
      </c>
      <c r="L39" s="268" t="str">
        <f t="shared" si="10"/>
        <v>Simple</v>
      </c>
      <c r="M39" s="197">
        <v>14299.106432683178</v>
      </c>
      <c r="N39" s="197">
        <v>6853.4178760197483</v>
      </c>
      <c r="O39" s="257">
        <f>IF(ISNA(MATCH(H39,'Operating leases'!$B$32:$B$43,0)),0,INDEX('Operating leases'!$M$32:$S$43,MATCH(H39,'Operating leases'!$B$32:$B$43,0),MATCH(J39,'Operating leases'!$M$11:$S$11,0)))</f>
        <v>0</v>
      </c>
      <c r="P39" s="257">
        <f t="shared" si="11"/>
        <v>14299.106432683178</v>
      </c>
      <c r="Q39" s="257">
        <f t="shared" si="12"/>
        <v>21152.524308702927</v>
      </c>
      <c r="R39" s="258">
        <f>INDEX('Escalators '!$M$124:$S$129,MATCH(I39,'Escalators '!$B$124:$B$129,0),MATCH(J39,'Escalators '!$M$113:$S$113,0))</f>
        <v>1</v>
      </c>
      <c r="S39" s="257">
        <f t="shared" si="13"/>
        <v>0</v>
      </c>
      <c r="T39" s="257">
        <f t="shared" si="14"/>
        <v>6853.4178760197483</v>
      </c>
      <c r="U39" s="269">
        <f t="shared" si="15"/>
        <v>14299.106432683178</v>
      </c>
      <c r="V39" s="269">
        <f t="shared" si="16"/>
        <v>21152.524308702927</v>
      </c>
      <c r="W39" s="269">
        <f t="shared" si="17"/>
        <v>14299.106432683178</v>
      </c>
      <c r="X39" s="257">
        <f t="shared" si="18"/>
        <v>21152.524308702927</v>
      </c>
      <c r="Y39" s="270">
        <f>IF(L39="Complex",(INDEX('Escalators '!$M$176:$S$176,MATCH('Forecast capex'!J39,'Escalators '!$M$178:$S$178,0))/12+1)^((K39-J39)*12)-1,0)</f>
        <v>0</v>
      </c>
      <c r="Z39" s="257">
        <f t="shared" si="19"/>
        <v>0</v>
      </c>
      <c r="AA39" s="257">
        <f t="shared" si="20"/>
        <v>0</v>
      </c>
      <c r="AB39" s="269">
        <f t="shared" si="21"/>
        <v>0</v>
      </c>
      <c r="AC39" s="269">
        <f t="shared" si="22"/>
        <v>0</v>
      </c>
      <c r="AD39" s="271" t="str">
        <f>INDEX('Global inputs'!$C$134:$C$171,MATCH(F39,'Global inputs'!$B$134:$B$171,0))</f>
        <v>Asset relocations and undergrounding</v>
      </c>
      <c r="AE39" s="272">
        <f>IF(OR(H39='Operating leases'!$B$32,H39='Operating leases'!$B$33),"",INDEX('Global inputs'!$C$186:$C$243,MATCH(E39,'Global inputs'!$B$186:$B$243,0)))</f>
        <v>0.08</v>
      </c>
    </row>
    <row r="40" spans="1:31" s="27" customFormat="1" x14ac:dyDescent="0.2">
      <c r="A40" s="250"/>
      <c r="B40" s="210" t="s">
        <v>714</v>
      </c>
      <c r="C40" s="210" t="s">
        <v>288</v>
      </c>
      <c r="D40" s="210" t="s">
        <v>718</v>
      </c>
      <c r="E40" s="210" t="s">
        <v>160</v>
      </c>
      <c r="F40" s="210" t="s">
        <v>92</v>
      </c>
      <c r="G40" s="210" t="s">
        <v>722</v>
      </c>
      <c r="H40" s="197">
        <v>0</v>
      </c>
      <c r="I40" s="210" t="s">
        <v>221</v>
      </c>
      <c r="J40" s="210">
        <v>2020</v>
      </c>
      <c r="K40" s="210">
        <v>2020</v>
      </c>
      <c r="L40" s="268" t="str">
        <f t="shared" si="10"/>
        <v>Simple</v>
      </c>
      <c r="M40" s="197">
        <v>14299.106432683178</v>
      </c>
      <c r="N40" s="197">
        <v>6853.4178760197483</v>
      </c>
      <c r="O40" s="257">
        <f>IF(ISNA(MATCH(H40,'Operating leases'!$B$32:$B$43,0)),0,INDEX('Operating leases'!$M$32:$S$43,MATCH(H40,'Operating leases'!$B$32:$B$43,0),MATCH(J40,'Operating leases'!$M$11:$S$11,0)))</f>
        <v>0</v>
      </c>
      <c r="P40" s="257">
        <f t="shared" si="11"/>
        <v>14299.106432683178</v>
      </c>
      <c r="Q40" s="257">
        <f t="shared" si="12"/>
        <v>21152.524308702927</v>
      </c>
      <c r="R40" s="258">
        <f>INDEX('Escalators '!$M$124:$S$129,MATCH(I40,'Escalators '!$B$124:$B$129,0),MATCH(J40,'Escalators '!$M$113:$S$113,0))</f>
        <v>1</v>
      </c>
      <c r="S40" s="257">
        <f t="shared" si="13"/>
        <v>0</v>
      </c>
      <c r="T40" s="257">
        <f t="shared" si="14"/>
        <v>6853.4178760197483</v>
      </c>
      <c r="U40" s="269">
        <f t="shared" si="15"/>
        <v>14299.106432683178</v>
      </c>
      <c r="V40" s="269">
        <f t="shared" si="16"/>
        <v>21152.524308702927</v>
      </c>
      <c r="W40" s="269">
        <f t="shared" si="17"/>
        <v>14299.106432683178</v>
      </c>
      <c r="X40" s="257">
        <f t="shared" si="18"/>
        <v>21152.524308702927</v>
      </c>
      <c r="Y40" s="270">
        <f>IF(L40="Complex",(INDEX('Escalators '!$M$176:$S$176,MATCH('Forecast capex'!J40,'Escalators '!$M$178:$S$178,0))/12+1)^((K40-J40)*12)-1,0)</f>
        <v>0</v>
      </c>
      <c r="Z40" s="257">
        <f t="shared" si="19"/>
        <v>0</v>
      </c>
      <c r="AA40" s="257">
        <f t="shared" si="20"/>
        <v>0</v>
      </c>
      <c r="AB40" s="269">
        <f t="shared" si="21"/>
        <v>0</v>
      </c>
      <c r="AC40" s="269">
        <f t="shared" si="22"/>
        <v>0</v>
      </c>
      <c r="AD40" s="271" t="str">
        <f>INDEX('Global inputs'!$C$134:$C$171,MATCH(F40,'Global inputs'!$B$134:$B$171,0))</f>
        <v>Asset relocations and undergrounding</v>
      </c>
      <c r="AE40" s="272">
        <f>IF(OR(H40='Operating leases'!$B$32,H40='Operating leases'!$B$33),"",INDEX('Global inputs'!$C$186:$C$243,MATCH(E40,'Global inputs'!$B$186:$B$243,0)))</f>
        <v>0.08</v>
      </c>
    </row>
    <row r="41" spans="1:31" s="27" customFormat="1" x14ac:dyDescent="0.2">
      <c r="A41" s="250"/>
      <c r="B41" s="210" t="s">
        <v>714</v>
      </c>
      <c r="C41" s="210" t="s">
        <v>289</v>
      </c>
      <c r="D41" s="210" t="s">
        <v>723</v>
      </c>
      <c r="E41" s="210" t="s">
        <v>164</v>
      </c>
      <c r="F41" s="210" t="s">
        <v>92</v>
      </c>
      <c r="G41" s="210" t="s">
        <v>724</v>
      </c>
      <c r="H41" s="197">
        <v>0</v>
      </c>
      <c r="I41" s="210" t="s">
        <v>139</v>
      </c>
      <c r="J41" s="210">
        <v>2020</v>
      </c>
      <c r="K41" s="210">
        <v>2020</v>
      </c>
      <c r="L41" s="268" t="str">
        <f t="shared" si="10"/>
        <v>Simple</v>
      </c>
      <c r="M41" s="197">
        <v>16638.960212576792</v>
      </c>
      <c r="N41" s="197">
        <v>7974.8862557320726</v>
      </c>
      <c r="O41" s="257">
        <f>IF(ISNA(MATCH(H41,'Operating leases'!$B$32:$B$43,0)),0,INDEX('Operating leases'!$M$32:$S$43,MATCH(H41,'Operating leases'!$B$32:$B$43,0),MATCH(J41,'Operating leases'!$M$11:$S$11,0)))</f>
        <v>0</v>
      </c>
      <c r="P41" s="257">
        <f t="shared" si="11"/>
        <v>16638.960212576792</v>
      </c>
      <c r="Q41" s="257">
        <f t="shared" si="12"/>
        <v>24613.846468308864</v>
      </c>
      <c r="R41" s="258">
        <f>INDEX('Escalators '!$M$124:$S$129,MATCH(I41,'Escalators '!$B$124:$B$129,0),MATCH(J41,'Escalators '!$M$113:$S$113,0))</f>
        <v>1</v>
      </c>
      <c r="S41" s="257">
        <f t="shared" si="13"/>
        <v>0</v>
      </c>
      <c r="T41" s="257">
        <f t="shared" si="14"/>
        <v>7974.8862557320726</v>
      </c>
      <c r="U41" s="269">
        <f t="shared" si="15"/>
        <v>16638.960212576792</v>
      </c>
      <c r="V41" s="269">
        <f t="shared" si="16"/>
        <v>24613.846468308864</v>
      </c>
      <c r="W41" s="269">
        <f t="shared" si="17"/>
        <v>16638.960212576792</v>
      </c>
      <c r="X41" s="257">
        <f t="shared" si="18"/>
        <v>24613.846468308864</v>
      </c>
      <c r="Y41" s="270">
        <f>IF(L41="Complex",(INDEX('Escalators '!$M$176:$S$176,MATCH('Forecast capex'!J41,'Escalators '!$M$178:$S$178,0))/12+1)^((K41-J41)*12)-1,0)</f>
        <v>0</v>
      </c>
      <c r="Z41" s="257">
        <f t="shared" si="19"/>
        <v>0</v>
      </c>
      <c r="AA41" s="257">
        <f t="shared" si="20"/>
        <v>0</v>
      </c>
      <c r="AB41" s="269">
        <f t="shared" si="21"/>
        <v>0</v>
      </c>
      <c r="AC41" s="269">
        <f t="shared" si="22"/>
        <v>0</v>
      </c>
      <c r="AD41" s="271" t="str">
        <f>INDEX('Global inputs'!$C$134:$C$171,MATCH(F41,'Global inputs'!$B$134:$B$171,0))</f>
        <v>Asset relocations and undergrounding</v>
      </c>
      <c r="AE41" s="272">
        <f>IF(OR(H41='Operating leases'!$B$32,H41='Operating leases'!$B$33),"",INDEX('Global inputs'!$C$186:$C$243,MATCH(E41,'Global inputs'!$B$186:$B$243,0)))</f>
        <v>0.08</v>
      </c>
    </row>
    <row r="42" spans="1:31" s="27" customFormat="1" x14ac:dyDescent="0.2">
      <c r="A42" s="250"/>
      <c r="B42" s="210" t="s">
        <v>714</v>
      </c>
      <c r="C42" s="210" t="s">
        <v>289</v>
      </c>
      <c r="D42" s="210" t="s">
        <v>723</v>
      </c>
      <c r="E42" s="210" t="s">
        <v>164</v>
      </c>
      <c r="F42" s="210" t="s">
        <v>92</v>
      </c>
      <c r="G42" s="210" t="s">
        <v>724</v>
      </c>
      <c r="H42" s="197">
        <v>0</v>
      </c>
      <c r="I42" s="210" t="s">
        <v>221</v>
      </c>
      <c r="J42" s="210">
        <v>2020</v>
      </c>
      <c r="K42" s="210">
        <v>2020</v>
      </c>
      <c r="L42" s="268" t="str">
        <f t="shared" si="10"/>
        <v>Simple</v>
      </c>
      <c r="M42" s="197">
        <v>4159.7400531441981</v>
      </c>
      <c r="N42" s="197">
        <v>1993.7215639330182</v>
      </c>
      <c r="O42" s="257">
        <f>IF(ISNA(MATCH(H42,'Operating leases'!$B$32:$B$43,0)),0,INDEX('Operating leases'!$M$32:$S$43,MATCH(H42,'Operating leases'!$B$32:$B$43,0),MATCH(J42,'Operating leases'!$M$11:$S$11,0)))</f>
        <v>0</v>
      </c>
      <c r="P42" s="257">
        <f t="shared" si="11"/>
        <v>4159.7400531441981</v>
      </c>
      <c r="Q42" s="257">
        <f t="shared" si="12"/>
        <v>6153.461617077216</v>
      </c>
      <c r="R42" s="258">
        <f>INDEX('Escalators '!$M$124:$S$129,MATCH(I42,'Escalators '!$B$124:$B$129,0),MATCH(J42,'Escalators '!$M$113:$S$113,0))</f>
        <v>1</v>
      </c>
      <c r="S42" s="257">
        <f t="shared" si="13"/>
        <v>0</v>
      </c>
      <c r="T42" s="257">
        <f t="shared" si="14"/>
        <v>1993.7215639330182</v>
      </c>
      <c r="U42" s="269">
        <f t="shared" si="15"/>
        <v>4159.7400531441981</v>
      </c>
      <c r="V42" s="269">
        <f t="shared" si="16"/>
        <v>6153.461617077216</v>
      </c>
      <c r="W42" s="269">
        <f t="shared" si="17"/>
        <v>4159.7400531441981</v>
      </c>
      <c r="X42" s="257">
        <f t="shared" si="18"/>
        <v>6153.461617077216</v>
      </c>
      <c r="Y42" s="270">
        <f>IF(L42="Complex",(INDEX('Escalators '!$M$176:$S$176,MATCH('Forecast capex'!J42,'Escalators '!$M$178:$S$178,0))/12+1)^((K42-J42)*12)-1,0)</f>
        <v>0</v>
      </c>
      <c r="Z42" s="257">
        <f t="shared" si="19"/>
        <v>0</v>
      </c>
      <c r="AA42" s="257">
        <f t="shared" si="20"/>
        <v>0</v>
      </c>
      <c r="AB42" s="269">
        <f t="shared" si="21"/>
        <v>0</v>
      </c>
      <c r="AC42" s="269">
        <f t="shared" si="22"/>
        <v>0</v>
      </c>
      <c r="AD42" s="271" t="str">
        <f>INDEX('Global inputs'!$C$134:$C$171,MATCH(F42,'Global inputs'!$B$134:$B$171,0))</f>
        <v>Asset relocations and undergrounding</v>
      </c>
      <c r="AE42" s="272">
        <f>IF(OR(H42='Operating leases'!$B$32,H42='Operating leases'!$B$33),"",INDEX('Global inputs'!$C$186:$C$243,MATCH(E42,'Global inputs'!$B$186:$B$243,0)))</f>
        <v>0.08</v>
      </c>
    </row>
    <row r="43" spans="1:31" s="27" customFormat="1" x14ac:dyDescent="0.2">
      <c r="A43" s="250"/>
      <c r="B43" s="210" t="s">
        <v>714</v>
      </c>
      <c r="C43" s="210" t="s">
        <v>289</v>
      </c>
      <c r="D43" s="210" t="s">
        <v>723</v>
      </c>
      <c r="E43" s="210" t="s">
        <v>163</v>
      </c>
      <c r="F43" s="210" t="s">
        <v>92</v>
      </c>
      <c r="G43" s="210" t="s">
        <v>725</v>
      </c>
      <c r="H43" s="197">
        <v>0</v>
      </c>
      <c r="I43" s="210" t="s">
        <v>139</v>
      </c>
      <c r="J43" s="210">
        <v>2020</v>
      </c>
      <c r="K43" s="210">
        <v>2020</v>
      </c>
      <c r="L43" s="268" t="str">
        <f t="shared" si="10"/>
        <v>Simple</v>
      </c>
      <c r="M43" s="197">
        <v>18718.830239148891</v>
      </c>
      <c r="N43" s="197">
        <v>8971.7470376985821</v>
      </c>
      <c r="O43" s="257">
        <f>IF(ISNA(MATCH(H43,'Operating leases'!$B$32:$B$43,0)),0,INDEX('Operating leases'!$M$32:$S$43,MATCH(H43,'Operating leases'!$B$32:$B$43,0),MATCH(J43,'Operating leases'!$M$11:$S$11,0)))</f>
        <v>0</v>
      </c>
      <c r="P43" s="257">
        <f t="shared" si="11"/>
        <v>18718.830239148891</v>
      </c>
      <c r="Q43" s="257">
        <f t="shared" si="12"/>
        <v>27690.577276847471</v>
      </c>
      <c r="R43" s="258">
        <f>INDEX('Escalators '!$M$124:$S$129,MATCH(I43,'Escalators '!$B$124:$B$129,0),MATCH(J43,'Escalators '!$M$113:$S$113,0))</f>
        <v>1</v>
      </c>
      <c r="S43" s="257">
        <f t="shared" si="13"/>
        <v>0</v>
      </c>
      <c r="T43" s="257">
        <f t="shared" si="14"/>
        <v>8971.7470376985821</v>
      </c>
      <c r="U43" s="269">
        <f t="shared" si="15"/>
        <v>18718.830239148891</v>
      </c>
      <c r="V43" s="269">
        <f t="shared" si="16"/>
        <v>27690.577276847471</v>
      </c>
      <c r="W43" s="269">
        <f t="shared" si="17"/>
        <v>18718.830239148891</v>
      </c>
      <c r="X43" s="257">
        <f t="shared" si="18"/>
        <v>27690.577276847471</v>
      </c>
      <c r="Y43" s="270">
        <f>IF(L43="Complex",(INDEX('Escalators '!$M$176:$S$176,MATCH('Forecast capex'!J43,'Escalators '!$M$178:$S$178,0))/12+1)^((K43-J43)*12)-1,0)</f>
        <v>0</v>
      </c>
      <c r="Z43" s="257">
        <f t="shared" si="19"/>
        <v>0</v>
      </c>
      <c r="AA43" s="257">
        <f t="shared" si="20"/>
        <v>0</v>
      </c>
      <c r="AB43" s="269">
        <f t="shared" si="21"/>
        <v>0</v>
      </c>
      <c r="AC43" s="269">
        <f t="shared" si="22"/>
        <v>0</v>
      </c>
      <c r="AD43" s="271" t="str">
        <f>INDEX('Global inputs'!$C$134:$C$171,MATCH(F43,'Global inputs'!$B$134:$B$171,0))</f>
        <v>Asset relocations and undergrounding</v>
      </c>
      <c r="AE43" s="272">
        <f>IF(OR(H43='Operating leases'!$B$32,H43='Operating leases'!$B$33),"",INDEX('Global inputs'!$C$186:$C$243,MATCH(E43,'Global inputs'!$B$186:$B$243,0)))</f>
        <v>0.08</v>
      </c>
    </row>
    <row r="44" spans="1:31" s="27" customFormat="1" x14ac:dyDescent="0.2">
      <c r="A44" s="250"/>
      <c r="B44" s="210" t="s">
        <v>714</v>
      </c>
      <c r="C44" s="210" t="s">
        <v>289</v>
      </c>
      <c r="D44" s="210" t="s">
        <v>723</v>
      </c>
      <c r="E44" s="210" t="s">
        <v>163</v>
      </c>
      <c r="F44" s="210" t="s">
        <v>92</v>
      </c>
      <c r="G44" s="210" t="s">
        <v>725</v>
      </c>
      <c r="H44" s="197">
        <v>0</v>
      </c>
      <c r="I44" s="210" t="s">
        <v>221</v>
      </c>
      <c r="J44" s="210">
        <v>2020</v>
      </c>
      <c r="K44" s="210">
        <v>2020</v>
      </c>
      <c r="L44" s="268" t="str">
        <f t="shared" si="10"/>
        <v>Simple</v>
      </c>
      <c r="M44" s="197">
        <v>4679.7075597872226</v>
      </c>
      <c r="N44" s="197">
        <v>2242.9367594246455</v>
      </c>
      <c r="O44" s="257">
        <f>IF(ISNA(MATCH(H44,'Operating leases'!$B$32:$B$43,0)),0,INDEX('Operating leases'!$M$32:$S$43,MATCH(H44,'Operating leases'!$B$32:$B$43,0),MATCH(J44,'Operating leases'!$M$11:$S$11,0)))</f>
        <v>0</v>
      </c>
      <c r="P44" s="257">
        <f t="shared" si="11"/>
        <v>4679.7075597872226</v>
      </c>
      <c r="Q44" s="257">
        <f t="shared" si="12"/>
        <v>6922.6443192118677</v>
      </c>
      <c r="R44" s="258">
        <f>INDEX('Escalators '!$M$124:$S$129,MATCH(I44,'Escalators '!$B$124:$B$129,0),MATCH(J44,'Escalators '!$M$113:$S$113,0))</f>
        <v>1</v>
      </c>
      <c r="S44" s="257">
        <f t="shared" si="13"/>
        <v>0</v>
      </c>
      <c r="T44" s="257">
        <f t="shared" si="14"/>
        <v>2242.9367594246455</v>
      </c>
      <c r="U44" s="269">
        <f t="shared" si="15"/>
        <v>4679.7075597872226</v>
      </c>
      <c r="V44" s="269">
        <f t="shared" si="16"/>
        <v>6922.6443192118677</v>
      </c>
      <c r="W44" s="269">
        <f t="shared" si="17"/>
        <v>4679.7075597872226</v>
      </c>
      <c r="X44" s="257">
        <f t="shared" si="18"/>
        <v>6922.6443192118677</v>
      </c>
      <c r="Y44" s="270">
        <f>IF(L44="Complex",(INDEX('Escalators '!$M$176:$S$176,MATCH('Forecast capex'!J44,'Escalators '!$M$178:$S$178,0))/12+1)^((K44-J44)*12)-1,0)</f>
        <v>0</v>
      </c>
      <c r="Z44" s="257">
        <f t="shared" si="19"/>
        <v>0</v>
      </c>
      <c r="AA44" s="257">
        <f t="shared" si="20"/>
        <v>0</v>
      </c>
      <c r="AB44" s="269">
        <f t="shared" si="21"/>
        <v>0</v>
      </c>
      <c r="AC44" s="269">
        <f t="shared" si="22"/>
        <v>0</v>
      </c>
      <c r="AD44" s="271" t="str">
        <f>INDEX('Global inputs'!$C$134:$C$171,MATCH(F44,'Global inputs'!$B$134:$B$171,0))</f>
        <v>Asset relocations and undergrounding</v>
      </c>
      <c r="AE44" s="272">
        <f>IF(OR(H44='Operating leases'!$B$32,H44='Operating leases'!$B$33),"",INDEX('Global inputs'!$C$186:$C$243,MATCH(E44,'Global inputs'!$B$186:$B$243,0)))</f>
        <v>0.08</v>
      </c>
    </row>
    <row r="45" spans="1:31" s="27" customFormat="1" x14ac:dyDescent="0.2">
      <c r="A45" s="250"/>
      <c r="B45" s="210" t="s">
        <v>714</v>
      </c>
      <c r="C45" s="210" t="s">
        <v>285</v>
      </c>
      <c r="D45" s="210" t="s">
        <v>223</v>
      </c>
      <c r="E45" s="210" t="s">
        <v>134</v>
      </c>
      <c r="F45" s="210" t="s">
        <v>92</v>
      </c>
      <c r="G45" s="210" t="s">
        <v>726</v>
      </c>
      <c r="H45" s="197">
        <v>0</v>
      </c>
      <c r="I45" s="210" t="s">
        <v>223</v>
      </c>
      <c r="J45" s="210">
        <v>2020</v>
      </c>
      <c r="K45" s="210">
        <v>2020</v>
      </c>
      <c r="L45" s="268" t="str">
        <f t="shared" si="10"/>
        <v>Simple</v>
      </c>
      <c r="M45" s="197">
        <v>6239.6100797162962</v>
      </c>
      <c r="N45" s="197">
        <v>2990.5823458995269</v>
      </c>
      <c r="O45" s="257">
        <f>IF(ISNA(MATCH(H45,'Operating leases'!$B$32:$B$43,0)),0,INDEX('Operating leases'!$M$32:$S$43,MATCH(H45,'Operating leases'!$B$32:$B$43,0),MATCH(J45,'Operating leases'!$M$11:$S$11,0)))</f>
        <v>0</v>
      </c>
      <c r="P45" s="257">
        <f t="shared" si="11"/>
        <v>6239.6100797162962</v>
      </c>
      <c r="Q45" s="257">
        <f t="shared" si="12"/>
        <v>9230.1924256158236</v>
      </c>
      <c r="R45" s="258">
        <f>INDEX('Escalators '!$M$124:$S$129,MATCH(I45,'Escalators '!$B$124:$B$129,0),MATCH(J45,'Escalators '!$M$113:$S$113,0))</f>
        <v>1</v>
      </c>
      <c r="S45" s="257">
        <f t="shared" si="13"/>
        <v>0</v>
      </c>
      <c r="T45" s="257">
        <f t="shared" si="14"/>
        <v>2990.5823458995269</v>
      </c>
      <c r="U45" s="269">
        <f t="shared" si="15"/>
        <v>6239.6100797162962</v>
      </c>
      <c r="V45" s="269">
        <f t="shared" si="16"/>
        <v>9230.1924256158236</v>
      </c>
      <c r="W45" s="269">
        <f t="shared" si="17"/>
        <v>6239.6100797162962</v>
      </c>
      <c r="X45" s="257">
        <f t="shared" si="18"/>
        <v>9230.1924256158236</v>
      </c>
      <c r="Y45" s="270">
        <f>IF(L45="Complex",(INDEX('Escalators '!$M$176:$S$176,MATCH('Forecast capex'!J45,'Escalators '!$M$178:$S$178,0))/12+1)^((K45-J45)*12)-1,0)</f>
        <v>0</v>
      </c>
      <c r="Z45" s="257">
        <f t="shared" si="19"/>
        <v>0</v>
      </c>
      <c r="AA45" s="257">
        <f t="shared" si="20"/>
        <v>0</v>
      </c>
      <c r="AB45" s="269">
        <f t="shared" si="21"/>
        <v>0</v>
      </c>
      <c r="AC45" s="269">
        <f t="shared" si="22"/>
        <v>0</v>
      </c>
      <c r="AD45" s="271" t="str">
        <f>INDEX('Global inputs'!$C$134:$C$171,MATCH(F45,'Global inputs'!$B$134:$B$171,0))</f>
        <v>Asset relocations and undergrounding</v>
      </c>
      <c r="AE45" s="272">
        <f>IF(OR(H45='Operating leases'!$B$32,H45='Operating leases'!$B$33),"",INDEX('Global inputs'!$C$186:$C$243,MATCH(E45,'Global inputs'!$B$186:$B$243,0)))</f>
        <v>0.08</v>
      </c>
    </row>
    <row r="46" spans="1:31" s="27" customFormat="1" x14ac:dyDescent="0.2">
      <c r="A46" s="250"/>
      <c r="B46" s="210" t="s">
        <v>714</v>
      </c>
      <c r="C46" s="210" t="s">
        <v>285</v>
      </c>
      <c r="D46" s="210" t="s">
        <v>223</v>
      </c>
      <c r="E46" s="210" t="s">
        <v>134</v>
      </c>
      <c r="F46" s="210" t="s">
        <v>92</v>
      </c>
      <c r="G46" s="210" t="s">
        <v>726</v>
      </c>
      <c r="H46" s="197">
        <v>0</v>
      </c>
      <c r="I46" s="210" t="s">
        <v>221</v>
      </c>
      <c r="J46" s="210">
        <v>2020</v>
      </c>
      <c r="K46" s="210">
        <v>2020</v>
      </c>
      <c r="L46" s="268" t="str">
        <f t="shared" si="10"/>
        <v>Simple</v>
      </c>
      <c r="M46" s="197">
        <v>14559.090186004691</v>
      </c>
      <c r="N46" s="197">
        <v>6978.0254737655632</v>
      </c>
      <c r="O46" s="257">
        <f>IF(ISNA(MATCH(H46,'Operating leases'!$B$32:$B$43,0)),0,INDEX('Operating leases'!$M$32:$S$43,MATCH(H46,'Operating leases'!$B$32:$B$43,0),MATCH(J46,'Operating leases'!$M$11:$S$11,0)))</f>
        <v>0</v>
      </c>
      <c r="P46" s="257">
        <f t="shared" si="11"/>
        <v>14559.090186004691</v>
      </c>
      <c r="Q46" s="257">
        <f t="shared" si="12"/>
        <v>21537.115659770254</v>
      </c>
      <c r="R46" s="258">
        <f>INDEX('Escalators '!$M$124:$S$129,MATCH(I46,'Escalators '!$B$124:$B$129,0),MATCH(J46,'Escalators '!$M$113:$S$113,0))</f>
        <v>1</v>
      </c>
      <c r="S46" s="257">
        <f t="shared" si="13"/>
        <v>0</v>
      </c>
      <c r="T46" s="257">
        <f t="shared" si="14"/>
        <v>6978.0254737655632</v>
      </c>
      <c r="U46" s="269">
        <f t="shared" si="15"/>
        <v>14559.090186004691</v>
      </c>
      <c r="V46" s="269">
        <f t="shared" si="16"/>
        <v>21537.115659770254</v>
      </c>
      <c r="W46" s="269">
        <f t="shared" si="17"/>
        <v>14559.090186004691</v>
      </c>
      <c r="X46" s="257">
        <f t="shared" si="18"/>
        <v>21537.115659770254</v>
      </c>
      <c r="Y46" s="270">
        <f>IF(L46="Complex",(INDEX('Escalators '!$M$176:$S$176,MATCH('Forecast capex'!J46,'Escalators '!$M$178:$S$178,0))/12+1)^((K46-J46)*12)-1,0)</f>
        <v>0</v>
      </c>
      <c r="Z46" s="257">
        <f t="shared" si="19"/>
        <v>0</v>
      </c>
      <c r="AA46" s="257">
        <f t="shared" si="20"/>
        <v>0</v>
      </c>
      <c r="AB46" s="269">
        <f t="shared" si="21"/>
        <v>0</v>
      </c>
      <c r="AC46" s="269">
        <f t="shared" si="22"/>
        <v>0</v>
      </c>
      <c r="AD46" s="271" t="str">
        <f>INDEX('Global inputs'!$C$134:$C$171,MATCH(F46,'Global inputs'!$B$134:$B$171,0))</f>
        <v>Asset relocations and undergrounding</v>
      </c>
      <c r="AE46" s="272">
        <f>IF(OR(H46='Operating leases'!$B$32,H46='Operating leases'!$B$33),"",INDEX('Global inputs'!$C$186:$C$243,MATCH(E46,'Global inputs'!$B$186:$B$243,0)))</f>
        <v>0.08</v>
      </c>
    </row>
    <row r="47" spans="1:31" s="27" customFormat="1" x14ac:dyDescent="0.2">
      <c r="A47" s="250"/>
      <c r="B47" s="210" t="s">
        <v>714</v>
      </c>
      <c r="C47" s="210" t="s">
        <v>288</v>
      </c>
      <c r="D47" s="210" t="s">
        <v>223</v>
      </c>
      <c r="E47" s="210" t="s">
        <v>156</v>
      </c>
      <c r="F47" s="210" t="s">
        <v>92</v>
      </c>
      <c r="G47" s="210" t="s">
        <v>727</v>
      </c>
      <c r="H47" s="197">
        <v>0</v>
      </c>
      <c r="I47" s="210" t="s">
        <v>223</v>
      </c>
      <c r="J47" s="210">
        <v>2020</v>
      </c>
      <c r="K47" s="210">
        <v>2020</v>
      </c>
      <c r="L47" s="268" t="str">
        <f t="shared" si="10"/>
        <v>Simple</v>
      </c>
      <c r="M47" s="197">
        <v>67855.759616914729</v>
      </c>
      <c r="N47" s="197">
        <v>32522.583011657356</v>
      </c>
      <c r="O47" s="257">
        <f>IF(ISNA(MATCH(H47,'Operating leases'!$B$32:$B$43,0)),0,INDEX('Operating leases'!$M$32:$S$43,MATCH(H47,'Operating leases'!$B$32:$B$43,0),MATCH(J47,'Operating leases'!$M$11:$S$11,0)))</f>
        <v>0</v>
      </c>
      <c r="P47" s="257">
        <f t="shared" si="11"/>
        <v>67855.759616914729</v>
      </c>
      <c r="Q47" s="257">
        <f t="shared" si="12"/>
        <v>100378.34262857208</v>
      </c>
      <c r="R47" s="258">
        <f>INDEX('Escalators '!$M$124:$S$129,MATCH(I47,'Escalators '!$B$124:$B$129,0),MATCH(J47,'Escalators '!$M$113:$S$113,0))</f>
        <v>1</v>
      </c>
      <c r="S47" s="257">
        <f t="shared" si="13"/>
        <v>0</v>
      </c>
      <c r="T47" s="257">
        <f t="shared" si="14"/>
        <v>32522.583011657356</v>
      </c>
      <c r="U47" s="269">
        <f t="shared" si="15"/>
        <v>67855.759616914729</v>
      </c>
      <c r="V47" s="269">
        <f t="shared" si="16"/>
        <v>100378.34262857208</v>
      </c>
      <c r="W47" s="269">
        <f t="shared" si="17"/>
        <v>67855.759616914729</v>
      </c>
      <c r="X47" s="257">
        <f t="shared" si="18"/>
        <v>100378.34262857208</v>
      </c>
      <c r="Y47" s="270">
        <f>IF(L47="Complex",(INDEX('Escalators '!$M$176:$S$176,MATCH('Forecast capex'!J47,'Escalators '!$M$178:$S$178,0))/12+1)^((K47-J47)*12)-1,0)</f>
        <v>0</v>
      </c>
      <c r="Z47" s="257">
        <f t="shared" si="19"/>
        <v>0</v>
      </c>
      <c r="AA47" s="257">
        <f t="shared" si="20"/>
        <v>0</v>
      </c>
      <c r="AB47" s="269">
        <f t="shared" si="21"/>
        <v>0</v>
      </c>
      <c r="AC47" s="269">
        <f t="shared" si="22"/>
        <v>0</v>
      </c>
      <c r="AD47" s="271" t="str">
        <f>INDEX('Global inputs'!$C$134:$C$171,MATCH(F47,'Global inputs'!$B$134:$B$171,0))</f>
        <v>Asset relocations and undergrounding</v>
      </c>
      <c r="AE47" s="272">
        <f>IF(OR(H47='Operating leases'!$B$32,H47='Operating leases'!$B$33),"",INDEX('Global inputs'!$C$186:$C$243,MATCH(E47,'Global inputs'!$B$186:$B$243,0)))</f>
        <v>0.08</v>
      </c>
    </row>
    <row r="48" spans="1:31" s="27" customFormat="1" x14ac:dyDescent="0.2">
      <c r="A48" s="250"/>
      <c r="B48" s="210" t="s">
        <v>714</v>
      </c>
      <c r="C48" s="210" t="s">
        <v>288</v>
      </c>
      <c r="D48" s="210" t="s">
        <v>223</v>
      </c>
      <c r="E48" s="210" t="s">
        <v>156</v>
      </c>
      <c r="F48" s="210" t="s">
        <v>92</v>
      </c>
      <c r="G48" s="210" t="s">
        <v>727</v>
      </c>
      <c r="H48" s="197">
        <v>0</v>
      </c>
      <c r="I48" s="210" t="s">
        <v>221</v>
      </c>
      <c r="J48" s="210">
        <v>2020</v>
      </c>
      <c r="K48" s="210">
        <v>2020</v>
      </c>
      <c r="L48" s="268" t="str">
        <f t="shared" si="10"/>
        <v>Simple</v>
      </c>
      <c r="M48" s="197">
        <v>158330.10577280103</v>
      </c>
      <c r="N48" s="197">
        <v>75886.0270272005</v>
      </c>
      <c r="O48" s="257">
        <f>IF(ISNA(MATCH(H48,'Operating leases'!$B$32:$B$43,0)),0,INDEX('Operating leases'!$M$32:$S$43,MATCH(H48,'Operating leases'!$B$32:$B$43,0),MATCH(J48,'Operating leases'!$M$11:$S$11,0)))</f>
        <v>0</v>
      </c>
      <c r="P48" s="257">
        <f t="shared" si="11"/>
        <v>158330.10577280103</v>
      </c>
      <c r="Q48" s="257">
        <f t="shared" si="12"/>
        <v>234216.13280000153</v>
      </c>
      <c r="R48" s="258">
        <f>INDEX('Escalators '!$M$124:$S$129,MATCH(I48,'Escalators '!$B$124:$B$129,0),MATCH(J48,'Escalators '!$M$113:$S$113,0))</f>
        <v>1</v>
      </c>
      <c r="S48" s="257">
        <f t="shared" si="13"/>
        <v>0</v>
      </c>
      <c r="T48" s="257">
        <f t="shared" si="14"/>
        <v>75886.0270272005</v>
      </c>
      <c r="U48" s="269">
        <f t="shared" si="15"/>
        <v>158330.10577280103</v>
      </c>
      <c r="V48" s="269">
        <f t="shared" si="16"/>
        <v>234216.13280000153</v>
      </c>
      <c r="W48" s="269">
        <f t="shared" si="17"/>
        <v>158330.10577280103</v>
      </c>
      <c r="X48" s="257">
        <f t="shared" si="18"/>
        <v>234216.13280000153</v>
      </c>
      <c r="Y48" s="270">
        <f>IF(L48="Complex",(INDEX('Escalators '!$M$176:$S$176,MATCH('Forecast capex'!J48,'Escalators '!$M$178:$S$178,0))/12+1)^((K48-J48)*12)-1,0)</f>
        <v>0</v>
      </c>
      <c r="Z48" s="257">
        <f t="shared" si="19"/>
        <v>0</v>
      </c>
      <c r="AA48" s="257">
        <f t="shared" si="20"/>
        <v>0</v>
      </c>
      <c r="AB48" s="269">
        <f t="shared" si="21"/>
        <v>0</v>
      </c>
      <c r="AC48" s="269">
        <f t="shared" si="22"/>
        <v>0</v>
      </c>
      <c r="AD48" s="271" t="str">
        <f>INDEX('Global inputs'!$C$134:$C$171,MATCH(F48,'Global inputs'!$B$134:$B$171,0))</f>
        <v>Asset relocations and undergrounding</v>
      </c>
      <c r="AE48" s="272">
        <f>IF(OR(H48='Operating leases'!$B$32,H48='Operating leases'!$B$33),"",INDEX('Global inputs'!$C$186:$C$243,MATCH(E48,'Global inputs'!$B$186:$B$243,0)))</f>
        <v>0.08</v>
      </c>
    </row>
    <row r="49" spans="1:31" s="27" customFormat="1" x14ac:dyDescent="0.2">
      <c r="A49" s="250"/>
      <c r="B49" s="210" t="s">
        <v>714</v>
      </c>
      <c r="C49" s="210" t="s">
        <v>288</v>
      </c>
      <c r="D49" s="210" t="s">
        <v>223</v>
      </c>
      <c r="E49" s="210" t="s">
        <v>158</v>
      </c>
      <c r="F49" s="210" t="s">
        <v>92</v>
      </c>
      <c r="G49" s="210" t="s">
        <v>728</v>
      </c>
      <c r="H49" s="197">
        <v>0</v>
      </c>
      <c r="I49" s="210" t="s">
        <v>223</v>
      </c>
      <c r="J49" s="210">
        <v>2020</v>
      </c>
      <c r="K49" s="210">
        <v>2020</v>
      </c>
      <c r="L49" s="268" t="str">
        <f t="shared" si="10"/>
        <v>Simple</v>
      </c>
      <c r="M49" s="197">
        <v>57196.425730732713</v>
      </c>
      <c r="N49" s="197">
        <v>27413.671504078993</v>
      </c>
      <c r="O49" s="257">
        <f>IF(ISNA(MATCH(H49,'Operating leases'!$B$32:$B$43,0)),0,INDEX('Operating leases'!$M$32:$S$43,MATCH(H49,'Operating leases'!$B$32:$B$43,0),MATCH(J49,'Operating leases'!$M$11:$S$11,0)))</f>
        <v>0</v>
      </c>
      <c r="P49" s="257">
        <f t="shared" si="11"/>
        <v>57196.425730732713</v>
      </c>
      <c r="Q49" s="257">
        <f t="shared" si="12"/>
        <v>84610.097234811707</v>
      </c>
      <c r="R49" s="258">
        <f>INDEX('Escalators '!$M$124:$S$129,MATCH(I49,'Escalators '!$B$124:$B$129,0),MATCH(J49,'Escalators '!$M$113:$S$113,0))</f>
        <v>1</v>
      </c>
      <c r="S49" s="257">
        <f t="shared" si="13"/>
        <v>0</v>
      </c>
      <c r="T49" s="257">
        <f t="shared" si="14"/>
        <v>27413.671504078993</v>
      </c>
      <c r="U49" s="269">
        <f t="shared" si="15"/>
        <v>57196.425730732713</v>
      </c>
      <c r="V49" s="269">
        <f t="shared" si="16"/>
        <v>84610.097234811707</v>
      </c>
      <c r="W49" s="269">
        <f t="shared" si="17"/>
        <v>57196.425730732713</v>
      </c>
      <c r="X49" s="257">
        <f t="shared" si="18"/>
        <v>84610.097234811707</v>
      </c>
      <c r="Y49" s="270">
        <f>IF(L49="Complex",(INDEX('Escalators '!$M$176:$S$176,MATCH('Forecast capex'!J49,'Escalators '!$M$178:$S$178,0))/12+1)^((K49-J49)*12)-1,0)</f>
        <v>0</v>
      </c>
      <c r="Z49" s="257">
        <f t="shared" si="19"/>
        <v>0</v>
      </c>
      <c r="AA49" s="257">
        <f t="shared" si="20"/>
        <v>0</v>
      </c>
      <c r="AB49" s="269">
        <f t="shared" si="21"/>
        <v>0</v>
      </c>
      <c r="AC49" s="269">
        <f t="shared" si="22"/>
        <v>0</v>
      </c>
      <c r="AD49" s="271" t="str">
        <f>INDEX('Global inputs'!$C$134:$C$171,MATCH(F49,'Global inputs'!$B$134:$B$171,0))</f>
        <v>Asset relocations and undergrounding</v>
      </c>
      <c r="AE49" s="272">
        <f>IF(OR(H49='Operating leases'!$B$32,H49='Operating leases'!$B$33),"",INDEX('Global inputs'!$C$186:$C$243,MATCH(E49,'Global inputs'!$B$186:$B$243,0)))</f>
        <v>0.08</v>
      </c>
    </row>
    <row r="50" spans="1:31" s="27" customFormat="1" x14ac:dyDescent="0.2">
      <c r="A50" s="250"/>
      <c r="B50" s="210" t="s">
        <v>714</v>
      </c>
      <c r="C50" s="210" t="s">
        <v>288</v>
      </c>
      <c r="D50" s="210" t="s">
        <v>223</v>
      </c>
      <c r="E50" s="210" t="s">
        <v>158</v>
      </c>
      <c r="F50" s="210" t="s">
        <v>92</v>
      </c>
      <c r="G50" s="210" t="s">
        <v>728</v>
      </c>
      <c r="H50" s="197">
        <v>0</v>
      </c>
      <c r="I50" s="210" t="s">
        <v>221</v>
      </c>
      <c r="J50" s="210">
        <v>2020</v>
      </c>
      <c r="K50" s="210">
        <v>2020</v>
      </c>
      <c r="L50" s="268" t="str">
        <f t="shared" si="10"/>
        <v>Simple</v>
      </c>
      <c r="M50" s="197">
        <v>85794.638596099059</v>
      </c>
      <c r="N50" s="197">
        <v>41120.507256118493</v>
      </c>
      <c r="O50" s="257">
        <f>IF(ISNA(MATCH(H50,'Operating leases'!$B$32:$B$43,0)),0,INDEX('Operating leases'!$M$32:$S$43,MATCH(H50,'Operating leases'!$B$32:$B$43,0),MATCH(J50,'Operating leases'!$M$11:$S$11,0)))</f>
        <v>0</v>
      </c>
      <c r="P50" s="257">
        <f t="shared" si="11"/>
        <v>85794.638596099059</v>
      </c>
      <c r="Q50" s="257">
        <f t="shared" si="12"/>
        <v>126915.14585221755</v>
      </c>
      <c r="R50" s="258">
        <f>INDEX('Escalators '!$M$124:$S$129,MATCH(I50,'Escalators '!$B$124:$B$129,0),MATCH(J50,'Escalators '!$M$113:$S$113,0))</f>
        <v>1</v>
      </c>
      <c r="S50" s="257">
        <f t="shared" si="13"/>
        <v>0</v>
      </c>
      <c r="T50" s="257">
        <f t="shared" si="14"/>
        <v>41120.507256118493</v>
      </c>
      <c r="U50" s="269">
        <f t="shared" si="15"/>
        <v>85794.638596099059</v>
      </c>
      <c r="V50" s="269">
        <f t="shared" si="16"/>
        <v>126915.14585221755</v>
      </c>
      <c r="W50" s="269">
        <f t="shared" si="17"/>
        <v>85794.638596099059</v>
      </c>
      <c r="X50" s="257">
        <f t="shared" si="18"/>
        <v>126915.14585221755</v>
      </c>
      <c r="Y50" s="270">
        <f>IF(L50="Complex",(INDEX('Escalators '!$M$176:$S$176,MATCH('Forecast capex'!J50,'Escalators '!$M$178:$S$178,0))/12+1)^((K50-J50)*12)-1,0)</f>
        <v>0</v>
      </c>
      <c r="Z50" s="257">
        <f t="shared" si="19"/>
        <v>0</v>
      </c>
      <c r="AA50" s="257">
        <f t="shared" si="20"/>
        <v>0</v>
      </c>
      <c r="AB50" s="269">
        <f t="shared" si="21"/>
        <v>0</v>
      </c>
      <c r="AC50" s="269">
        <f t="shared" si="22"/>
        <v>0</v>
      </c>
      <c r="AD50" s="271" t="str">
        <f>INDEX('Global inputs'!$C$134:$C$171,MATCH(F50,'Global inputs'!$B$134:$B$171,0))</f>
        <v>Asset relocations and undergrounding</v>
      </c>
      <c r="AE50" s="272">
        <f>IF(OR(H50='Operating leases'!$B$32,H50='Operating leases'!$B$33),"",INDEX('Global inputs'!$C$186:$C$243,MATCH(E50,'Global inputs'!$B$186:$B$243,0)))</f>
        <v>0.08</v>
      </c>
    </row>
    <row r="51" spans="1:31" s="27" customFormat="1" x14ac:dyDescent="0.2">
      <c r="A51" s="250"/>
      <c r="B51" s="210" t="s">
        <v>714</v>
      </c>
      <c r="C51" s="210" t="s">
        <v>284</v>
      </c>
      <c r="D51" s="210" t="s">
        <v>729</v>
      </c>
      <c r="E51" s="210" t="s">
        <v>127</v>
      </c>
      <c r="F51" s="210" t="s">
        <v>92</v>
      </c>
      <c r="G51" s="210" t="s">
        <v>730</v>
      </c>
      <c r="H51" s="197">
        <v>0</v>
      </c>
      <c r="I51" s="210" t="s">
        <v>225</v>
      </c>
      <c r="J51" s="210">
        <v>2020</v>
      </c>
      <c r="K51" s="210">
        <v>2020</v>
      </c>
      <c r="L51" s="268" t="str">
        <f t="shared" si="10"/>
        <v>Simple</v>
      </c>
      <c r="M51" s="197">
        <v>1559.9025199290743</v>
      </c>
      <c r="N51" s="197">
        <v>747.64558647488184</v>
      </c>
      <c r="O51" s="257">
        <f>IF(ISNA(MATCH(H51,'Operating leases'!$B$32:$B$43,0)),0,INDEX('Operating leases'!$M$32:$S$43,MATCH(H51,'Operating leases'!$B$32:$B$43,0),MATCH(J51,'Operating leases'!$M$11:$S$11,0)))</f>
        <v>0</v>
      </c>
      <c r="P51" s="257">
        <f t="shared" si="11"/>
        <v>1559.9025199290743</v>
      </c>
      <c r="Q51" s="257">
        <f t="shared" si="12"/>
        <v>2307.5481064039559</v>
      </c>
      <c r="R51" s="258">
        <f>INDEX('Escalators '!$M$124:$S$129,MATCH(I51,'Escalators '!$B$124:$B$129,0),MATCH(J51,'Escalators '!$M$113:$S$113,0))</f>
        <v>1</v>
      </c>
      <c r="S51" s="257">
        <f t="shared" si="13"/>
        <v>0</v>
      </c>
      <c r="T51" s="257">
        <f t="shared" si="14"/>
        <v>747.64558647488184</v>
      </c>
      <c r="U51" s="269">
        <f t="shared" si="15"/>
        <v>1559.9025199290741</v>
      </c>
      <c r="V51" s="269">
        <f t="shared" si="16"/>
        <v>2307.5481064039559</v>
      </c>
      <c r="W51" s="269">
        <f t="shared" si="17"/>
        <v>1559.9025199290741</v>
      </c>
      <c r="X51" s="257">
        <f t="shared" si="18"/>
        <v>2307.5481064039559</v>
      </c>
      <c r="Y51" s="270">
        <f>IF(L51="Complex",(INDEX('Escalators '!$M$176:$S$176,MATCH('Forecast capex'!J51,'Escalators '!$M$178:$S$178,0))/12+1)^((K51-J51)*12)-1,0)</f>
        <v>0</v>
      </c>
      <c r="Z51" s="257">
        <f t="shared" si="19"/>
        <v>0</v>
      </c>
      <c r="AA51" s="257">
        <f t="shared" si="20"/>
        <v>0</v>
      </c>
      <c r="AB51" s="269">
        <f t="shared" si="21"/>
        <v>0</v>
      </c>
      <c r="AC51" s="269">
        <f t="shared" si="22"/>
        <v>0</v>
      </c>
      <c r="AD51" s="271" t="str">
        <f>INDEX('Global inputs'!$C$134:$C$171,MATCH(F51,'Global inputs'!$B$134:$B$171,0))</f>
        <v>Asset relocations and undergrounding</v>
      </c>
      <c r="AE51" s="272">
        <f>IF(OR(H51='Operating leases'!$B$32,H51='Operating leases'!$B$33),"",INDEX('Global inputs'!$C$186:$C$243,MATCH(E51,'Global inputs'!$B$186:$B$243,0)))</f>
        <v>0.08</v>
      </c>
    </row>
    <row r="52" spans="1:31" s="27" customFormat="1" x14ac:dyDescent="0.2">
      <c r="A52" s="250"/>
      <c r="B52" s="210" t="s">
        <v>714</v>
      </c>
      <c r="C52" s="210" t="s">
        <v>284</v>
      </c>
      <c r="D52" s="210" t="s">
        <v>729</v>
      </c>
      <c r="E52" s="210" t="s">
        <v>127</v>
      </c>
      <c r="F52" s="210" t="s">
        <v>92</v>
      </c>
      <c r="G52" s="210" t="s">
        <v>730</v>
      </c>
      <c r="H52" s="197">
        <v>0</v>
      </c>
      <c r="I52" s="210" t="s">
        <v>221</v>
      </c>
      <c r="J52" s="210">
        <v>2020</v>
      </c>
      <c r="K52" s="210">
        <v>2020</v>
      </c>
      <c r="L52" s="268" t="str">
        <f t="shared" si="10"/>
        <v>Simple</v>
      </c>
      <c r="M52" s="197">
        <v>6239.6100797162972</v>
      </c>
      <c r="N52" s="197">
        <v>2990.5823458995274</v>
      </c>
      <c r="O52" s="257">
        <f>IF(ISNA(MATCH(H52,'Operating leases'!$B$32:$B$43,0)),0,INDEX('Operating leases'!$M$32:$S$43,MATCH(H52,'Operating leases'!$B$32:$B$43,0),MATCH(J52,'Operating leases'!$M$11:$S$11,0)))</f>
        <v>0</v>
      </c>
      <c r="P52" s="257">
        <f t="shared" si="11"/>
        <v>6239.6100797162972</v>
      </c>
      <c r="Q52" s="257">
        <f t="shared" si="12"/>
        <v>9230.1924256158236</v>
      </c>
      <c r="R52" s="258">
        <f>INDEX('Escalators '!$M$124:$S$129,MATCH(I52,'Escalators '!$B$124:$B$129,0),MATCH(J52,'Escalators '!$M$113:$S$113,0))</f>
        <v>1</v>
      </c>
      <c r="S52" s="257">
        <f t="shared" si="13"/>
        <v>0</v>
      </c>
      <c r="T52" s="257">
        <f t="shared" si="14"/>
        <v>2990.5823458995274</v>
      </c>
      <c r="U52" s="269">
        <f t="shared" si="15"/>
        <v>6239.6100797162962</v>
      </c>
      <c r="V52" s="269">
        <f t="shared" si="16"/>
        <v>9230.1924256158236</v>
      </c>
      <c r="W52" s="269">
        <f t="shared" si="17"/>
        <v>6239.6100797162962</v>
      </c>
      <c r="X52" s="257">
        <f t="shared" si="18"/>
        <v>9230.1924256158236</v>
      </c>
      <c r="Y52" s="270">
        <f>IF(L52="Complex",(INDEX('Escalators '!$M$176:$S$176,MATCH('Forecast capex'!J52,'Escalators '!$M$178:$S$178,0))/12+1)^((K52-J52)*12)-1,0)</f>
        <v>0</v>
      </c>
      <c r="Z52" s="257">
        <f t="shared" si="19"/>
        <v>0</v>
      </c>
      <c r="AA52" s="257">
        <f t="shared" si="20"/>
        <v>0</v>
      </c>
      <c r="AB52" s="269">
        <f t="shared" si="21"/>
        <v>0</v>
      </c>
      <c r="AC52" s="269">
        <f t="shared" si="22"/>
        <v>0</v>
      </c>
      <c r="AD52" s="271" t="str">
        <f>INDEX('Global inputs'!$C$134:$C$171,MATCH(F52,'Global inputs'!$B$134:$B$171,0))</f>
        <v>Asset relocations and undergrounding</v>
      </c>
      <c r="AE52" s="272">
        <f>IF(OR(H52='Operating leases'!$B$32,H52='Operating leases'!$B$33),"",INDEX('Global inputs'!$C$186:$C$243,MATCH(E52,'Global inputs'!$B$186:$B$243,0)))</f>
        <v>0.08</v>
      </c>
    </row>
    <row r="53" spans="1:31" s="27" customFormat="1" x14ac:dyDescent="0.2">
      <c r="A53" s="250"/>
      <c r="B53" s="210" t="s">
        <v>714</v>
      </c>
      <c r="C53" s="210" t="s">
        <v>284</v>
      </c>
      <c r="D53" s="210" t="s">
        <v>729</v>
      </c>
      <c r="E53" s="210" t="s">
        <v>129</v>
      </c>
      <c r="F53" s="210" t="s">
        <v>92</v>
      </c>
      <c r="G53" s="210" t="s">
        <v>730</v>
      </c>
      <c r="H53" s="197">
        <v>0</v>
      </c>
      <c r="I53" s="210" t="s">
        <v>225</v>
      </c>
      <c r="J53" s="210">
        <v>2020</v>
      </c>
      <c r="K53" s="210">
        <v>2020</v>
      </c>
      <c r="L53" s="268" t="str">
        <f t="shared" si="10"/>
        <v>Simple</v>
      </c>
      <c r="M53" s="197">
        <v>1559.9025199290743</v>
      </c>
      <c r="N53" s="197">
        <v>747.64558647488184</v>
      </c>
      <c r="O53" s="257">
        <f>IF(ISNA(MATCH(H53,'Operating leases'!$B$32:$B$43,0)),0,INDEX('Operating leases'!$M$32:$S$43,MATCH(H53,'Operating leases'!$B$32:$B$43,0),MATCH(J53,'Operating leases'!$M$11:$S$11,0)))</f>
        <v>0</v>
      </c>
      <c r="P53" s="257">
        <f t="shared" si="11"/>
        <v>1559.9025199290743</v>
      </c>
      <c r="Q53" s="257">
        <f t="shared" si="12"/>
        <v>2307.5481064039559</v>
      </c>
      <c r="R53" s="258">
        <f>INDEX('Escalators '!$M$124:$S$129,MATCH(I53,'Escalators '!$B$124:$B$129,0),MATCH(J53,'Escalators '!$M$113:$S$113,0))</f>
        <v>1</v>
      </c>
      <c r="S53" s="257">
        <f t="shared" si="13"/>
        <v>0</v>
      </c>
      <c r="T53" s="257">
        <f t="shared" si="14"/>
        <v>747.64558647488184</v>
      </c>
      <c r="U53" s="269">
        <f t="shared" si="15"/>
        <v>1559.9025199290741</v>
      </c>
      <c r="V53" s="269">
        <f t="shared" si="16"/>
        <v>2307.5481064039559</v>
      </c>
      <c r="W53" s="269">
        <f t="shared" si="17"/>
        <v>1559.9025199290741</v>
      </c>
      <c r="X53" s="257">
        <f t="shared" si="18"/>
        <v>2307.5481064039559</v>
      </c>
      <c r="Y53" s="270">
        <f>IF(L53="Complex",(INDEX('Escalators '!$M$176:$S$176,MATCH('Forecast capex'!J53,'Escalators '!$M$178:$S$178,0))/12+1)^((K53-J53)*12)-1,0)</f>
        <v>0</v>
      </c>
      <c r="Z53" s="257">
        <f t="shared" si="19"/>
        <v>0</v>
      </c>
      <c r="AA53" s="257">
        <f t="shared" si="20"/>
        <v>0</v>
      </c>
      <c r="AB53" s="269">
        <f t="shared" si="21"/>
        <v>0</v>
      </c>
      <c r="AC53" s="269">
        <f t="shared" si="22"/>
        <v>0</v>
      </c>
      <c r="AD53" s="271" t="str">
        <f>INDEX('Global inputs'!$C$134:$C$171,MATCH(F53,'Global inputs'!$B$134:$B$171,0))</f>
        <v>Asset relocations and undergrounding</v>
      </c>
      <c r="AE53" s="272">
        <f>IF(OR(H53='Operating leases'!$B$32,H53='Operating leases'!$B$33),"",INDEX('Global inputs'!$C$186:$C$243,MATCH(E53,'Global inputs'!$B$186:$B$243,0)))</f>
        <v>0.1</v>
      </c>
    </row>
    <row r="54" spans="1:31" s="27" customFormat="1" x14ac:dyDescent="0.2">
      <c r="A54" s="250"/>
      <c r="B54" s="210" t="s">
        <v>714</v>
      </c>
      <c r="C54" s="210" t="s">
        <v>284</v>
      </c>
      <c r="D54" s="210" t="s">
        <v>729</v>
      </c>
      <c r="E54" s="210" t="s">
        <v>129</v>
      </c>
      <c r="F54" s="210" t="s">
        <v>92</v>
      </c>
      <c r="G54" s="210" t="s">
        <v>730</v>
      </c>
      <c r="H54" s="197">
        <v>0</v>
      </c>
      <c r="I54" s="210" t="s">
        <v>221</v>
      </c>
      <c r="J54" s="210">
        <v>2020</v>
      </c>
      <c r="K54" s="210">
        <v>2020</v>
      </c>
      <c r="L54" s="268" t="str">
        <f t="shared" si="10"/>
        <v>Simple</v>
      </c>
      <c r="M54" s="197">
        <v>6239.6100797162972</v>
      </c>
      <c r="N54" s="197">
        <v>2990.5823458995274</v>
      </c>
      <c r="O54" s="257">
        <f>IF(ISNA(MATCH(H54,'Operating leases'!$B$32:$B$43,0)),0,INDEX('Operating leases'!$M$32:$S$43,MATCH(H54,'Operating leases'!$B$32:$B$43,0),MATCH(J54,'Operating leases'!$M$11:$S$11,0)))</f>
        <v>0</v>
      </c>
      <c r="P54" s="257">
        <f t="shared" si="11"/>
        <v>6239.6100797162972</v>
      </c>
      <c r="Q54" s="257">
        <f t="shared" si="12"/>
        <v>9230.1924256158236</v>
      </c>
      <c r="R54" s="258">
        <f>INDEX('Escalators '!$M$124:$S$129,MATCH(I54,'Escalators '!$B$124:$B$129,0),MATCH(J54,'Escalators '!$M$113:$S$113,0))</f>
        <v>1</v>
      </c>
      <c r="S54" s="257">
        <f t="shared" si="13"/>
        <v>0</v>
      </c>
      <c r="T54" s="257">
        <f t="shared" si="14"/>
        <v>2990.5823458995274</v>
      </c>
      <c r="U54" s="269">
        <f t="shared" si="15"/>
        <v>6239.6100797162962</v>
      </c>
      <c r="V54" s="269">
        <f t="shared" si="16"/>
        <v>9230.1924256158236</v>
      </c>
      <c r="W54" s="269">
        <f t="shared" si="17"/>
        <v>6239.6100797162962</v>
      </c>
      <c r="X54" s="257">
        <f t="shared" si="18"/>
        <v>9230.1924256158236</v>
      </c>
      <c r="Y54" s="270">
        <f>IF(L54="Complex",(INDEX('Escalators '!$M$176:$S$176,MATCH('Forecast capex'!J54,'Escalators '!$M$178:$S$178,0))/12+1)^((K54-J54)*12)-1,0)</f>
        <v>0</v>
      </c>
      <c r="Z54" s="257">
        <f t="shared" si="19"/>
        <v>0</v>
      </c>
      <c r="AA54" s="257">
        <f t="shared" si="20"/>
        <v>0</v>
      </c>
      <c r="AB54" s="269">
        <f t="shared" si="21"/>
        <v>0</v>
      </c>
      <c r="AC54" s="269">
        <f t="shared" si="22"/>
        <v>0</v>
      </c>
      <c r="AD54" s="271" t="str">
        <f>INDEX('Global inputs'!$C$134:$C$171,MATCH(F54,'Global inputs'!$B$134:$B$171,0))</f>
        <v>Asset relocations and undergrounding</v>
      </c>
      <c r="AE54" s="272">
        <f>IF(OR(H54='Operating leases'!$B$32,H54='Operating leases'!$B$33),"",INDEX('Global inputs'!$C$186:$C$243,MATCH(E54,'Global inputs'!$B$186:$B$243,0)))</f>
        <v>0.1</v>
      </c>
    </row>
    <row r="55" spans="1:31" s="27" customFormat="1" x14ac:dyDescent="0.2">
      <c r="A55" s="250"/>
      <c r="B55" s="210" t="s">
        <v>714</v>
      </c>
      <c r="C55" s="210" t="s">
        <v>287</v>
      </c>
      <c r="D55" s="210" t="s">
        <v>729</v>
      </c>
      <c r="E55" s="210" t="s">
        <v>150</v>
      </c>
      <c r="F55" s="210" t="s">
        <v>92</v>
      </c>
      <c r="G55" s="210" t="s">
        <v>731</v>
      </c>
      <c r="H55" s="197">
        <v>0</v>
      </c>
      <c r="I55" s="210" t="s">
        <v>225</v>
      </c>
      <c r="J55" s="210">
        <v>2020</v>
      </c>
      <c r="K55" s="210">
        <v>2020</v>
      </c>
      <c r="L55" s="268" t="str">
        <f t="shared" si="10"/>
        <v>Simple</v>
      </c>
      <c r="M55" s="197">
        <v>2599.8375332151236</v>
      </c>
      <c r="N55" s="197">
        <v>1246.0759774581363</v>
      </c>
      <c r="O55" s="257">
        <f>IF(ISNA(MATCH(H55,'Operating leases'!$B$32:$B$43,0)),0,INDEX('Operating leases'!$M$32:$S$43,MATCH(H55,'Operating leases'!$B$32:$B$43,0),MATCH(J55,'Operating leases'!$M$11:$S$11,0)))</f>
        <v>0</v>
      </c>
      <c r="P55" s="257">
        <f t="shared" si="11"/>
        <v>2599.8375332151236</v>
      </c>
      <c r="Q55" s="257">
        <f t="shared" si="12"/>
        <v>3845.9135106732601</v>
      </c>
      <c r="R55" s="258">
        <f>INDEX('Escalators '!$M$124:$S$129,MATCH(I55,'Escalators '!$B$124:$B$129,0),MATCH(J55,'Escalators '!$M$113:$S$113,0))</f>
        <v>1</v>
      </c>
      <c r="S55" s="257">
        <f t="shared" si="13"/>
        <v>0</v>
      </c>
      <c r="T55" s="257">
        <f t="shared" si="14"/>
        <v>1246.0759774581363</v>
      </c>
      <c r="U55" s="269">
        <f t="shared" si="15"/>
        <v>2599.8375332151236</v>
      </c>
      <c r="V55" s="269">
        <f t="shared" si="16"/>
        <v>3845.9135106732601</v>
      </c>
      <c r="W55" s="269">
        <f t="shared" si="17"/>
        <v>2599.8375332151236</v>
      </c>
      <c r="X55" s="257">
        <f t="shared" si="18"/>
        <v>3845.9135106732601</v>
      </c>
      <c r="Y55" s="270">
        <f>IF(L55="Complex",(INDEX('Escalators '!$M$176:$S$176,MATCH('Forecast capex'!J55,'Escalators '!$M$178:$S$178,0))/12+1)^((K55-J55)*12)-1,0)</f>
        <v>0</v>
      </c>
      <c r="Z55" s="257">
        <f t="shared" si="19"/>
        <v>0</v>
      </c>
      <c r="AA55" s="257">
        <f t="shared" si="20"/>
        <v>0</v>
      </c>
      <c r="AB55" s="269">
        <f t="shared" si="21"/>
        <v>0</v>
      </c>
      <c r="AC55" s="269">
        <f t="shared" si="22"/>
        <v>0</v>
      </c>
      <c r="AD55" s="271" t="str">
        <f>INDEX('Global inputs'!$C$134:$C$171,MATCH(F55,'Global inputs'!$B$134:$B$171,0))</f>
        <v>Asset relocations and undergrounding</v>
      </c>
      <c r="AE55" s="272">
        <f>IF(OR(H55='Operating leases'!$B$32,H55='Operating leases'!$B$33),"",INDEX('Global inputs'!$C$186:$C$243,MATCH(E55,'Global inputs'!$B$186:$B$243,0)))</f>
        <v>0.08</v>
      </c>
    </row>
    <row r="56" spans="1:31" s="27" customFormat="1" x14ac:dyDescent="0.2">
      <c r="A56" s="250"/>
      <c r="B56" s="210" t="s">
        <v>714</v>
      </c>
      <c r="C56" s="210" t="s">
        <v>287</v>
      </c>
      <c r="D56" s="210" t="s">
        <v>729</v>
      </c>
      <c r="E56" s="210" t="s">
        <v>150</v>
      </c>
      <c r="F56" s="210" t="s">
        <v>92</v>
      </c>
      <c r="G56" s="210" t="s">
        <v>731</v>
      </c>
      <c r="H56" s="197">
        <v>0</v>
      </c>
      <c r="I56" s="210" t="s">
        <v>221</v>
      </c>
      <c r="J56" s="210">
        <v>2020</v>
      </c>
      <c r="K56" s="210">
        <v>2020</v>
      </c>
      <c r="L56" s="268" t="str">
        <f t="shared" si="10"/>
        <v>Simple</v>
      </c>
      <c r="M56" s="197">
        <v>10399.350132860494</v>
      </c>
      <c r="N56" s="197">
        <v>4984.3039098325453</v>
      </c>
      <c r="O56" s="257">
        <f>IF(ISNA(MATCH(H56,'Operating leases'!$B$32:$B$43,0)),0,INDEX('Operating leases'!$M$32:$S$43,MATCH(H56,'Operating leases'!$B$32:$B$43,0),MATCH(J56,'Operating leases'!$M$11:$S$11,0)))</f>
        <v>0</v>
      </c>
      <c r="P56" s="257">
        <f t="shared" si="11"/>
        <v>10399.350132860494</v>
      </c>
      <c r="Q56" s="257">
        <f t="shared" si="12"/>
        <v>15383.654042693041</v>
      </c>
      <c r="R56" s="258">
        <f>INDEX('Escalators '!$M$124:$S$129,MATCH(I56,'Escalators '!$B$124:$B$129,0),MATCH(J56,'Escalators '!$M$113:$S$113,0))</f>
        <v>1</v>
      </c>
      <c r="S56" s="257">
        <f t="shared" si="13"/>
        <v>0</v>
      </c>
      <c r="T56" s="257">
        <f t="shared" si="14"/>
        <v>4984.3039098325453</v>
      </c>
      <c r="U56" s="269">
        <f t="shared" si="15"/>
        <v>10399.350132860494</v>
      </c>
      <c r="V56" s="269">
        <f t="shared" si="16"/>
        <v>15383.654042693041</v>
      </c>
      <c r="W56" s="269">
        <f t="shared" si="17"/>
        <v>10399.350132860494</v>
      </c>
      <c r="X56" s="257">
        <f t="shared" si="18"/>
        <v>15383.654042693041</v>
      </c>
      <c r="Y56" s="270">
        <f>IF(L56="Complex",(INDEX('Escalators '!$M$176:$S$176,MATCH('Forecast capex'!J56,'Escalators '!$M$178:$S$178,0))/12+1)^((K56-J56)*12)-1,0)</f>
        <v>0</v>
      </c>
      <c r="Z56" s="257">
        <f t="shared" si="19"/>
        <v>0</v>
      </c>
      <c r="AA56" s="257">
        <f t="shared" si="20"/>
        <v>0</v>
      </c>
      <c r="AB56" s="269">
        <f t="shared" si="21"/>
        <v>0</v>
      </c>
      <c r="AC56" s="269">
        <f t="shared" si="22"/>
        <v>0</v>
      </c>
      <c r="AD56" s="271" t="str">
        <f>INDEX('Global inputs'!$C$134:$C$171,MATCH(F56,'Global inputs'!$B$134:$B$171,0))</f>
        <v>Asset relocations and undergrounding</v>
      </c>
      <c r="AE56" s="272">
        <f>IF(OR(H56='Operating leases'!$B$32,H56='Operating leases'!$B$33),"",INDEX('Global inputs'!$C$186:$C$243,MATCH(E56,'Global inputs'!$B$186:$B$243,0)))</f>
        <v>0.08</v>
      </c>
    </row>
    <row r="57" spans="1:31" s="27" customFormat="1" x14ac:dyDescent="0.2">
      <c r="A57" s="250"/>
      <c r="B57" s="210" t="s">
        <v>714</v>
      </c>
      <c r="C57" s="210" t="s">
        <v>287</v>
      </c>
      <c r="D57" s="210" t="s">
        <v>729</v>
      </c>
      <c r="E57" s="210" t="s">
        <v>151</v>
      </c>
      <c r="F57" s="210" t="s">
        <v>92</v>
      </c>
      <c r="G57" s="210" t="s">
        <v>731</v>
      </c>
      <c r="H57" s="197">
        <v>0</v>
      </c>
      <c r="I57" s="210" t="s">
        <v>225</v>
      </c>
      <c r="J57" s="210">
        <v>2020</v>
      </c>
      <c r="K57" s="210">
        <v>2020</v>
      </c>
      <c r="L57" s="268" t="str">
        <f t="shared" si="10"/>
        <v>Simple</v>
      </c>
      <c r="M57" s="197">
        <v>2599.8375332151236</v>
      </c>
      <c r="N57" s="197">
        <v>1246.0759774581363</v>
      </c>
      <c r="O57" s="257">
        <f>IF(ISNA(MATCH(H57,'Operating leases'!$B$32:$B$43,0)),0,INDEX('Operating leases'!$M$32:$S$43,MATCH(H57,'Operating leases'!$B$32:$B$43,0),MATCH(J57,'Operating leases'!$M$11:$S$11,0)))</f>
        <v>0</v>
      </c>
      <c r="P57" s="257">
        <f t="shared" si="11"/>
        <v>2599.8375332151236</v>
      </c>
      <c r="Q57" s="257">
        <f t="shared" si="12"/>
        <v>3845.9135106732601</v>
      </c>
      <c r="R57" s="258">
        <f>INDEX('Escalators '!$M$124:$S$129,MATCH(I57,'Escalators '!$B$124:$B$129,0),MATCH(J57,'Escalators '!$M$113:$S$113,0))</f>
        <v>1</v>
      </c>
      <c r="S57" s="257">
        <f t="shared" si="13"/>
        <v>0</v>
      </c>
      <c r="T57" s="257">
        <f t="shared" si="14"/>
        <v>1246.0759774581363</v>
      </c>
      <c r="U57" s="269">
        <f t="shared" si="15"/>
        <v>2599.8375332151236</v>
      </c>
      <c r="V57" s="269">
        <f t="shared" si="16"/>
        <v>3845.9135106732601</v>
      </c>
      <c r="W57" s="269">
        <f t="shared" si="17"/>
        <v>2599.8375332151236</v>
      </c>
      <c r="X57" s="257">
        <f t="shared" si="18"/>
        <v>3845.9135106732601</v>
      </c>
      <c r="Y57" s="270">
        <f>IF(L57="Complex",(INDEX('Escalators '!$M$176:$S$176,MATCH('Forecast capex'!J57,'Escalators '!$M$178:$S$178,0))/12+1)^((K57-J57)*12)-1,0)</f>
        <v>0</v>
      </c>
      <c r="Z57" s="257">
        <f t="shared" si="19"/>
        <v>0</v>
      </c>
      <c r="AA57" s="257">
        <f t="shared" si="20"/>
        <v>0</v>
      </c>
      <c r="AB57" s="269">
        <f t="shared" si="21"/>
        <v>0</v>
      </c>
      <c r="AC57" s="269">
        <f t="shared" si="22"/>
        <v>0</v>
      </c>
      <c r="AD57" s="271" t="str">
        <f>INDEX('Global inputs'!$C$134:$C$171,MATCH(F57,'Global inputs'!$B$134:$B$171,0))</f>
        <v>Asset relocations and undergrounding</v>
      </c>
      <c r="AE57" s="272">
        <f>IF(OR(H57='Operating leases'!$B$32,H57='Operating leases'!$B$33),"",INDEX('Global inputs'!$C$186:$C$243,MATCH(E57,'Global inputs'!$B$186:$B$243,0)))</f>
        <v>0.1</v>
      </c>
    </row>
    <row r="58" spans="1:31" s="27" customFormat="1" x14ac:dyDescent="0.2">
      <c r="A58" s="250"/>
      <c r="B58" s="210" t="s">
        <v>714</v>
      </c>
      <c r="C58" s="210" t="s">
        <v>287</v>
      </c>
      <c r="D58" s="210" t="s">
        <v>729</v>
      </c>
      <c r="E58" s="210" t="s">
        <v>151</v>
      </c>
      <c r="F58" s="210" t="s">
        <v>92</v>
      </c>
      <c r="G58" s="210" t="s">
        <v>731</v>
      </c>
      <c r="H58" s="197">
        <v>0</v>
      </c>
      <c r="I58" s="210" t="s">
        <v>221</v>
      </c>
      <c r="J58" s="210">
        <v>2020</v>
      </c>
      <c r="K58" s="210">
        <v>2020</v>
      </c>
      <c r="L58" s="268" t="str">
        <f t="shared" si="10"/>
        <v>Simple</v>
      </c>
      <c r="M58" s="197">
        <v>10399.350132860494</v>
      </c>
      <c r="N58" s="197">
        <v>4984.3039098325453</v>
      </c>
      <c r="O58" s="257">
        <f>IF(ISNA(MATCH(H58,'Operating leases'!$B$32:$B$43,0)),0,INDEX('Operating leases'!$M$32:$S$43,MATCH(H58,'Operating leases'!$B$32:$B$43,0),MATCH(J58,'Operating leases'!$M$11:$S$11,0)))</f>
        <v>0</v>
      </c>
      <c r="P58" s="257">
        <f t="shared" si="11"/>
        <v>10399.350132860494</v>
      </c>
      <c r="Q58" s="257">
        <f t="shared" si="12"/>
        <v>15383.654042693041</v>
      </c>
      <c r="R58" s="258">
        <f>INDEX('Escalators '!$M$124:$S$129,MATCH(I58,'Escalators '!$B$124:$B$129,0),MATCH(J58,'Escalators '!$M$113:$S$113,0))</f>
        <v>1</v>
      </c>
      <c r="S58" s="257">
        <f t="shared" si="13"/>
        <v>0</v>
      </c>
      <c r="T58" s="257">
        <f t="shared" si="14"/>
        <v>4984.3039098325453</v>
      </c>
      <c r="U58" s="269">
        <f t="shared" si="15"/>
        <v>10399.350132860494</v>
      </c>
      <c r="V58" s="269">
        <f t="shared" si="16"/>
        <v>15383.654042693041</v>
      </c>
      <c r="W58" s="269">
        <f t="shared" si="17"/>
        <v>10399.350132860494</v>
      </c>
      <c r="X58" s="257">
        <f t="shared" si="18"/>
        <v>15383.654042693041</v>
      </c>
      <c r="Y58" s="270">
        <f>IF(L58="Complex",(INDEX('Escalators '!$M$176:$S$176,MATCH('Forecast capex'!J58,'Escalators '!$M$178:$S$178,0))/12+1)^((K58-J58)*12)-1,0)</f>
        <v>0</v>
      </c>
      <c r="Z58" s="257">
        <f t="shared" si="19"/>
        <v>0</v>
      </c>
      <c r="AA58" s="257">
        <f t="shared" si="20"/>
        <v>0</v>
      </c>
      <c r="AB58" s="269">
        <f t="shared" si="21"/>
        <v>0</v>
      </c>
      <c r="AC58" s="269">
        <f t="shared" si="22"/>
        <v>0</v>
      </c>
      <c r="AD58" s="271" t="str">
        <f>INDEX('Global inputs'!$C$134:$C$171,MATCH(F58,'Global inputs'!$B$134:$B$171,0))</f>
        <v>Asset relocations and undergrounding</v>
      </c>
      <c r="AE58" s="272">
        <f>IF(OR(H58='Operating leases'!$B$32,H58='Operating leases'!$B$33),"",INDEX('Global inputs'!$C$186:$C$243,MATCH(E58,'Global inputs'!$B$186:$B$243,0)))</f>
        <v>0.1</v>
      </c>
    </row>
    <row r="59" spans="1:31" s="27" customFormat="1" x14ac:dyDescent="0.2">
      <c r="A59" s="250"/>
      <c r="B59" s="210" t="s">
        <v>714</v>
      </c>
      <c r="C59" s="210" t="s">
        <v>284</v>
      </c>
      <c r="D59" s="210" t="s">
        <v>715</v>
      </c>
      <c r="E59" s="210" t="s">
        <v>127</v>
      </c>
      <c r="F59" s="210" t="s">
        <v>94</v>
      </c>
      <c r="G59" s="210" t="s">
        <v>716</v>
      </c>
      <c r="H59" s="197">
        <v>0</v>
      </c>
      <c r="I59" s="210" t="s">
        <v>229</v>
      </c>
      <c r="J59" s="210">
        <v>2020</v>
      </c>
      <c r="K59" s="210">
        <v>2020</v>
      </c>
      <c r="L59" s="268" t="str">
        <f t="shared" si="10"/>
        <v>Simple</v>
      </c>
      <c r="M59" s="197">
        <v>507.5949483881169</v>
      </c>
      <c r="N59" s="197">
        <v>934.43615498721488</v>
      </c>
      <c r="O59" s="257">
        <f>IF(ISNA(MATCH(H59,'Operating leases'!$B$32:$B$43,0)),0,INDEX('Operating leases'!$M$32:$S$43,MATCH(H59,'Operating leases'!$B$32:$B$43,0),MATCH(J59,'Operating leases'!$M$11:$S$11,0)))</f>
        <v>0</v>
      </c>
      <c r="P59" s="257">
        <f t="shared" si="11"/>
        <v>507.5949483881169</v>
      </c>
      <c r="Q59" s="257">
        <f t="shared" si="12"/>
        <v>1442.0311033753319</v>
      </c>
      <c r="R59" s="258">
        <f>INDEX('Escalators '!$M$124:$S$129,MATCH(I59,'Escalators '!$B$124:$B$129,0),MATCH(J59,'Escalators '!$M$113:$S$113,0))</f>
        <v>1</v>
      </c>
      <c r="S59" s="257">
        <f t="shared" si="13"/>
        <v>0</v>
      </c>
      <c r="T59" s="257">
        <f t="shared" si="14"/>
        <v>934.43615498721488</v>
      </c>
      <c r="U59" s="269">
        <f t="shared" si="15"/>
        <v>507.59494838811702</v>
      </c>
      <c r="V59" s="269">
        <f t="shared" si="16"/>
        <v>1442.0311033753319</v>
      </c>
      <c r="W59" s="269">
        <f t="shared" si="17"/>
        <v>507.59494838811702</v>
      </c>
      <c r="X59" s="257">
        <f t="shared" si="18"/>
        <v>1442.0311033753319</v>
      </c>
      <c r="Y59" s="270">
        <f>IF(L59="Complex",(INDEX('Escalators '!$M$176:$S$176,MATCH('Forecast capex'!J59,'Escalators '!$M$178:$S$178,0))/12+1)^((K59-J59)*12)-1,0)</f>
        <v>0</v>
      </c>
      <c r="Z59" s="257">
        <f t="shared" si="19"/>
        <v>0</v>
      </c>
      <c r="AA59" s="257">
        <f t="shared" si="20"/>
        <v>0</v>
      </c>
      <c r="AB59" s="269">
        <f t="shared" si="21"/>
        <v>0</v>
      </c>
      <c r="AC59" s="269">
        <f t="shared" si="22"/>
        <v>0</v>
      </c>
      <c r="AD59" s="271" t="str">
        <f>INDEX('Global inputs'!$C$134:$C$171,MATCH(F59,'Global inputs'!$B$134:$B$171,0))</f>
        <v>Consumer connection</v>
      </c>
      <c r="AE59" s="272">
        <f>IF(OR(H59='Operating leases'!$B$32,H59='Operating leases'!$B$33),"",INDEX('Global inputs'!$C$186:$C$243,MATCH(E59,'Global inputs'!$B$186:$B$243,0)))</f>
        <v>0.08</v>
      </c>
    </row>
    <row r="60" spans="1:31" s="27" customFormat="1" x14ac:dyDescent="0.2">
      <c r="A60" s="250"/>
      <c r="B60" s="210" t="s">
        <v>714</v>
      </c>
      <c r="C60" s="210" t="s">
        <v>284</v>
      </c>
      <c r="D60" s="210" t="s">
        <v>715</v>
      </c>
      <c r="E60" s="210" t="s">
        <v>127</v>
      </c>
      <c r="F60" s="210" t="s">
        <v>94</v>
      </c>
      <c r="G60" s="210" t="s">
        <v>716</v>
      </c>
      <c r="H60" s="197">
        <v>0</v>
      </c>
      <c r="I60" s="210" t="s">
        <v>221</v>
      </c>
      <c r="J60" s="210">
        <v>2020</v>
      </c>
      <c r="K60" s="210">
        <v>2020</v>
      </c>
      <c r="L60" s="268" t="str">
        <f t="shared" si="10"/>
        <v>Simple</v>
      </c>
      <c r="M60" s="197">
        <v>507.5949483881169</v>
      </c>
      <c r="N60" s="197">
        <v>934.43615498721488</v>
      </c>
      <c r="O60" s="257">
        <f>IF(ISNA(MATCH(H60,'Operating leases'!$B$32:$B$43,0)),0,INDEX('Operating leases'!$M$32:$S$43,MATCH(H60,'Operating leases'!$B$32:$B$43,0),MATCH(J60,'Operating leases'!$M$11:$S$11,0)))</f>
        <v>0</v>
      </c>
      <c r="P60" s="257">
        <f t="shared" si="11"/>
        <v>507.5949483881169</v>
      </c>
      <c r="Q60" s="257">
        <f t="shared" si="12"/>
        <v>1442.0311033753319</v>
      </c>
      <c r="R60" s="258">
        <f>INDEX('Escalators '!$M$124:$S$129,MATCH(I60,'Escalators '!$B$124:$B$129,0),MATCH(J60,'Escalators '!$M$113:$S$113,0))</f>
        <v>1</v>
      </c>
      <c r="S60" s="257">
        <f t="shared" si="13"/>
        <v>0</v>
      </c>
      <c r="T60" s="257">
        <f t="shared" si="14"/>
        <v>934.43615498721488</v>
      </c>
      <c r="U60" s="269">
        <f t="shared" si="15"/>
        <v>507.59494838811702</v>
      </c>
      <c r="V60" s="269">
        <f t="shared" si="16"/>
        <v>1442.0311033753319</v>
      </c>
      <c r="W60" s="269">
        <f t="shared" si="17"/>
        <v>507.59494838811702</v>
      </c>
      <c r="X60" s="257">
        <f t="shared" si="18"/>
        <v>1442.0311033753319</v>
      </c>
      <c r="Y60" s="270">
        <f>IF(L60="Complex",(INDEX('Escalators '!$M$176:$S$176,MATCH('Forecast capex'!J60,'Escalators '!$M$178:$S$178,0))/12+1)^((K60-J60)*12)-1,0)</f>
        <v>0</v>
      </c>
      <c r="Z60" s="257">
        <f t="shared" si="19"/>
        <v>0</v>
      </c>
      <c r="AA60" s="257">
        <f t="shared" si="20"/>
        <v>0</v>
      </c>
      <c r="AB60" s="269">
        <f t="shared" si="21"/>
        <v>0</v>
      </c>
      <c r="AC60" s="269">
        <f t="shared" si="22"/>
        <v>0</v>
      </c>
      <c r="AD60" s="271" t="str">
        <f>INDEX('Global inputs'!$C$134:$C$171,MATCH(F60,'Global inputs'!$B$134:$B$171,0))</f>
        <v>Consumer connection</v>
      </c>
      <c r="AE60" s="272">
        <f>IF(OR(H60='Operating leases'!$B$32,H60='Operating leases'!$B$33),"",INDEX('Global inputs'!$C$186:$C$243,MATCH(E60,'Global inputs'!$B$186:$B$243,0)))</f>
        <v>0.08</v>
      </c>
    </row>
    <row r="61" spans="1:31" s="27" customFormat="1" x14ac:dyDescent="0.2">
      <c r="A61" s="250"/>
      <c r="B61" s="210" t="s">
        <v>714</v>
      </c>
      <c r="C61" s="210" t="s">
        <v>284</v>
      </c>
      <c r="D61" s="210" t="s">
        <v>715</v>
      </c>
      <c r="E61" s="210" t="s">
        <v>129</v>
      </c>
      <c r="F61" s="210" t="s">
        <v>94</v>
      </c>
      <c r="G61" s="210" t="s">
        <v>716</v>
      </c>
      <c r="H61" s="197">
        <v>0</v>
      </c>
      <c r="I61" s="210" t="s">
        <v>229</v>
      </c>
      <c r="J61" s="210">
        <v>2020</v>
      </c>
      <c r="K61" s="210">
        <v>2020</v>
      </c>
      <c r="L61" s="268" t="str">
        <f t="shared" si="10"/>
        <v>Simple</v>
      </c>
      <c r="M61" s="197">
        <v>507.5949483881169</v>
      </c>
      <c r="N61" s="197">
        <v>934.43615498721488</v>
      </c>
      <c r="O61" s="257">
        <f>IF(ISNA(MATCH(H61,'Operating leases'!$B$32:$B$43,0)),0,INDEX('Operating leases'!$M$32:$S$43,MATCH(H61,'Operating leases'!$B$32:$B$43,0),MATCH(J61,'Operating leases'!$M$11:$S$11,0)))</f>
        <v>0</v>
      </c>
      <c r="P61" s="257">
        <f t="shared" si="11"/>
        <v>507.5949483881169</v>
      </c>
      <c r="Q61" s="257">
        <f t="shared" si="12"/>
        <v>1442.0311033753319</v>
      </c>
      <c r="R61" s="258">
        <f>INDEX('Escalators '!$M$124:$S$129,MATCH(I61,'Escalators '!$B$124:$B$129,0),MATCH(J61,'Escalators '!$M$113:$S$113,0))</f>
        <v>1</v>
      </c>
      <c r="S61" s="257">
        <f t="shared" si="13"/>
        <v>0</v>
      </c>
      <c r="T61" s="257">
        <f t="shared" si="14"/>
        <v>934.43615498721488</v>
      </c>
      <c r="U61" s="269">
        <f t="shared" si="15"/>
        <v>507.59494838811702</v>
      </c>
      <c r="V61" s="269">
        <f t="shared" si="16"/>
        <v>1442.0311033753319</v>
      </c>
      <c r="W61" s="269">
        <f t="shared" si="17"/>
        <v>507.59494838811702</v>
      </c>
      <c r="X61" s="257">
        <f t="shared" si="18"/>
        <v>1442.0311033753319</v>
      </c>
      <c r="Y61" s="270">
        <f>IF(L61="Complex",(INDEX('Escalators '!$M$176:$S$176,MATCH('Forecast capex'!J61,'Escalators '!$M$178:$S$178,0))/12+1)^((K61-J61)*12)-1,0)</f>
        <v>0</v>
      </c>
      <c r="Z61" s="257">
        <f t="shared" si="19"/>
        <v>0</v>
      </c>
      <c r="AA61" s="257">
        <f t="shared" si="20"/>
        <v>0</v>
      </c>
      <c r="AB61" s="269">
        <f t="shared" si="21"/>
        <v>0</v>
      </c>
      <c r="AC61" s="269">
        <f t="shared" si="22"/>
        <v>0</v>
      </c>
      <c r="AD61" s="271" t="str">
        <f>INDEX('Global inputs'!$C$134:$C$171,MATCH(F61,'Global inputs'!$B$134:$B$171,0))</f>
        <v>Consumer connection</v>
      </c>
      <c r="AE61" s="272">
        <f>IF(OR(H61='Operating leases'!$B$32,H61='Operating leases'!$B$33),"",INDEX('Global inputs'!$C$186:$C$243,MATCH(E61,'Global inputs'!$B$186:$B$243,0)))</f>
        <v>0.1</v>
      </c>
    </row>
    <row r="62" spans="1:31" s="27" customFormat="1" x14ac:dyDescent="0.2">
      <c r="A62" s="250"/>
      <c r="B62" s="210" t="s">
        <v>714</v>
      </c>
      <c r="C62" s="210" t="s">
        <v>284</v>
      </c>
      <c r="D62" s="210" t="s">
        <v>715</v>
      </c>
      <c r="E62" s="210" t="s">
        <v>129</v>
      </c>
      <c r="F62" s="210" t="s">
        <v>94</v>
      </c>
      <c r="G62" s="210" t="s">
        <v>716</v>
      </c>
      <c r="H62" s="197">
        <v>0</v>
      </c>
      <c r="I62" s="210" t="s">
        <v>221</v>
      </c>
      <c r="J62" s="210">
        <v>2020</v>
      </c>
      <c r="K62" s="210">
        <v>2020</v>
      </c>
      <c r="L62" s="268" t="str">
        <f t="shared" si="10"/>
        <v>Simple</v>
      </c>
      <c r="M62" s="197">
        <v>507.5949483881169</v>
      </c>
      <c r="N62" s="197">
        <v>934.43615498721488</v>
      </c>
      <c r="O62" s="257">
        <f>IF(ISNA(MATCH(H62,'Operating leases'!$B$32:$B$43,0)),0,INDEX('Operating leases'!$M$32:$S$43,MATCH(H62,'Operating leases'!$B$32:$B$43,0),MATCH(J62,'Operating leases'!$M$11:$S$11,0)))</f>
        <v>0</v>
      </c>
      <c r="P62" s="257">
        <f t="shared" si="11"/>
        <v>507.5949483881169</v>
      </c>
      <c r="Q62" s="257">
        <f t="shared" si="12"/>
        <v>1442.0311033753319</v>
      </c>
      <c r="R62" s="258">
        <f>INDEX('Escalators '!$M$124:$S$129,MATCH(I62,'Escalators '!$B$124:$B$129,0),MATCH(J62,'Escalators '!$M$113:$S$113,0))</f>
        <v>1</v>
      </c>
      <c r="S62" s="257">
        <f t="shared" si="13"/>
        <v>0</v>
      </c>
      <c r="T62" s="257">
        <f t="shared" si="14"/>
        <v>934.43615498721488</v>
      </c>
      <c r="U62" s="269">
        <f t="shared" si="15"/>
        <v>507.59494838811702</v>
      </c>
      <c r="V62" s="269">
        <f t="shared" si="16"/>
        <v>1442.0311033753319</v>
      </c>
      <c r="W62" s="269">
        <f t="shared" si="17"/>
        <v>507.59494838811702</v>
      </c>
      <c r="X62" s="257">
        <f t="shared" si="18"/>
        <v>1442.0311033753319</v>
      </c>
      <c r="Y62" s="270">
        <f>IF(L62="Complex",(INDEX('Escalators '!$M$176:$S$176,MATCH('Forecast capex'!J62,'Escalators '!$M$178:$S$178,0))/12+1)^((K62-J62)*12)-1,0)</f>
        <v>0</v>
      </c>
      <c r="Z62" s="257">
        <f t="shared" si="19"/>
        <v>0</v>
      </c>
      <c r="AA62" s="257">
        <f t="shared" si="20"/>
        <v>0</v>
      </c>
      <c r="AB62" s="269">
        <f t="shared" si="21"/>
        <v>0</v>
      </c>
      <c r="AC62" s="269">
        <f t="shared" si="22"/>
        <v>0</v>
      </c>
      <c r="AD62" s="271" t="str">
        <f>INDEX('Global inputs'!$C$134:$C$171,MATCH(F62,'Global inputs'!$B$134:$B$171,0))</f>
        <v>Consumer connection</v>
      </c>
      <c r="AE62" s="272">
        <f>IF(OR(H62='Operating leases'!$B$32,H62='Operating leases'!$B$33),"",INDEX('Global inputs'!$C$186:$C$243,MATCH(E62,'Global inputs'!$B$186:$B$243,0)))</f>
        <v>0.1</v>
      </c>
    </row>
    <row r="63" spans="1:31" s="27" customFormat="1" x14ac:dyDescent="0.2">
      <c r="A63" s="250"/>
      <c r="B63" s="210" t="s">
        <v>714</v>
      </c>
      <c r="C63" s="210" t="s">
        <v>287</v>
      </c>
      <c r="D63" s="210" t="s">
        <v>715</v>
      </c>
      <c r="E63" s="210" t="s">
        <v>150</v>
      </c>
      <c r="F63" s="210" t="s">
        <v>94</v>
      </c>
      <c r="G63" s="210" t="s">
        <v>716</v>
      </c>
      <c r="H63" s="197">
        <v>0</v>
      </c>
      <c r="I63" s="210" t="s">
        <v>229</v>
      </c>
      <c r="J63" s="210">
        <v>2020</v>
      </c>
      <c r="K63" s="210">
        <v>2020</v>
      </c>
      <c r="L63" s="268" t="str">
        <f t="shared" si="10"/>
        <v>Simple</v>
      </c>
      <c r="M63" s="197">
        <v>25379.747419405845</v>
      </c>
      <c r="N63" s="197">
        <v>46721.807749360749</v>
      </c>
      <c r="O63" s="257">
        <f>IF(ISNA(MATCH(H63,'Operating leases'!$B$32:$B$43,0)),0,INDEX('Operating leases'!$M$32:$S$43,MATCH(H63,'Operating leases'!$B$32:$B$43,0),MATCH(J63,'Operating leases'!$M$11:$S$11,0)))</f>
        <v>0</v>
      </c>
      <c r="P63" s="257">
        <f t="shared" si="11"/>
        <v>25379.747419405845</v>
      </c>
      <c r="Q63" s="257">
        <f t="shared" si="12"/>
        <v>72101.555168766587</v>
      </c>
      <c r="R63" s="258">
        <f>INDEX('Escalators '!$M$124:$S$129,MATCH(I63,'Escalators '!$B$124:$B$129,0),MATCH(J63,'Escalators '!$M$113:$S$113,0))</f>
        <v>1</v>
      </c>
      <c r="S63" s="257">
        <f t="shared" si="13"/>
        <v>0</v>
      </c>
      <c r="T63" s="257">
        <f t="shared" si="14"/>
        <v>46721.807749360749</v>
      </c>
      <c r="U63" s="269">
        <f t="shared" si="15"/>
        <v>25379.747419405838</v>
      </c>
      <c r="V63" s="269">
        <f t="shared" si="16"/>
        <v>72101.555168766587</v>
      </c>
      <c r="W63" s="269">
        <f t="shared" si="17"/>
        <v>25379.747419405838</v>
      </c>
      <c r="X63" s="257">
        <f t="shared" si="18"/>
        <v>72101.555168766587</v>
      </c>
      <c r="Y63" s="270">
        <f>IF(L63="Complex",(INDEX('Escalators '!$M$176:$S$176,MATCH('Forecast capex'!J63,'Escalators '!$M$178:$S$178,0))/12+1)^((K63-J63)*12)-1,0)</f>
        <v>0</v>
      </c>
      <c r="Z63" s="257">
        <f t="shared" si="19"/>
        <v>0</v>
      </c>
      <c r="AA63" s="257">
        <f t="shared" si="20"/>
        <v>0</v>
      </c>
      <c r="AB63" s="269">
        <f t="shared" si="21"/>
        <v>0</v>
      </c>
      <c r="AC63" s="269">
        <f t="shared" si="22"/>
        <v>0</v>
      </c>
      <c r="AD63" s="271" t="str">
        <f>INDEX('Global inputs'!$C$134:$C$171,MATCH(F63,'Global inputs'!$B$134:$B$171,0))</f>
        <v>Consumer connection</v>
      </c>
      <c r="AE63" s="272">
        <f>IF(OR(H63='Operating leases'!$B$32,H63='Operating leases'!$B$33),"",INDEX('Global inputs'!$C$186:$C$243,MATCH(E63,'Global inputs'!$B$186:$B$243,0)))</f>
        <v>0.08</v>
      </c>
    </row>
    <row r="64" spans="1:31" s="27" customFormat="1" x14ac:dyDescent="0.2">
      <c r="A64" s="250"/>
      <c r="B64" s="210" t="s">
        <v>714</v>
      </c>
      <c r="C64" s="210" t="s">
        <v>287</v>
      </c>
      <c r="D64" s="210" t="s">
        <v>715</v>
      </c>
      <c r="E64" s="210" t="s">
        <v>150</v>
      </c>
      <c r="F64" s="210" t="s">
        <v>94</v>
      </c>
      <c r="G64" s="210" t="s">
        <v>716</v>
      </c>
      <c r="H64" s="197">
        <v>0</v>
      </c>
      <c r="I64" s="210" t="s">
        <v>221</v>
      </c>
      <c r="J64" s="210">
        <v>2020</v>
      </c>
      <c r="K64" s="210">
        <v>2020</v>
      </c>
      <c r="L64" s="268" t="str">
        <f t="shared" si="10"/>
        <v>Simple</v>
      </c>
      <c r="M64" s="197">
        <v>25379.747419405845</v>
      </c>
      <c r="N64" s="197">
        <v>46721.807749360749</v>
      </c>
      <c r="O64" s="257">
        <f>IF(ISNA(MATCH(H64,'Operating leases'!$B$32:$B$43,0)),0,INDEX('Operating leases'!$M$32:$S$43,MATCH(H64,'Operating leases'!$B$32:$B$43,0),MATCH(J64,'Operating leases'!$M$11:$S$11,0)))</f>
        <v>0</v>
      </c>
      <c r="P64" s="257">
        <f t="shared" si="11"/>
        <v>25379.747419405845</v>
      </c>
      <c r="Q64" s="257">
        <f t="shared" si="12"/>
        <v>72101.555168766587</v>
      </c>
      <c r="R64" s="258">
        <f>INDEX('Escalators '!$M$124:$S$129,MATCH(I64,'Escalators '!$B$124:$B$129,0),MATCH(J64,'Escalators '!$M$113:$S$113,0))</f>
        <v>1</v>
      </c>
      <c r="S64" s="257">
        <f t="shared" si="13"/>
        <v>0</v>
      </c>
      <c r="T64" s="257">
        <f t="shared" si="14"/>
        <v>46721.807749360749</v>
      </c>
      <c r="U64" s="269">
        <f t="shared" si="15"/>
        <v>25379.747419405838</v>
      </c>
      <c r="V64" s="269">
        <f t="shared" si="16"/>
        <v>72101.555168766587</v>
      </c>
      <c r="W64" s="269">
        <f t="shared" si="17"/>
        <v>25379.747419405838</v>
      </c>
      <c r="X64" s="257">
        <f t="shared" si="18"/>
        <v>72101.555168766587</v>
      </c>
      <c r="Y64" s="270">
        <f>IF(L64="Complex",(INDEX('Escalators '!$M$176:$S$176,MATCH('Forecast capex'!J64,'Escalators '!$M$178:$S$178,0))/12+1)^((K64-J64)*12)-1,0)</f>
        <v>0</v>
      </c>
      <c r="Z64" s="257">
        <f t="shared" si="19"/>
        <v>0</v>
      </c>
      <c r="AA64" s="257">
        <f t="shared" si="20"/>
        <v>0</v>
      </c>
      <c r="AB64" s="269">
        <f t="shared" si="21"/>
        <v>0</v>
      </c>
      <c r="AC64" s="269">
        <f t="shared" si="22"/>
        <v>0</v>
      </c>
      <c r="AD64" s="271" t="str">
        <f>INDEX('Global inputs'!$C$134:$C$171,MATCH(F64,'Global inputs'!$B$134:$B$171,0))</f>
        <v>Consumer connection</v>
      </c>
      <c r="AE64" s="272">
        <f>IF(OR(H64='Operating leases'!$B$32,H64='Operating leases'!$B$33),"",INDEX('Global inputs'!$C$186:$C$243,MATCH(E64,'Global inputs'!$B$186:$B$243,0)))</f>
        <v>0.08</v>
      </c>
    </row>
    <row r="65" spans="1:31" s="27" customFormat="1" x14ac:dyDescent="0.2">
      <c r="A65" s="250"/>
      <c r="B65" s="210" t="s">
        <v>714</v>
      </c>
      <c r="C65" s="210" t="s">
        <v>287</v>
      </c>
      <c r="D65" s="210" t="s">
        <v>715</v>
      </c>
      <c r="E65" s="210" t="s">
        <v>151</v>
      </c>
      <c r="F65" s="210" t="s">
        <v>94</v>
      </c>
      <c r="G65" s="210" t="s">
        <v>716</v>
      </c>
      <c r="H65" s="197">
        <v>0</v>
      </c>
      <c r="I65" s="210" t="s">
        <v>229</v>
      </c>
      <c r="J65" s="210">
        <v>2020</v>
      </c>
      <c r="K65" s="210">
        <v>2020</v>
      </c>
      <c r="L65" s="268" t="str">
        <f t="shared" si="10"/>
        <v>Simple</v>
      </c>
      <c r="M65" s="197">
        <v>25379.747419405845</v>
      </c>
      <c r="N65" s="197">
        <v>46721.807749360749</v>
      </c>
      <c r="O65" s="257">
        <f>IF(ISNA(MATCH(H65,'Operating leases'!$B$32:$B$43,0)),0,INDEX('Operating leases'!$M$32:$S$43,MATCH(H65,'Operating leases'!$B$32:$B$43,0),MATCH(J65,'Operating leases'!$M$11:$S$11,0)))</f>
        <v>0</v>
      </c>
      <c r="P65" s="257">
        <f t="shared" si="11"/>
        <v>25379.747419405845</v>
      </c>
      <c r="Q65" s="257">
        <f t="shared" si="12"/>
        <v>72101.555168766587</v>
      </c>
      <c r="R65" s="258">
        <f>INDEX('Escalators '!$M$124:$S$129,MATCH(I65,'Escalators '!$B$124:$B$129,0),MATCH(J65,'Escalators '!$M$113:$S$113,0))</f>
        <v>1</v>
      </c>
      <c r="S65" s="257">
        <f t="shared" si="13"/>
        <v>0</v>
      </c>
      <c r="T65" s="257">
        <f t="shared" si="14"/>
        <v>46721.807749360749</v>
      </c>
      <c r="U65" s="269">
        <f t="shared" si="15"/>
        <v>25379.747419405838</v>
      </c>
      <c r="V65" s="269">
        <f t="shared" si="16"/>
        <v>72101.555168766587</v>
      </c>
      <c r="W65" s="269">
        <f t="shared" si="17"/>
        <v>25379.747419405838</v>
      </c>
      <c r="X65" s="257">
        <f t="shared" si="18"/>
        <v>72101.555168766587</v>
      </c>
      <c r="Y65" s="270">
        <f>IF(L65="Complex",(INDEX('Escalators '!$M$176:$S$176,MATCH('Forecast capex'!J65,'Escalators '!$M$178:$S$178,0))/12+1)^((K65-J65)*12)-1,0)</f>
        <v>0</v>
      </c>
      <c r="Z65" s="257">
        <f t="shared" si="19"/>
        <v>0</v>
      </c>
      <c r="AA65" s="257">
        <f t="shared" si="20"/>
        <v>0</v>
      </c>
      <c r="AB65" s="269">
        <f t="shared" si="21"/>
        <v>0</v>
      </c>
      <c r="AC65" s="269">
        <f t="shared" si="22"/>
        <v>0</v>
      </c>
      <c r="AD65" s="271" t="str">
        <f>INDEX('Global inputs'!$C$134:$C$171,MATCH(F65,'Global inputs'!$B$134:$B$171,0))</f>
        <v>Consumer connection</v>
      </c>
      <c r="AE65" s="272">
        <f>IF(OR(H65='Operating leases'!$B$32,H65='Operating leases'!$B$33),"",INDEX('Global inputs'!$C$186:$C$243,MATCH(E65,'Global inputs'!$B$186:$B$243,0)))</f>
        <v>0.1</v>
      </c>
    </row>
    <row r="66" spans="1:31" s="27" customFormat="1" x14ac:dyDescent="0.2">
      <c r="A66" s="250"/>
      <c r="B66" s="210" t="s">
        <v>714</v>
      </c>
      <c r="C66" s="210" t="s">
        <v>287</v>
      </c>
      <c r="D66" s="210" t="s">
        <v>715</v>
      </c>
      <c r="E66" s="210" t="s">
        <v>151</v>
      </c>
      <c r="F66" s="210" t="s">
        <v>94</v>
      </c>
      <c r="G66" s="210" t="s">
        <v>716</v>
      </c>
      <c r="H66" s="197">
        <v>0</v>
      </c>
      <c r="I66" s="210" t="s">
        <v>221</v>
      </c>
      <c r="J66" s="210">
        <v>2020</v>
      </c>
      <c r="K66" s="210">
        <v>2020</v>
      </c>
      <c r="L66" s="268" t="str">
        <f t="shared" si="10"/>
        <v>Simple</v>
      </c>
      <c r="M66" s="197">
        <v>25379.747419405845</v>
      </c>
      <c r="N66" s="197">
        <v>46721.807749360749</v>
      </c>
      <c r="O66" s="257">
        <f>IF(ISNA(MATCH(H66,'Operating leases'!$B$32:$B$43,0)),0,INDEX('Operating leases'!$M$32:$S$43,MATCH(H66,'Operating leases'!$B$32:$B$43,0),MATCH(J66,'Operating leases'!$M$11:$S$11,0)))</f>
        <v>0</v>
      </c>
      <c r="P66" s="257">
        <f t="shared" si="11"/>
        <v>25379.747419405845</v>
      </c>
      <c r="Q66" s="257">
        <f t="shared" si="12"/>
        <v>72101.555168766587</v>
      </c>
      <c r="R66" s="258">
        <f>INDEX('Escalators '!$M$124:$S$129,MATCH(I66,'Escalators '!$B$124:$B$129,0),MATCH(J66,'Escalators '!$M$113:$S$113,0))</f>
        <v>1</v>
      </c>
      <c r="S66" s="257">
        <f t="shared" si="13"/>
        <v>0</v>
      </c>
      <c r="T66" s="257">
        <f t="shared" si="14"/>
        <v>46721.807749360749</v>
      </c>
      <c r="U66" s="269">
        <f t="shared" si="15"/>
        <v>25379.747419405838</v>
      </c>
      <c r="V66" s="269">
        <f t="shared" si="16"/>
        <v>72101.555168766587</v>
      </c>
      <c r="W66" s="269">
        <f t="shared" si="17"/>
        <v>25379.747419405838</v>
      </c>
      <c r="X66" s="257">
        <f t="shared" si="18"/>
        <v>72101.555168766587</v>
      </c>
      <c r="Y66" s="270">
        <f>IF(L66="Complex",(INDEX('Escalators '!$M$176:$S$176,MATCH('Forecast capex'!J66,'Escalators '!$M$178:$S$178,0))/12+1)^((K66-J66)*12)-1,0)</f>
        <v>0</v>
      </c>
      <c r="Z66" s="257">
        <f t="shared" si="19"/>
        <v>0</v>
      </c>
      <c r="AA66" s="257">
        <f t="shared" si="20"/>
        <v>0</v>
      </c>
      <c r="AB66" s="269">
        <f t="shared" si="21"/>
        <v>0</v>
      </c>
      <c r="AC66" s="269">
        <f t="shared" si="22"/>
        <v>0</v>
      </c>
      <c r="AD66" s="271" t="str">
        <f>INDEX('Global inputs'!$C$134:$C$171,MATCH(F66,'Global inputs'!$B$134:$B$171,0))</f>
        <v>Consumer connection</v>
      </c>
      <c r="AE66" s="272">
        <f>IF(OR(H66='Operating leases'!$B$32,H66='Operating leases'!$B$33),"",INDEX('Global inputs'!$C$186:$C$243,MATCH(E66,'Global inputs'!$B$186:$B$243,0)))</f>
        <v>0.1</v>
      </c>
    </row>
    <row r="67" spans="1:31" s="27" customFormat="1" x14ac:dyDescent="0.2">
      <c r="A67" s="250"/>
      <c r="B67" s="210" t="s">
        <v>714</v>
      </c>
      <c r="C67" s="210" t="s">
        <v>287</v>
      </c>
      <c r="D67" s="210" t="s">
        <v>715</v>
      </c>
      <c r="E67" s="210" t="s">
        <v>153</v>
      </c>
      <c r="F67" s="210" t="s">
        <v>94</v>
      </c>
      <c r="G67" s="210" t="s">
        <v>716</v>
      </c>
      <c r="H67" s="197">
        <v>0</v>
      </c>
      <c r="I67" s="210" t="s">
        <v>229</v>
      </c>
      <c r="J67" s="210">
        <v>2020</v>
      </c>
      <c r="K67" s="210">
        <v>2020</v>
      </c>
      <c r="L67" s="268" t="str">
        <f t="shared" si="10"/>
        <v>Simple</v>
      </c>
      <c r="M67" s="197">
        <v>9898.1014935682797</v>
      </c>
      <c r="N67" s="197">
        <v>18221.505022250691</v>
      </c>
      <c r="O67" s="257">
        <f>IF(ISNA(MATCH(H67,'Operating leases'!$B$32:$B$43,0)),0,INDEX('Operating leases'!$M$32:$S$43,MATCH(H67,'Operating leases'!$B$32:$B$43,0),MATCH(J67,'Operating leases'!$M$11:$S$11,0)))</f>
        <v>0</v>
      </c>
      <c r="P67" s="257">
        <f t="shared" si="11"/>
        <v>9898.1014935682797</v>
      </c>
      <c r="Q67" s="257">
        <f t="shared" si="12"/>
        <v>28119.60651581897</v>
      </c>
      <c r="R67" s="258">
        <f>INDEX('Escalators '!$M$124:$S$129,MATCH(I67,'Escalators '!$B$124:$B$129,0),MATCH(J67,'Escalators '!$M$113:$S$113,0))</f>
        <v>1</v>
      </c>
      <c r="S67" s="257">
        <f t="shared" si="13"/>
        <v>0</v>
      </c>
      <c r="T67" s="257">
        <f t="shared" si="14"/>
        <v>18221.505022250691</v>
      </c>
      <c r="U67" s="269">
        <f t="shared" si="15"/>
        <v>9898.1014935682797</v>
      </c>
      <c r="V67" s="269">
        <f t="shared" si="16"/>
        <v>28119.60651581897</v>
      </c>
      <c r="W67" s="269">
        <f t="shared" si="17"/>
        <v>9898.1014935682797</v>
      </c>
      <c r="X67" s="257">
        <f t="shared" si="18"/>
        <v>28119.60651581897</v>
      </c>
      <c r="Y67" s="270">
        <f>IF(L67="Complex",(INDEX('Escalators '!$M$176:$S$176,MATCH('Forecast capex'!J67,'Escalators '!$M$178:$S$178,0))/12+1)^((K67-J67)*12)-1,0)</f>
        <v>0</v>
      </c>
      <c r="Z67" s="257">
        <f t="shared" si="19"/>
        <v>0</v>
      </c>
      <c r="AA67" s="257">
        <f t="shared" si="20"/>
        <v>0</v>
      </c>
      <c r="AB67" s="269">
        <f t="shared" si="21"/>
        <v>0</v>
      </c>
      <c r="AC67" s="269">
        <f t="shared" si="22"/>
        <v>0</v>
      </c>
      <c r="AD67" s="271" t="str">
        <f>INDEX('Global inputs'!$C$134:$C$171,MATCH(F67,'Global inputs'!$B$134:$B$171,0))</f>
        <v>Consumer connection</v>
      </c>
      <c r="AE67" s="272">
        <f>IF(OR(H67='Operating leases'!$B$32,H67='Operating leases'!$B$33),"",INDEX('Global inputs'!$C$186:$C$243,MATCH(E67,'Global inputs'!$B$186:$B$243,0)))</f>
        <v>0.08</v>
      </c>
    </row>
    <row r="68" spans="1:31" s="27" customFormat="1" x14ac:dyDescent="0.2">
      <c r="A68" s="250"/>
      <c r="B68" s="210" t="s">
        <v>714</v>
      </c>
      <c r="C68" s="210" t="s">
        <v>287</v>
      </c>
      <c r="D68" s="210" t="s">
        <v>715</v>
      </c>
      <c r="E68" s="210" t="s">
        <v>153</v>
      </c>
      <c r="F68" s="210" t="s">
        <v>94</v>
      </c>
      <c r="G68" s="210" t="s">
        <v>716</v>
      </c>
      <c r="H68" s="197">
        <v>0</v>
      </c>
      <c r="I68" s="210" t="s">
        <v>221</v>
      </c>
      <c r="J68" s="210">
        <v>2020</v>
      </c>
      <c r="K68" s="210">
        <v>2020</v>
      </c>
      <c r="L68" s="268" t="str">
        <f t="shared" si="10"/>
        <v>Simple</v>
      </c>
      <c r="M68" s="197">
        <v>9898.1014935682797</v>
      </c>
      <c r="N68" s="197">
        <v>18221.505022250691</v>
      </c>
      <c r="O68" s="257">
        <f>IF(ISNA(MATCH(H68,'Operating leases'!$B$32:$B$43,0)),0,INDEX('Operating leases'!$M$32:$S$43,MATCH(H68,'Operating leases'!$B$32:$B$43,0),MATCH(J68,'Operating leases'!$M$11:$S$11,0)))</f>
        <v>0</v>
      </c>
      <c r="P68" s="257">
        <f t="shared" si="11"/>
        <v>9898.1014935682797</v>
      </c>
      <c r="Q68" s="257">
        <f t="shared" si="12"/>
        <v>28119.60651581897</v>
      </c>
      <c r="R68" s="258">
        <f>INDEX('Escalators '!$M$124:$S$129,MATCH(I68,'Escalators '!$B$124:$B$129,0),MATCH(J68,'Escalators '!$M$113:$S$113,0))</f>
        <v>1</v>
      </c>
      <c r="S68" s="257">
        <f t="shared" si="13"/>
        <v>0</v>
      </c>
      <c r="T68" s="257">
        <f t="shared" si="14"/>
        <v>18221.505022250691</v>
      </c>
      <c r="U68" s="269">
        <f t="shared" si="15"/>
        <v>9898.1014935682797</v>
      </c>
      <c r="V68" s="269">
        <f t="shared" si="16"/>
        <v>28119.60651581897</v>
      </c>
      <c r="W68" s="269">
        <f t="shared" si="17"/>
        <v>9898.1014935682797</v>
      </c>
      <c r="X68" s="257">
        <f t="shared" si="18"/>
        <v>28119.60651581897</v>
      </c>
      <c r="Y68" s="270">
        <f>IF(L68="Complex",(INDEX('Escalators '!$M$176:$S$176,MATCH('Forecast capex'!J68,'Escalators '!$M$178:$S$178,0))/12+1)^((K68-J68)*12)-1,0)</f>
        <v>0</v>
      </c>
      <c r="Z68" s="257">
        <f t="shared" si="19"/>
        <v>0</v>
      </c>
      <c r="AA68" s="257">
        <f t="shared" si="20"/>
        <v>0</v>
      </c>
      <c r="AB68" s="269">
        <f t="shared" si="21"/>
        <v>0</v>
      </c>
      <c r="AC68" s="269">
        <f t="shared" si="22"/>
        <v>0</v>
      </c>
      <c r="AD68" s="271" t="str">
        <f>INDEX('Global inputs'!$C$134:$C$171,MATCH(F68,'Global inputs'!$B$134:$B$171,0))</f>
        <v>Consumer connection</v>
      </c>
      <c r="AE68" s="272">
        <f>IF(OR(H68='Operating leases'!$B$32,H68='Operating leases'!$B$33),"",INDEX('Global inputs'!$C$186:$C$243,MATCH(E68,'Global inputs'!$B$186:$B$243,0)))</f>
        <v>0.08</v>
      </c>
    </row>
    <row r="69" spans="1:31" s="27" customFormat="1" x14ac:dyDescent="0.2">
      <c r="A69" s="250"/>
      <c r="B69" s="210" t="s">
        <v>714</v>
      </c>
      <c r="C69" s="210" t="s">
        <v>287</v>
      </c>
      <c r="D69" s="210" t="s">
        <v>715</v>
      </c>
      <c r="E69" s="210" t="s">
        <v>154</v>
      </c>
      <c r="F69" s="210" t="s">
        <v>94</v>
      </c>
      <c r="G69" s="210" t="s">
        <v>716</v>
      </c>
      <c r="H69" s="197">
        <v>0</v>
      </c>
      <c r="I69" s="210" t="s">
        <v>229</v>
      </c>
      <c r="J69" s="210">
        <v>2020</v>
      </c>
      <c r="K69" s="210">
        <v>2020</v>
      </c>
      <c r="L69" s="268" t="str">
        <f t="shared" si="10"/>
        <v>Simple</v>
      </c>
      <c r="M69" s="197">
        <v>9898.1014935682797</v>
      </c>
      <c r="N69" s="197">
        <v>18221.505022250691</v>
      </c>
      <c r="O69" s="257">
        <f>IF(ISNA(MATCH(H69,'Operating leases'!$B$32:$B$43,0)),0,INDEX('Operating leases'!$M$32:$S$43,MATCH(H69,'Operating leases'!$B$32:$B$43,0),MATCH(J69,'Operating leases'!$M$11:$S$11,0)))</f>
        <v>0</v>
      </c>
      <c r="P69" s="257">
        <f t="shared" si="11"/>
        <v>9898.1014935682797</v>
      </c>
      <c r="Q69" s="257">
        <f t="shared" si="12"/>
        <v>28119.60651581897</v>
      </c>
      <c r="R69" s="258">
        <f>INDEX('Escalators '!$M$124:$S$129,MATCH(I69,'Escalators '!$B$124:$B$129,0),MATCH(J69,'Escalators '!$M$113:$S$113,0))</f>
        <v>1</v>
      </c>
      <c r="S69" s="257">
        <f t="shared" si="13"/>
        <v>0</v>
      </c>
      <c r="T69" s="257">
        <f t="shared" si="14"/>
        <v>18221.505022250691</v>
      </c>
      <c r="U69" s="269">
        <f t="shared" si="15"/>
        <v>9898.1014935682797</v>
      </c>
      <c r="V69" s="269">
        <f t="shared" si="16"/>
        <v>28119.60651581897</v>
      </c>
      <c r="W69" s="269">
        <f t="shared" si="17"/>
        <v>9898.1014935682797</v>
      </c>
      <c r="X69" s="257">
        <f t="shared" si="18"/>
        <v>28119.60651581897</v>
      </c>
      <c r="Y69" s="270">
        <f>IF(L69="Complex",(INDEX('Escalators '!$M$176:$S$176,MATCH('Forecast capex'!J69,'Escalators '!$M$178:$S$178,0))/12+1)^((K69-J69)*12)-1,0)</f>
        <v>0</v>
      </c>
      <c r="Z69" s="257">
        <f t="shared" si="19"/>
        <v>0</v>
      </c>
      <c r="AA69" s="257">
        <f t="shared" si="20"/>
        <v>0</v>
      </c>
      <c r="AB69" s="269">
        <f t="shared" si="21"/>
        <v>0</v>
      </c>
      <c r="AC69" s="269">
        <f t="shared" si="22"/>
        <v>0</v>
      </c>
      <c r="AD69" s="271" t="str">
        <f>INDEX('Global inputs'!$C$134:$C$171,MATCH(F69,'Global inputs'!$B$134:$B$171,0))</f>
        <v>Consumer connection</v>
      </c>
      <c r="AE69" s="272">
        <f>IF(OR(H69='Operating leases'!$B$32,H69='Operating leases'!$B$33),"",INDEX('Global inputs'!$C$186:$C$243,MATCH(E69,'Global inputs'!$B$186:$B$243,0)))</f>
        <v>0.1</v>
      </c>
    </row>
    <row r="70" spans="1:31" s="27" customFormat="1" x14ac:dyDescent="0.2">
      <c r="A70" s="250"/>
      <c r="B70" s="210" t="s">
        <v>714</v>
      </c>
      <c r="C70" s="210" t="s">
        <v>287</v>
      </c>
      <c r="D70" s="210" t="s">
        <v>715</v>
      </c>
      <c r="E70" s="210" t="s">
        <v>154</v>
      </c>
      <c r="F70" s="210" t="s">
        <v>94</v>
      </c>
      <c r="G70" s="210" t="s">
        <v>716</v>
      </c>
      <c r="H70" s="197">
        <v>0</v>
      </c>
      <c r="I70" s="210" t="s">
        <v>221</v>
      </c>
      <c r="J70" s="210">
        <v>2020</v>
      </c>
      <c r="K70" s="210">
        <v>2020</v>
      </c>
      <c r="L70" s="268" t="str">
        <f t="shared" si="10"/>
        <v>Simple</v>
      </c>
      <c r="M70" s="197">
        <v>9898.1014935682797</v>
      </c>
      <c r="N70" s="197">
        <v>18221.505022250691</v>
      </c>
      <c r="O70" s="257">
        <f>IF(ISNA(MATCH(H70,'Operating leases'!$B$32:$B$43,0)),0,INDEX('Operating leases'!$M$32:$S$43,MATCH(H70,'Operating leases'!$B$32:$B$43,0),MATCH(J70,'Operating leases'!$M$11:$S$11,0)))</f>
        <v>0</v>
      </c>
      <c r="P70" s="257">
        <f t="shared" si="11"/>
        <v>9898.1014935682797</v>
      </c>
      <c r="Q70" s="257">
        <f t="shared" si="12"/>
        <v>28119.60651581897</v>
      </c>
      <c r="R70" s="258">
        <f>INDEX('Escalators '!$M$124:$S$129,MATCH(I70,'Escalators '!$B$124:$B$129,0),MATCH(J70,'Escalators '!$M$113:$S$113,0))</f>
        <v>1</v>
      </c>
      <c r="S70" s="257">
        <f t="shared" si="13"/>
        <v>0</v>
      </c>
      <c r="T70" s="257">
        <f t="shared" si="14"/>
        <v>18221.505022250691</v>
      </c>
      <c r="U70" s="269">
        <f t="shared" si="15"/>
        <v>9898.1014935682797</v>
      </c>
      <c r="V70" s="269">
        <f t="shared" si="16"/>
        <v>28119.60651581897</v>
      </c>
      <c r="W70" s="269">
        <f t="shared" si="17"/>
        <v>9898.1014935682797</v>
      </c>
      <c r="X70" s="257">
        <f t="shared" si="18"/>
        <v>28119.60651581897</v>
      </c>
      <c r="Y70" s="270">
        <f>IF(L70="Complex",(INDEX('Escalators '!$M$176:$S$176,MATCH('Forecast capex'!J70,'Escalators '!$M$178:$S$178,0))/12+1)^((K70-J70)*12)-1,0)</f>
        <v>0</v>
      </c>
      <c r="Z70" s="257">
        <f t="shared" si="19"/>
        <v>0</v>
      </c>
      <c r="AA70" s="257">
        <f t="shared" si="20"/>
        <v>0</v>
      </c>
      <c r="AB70" s="269">
        <f t="shared" si="21"/>
        <v>0</v>
      </c>
      <c r="AC70" s="269">
        <f t="shared" si="22"/>
        <v>0</v>
      </c>
      <c r="AD70" s="271" t="str">
        <f>INDEX('Global inputs'!$C$134:$C$171,MATCH(F70,'Global inputs'!$B$134:$B$171,0))</f>
        <v>Consumer connection</v>
      </c>
      <c r="AE70" s="272">
        <f>IF(OR(H70='Operating leases'!$B$32,H70='Operating leases'!$B$33),"",INDEX('Global inputs'!$C$186:$C$243,MATCH(E70,'Global inputs'!$B$186:$B$243,0)))</f>
        <v>0.1</v>
      </c>
    </row>
    <row r="71" spans="1:31" s="27" customFormat="1" x14ac:dyDescent="0.2">
      <c r="A71" s="250"/>
      <c r="B71" s="210" t="s">
        <v>714</v>
      </c>
      <c r="C71" s="210" t="s">
        <v>284</v>
      </c>
      <c r="D71" s="210" t="s">
        <v>715</v>
      </c>
      <c r="E71" s="210" t="s">
        <v>127</v>
      </c>
      <c r="F71" s="210" t="s">
        <v>94</v>
      </c>
      <c r="G71" s="210" t="s">
        <v>717</v>
      </c>
      <c r="H71" s="197">
        <v>0</v>
      </c>
      <c r="I71" s="210" t="s">
        <v>229</v>
      </c>
      <c r="J71" s="210">
        <v>2020</v>
      </c>
      <c r="K71" s="210">
        <v>2020</v>
      </c>
      <c r="L71" s="268" t="str">
        <f t="shared" si="10"/>
        <v>Simple</v>
      </c>
      <c r="M71" s="197">
        <v>253.79747419405845</v>
      </c>
      <c r="N71" s="197">
        <v>467.21807749360744</v>
      </c>
      <c r="O71" s="257">
        <f>IF(ISNA(MATCH(H71,'Operating leases'!$B$32:$B$43,0)),0,INDEX('Operating leases'!$M$32:$S$43,MATCH(H71,'Operating leases'!$B$32:$B$43,0),MATCH(J71,'Operating leases'!$M$11:$S$11,0)))</f>
        <v>0</v>
      </c>
      <c r="P71" s="257">
        <f t="shared" si="11"/>
        <v>253.79747419405845</v>
      </c>
      <c r="Q71" s="257">
        <f t="shared" si="12"/>
        <v>721.01555168766595</v>
      </c>
      <c r="R71" s="258">
        <f>INDEX('Escalators '!$M$124:$S$129,MATCH(I71,'Escalators '!$B$124:$B$129,0),MATCH(J71,'Escalators '!$M$113:$S$113,0))</f>
        <v>1</v>
      </c>
      <c r="S71" s="257">
        <f t="shared" si="13"/>
        <v>0</v>
      </c>
      <c r="T71" s="257">
        <f t="shared" si="14"/>
        <v>467.21807749360744</v>
      </c>
      <c r="U71" s="269">
        <f t="shared" si="15"/>
        <v>253.79747419405851</v>
      </c>
      <c r="V71" s="269">
        <f t="shared" si="16"/>
        <v>721.01555168766595</v>
      </c>
      <c r="W71" s="269">
        <f t="shared" si="17"/>
        <v>253.79747419405851</v>
      </c>
      <c r="X71" s="257">
        <f t="shared" si="18"/>
        <v>721.01555168766595</v>
      </c>
      <c r="Y71" s="270">
        <f>IF(L71="Complex",(INDEX('Escalators '!$M$176:$S$176,MATCH('Forecast capex'!J71,'Escalators '!$M$178:$S$178,0))/12+1)^((K71-J71)*12)-1,0)</f>
        <v>0</v>
      </c>
      <c r="Z71" s="257">
        <f t="shared" si="19"/>
        <v>0</v>
      </c>
      <c r="AA71" s="257">
        <f t="shared" si="20"/>
        <v>0</v>
      </c>
      <c r="AB71" s="269">
        <f t="shared" si="21"/>
        <v>0</v>
      </c>
      <c r="AC71" s="269">
        <f t="shared" si="22"/>
        <v>0</v>
      </c>
      <c r="AD71" s="271" t="str">
        <f>INDEX('Global inputs'!$C$134:$C$171,MATCH(F71,'Global inputs'!$B$134:$B$171,0))</f>
        <v>Consumer connection</v>
      </c>
      <c r="AE71" s="272">
        <f>IF(OR(H71='Operating leases'!$B$32,H71='Operating leases'!$B$33),"",INDEX('Global inputs'!$C$186:$C$243,MATCH(E71,'Global inputs'!$B$186:$B$243,0)))</f>
        <v>0.08</v>
      </c>
    </row>
    <row r="72" spans="1:31" s="27" customFormat="1" x14ac:dyDescent="0.2">
      <c r="A72" s="250"/>
      <c r="B72" s="210" t="s">
        <v>714</v>
      </c>
      <c r="C72" s="210" t="s">
        <v>284</v>
      </c>
      <c r="D72" s="210" t="s">
        <v>715</v>
      </c>
      <c r="E72" s="210" t="s">
        <v>127</v>
      </c>
      <c r="F72" s="210" t="s">
        <v>94</v>
      </c>
      <c r="G72" s="210" t="s">
        <v>717</v>
      </c>
      <c r="H72" s="197">
        <v>0</v>
      </c>
      <c r="I72" s="210" t="s">
        <v>221</v>
      </c>
      <c r="J72" s="210">
        <v>2020</v>
      </c>
      <c r="K72" s="210">
        <v>2020</v>
      </c>
      <c r="L72" s="268" t="str">
        <f t="shared" si="10"/>
        <v>Simple</v>
      </c>
      <c r="M72" s="197">
        <v>253.79747419405845</v>
      </c>
      <c r="N72" s="197">
        <v>467.21807749360744</v>
      </c>
      <c r="O72" s="257">
        <f>IF(ISNA(MATCH(H72,'Operating leases'!$B$32:$B$43,0)),0,INDEX('Operating leases'!$M$32:$S$43,MATCH(H72,'Operating leases'!$B$32:$B$43,0),MATCH(J72,'Operating leases'!$M$11:$S$11,0)))</f>
        <v>0</v>
      </c>
      <c r="P72" s="257">
        <f t="shared" si="11"/>
        <v>253.79747419405845</v>
      </c>
      <c r="Q72" s="257">
        <f t="shared" si="12"/>
        <v>721.01555168766595</v>
      </c>
      <c r="R72" s="258">
        <f>INDEX('Escalators '!$M$124:$S$129,MATCH(I72,'Escalators '!$B$124:$B$129,0),MATCH(J72,'Escalators '!$M$113:$S$113,0))</f>
        <v>1</v>
      </c>
      <c r="S72" s="257">
        <f t="shared" si="13"/>
        <v>0</v>
      </c>
      <c r="T72" s="257">
        <f t="shared" si="14"/>
        <v>467.21807749360744</v>
      </c>
      <c r="U72" s="269">
        <f t="shared" si="15"/>
        <v>253.79747419405851</v>
      </c>
      <c r="V72" s="269">
        <f t="shared" si="16"/>
        <v>721.01555168766595</v>
      </c>
      <c r="W72" s="269">
        <f t="shared" si="17"/>
        <v>253.79747419405851</v>
      </c>
      <c r="X72" s="257">
        <f t="shared" si="18"/>
        <v>721.01555168766595</v>
      </c>
      <c r="Y72" s="270">
        <f>IF(L72="Complex",(INDEX('Escalators '!$M$176:$S$176,MATCH('Forecast capex'!J72,'Escalators '!$M$178:$S$178,0))/12+1)^((K72-J72)*12)-1,0)</f>
        <v>0</v>
      </c>
      <c r="Z72" s="257">
        <f t="shared" si="19"/>
        <v>0</v>
      </c>
      <c r="AA72" s="257">
        <f t="shared" si="20"/>
        <v>0</v>
      </c>
      <c r="AB72" s="269">
        <f t="shared" si="21"/>
        <v>0</v>
      </c>
      <c r="AC72" s="269">
        <f t="shared" si="22"/>
        <v>0</v>
      </c>
      <c r="AD72" s="271" t="str">
        <f>INDEX('Global inputs'!$C$134:$C$171,MATCH(F72,'Global inputs'!$B$134:$B$171,0))</f>
        <v>Consumer connection</v>
      </c>
      <c r="AE72" s="272">
        <f>IF(OR(H72='Operating leases'!$B$32,H72='Operating leases'!$B$33),"",INDEX('Global inputs'!$C$186:$C$243,MATCH(E72,'Global inputs'!$B$186:$B$243,0)))</f>
        <v>0.08</v>
      </c>
    </row>
    <row r="73" spans="1:31" s="27" customFormat="1" x14ac:dyDescent="0.2">
      <c r="A73" s="250"/>
      <c r="B73" s="210" t="s">
        <v>714</v>
      </c>
      <c r="C73" s="210" t="s">
        <v>284</v>
      </c>
      <c r="D73" s="210" t="s">
        <v>715</v>
      </c>
      <c r="E73" s="210" t="s">
        <v>129</v>
      </c>
      <c r="F73" s="210" t="s">
        <v>94</v>
      </c>
      <c r="G73" s="210" t="s">
        <v>717</v>
      </c>
      <c r="H73" s="197">
        <v>0</v>
      </c>
      <c r="I73" s="210" t="s">
        <v>229</v>
      </c>
      <c r="J73" s="210">
        <v>2020</v>
      </c>
      <c r="K73" s="210">
        <v>2020</v>
      </c>
      <c r="L73" s="268" t="str">
        <f t="shared" si="10"/>
        <v>Simple</v>
      </c>
      <c r="M73" s="197">
        <v>253.79747419405845</v>
      </c>
      <c r="N73" s="197">
        <v>467.21807749360744</v>
      </c>
      <c r="O73" s="257">
        <f>IF(ISNA(MATCH(H73,'Operating leases'!$B$32:$B$43,0)),0,INDEX('Operating leases'!$M$32:$S$43,MATCH(H73,'Operating leases'!$B$32:$B$43,0),MATCH(J73,'Operating leases'!$M$11:$S$11,0)))</f>
        <v>0</v>
      </c>
      <c r="P73" s="257">
        <f t="shared" si="11"/>
        <v>253.79747419405845</v>
      </c>
      <c r="Q73" s="257">
        <f t="shared" si="12"/>
        <v>721.01555168766595</v>
      </c>
      <c r="R73" s="258">
        <f>INDEX('Escalators '!$M$124:$S$129,MATCH(I73,'Escalators '!$B$124:$B$129,0),MATCH(J73,'Escalators '!$M$113:$S$113,0))</f>
        <v>1</v>
      </c>
      <c r="S73" s="257">
        <f t="shared" si="13"/>
        <v>0</v>
      </c>
      <c r="T73" s="257">
        <f t="shared" si="14"/>
        <v>467.21807749360744</v>
      </c>
      <c r="U73" s="269">
        <f t="shared" si="15"/>
        <v>253.79747419405851</v>
      </c>
      <c r="V73" s="269">
        <f t="shared" si="16"/>
        <v>721.01555168766595</v>
      </c>
      <c r="W73" s="269">
        <f t="shared" si="17"/>
        <v>253.79747419405851</v>
      </c>
      <c r="X73" s="257">
        <f t="shared" si="18"/>
        <v>721.01555168766595</v>
      </c>
      <c r="Y73" s="270">
        <f>IF(L73="Complex",(INDEX('Escalators '!$M$176:$S$176,MATCH('Forecast capex'!J73,'Escalators '!$M$178:$S$178,0))/12+1)^((K73-J73)*12)-1,0)</f>
        <v>0</v>
      </c>
      <c r="Z73" s="257">
        <f t="shared" si="19"/>
        <v>0</v>
      </c>
      <c r="AA73" s="257">
        <f t="shared" si="20"/>
        <v>0</v>
      </c>
      <c r="AB73" s="269">
        <f t="shared" si="21"/>
        <v>0</v>
      </c>
      <c r="AC73" s="269">
        <f t="shared" si="22"/>
        <v>0</v>
      </c>
      <c r="AD73" s="271" t="str">
        <f>INDEX('Global inputs'!$C$134:$C$171,MATCH(F73,'Global inputs'!$B$134:$B$171,0))</f>
        <v>Consumer connection</v>
      </c>
      <c r="AE73" s="272">
        <f>IF(OR(H73='Operating leases'!$B$32,H73='Operating leases'!$B$33),"",INDEX('Global inputs'!$C$186:$C$243,MATCH(E73,'Global inputs'!$B$186:$B$243,0)))</f>
        <v>0.1</v>
      </c>
    </row>
    <row r="74" spans="1:31" s="27" customFormat="1" x14ac:dyDescent="0.2">
      <c r="A74" s="250"/>
      <c r="B74" s="210" t="s">
        <v>714</v>
      </c>
      <c r="C74" s="210" t="s">
        <v>284</v>
      </c>
      <c r="D74" s="210" t="s">
        <v>715</v>
      </c>
      <c r="E74" s="210" t="s">
        <v>129</v>
      </c>
      <c r="F74" s="210" t="s">
        <v>94</v>
      </c>
      <c r="G74" s="210" t="s">
        <v>717</v>
      </c>
      <c r="H74" s="197">
        <v>0</v>
      </c>
      <c r="I74" s="210" t="s">
        <v>221</v>
      </c>
      <c r="J74" s="210">
        <v>2020</v>
      </c>
      <c r="K74" s="210">
        <v>2020</v>
      </c>
      <c r="L74" s="268" t="str">
        <f t="shared" ref="L74:L137" si="23">IF(J74=K74,"Simple","Complex")</f>
        <v>Simple</v>
      </c>
      <c r="M74" s="197">
        <v>253.79747419405845</v>
      </c>
      <c r="N74" s="197">
        <v>467.21807749360744</v>
      </c>
      <c r="O74" s="257">
        <f>IF(ISNA(MATCH(H74,'Operating leases'!$B$32:$B$43,0)),0,INDEX('Operating leases'!$M$32:$S$43,MATCH(H74,'Operating leases'!$B$32:$B$43,0),MATCH(J74,'Operating leases'!$M$11:$S$11,0)))</f>
        <v>0</v>
      </c>
      <c r="P74" s="257">
        <f t="shared" ref="P74:P137" si="24">O74+M74</f>
        <v>253.79747419405845</v>
      </c>
      <c r="Q74" s="257">
        <f t="shared" ref="Q74:Q137" si="25">M74+N74+O74</f>
        <v>721.01555168766595</v>
      </c>
      <c r="R74" s="258">
        <f>INDEX('Escalators '!$M$124:$S$129,MATCH(I74,'Escalators '!$B$124:$B$129,0),MATCH(J74,'Escalators '!$M$113:$S$113,0))</f>
        <v>1</v>
      </c>
      <c r="S74" s="257">
        <f t="shared" ref="S74:S137" si="26">O74*R74</f>
        <v>0</v>
      </c>
      <c r="T74" s="257">
        <f t="shared" ref="T74:T137" si="27">N74*R74</f>
        <v>467.21807749360744</v>
      </c>
      <c r="U74" s="269">
        <f t="shared" ref="U74:U137" si="28">W74-S74</f>
        <v>253.79747419405851</v>
      </c>
      <c r="V74" s="269">
        <f t="shared" ref="V74:V137" si="29">U74+T74</f>
        <v>721.01555168766595</v>
      </c>
      <c r="W74" s="269">
        <f t="shared" ref="W74:W137" si="30">X74-T74</f>
        <v>253.79747419405851</v>
      </c>
      <c r="X74" s="257">
        <f t="shared" ref="X74:X137" si="31">Q74*R74</f>
        <v>721.01555168766595</v>
      </c>
      <c r="Y74" s="270">
        <f>IF(L74="Complex",(INDEX('Escalators '!$M$176:$S$176,MATCH('Forecast capex'!J74,'Escalators '!$M$178:$S$178,0))/12+1)^((K74-J74)*12)-1,0)</f>
        <v>0</v>
      </c>
      <c r="Z74" s="257">
        <f t="shared" ref="Z74:Z137" si="32">P74*Y74</f>
        <v>0</v>
      </c>
      <c r="AA74" s="257">
        <f t="shared" ref="AA74:AA137" si="33">W74*Y74</f>
        <v>0</v>
      </c>
      <c r="AB74" s="269">
        <f t="shared" ref="AB74:AB137" si="34">IF(L74="Complex",AC74-T74,0)</f>
        <v>0</v>
      </c>
      <c r="AC74" s="269">
        <f t="shared" ref="AC74:AC137" si="35">IF(L74="Complex",V74+AA74,0)</f>
        <v>0</v>
      </c>
      <c r="AD74" s="271" t="str">
        <f>INDEX('Global inputs'!$C$134:$C$171,MATCH(F74,'Global inputs'!$B$134:$B$171,0))</f>
        <v>Consumer connection</v>
      </c>
      <c r="AE74" s="272">
        <f>IF(OR(H74='Operating leases'!$B$32,H74='Operating leases'!$B$33),"",INDEX('Global inputs'!$C$186:$C$243,MATCH(E74,'Global inputs'!$B$186:$B$243,0)))</f>
        <v>0.1</v>
      </c>
    </row>
    <row r="75" spans="1:31" s="27" customFormat="1" x14ac:dyDescent="0.2">
      <c r="A75" s="250"/>
      <c r="B75" s="210" t="s">
        <v>714</v>
      </c>
      <c r="C75" s="210" t="s">
        <v>287</v>
      </c>
      <c r="D75" s="210" t="s">
        <v>715</v>
      </c>
      <c r="E75" s="210" t="s">
        <v>150</v>
      </c>
      <c r="F75" s="210" t="s">
        <v>94</v>
      </c>
      <c r="G75" s="210" t="s">
        <v>717</v>
      </c>
      <c r="H75" s="197">
        <v>0</v>
      </c>
      <c r="I75" s="210" t="s">
        <v>229</v>
      </c>
      <c r="J75" s="210">
        <v>2020</v>
      </c>
      <c r="K75" s="210">
        <v>2020</v>
      </c>
      <c r="L75" s="268" t="str">
        <f t="shared" si="23"/>
        <v>Simple</v>
      </c>
      <c r="M75" s="197">
        <v>15227.848451643507</v>
      </c>
      <c r="N75" s="197">
        <v>28033.084649616441</v>
      </c>
      <c r="O75" s="257">
        <f>IF(ISNA(MATCH(H75,'Operating leases'!$B$32:$B$43,0)),0,INDEX('Operating leases'!$M$32:$S$43,MATCH(H75,'Operating leases'!$B$32:$B$43,0),MATCH(J75,'Operating leases'!$M$11:$S$11,0)))</f>
        <v>0</v>
      </c>
      <c r="P75" s="257">
        <f t="shared" si="24"/>
        <v>15227.848451643507</v>
      </c>
      <c r="Q75" s="257">
        <f t="shared" si="25"/>
        <v>43260.93310125995</v>
      </c>
      <c r="R75" s="258">
        <f>INDEX('Escalators '!$M$124:$S$129,MATCH(I75,'Escalators '!$B$124:$B$129,0),MATCH(J75,'Escalators '!$M$113:$S$113,0))</f>
        <v>1</v>
      </c>
      <c r="S75" s="257">
        <f t="shared" si="26"/>
        <v>0</v>
      </c>
      <c r="T75" s="257">
        <f t="shared" si="27"/>
        <v>28033.084649616441</v>
      </c>
      <c r="U75" s="269">
        <f t="shared" si="28"/>
        <v>15227.848451643509</v>
      </c>
      <c r="V75" s="269">
        <f t="shared" si="29"/>
        <v>43260.93310125995</v>
      </c>
      <c r="W75" s="269">
        <f t="shared" si="30"/>
        <v>15227.848451643509</v>
      </c>
      <c r="X75" s="257">
        <f t="shared" si="31"/>
        <v>43260.93310125995</v>
      </c>
      <c r="Y75" s="270">
        <f>IF(L75="Complex",(INDEX('Escalators '!$M$176:$S$176,MATCH('Forecast capex'!J75,'Escalators '!$M$178:$S$178,0))/12+1)^((K75-J75)*12)-1,0)</f>
        <v>0</v>
      </c>
      <c r="Z75" s="257">
        <f t="shared" si="32"/>
        <v>0</v>
      </c>
      <c r="AA75" s="257">
        <f t="shared" si="33"/>
        <v>0</v>
      </c>
      <c r="AB75" s="269">
        <f t="shared" si="34"/>
        <v>0</v>
      </c>
      <c r="AC75" s="269">
        <f t="shared" si="35"/>
        <v>0</v>
      </c>
      <c r="AD75" s="271" t="str">
        <f>INDEX('Global inputs'!$C$134:$C$171,MATCH(F75,'Global inputs'!$B$134:$B$171,0))</f>
        <v>Consumer connection</v>
      </c>
      <c r="AE75" s="272">
        <f>IF(OR(H75='Operating leases'!$B$32,H75='Operating leases'!$B$33),"",INDEX('Global inputs'!$C$186:$C$243,MATCH(E75,'Global inputs'!$B$186:$B$243,0)))</f>
        <v>0.08</v>
      </c>
    </row>
    <row r="76" spans="1:31" s="27" customFormat="1" x14ac:dyDescent="0.2">
      <c r="A76" s="250"/>
      <c r="B76" s="210" t="s">
        <v>714</v>
      </c>
      <c r="C76" s="210" t="s">
        <v>287</v>
      </c>
      <c r="D76" s="210" t="s">
        <v>715</v>
      </c>
      <c r="E76" s="210" t="s">
        <v>150</v>
      </c>
      <c r="F76" s="210" t="s">
        <v>94</v>
      </c>
      <c r="G76" s="210" t="s">
        <v>717</v>
      </c>
      <c r="H76" s="197">
        <v>0</v>
      </c>
      <c r="I76" s="210" t="s">
        <v>221</v>
      </c>
      <c r="J76" s="210">
        <v>2020</v>
      </c>
      <c r="K76" s="210">
        <v>2020</v>
      </c>
      <c r="L76" s="268" t="str">
        <f t="shared" si="23"/>
        <v>Simple</v>
      </c>
      <c r="M76" s="197">
        <v>15227.848451643507</v>
      </c>
      <c r="N76" s="197">
        <v>28033.084649616441</v>
      </c>
      <c r="O76" s="257">
        <f>IF(ISNA(MATCH(H76,'Operating leases'!$B$32:$B$43,0)),0,INDEX('Operating leases'!$M$32:$S$43,MATCH(H76,'Operating leases'!$B$32:$B$43,0),MATCH(J76,'Operating leases'!$M$11:$S$11,0)))</f>
        <v>0</v>
      </c>
      <c r="P76" s="257">
        <f t="shared" si="24"/>
        <v>15227.848451643507</v>
      </c>
      <c r="Q76" s="257">
        <f t="shared" si="25"/>
        <v>43260.93310125995</v>
      </c>
      <c r="R76" s="258">
        <f>INDEX('Escalators '!$M$124:$S$129,MATCH(I76,'Escalators '!$B$124:$B$129,0),MATCH(J76,'Escalators '!$M$113:$S$113,0))</f>
        <v>1</v>
      </c>
      <c r="S76" s="257">
        <f t="shared" si="26"/>
        <v>0</v>
      </c>
      <c r="T76" s="257">
        <f t="shared" si="27"/>
        <v>28033.084649616441</v>
      </c>
      <c r="U76" s="269">
        <f t="shared" si="28"/>
        <v>15227.848451643509</v>
      </c>
      <c r="V76" s="269">
        <f t="shared" si="29"/>
        <v>43260.93310125995</v>
      </c>
      <c r="W76" s="269">
        <f t="shared" si="30"/>
        <v>15227.848451643509</v>
      </c>
      <c r="X76" s="257">
        <f t="shared" si="31"/>
        <v>43260.93310125995</v>
      </c>
      <c r="Y76" s="270">
        <f>IF(L76="Complex",(INDEX('Escalators '!$M$176:$S$176,MATCH('Forecast capex'!J76,'Escalators '!$M$178:$S$178,0))/12+1)^((K76-J76)*12)-1,0)</f>
        <v>0</v>
      </c>
      <c r="Z76" s="257">
        <f t="shared" si="32"/>
        <v>0</v>
      </c>
      <c r="AA76" s="257">
        <f t="shared" si="33"/>
        <v>0</v>
      </c>
      <c r="AB76" s="269">
        <f t="shared" si="34"/>
        <v>0</v>
      </c>
      <c r="AC76" s="269">
        <f t="shared" si="35"/>
        <v>0</v>
      </c>
      <c r="AD76" s="271" t="str">
        <f>INDEX('Global inputs'!$C$134:$C$171,MATCH(F76,'Global inputs'!$B$134:$B$171,0))</f>
        <v>Consumer connection</v>
      </c>
      <c r="AE76" s="272">
        <f>IF(OR(H76='Operating leases'!$B$32,H76='Operating leases'!$B$33),"",INDEX('Global inputs'!$C$186:$C$243,MATCH(E76,'Global inputs'!$B$186:$B$243,0)))</f>
        <v>0.08</v>
      </c>
    </row>
    <row r="77" spans="1:31" s="27" customFormat="1" x14ac:dyDescent="0.2">
      <c r="A77" s="250"/>
      <c r="B77" s="210" t="s">
        <v>714</v>
      </c>
      <c r="C77" s="210" t="s">
        <v>287</v>
      </c>
      <c r="D77" s="210" t="s">
        <v>715</v>
      </c>
      <c r="E77" s="210" t="s">
        <v>151</v>
      </c>
      <c r="F77" s="210" t="s">
        <v>94</v>
      </c>
      <c r="G77" s="210" t="s">
        <v>717</v>
      </c>
      <c r="H77" s="197">
        <v>0</v>
      </c>
      <c r="I77" s="210" t="s">
        <v>229</v>
      </c>
      <c r="J77" s="210">
        <v>2020</v>
      </c>
      <c r="K77" s="210">
        <v>2020</v>
      </c>
      <c r="L77" s="268" t="str">
        <f t="shared" si="23"/>
        <v>Simple</v>
      </c>
      <c r="M77" s="197">
        <v>15227.848451643507</v>
      </c>
      <c r="N77" s="197">
        <v>28033.084649616441</v>
      </c>
      <c r="O77" s="257">
        <f>IF(ISNA(MATCH(H77,'Operating leases'!$B$32:$B$43,0)),0,INDEX('Operating leases'!$M$32:$S$43,MATCH(H77,'Operating leases'!$B$32:$B$43,0),MATCH(J77,'Operating leases'!$M$11:$S$11,0)))</f>
        <v>0</v>
      </c>
      <c r="P77" s="257">
        <f t="shared" si="24"/>
        <v>15227.848451643507</v>
      </c>
      <c r="Q77" s="257">
        <f t="shared" si="25"/>
        <v>43260.93310125995</v>
      </c>
      <c r="R77" s="258">
        <f>INDEX('Escalators '!$M$124:$S$129,MATCH(I77,'Escalators '!$B$124:$B$129,0),MATCH(J77,'Escalators '!$M$113:$S$113,0))</f>
        <v>1</v>
      </c>
      <c r="S77" s="257">
        <f t="shared" si="26"/>
        <v>0</v>
      </c>
      <c r="T77" s="257">
        <f t="shared" si="27"/>
        <v>28033.084649616441</v>
      </c>
      <c r="U77" s="269">
        <f t="shared" si="28"/>
        <v>15227.848451643509</v>
      </c>
      <c r="V77" s="269">
        <f t="shared" si="29"/>
        <v>43260.93310125995</v>
      </c>
      <c r="W77" s="269">
        <f t="shared" si="30"/>
        <v>15227.848451643509</v>
      </c>
      <c r="X77" s="257">
        <f t="shared" si="31"/>
        <v>43260.93310125995</v>
      </c>
      <c r="Y77" s="270">
        <f>IF(L77="Complex",(INDEX('Escalators '!$M$176:$S$176,MATCH('Forecast capex'!J77,'Escalators '!$M$178:$S$178,0))/12+1)^((K77-J77)*12)-1,0)</f>
        <v>0</v>
      </c>
      <c r="Z77" s="257">
        <f t="shared" si="32"/>
        <v>0</v>
      </c>
      <c r="AA77" s="257">
        <f t="shared" si="33"/>
        <v>0</v>
      </c>
      <c r="AB77" s="269">
        <f t="shared" si="34"/>
        <v>0</v>
      </c>
      <c r="AC77" s="269">
        <f t="shared" si="35"/>
        <v>0</v>
      </c>
      <c r="AD77" s="271" t="str">
        <f>INDEX('Global inputs'!$C$134:$C$171,MATCH(F77,'Global inputs'!$B$134:$B$171,0))</f>
        <v>Consumer connection</v>
      </c>
      <c r="AE77" s="272">
        <f>IF(OR(H77='Operating leases'!$B$32,H77='Operating leases'!$B$33),"",INDEX('Global inputs'!$C$186:$C$243,MATCH(E77,'Global inputs'!$B$186:$B$243,0)))</f>
        <v>0.1</v>
      </c>
    </row>
    <row r="78" spans="1:31" s="27" customFormat="1" x14ac:dyDescent="0.2">
      <c r="A78" s="250"/>
      <c r="B78" s="210" t="s">
        <v>714</v>
      </c>
      <c r="C78" s="210" t="s">
        <v>287</v>
      </c>
      <c r="D78" s="210" t="s">
        <v>715</v>
      </c>
      <c r="E78" s="210" t="s">
        <v>151</v>
      </c>
      <c r="F78" s="210" t="s">
        <v>94</v>
      </c>
      <c r="G78" s="210" t="s">
        <v>717</v>
      </c>
      <c r="H78" s="197">
        <v>0</v>
      </c>
      <c r="I78" s="210" t="s">
        <v>221</v>
      </c>
      <c r="J78" s="210">
        <v>2020</v>
      </c>
      <c r="K78" s="210">
        <v>2020</v>
      </c>
      <c r="L78" s="268" t="str">
        <f t="shared" si="23"/>
        <v>Simple</v>
      </c>
      <c r="M78" s="197">
        <v>15227.848451643507</v>
      </c>
      <c r="N78" s="197">
        <v>28033.084649616441</v>
      </c>
      <c r="O78" s="257">
        <f>IF(ISNA(MATCH(H78,'Operating leases'!$B$32:$B$43,0)),0,INDEX('Operating leases'!$M$32:$S$43,MATCH(H78,'Operating leases'!$B$32:$B$43,0),MATCH(J78,'Operating leases'!$M$11:$S$11,0)))</f>
        <v>0</v>
      </c>
      <c r="P78" s="257">
        <f t="shared" si="24"/>
        <v>15227.848451643507</v>
      </c>
      <c r="Q78" s="257">
        <f t="shared" si="25"/>
        <v>43260.93310125995</v>
      </c>
      <c r="R78" s="258">
        <f>INDEX('Escalators '!$M$124:$S$129,MATCH(I78,'Escalators '!$B$124:$B$129,0),MATCH(J78,'Escalators '!$M$113:$S$113,0))</f>
        <v>1</v>
      </c>
      <c r="S78" s="257">
        <f t="shared" si="26"/>
        <v>0</v>
      </c>
      <c r="T78" s="257">
        <f t="shared" si="27"/>
        <v>28033.084649616441</v>
      </c>
      <c r="U78" s="269">
        <f t="shared" si="28"/>
        <v>15227.848451643509</v>
      </c>
      <c r="V78" s="269">
        <f t="shared" si="29"/>
        <v>43260.93310125995</v>
      </c>
      <c r="W78" s="269">
        <f t="shared" si="30"/>
        <v>15227.848451643509</v>
      </c>
      <c r="X78" s="257">
        <f t="shared" si="31"/>
        <v>43260.93310125995</v>
      </c>
      <c r="Y78" s="270">
        <f>IF(L78="Complex",(INDEX('Escalators '!$M$176:$S$176,MATCH('Forecast capex'!J78,'Escalators '!$M$178:$S$178,0))/12+1)^((K78-J78)*12)-1,0)</f>
        <v>0</v>
      </c>
      <c r="Z78" s="257">
        <f t="shared" si="32"/>
        <v>0</v>
      </c>
      <c r="AA78" s="257">
        <f t="shared" si="33"/>
        <v>0</v>
      </c>
      <c r="AB78" s="269">
        <f t="shared" si="34"/>
        <v>0</v>
      </c>
      <c r="AC78" s="269">
        <f t="shared" si="35"/>
        <v>0</v>
      </c>
      <c r="AD78" s="271" t="str">
        <f>INDEX('Global inputs'!$C$134:$C$171,MATCH(F78,'Global inputs'!$B$134:$B$171,0))</f>
        <v>Consumer connection</v>
      </c>
      <c r="AE78" s="272">
        <f>IF(OR(H78='Operating leases'!$B$32,H78='Operating leases'!$B$33),"",INDEX('Global inputs'!$C$186:$C$243,MATCH(E78,'Global inputs'!$B$186:$B$243,0)))</f>
        <v>0.1</v>
      </c>
    </row>
    <row r="79" spans="1:31" s="27" customFormat="1" x14ac:dyDescent="0.2">
      <c r="A79" s="250"/>
      <c r="B79" s="210" t="s">
        <v>714</v>
      </c>
      <c r="C79" s="210" t="s">
        <v>287</v>
      </c>
      <c r="D79" s="210" t="s">
        <v>715</v>
      </c>
      <c r="E79" s="210" t="s">
        <v>153</v>
      </c>
      <c r="F79" s="210" t="s">
        <v>94</v>
      </c>
      <c r="G79" s="210" t="s">
        <v>717</v>
      </c>
      <c r="H79" s="197">
        <v>0</v>
      </c>
      <c r="I79" s="210" t="s">
        <v>229</v>
      </c>
      <c r="J79" s="210">
        <v>2020</v>
      </c>
      <c r="K79" s="210">
        <v>2020</v>
      </c>
      <c r="L79" s="268" t="str">
        <f t="shared" si="23"/>
        <v>Simple</v>
      </c>
      <c r="M79" s="197">
        <v>13197.46865809104</v>
      </c>
      <c r="N79" s="197">
        <v>24295.340029667586</v>
      </c>
      <c r="O79" s="257">
        <f>IF(ISNA(MATCH(H79,'Operating leases'!$B$32:$B$43,0)),0,INDEX('Operating leases'!$M$32:$S$43,MATCH(H79,'Operating leases'!$B$32:$B$43,0),MATCH(J79,'Operating leases'!$M$11:$S$11,0)))</f>
        <v>0</v>
      </c>
      <c r="P79" s="257">
        <f t="shared" si="24"/>
        <v>13197.46865809104</v>
      </c>
      <c r="Q79" s="257">
        <f t="shared" si="25"/>
        <v>37492.808687758625</v>
      </c>
      <c r="R79" s="258">
        <f>INDEX('Escalators '!$M$124:$S$129,MATCH(I79,'Escalators '!$B$124:$B$129,0),MATCH(J79,'Escalators '!$M$113:$S$113,0))</f>
        <v>1</v>
      </c>
      <c r="S79" s="257">
        <f t="shared" si="26"/>
        <v>0</v>
      </c>
      <c r="T79" s="257">
        <f t="shared" si="27"/>
        <v>24295.340029667586</v>
      </c>
      <c r="U79" s="269">
        <f t="shared" si="28"/>
        <v>13197.468658091038</v>
      </c>
      <c r="V79" s="269">
        <f t="shared" si="29"/>
        <v>37492.808687758625</v>
      </c>
      <c r="W79" s="269">
        <f t="shared" si="30"/>
        <v>13197.468658091038</v>
      </c>
      <c r="X79" s="257">
        <f t="shared" si="31"/>
        <v>37492.808687758625</v>
      </c>
      <c r="Y79" s="270">
        <f>IF(L79="Complex",(INDEX('Escalators '!$M$176:$S$176,MATCH('Forecast capex'!J79,'Escalators '!$M$178:$S$178,0))/12+1)^((K79-J79)*12)-1,0)</f>
        <v>0</v>
      </c>
      <c r="Z79" s="257">
        <f t="shared" si="32"/>
        <v>0</v>
      </c>
      <c r="AA79" s="257">
        <f t="shared" si="33"/>
        <v>0</v>
      </c>
      <c r="AB79" s="269">
        <f t="shared" si="34"/>
        <v>0</v>
      </c>
      <c r="AC79" s="269">
        <f t="shared" si="35"/>
        <v>0</v>
      </c>
      <c r="AD79" s="271" t="str">
        <f>INDEX('Global inputs'!$C$134:$C$171,MATCH(F79,'Global inputs'!$B$134:$B$171,0))</f>
        <v>Consumer connection</v>
      </c>
      <c r="AE79" s="272">
        <f>IF(OR(H79='Operating leases'!$B$32,H79='Operating leases'!$B$33),"",INDEX('Global inputs'!$C$186:$C$243,MATCH(E79,'Global inputs'!$B$186:$B$243,0)))</f>
        <v>0.08</v>
      </c>
    </row>
    <row r="80" spans="1:31" s="27" customFormat="1" x14ac:dyDescent="0.2">
      <c r="A80" s="250"/>
      <c r="B80" s="210" t="s">
        <v>714</v>
      </c>
      <c r="C80" s="210" t="s">
        <v>287</v>
      </c>
      <c r="D80" s="210" t="s">
        <v>715</v>
      </c>
      <c r="E80" s="210" t="s">
        <v>153</v>
      </c>
      <c r="F80" s="210" t="s">
        <v>94</v>
      </c>
      <c r="G80" s="210" t="s">
        <v>717</v>
      </c>
      <c r="H80" s="197">
        <v>0</v>
      </c>
      <c r="I80" s="210" t="s">
        <v>221</v>
      </c>
      <c r="J80" s="210">
        <v>2020</v>
      </c>
      <c r="K80" s="210">
        <v>2020</v>
      </c>
      <c r="L80" s="268" t="str">
        <f t="shared" si="23"/>
        <v>Simple</v>
      </c>
      <c r="M80" s="197">
        <v>13197.46865809104</v>
      </c>
      <c r="N80" s="197">
        <v>24295.340029667586</v>
      </c>
      <c r="O80" s="257">
        <f>IF(ISNA(MATCH(H80,'Operating leases'!$B$32:$B$43,0)),0,INDEX('Operating leases'!$M$32:$S$43,MATCH(H80,'Operating leases'!$B$32:$B$43,0),MATCH(J80,'Operating leases'!$M$11:$S$11,0)))</f>
        <v>0</v>
      </c>
      <c r="P80" s="257">
        <f t="shared" si="24"/>
        <v>13197.46865809104</v>
      </c>
      <c r="Q80" s="257">
        <f t="shared" si="25"/>
        <v>37492.808687758625</v>
      </c>
      <c r="R80" s="258">
        <f>INDEX('Escalators '!$M$124:$S$129,MATCH(I80,'Escalators '!$B$124:$B$129,0),MATCH(J80,'Escalators '!$M$113:$S$113,0))</f>
        <v>1</v>
      </c>
      <c r="S80" s="257">
        <f t="shared" si="26"/>
        <v>0</v>
      </c>
      <c r="T80" s="257">
        <f t="shared" si="27"/>
        <v>24295.340029667586</v>
      </c>
      <c r="U80" s="269">
        <f t="shared" si="28"/>
        <v>13197.468658091038</v>
      </c>
      <c r="V80" s="269">
        <f t="shared" si="29"/>
        <v>37492.808687758625</v>
      </c>
      <c r="W80" s="269">
        <f t="shared" si="30"/>
        <v>13197.468658091038</v>
      </c>
      <c r="X80" s="257">
        <f t="shared" si="31"/>
        <v>37492.808687758625</v>
      </c>
      <c r="Y80" s="270">
        <f>IF(L80="Complex",(INDEX('Escalators '!$M$176:$S$176,MATCH('Forecast capex'!J80,'Escalators '!$M$178:$S$178,0))/12+1)^((K80-J80)*12)-1,0)</f>
        <v>0</v>
      </c>
      <c r="Z80" s="257">
        <f t="shared" si="32"/>
        <v>0</v>
      </c>
      <c r="AA80" s="257">
        <f t="shared" si="33"/>
        <v>0</v>
      </c>
      <c r="AB80" s="269">
        <f t="shared" si="34"/>
        <v>0</v>
      </c>
      <c r="AC80" s="269">
        <f t="shared" si="35"/>
        <v>0</v>
      </c>
      <c r="AD80" s="271" t="str">
        <f>INDEX('Global inputs'!$C$134:$C$171,MATCH(F80,'Global inputs'!$B$134:$B$171,0))</f>
        <v>Consumer connection</v>
      </c>
      <c r="AE80" s="272">
        <f>IF(OR(H80='Operating leases'!$B$32,H80='Operating leases'!$B$33),"",INDEX('Global inputs'!$C$186:$C$243,MATCH(E80,'Global inputs'!$B$186:$B$243,0)))</f>
        <v>0.08</v>
      </c>
    </row>
    <row r="81" spans="1:31" s="27" customFormat="1" x14ac:dyDescent="0.2">
      <c r="A81" s="250"/>
      <c r="B81" s="210" t="s">
        <v>714</v>
      </c>
      <c r="C81" s="210" t="s">
        <v>287</v>
      </c>
      <c r="D81" s="210" t="s">
        <v>715</v>
      </c>
      <c r="E81" s="210" t="s">
        <v>154</v>
      </c>
      <c r="F81" s="210" t="s">
        <v>94</v>
      </c>
      <c r="G81" s="210" t="s">
        <v>717</v>
      </c>
      <c r="H81" s="197">
        <v>0</v>
      </c>
      <c r="I81" s="210" t="s">
        <v>229</v>
      </c>
      <c r="J81" s="210">
        <v>2020</v>
      </c>
      <c r="K81" s="210">
        <v>2020</v>
      </c>
      <c r="L81" s="268" t="str">
        <f t="shared" si="23"/>
        <v>Simple</v>
      </c>
      <c r="M81" s="197">
        <v>13197.46865809104</v>
      </c>
      <c r="N81" s="197">
        <v>24295.340029667586</v>
      </c>
      <c r="O81" s="257">
        <f>IF(ISNA(MATCH(H81,'Operating leases'!$B$32:$B$43,0)),0,INDEX('Operating leases'!$M$32:$S$43,MATCH(H81,'Operating leases'!$B$32:$B$43,0),MATCH(J81,'Operating leases'!$M$11:$S$11,0)))</f>
        <v>0</v>
      </c>
      <c r="P81" s="257">
        <f t="shared" si="24"/>
        <v>13197.46865809104</v>
      </c>
      <c r="Q81" s="257">
        <f t="shared" si="25"/>
        <v>37492.808687758625</v>
      </c>
      <c r="R81" s="258">
        <f>INDEX('Escalators '!$M$124:$S$129,MATCH(I81,'Escalators '!$B$124:$B$129,0),MATCH(J81,'Escalators '!$M$113:$S$113,0))</f>
        <v>1</v>
      </c>
      <c r="S81" s="257">
        <f t="shared" si="26"/>
        <v>0</v>
      </c>
      <c r="T81" s="257">
        <f t="shared" si="27"/>
        <v>24295.340029667586</v>
      </c>
      <c r="U81" s="269">
        <f t="shared" si="28"/>
        <v>13197.468658091038</v>
      </c>
      <c r="V81" s="269">
        <f t="shared" si="29"/>
        <v>37492.808687758625</v>
      </c>
      <c r="W81" s="269">
        <f t="shared" si="30"/>
        <v>13197.468658091038</v>
      </c>
      <c r="X81" s="257">
        <f t="shared" si="31"/>
        <v>37492.808687758625</v>
      </c>
      <c r="Y81" s="270">
        <f>IF(L81="Complex",(INDEX('Escalators '!$M$176:$S$176,MATCH('Forecast capex'!J81,'Escalators '!$M$178:$S$178,0))/12+1)^((K81-J81)*12)-1,0)</f>
        <v>0</v>
      </c>
      <c r="Z81" s="257">
        <f t="shared" si="32"/>
        <v>0</v>
      </c>
      <c r="AA81" s="257">
        <f t="shared" si="33"/>
        <v>0</v>
      </c>
      <c r="AB81" s="269">
        <f t="shared" si="34"/>
        <v>0</v>
      </c>
      <c r="AC81" s="269">
        <f t="shared" si="35"/>
        <v>0</v>
      </c>
      <c r="AD81" s="271" t="str">
        <f>INDEX('Global inputs'!$C$134:$C$171,MATCH(F81,'Global inputs'!$B$134:$B$171,0))</f>
        <v>Consumer connection</v>
      </c>
      <c r="AE81" s="272">
        <f>IF(OR(H81='Operating leases'!$B$32,H81='Operating leases'!$B$33),"",INDEX('Global inputs'!$C$186:$C$243,MATCH(E81,'Global inputs'!$B$186:$B$243,0)))</f>
        <v>0.1</v>
      </c>
    </row>
    <row r="82" spans="1:31" s="27" customFormat="1" x14ac:dyDescent="0.2">
      <c r="A82" s="250"/>
      <c r="B82" s="210" t="s">
        <v>714</v>
      </c>
      <c r="C82" s="210" t="s">
        <v>287</v>
      </c>
      <c r="D82" s="210" t="s">
        <v>715</v>
      </c>
      <c r="E82" s="210" t="s">
        <v>154</v>
      </c>
      <c r="F82" s="210" t="s">
        <v>94</v>
      </c>
      <c r="G82" s="210" t="s">
        <v>717</v>
      </c>
      <c r="H82" s="197">
        <v>0</v>
      </c>
      <c r="I82" s="210" t="s">
        <v>221</v>
      </c>
      <c r="J82" s="210">
        <v>2020</v>
      </c>
      <c r="K82" s="210">
        <v>2020</v>
      </c>
      <c r="L82" s="268" t="str">
        <f t="shared" si="23"/>
        <v>Simple</v>
      </c>
      <c r="M82" s="197">
        <v>13197.46865809104</v>
      </c>
      <c r="N82" s="197">
        <v>24295.340029667586</v>
      </c>
      <c r="O82" s="257">
        <f>IF(ISNA(MATCH(H82,'Operating leases'!$B$32:$B$43,0)),0,INDEX('Operating leases'!$M$32:$S$43,MATCH(H82,'Operating leases'!$B$32:$B$43,0),MATCH(J82,'Operating leases'!$M$11:$S$11,0)))</f>
        <v>0</v>
      </c>
      <c r="P82" s="257">
        <f t="shared" si="24"/>
        <v>13197.46865809104</v>
      </c>
      <c r="Q82" s="257">
        <f t="shared" si="25"/>
        <v>37492.808687758625</v>
      </c>
      <c r="R82" s="258">
        <f>INDEX('Escalators '!$M$124:$S$129,MATCH(I82,'Escalators '!$B$124:$B$129,0),MATCH(J82,'Escalators '!$M$113:$S$113,0))</f>
        <v>1</v>
      </c>
      <c r="S82" s="257">
        <f t="shared" si="26"/>
        <v>0</v>
      </c>
      <c r="T82" s="257">
        <f t="shared" si="27"/>
        <v>24295.340029667586</v>
      </c>
      <c r="U82" s="269">
        <f t="shared" si="28"/>
        <v>13197.468658091038</v>
      </c>
      <c r="V82" s="269">
        <f t="shared" si="29"/>
        <v>37492.808687758625</v>
      </c>
      <c r="W82" s="269">
        <f t="shared" si="30"/>
        <v>13197.468658091038</v>
      </c>
      <c r="X82" s="257">
        <f t="shared" si="31"/>
        <v>37492.808687758625</v>
      </c>
      <c r="Y82" s="270">
        <f>IF(L82="Complex",(INDEX('Escalators '!$M$176:$S$176,MATCH('Forecast capex'!J82,'Escalators '!$M$178:$S$178,0))/12+1)^((K82-J82)*12)-1,0)</f>
        <v>0</v>
      </c>
      <c r="Z82" s="257">
        <f t="shared" si="32"/>
        <v>0</v>
      </c>
      <c r="AA82" s="257">
        <f t="shared" si="33"/>
        <v>0</v>
      </c>
      <c r="AB82" s="269">
        <f t="shared" si="34"/>
        <v>0</v>
      </c>
      <c r="AC82" s="269">
        <f t="shared" si="35"/>
        <v>0</v>
      </c>
      <c r="AD82" s="271" t="str">
        <f>INDEX('Global inputs'!$C$134:$C$171,MATCH(F82,'Global inputs'!$B$134:$B$171,0))</f>
        <v>Consumer connection</v>
      </c>
      <c r="AE82" s="272">
        <f>IF(OR(H82='Operating leases'!$B$32,H82='Operating leases'!$B$33),"",INDEX('Global inputs'!$C$186:$C$243,MATCH(E82,'Global inputs'!$B$186:$B$243,0)))</f>
        <v>0.1</v>
      </c>
    </row>
    <row r="83" spans="1:31" s="27" customFormat="1" x14ac:dyDescent="0.2">
      <c r="A83" s="250"/>
      <c r="B83" s="210" t="s">
        <v>714</v>
      </c>
      <c r="C83" s="210" t="s">
        <v>286</v>
      </c>
      <c r="D83" s="210" t="s">
        <v>732</v>
      </c>
      <c r="E83" s="210" t="s">
        <v>140</v>
      </c>
      <c r="F83" s="210" t="s">
        <v>94</v>
      </c>
      <c r="G83" s="210" t="s">
        <v>733</v>
      </c>
      <c r="H83" s="197">
        <v>0</v>
      </c>
      <c r="I83" s="210" t="s">
        <v>142</v>
      </c>
      <c r="J83" s="210">
        <v>2020</v>
      </c>
      <c r="K83" s="210">
        <v>2020</v>
      </c>
      <c r="L83" s="268" t="str">
        <f t="shared" si="23"/>
        <v>Simple</v>
      </c>
      <c r="M83" s="197">
        <v>22537.215708432392</v>
      </c>
      <c r="N83" s="197">
        <v>41488.965281432342</v>
      </c>
      <c r="O83" s="257">
        <f>IF(ISNA(MATCH(H83,'Operating leases'!$B$32:$B$43,0)),0,INDEX('Operating leases'!$M$32:$S$43,MATCH(H83,'Operating leases'!$B$32:$B$43,0),MATCH(J83,'Operating leases'!$M$11:$S$11,0)))</f>
        <v>0</v>
      </c>
      <c r="P83" s="257">
        <f t="shared" si="24"/>
        <v>22537.215708432392</v>
      </c>
      <c r="Q83" s="257">
        <f t="shared" si="25"/>
        <v>64026.180989864733</v>
      </c>
      <c r="R83" s="258">
        <f>INDEX('Escalators '!$M$124:$S$129,MATCH(I83,'Escalators '!$B$124:$B$129,0),MATCH(J83,'Escalators '!$M$113:$S$113,0))</f>
        <v>1</v>
      </c>
      <c r="S83" s="257">
        <f t="shared" si="26"/>
        <v>0</v>
      </c>
      <c r="T83" s="257">
        <f t="shared" si="27"/>
        <v>41488.965281432342</v>
      </c>
      <c r="U83" s="269">
        <f t="shared" si="28"/>
        <v>22537.215708432392</v>
      </c>
      <c r="V83" s="269">
        <f t="shared" si="29"/>
        <v>64026.180989864733</v>
      </c>
      <c r="W83" s="269">
        <f t="shared" si="30"/>
        <v>22537.215708432392</v>
      </c>
      <c r="X83" s="257">
        <f t="shared" si="31"/>
        <v>64026.180989864733</v>
      </c>
      <c r="Y83" s="270">
        <f>IF(L83="Complex",(INDEX('Escalators '!$M$176:$S$176,MATCH('Forecast capex'!J83,'Escalators '!$M$178:$S$178,0))/12+1)^((K83-J83)*12)-1,0)</f>
        <v>0</v>
      </c>
      <c r="Z83" s="257">
        <f t="shared" si="32"/>
        <v>0</v>
      </c>
      <c r="AA83" s="257">
        <f t="shared" si="33"/>
        <v>0</v>
      </c>
      <c r="AB83" s="269">
        <f t="shared" si="34"/>
        <v>0</v>
      </c>
      <c r="AC83" s="269">
        <f t="shared" si="35"/>
        <v>0</v>
      </c>
      <c r="AD83" s="271" t="str">
        <f>INDEX('Global inputs'!$C$134:$C$171,MATCH(F83,'Global inputs'!$B$134:$B$171,0))</f>
        <v>Consumer connection</v>
      </c>
      <c r="AE83" s="272">
        <f>IF(OR(H83='Operating leases'!$B$32,H83='Operating leases'!$B$33),"",INDEX('Global inputs'!$C$186:$C$243,MATCH(E83,'Global inputs'!$B$186:$B$243,0)))</f>
        <v>0.08</v>
      </c>
    </row>
    <row r="84" spans="1:31" s="27" customFormat="1" x14ac:dyDescent="0.2">
      <c r="A84" s="250"/>
      <c r="B84" s="210" t="s">
        <v>714</v>
      </c>
      <c r="C84" s="210" t="s">
        <v>286</v>
      </c>
      <c r="D84" s="210" t="s">
        <v>732</v>
      </c>
      <c r="E84" s="210" t="s">
        <v>140</v>
      </c>
      <c r="F84" s="210" t="s">
        <v>94</v>
      </c>
      <c r="G84" s="210" t="s">
        <v>733</v>
      </c>
      <c r="H84" s="197">
        <v>0</v>
      </c>
      <c r="I84" s="210" t="s">
        <v>221</v>
      </c>
      <c r="J84" s="210">
        <v>2020</v>
      </c>
      <c r="K84" s="210">
        <v>2020</v>
      </c>
      <c r="L84" s="268" t="str">
        <f t="shared" si="23"/>
        <v>Simple</v>
      </c>
      <c r="M84" s="197">
        <v>15024.810472288264</v>
      </c>
      <c r="N84" s="197">
        <v>27659.310187621566</v>
      </c>
      <c r="O84" s="257">
        <f>IF(ISNA(MATCH(H84,'Operating leases'!$B$32:$B$43,0)),0,INDEX('Operating leases'!$M$32:$S$43,MATCH(H84,'Operating leases'!$B$32:$B$43,0),MATCH(J84,'Operating leases'!$M$11:$S$11,0)))</f>
        <v>0</v>
      </c>
      <c r="P84" s="257">
        <f t="shared" si="24"/>
        <v>15024.810472288264</v>
      </c>
      <c r="Q84" s="257">
        <f t="shared" si="25"/>
        <v>42684.12065990983</v>
      </c>
      <c r="R84" s="258">
        <f>INDEX('Escalators '!$M$124:$S$129,MATCH(I84,'Escalators '!$B$124:$B$129,0),MATCH(J84,'Escalators '!$M$113:$S$113,0))</f>
        <v>1</v>
      </c>
      <c r="S84" s="257">
        <f t="shared" si="26"/>
        <v>0</v>
      </c>
      <c r="T84" s="257">
        <f t="shared" si="27"/>
        <v>27659.310187621566</v>
      </c>
      <c r="U84" s="269">
        <f t="shared" si="28"/>
        <v>15024.810472288264</v>
      </c>
      <c r="V84" s="269">
        <f t="shared" si="29"/>
        <v>42684.12065990983</v>
      </c>
      <c r="W84" s="269">
        <f t="shared" si="30"/>
        <v>15024.810472288264</v>
      </c>
      <c r="X84" s="257">
        <f t="shared" si="31"/>
        <v>42684.12065990983</v>
      </c>
      <c r="Y84" s="270">
        <f>IF(L84="Complex",(INDEX('Escalators '!$M$176:$S$176,MATCH('Forecast capex'!J84,'Escalators '!$M$178:$S$178,0))/12+1)^((K84-J84)*12)-1,0)</f>
        <v>0</v>
      </c>
      <c r="Z84" s="257">
        <f t="shared" si="32"/>
        <v>0</v>
      </c>
      <c r="AA84" s="257">
        <f t="shared" si="33"/>
        <v>0</v>
      </c>
      <c r="AB84" s="269">
        <f t="shared" si="34"/>
        <v>0</v>
      </c>
      <c r="AC84" s="269">
        <f t="shared" si="35"/>
        <v>0</v>
      </c>
      <c r="AD84" s="271" t="str">
        <f>INDEX('Global inputs'!$C$134:$C$171,MATCH(F84,'Global inputs'!$B$134:$B$171,0))</f>
        <v>Consumer connection</v>
      </c>
      <c r="AE84" s="272">
        <f>IF(OR(H84='Operating leases'!$B$32,H84='Operating leases'!$B$33),"",INDEX('Global inputs'!$C$186:$C$243,MATCH(E84,'Global inputs'!$B$186:$B$243,0)))</f>
        <v>0.08</v>
      </c>
    </row>
    <row r="85" spans="1:31" s="27" customFormat="1" x14ac:dyDescent="0.2">
      <c r="A85" s="250"/>
      <c r="B85" s="210" t="s">
        <v>714</v>
      </c>
      <c r="C85" s="210" t="s">
        <v>286</v>
      </c>
      <c r="D85" s="210" t="s">
        <v>732</v>
      </c>
      <c r="E85" s="210" t="s">
        <v>141</v>
      </c>
      <c r="F85" s="210" t="s">
        <v>94</v>
      </c>
      <c r="G85" s="210" t="s">
        <v>734</v>
      </c>
      <c r="H85" s="197">
        <v>0</v>
      </c>
      <c r="I85" s="210" t="s">
        <v>142</v>
      </c>
      <c r="J85" s="210">
        <v>2020</v>
      </c>
      <c r="K85" s="210">
        <v>2020</v>
      </c>
      <c r="L85" s="268" t="str">
        <f t="shared" si="23"/>
        <v>Simple</v>
      </c>
      <c r="M85" s="197">
        <v>47916.963127838244</v>
      </c>
      <c r="N85" s="197">
        <v>88210.773030793105</v>
      </c>
      <c r="O85" s="257">
        <f>IF(ISNA(MATCH(H85,'Operating leases'!$B$32:$B$43,0)),0,INDEX('Operating leases'!$M$32:$S$43,MATCH(H85,'Operating leases'!$B$32:$B$43,0),MATCH(J85,'Operating leases'!$M$11:$S$11,0)))</f>
        <v>0</v>
      </c>
      <c r="P85" s="257">
        <f t="shared" si="24"/>
        <v>47916.963127838244</v>
      </c>
      <c r="Q85" s="257">
        <f t="shared" si="25"/>
        <v>136127.73615863133</v>
      </c>
      <c r="R85" s="258">
        <f>INDEX('Escalators '!$M$124:$S$129,MATCH(I85,'Escalators '!$B$124:$B$129,0),MATCH(J85,'Escalators '!$M$113:$S$113,0))</f>
        <v>1</v>
      </c>
      <c r="S85" s="257">
        <f t="shared" si="26"/>
        <v>0</v>
      </c>
      <c r="T85" s="257">
        <f t="shared" si="27"/>
        <v>88210.773030793105</v>
      </c>
      <c r="U85" s="269">
        <f t="shared" si="28"/>
        <v>47916.963127838229</v>
      </c>
      <c r="V85" s="269">
        <f t="shared" si="29"/>
        <v>136127.73615863133</v>
      </c>
      <c r="W85" s="269">
        <f t="shared" si="30"/>
        <v>47916.963127838229</v>
      </c>
      <c r="X85" s="257">
        <f t="shared" si="31"/>
        <v>136127.73615863133</v>
      </c>
      <c r="Y85" s="270">
        <f>IF(L85="Complex",(INDEX('Escalators '!$M$176:$S$176,MATCH('Forecast capex'!J85,'Escalators '!$M$178:$S$178,0))/12+1)^((K85-J85)*12)-1,0)</f>
        <v>0</v>
      </c>
      <c r="Z85" s="257">
        <f t="shared" si="32"/>
        <v>0</v>
      </c>
      <c r="AA85" s="257">
        <f t="shared" si="33"/>
        <v>0</v>
      </c>
      <c r="AB85" s="269">
        <f t="shared" si="34"/>
        <v>0</v>
      </c>
      <c r="AC85" s="269">
        <f t="shared" si="35"/>
        <v>0</v>
      </c>
      <c r="AD85" s="271" t="str">
        <f>INDEX('Global inputs'!$C$134:$C$171,MATCH(F85,'Global inputs'!$B$134:$B$171,0))</f>
        <v>Consumer connection</v>
      </c>
      <c r="AE85" s="272">
        <f>IF(OR(H85='Operating leases'!$B$32,H85='Operating leases'!$B$33),"",INDEX('Global inputs'!$C$186:$C$243,MATCH(E85,'Global inputs'!$B$186:$B$243,0)))</f>
        <v>0.08</v>
      </c>
    </row>
    <row r="86" spans="1:31" s="27" customFormat="1" x14ac:dyDescent="0.2">
      <c r="A86" s="250"/>
      <c r="B86" s="210" t="s">
        <v>714</v>
      </c>
      <c r="C86" s="210" t="s">
        <v>286</v>
      </c>
      <c r="D86" s="210" t="s">
        <v>732</v>
      </c>
      <c r="E86" s="210" t="s">
        <v>141</v>
      </c>
      <c r="F86" s="210" t="s">
        <v>94</v>
      </c>
      <c r="G86" s="210" t="s">
        <v>734</v>
      </c>
      <c r="H86" s="197">
        <v>0</v>
      </c>
      <c r="I86" s="210" t="s">
        <v>221</v>
      </c>
      <c r="J86" s="210">
        <v>2020</v>
      </c>
      <c r="K86" s="210">
        <v>2020</v>
      </c>
      <c r="L86" s="268" t="str">
        <f t="shared" si="23"/>
        <v>Simple</v>
      </c>
      <c r="M86" s="197">
        <v>11979.240781959561</v>
      </c>
      <c r="N86" s="197">
        <v>22052.693257698276</v>
      </c>
      <c r="O86" s="257">
        <f>IF(ISNA(MATCH(H86,'Operating leases'!$B$32:$B$43,0)),0,INDEX('Operating leases'!$M$32:$S$43,MATCH(H86,'Operating leases'!$B$32:$B$43,0),MATCH(J86,'Operating leases'!$M$11:$S$11,0)))</f>
        <v>0</v>
      </c>
      <c r="P86" s="257">
        <f t="shared" si="24"/>
        <v>11979.240781959561</v>
      </c>
      <c r="Q86" s="257">
        <f t="shared" si="25"/>
        <v>34031.934039657834</v>
      </c>
      <c r="R86" s="258">
        <f>INDEX('Escalators '!$M$124:$S$129,MATCH(I86,'Escalators '!$B$124:$B$129,0),MATCH(J86,'Escalators '!$M$113:$S$113,0))</f>
        <v>1</v>
      </c>
      <c r="S86" s="257">
        <f t="shared" si="26"/>
        <v>0</v>
      </c>
      <c r="T86" s="257">
        <f t="shared" si="27"/>
        <v>22052.693257698276</v>
      </c>
      <c r="U86" s="269">
        <f t="shared" si="28"/>
        <v>11979.240781959557</v>
      </c>
      <c r="V86" s="269">
        <f t="shared" si="29"/>
        <v>34031.934039657834</v>
      </c>
      <c r="W86" s="269">
        <f t="shared" si="30"/>
        <v>11979.240781959557</v>
      </c>
      <c r="X86" s="257">
        <f t="shared" si="31"/>
        <v>34031.934039657834</v>
      </c>
      <c r="Y86" s="270">
        <f>IF(L86="Complex",(INDEX('Escalators '!$M$176:$S$176,MATCH('Forecast capex'!J86,'Escalators '!$M$178:$S$178,0))/12+1)^((K86-J86)*12)-1,0)</f>
        <v>0</v>
      </c>
      <c r="Z86" s="257">
        <f t="shared" si="32"/>
        <v>0</v>
      </c>
      <c r="AA86" s="257">
        <f t="shared" si="33"/>
        <v>0</v>
      </c>
      <c r="AB86" s="269">
        <f t="shared" si="34"/>
        <v>0</v>
      </c>
      <c r="AC86" s="269">
        <f t="shared" si="35"/>
        <v>0</v>
      </c>
      <c r="AD86" s="271" t="str">
        <f>INDEX('Global inputs'!$C$134:$C$171,MATCH(F86,'Global inputs'!$B$134:$B$171,0))</f>
        <v>Consumer connection</v>
      </c>
      <c r="AE86" s="272">
        <f>IF(OR(H86='Operating leases'!$B$32,H86='Operating leases'!$B$33),"",INDEX('Global inputs'!$C$186:$C$243,MATCH(E86,'Global inputs'!$B$186:$B$243,0)))</f>
        <v>0.08</v>
      </c>
    </row>
    <row r="87" spans="1:31" s="27" customFormat="1" x14ac:dyDescent="0.2">
      <c r="A87" s="250"/>
      <c r="B87" s="210" t="s">
        <v>714</v>
      </c>
      <c r="C87" s="210" t="s">
        <v>290</v>
      </c>
      <c r="D87" s="210" t="s">
        <v>718</v>
      </c>
      <c r="E87" s="210" t="s">
        <v>173</v>
      </c>
      <c r="F87" s="210" t="s">
        <v>94</v>
      </c>
      <c r="G87" s="210" t="s">
        <v>719</v>
      </c>
      <c r="H87" s="197">
        <v>0</v>
      </c>
      <c r="I87" s="210" t="s">
        <v>142</v>
      </c>
      <c r="J87" s="210">
        <v>2020</v>
      </c>
      <c r="K87" s="210">
        <v>2020</v>
      </c>
      <c r="L87" s="268" t="str">
        <f t="shared" si="23"/>
        <v>Simple</v>
      </c>
      <c r="M87" s="197">
        <v>285065.3230147665</v>
      </c>
      <c r="N87" s="197">
        <v>524779.34464081994</v>
      </c>
      <c r="O87" s="257">
        <f>IF(ISNA(MATCH(H87,'Operating leases'!$B$32:$B$43,0)),0,INDEX('Operating leases'!$M$32:$S$43,MATCH(H87,'Operating leases'!$B$32:$B$43,0),MATCH(J87,'Operating leases'!$M$11:$S$11,0)))</f>
        <v>0</v>
      </c>
      <c r="P87" s="257">
        <f t="shared" si="24"/>
        <v>285065.3230147665</v>
      </c>
      <c r="Q87" s="257">
        <f t="shared" si="25"/>
        <v>809844.6676555865</v>
      </c>
      <c r="R87" s="258">
        <f>INDEX('Escalators '!$M$124:$S$129,MATCH(I87,'Escalators '!$B$124:$B$129,0),MATCH(J87,'Escalators '!$M$113:$S$113,0))</f>
        <v>1</v>
      </c>
      <c r="S87" s="257">
        <f t="shared" si="26"/>
        <v>0</v>
      </c>
      <c r="T87" s="257">
        <f t="shared" si="27"/>
        <v>524779.34464081994</v>
      </c>
      <c r="U87" s="269">
        <f t="shared" si="28"/>
        <v>285065.32301476656</v>
      </c>
      <c r="V87" s="269">
        <f t="shared" si="29"/>
        <v>809844.6676555865</v>
      </c>
      <c r="W87" s="269">
        <f t="shared" si="30"/>
        <v>285065.32301476656</v>
      </c>
      <c r="X87" s="257">
        <f t="shared" si="31"/>
        <v>809844.6676555865</v>
      </c>
      <c r="Y87" s="270">
        <f>IF(L87="Complex",(INDEX('Escalators '!$M$176:$S$176,MATCH('Forecast capex'!J87,'Escalators '!$M$178:$S$178,0))/12+1)^((K87-J87)*12)-1,0)</f>
        <v>0</v>
      </c>
      <c r="Z87" s="257">
        <f t="shared" si="32"/>
        <v>0</v>
      </c>
      <c r="AA87" s="257">
        <f t="shared" si="33"/>
        <v>0</v>
      </c>
      <c r="AB87" s="269">
        <f t="shared" si="34"/>
        <v>0</v>
      </c>
      <c r="AC87" s="269">
        <f t="shared" si="35"/>
        <v>0</v>
      </c>
      <c r="AD87" s="271" t="str">
        <f>INDEX('Global inputs'!$C$134:$C$171,MATCH(F87,'Global inputs'!$B$134:$B$171,0))</f>
        <v>Consumer connection</v>
      </c>
      <c r="AE87" s="272">
        <f>IF(OR(H87='Operating leases'!$B$32,H87='Operating leases'!$B$33),"",INDEX('Global inputs'!$C$186:$C$243,MATCH(E87,'Global inputs'!$B$186:$B$243,0)))</f>
        <v>0.08</v>
      </c>
    </row>
    <row r="88" spans="1:31" s="27" customFormat="1" x14ac:dyDescent="0.2">
      <c r="A88" s="250"/>
      <c r="B88" s="210" t="s">
        <v>714</v>
      </c>
      <c r="C88" s="210" t="s">
        <v>290</v>
      </c>
      <c r="D88" s="210" t="s">
        <v>718</v>
      </c>
      <c r="E88" s="210" t="s">
        <v>173</v>
      </c>
      <c r="F88" s="210" t="s">
        <v>94</v>
      </c>
      <c r="G88" s="210" t="s">
        <v>719</v>
      </c>
      <c r="H88" s="197">
        <v>0</v>
      </c>
      <c r="I88" s="210" t="s">
        <v>221</v>
      </c>
      <c r="J88" s="210">
        <v>2020</v>
      </c>
      <c r="K88" s="210">
        <v>2020</v>
      </c>
      <c r="L88" s="268" t="str">
        <f t="shared" si="23"/>
        <v>Simple</v>
      </c>
      <c r="M88" s="197">
        <v>71266.330753691625</v>
      </c>
      <c r="N88" s="197">
        <v>131194.83616020498</v>
      </c>
      <c r="O88" s="257">
        <f>IF(ISNA(MATCH(H88,'Operating leases'!$B$32:$B$43,0)),0,INDEX('Operating leases'!$M$32:$S$43,MATCH(H88,'Operating leases'!$B$32:$B$43,0),MATCH(J88,'Operating leases'!$M$11:$S$11,0)))</f>
        <v>0</v>
      </c>
      <c r="P88" s="257">
        <f t="shared" si="24"/>
        <v>71266.330753691625</v>
      </c>
      <c r="Q88" s="257">
        <f t="shared" si="25"/>
        <v>202461.16691389662</v>
      </c>
      <c r="R88" s="258">
        <f>INDEX('Escalators '!$M$124:$S$129,MATCH(I88,'Escalators '!$B$124:$B$129,0),MATCH(J88,'Escalators '!$M$113:$S$113,0))</f>
        <v>1</v>
      </c>
      <c r="S88" s="257">
        <f t="shared" si="26"/>
        <v>0</v>
      </c>
      <c r="T88" s="257">
        <f t="shared" si="27"/>
        <v>131194.83616020498</v>
      </c>
      <c r="U88" s="269">
        <f t="shared" si="28"/>
        <v>71266.33075369164</v>
      </c>
      <c r="V88" s="269">
        <f t="shared" si="29"/>
        <v>202461.16691389662</v>
      </c>
      <c r="W88" s="269">
        <f t="shared" si="30"/>
        <v>71266.33075369164</v>
      </c>
      <c r="X88" s="257">
        <f t="shared" si="31"/>
        <v>202461.16691389662</v>
      </c>
      <c r="Y88" s="270">
        <f>IF(L88="Complex",(INDEX('Escalators '!$M$176:$S$176,MATCH('Forecast capex'!J88,'Escalators '!$M$178:$S$178,0))/12+1)^((K88-J88)*12)-1,0)</f>
        <v>0</v>
      </c>
      <c r="Z88" s="257">
        <f t="shared" si="32"/>
        <v>0</v>
      </c>
      <c r="AA88" s="257">
        <f t="shared" si="33"/>
        <v>0</v>
      </c>
      <c r="AB88" s="269">
        <f t="shared" si="34"/>
        <v>0</v>
      </c>
      <c r="AC88" s="269">
        <f t="shared" si="35"/>
        <v>0</v>
      </c>
      <c r="AD88" s="271" t="str">
        <f>INDEX('Global inputs'!$C$134:$C$171,MATCH(F88,'Global inputs'!$B$134:$B$171,0))</f>
        <v>Consumer connection</v>
      </c>
      <c r="AE88" s="272">
        <f>IF(OR(H88='Operating leases'!$B$32,H88='Operating leases'!$B$33),"",INDEX('Global inputs'!$C$186:$C$243,MATCH(E88,'Global inputs'!$B$186:$B$243,0)))</f>
        <v>0.08</v>
      </c>
    </row>
    <row r="89" spans="1:31" s="27" customFormat="1" x14ac:dyDescent="0.2">
      <c r="A89" s="250"/>
      <c r="B89" s="210" t="s">
        <v>714</v>
      </c>
      <c r="C89" s="210" t="s">
        <v>290</v>
      </c>
      <c r="D89" s="210" t="s">
        <v>718</v>
      </c>
      <c r="E89" s="210" t="s">
        <v>168</v>
      </c>
      <c r="F89" s="210" t="s">
        <v>94</v>
      </c>
      <c r="G89" s="210" t="s">
        <v>720</v>
      </c>
      <c r="H89" s="197">
        <v>0</v>
      </c>
      <c r="I89" s="210" t="s">
        <v>229</v>
      </c>
      <c r="J89" s="210">
        <v>2020</v>
      </c>
      <c r="K89" s="210">
        <v>2020</v>
      </c>
      <c r="L89" s="268" t="str">
        <f t="shared" si="23"/>
        <v>Simple</v>
      </c>
      <c r="M89" s="197">
        <v>84463.79941178266</v>
      </c>
      <c r="N89" s="197">
        <v>155490.17618987255</v>
      </c>
      <c r="O89" s="257">
        <f>IF(ISNA(MATCH(H89,'Operating leases'!$B$32:$B$43,0)),0,INDEX('Operating leases'!$M$32:$S$43,MATCH(H89,'Operating leases'!$B$32:$B$43,0),MATCH(J89,'Operating leases'!$M$11:$S$11,0)))</f>
        <v>0</v>
      </c>
      <c r="P89" s="257">
        <f t="shared" si="24"/>
        <v>84463.79941178266</v>
      </c>
      <c r="Q89" s="257">
        <f t="shared" si="25"/>
        <v>239953.9756016552</v>
      </c>
      <c r="R89" s="258">
        <f>INDEX('Escalators '!$M$124:$S$129,MATCH(I89,'Escalators '!$B$124:$B$129,0),MATCH(J89,'Escalators '!$M$113:$S$113,0))</f>
        <v>1</v>
      </c>
      <c r="S89" s="257">
        <f t="shared" si="26"/>
        <v>0</v>
      </c>
      <c r="T89" s="257">
        <f t="shared" si="27"/>
        <v>155490.17618987255</v>
      </c>
      <c r="U89" s="269">
        <f t="shared" si="28"/>
        <v>84463.799411782646</v>
      </c>
      <c r="V89" s="269">
        <f t="shared" si="29"/>
        <v>239953.9756016552</v>
      </c>
      <c r="W89" s="269">
        <f t="shared" si="30"/>
        <v>84463.799411782646</v>
      </c>
      <c r="X89" s="257">
        <f t="shared" si="31"/>
        <v>239953.9756016552</v>
      </c>
      <c r="Y89" s="270">
        <f>IF(L89="Complex",(INDEX('Escalators '!$M$176:$S$176,MATCH('Forecast capex'!J89,'Escalators '!$M$178:$S$178,0))/12+1)^((K89-J89)*12)-1,0)</f>
        <v>0</v>
      </c>
      <c r="Z89" s="257">
        <f t="shared" si="32"/>
        <v>0</v>
      </c>
      <c r="AA89" s="257">
        <f t="shared" si="33"/>
        <v>0</v>
      </c>
      <c r="AB89" s="269">
        <f t="shared" si="34"/>
        <v>0</v>
      </c>
      <c r="AC89" s="269">
        <f t="shared" si="35"/>
        <v>0</v>
      </c>
      <c r="AD89" s="271" t="str">
        <f>INDEX('Global inputs'!$C$134:$C$171,MATCH(F89,'Global inputs'!$B$134:$B$171,0))</f>
        <v>Consumer connection</v>
      </c>
      <c r="AE89" s="272">
        <f>IF(OR(H89='Operating leases'!$B$32,H89='Operating leases'!$B$33),"",INDEX('Global inputs'!$C$186:$C$243,MATCH(E89,'Global inputs'!$B$186:$B$243,0)))</f>
        <v>0.08</v>
      </c>
    </row>
    <row r="90" spans="1:31" s="27" customFormat="1" x14ac:dyDescent="0.2">
      <c r="A90" s="250"/>
      <c r="B90" s="210" t="s">
        <v>714</v>
      </c>
      <c r="C90" s="210" t="s">
        <v>290</v>
      </c>
      <c r="D90" s="210" t="s">
        <v>718</v>
      </c>
      <c r="E90" s="210" t="s">
        <v>168</v>
      </c>
      <c r="F90" s="210" t="s">
        <v>94</v>
      </c>
      <c r="G90" s="210" t="s">
        <v>720</v>
      </c>
      <c r="H90" s="197">
        <v>0</v>
      </c>
      <c r="I90" s="210" t="s">
        <v>221</v>
      </c>
      <c r="J90" s="210">
        <v>2020</v>
      </c>
      <c r="K90" s="210">
        <v>2020</v>
      </c>
      <c r="L90" s="268" t="str">
        <f t="shared" si="23"/>
        <v>Simple</v>
      </c>
      <c r="M90" s="197">
        <v>21115.949852945665</v>
      </c>
      <c r="N90" s="197">
        <v>38872.544047468138</v>
      </c>
      <c r="O90" s="257">
        <f>IF(ISNA(MATCH(H90,'Operating leases'!$B$32:$B$43,0)),0,INDEX('Operating leases'!$M$32:$S$43,MATCH(H90,'Operating leases'!$B$32:$B$43,0),MATCH(J90,'Operating leases'!$M$11:$S$11,0)))</f>
        <v>0</v>
      </c>
      <c r="P90" s="257">
        <f t="shared" si="24"/>
        <v>21115.949852945665</v>
      </c>
      <c r="Q90" s="257">
        <f t="shared" si="25"/>
        <v>59988.4939004138</v>
      </c>
      <c r="R90" s="258">
        <f>INDEX('Escalators '!$M$124:$S$129,MATCH(I90,'Escalators '!$B$124:$B$129,0),MATCH(J90,'Escalators '!$M$113:$S$113,0))</f>
        <v>1</v>
      </c>
      <c r="S90" s="257">
        <f t="shared" si="26"/>
        <v>0</v>
      </c>
      <c r="T90" s="257">
        <f t="shared" si="27"/>
        <v>38872.544047468138</v>
      </c>
      <c r="U90" s="269">
        <f t="shared" si="28"/>
        <v>21115.949852945661</v>
      </c>
      <c r="V90" s="269">
        <f t="shared" si="29"/>
        <v>59988.4939004138</v>
      </c>
      <c r="W90" s="269">
        <f t="shared" si="30"/>
        <v>21115.949852945661</v>
      </c>
      <c r="X90" s="257">
        <f t="shared" si="31"/>
        <v>59988.4939004138</v>
      </c>
      <c r="Y90" s="270">
        <f>IF(L90="Complex",(INDEX('Escalators '!$M$176:$S$176,MATCH('Forecast capex'!J90,'Escalators '!$M$178:$S$178,0))/12+1)^((K90-J90)*12)-1,0)</f>
        <v>0</v>
      </c>
      <c r="Z90" s="257">
        <f t="shared" si="32"/>
        <v>0</v>
      </c>
      <c r="AA90" s="257">
        <f t="shared" si="33"/>
        <v>0</v>
      </c>
      <c r="AB90" s="269">
        <f t="shared" si="34"/>
        <v>0</v>
      </c>
      <c r="AC90" s="269">
        <f t="shared" si="35"/>
        <v>0</v>
      </c>
      <c r="AD90" s="271" t="str">
        <f>INDEX('Global inputs'!$C$134:$C$171,MATCH(F90,'Global inputs'!$B$134:$B$171,0))</f>
        <v>Consumer connection</v>
      </c>
      <c r="AE90" s="272">
        <f>IF(OR(H90='Operating leases'!$B$32,H90='Operating leases'!$B$33),"",INDEX('Global inputs'!$C$186:$C$243,MATCH(E90,'Global inputs'!$B$186:$B$243,0)))</f>
        <v>0.08</v>
      </c>
    </row>
    <row r="91" spans="1:31" s="27" customFormat="1" x14ac:dyDescent="0.2">
      <c r="A91" s="250"/>
      <c r="B91" s="210" t="s">
        <v>714</v>
      </c>
      <c r="C91" s="210" t="s">
        <v>290</v>
      </c>
      <c r="D91" s="210" t="s">
        <v>718</v>
      </c>
      <c r="E91" s="210" t="s">
        <v>170</v>
      </c>
      <c r="F91" s="210" t="s">
        <v>94</v>
      </c>
      <c r="G91" s="210" t="s">
        <v>721</v>
      </c>
      <c r="H91" s="197">
        <v>0</v>
      </c>
      <c r="I91" s="210" t="s">
        <v>229</v>
      </c>
      <c r="J91" s="210">
        <v>2020</v>
      </c>
      <c r="K91" s="210">
        <v>2020</v>
      </c>
      <c r="L91" s="268" t="str">
        <f t="shared" si="23"/>
        <v>Simple</v>
      </c>
      <c r="M91" s="197">
        <v>140603.80070350837</v>
      </c>
      <c r="N91" s="197">
        <v>258838.8149314585</v>
      </c>
      <c r="O91" s="257">
        <f>IF(ISNA(MATCH(H91,'Operating leases'!$B$32:$B$43,0)),0,INDEX('Operating leases'!$M$32:$S$43,MATCH(H91,'Operating leases'!$B$32:$B$43,0),MATCH(J91,'Operating leases'!$M$11:$S$11,0)))</f>
        <v>0</v>
      </c>
      <c r="P91" s="257">
        <f t="shared" si="24"/>
        <v>140603.80070350837</v>
      </c>
      <c r="Q91" s="257">
        <f t="shared" si="25"/>
        <v>399442.61563496687</v>
      </c>
      <c r="R91" s="258">
        <f>INDEX('Escalators '!$M$124:$S$129,MATCH(I91,'Escalators '!$B$124:$B$129,0),MATCH(J91,'Escalators '!$M$113:$S$113,0))</f>
        <v>1</v>
      </c>
      <c r="S91" s="257">
        <f t="shared" si="26"/>
        <v>0</v>
      </c>
      <c r="T91" s="257">
        <f t="shared" si="27"/>
        <v>258838.8149314585</v>
      </c>
      <c r="U91" s="269">
        <f t="shared" si="28"/>
        <v>140603.80070350837</v>
      </c>
      <c r="V91" s="269">
        <f t="shared" si="29"/>
        <v>399442.61563496687</v>
      </c>
      <c r="W91" s="269">
        <f t="shared" si="30"/>
        <v>140603.80070350837</v>
      </c>
      <c r="X91" s="257">
        <f t="shared" si="31"/>
        <v>399442.61563496687</v>
      </c>
      <c r="Y91" s="270">
        <f>IF(L91="Complex",(INDEX('Escalators '!$M$176:$S$176,MATCH('Forecast capex'!J91,'Escalators '!$M$178:$S$178,0))/12+1)^((K91-J91)*12)-1,0)</f>
        <v>0</v>
      </c>
      <c r="Z91" s="257">
        <f t="shared" si="32"/>
        <v>0</v>
      </c>
      <c r="AA91" s="257">
        <f t="shared" si="33"/>
        <v>0</v>
      </c>
      <c r="AB91" s="269">
        <f t="shared" si="34"/>
        <v>0</v>
      </c>
      <c r="AC91" s="269">
        <f t="shared" si="35"/>
        <v>0</v>
      </c>
      <c r="AD91" s="271" t="str">
        <f>INDEX('Global inputs'!$C$134:$C$171,MATCH(F91,'Global inputs'!$B$134:$B$171,0))</f>
        <v>Consumer connection</v>
      </c>
      <c r="AE91" s="272">
        <f>IF(OR(H91='Operating leases'!$B$32,H91='Operating leases'!$B$33),"",INDEX('Global inputs'!$C$186:$C$243,MATCH(E91,'Global inputs'!$B$186:$B$243,0)))</f>
        <v>0.08</v>
      </c>
    </row>
    <row r="92" spans="1:31" s="27" customFormat="1" x14ac:dyDescent="0.2">
      <c r="A92" s="250"/>
      <c r="B92" s="210" t="s">
        <v>714</v>
      </c>
      <c r="C92" s="210" t="s">
        <v>290</v>
      </c>
      <c r="D92" s="210" t="s">
        <v>718</v>
      </c>
      <c r="E92" s="210" t="s">
        <v>170</v>
      </c>
      <c r="F92" s="210" t="s">
        <v>94</v>
      </c>
      <c r="G92" s="210" t="s">
        <v>721</v>
      </c>
      <c r="H92" s="197">
        <v>0</v>
      </c>
      <c r="I92" s="210" t="s">
        <v>221</v>
      </c>
      <c r="J92" s="210">
        <v>2020</v>
      </c>
      <c r="K92" s="210">
        <v>2020</v>
      </c>
      <c r="L92" s="268" t="str">
        <f t="shared" si="23"/>
        <v>Simple</v>
      </c>
      <c r="M92" s="197">
        <v>140603.80070350837</v>
      </c>
      <c r="N92" s="197">
        <v>258838.8149314585</v>
      </c>
      <c r="O92" s="257">
        <f>IF(ISNA(MATCH(H92,'Operating leases'!$B$32:$B$43,0)),0,INDEX('Operating leases'!$M$32:$S$43,MATCH(H92,'Operating leases'!$B$32:$B$43,0),MATCH(J92,'Operating leases'!$M$11:$S$11,0)))</f>
        <v>0</v>
      </c>
      <c r="P92" s="257">
        <f t="shared" si="24"/>
        <v>140603.80070350837</v>
      </c>
      <c r="Q92" s="257">
        <f t="shared" si="25"/>
        <v>399442.61563496687</v>
      </c>
      <c r="R92" s="258">
        <f>INDEX('Escalators '!$M$124:$S$129,MATCH(I92,'Escalators '!$B$124:$B$129,0),MATCH(J92,'Escalators '!$M$113:$S$113,0))</f>
        <v>1</v>
      </c>
      <c r="S92" s="257">
        <f t="shared" si="26"/>
        <v>0</v>
      </c>
      <c r="T92" s="257">
        <f t="shared" si="27"/>
        <v>258838.8149314585</v>
      </c>
      <c r="U92" s="269">
        <f t="shared" si="28"/>
        <v>140603.80070350837</v>
      </c>
      <c r="V92" s="269">
        <f t="shared" si="29"/>
        <v>399442.61563496687</v>
      </c>
      <c r="W92" s="269">
        <f t="shared" si="30"/>
        <v>140603.80070350837</v>
      </c>
      <c r="X92" s="257">
        <f t="shared" si="31"/>
        <v>399442.61563496687</v>
      </c>
      <c r="Y92" s="270">
        <f>IF(L92="Complex",(INDEX('Escalators '!$M$176:$S$176,MATCH('Forecast capex'!J92,'Escalators '!$M$178:$S$178,0))/12+1)^((K92-J92)*12)-1,0)</f>
        <v>0</v>
      </c>
      <c r="Z92" s="257">
        <f t="shared" si="32"/>
        <v>0</v>
      </c>
      <c r="AA92" s="257">
        <f t="shared" si="33"/>
        <v>0</v>
      </c>
      <c r="AB92" s="269">
        <f t="shared" si="34"/>
        <v>0</v>
      </c>
      <c r="AC92" s="269">
        <f t="shared" si="35"/>
        <v>0</v>
      </c>
      <c r="AD92" s="271" t="str">
        <f>INDEX('Global inputs'!$C$134:$C$171,MATCH(F92,'Global inputs'!$B$134:$B$171,0))</f>
        <v>Consumer connection</v>
      </c>
      <c r="AE92" s="272">
        <f>IF(OR(H92='Operating leases'!$B$32,H92='Operating leases'!$B$33),"",INDEX('Global inputs'!$C$186:$C$243,MATCH(E92,'Global inputs'!$B$186:$B$243,0)))</f>
        <v>0.08</v>
      </c>
    </row>
    <row r="93" spans="1:31" s="27" customFormat="1" x14ac:dyDescent="0.2">
      <c r="A93" s="250"/>
      <c r="B93" s="210" t="s">
        <v>714</v>
      </c>
      <c r="C93" s="210" t="s">
        <v>288</v>
      </c>
      <c r="D93" s="210" t="s">
        <v>718</v>
      </c>
      <c r="E93" s="210" t="s">
        <v>160</v>
      </c>
      <c r="F93" s="210" t="s">
        <v>94</v>
      </c>
      <c r="G93" s="210" t="s">
        <v>722</v>
      </c>
      <c r="H93" s="197">
        <v>0</v>
      </c>
      <c r="I93" s="210" t="s">
        <v>229</v>
      </c>
      <c r="J93" s="210">
        <v>2020</v>
      </c>
      <c r="K93" s="210">
        <v>2020</v>
      </c>
      <c r="L93" s="268" t="str">
        <f t="shared" si="23"/>
        <v>Simple</v>
      </c>
      <c r="M93" s="197">
        <v>120807.59771637183</v>
      </c>
      <c r="N93" s="197">
        <v>222395.80488695714</v>
      </c>
      <c r="O93" s="257">
        <f>IF(ISNA(MATCH(H93,'Operating leases'!$B$32:$B$43,0)),0,INDEX('Operating leases'!$M$32:$S$43,MATCH(H93,'Operating leases'!$B$32:$B$43,0),MATCH(J93,'Operating leases'!$M$11:$S$11,0)))</f>
        <v>0</v>
      </c>
      <c r="P93" s="257">
        <f t="shared" si="24"/>
        <v>120807.59771637183</v>
      </c>
      <c r="Q93" s="257">
        <f t="shared" si="25"/>
        <v>343203.40260332898</v>
      </c>
      <c r="R93" s="258">
        <f>INDEX('Escalators '!$M$124:$S$129,MATCH(I93,'Escalators '!$B$124:$B$129,0),MATCH(J93,'Escalators '!$M$113:$S$113,0))</f>
        <v>1</v>
      </c>
      <c r="S93" s="257">
        <f t="shared" si="26"/>
        <v>0</v>
      </c>
      <c r="T93" s="257">
        <f t="shared" si="27"/>
        <v>222395.80488695714</v>
      </c>
      <c r="U93" s="269">
        <f t="shared" si="28"/>
        <v>120807.59771637185</v>
      </c>
      <c r="V93" s="269">
        <f t="shared" si="29"/>
        <v>343203.40260332898</v>
      </c>
      <c r="W93" s="269">
        <f t="shared" si="30"/>
        <v>120807.59771637185</v>
      </c>
      <c r="X93" s="257">
        <f t="shared" si="31"/>
        <v>343203.40260332898</v>
      </c>
      <c r="Y93" s="270">
        <f>IF(L93="Complex",(INDEX('Escalators '!$M$176:$S$176,MATCH('Forecast capex'!J93,'Escalators '!$M$178:$S$178,0))/12+1)^((K93-J93)*12)-1,0)</f>
        <v>0</v>
      </c>
      <c r="Z93" s="257">
        <f t="shared" si="32"/>
        <v>0</v>
      </c>
      <c r="AA93" s="257">
        <f t="shared" si="33"/>
        <v>0</v>
      </c>
      <c r="AB93" s="269">
        <f t="shared" si="34"/>
        <v>0</v>
      </c>
      <c r="AC93" s="269">
        <f t="shared" si="35"/>
        <v>0</v>
      </c>
      <c r="AD93" s="271" t="str">
        <f>INDEX('Global inputs'!$C$134:$C$171,MATCH(F93,'Global inputs'!$B$134:$B$171,0))</f>
        <v>Consumer connection</v>
      </c>
      <c r="AE93" s="272">
        <f>IF(OR(H93='Operating leases'!$B$32,H93='Operating leases'!$B$33),"",INDEX('Global inputs'!$C$186:$C$243,MATCH(E93,'Global inputs'!$B$186:$B$243,0)))</f>
        <v>0.08</v>
      </c>
    </row>
    <row r="94" spans="1:31" s="27" customFormat="1" x14ac:dyDescent="0.2">
      <c r="A94" s="250"/>
      <c r="B94" s="210" t="s">
        <v>714</v>
      </c>
      <c r="C94" s="210" t="s">
        <v>288</v>
      </c>
      <c r="D94" s="210" t="s">
        <v>718</v>
      </c>
      <c r="E94" s="210" t="s">
        <v>160</v>
      </c>
      <c r="F94" s="210" t="s">
        <v>94</v>
      </c>
      <c r="G94" s="210" t="s">
        <v>722</v>
      </c>
      <c r="H94" s="197">
        <v>0</v>
      </c>
      <c r="I94" s="210" t="s">
        <v>221</v>
      </c>
      <c r="J94" s="210">
        <v>2020</v>
      </c>
      <c r="K94" s="210">
        <v>2020</v>
      </c>
      <c r="L94" s="268" t="str">
        <f t="shared" si="23"/>
        <v>Simple</v>
      </c>
      <c r="M94" s="197">
        <v>120807.59771637183</v>
      </c>
      <c r="N94" s="197">
        <v>222395.80488695714</v>
      </c>
      <c r="O94" s="257">
        <f>IF(ISNA(MATCH(H94,'Operating leases'!$B$32:$B$43,0)),0,INDEX('Operating leases'!$M$32:$S$43,MATCH(H94,'Operating leases'!$B$32:$B$43,0),MATCH(J94,'Operating leases'!$M$11:$S$11,0)))</f>
        <v>0</v>
      </c>
      <c r="P94" s="257">
        <f t="shared" si="24"/>
        <v>120807.59771637183</v>
      </c>
      <c r="Q94" s="257">
        <f t="shared" si="25"/>
        <v>343203.40260332898</v>
      </c>
      <c r="R94" s="258">
        <f>INDEX('Escalators '!$M$124:$S$129,MATCH(I94,'Escalators '!$B$124:$B$129,0),MATCH(J94,'Escalators '!$M$113:$S$113,0))</f>
        <v>1</v>
      </c>
      <c r="S94" s="257">
        <f t="shared" si="26"/>
        <v>0</v>
      </c>
      <c r="T94" s="257">
        <f t="shared" si="27"/>
        <v>222395.80488695714</v>
      </c>
      <c r="U94" s="269">
        <f t="shared" si="28"/>
        <v>120807.59771637185</v>
      </c>
      <c r="V94" s="269">
        <f t="shared" si="29"/>
        <v>343203.40260332898</v>
      </c>
      <c r="W94" s="269">
        <f t="shared" si="30"/>
        <v>120807.59771637185</v>
      </c>
      <c r="X94" s="257">
        <f t="shared" si="31"/>
        <v>343203.40260332898</v>
      </c>
      <c r="Y94" s="270">
        <f>IF(L94="Complex",(INDEX('Escalators '!$M$176:$S$176,MATCH('Forecast capex'!J94,'Escalators '!$M$178:$S$178,0))/12+1)^((K94-J94)*12)-1,0)</f>
        <v>0</v>
      </c>
      <c r="Z94" s="257">
        <f t="shared" si="32"/>
        <v>0</v>
      </c>
      <c r="AA94" s="257">
        <f t="shared" si="33"/>
        <v>0</v>
      </c>
      <c r="AB94" s="269">
        <f t="shared" si="34"/>
        <v>0</v>
      </c>
      <c r="AC94" s="269">
        <f t="shared" si="35"/>
        <v>0</v>
      </c>
      <c r="AD94" s="271" t="str">
        <f>INDEX('Global inputs'!$C$134:$C$171,MATCH(F94,'Global inputs'!$B$134:$B$171,0))</f>
        <v>Consumer connection</v>
      </c>
      <c r="AE94" s="272">
        <f>IF(OR(H94='Operating leases'!$B$32,H94='Operating leases'!$B$33),"",INDEX('Global inputs'!$C$186:$C$243,MATCH(E94,'Global inputs'!$B$186:$B$243,0)))</f>
        <v>0.08</v>
      </c>
    </row>
    <row r="95" spans="1:31" s="27" customFormat="1" x14ac:dyDescent="0.2">
      <c r="A95" s="250"/>
      <c r="B95" s="210" t="s">
        <v>714</v>
      </c>
      <c r="C95" s="210" t="s">
        <v>289</v>
      </c>
      <c r="D95" s="210" t="s">
        <v>723</v>
      </c>
      <c r="E95" s="210" t="s">
        <v>164</v>
      </c>
      <c r="F95" s="210" t="s">
        <v>94</v>
      </c>
      <c r="G95" s="210" t="s">
        <v>724</v>
      </c>
      <c r="H95" s="197">
        <v>0</v>
      </c>
      <c r="I95" s="210" t="s">
        <v>139</v>
      </c>
      <c r="J95" s="210">
        <v>2020</v>
      </c>
      <c r="K95" s="210">
        <v>2020</v>
      </c>
      <c r="L95" s="268" t="str">
        <f t="shared" si="23"/>
        <v>Simple</v>
      </c>
      <c r="M95" s="197">
        <v>905549.38792440062</v>
      </c>
      <c r="N95" s="197">
        <v>1667034.1004971913</v>
      </c>
      <c r="O95" s="257">
        <f>IF(ISNA(MATCH(H95,'Operating leases'!$B$32:$B$43,0)),0,INDEX('Operating leases'!$M$32:$S$43,MATCH(H95,'Operating leases'!$B$32:$B$43,0),MATCH(J95,'Operating leases'!$M$11:$S$11,0)))</f>
        <v>0</v>
      </c>
      <c r="P95" s="257">
        <f t="shared" si="24"/>
        <v>905549.38792440062</v>
      </c>
      <c r="Q95" s="257">
        <f t="shared" si="25"/>
        <v>2572583.4884215919</v>
      </c>
      <c r="R95" s="258">
        <f>INDEX('Escalators '!$M$124:$S$129,MATCH(I95,'Escalators '!$B$124:$B$129,0),MATCH(J95,'Escalators '!$M$113:$S$113,0))</f>
        <v>1</v>
      </c>
      <c r="S95" s="257">
        <f t="shared" si="26"/>
        <v>0</v>
      </c>
      <c r="T95" s="257">
        <f t="shared" si="27"/>
        <v>1667034.1004971913</v>
      </c>
      <c r="U95" s="269">
        <f t="shared" si="28"/>
        <v>905549.38792440062</v>
      </c>
      <c r="V95" s="269">
        <f t="shared" si="29"/>
        <v>2572583.4884215919</v>
      </c>
      <c r="W95" s="269">
        <f t="shared" si="30"/>
        <v>905549.38792440062</v>
      </c>
      <c r="X95" s="257">
        <f t="shared" si="31"/>
        <v>2572583.4884215919</v>
      </c>
      <c r="Y95" s="270">
        <f>IF(L95="Complex",(INDEX('Escalators '!$M$176:$S$176,MATCH('Forecast capex'!J95,'Escalators '!$M$178:$S$178,0))/12+1)^((K95-J95)*12)-1,0)</f>
        <v>0</v>
      </c>
      <c r="Z95" s="257">
        <f t="shared" si="32"/>
        <v>0</v>
      </c>
      <c r="AA95" s="257">
        <f t="shared" si="33"/>
        <v>0</v>
      </c>
      <c r="AB95" s="269">
        <f t="shared" si="34"/>
        <v>0</v>
      </c>
      <c r="AC95" s="269">
        <f t="shared" si="35"/>
        <v>0</v>
      </c>
      <c r="AD95" s="271" t="str">
        <f>INDEX('Global inputs'!$C$134:$C$171,MATCH(F95,'Global inputs'!$B$134:$B$171,0))</f>
        <v>Consumer connection</v>
      </c>
      <c r="AE95" s="272">
        <f>IF(OR(H95='Operating leases'!$B$32,H95='Operating leases'!$B$33),"",INDEX('Global inputs'!$C$186:$C$243,MATCH(E95,'Global inputs'!$B$186:$B$243,0)))</f>
        <v>0.08</v>
      </c>
    </row>
    <row r="96" spans="1:31" s="27" customFormat="1" x14ac:dyDescent="0.2">
      <c r="A96" s="250"/>
      <c r="B96" s="210" t="s">
        <v>714</v>
      </c>
      <c r="C96" s="210" t="s">
        <v>289</v>
      </c>
      <c r="D96" s="210" t="s">
        <v>723</v>
      </c>
      <c r="E96" s="210" t="s">
        <v>164</v>
      </c>
      <c r="F96" s="210" t="s">
        <v>94</v>
      </c>
      <c r="G96" s="210" t="s">
        <v>724</v>
      </c>
      <c r="H96" s="197">
        <v>0</v>
      </c>
      <c r="I96" s="210" t="s">
        <v>221</v>
      </c>
      <c r="J96" s="210">
        <v>2020</v>
      </c>
      <c r="K96" s="210">
        <v>2020</v>
      </c>
      <c r="L96" s="268" t="str">
        <f t="shared" si="23"/>
        <v>Simple</v>
      </c>
      <c r="M96" s="197">
        <v>226387.34698110016</v>
      </c>
      <c r="N96" s="197">
        <v>416758.52512429783</v>
      </c>
      <c r="O96" s="257">
        <f>IF(ISNA(MATCH(H96,'Operating leases'!$B$32:$B$43,0)),0,INDEX('Operating leases'!$M$32:$S$43,MATCH(H96,'Operating leases'!$B$32:$B$43,0),MATCH(J96,'Operating leases'!$M$11:$S$11,0)))</f>
        <v>0</v>
      </c>
      <c r="P96" s="257">
        <f t="shared" si="24"/>
        <v>226387.34698110016</v>
      </c>
      <c r="Q96" s="257">
        <f t="shared" si="25"/>
        <v>643145.87210539798</v>
      </c>
      <c r="R96" s="258">
        <f>INDEX('Escalators '!$M$124:$S$129,MATCH(I96,'Escalators '!$B$124:$B$129,0),MATCH(J96,'Escalators '!$M$113:$S$113,0))</f>
        <v>1</v>
      </c>
      <c r="S96" s="257">
        <f t="shared" si="26"/>
        <v>0</v>
      </c>
      <c r="T96" s="257">
        <f t="shared" si="27"/>
        <v>416758.52512429783</v>
      </c>
      <c r="U96" s="269">
        <f t="shared" si="28"/>
        <v>226387.34698110016</v>
      </c>
      <c r="V96" s="269">
        <f t="shared" si="29"/>
        <v>643145.87210539798</v>
      </c>
      <c r="W96" s="269">
        <f t="shared" si="30"/>
        <v>226387.34698110016</v>
      </c>
      <c r="X96" s="257">
        <f t="shared" si="31"/>
        <v>643145.87210539798</v>
      </c>
      <c r="Y96" s="270">
        <f>IF(L96="Complex",(INDEX('Escalators '!$M$176:$S$176,MATCH('Forecast capex'!J96,'Escalators '!$M$178:$S$178,0))/12+1)^((K96-J96)*12)-1,0)</f>
        <v>0</v>
      </c>
      <c r="Z96" s="257">
        <f t="shared" si="32"/>
        <v>0</v>
      </c>
      <c r="AA96" s="257">
        <f t="shared" si="33"/>
        <v>0</v>
      </c>
      <c r="AB96" s="269">
        <f t="shared" si="34"/>
        <v>0</v>
      </c>
      <c r="AC96" s="269">
        <f t="shared" si="35"/>
        <v>0</v>
      </c>
      <c r="AD96" s="271" t="str">
        <f>INDEX('Global inputs'!$C$134:$C$171,MATCH(F96,'Global inputs'!$B$134:$B$171,0))</f>
        <v>Consumer connection</v>
      </c>
      <c r="AE96" s="272">
        <f>IF(OR(H96='Operating leases'!$B$32,H96='Operating leases'!$B$33),"",INDEX('Global inputs'!$C$186:$C$243,MATCH(E96,'Global inputs'!$B$186:$B$243,0)))</f>
        <v>0.08</v>
      </c>
    </row>
    <row r="97" spans="1:31" s="27" customFormat="1" x14ac:dyDescent="0.2">
      <c r="A97" s="250"/>
      <c r="B97" s="210" t="s">
        <v>714</v>
      </c>
      <c r="C97" s="210" t="s">
        <v>289</v>
      </c>
      <c r="D97" s="210" t="s">
        <v>723</v>
      </c>
      <c r="E97" s="210" t="s">
        <v>163</v>
      </c>
      <c r="F97" s="210" t="s">
        <v>94</v>
      </c>
      <c r="G97" s="210" t="s">
        <v>725</v>
      </c>
      <c r="H97" s="197">
        <v>0</v>
      </c>
      <c r="I97" s="210" t="s">
        <v>139</v>
      </c>
      <c r="J97" s="210">
        <v>2020</v>
      </c>
      <c r="K97" s="210">
        <v>2020</v>
      </c>
      <c r="L97" s="268" t="str">
        <f t="shared" si="23"/>
        <v>Simple</v>
      </c>
      <c r="M97" s="197">
        <v>588810.14013021567</v>
      </c>
      <c r="N97" s="197">
        <v>1083945.9397851694</v>
      </c>
      <c r="O97" s="257">
        <f>IF(ISNA(MATCH(H97,'Operating leases'!$B$32:$B$43,0)),0,INDEX('Operating leases'!$M$32:$S$43,MATCH(H97,'Operating leases'!$B$32:$B$43,0),MATCH(J97,'Operating leases'!$M$11:$S$11,0)))</f>
        <v>0</v>
      </c>
      <c r="P97" s="257">
        <f t="shared" si="24"/>
        <v>588810.14013021567</v>
      </c>
      <c r="Q97" s="257">
        <f t="shared" si="25"/>
        <v>1672756.0799153852</v>
      </c>
      <c r="R97" s="258">
        <f>INDEX('Escalators '!$M$124:$S$129,MATCH(I97,'Escalators '!$B$124:$B$129,0),MATCH(J97,'Escalators '!$M$113:$S$113,0))</f>
        <v>1</v>
      </c>
      <c r="S97" s="257">
        <f t="shared" si="26"/>
        <v>0</v>
      </c>
      <c r="T97" s="257">
        <f t="shared" si="27"/>
        <v>1083945.9397851694</v>
      </c>
      <c r="U97" s="269">
        <f t="shared" si="28"/>
        <v>588810.14013021579</v>
      </c>
      <c r="V97" s="269">
        <f t="shared" si="29"/>
        <v>1672756.0799153852</v>
      </c>
      <c r="W97" s="269">
        <f t="shared" si="30"/>
        <v>588810.14013021579</v>
      </c>
      <c r="X97" s="257">
        <f t="shared" si="31"/>
        <v>1672756.0799153852</v>
      </c>
      <c r="Y97" s="270">
        <f>IF(L97="Complex",(INDEX('Escalators '!$M$176:$S$176,MATCH('Forecast capex'!J97,'Escalators '!$M$178:$S$178,0))/12+1)^((K97-J97)*12)-1,0)</f>
        <v>0</v>
      </c>
      <c r="Z97" s="257">
        <f t="shared" si="32"/>
        <v>0</v>
      </c>
      <c r="AA97" s="257">
        <f t="shared" si="33"/>
        <v>0</v>
      </c>
      <c r="AB97" s="269">
        <f t="shared" si="34"/>
        <v>0</v>
      </c>
      <c r="AC97" s="269">
        <f t="shared" si="35"/>
        <v>0</v>
      </c>
      <c r="AD97" s="271" t="str">
        <f>INDEX('Global inputs'!$C$134:$C$171,MATCH(F97,'Global inputs'!$B$134:$B$171,0))</f>
        <v>Consumer connection</v>
      </c>
      <c r="AE97" s="272">
        <f>IF(OR(H97='Operating leases'!$B$32,H97='Operating leases'!$B$33),"",INDEX('Global inputs'!$C$186:$C$243,MATCH(E97,'Global inputs'!$B$186:$B$243,0)))</f>
        <v>0.08</v>
      </c>
    </row>
    <row r="98" spans="1:31" s="27" customFormat="1" x14ac:dyDescent="0.2">
      <c r="A98" s="250"/>
      <c r="B98" s="210" t="s">
        <v>714</v>
      </c>
      <c r="C98" s="210" t="s">
        <v>289</v>
      </c>
      <c r="D98" s="210" t="s">
        <v>723</v>
      </c>
      <c r="E98" s="210" t="s">
        <v>163</v>
      </c>
      <c r="F98" s="210" t="s">
        <v>94</v>
      </c>
      <c r="G98" s="210" t="s">
        <v>725</v>
      </c>
      <c r="H98" s="197">
        <v>0</v>
      </c>
      <c r="I98" s="210" t="s">
        <v>221</v>
      </c>
      <c r="J98" s="210">
        <v>2020</v>
      </c>
      <c r="K98" s="210">
        <v>2020</v>
      </c>
      <c r="L98" s="268" t="str">
        <f t="shared" si="23"/>
        <v>Simple</v>
      </c>
      <c r="M98" s="197">
        <v>147202.53503255392</v>
      </c>
      <c r="N98" s="197">
        <v>270986.48494629236</v>
      </c>
      <c r="O98" s="257">
        <f>IF(ISNA(MATCH(H98,'Operating leases'!$B$32:$B$43,0)),0,INDEX('Operating leases'!$M$32:$S$43,MATCH(H98,'Operating leases'!$B$32:$B$43,0),MATCH(J98,'Operating leases'!$M$11:$S$11,0)))</f>
        <v>0</v>
      </c>
      <c r="P98" s="257">
        <f t="shared" si="24"/>
        <v>147202.53503255392</v>
      </c>
      <c r="Q98" s="257">
        <f t="shared" si="25"/>
        <v>418189.01997884631</v>
      </c>
      <c r="R98" s="258">
        <f>INDEX('Escalators '!$M$124:$S$129,MATCH(I98,'Escalators '!$B$124:$B$129,0),MATCH(J98,'Escalators '!$M$113:$S$113,0))</f>
        <v>1</v>
      </c>
      <c r="S98" s="257">
        <f t="shared" si="26"/>
        <v>0</v>
      </c>
      <c r="T98" s="257">
        <f t="shared" si="27"/>
        <v>270986.48494629236</v>
      </c>
      <c r="U98" s="269">
        <f t="shared" si="28"/>
        <v>147202.53503255395</v>
      </c>
      <c r="V98" s="269">
        <f t="shared" si="29"/>
        <v>418189.01997884631</v>
      </c>
      <c r="W98" s="269">
        <f t="shared" si="30"/>
        <v>147202.53503255395</v>
      </c>
      <c r="X98" s="257">
        <f t="shared" si="31"/>
        <v>418189.01997884631</v>
      </c>
      <c r="Y98" s="270">
        <f>IF(L98="Complex",(INDEX('Escalators '!$M$176:$S$176,MATCH('Forecast capex'!J98,'Escalators '!$M$178:$S$178,0))/12+1)^((K98-J98)*12)-1,0)</f>
        <v>0</v>
      </c>
      <c r="Z98" s="257">
        <f t="shared" si="32"/>
        <v>0</v>
      </c>
      <c r="AA98" s="257">
        <f t="shared" si="33"/>
        <v>0</v>
      </c>
      <c r="AB98" s="269">
        <f t="shared" si="34"/>
        <v>0</v>
      </c>
      <c r="AC98" s="269">
        <f t="shared" si="35"/>
        <v>0</v>
      </c>
      <c r="AD98" s="271" t="str">
        <f>INDEX('Global inputs'!$C$134:$C$171,MATCH(F98,'Global inputs'!$B$134:$B$171,0))</f>
        <v>Consumer connection</v>
      </c>
      <c r="AE98" s="272">
        <f>IF(OR(H98='Operating leases'!$B$32,H98='Operating leases'!$B$33),"",INDEX('Global inputs'!$C$186:$C$243,MATCH(E98,'Global inputs'!$B$186:$B$243,0)))</f>
        <v>0.08</v>
      </c>
    </row>
    <row r="99" spans="1:31" s="27" customFormat="1" x14ac:dyDescent="0.2">
      <c r="A99" s="250"/>
      <c r="B99" s="210" t="s">
        <v>714</v>
      </c>
      <c r="C99" s="210" t="s">
        <v>286</v>
      </c>
      <c r="D99" s="210" t="s">
        <v>735</v>
      </c>
      <c r="E99" s="210" t="s">
        <v>144</v>
      </c>
      <c r="F99" s="210" t="s">
        <v>94</v>
      </c>
      <c r="G99" s="210" t="s">
        <v>736</v>
      </c>
      <c r="H99" s="197">
        <v>0</v>
      </c>
      <c r="I99" s="210" t="s">
        <v>229</v>
      </c>
      <c r="J99" s="210">
        <v>2020</v>
      </c>
      <c r="K99" s="210">
        <v>2020</v>
      </c>
      <c r="L99" s="268" t="str">
        <f t="shared" si="23"/>
        <v>Simple</v>
      </c>
      <c r="M99" s="197">
        <v>6091.1393806574033</v>
      </c>
      <c r="N99" s="197">
        <v>11213.233859846579</v>
      </c>
      <c r="O99" s="257">
        <f>IF(ISNA(MATCH(H99,'Operating leases'!$B$32:$B$43,0)),0,INDEX('Operating leases'!$M$32:$S$43,MATCH(H99,'Operating leases'!$B$32:$B$43,0),MATCH(J99,'Operating leases'!$M$11:$S$11,0)))</f>
        <v>0</v>
      </c>
      <c r="P99" s="257">
        <f t="shared" si="24"/>
        <v>6091.1393806574033</v>
      </c>
      <c r="Q99" s="257">
        <f t="shared" si="25"/>
        <v>17304.373240503985</v>
      </c>
      <c r="R99" s="258">
        <f>INDEX('Escalators '!$M$124:$S$129,MATCH(I99,'Escalators '!$B$124:$B$129,0),MATCH(J99,'Escalators '!$M$113:$S$113,0))</f>
        <v>1</v>
      </c>
      <c r="S99" s="257">
        <f t="shared" si="26"/>
        <v>0</v>
      </c>
      <c r="T99" s="257">
        <f t="shared" si="27"/>
        <v>11213.233859846579</v>
      </c>
      <c r="U99" s="269">
        <f t="shared" si="28"/>
        <v>6091.1393806574051</v>
      </c>
      <c r="V99" s="269">
        <f t="shared" si="29"/>
        <v>17304.373240503985</v>
      </c>
      <c r="W99" s="269">
        <f t="shared" si="30"/>
        <v>6091.1393806574051</v>
      </c>
      <c r="X99" s="257">
        <f t="shared" si="31"/>
        <v>17304.373240503985</v>
      </c>
      <c r="Y99" s="270">
        <f>IF(L99="Complex",(INDEX('Escalators '!$M$176:$S$176,MATCH('Forecast capex'!J99,'Escalators '!$M$178:$S$178,0))/12+1)^((K99-J99)*12)-1,0)</f>
        <v>0</v>
      </c>
      <c r="Z99" s="257">
        <f t="shared" si="32"/>
        <v>0</v>
      </c>
      <c r="AA99" s="257">
        <f t="shared" si="33"/>
        <v>0</v>
      </c>
      <c r="AB99" s="269">
        <f t="shared" si="34"/>
        <v>0</v>
      </c>
      <c r="AC99" s="269">
        <f t="shared" si="35"/>
        <v>0</v>
      </c>
      <c r="AD99" s="271" t="str">
        <f>INDEX('Global inputs'!$C$134:$C$171,MATCH(F99,'Global inputs'!$B$134:$B$171,0))</f>
        <v>Consumer connection</v>
      </c>
      <c r="AE99" s="272">
        <f>IF(OR(H99='Operating leases'!$B$32,H99='Operating leases'!$B$33),"",INDEX('Global inputs'!$C$186:$C$243,MATCH(E99,'Global inputs'!$B$186:$B$243,0)))</f>
        <v>0.08</v>
      </c>
    </row>
    <row r="100" spans="1:31" s="27" customFormat="1" x14ac:dyDescent="0.2">
      <c r="A100" s="250"/>
      <c r="B100" s="210" t="s">
        <v>714</v>
      </c>
      <c r="C100" s="210" t="s">
        <v>286</v>
      </c>
      <c r="D100" s="210" t="s">
        <v>735</v>
      </c>
      <c r="E100" s="210" t="s">
        <v>144</v>
      </c>
      <c r="F100" s="210" t="s">
        <v>94</v>
      </c>
      <c r="G100" s="210" t="s">
        <v>736</v>
      </c>
      <c r="H100" s="197">
        <v>0</v>
      </c>
      <c r="I100" s="210" t="s">
        <v>221</v>
      </c>
      <c r="J100" s="210">
        <v>2020</v>
      </c>
      <c r="K100" s="210">
        <v>2020</v>
      </c>
      <c r="L100" s="268" t="str">
        <f t="shared" si="23"/>
        <v>Simple</v>
      </c>
      <c r="M100" s="197">
        <v>24364.557522629613</v>
      </c>
      <c r="N100" s="197">
        <v>44852.935439386318</v>
      </c>
      <c r="O100" s="257">
        <f>IF(ISNA(MATCH(H100,'Operating leases'!$B$32:$B$43,0)),0,INDEX('Operating leases'!$M$32:$S$43,MATCH(H100,'Operating leases'!$B$32:$B$43,0),MATCH(J100,'Operating leases'!$M$11:$S$11,0)))</f>
        <v>0</v>
      </c>
      <c r="P100" s="257">
        <f t="shared" si="24"/>
        <v>24364.557522629613</v>
      </c>
      <c r="Q100" s="257">
        <f t="shared" si="25"/>
        <v>69217.492962015938</v>
      </c>
      <c r="R100" s="258">
        <f>INDEX('Escalators '!$M$124:$S$129,MATCH(I100,'Escalators '!$B$124:$B$129,0),MATCH(J100,'Escalators '!$M$113:$S$113,0))</f>
        <v>1</v>
      </c>
      <c r="S100" s="257">
        <f t="shared" si="26"/>
        <v>0</v>
      </c>
      <c r="T100" s="257">
        <f t="shared" si="27"/>
        <v>44852.935439386318</v>
      </c>
      <c r="U100" s="269">
        <f t="shared" si="28"/>
        <v>24364.557522629621</v>
      </c>
      <c r="V100" s="269">
        <f t="shared" si="29"/>
        <v>69217.492962015938</v>
      </c>
      <c r="W100" s="269">
        <f t="shared" si="30"/>
        <v>24364.557522629621</v>
      </c>
      <c r="X100" s="257">
        <f t="shared" si="31"/>
        <v>69217.492962015938</v>
      </c>
      <c r="Y100" s="270">
        <f>IF(L100="Complex",(INDEX('Escalators '!$M$176:$S$176,MATCH('Forecast capex'!J100,'Escalators '!$M$178:$S$178,0))/12+1)^((K100-J100)*12)-1,0)</f>
        <v>0</v>
      </c>
      <c r="Z100" s="257">
        <f t="shared" si="32"/>
        <v>0</v>
      </c>
      <c r="AA100" s="257">
        <f t="shared" si="33"/>
        <v>0</v>
      </c>
      <c r="AB100" s="269">
        <f t="shared" si="34"/>
        <v>0</v>
      </c>
      <c r="AC100" s="269">
        <f t="shared" si="35"/>
        <v>0</v>
      </c>
      <c r="AD100" s="271" t="str">
        <f>INDEX('Global inputs'!$C$134:$C$171,MATCH(F100,'Global inputs'!$B$134:$B$171,0))</f>
        <v>Consumer connection</v>
      </c>
      <c r="AE100" s="272">
        <f>IF(OR(H100='Operating leases'!$B$32,H100='Operating leases'!$B$33),"",INDEX('Global inputs'!$C$186:$C$243,MATCH(E100,'Global inputs'!$B$186:$B$243,0)))</f>
        <v>0.08</v>
      </c>
    </row>
    <row r="101" spans="1:31" s="27" customFormat="1" x14ac:dyDescent="0.2">
      <c r="A101" s="250"/>
      <c r="B101" s="210" t="s">
        <v>714</v>
      </c>
      <c r="C101" s="210" t="s">
        <v>285</v>
      </c>
      <c r="D101" s="210" t="s">
        <v>223</v>
      </c>
      <c r="E101" s="210" t="s">
        <v>134</v>
      </c>
      <c r="F101" s="210" t="s">
        <v>94</v>
      </c>
      <c r="G101" s="210" t="s">
        <v>726</v>
      </c>
      <c r="H101" s="197">
        <v>0</v>
      </c>
      <c r="I101" s="210" t="s">
        <v>223</v>
      </c>
      <c r="J101" s="210">
        <v>2020</v>
      </c>
      <c r="K101" s="210">
        <v>2020</v>
      </c>
      <c r="L101" s="268" t="str">
        <f t="shared" si="23"/>
        <v>Simple</v>
      </c>
      <c r="M101" s="197">
        <v>8832.1521019532338</v>
      </c>
      <c r="N101" s="197">
        <v>16259.189096777536</v>
      </c>
      <c r="O101" s="257">
        <f>IF(ISNA(MATCH(H101,'Operating leases'!$B$32:$B$43,0)),0,INDEX('Operating leases'!$M$32:$S$43,MATCH(H101,'Operating leases'!$B$32:$B$43,0),MATCH(J101,'Operating leases'!$M$11:$S$11,0)))</f>
        <v>0</v>
      </c>
      <c r="P101" s="257">
        <f t="shared" si="24"/>
        <v>8832.1521019532338</v>
      </c>
      <c r="Q101" s="257">
        <f t="shared" si="25"/>
        <v>25091.34119873077</v>
      </c>
      <c r="R101" s="258">
        <f>INDEX('Escalators '!$M$124:$S$129,MATCH(I101,'Escalators '!$B$124:$B$129,0),MATCH(J101,'Escalators '!$M$113:$S$113,0))</f>
        <v>1</v>
      </c>
      <c r="S101" s="257">
        <f t="shared" si="26"/>
        <v>0</v>
      </c>
      <c r="T101" s="257">
        <f t="shared" si="27"/>
        <v>16259.189096777536</v>
      </c>
      <c r="U101" s="269">
        <f t="shared" si="28"/>
        <v>8832.1521019532338</v>
      </c>
      <c r="V101" s="269">
        <f t="shared" si="29"/>
        <v>25091.34119873077</v>
      </c>
      <c r="W101" s="269">
        <f t="shared" si="30"/>
        <v>8832.1521019532338</v>
      </c>
      <c r="X101" s="257">
        <f t="shared" si="31"/>
        <v>25091.34119873077</v>
      </c>
      <c r="Y101" s="270">
        <f>IF(L101="Complex",(INDEX('Escalators '!$M$176:$S$176,MATCH('Forecast capex'!J101,'Escalators '!$M$178:$S$178,0))/12+1)^((K101-J101)*12)-1,0)</f>
        <v>0</v>
      </c>
      <c r="Z101" s="257">
        <f t="shared" si="32"/>
        <v>0</v>
      </c>
      <c r="AA101" s="257">
        <f t="shared" si="33"/>
        <v>0</v>
      </c>
      <c r="AB101" s="269">
        <f t="shared" si="34"/>
        <v>0</v>
      </c>
      <c r="AC101" s="269">
        <f t="shared" si="35"/>
        <v>0</v>
      </c>
      <c r="AD101" s="271" t="str">
        <f>INDEX('Global inputs'!$C$134:$C$171,MATCH(F101,'Global inputs'!$B$134:$B$171,0))</f>
        <v>Consumer connection</v>
      </c>
      <c r="AE101" s="272">
        <f>IF(OR(H101='Operating leases'!$B$32,H101='Operating leases'!$B$33),"",INDEX('Global inputs'!$C$186:$C$243,MATCH(E101,'Global inputs'!$B$186:$B$243,0)))</f>
        <v>0.08</v>
      </c>
    </row>
    <row r="102" spans="1:31" s="27" customFormat="1" x14ac:dyDescent="0.2">
      <c r="A102" s="250"/>
      <c r="B102" s="210" t="s">
        <v>714</v>
      </c>
      <c r="C102" s="210" t="s">
        <v>285</v>
      </c>
      <c r="D102" s="210" t="s">
        <v>223</v>
      </c>
      <c r="E102" s="210" t="s">
        <v>134</v>
      </c>
      <c r="F102" s="210" t="s">
        <v>94</v>
      </c>
      <c r="G102" s="210" t="s">
        <v>726</v>
      </c>
      <c r="H102" s="197">
        <v>0</v>
      </c>
      <c r="I102" s="210" t="s">
        <v>221</v>
      </c>
      <c r="J102" s="210">
        <v>2020</v>
      </c>
      <c r="K102" s="210">
        <v>2020</v>
      </c>
      <c r="L102" s="268" t="str">
        <f t="shared" si="23"/>
        <v>Simple</v>
      </c>
      <c r="M102" s="197">
        <v>20608.354904557546</v>
      </c>
      <c r="N102" s="197">
        <v>37938.107892480919</v>
      </c>
      <c r="O102" s="257">
        <f>IF(ISNA(MATCH(H102,'Operating leases'!$B$32:$B$43,0)),0,INDEX('Operating leases'!$M$32:$S$43,MATCH(H102,'Operating leases'!$B$32:$B$43,0),MATCH(J102,'Operating leases'!$M$11:$S$11,0)))</f>
        <v>0</v>
      </c>
      <c r="P102" s="257">
        <f t="shared" si="24"/>
        <v>20608.354904557546</v>
      </c>
      <c r="Q102" s="257">
        <f t="shared" si="25"/>
        <v>58546.462797038461</v>
      </c>
      <c r="R102" s="258">
        <f>INDEX('Escalators '!$M$124:$S$129,MATCH(I102,'Escalators '!$B$124:$B$129,0),MATCH(J102,'Escalators '!$M$113:$S$113,0))</f>
        <v>1</v>
      </c>
      <c r="S102" s="257">
        <f t="shared" si="26"/>
        <v>0</v>
      </c>
      <c r="T102" s="257">
        <f t="shared" si="27"/>
        <v>37938.107892480919</v>
      </c>
      <c r="U102" s="269">
        <f t="shared" si="28"/>
        <v>20608.354904557542</v>
      </c>
      <c r="V102" s="269">
        <f t="shared" si="29"/>
        <v>58546.462797038461</v>
      </c>
      <c r="W102" s="269">
        <f t="shared" si="30"/>
        <v>20608.354904557542</v>
      </c>
      <c r="X102" s="257">
        <f t="shared" si="31"/>
        <v>58546.462797038461</v>
      </c>
      <c r="Y102" s="270">
        <f>IF(L102="Complex",(INDEX('Escalators '!$M$176:$S$176,MATCH('Forecast capex'!J102,'Escalators '!$M$178:$S$178,0))/12+1)^((K102-J102)*12)-1,0)</f>
        <v>0</v>
      </c>
      <c r="Z102" s="257">
        <f t="shared" si="32"/>
        <v>0</v>
      </c>
      <c r="AA102" s="257">
        <f t="shared" si="33"/>
        <v>0</v>
      </c>
      <c r="AB102" s="269">
        <f t="shared" si="34"/>
        <v>0</v>
      </c>
      <c r="AC102" s="269">
        <f t="shared" si="35"/>
        <v>0</v>
      </c>
      <c r="AD102" s="271" t="str">
        <f>INDEX('Global inputs'!$C$134:$C$171,MATCH(F102,'Global inputs'!$B$134:$B$171,0))</f>
        <v>Consumer connection</v>
      </c>
      <c r="AE102" s="272">
        <f>IF(OR(H102='Operating leases'!$B$32,H102='Operating leases'!$B$33),"",INDEX('Global inputs'!$C$186:$C$243,MATCH(E102,'Global inputs'!$B$186:$B$243,0)))</f>
        <v>0.08</v>
      </c>
    </row>
    <row r="103" spans="1:31" s="27" customFormat="1" x14ac:dyDescent="0.2">
      <c r="A103" s="250"/>
      <c r="B103" s="210" t="s">
        <v>714</v>
      </c>
      <c r="C103" s="210" t="s">
        <v>288</v>
      </c>
      <c r="D103" s="210" t="s">
        <v>223</v>
      </c>
      <c r="E103" s="210" t="s">
        <v>157</v>
      </c>
      <c r="F103" s="210" t="s">
        <v>94</v>
      </c>
      <c r="G103" s="210" t="s">
        <v>727</v>
      </c>
      <c r="H103" s="197">
        <v>0</v>
      </c>
      <c r="I103" s="210" t="s">
        <v>223</v>
      </c>
      <c r="J103" s="210">
        <v>2020</v>
      </c>
      <c r="K103" s="210">
        <v>2020</v>
      </c>
      <c r="L103" s="268" t="str">
        <f t="shared" si="23"/>
        <v>Simple</v>
      </c>
      <c r="M103" s="197">
        <v>160806.07964935541</v>
      </c>
      <c r="N103" s="197">
        <v>296029.3738999496</v>
      </c>
      <c r="O103" s="257">
        <f>IF(ISNA(MATCH(H103,'Operating leases'!$B$32:$B$43,0)),0,INDEX('Operating leases'!$M$32:$S$43,MATCH(H103,'Operating leases'!$B$32:$B$43,0),MATCH(J103,'Operating leases'!$M$11:$S$11,0)))</f>
        <v>0</v>
      </c>
      <c r="P103" s="257">
        <f t="shared" si="24"/>
        <v>160806.07964935541</v>
      </c>
      <c r="Q103" s="257">
        <f t="shared" si="25"/>
        <v>456835.45354930498</v>
      </c>
      <c r="R103" s="258">
        <f>INDEX('Escalators '!$M$124:$S$129,MATCH(I103,'Escalators '!$B$124:$B$129,0),MATCH(J103,'Escalators '!$M$113:$S$113,0))</f>
        <v>1</v>
      </c>
      <c r="S103" s="257">
        <f t="shared" si="26"/>
        <v>0</v>
      </c>
      <c r="T103" s="257">
        <f t="shared" si="27"/>
        <v>296029.3738999496</v>
      </c>
      <c r="U103" s="269">
        <f t="shared" si="28"/>
        <v>160806.07964935538</v>
      </c>
      <c r="V103" s="269">
        <f t="shared" si="29"/>
        <v>456835.45354930498</v>
      </c>
      <c r="W103" s="269">
        <f t="shared" si="30"/>
        <v>160806.07964935538</v>
      </c>
      <c r="X103" s="257">
        <f t="shared" si="31"/>
        <v>456835.45354930498</v>
      </c>
      <c r="Y103" s="270">
        <f>IF(L103="Complex",(INDEX('Escalators '!$M$176:$S$176,MATCH('Forecast capex'!J103,'Escalators '!$M$178:$S$178,0))/12+1)^((K103-J103)*12)-1,0)</f>
        <v>0</v>
      </c>
      <c r="Z103" s="257">
        <f t="shared" si="32"/>
        <v>0</v>
      </c>
      <c r="AA103" s="257">
        <f t="shared" si="33"/>
        <v>0</v>
      </c>
      <c r="AB103" s="269">
        <f t="shared" si="34"/>
        <v>0</v>
      </c>
      <c r="AC103" s="269">
        <f t="shared" si="35"/>
        <v>0</v>
      </c>
      <c r="AD103" s="271" t="str">
        <f>INDEX('Global inputs'!$C$134:$C$171,MATCH(F103,'Global inputs'!$B$134:$B$171,0))</f>
        <v>Consumer connection</v>
      </c>
      <c r="AE103" s="272">
        <f>IF(OR(H103='Operating leases'!$B$32,H103='Operating leases'!$B$33),"",INDEX('Global inputs'!$C$186:$C$243,MATCH(E103,'Global inputs'!$B$186:$B$243,0)))</f>
        <v>0.08</v>
      </c>
    </row>
    <row r="104" spans="1:31" s="27" customFormat="1" x14ac:dyDescent="0.2">
      <c r="A104" s="250"/>
      <c r="B104" s="210" t="s">
        <v>714</v>
      </c>
      <c r="C104" s="210" t="s">
        <v>288</v>
      </c>
      <c r="D104" s="210" t="s">
        <v>223</v>
      </c>
      <c r="E104" s="210" t="s">
        <v>157</v>
      </c>
      <c r="F104" s="210" t="s">
        <v>94</v>
      </c>
      <c r="G104" s="210" t="s">
        <v>727</v>
      </c>
      <c r="H104" s="197">
        <v>0</v>
      </c>
      <c r="I104" s="210" t="s">
        <v>221</v>
      </c>
      <c r="J104" s="210">
        <v>2020</v>
      </c>
      <c r="K104" s="210">
        <v>2020</v>
      </c>
      <c r="L104" s="268" t="str">
        <f t="shared" si="23"/>
        <v>Simple</v>
      </c>
      <c r="M104" s="197">
        <v>375214.18584849598</v>
      </c>
      <c r="N104" s="197">
        <v>690735.2057665491</v>
      </c>
      <c r="O104" s="257">
        <f>IF(ISNA(MATCH(H104,'Operating leases'!$B$32:$B$43,0)),0,INDEX('Operating leases'!$M$32:$S$43,MATCH(H104,'Operating leases'!$B$32:$B$43,0),MATCH(J104,'Operating leases'!$M$11:$S$11,0)))</f>
        <v>0</v>
      </c>
      <c r="P104" s="257">
        <f t="shared" si="24"/>
        <v>375214.18584849598</v>
      </c>
      <c r="Q104" s="257">
        <f t="shared" si="25"/>
        <v>1065949.391615045</v>
      </c>
      <c r="R104" s="258">
        <f>INDEX('Escalators '!$M$124:$S$129,MATCH(I104,'Escalators '!$B$124:$B$129,0),MATCH(J104,'Escalators '!$M$113:$S$113,0))</f>
        <v>1</v>
      </c>
      <c r="S104" s="257">
        <f t="shared" si="26"/>
        <v>0</v>
      </c>
      <c r="T104" s="257">
        <f t="shared" si="27"/>
        <v>690735.2057665491</v>
      </c>
      <c r="U104" s="269">
        <f t="shared" si="28"/>
        <v>375214.18584849592</v>
      </c>
      <c r="V104" s="269">
        <f t="shared" si="29"/>
        <v>1065949.391615045</v>
      </c>
      <c r="W104" s="269">
        <f t="shared" si="30"/>
        <v>375214.18584849592</v>
      </c>
      <c r="X104" s="257">
        <f t="shared" si="31"/>
        <v>1065949.391615045</v>
      </c>
      <c r="Y104" s="270">
        <f>IF(L104="Complex",(INDEX('Escalators '!$M$176:$S$176,MATCH('Forecast capex'!J104,'Escalators '!$M$178:$S$178,0))/12+1)^((K104-J104)*12)-1,0)</f>
        <v>0</v>
      </c>
      <c r="Z104" s="257">
        <f t="shared" si="32"/>
        <v>0</v>
      </c>
      <c r="AA104" s="257">
        <f t="shared" si="33"/>
        <v>0</v>
      </c>
      <c r="AB104" s="269">
        <f t="shared" si="34"/>
        <v>0</v>
      </c>
      <c r="AC104" s="269">
        <f t="shared" si="35"/>
        <v>0</v>
      </c>
      <c r="AD104" s="271" t="str">
        <f>INDEX('Global inputs'!$C$134:$C$171,MATCH(F104,'Global inputs'!$B$134:$B$171,0))</f>
        <v>Consumer connection</v>
      </c>
      <c r="AE104" s="272">
        <f>IF(OR(H104='Operating leases'!$B$32,H104='Operating leases'!$B$33),"",INDEX('Global inputs'!$C$186:$C$243,MATCH(E104,'Global inputs'!$B$186:$B$243,0)))</f>
        <v>0.08</v>
      </c>
    </row>
    <row r="105" spans="1:31" s="27" customFormat="1" x14ac:dyDescent="0.2">
      <c r="A105" s="250"/>
      <c r="B105" s="210" t="s">
        <v>714</v>
      </c>
      <c r="C105" s="210" t="s">
        <v>288</v>
      </c>
      <c r="D105" s="210" t="s">
        <v>223</v>
      </c>
      <c r="E105" s="210" t="s">
        <v>159</v>
      </c>
      <c r="F105" s="210" t="s">
        <v>94</v>
      </c>
      <c r="G105" s="210" t="s">
        <v>728</v>
      </c>
      <c r="H105" s="197">
        <v>0</v>
      </c>
      <c r="I105" s="210" t="s">
        <v>223</v>
      </c>
      <c r="J105" s="210">
        <v>2020</v>
      </c>
      <c r="K105" s="210">
        <v>2020</v>
      </c>
      <c r="L105" s="268" t="str">
        <f t="shared" si="23"/>
        <v>Simple</v>
      </c>
      <c r="M105" s="197">
        <v>457647.60546672624</v>
      </c>
      <c r="N105" s="197">
        <v>842487.63733647298</v>
      </c>
      <c r="O105" s="257">
        <f>IF(ISNA(MATCH(H105,'Operating leases'!$B$32:$B$43,0)),0,INDEX('Operating leases'!$M$32:$S$43,MATCH(H105,'Operating leases'!$B$32:$B$43,0),MATCH(J105,'Operating leases'!$M$11:$S$11,0)))</f>
        <v>0</v>
      </c>
      <c r="P105" s="257">
        <f t="shared" si="24"/>
        <v>457647.60546672624</v>
      </c>
      <c r="Q105" s="257">
        <f t="shared" si="25"/>
        <v>1300135.2428031992</v>
      </c>
      <c r="R105" s="258">
        <f>INDEX('Escalators '!$M$124:$S$129,MATCH(I105,'Escalators '!$B$124:$B$129,0),MATCH(J105,'Escalators '!$M$113:$S$113,0))</f>
        <v>1</v>
      </c>
      <c r="S105" s="257">
        <f t="shared" si="26"/>
        <v>0</v>
      </c>
      <c r="T105" s="257">
        <f t="shared" si="27"/>
        <v>842487.63733647298</v>
      </c>
      <c r="U105" s="269">
        <f t="shared" si="28"/>
        <v>457647.60546672624</v>
      </c>
      <c r="V105" s="269">
        <f t="shared" si="29"/>
        <v>1300135.2428031992</v>
      </c>
      <c r="W105" s="269">
        <f t="shared" si="30"/>
        <v>457647.60546672624</v>
      </c>
      <c r="X105" s="257">
        <f t="shared" si="31"/>
        <v>1300135.2428031992</v>
      </c>
      <c r="Y105" s="270">
        <f>IF(L105="Complex",(INDEX('Escalators '!$M$176:$S$176,MATCH('Forecast capex'!J105,'Escalators '!$M$178:$S$178,0))/12+1)^((K105-J105)*12)-1,0)</f>
        <v>0</v>
      </c>
      <c r="Z105" s="257">
        <f t="shared" si="32"/>
        <v>0</v>
      </c>
      <c r="AA105" s="257">
        <f t="shared" si="33"/>
        <v>0</v>
      </c>
      <c r="AB105" s="269">
        <f t="shared" si="34"/>
        <v>0</v>
      </c>
      <c r="AC105" s="269">
        <f t="shared" si="35"/>
        <v>0</v>
      </c>
      <c r="AD105" s="271" t="str">
        <f>INDEX('Global inputs'!$C$134:$C$171,MATCH(F105,'Global inputs'!$B$134:$B$171,0))</f>
        <v>Consumer connection</v>
      </c>
      <c r="AE105" s="272">
        <f>IF(OR(H105='Operating leases'!$B$32,H105='Operating leases'!$B$33),"",INDEX('Global inputs'!$C$186:$C$243,MATCH(E105,'Global inputs'!$B$186:$B$243,0)))</f>
        <v>0.08</v>
      </c>
    </row>
    <row r="106" spans="1:31" s="27" customFormat="1" x14ac:dyDescent="0.2">
      <c r="A106" s="250"/>
      <c r="B106" s="210" t="s">
        <v>714</v>
      </c>
      <c r="C106" s="210" t="s">
        <v>288</v>
      </c>
      <c r="D106" s="210" t="s">
        <v>223</v>
      </c>
      <c r="E106" s="210" t="s">
        <v>159</v>
      </c>
      <c r="F106" s="210" t="s">
        <v>94</v>
      </c>
      <c r="G106" s="210" t="s">
        <v>728</v>
      </c>
      <c r="H106" s="197">
        <v>0</v>
      </c>
      <c r="I106" s="210" t="s">
        <v>221</v>
      </c>
      <c r="J106" s="210">
        <v>2020</v>
      </c>
      <c r="K106" s="210">
        <v>2020</v>
      </c>
      <c r="L106" s="268" t="str">
        <f t="shared" si="23"/>
        <v>Simple</v>
      </c>
      <c r="M106" s="197">
        <v>686471.40820008935</v>
      </c>
      <c r="N106" s="197">
        <v>1263731.4560047095</v>
      </c>
      <c r="O106" s="257">
        <f>IF(ISNA(MATCH(H106,'Operating leases'!$B$32:$B$43,0)),0,INDEX('Operating leases'!$M$32:$S$43,MATCH(H106,'Operating leases'!$B$32:$B$43,0),MATCH(J106,'Operating leases'!$M$11:$S$11,0)))</f>
        <v>0</v>
      </c>
      <c r="P106" s="257">
        <f t="shared" si="24"/>
        <v>686471.40820008935</v>
      </c>
      <c r="Q106" s="257">
        <f t="shared" si="25"/>
        <v>1950202.8642047988</v>
      </c>
      <c r="R106" s="258">
        <f>INDEX('Escalators '!$M$124:$S$129,MATCH(I106,'Escalators '!$B$124:$B$129,0),MATCH(J106,'Escalators '!$M$113:$S$113,0))</f>
        <v>1</v>
      </c>
      <c r="S106" s="257">
        <f t="shared" si="26"/>
        <v>0</v>
      </c>
      <c r="T106" s="257">
        <f t="shared" si="27"/>
        <v>1263731.4560047095</v>
      </c>
      <c r="U106" s="269">
        <f t="shared" si="28"/>
        <v>686471.40820008935</v>
      </c>
      <c r="V106" s="269">
        <f t="shared" si="29"/>
        <v>1950202.8642047988</v>
      </c>
      <c r="W106" s="269">
        <f t="shared" si="30"/>
        <v>686471.40820008935</v>
      </c>
      <c r="X106" s="257">
        <f t="shared" si="31"/>
        <v>1950202.8642047988</v>
      </c>
      <c r="Y106" s="270">
        <f>IF(L106="Complex",(INDEX('Escalators '!$M$176:$S$176,MATCH('Forecast capex'!J106,'Escalators '!$M$178:$S$178,0))/12+1)^((K106-J106)*12)-1,0)</f>
        <v>0</v>
      </c>
      <c r="Z106" s="257">
        <f t="shared" si="32"/>
        <v>0</v>
      </c>
      <c r="AA106" s="257">
        <f t="shared" si="33"/>
        <v>0</v>
      </c>
      <c r="AB106" s="269">
        <f t="shared" si="34"/>
        <v>0</v>
      </c>
      <c r="AC106" s="269">
        <f t="shared" si="35"/>
        <v>0</v>
      </c>
      <c r="AD106" s="271" t="str">
        <f>INDEX('Global inputs'!$C$134:$C$171,MATCH(F106,'Global inputs'!$B$134:$B$171,0))</f>
        <v>Consumer connection</v>
      </c>
      <c r="AE106" s="272">
        <f>IF(OR(H106='Operating leases'!$B$32,H106='Operating leases'!$B$33),"",INDEX('Global inputs'!$C$186:$C$243,MATCH(E106,'Global inputs'!$B$186:$B$243,0)))</f>
        <v>0.08</v>
      </c>
    </row>
    <row r="107" spans="1:31" s="27" customFormat="1" x14ac:dyDescent="0.2">
      <c r="A107" s="250"/>
      <c r="B107" s="210" t="s">
        <v>714</v>
      </c>
      <c r="C107" s="210" t="s">
        <v>287</v>
      </c>
      <c r="D107" s="210" t="s">
        <v>729</v>
      </c>
      <c r="E107" s="210" t="s">
        <v>150</v>
      </c>
      <c r="F107" s="210" t="s">
        <v>94</v>
      </c>
      <c r="G107" s="210" t="s">
        <v>731</v>
      </c>
      <c r="H107" s="197">
        <v>0</v>
      </c>
      <c r="I107" s="210" t="s">
        <v>225</v>
      </c>
      <c r="J107" s="210">
        <v>2020</v>
      </c>
      <c r="K107" s="210">
        <v>2020</v>
      </c>
      <c r="L107" s="268" t="str">
        <f t="shared" si="23"/>
        <v>Simple</v>
      </c>
      <c r="M107" s="197">
        <v>5177.4684735587934</v>
      </c>
      <c r="N107" s="197">
        <v>9531.2487808695932</v>
      </c>
      <c r="O107" s="257">
        <f>IF(ISNA(MATCH(H107,'Operating leases'!$B$32:$B$43,0)),0,INDEX('Operating leases'!$M$32:$S$43,MATCH(H107,'Operating leases'!$B$32:$B$43,0),MATCH(J107,'Operating leases'!$M$11:$S$11,0)))</f>
        <v>0</v>
      </c>
      <c r="P107" s="257">
        <f t="shared" si="24"/>
        <v>5177.4684735587934</v>
      </c>
      <c r="Q107" s="257">
        <f t="shared" si="25"/>
        <v>14708.717254428386</v>
      </c>
      <c r="R107" s="258">
        <f>INDEX('Escalators '!$M$124:$S$129,MATCH(I107,'Escalators '!$B$124:$B$129,0),MATCH(J107,'Escalators '!$M$113:$S$113,0))</f>
        <v>1</v>
      </c>
      <c r="S107" s="257">
        <f t="shared" si="26"/>
        <v>0</v>
      </c>
      <c r="T107" s="257">
        <f t="shared" si="27"/>
        <v>9531.2487808695932</v>
      </c>
      <c r="U107" s="269">
        <f t="shared" si="28"/>
        <v>5177.4684735587925</v>
      </c>
      <c r="V107" s="269">
        <f t="shared" si="29"/>
        <v>14708.717254428386</v>
      </c>
      <c r="W107" s="269">
        <f t="shared" si="30"/>
        <v>5177.4684735587925</v>
      </c>
      <c r="X107" s="257">
        <f t="shared" si="31"/>
        <v>14708.717254428386</v>
      </c>
      <c r="Y107" s="270">
        <f>IF(L107="Complex",(INDEX('Escalators '!$M$176:$S$176,MATCH('Forecast capex'!J107,'Escalators '!$M$178:$S$178,0))/12+1)^((K107-J107)*12)-1,0)</f>
        <v>0</v>
      </c>
      <c r="Z107" s="257">
        <f t="shared" si="32"/>
        <v>0</v>
      </c>
      <c r="AA107" s="257">
        <f t="shared" si="33"/>
        <v>0</v>
      </c>
      <c r="AB107" s="269">
        <f t="shared" si="34"/>
        <v>0</v>
      </c>
      <c r="AC107" s="269">
        <f t="shared" si="35"/>
        <v>0</v>
      </c>
      <c r="AD107" s="271" t="str">
        <f>INDEX('Global inputs'!$C$134:$C$171,MATCH(F107,'Global inputs'!$B$134:$B$171,0))</f>
        <v>Consumer connection</v>
      </c>
      <c r="AE107" s="272">
        <f>IF(OR(H107='Operating leases'!$B$32,H107='Operating leases'!$B$33),"",INDEX('Global inputs'!$C$186:$C$243,MATCH(E107,'Global inputs'!$B$186:$B$243,0)))</f>
        <v>0.08</v>
      </c>
    </row>
    <row r="108" spans="1:31" s="27" customFormat="1" x14ac:dyDescent="0.2">
      <c r="A108" s="250"/>
      <c r="B108" s="210" t="s">
        <v>714</v>
      </c>
      <c r="C108" s="210" t="s">
        <v>287</v>
      </c>
      <c r="D108" s="210" t="s">
        <v>729</v>
      </c>
      <c r="E108" s="210" t="s">
        <v>150</v>
      </c>
      <c r="F108" s="210" t="s">
        <v>94</v>
      </c>
      <c r="G108" s="210" t="s">
        <v>731</v>
      </c>
      <c r="H108" s="197">
        <v>0</v>
      </c>
      <c r="I108" s="210" t="s">
        <v>221</v>
      </c>
      <c r="J108" s="210">
        <v>2020</v>
      </c>
      <c r="K108" s="210">
        <v>2020</v>
      </c>
      <c r="L108" s="268" t="str">
        <f t="shared" si="23"/>
        <v>Simple</v>
      </c>
      <c r="M108" s="197">
        <v>20709.873894235174</v>
      </c>
      <c r="N108" s="197">
        <v>38124.995123478373</v>
      </c>
      <c r="O108" s="257">
        <f>IF(ISNA(MATCH(H108,'Operating leases'!$B$32:$B$43,0)),0,INDEX('Operating leases'!$M$32:$S$43,MATCH(H108,'Operating leases'!$B$32:$B$43,0),MATCH(J108,'Operating leases'!$M$11:$S$11,0)))</f>
        <v>0</v>
      </c>
      <c r="P108" s="257">
        <f t="shared" si="24"/>
        <v>20709.873894235174</v>
      </c>
      <c r="Q108" s="257">
        <f t="shared" si="25"/>
        <v>58834.869017713543</v>
      </c>
      <c r="R108" s="258">
        <f>INDEX('Escalators '!$M$124:$S$129,MATCH(I108,'Escalators '!$B$124:$B$129,0),MATCH(J108,'Escalators '!$M$113:$S$113,0))</f>
        <v>1</v>
      </c>
      <c r="S108" s="257">
        <f t="shared" si="26"/>
        <v>0</v>
      </c>
      <c r="T108" s="257">
        <f t="shared" si="27"/>
        <v>38124.995123478373</v>
      </c>
      <c r="U108" s="269">
        <f t="shared" si="28"/>
        <v>20709.87389423517</v>
      </c>
      <c r="V108" s="269">
        <f t="shared" si="29"/>
        <v>58834.869017713543</v>
      </c>
      <c r="W108" s="269">
        <f t="shared" si="30"/>
        <v>20709.87389423517</v>
      </c>
      <c r="X108" s="257">
        <f t="shared" si="31"/>
        <v>58834.869017713543</v>
      </c>
      <c r="Y108" s="270">
        <f>IF(L108="Complex",(INDEX('Escalators '!$M$176:$S$176,MATCH('Forecast capex'!J108,'Escalators '!$M$178:$S$178,0))/12+1)^((K108-J108)*12)-1,0)</f>
        <v>0</v>
      </c>
      <c r="Z108" s="257">
        <f t="shared" si="32"/>
        <v>0</v>
      </c>
      <c r="AA108" s="257">
        <f t="shared" si="33"/>
        <v>0</v>
      </c>
      <c r="AB108" s="269">
        <f t="shared" si="34"/>
        <v>0</v>
      </c>
      <c r="AC108" s="269">
        <f t="shared" si="35"/>
        <v>0</v>
      </c>
      <c r="AD108" s="271" t="str">
        <f>INDEX('Global inputs'!$C$134:$C$171,MATCH(F108,'Global inputs'!$B$134:$B$171,0))</f>
        <v>Consumer connection</v>
      </c>
      <c r="AE108" s="272">
        <f>IF(OR(H108='Operating leases'!$B$32,H108='Operating leases'!$B$33),"",INDEX('Global inputs'!$C$186:$C$243,MATCH(E108,'Global inputs'!$B$186:$B$243,0)))</f>
        <v>0.08</v>
      </c>
    </row>
    <row r="109" spans="1:31" s="27" customFormat="1" x14ac:dyDescent="0.2">
      <c r="A109" s="250"/>
      <c r="B109" s="210" t="s">
        <v>714</v>
      </c>
      <c r="C109" s="210" t="s">
        <v>287</v>
      </c>
      <c r="D109" s="210" t="s">
        <v>729</v>
      </c>
      <c r="E109" s="210" t="s">
        <v>151</v>
      </c>
      <c r="F109" s="210" t="s">
        <v>94</v>
      </c>
      <c r="G109" s="210" t="s">
        <v>731</v>
      </c>
      <c r="H109" s="197">
        <v>0</v>
      </c>
      <c r="I109" s="210" t="s">
        <v>225</v>
      </c>
      <c r="J109" s="210">
        <v>2020</v>
      </c>
      <c r="K109" s="210">
        <v>2020</v>
      </c>
      <c r="L109" s="268" t="str">
        <f t="shared" si="23"/>
        <v>Simple</v>
      </c>
      <c r="M109" s="197">
        <v>5177.4684735587934</v>
      </c>
      <c r="N109" s="197">
        <v>9531.2487808695932</v>
      </c>
      <c r="O109" s="257">
        <f>IF(ISNA(MATCH(H109,'Operating leases'!$B$32:$B$43,0)),0,INDEX('Operating leases'!$M$32:$S$43,MATCH(H109,'Operating leases'!$B$32:$B$43,0),MATCH(J109,'Operating leases'!$M$11:$S$11,0)))</f>
        <v>0</v>
      </c>
      <c r="P109" s="257">
        <f t="shared" si="24"/>
        <v>5177.4684735587934</v>
      </c>
      <c r="Q109" s="257">
        <f t="shared" si="25"/>
        <v>14708.717254428386</v>
      </c>
      <c r="R109" s="258">
        <f>INDEX('Escalators '!$M$124:$S$129,MATCH(I109,'Escalators '!$B$124:$B$129,0),MATCH(J109,'Escalators '!$M$113:$S$113,0))</f>
        <v>1</v>
      </c>
      <c r="S109" s="257">
        <f t="shared" si="26"/>
        <v>0</v>
      </c>
      <c r="T109" s="257">
        <f t="shared" si="27"/>
        <v>9531.2487808695932</v>
      </c>
      <c r="U109" s="269">
        <f t="shared" si="28"/>
        <v>5177.4684735587925</v>
      </c>
      <c r="V109" s="269">
        <f t="shared" si="29"/>
        <v>14708.717254428386</v>
      </c>
      <c r="W109" s="269">
        <f t="shared" si="30"/>
        <v>5177.4684735587925</v>
      </c>
      <c r="X109" s="257">
        <f t="shared" si="31"/>
        <v>14708.717254428386</v>
      </c>
      <c r="Y109" s="270">
        <f>IF(L109="Complex",(INDEX('Escalators '!$M$176:$S$176,MATCH('Forecast capex'!J109,'Escalators '!$M$178:$S$178,0))/12+1)^((K109-J109)*12)-1,0)</f>
        <v>0</v>
      </c>
      <c r="Z109" s="257">
        <f t="shared" si="32"/>
        <v>0</v>
      </c>
      <c r="AA109" s="257">
        <f t="shared" si="33"/>
        <v>0</v>
      </c>
      <c r="AB109" s="269">
        <f t="shared" si="34"/>
        <v>0</v>
      </c>
      <c r="AC109" s="269">
        <f t="shared" si="35"/>
        <v>0</v>
      </c>
      <c r="AD109" s="271" t="str">
        <f>INDEX('Global inputs'!$C$134:$C$171,MATCH(F109,'Global inputs'!$B$134:$B$171,0))</f>
        <v>Consumer connection</v>
      </c>
      <c r="AE109" s="272">
        <f>IF(OR(H109='Operating leases'!$B$32,H109='Operating leases'!$B$33),"",INDEX('Global inputs'!$C$186:$C$243,MATCH(E109,'Global inputs'!$B$186:$B$243,0)))</f>
        <v>0.1</v>
      </c>
    </row>
    <row r="110" spans="1:31" s="27" customFormat="1" x14ac:dyDescent="0.2">
      <c r="A110" s="250"/>
      <c r="B110" s="210" t="s">
        <v>714</v>
      </c>
      <c r="C110" s="210" t="s">
        <v>287</v>
      </c>
      <c r="D110" s="210" t="s">
        <v>729</v>
      </c>
      <c r="E110" s="210" t="s">
        <v>151</v>
      </c>
      <c r="F110" s="210" t="s">
        <v>94</v>
      </c>
      <c r="G110" s="210" t="s">
        <v>731</v>
      </c>
      <c r="H110" s="197">
        <v>0</v>
      </c>
      <c r="I110" s="210" t="s">
        <v>221</v>
      </c>
      <c r="J110" s="210">
        <v>2020</v>
      </c>
      <c r="K110" s="210">
        <v>2020</v>
      </c>
      <c r="L110" s="268" t="str">
        <f t="shared" si="23"/>
        <v>Simple</v>
      </c>
      <c r="M110" s="197">
        <v>20709.873894235174</v>
      </c>
      <c r="N110" s="197">
        <v>38124.995123478373</v>
      </c>
      <c r="O110" s="257">
        <f>IF(ISNA(MATCH(H110,'Operating leases'!$B$32:$B$43,0)),0,INDEX('Operating leases'!$M$32:$S$43,MATCH(H110,'Operating leases'!$B$32:$B$43,0),MATCH(J110,'Operating leases'!$M$11:$S$11,0)))</f>
        <v>0</v>
      </c>
      <c r="P110" s="257">
        <f t="shared" si="24"/>
        <v>20709.873894235174</v>
      </c>
      <c r="Q110" s="257">
        <f t="shared" si="25"/>
        <v>58834.869017713543</v>
      </c>
      <c r="R110" s="258">
        <f>INDEX('Escalators '!$M$124:$S$129,MATCH(I110,'Escalators '!$B$124:$B$129,0),MATCH(J110,'Escalators '!$M$113:$S$113,0))</f>
        <v>1</v>
      </c>
      <c r="S110" s="257">
        <f t="shared" si="26"/>
        <v>0</v>
      </c>
      <c r="T110" s="257">
        <f t="shared" si="27"/>
        <v>38124.995123478373</v>
      </c>
      <c r="U110" s="269">
        <f t="shared" si="28"/>
        <v>20709.87389423517</v>
      </c>
      <c r="V110" s="269">
        <f t="shared" si="29"/>
        <v>58834.869017713543</v>
      </c>
      <c r="W110" s="269">
        <f t="shared" si="30"/>
        <v>20709.87389423517</v>
      </c>
      <c r="X110" s="257">
        <f t="shared" si="31"/>
        <v>58834.869017713543</v>
      </c>
      <c r="Y110" s="270">
        <f>IF(L110="Complex",(INDEX('Escalators '!$M$176:$S$176,MATCH('Forecast capex'!J110,'Escalators '!$M$178:$S$178,0))/12+1)^((K110-J110)*12)-1,0)</f>
        <v>0</v>
      </c>
      <c r="Z110" s="257">
        <f t="shared" si="32"/>
        <v>0</v>
      </c>
      <c r="AA110" s="257">
        <f t="shared" si="33"/>
        <v>0</v>
      </c>
      <c r="AB110" s="269">
        <f t="shared" si="34"/>
        <v>0</v>
      </c>
      <c r="AC110" s="269">
        <f t="shared" si="35"/>
        <v>0</v>
      </c>
      <c r="AD110" s="271" t="str">
        <f>INDEX('Global inputs'!$C$134:$C$171,MATCH(F110,'Global inputs'!$B$134:$B$171,0))</f>
        <v>Consumer connection</v>
      </c>
      <c r="AE110" s="272">
        <f>IF(OR(H110='Operating leases'!$B$32,H110='Operating leases'!$B$33),"",INDEX('Global inputs'!$C$186:$C$243,MATCH(E110,'Global inputs'!$B$186:$B$243,0)))</f>
        <v>0.1</v>
      </c>
    </row>
    <row r="111" spans="1:31" s="27" customFormat="1" x14ac:dyDescent="0.2">
      <c r="A111" s="250"/>
      <c r="B111" s="210" t="s">
        <v>714</v>
      </c>
      <c r="C111" s="210" t="s">
        <v>287</v>
      </c>
      <c r="D111" s="210" t="s">
        <v>729</v>
      </c>
      <c r="E111" s="210" t="s">
        <v>153</v>
      </c>
      <c r="F111" s="210" t="s">
        <v>94</v>
      </c>
      <c r="G111" s="210" t="s">
        <v>737</v>
      </c>
      <c r="H111" s="197">
        <v>0</v>
      </c>
      <c r="I111" s="210" t="s">
        <v>225</v>
      </c>
      <c r="J111" s="210">
        <v>2020</v>
      </c>
      <c r="K111" s="210">
        <v>2020</v>
      </c>
      <c r="L111" s="268" t="str">
        <f t="shared" si="23"/>
        <v>Simple</v>
      </c>
      <c r="M111" s="197">
        <v>4872.9115045259232</v>
      </c>
      <c r="N111" s="197">
        <v>8970.5870878772639</v>
      </c>
      <c r="O111" s="257">
        <f>IF(ISNA(MATCH(H111,'Operating leases'!$B$32:$B$43,0)),0,INDEX('Operating leases'!$M$32:$S$43,MATCH(H111,'Operating leases'!$B$32:$B$43,0),MATCH(J111,'Operating leases'!$M$11:$S$11,0)))</f>
        <v>0</v>
      </c>
      <c r="P111" s="257">
        <f t="shared" si="24"/>
        <v>4872.9115045259232</v>
      </c>
      <c r="Q111" s="257">
        <f t="shared" si="25"/>
        <v>13843.498592403186</v>
      </c>
      <c r="R111" s="258">
        <f>INDEX('Escalators '!$M$124:$S$129,MATCH(I111,'Escalators '!$B$124:$B$129,0),MATCH(J111,'Escalators '!$M$113:$S$113,0))</f>
        <v>1</v>
      </c>
      <c r="S111" s="257">
        <f t="shared" si="26"/>
        <v>0</v>
      </c>
      <c r="T111" s="257">
        <f t="shared" si="27"/>
        <v>8970.5870878772639</v>
      </c>
      <c r="U111" s="269">
        <f t="shared" si="28"/>
        <v>4872.9115045259223</v>
      </c>
      <c r="V111" s="269">
        <f t="shared" si="29"/>
        <v>13843.498592403186</v>
      </c>
      <c r="W111" s="269">
        <f t="shared" si="30"/>
        <v>4872.9115045259223</v>
      </c>
      <c r="X111" s="257">
        <f t="shared" si="31"/>
        <v>13843.498592403186</v>
      </c>
      <c r="Y111" s="270">
        <f>IF(L111="Complex",(INDEX('Escalators '!$M$176:$S$176,MATCH('Forecast capex'!J111,'Escalators '!$M$178:$S$178,0))/12+1)^((K111-J111)*12)-1,0)</f>
        <v>0</v>
      </c>
      <c r="Z111" s="257">
        <f t="shared" si="32"/>
        <v>0</v>
      </c>
      <c r="AA111" s="257">
        <f t="shared" si="33"/>
        <v>0</v>
      </c>
      <c r="AB111" s="269">
        <f t="shared" si="34"/>
        <v>0</v>
      </c>
      <c r="AC111" s="269">
        <f t="shared" si="35"/>
        <v>0</v>
      </c>
      <c r="AD111" s="271" t="str">
        <f>INDEX('Global inputs'!$C$134:$C$171,MATCH(F111,'Global inputs'!$B$134:$B$171,0))</f>
        <v>Consumer connection</v>
      </c>
      <c r="AE111" s="272">
        <f>IF(OR(H111='Operating leases'!$B$32,H111='Operating leases'!$B$33),"",INDEX('Global inputs'!$C$186:$C$243,MATCH(E111,'Global inputs'!$B$186:$B$243,0)))</f>
        <v>0.08</v>
      </c>
    </row>
    <row r="112" spans="1:31" s="27" customFormat="1" x14ac:dyDescent="0.2">
      <c r="A112" s="250"/>
      <c r="B112" s="210" t="s">
        <v>714</v>
      </c>
      <c r="C112" s="210" t="s">
        <v>287</v>
      </c>
      <c r="D112" s="210" t="s">
        <v>729</v>
      </c>
      <c r="E112" s="210" t="s">
        <v>153</v>
      </c>
      <c r="F112" s="210" t="s">
        <v>94</v>
      </c>
      <c r="G112" s="210" t="s">
        <v>737</v>
      </c>
      <c r="H112" s="197">
        <v>0</v>
      </c>
      <c r="I112" s="210" t="s">
        <v>221</v>
      </c>
      <c r="J112" s="210">
        <v>2020</v>
      </c>
      <c r="K112" s="210">
        <v>2020</v>
      </c>
      <c r="L112" s="268" t="str">
        <f t="shared" si="23"/>
        <v>Simple</v>
      </c>
      <c r="M112" s="197">
        <v>19491.646018103693</v>
      </c>
      <c r="N112" s="197">
        <v>35882.348351509056</v>
      </c>
      <c r="O112" s="257">
        <f>IF(ISNA(MATCH(H112,'Operating leases'!$B$32:$B$43,0)),0,INDEX('Operating leases'!$M$32:$S$43,MATCH(H112,'Operating leases'!$B$32:$B$43,0),MATCH(J112,'Operating leases'!$M$11:$S$11,0)))</f>
        <v>0</v>
      </c>
      <c r="P112" s="257">
        <f t="shared" si="24"/>
        <v>19491.646018103693</v>
      </c>
      <c r="Q112" s="257">
        <f t="shared" si="25"/>
        <v>55373.994369612745</v>
      </c>
      <c r="R112" s="258">
        <f>INDEX('Escalators '!$M$124:$S$129,MATCH(I112,'Escalators '!$B$124:$B$129,0),MATCH(J112,'Escalators '!$M$113:$S$113,0))</f>
        <v>1</v>
      </c>
      <c r="S112" s="257">
        <f t="shared" si="26"/>
        <v>0</v>
      </c>
      <c r="T112" s="257">
        <f t="shared" si="27"/>
        <v>35882.348351509056</v>
      </c>
      <c r="U112" s="269">
        <f t="shared" si="28"/>
        <v>19491.646018103689</v>
      </c>
      <c r="V112" s="269">
        <f t="shared" si="29"/>
        <v>55373.994369612745</v>
      </c>
      <c r="W112" s="269">
        <f t="shared" si="30"/>
        <v>19491.646018103689</v>
      </c>
      <c r="X112" s="257">
        <f t="shared" si="31"/>
        <v>55373.994369612745</v>
      </c>
      <c r="Y112" s="270">
        <f>IF(L112="Complex",(INDEX('Escalators '!$M$176:$S$176,MATCH('Forecast capex'!J112,'Escalators '!$M$178:$S$178,0))/12+1)^((K112-J112)*12)-1,0)</f>
        <v>0</v>
      </c>
      <c r="Z112" s="257">
        <f t="shared" si="32"/>
        <v>0</v>
      </c>
      <c r="AA112" s="257">
        <f t="shared" si="33"/>
        <v>0</v>
      </c>
      <c r="AB112" s="269">
        <f t="shared" si="34"/>
        <v>0</v>
      </c>
      <c r="AC112" s="269">
        <f t="shared" si="35"/>
        <v>0</v>
      </c>
      <c r="AD112" s="271" t="str">
        <f>INDEX('Global inputs'!$C$134:$C$171,MATCH(F112,'Global inputs'!$B$134:$B$171,0))</f>
        <v>Consumer connection</v>
      </c>
      <c r="AE112" s="272">
        <f>IF(OR(H112='Operating leases'!$B$32,H112='Operating leases'!$B$33),"",INDEX('Global inputs'!$C$186:$C$243,MATCH(E112,'Global inputs'!$B$186:$B$243,0)))</f>
        <v>0.08</v>
      </c>
    </row>
    <row r="113" spans="1:31" s="27" customFormat="1" x14ac:dyDescent="0.2">
      <c r="A113" s="250"/>
      <c r="B113" s="210" t="s">
        <v>714</v>
      </c>
      <c r="C113" s="210" t="s">
        <v>287</v>
      </c>
      <c r="D113" s="210" t="s">
        <v>729</v>
      </c>
      <c r="E113" s="210" t="s">
        <v>154</v>
      </c>
      <c r="F113" s="210" t="s">
        <v>94</v>
      </c>
      <c r="G113" s="210" t="s">
        <v>737</v>
      </c>
      <c r="H113" s="197">
        <v>0</v>
      </c>
      <c r="I113" s="210" t="s">
        <v>225</v>
      </c>
      <c r="J113" s="210">
        <v>2020</v>
      </c>
      <c r="K113" s="210">
        <v>2020</v>
      </c>
      <c r="L113" s="268" t="str">
        <f t="shared" si="23"/>
        <v>Simple</v>
      </c>
      <c r="M113" s="197">
        <v>4872.9115045259232</v>
      </c>
      <c r="N113" s="197">
        <v>8970.5870878772639</v>
      </c>
      <c r="O113" s="257">
        <f>IF(ISNA(MATCH(H113,'Operating leases'!$B$32:$B$43,0)),0,INDEX('Operating leases'!$M$32:$S$43,MATCH(H113,'Operating leases'!$B$32:$B$43,0),MATCH(J113,'Operating leases'!$M$11:$S$11,0)))</f>
        <v>0</v>
      </c>
      <c r="P113" s="257">
        <f t="shared" si="24"/>
        <v>4872.9115045259232</v>
      </c>
      <c r="Q113" s="257">
        <f t="shared" si="25"/>
        <v>13843.498592403186</v>
      </c>
      <c r="R113" s="258">
        <f>INDEX('Escalators '!$M$124:$S$129,MATCH(I113,'Escalators '!$B$124:$B$129,0),MATCH(J113,'Escalators '!$M$113:$S$113,0))</f>
        <v>1</v>
      </c>
      <c r="S113" s="257">
        <f t="shared" si="26"/>
        <v>0</v>
      </c>
      <c r="T113" s="257">
        <f t="shared" si="27"/>
        <v>8970.5870878772639</v>
      </c>
      <c r="U113" s="269">
        <f t="shared" si="28"/>
        <v>4872.9115045259223</v>
      </c>
      <c r="V113" s="269">
        <f t="shared" si="29"/>
        <v>13843.498592403186</v>
      </c>
      <c r="W113" s="269">
        <f t="shared" si="30"/>
        <v>4872.9115045259223</v>
      </c>
      <c r="X113" s="257">
        <f t="shared" si="31"/>
        <v>13843.498592403186</v>
      </c>
      <c r="Y113" s="270">
        <f>IF(L113="Complex",(INDEX('Escalators '!$M$176:$S$176,MATCH('Forecast capex'!J113,'Escalators '!$M$178:$S$178,0))/12+1)^((K113-J113)*12)-1,0)</f>
        <v>0</v>
      </c>
      <c r="Z113" s="257">
        <f t="shared" si="32"/>
        <v>0</v>
      </c>
      <c r="AA113" s="257">
        <f t="shared" si="33"/>
        <v>0</v>
      </c>
      <c r="AB113" s="269">
        <f t="shared" si="34"/>
        <v>0</v>
      </c>
      <c r="AC113" s="269">
        <f t="shared" si="35"/>
        <v>0</v>
      </c>
      <c r="AD113" s="271" t="str">
        <f>INDEX('Global inputs'!$C$134:$C$171,MATCH(F113,'Global inputs'!$B$134:$B$171,0))</f>
        <v>Consumer connection</v>
      </c>
      <c r="AE113" s="272">
        <f>IF(OR(H113='Operating leases'!$B$32,H113='Operating leases'!$B$33),"",INDEX('Global inputs'!$C$186:$C$243,MATCH(E113,'Global inputs'!$B$186:$B$243,0)))</f>
        <v>0.1</v>
      </c>
    </row>
    <row r="114" spans="1:31" s="27" customFormat="1" x14ac:dyDescent="0.2">
      <c r="A114" s="250"/>
      <c r="B114" s="210" t="s">
        <v>714</v>
      </c>
      <c r="C114" s="210" t="s">
        <v>287</v>
      </c>
      <c r="D114" s="210" t="s">
        <v>729</v>
      </c>
      <c r="E114" s="210" t="s">
        <v>154</v>
      </c>
      <c r="F114" s="210" t="s">
        <v>94</v>
      </c>
      <c r="G114" s="210" t="s">
        <v>737</v>
      </c>
      <c r="H114" s="197">
        <v>0</v>
      </c>
      <c r="I114" s="210" t="s">
        <v>221</v>
      </c>
      <c r="J114" s="210">
        <v>2020</v>
      </c>
      <c r="K114" s="210">
        <v>2020</v>
      </c>
      <c r="L114" s="268" t="str">
        <f t="shared" si="23"/>
        <v>Simple</v>
      </c>
      <c r="M114" s="197">
        <v>19491.646018103693</v>
      </c>
      <c r="N114" s="197">
        <v>35882.348351509056</v>
      </c>
      <c r="O114" s="257">
        <f>IF(ISNA(MATCH(H114,'Operating leases'!$B$32:$B$43,0)),0,INDEX('Operating leases'!$M$32:$S$43,MATCH(H114,'Operating leases'!$B$32:$B$43,0),MATCH(J114,'Operating leases'!$M$11:$S$11,0)))</f>
        <v>0</v>
      </c>
      <c r="P114" s="257">
        <f t="shared" si="24"/>
        <v>19491.646018103693</v>
      </c>
      <c r="Q114" s="257">
        <f t="shared" si="25"/>
        <v>55373.994369612745</v>
      </c>
      <c r="R114" s="258">
        <f>INDEX('Escalators '!$M$124:$S$129,MATCH(I114,'Escalators '!$B$124:$B$129,0),MATCH(J114,'Escalators '!$M$113:$S$113,0))</f>
        <v>1</v>
      </c>
      <c r="S114" s="257">
        <f t="shared" si="26"/>
        <v>0</v>
      </c>
      <c r="T114" s="257">
        <f t="shared" si="27"/>
        <v>35882.348351509056</v>
      </c>
      <c r="U114" s="269">
        <f t="shared" si="28"/>
        <v>19491.646018103689</v>
      </c>
      <c r="V114" s="269">
        <f t="shared" si="29"/>
        <v>55373.994369612745</v>
      </c>
      <c r="W114" s="269">
        <f t="shared" si="30"/>
        <v>19491.646018103689</v>
      </c>
      <c r="X114" s="257">
        <f t="shared" si="31"/>
        <v>55373.994369612745</v>
      </c>
      <c r="Y114" s="270">
        <f>IF(L114="Complex",(INDEX('Escalators '!$M$176:$S$176,MATCH('Forecast capex'!J114,'Escalators '!$M$178:$S$178,0))/12+1)^((K114-J114)*12)-1,0)</f>
        <v>0</v>
      </c>
      <c r="Z114" s="257">
        <f t="shared" si="32"/>
        <v>0</v>
      </c>
      <c r="AA114" s="257">
        <f t="shared" si="33"/>
        <v>0</v>
      </c>
      <c r="AB114" s="269">
        <f t="shared" si="34"/>
        <v>0</v>
      </c>
      <c r="AC114" s="269">
        <f t="shared" si="35"/>
        <v>0</v>
      </c>
      <c r="AD114" s="271" t="str">
        <f>INDEX('Global inputs'!$C$134:$C$171,MATCH(F114,'Global inputs'!$B$134:$B$171,0))</f>
        <v>Consumer connection</v>
      </c>
      <c r="AE114" s="272">
        <f>IF(OR(H114='Operating leases'!$B$32,H114='Operating leases'!$B$33),"",INDEX('Global inputs'!$C$186:$C$243,MATCH(E114,'Global inputs'!$B$186:$B$243,0)))</f>
        <v>0.1</v>
      </c>
    </row>
    <row r="115" spans="1:31" s="27" customFormat="1" x14ac:dyDescent="0.2">
      <c r="A115" s="250"/>
      <c r="B115" s="210" t="s">
        <v>714</v>
      </c>
      <c r="C115" s="210" t="s">
        <v>291</v>
      </c>
      <c r="D115" s="210">
        <v>0</v>
      </c>
      <c r="E115" s="210" t="s">
        <v>176</v>
      </c>
      <c r="F115" s="210" t="s">
        <v>94</v>
      </c>
      <c r="G115" s="210" t="s">
        <v>229</v>
      </c>
      <c r="H115" s="197">
        <v>0</v>
      </c>
      <c r="I115" s="210" t="s">
        <v>229</v>
      </c>
      <c r="J115" s="210">
        <v>2020</v>
      </c>
      <c r="K115" s="210">
        <v>2020</v>
      </c>
      <c r="L115" s="268" t="str">
        <f t="shared" si="23"/>
        <v>Simple</v>
      </c>
      <c r="M115" s="197">
        <v>3045.5696903287017</v>
      </c>
      <c r="N115" s="197">
        <v>5606.6169299232897</v>
      </c>
      <c r="O115" s="257">
        <f>IF(ISNA(MATCH(H115,'Operating leases'!$B$32:$B$43,0)),0,INDEX('Operating leases'!$M$32:$S$43,MATCH(H115,'Operating leases'!$B$32:$B$43,0),MATCH(J115,'Operating leases'!$M$11:$S$11,0)))</f>
        <v>0</v>
      </c>
      <c r="P115" s="257">
        <f t="shared" si="24"/>
        <v>3045.5696903287017</v>
      </c>
      <c r="Q115" s="257">
        <f t="shared" si="25"/>
        <v>8652.1866202519923</v>
      </c>
      <c r="R115" s="258">
        <f>INDEX('Escalators '!$M$124:$S$129,MATCH(I115,'Escalators '!$B$124:$B$129,0),MATCH(J115,'Escalators '!$M$113:$S$113,0))</f>
        <v>1</v>
      </c>
      <c r="S115" s="257">
        <f t="shared" si="26"/>
        <v>0</v>
      </c>
      <c r="T115" s="257">
        <f t="shared" si="27"/>
        <v>5606.6169299232897</v>
      </c>
      <c r="U115" s="269">
        <f t="shared" si="28"/>
        <v>3045.5696903287026</v>
      </c>
      <c r="V115" s="269">
        <f t="shared" si="29"/>
        <v>8652.1866202519923</v>
      </c>
      <c r="W115" s="269">
        <f t="shared" si="30"/>
        <v>3045.5696903287026</v>
      </c>
      <c r="X115" s="257">
        <f t="shared" si="31"/>
        <v>8652.1866202519923</v>
      </c>
      <c r="Y115" s="270">
        <f>IF(L115="Complex",(INDEX('Escalators '!$M$176:$S$176,MATCH('Forecast capex'!J115,'Escalators '!$M$178:$S$178,0))/12+1)^((K115-J115)*12)-1,0)</f>
        <v>0</v>
      </c>
      <c r="Z115" s="257">
        <f t="shared" si="32"/>
        <v>0</v>
      </c>
      <c r="AA115" s="257">
        <f t="shared" si="33"/>
        <v>0</v>
      </c>
      <c r="AB115" s="269">
        <f t="shared" si="34"/>
        <v>0</v>
      </c>
      <c r="AC115" s="269">
        <f t="shared" si="35"/>
        <v>0</v>
      </c>
      <c r="AD115" s="271" t="str">
        <f>INDEX('Global inputs'!$C$134:$C$171,MATCH(F115,'Global inputs'!$B$134:$B$171,0))</f>
        <v>Consumer connection</v>
      </c>
      <c r="AE115" s="272">
        <f>IF(OR(H115='Operating leases'!$B$32,H115='Operating leases'!$B$33),"",INDEX('Global inputs'!$C$186:$C$243,MATCH(E115,'Global inputs'!$B$186:$B$243,0)))</f>
        <v>0.1</v>
      </c>
    </row>
    <row r="116" spans="1:31" s="27" customFormat="1" x14ac:dyDescent="0.2">
      <c r="A116" s="250"/>
      <c r="B116" s="210" t="s">
        <v>738</v>
      </c>
      <c r="C116" s="210" t="s">
        <v>292</v>
      </c>
      <c r="D116" s="210" t="s">
        <v>739</v>
      </c>
      <c r="E116" s="210" t="s">
        <v>178</v>
      </c>
      <c r="F116" s="210" t="s">
        <v>91</v>
      </c>
      <c r="G116" s="210" t="s">
        <v>137</v>
      </c>
      <c r="H116" s="197">
        <v>0</v>
      </c>
      <c r="I116" s="210" t="s">
        <v>229</v>
      </c>
      <c r="J116" s="210">
        <v>2020</v>
      </c>
      <c r="K116" s="210">
        <v>2020</v>
      </c>
      <c r="L116" s="268" t="str">
        <f t="shared" si="23"/>
        <v>Simple</v>
      </c>
      <c r="M116" s="197">
        <v>77720.2</v>
      </c>
      <c r="N116" s="197">
        <v>0</v>
      </c>
      <c r="O116" s="257">
        <f>IF(ISNA(MATCH(H116,'Operating leases'!$B$32:$B$43,0)),0,INDEX('Operating leases'!$M$32:$S$43,MATCH(H116,'Operating leases'!$B$32:$B$43,0),MATCH(J116,'Operating leases'!$M$11:$S$11,0)))</f>
        <v>0</v>
      </c>
      <c r="P116" s="257">
        <f t="shared" si="24"/>
        <v>77720.2</v>
      </c>
      <c r="Q116" s="257">
        <f t="shared" si="25"/>
        <v>77720.2</v>
      </c>
      <c r="R116" s="258">
        <f>INDEX('Escalators '!$M$124:$S$129,MATCH(I116,'Escalators '!$B$124:$B$129,0),MATCH(J116,'Escalators '!$M$113:$S$113,0))</f>
        <v>1</v>
      </c>
      <c r="S116" s="257">
        <f t="shared" si="26"/>
        <v>0</v>
      </c>
      <c r="T116" s="257">
        <f t="shared" si="27"/>
        <v>0</v>
      </c>
      <c r="U116" s="269">
        <f t="shared" si="28"/>
        <v>77720.2</v>
      </c>
      <c r="V116" s="269">
        <f t="shared" si="29"/>
        <v>77720.2</v>
      </c>
      <c r="W116" s="269">
        <f t="shared" si="30"/>
        <v>77720.2</v>
      </c>
      <c r="X116" s="257">
        <f t="shared" si="31"/>
        <v>77720.2</v>
      </c>
      <c r="Y116" s="270">
        <f>IF(L116="Complex",(INDEX('Escalators '!$M$176:$S$176,MATCH('Forecast capex'!J116,'Escalators '!$M$178:$S$178,0))/12+1)^((K116-J116)*12)-1,0)</f>
        <v>0</v>
      </c>
      <c r="Z116" s="257">
        <f t="shared" si="32"/>
        <v>0</v>
      </c>
      <c r="AA116" s="257">
        <f t="shared" si="33"/>
        <v>0</v>
      </c>
      <c r="AB116" s="269">
        <f t="shared" si="34"/>
        <v>0</v>
      </c>
      <c r="AC116" s="269">
        <f t="shared" si="35"/>
        <v>0</v>
      </c>
      <c r="AD116" s="271" t="str">
        <f>INDEX('Global inputs'!$C$134:$C$171,MATCH(F116,'Global inputs'!$B$134:$B$171,0))</f>
        <v>Non-network CAPEX</v>
      </c>
      <c r="AE116" s="272">
        <f>IF(OR(H116='Operating leases'!$B$32,H116='Operating leases'!$B$33),"",INDEX('Global inputs'!$C$186:$C$243,MATCH(E116,'Global inputs'!$B$186:$B$243,0)))</f>
        <v>0</v>
      </c>
    </row>
    <row r="117" spans="1:31" s="27" customFormat="1" x14ac:dyDescent="0.2">
      <c r="A117" s="250"/>
      <c r="B117" s="210" t="s">
        <v>738</v>
      </c>
      <c r="C117" s="210" t="s">
        <v>292</v>
      </c>
      <c r="D117" s="210" t="s">
        <v>739</v>
      </c>
      <c r="E117" s="210" t="s">
        <v>179</v>
      </c>
      <c r="F117" s="210" t="s">
        <v>91</v>
      </c>
      <c r="G117" s="210" t="s">
        <v>740</v>
      </c>
      <c r="H117" s="197">
        <v>0</v>
      </c>
      <c r="I117" s="210" t="s">
        <v>229</v>
      </c>
      <c r="J117" s="210">
        <v>2020</v>
      </c>
      <c r="K117" s="210">
        <v>2020</v>
      </c>
      <c r="L117" s="268" t="str">
        <f t="shared" si="23"/>
        <v>Simple</v>
      </c>
      <c r="M117" s="197">
        <v>388601</v>
      </c>
      <c r="N117" s="197">
        <v>0</v>
      </c>
      <c r="O117" s="257">
        <f>IF(ISNA(MATCH(H117,'Operating leases'!$B$32:$B$43,0)),0,INDEX('Operating leases'!$M$32:$S$43,MATCH(H117,'Operating leases'!$B$32:$B$43,0),MATCH(J117,'Operating leases'!$M$11:$S$11,0)))</f>
        <v>0</v>
      </c>
      <c r="P117" s="257">
        <f t="shared" si="24"/>
        <v>388601</v>
      </c>
      <c r="Q117" s="257">
        <f t="shared" si="25"/>
        <v>388601</v>
      </c>
      <c r="R117" s="258">
        <f>INDEX('Escalators '!$M$124:$S$129,MATCH(I117,'Escalators '!$B$124:$B$129,0),MATCH(J117,'Escalators '!$M$113:$S$113,0))</f>
        <v>1</v>
      </c>
      <c r="S117" s="257">
        <f t="shared" si="26"/>
        <v>0</v>
      </c>
      <c r="T117" s="257">
        <f t="shared" si="27"/>
        <v>0</v>
      </c>
      <c r="U117" s="269">
        <f t="shared" si="28"/>
        <v>388601</v>
      </c>
      <c r="V117" s="269">
        <f t="shared" si="29"/>
        <v>388601</v>
      </c>
      <c r="W117" s="269">
        <f t="shared" si="30"/>
        <v>388601</v>
      </c>
      <c r="X117" s="257">
        <f t="shared" si="31"/>
        <v>388601</v>
      </c>
      <c r="Y117" s="270">
        <f>IF(L117="Complex",(INDEX('Escalators '!$M$176:$S$176,MATCH('Forecast capex'!J117,'Escalators '!$M$178:$S$178,0))/12+1)^((K117-J117)*12)-1,0)</f>
        <v>0</v>
      </c>
      <c r="Z117" s="257">
        <f t="shared" si="32"/>
        <v>0</v>
      </c>
      <c r="AA117" s="257">
        <f t="shared" si="33"/>
        <v>0</v>
      </c>
      <c r="AB117" s="269">
        <f t="shared" si="34"/>
        <v>0</v>
      </c>
      <c r="AC117" s="269">
        <f t="shared" si="35"/>
        <v>0</v>
      </c>
      <c r="AD117" s="271" t="str">
        <f>INDEX('Global inputs'!$C$134:$C$171,MATCH(F117,'Global inputs'!$B$134:$B$171,0))</f>
        <v>Non-network CAPEX</v>
      </c>
      <c r="AE117" s="272">
        <f>IF(OR(H117='Operating leases'!$B$32,H117='Operating leases'!$B$33),"",INDEX('Global inputs'!$C$186:$C$243,MATCH(E117,'Global inputs'!$B$186:$B$243,0)))</f>
        <v>0.13</v>
      </c>
    </row>
    <row r="118" spans="1:31" s="27" customFormat="1" x14ac:dyDescent="0.2">
      <c r="A118" s="250"/>
      <c r="B118" s="210" t="s">
        <v>738</v>
      </c>
      <c r="C118" s="210" t="s">
        <v>292</v>
      </c>
      <c r="D118" s="210" t="s">
        <v>739</v>
      </c>
      <c r="E118" s="210" t="s">
        <v>185</v>
      </c>
      <c r="F118" s="210" t="s">
        <v>91</v>
      </c>
      <c r="G118" s="210" t="s">
        <v>741</v>
      </c>
      <c r="H118" s="197">
        <v>0</v>
      </c>
      <c r="I118" s="210" t="s">
        <v>229</v>
      </c>
      <c r="J118" s="210">
        <v>2020</v>
      </c>
      <c r="K118" s="210">
        <v>2020</v>
      </c>
      <c r="L118" s="268" t="str">
        <f t="shared" si="23"/>
        <v>Simple</v>
      </c>
      <c r="M118" s="197">
        <v>310880.8</v>
      </c>
      <c r="N118" s="197">
        <v>0</v>
      </c>
      <c r="O118" s="257">
        <f>IF(ISNA(MATCH(H118,'Operating leases'!$B$32:$B$43,0)),0,INDEX('Operating leases'!$M$32:$S$43,MATCH(H118,'Operating leases'!$B$32:$B$43,0),MATCH(J118,'Operating leases'!$M$11:$S$11,0)))</f>
        <v>0</v>
      </c>
      <c r="P118" s="257">
        <f t="shared" si="24"/>
        <v>310880.8</v>
      </c>
      <c r="Q118" s="257">
        <f t="shared" si="25"/>
        <v>310880.8</v>
      </c>
      <c r="R118" s="258">
        <f>INDEX('Escalators '!$M$124:$S$129,MATCH(I118,'Escalators '!$B$124:$B$129,0),MATCH(J118,'Escalators '!$M$113:$S$113,0))</f>
        <v>1</v>
      </c>
      <c r="S118" s="257">
        <f t="shared" si="26"/>
        <v>0</v>
      </c>
      <c r="T118" s="257">
        <f t="shared" si="27"/>
        <v>0</v>
      </c>
      <c r="U118" s="269">
        <f t="shared" si="28"/>
        <v>310880.8</v>
      </c>
      <c r="V118" s="269">
        <f t="shared" si="29"/>
        <v>310880.8</v>
      </c>
      <c r="W118" s="269">
        <f t="shared" si="30"/>
        <v>310880.8</v>
      </c>
      <c r="X118" s="257">
        <f t="shared" si="31"/>
        <v>310880.8</v>
      </c>
      <c r="Y118" s="270">
        <f>IF(L118="Complex",(INDEX('Escalators '!$M$176:$S$176,MATCH('Forecast capex'!J118,'Escalators '!$M$178:$S$178,0))/12+1)^((K118-J118)*12)-1,0)</f>
        <v>0</v>
      </c>
      <c r="Z118" s="257">
        <f t="shared" si="32"/>
        <v>0</v>
      </c>
      <c r="AA118" s="257">
        <f t="shared" si="33"/>
        <v>0</v>
      </c>
      <c r="AB118" s="269">
        <f t="shared" si="34"/>
        <v>0</v>
      </c>
      <c r="AC118" s="269">
        <f t="shared" si="35"/>
        <v>0</v>
      </c>
      <c r="AD118" s="271" t="str">
        <f>INDEX('Global inputs'!$C$134:$C$171,MATCH(F118,'Global inputs'!$B$134:$B$171,0))</f>
        <v>Non-network CAPEX</v>
      </c>
      <c r="AE118" s="272">
        <f>IF(OR(H118='Operating leases'!$B$32,H118='Operating leases'!$B$33),"",INDEX('Global inputs'!$C$186:$C$243,MATCH(E118,'Global inputs'!$B$186:$B$243,0)))</f>
        <v>0.2</v>
      </c>
    </row>
    <row r="119" spans="1:31" s="27" customFormat="1" x14ac:dyDescent="0.2">
      <c r="A119" s="250"/>
      <c r="B119" s="210" t="s">
        <v>742</v>
      </c>
      <c r="C119" s="210" t="s">
        <v>289</v>
      </c>
      <c r="D119" s="210" t="s">
        <v>723</v>
      </c>
      <c r="E119" s="210" t="s">
        <v>163</v>
      </c>
      <c r="F119" s="210" t="s">
        <v>115</v>
      </c>
      <c r="G119" s="210" t="s">
        <v>725</v>
      </c>
      <c r="H119" s="197">
        <v>0</v>
      </c>
      <c r="I119" s="210" t="s">
        <v>139</v>
      </c>
      <c r="J119" s="210">
        <v>2020</v>
      </c>
      <c r="K119" s="210">
        <v>2020</v>
      </c>
      <c r="L119" s="268" t="str">
        <f t="shared" si="23"/>
        <v>Simple</v>
      </c>
      <c r="M119" s="197">
        <v>1087160</v>
      </c>
      <c r="N119" s="197">
        <v>0</v>
      </c>
      <c r="O119" s="257">
        <f>IF(ISNA(MATCH(H119,'Operating leases'!$B$32:$B$43,0)),0,INDEX('Operating leases'!$M$32:$S$43,MATCH(H119,'Operating leases'!$B$32:$B$43,0),MATCH(J119,'Operating leases'!$M$11:$S$11,0)))</f>
        <v>0</v>
      </c>
      <c r="P119" s="257">
        <f t="shared" si="24"/>
        <v>1087160</v>
      </c>
      <c r="Q119" s="257">
        <f t="shared" si="25"/>
        <v>1087160</v>
      </c>
      <c r="R119" s="258">
        <f>INDEX('Escalators '!$M$124:$S$129,MATCH(I119,'Escalators '!$B$124:$B$129,0),MATCH(J119,'Escalators '!$M$113:$S$113,0))</f>
        <v>1</v>
      </c>
      <c r="S119" s="257">
        <f t="shared" si="26"/>
        <v>0</v>
      </c>
      <c r="T119" s="257">
        <f t="shared" si="27"/>
        <v>0</v>
      </c>
      <c r="U119" s="269">
        <f t="shared" si="28"/>
        <v>1087160</v>
      </c>
      <c r="V119" s="269">
        <f t="shared" si="29"/>
        <v>1087160</v>
      </c>
      <c r="W119" s="269">
        <f t="shared" si="30"/>
        <v>1087160</v>
      </c>
      <c r="X119" s="257">
        <f t="shared" si="31"/>
        <v>1087160</v>
      </c>
      <c r="Y119" s="270">
        <f>IF(L119="Complex",(INDEX('Escalators '!$M$176:$S$176,MATCH('Forecast capex'!J119,'Escalators '!$M$178:$S$178,0))/12+1)^((K119-J119)*12)-1,0)</f>
        <v>0</v>
      </c>
      <c r="Z119" s="257">
        <f t="shared" si="32"/>
        <v>0</v>
      </c>
      <c r="AA119" s="257">
        <f t="shared" si="33"/>
        <v>0</v>
      </c>
      <c r="AB119" s="269">
        <f t="shared" si="34"/>
        <v>0</v>
      </c>
      <c r="AC119" s="269">
        <f t="shared" si="35"/>
        <v>0</v>
      </c>
      <c r="AD119" s="271" t="str">
        <f>INDEX('Global inputs'!$C$134:$C$171,MATCH(F119,'Global inputs'!$B$134:$B$171,0))</f>
        <v>Asset replacement and renewal</v>
      </c>
      <c r="AE119" s="272">
        <f>IF(OR(H119='Operating leases'!$B$32,H119='Operating leases'!$B$33),"",INDEX('Global inputs'!$C$186:$C$243,MATCH(E119,'Global inputs'!$B$186:$B$243,0)))</f>
        <v>0.08</v>
      </c>
    </row>
    <row r="120" spans="1:31" s="27" customFormat="1" x14ac:dyDescent="0.2">
      <c r="A120" s="250"/>
      <c r="B120" s="210" t="s">
        <v>742</v>
      </c>
      <c r="C120" s="210" t="s">
        <v>289</v>
      </c>
      <c r="D120" s="210" t="s">
        <v>723</v>
      </c>
      <c r="E120" s="210" t="s">
        <v>163</v>
      </c>
      <c r="F120" s="210" t="s">
        <v>115</v>
      </c>
      <c r="G120" s="210" t="s">
        <v>725</v>
      </c>
      <c r="H120" s="197">
        <v>0</v>
      </c>
      <c r="I120" s="210" t="s">
        <v>221</v>
      </c>
      <c r="J120" s="210">
        <v>2020</v>
      </c>
      <c r="K120" s="210">
        <v>2020</v>
      </c>
      <c r="L120" s="268" t="str">
        <f t="shared" si="23"/>
        <v>Simple</v>
      </c>
      <c r="M120" s="197">
        <v>271790</v>
      </c>
      <c r="N120" s="197">
        <v>0</v>
      </c>
      <c r="O120" s="257">
        <f>IF(ISNA(MATCH(H120,'Operating leases'!$B$32:$B$43,0)),0,INDEX('Operating leases'!$M$32:$S$43,MATCH(H120,'Operating leases'!$B$32:$B$43,0),MATCH(J120,'Operating leases'!$M$11:$S$11,0)))</f>
        <v>0</v>
      </c>
      <c r="P120" s="257">
        <f t="shared" si="24"/>
        <v>271790</v>
      </c>
      <c r="Q120" s="257">
        <f t="shared" si="25"/>
        <v>271790</v>
      </c>
      <c r="R120" s="258">
        <f>INDEX('Escalators '!$M$124:$S$129,MATCH(I120,'Escalators '!$B$124:$B$129,0),MATCH(J120,'Escalators '!$M$113:$S$113,0))</f>
        <v>1</v>
      </c>
      <c r="S120" s="257">
        <f t="shared" si="26"/>
        <v>0</v>
      </c>
      <c r="T120" s="257">
        <f t="shared" si="27"/>
        <v>0</v>
      </c>
      <c r="U120" s="269">
        <f t="shared" si="28"/>
        <v>271790</v>
      </c>
      <c r="V120" s="269">
        <f t="shared" si="29"/>
        <v>271790</v>
      </c>
      <c r="W120" s="269">
        <f t="shared" si="30"/>
        <v>271790</v>
      </c>
      <c r="X120" s="257">
        <f t="shared" si="31"/>
        <v>271790</v>
      </c>
      <c r="Y120" s="270">
        <f>IF(L120="Complex",(INDEX('Escalators '!$M$176:$S$176,MATCH('Forecast capex'!J120,'Escalators '!$M$178:$S$178,0))/12+1)^((K120-J120)*12)-1,0)</f>
        <v>0</v>
      </c>
      <c r="Z120" s="257">
        <f t="shared" si="32"/>
        <v>0</v>
      </c>
      <c r="AA120" s="257">
        <f t="shared" si="33"/>
        <v>0</v>
      </c>
      <c r="AB120" s="269">
        <f t="shared" si="34"/>
        <v>0</v>
      </c>
      <c r="AC120" s="269">
        <f t="shared" si="35"/>
        <v>0</v>
      </c>
      <c r="AD120" s="271" t="str">
        <f>INDEX('Global inputs'!$C$134:$C$171,MATCH(F120,'Global inputs'!$B$134:$B$171,0))</f>
        <v>Asset replacement and renewal</v>
      </c>
      <c r="AE120" s="272">
        <f>IF(OR(H120='Operating leases'!$B$32,H120='Operating leases'!$B$33),"",INDEX('Global inputs'!$C$186:$C$243,MATCH(E120,'Global inputs'!$B$186:$B$243,0)))</f>
        <v>0.08</v>
      </c>
    </row>
    <row r="121" spans="1:31" s="27" customFormat="1" x14ac:dyDescent="0.2">
      <c r="A121" s="250"/>
      <c r="B121" s="210" t="s">
        <v>714</v>
      </c>
      <c r="C121" s="210" t="s">
        <v>290</v>
      </c>
      <c r="D121" s="210" t="s">
        <v>718</v>
      </c>
      <c r="E121" s="210" t="s">
        <v>171</v>
      </c>
      <c r="F121" s="210" t="s">
        <v>98</v>
      </c>
      <c r="G121" s="210" t="s">
        <v>743</v>
      </c>
      <c r="H121" s="197">
        <v>0</v>
      </c>
      <c r="I121" s="210" t="s">
        <v>229</v>
      </c>
      <c r="J121" s="210">
        <v>2020</v>
      </c>
      <c r="K121" s="210">
        <v>2020</v>
      </c>
      <c r="L121" s="268" t="str">
        <f t="shared" si="23"/>
        <v>Simple</v>
      </c>
      <c r="M121" s="197">
        <v>694475.59125366213</v>
      </c>
      <c r="N121" s="197">
        <v>0</v>
      </c>
      <c r="O121" s="257">
        <f>IF(ISNA(MATCH(H121,'Operating leases'!$B$32:$B$43,0)),0,INDEX('Operating leases'!$M$32:$S$43,MATCH(H121,'Operating leases'!$B$32:$B$43,0),MATCH(J121,'Operating leases'!$M$11:$S$11,0)))</f>
        <v>0</v>
      </c>
      <c r="P121" s="257">
        <f t="shared" si="24"/>
        <v>694475.59125366213</v>
      </c>
      <c r="Q121" s="257">
        <f t="shared" si="25"/>
        <v>694475.59125366213</v>
      </c>
      <c r="R121" s="258">
        <f>INDEX('Escalators '!$M$124:$S$129,MATCH(I121,'Escalators '!$B$124:$B$129,0),MATCH(J121,'Escalators '!$M$113:$S$113,0))</f>
        <v>1</v>
      </c>
      <c r="S121" s="257">
        <f t="shared" si="26"/>
        <v>0</v>
      </c>
      <c r="T121" s="257">
        <f t="shared" si="27"/>
        <v>0</v>
      </c>
      <c r="U121" s="269">
        <f t="shared" si="28"/>
        <v>694475.59125366213</v>
      </c>
      <c r="V121" s="269">
        <f t="shared" si="29"/>
        <v>694475.59125366213</v>
      </c>
      <c r="W121" s="269">
        <f t="shared" si="30"/>
        <v>694475.59125366213</v>
      </c>
      <c r="X121" s="257">
        <f t="shared" si="31"/>
        <v>694475.59125366213</v>
      </c>
      <c r="Y121" s="270">
        <f>IF(L121="Complex",(INDEX('Escalators '!$M$176:$S$176,MATCH('Forecast capex'!J121,'Escalators '!$M$178:$S$178,0))/12+1)^((K121-J121)*12)-1,0)</f>
        <v>0</v>
      </c>
      <c r="Z121" s="257">
        <f t="shared" si="32"/>
        <v>0</v>
      </c>
      <c r="AA121" s="257">
        <f t="shared" si="33"/>
        <v>0</v>
      </c>
      <c r="AB121" s="269">
        <f t="shared" si="34"/>
        <v>0</v>
      </c>
      <c r="AC121" s="269">
        <f t="shared" si="35"/>
        <v>0</v>
      </c>
      <c r="AD121" s="271" t="str">
        <f>INDEX('Global inputs'!$C$134:$C$171,MATCH(F121,'Global inputs'!$B$134:$B$171,0))</f>
        <v>Quality of supply</v>
      </c>
      <c r="AE121" s="272">
        <f>IF(OR(H121='Operating leases'!$B$32,H121='Operating leases'!$B$33),"",INDEX('Global inputs'!$C$186:$C$243,MATCH(E121,'Global inputs'!$B$186:$B$243,0)))</f>
        <v>0.08</v>
      </c>
    </row>
    <row r="122" spans="1:31" s="27" customFormat="1" x14ac:dyDescent="0.2">
      <c r="A122" s="250"/>
      <c r="B122" s="210" t="s">
        <v>714</v>
      </c>
      <c r="C122" s="210" t="s">
        <v>290</v>
      </c>
      <c r="D122" s="210" t="s">
        <v>718</v>
      </c>
      <c r="E122" s="210" t="s">
        <v>171</v>
      </c>
      <c r="F122" s="210" t="s">
        <v>98</v>
      </c>
      <c r="G122" s="210" t="s">
        <v>743</v>
      </c>
      <c r="H122" s="197">
        <v>0</v>
      </c>
      <c r="I122" s="210" t="s">
        <v>221</v>
      </c>
      <c r="J122" s="210">
        <v>2020</v>
      </c>
      <c r="K122" s="210">
        <v>2020</v>
      </c>
      <c r="L122" s="268" t="str">
        <f t="shared" si="23"/>
        <v>Simple</v>
      </c>
      <c r="M122" s="197">
        <v>462983.72750244144</v>
      </c>
      <c r="N122" s="197">
        <v>0</v>
      </c>
      <c r="O122" s="257">
        <f>IF(ISNA(MATCH(H122,'Operating leases'!$B$32:$B$43,0)),0,INDEX('Operating leases'!$M$32:$S$43,MATCH(H122,'Operating leases'!$B$32:$B$43,0),MATCH(J122,'Operating leases'!$M$11:$S$11,0)))</f>
        <v>0</v>
      </c>
      <c r="P122" s="257">
        <f t="shared" si="24"/>
        <v>462983.72750244144</v>
      </c>
      <c r="Q122" s="257">
        <f t="shared" si="25"/>
        <v>462983.72750244144</v>
      </c>
      <c r="R122" s="258">
        <f>INDEX('Escalators '!$M$124:$S$129,MATCH(I122,'Escalators '!$B$124:$B$129,0),MATCH(J122,'Escalators '!$M$113:$S$113,0))</f>
        <v>1</v>
      </c>
      <c r="S122" s="257">
        <f t="shared" si="26"/>
        <v>0</v>
      </c>
      <c r="T122" s="257">
        <f t="shared" si="27"/>
        <v>0</v>
      </c>
      <c r="U122" s="269">
        <f t="shared" si="28"/>
        <v>462983.72750244144</v>
      </c>
      <c r="V122" s="269">
        <f t="shared" si="29"/>
        <v>462983.72750244144</v>
      </c>
      <c r="W122" s="269">
        <f t="shared" si="30"/>
        <v>462983.72750244144</v>
      </c>
      <c r="X122" s="257">
        <f t="shared" si="31"/>
        <v>462983.72750244144</v>
      </c>
      <c r="Y122" s="270">
        <f>IF(L122="Complex",(INDEX('Escalators '!$M$176:$S$176,MATCH('Forecast capex'!J122,'Escalators '!$M$178:$S$178,0))/12+1)^((K122-J122)*12)-1,0)</f>
        <v>0</v>
      </c>
      <c r="Z122" s="257">
        <f t="shared" si="32"/>
        <v>0</v>
      </c>
      <c r="AA122" s="257">
        <f t="shared" si="33"/>
        <v>0</v>
      </c>
      <c r="AB122" s="269">
        <f t="shared" si="34"/>
        <v>0</v>
      </c>
      <c r="AC122" s="269">
        <f t="shared" si="35"/>
        <v>0</v>
      </c>
      <c r="AD122" s="271" t="str">
        <f>INDEX('Global inputs'!$C$134:$C$171,MATCH(F122,'Global inputs'!$B$134:$B$171,0))</f>
        <v>Quality of supply</v>
      </c>
      <c r="AE122" s="272">
        <f>IF(OR(H122='Operating leases'!$B$32,H122='Operating leases'!$B$33),"",INDEX('Global inputs'!$C$186:$C$243,MATCH(E122,'Global inputs'!$B$186:$B$243,0)))</f>
        <v>0.08</v>
      </c>
    </row>
    <row r="123" spans="1:31" s="27" customFormat="1" x14ac:dyDescent="0.2">
      <c r="A123" s="250"/>
      <c r="B123" s="210" t="s">
        <v>742</v>
      </c>
      <c r="C123" s="210" t="s">
        <v>284</v>
      </c>
      <c r="D123" s="210" t="s">
        <v>729</v>
      </c>
      <c r="E123" s="210" t="s">
        <v>127</v>
      </c>
      <c r="F123" s="210" t="s">
        <v>102</v>
      </c>
      <c r="G123" s="210" t="s">
        <v>730</v>
      </c>
      <c r="H123" s="197">
        <v>0</v>
      </c>
      <c r="I123" s="210" t="s">
        <v>225</v>
      </c>
      <c r="J123" s="210">
        <v>2020</v>
      </c>
      <c r="K123" s="210">
        <v>2020</v>
      </c>
      <c r="L123" s="268" t="str">
        <f t="shared" si="23"/>
        <v>Simple</v>
      </c>
      <c r="M123" s="197">
        <v>187864.44441406251</v>
      </c>
      <c r="N123" s="197">
        <v>0</v>
      </c>
      <c r="O123" s="257">
        <f>IF(ISNA(MATCH(H123,'Operating leases'!$B$32:$B$43,0)),0,INDEX('Operating leases'!$M$32:$S$43,MATCH(H123,'Operating leases'!$B$32:$B$43,0),MATCH(J123,'Operating leases'!$M$11:$S$11,0)))</f>
        <v>0</v>
      </c>
      <c r="P123" s="257">
        <f t="shared" si="24"/>
        <v>187864.44441406251</v>
      </c>
      <c r="Q123" s="257">
        <f t="shared" si="25"/>
        <v>187864.44441406251</v>
      </c>
      <c r="R123" s="258">
        <f>INDEX('Escalators '!$M$124:$S$129,MATCH(I123,'Escalators '!$B$124:$B$129,0),MATCH(J123,'Escalators '!$M$113:$S$113,0))</f>
        <v>1</v>
      </c>
      <c r="S123" s="257">
        <f t="shared" si="26"/>
        <v>0</v>
      </c>
      <c r="T123" s="257">
        <f t="shared" si="27"/>
        <v>0</v>
      </c>
      <c r="U123" s="269">
        <f t="shared" si="28"/>
        <v>187864.44441406251</v>
      </c>
      <c r="V123" s="269">
        <f t="shared" si="29"/>
        <v>187864.44441406251</v>
      </c>
      <c r="W123" s="269">
        <f t="shared" si="30"/>
        <v>187864.44441406251</v>
      </c>
      <c r="X123" s="257">
        <f t="shared" si="31"/>
        <v>187864.44441406251</v>
      </c>
      <c r="Y123" s="270">
        <f>IF(L123="Complex",(INDEX('Escalators '!$M$176:$S$176,MATCH('Forecast capex'!J123,'Escalators '!$M$178:$S$178,0))/12+1)^((K123-J123)*12)-1,0)</f>
        <v>0</v>
      </c>
      <c r="Z123" s="257">
        <f t="shared" si="32"/>
        <v>0</v>
      </c>
      <c r="AA123" s="257">
        <f t="shared" si="33"/>
        <v>0</v>
      </c>
      <c r="AB123" s="269">
        <f t="shared" si="34"/>
        <v>0</v>
      </c>
      <c r="AC123" s="269">
        <f t="shared" si="35"/>
        <v>0</v>
      </c>
      <c r="AD123" s="271" t="str">
        <f>INDEX('Global inputs'!$C$134:$C$171,MATCH(F123,'Global inputs'!$B$134:$B$171,0))</f>
        <v>Asset replacement and renewal</v>
      </c>
      <c r="AE123" s="272">
        <f>IF(OR(H123='Operating leases'!$B$32,H123='Operating leases'!$B$33),"",INDEX('Global inputs'!$C$186:$C$243,MATCH(E123,'Global inputs'!$B$186:$B$243,0)))</f>
        <v>0.08</v>
      </c>
    </row>
    <row r="124" spans="1:31" s="27" customFormat="1" x14ac:dyDescent="0.2">
      <c r="A124" s="250"/>
      <c r="B124" s="210" t="s">
        <v>742</v>
      </c>
      <c r="C124" s="210" t="s">
        <v>284</v>
      </c>
      <c r="D124" s="210" t="s">
        <v>729</v>
      </c>
      <c r="E124" s="210" t="s">
        <v>127</v>
      </c>
      <c r="F124" s="210" t="s">
        <v>102</v>
      </c>
      <c r="G124" s="210" t="s">
        <v>730</v>
      </c>
      <c r="H124" s="197">
        <v>0</v>
      </c>
      <c r="I124" s="210" t="s">
        <v>221</v>
      </c>
      <c r="J124" s="210">
        <v>2020</v>
      </c>
      <c r="K124" s="210">
        <v>2020</v>
      </c>
      <c r="L124" s="268" t="str">
        <f t="shared" si="23"/>
        <v>Simple</v>
      </c>
      <c r="M124" s="197">
        <v>751457.77765625005</v>
      </c>
      <c r="N124" s="197">
        <v>0</v>
      </c>
      <c r="O124" s="257">
        <f>IF(ISNA(MATCH(H124,'Operating leases'!$B$32:$B$43,0)),0,INDEX('Operating leases'!$M$32:$S$43,MATCH(H124,'Operating leases'!$B$32:$B$43,0),MATCH(J124,'Operating leases'!$M$11:$S$11,0)))</f>
        <v>0</v>
      </c>
      <c r="P124" s="257">
        <f t="shared" si="24"/>
        <v>751457.77765625005</v>
      </c>
      <c r="Q124" s="257">
        <f t="shared" si="25"/>
        <v>751457.77765625005</v>
      </c>
      <c r="R124" s="258">
        <f>INDEX('Escalators '!$M$124:$S$129,MATCH(I124,'Escalators '!$B$124:$B$129,0),MATCH(J124,'Escalators '!$M$113:$S$113,0))</f>
        <v>1</v>
      </c>
      <c r="S124" s="257">
        <f t="shared" si="26"/>
        <v>0</v>
      </c>
      <c r="T124" s="257">
        <f t="shared" si="27"/>
        <v>0</v>
      </c>
      <c r="U124" s="269">
        <f t="shared" si="28"/>
        <v>751457.77765625005</v>
      </c>
      <c r="V124" s="269">
        <f t="shared" si="29"/>
        <v>751457.77765625005</v>
      </c>
      <c r="W124" s="269">
        <f t="shared" si="30"/>
        <v>751457.77765625005</v>
      </c>
      <c r="X124" s="257">
        <f t="shared" si="31"/>
        <v>751457.77765625005</v>
      </c>
      <c r="Y124" s="270">
        <f>IF(L124="Complex",(INDEX('Escalators '!$M$176:$S$176,MATCH('Forecast capex'!J124,'Escalators '!$M$178:$S$178,0))/12+1)^((K124-J124)*12)-1,0)</f>
        <v>0</v>
      </c>
      <c r="Z124" s="257">
        <f t="shared" si="32"/>
        <v>0</v>
      </c>
      <c r="AA124" s="257">
        <f t="shared" si="33"/>
        <v>0</v>
      </c>
      <c r="AB124" s="269">
        <f t="shared" si="34"/>
        <v>0</v>
      </c>
      <c r="AC124" s="269">
        <f t="shared" si="35"/>
        <v>0</v>
      </c>
      <c r="AD124" s="271" t="str">
        <f>INDEX('Global inputs'!$C$134:$C$171,MATCH(F124,'Global inputs'!$B$134:$B$171,0))</f>
        <v>Asset replacement and renewal</v>
      </c>
      <c r="AE124" s="272">
        <f>IF(OR(H124='Operating leases'!$B$32,H124='Operating leases'!$B$33),"",INDEX('Global inputs'!$C$186:$C$243,MATCH(E124,'Global inputs'!$B$186:$B$243,0)))</f>
        <v>0.08</v>
      </c>
    </row>
    <row r="125" spans="1:31" s="27" customFormat="1" x14ac:dyDescent="0.2">
      <c r="A125" s="250"/>
      <c r="B125" s="210" t="s">
        <v>742</v>
      </c>
      <c r="C125" s="210" t="s">
        <v>286</v>
      </c>
      <c r="D125" s="210" t="s">
        <v>735</v>
      </c>
      <c r="E125" s="210" t="s">
        <v>147</v>
      </c>
      <c r="F125" s="210" t="s">
        <v>118</v>
      </c>
      <c r="G125" s="210" t="s">
        <v>744</v>
      </c>
      <c r="H125" s="197">
        <v>0</v>
      </c>
      <c r="I125" s="210" t="s">
        <v>229</v>
      </c>
      <c r="J125" s="210">
        <v>2020</v>
      </c>
      <c r="K125" s="210">
        <v>2020</v>
      </c>
      <c r="L125" s="268" t="str">
        <f t="shared" si="23"/>
        <v>Simple</v>
      </c>
      <c r="M125" s="197">
        <v>60047.03999938965</v>
      </c>
      <c r="N125" s="197">
        <v>0</v>
      </c>
      <c r="O125" s="257">
        <f>IF(ISNA(MATCH(H125,'Operating leases'!$B$32:$B$43,0)),0,INDEX('Operating leases'!$M$32:$S$43,MATCH(H125,'Operating leases'!$B$32:$B$43,0),MATCH(J125,'Operating leases'!$M$11:$S$11,0)))</f>
        <v>0</v>
      </c>
      <c r="P125" s="257">
        <f t="shared" si="24"/>
        <v>60047.03999938965</v>
      </c>
      <c r="Q125" s="257">
        <f t="shared" si="25"/>
        <v>60047.03999938965</v>
      </c>
      <c r="R125" s="258">
        <f>INDEX('Escalators '!$M$124:$S$129,MATCH(I125,'Escalators '!$B$124:$B$129,0),MATCH(J125,'Escalators '!$M$113:$S$113,0))</f>
        <v>1</v>
      </c>
      <c r="S125" s="257">
        <f t="shared" si="26"/>
        <v>0</v>
      </c>
      <c r="T125" s="257">
        <f t="shared" si="27"/>
        <v>0</v>
      </c>
      <c r="U125" s="269">
        <f t="shared" si="28"/>
        <v>60047.03999938965</v>
      </c>
      <c r="V125" s="269">
        <f t="shared" si="29"/>
        <v>60047.03999938965</v>
      </c>
      <c r="W125" s="269">
        <f t="shared" si="30"/>
        <v>60047.03999938965</v>
      </c>
      <c r="X125" s="257">
        <f t="shared" si="31"/>
        <v>60047.03999938965</v>
      </c>
      <c r="Y125" s="270">
        <f>IF(L125="Complex",(INDEX('Escalators '!$M$176:$S$176,MATCH('Forecast capex'!J125,'Escalators '!$M$178:$S$178,0))/12+1)^((K125-J125)*12)-1,0)</f>
        <v>0</v>
      </c>
      <c r="Z125" s="257">
        <f t="shared" si="32"/>
        <v>0</v>
      </c>
      <c r="AA125" s="257">
        <f t="shared" si="33"/>
        <v>0</v>
      </c>
      <c r="AB125" s="269">
        <f t="shared" si="34"/>
        <v>0</v>
      </c>
      <c r="AC125" s="269">
        <f t="shared" si="35"/>
        <v>0</v>
      </c>
      <c r="AD125" s="271" t="str">
        <f>INDEX('Global inputs'!$C$134:$C$171,MATCH(F125,'Global inputs'!$B$134:$B$171,0))</f>
        <v>Asset replacement and renewal</v>
      </c>
      <c r="AE125" s="272">
        <f>IF(OR(H125='Operating leases'!$B$32,H125='Operating leases'!$B$33),"",INDEX('Global inputs'!$C$186:$C$243,MATCH(E125,'Global inputs'!$B$186:$B$243,0)))</f>
        <v>0.08</v>
      </c>
    </row>
    <row r="126" spans="1:31" s="27" customFormat="1" x14ac:dyDescent="0.2">
      <c r="A126" s="250"/>
      <c r="B126" s="210" t="s">
        <v>742</v>
      </c>
      <c r="C126" s="210" t="s">
        <v>286</v>
      </c>
      <c r="D126" s="210" t="s">
        <v>735</v>
      </c>
      <c r="E126" s="210" t="s">
        <v>147</v>
      </c>
      <c r="F126" s="210" t="s">
        <v>118</v>
      </c>
      <c r="G126" s="210" t="s">
        <v>744</v>
      </c>
      <c r="H126" s="197">
        <v>0</v>
      </c>
      <c r="I126" s="210" t="s">
        <v>221</v>
      </c>
      <c r="J126" s="210">
        <v>2020</v>
      </c>
      <c r="K126" s="210">
        <v>2020</v>
      </c>
      <c r="L126" s="268" t="str">
        <f t="shared" si="23"/>
        <v>Simple</v>
      </c>
      <c r="M126" s="197">
        <v>240188.1599975586</v>
      </c>
      <c r="N126" s="197">
        <v>0</v>
      </c>
      <c r="O126" s="257">
        <f>IF(ISNA(MATCH(H126,'Operating leases'!$B$32:$B$43,0)),0,INDEX('Operating leases'!$M$32:$S$43,MATCH(H126,'Operating leases'!$B$32:$B$43,0),MATCH(J126,'Operating leases'!$M$11:$S$11,0)))</f>
        <v>0</v>
      </c>
      <c r="P126" s="257">
        <f t="shared" si="24"/>
        <v>240188.1599975586</v>
      </c>
      <c r="Q126" s="257">
        <f t="shared" si="25"/>
        <v>240188.1599975586</v>
      </c>
      <c r="R126" s="258">
        <f>INDEX('Escalators '!$M$124:$S$129,MATCH(I126,'Escalators '!$B$124:$B$129,0),MATCH(J126,'Escalators '!$M$113:$S$113,0))</f>
        <v>1</v>
      </c>
      <c r="S126" s="257">
        <f t="shared" si="26"/>
        <v>0</v>
      </c>
      <c r="T126" s="257">
        <f t="shared" si="27"/>
        <v>0</v>
      </c>
      <c r="U126" s="269">
        <f t="shared" si="28"/>
        <v>240188.1599975586</v>
      </c>
      <c r="V126" s="269">
        <f t="shared" si="29"/>
        <v>240188.1599975586</v>
      </c>
      <c r="W126" s="269">
        <f t="shared" si="30"/>
        <v>240188.1599975586</v>
      </c>
      <c r="X126" s="257">
        <f t="shared" si="31"/>
        <v>240188.1599975586</v>
      </c>
      <c r="Y126" s="270">
        <f>IF(L126="Complex",(INDEX('Escalators '!$M$176:$S$176,MATCH('Forecast capex'!J126,'Escalators '!$M$178:$S$178,0))/12+1)^((K126-J126)*12)-1,0)</f>
        <v>0</v>
      </c>
      <c r="Z126" s="257">
        <f t="shared" si="32"/>
        <v>0</v>
      </c>
      <c r="AA126" s="257">
        <f t="shared" si="33"/>
        <v>0</v>
      </c>
      <c r="AB126" s="269">
        <f t="shared" si="34"/>
        <v>0</v>
      </c>
      <c r="AC126" s="269">
        <f t="shared" si="35"/>
        <v>0</v>
      </c>
      <c r="AD126" s="271" t="str">
        <f>INDEX('Global inputs'!$C$134:$C$171,MATCH(F126,'Global inputs'!$B$134:$B$171,0))</f>
        <v>Asset replacement and renewal</v>
      </c>
      <c r="AE126" s="272">
        <f>IF(OR(H126='Operating leases'!$B$32,H126='Operating leases'!$B$33),"",INDEX('Global inputs'!$C$186:$C$243,MATCH(E126,'Global inputs'!$B$186:$B$243,0)))</f>
        <v>0.08</v>
      </c>
    </row>
    <row r="127" spans="1:31" s="27" customFormat="1" x14ac:dyDescent="0.2">
      <c r="A127" s="250"/>
      <c r="B127" s="210" t="s">
        <v>742</v>
      </c>
      <c r="C127" s="210" t="s">
        <v>289</v>
      </c>
      <c r="D127" s="210" t="s">
        <v>723</v>
      </c>
      <c r="E127" s="210" t="s">
        <v>163</v>
      </c>
      <c r="F127" s="210" t="s">
        <v>106</v>
      </c>
      <c r="G127" s="210" t="s">
        <v>725</v>
      </c>
      <c r="H127" s="197">
        <v>0</v>
      </c>
      <c r="I127" s="210" t="s">
        <v>139</v>
      </c>
      <c r="J127" s="210">
        <v>2020</v>
      </c>
      <c r="K127" s="210">
        <v>2020</v>
      </c>
      <c r="L127" s="268" t="str">
        <f t="shared" si="23"/>
        <v>Simple</v>
      </c>
      <c r="M127" s="197">
        <v>827816.07998046884</v>
      </c>
      <c r="N127" s="197">
        <v>0</v>
      </c>
      <c r="O127" s="257">
        <f>IF(ISNA(MATCH(H127,'Operating leases'!$B$32:$B$43,0)),0,INDEX('Operating leases'!$M$32:$S$43,MATCH(H127,'Operating leases'!$B$32:$B$43,0),MATCH(J127,'Operating leases'!$M$11:$S$11,0)))</f>
        <v>0</v>
      </c>
      <c r="P127" s="257">
        <f t="shared" si="24"/>
        <v>827816.07998046884</v>
      </c>
      <c r="Q127" s="257">
        <f t="shared" si="25"/>
        <v>827816.07998046884</v>
      </c>
      <c r="R127" s="258">
        <f>INDEX('Escalators '!$M$124:$S$129,MATCH(I127,'Escalators '!$B$124:$B$129,0),MATCH(J127,'Escalators '!$M$113:$S$113,0))</f>
        <v>1</v>
      </c>
      <c r="S127" s="257">
        <f t="shared" si="26"/>
        <v>0</v>
      </c>
      <c r="T127" s="257">
        <f t="shared" si="27"/>
        <v>0</v>
      </c>
      <c r="U127" s="269">
        <f t="shared" si="28"/>
        <v>827816.07998046884</v>
      </c>
      <c r="V127" s="269">
        <f t="shared" si="29"/>
        <v>827816.07998046884</v>
      </c>
      <c r="W127" s="269">
        <f t="shared" si="30"/>
        <v>827816.07998046884</v>
      </c>
      <c r="X127" s="257">
        <f t="shared" si="31"/>
        <v>827816.07998046884</v>
      </c>
      <c r="Y127" s="270">
        <f>IF(L127="Complex",(INDEX('Escalators '!$M$176:$S$176,MATCH('Forecast capex'!J127,'Escalators '!$M$178:$S$178,0))/12+1)^((K127-J127)*12)-1,0)</f>
        <v>0</v>
      </c>
      <c r="Z127" s="257">
        <f t="shared" si="32"/>
        <v>0</v>
      </c>
      <c r="AA127" s="257">
        <f t="shared" si="33"/>
        <v>0</v>
      </c>
      <c r="AB127" s="269">
        <f t="shared" si="34"/>
        <v>0</v>
      </c>
      <c r="AC127" s="269">
        <f t="shared" si="35"/>
        <v>0</v>
      </c>
      <c r="AD127" s="271" t="str">
        <f>INDEX('Global inputs'!$C$134:$C$171,MATCH(F127,'Global inputs'!$B$134:$B$171,0))</f>
        <v>Asset replacement and renewal</v>
      </c>
      <c r="AE127" s="272">
        <f>IF(OR(H127='Operating leases'!$B$32,H127='Operating leases'!$B$33),"",INDEX('Global inputs'!$C$186:$C$243,MATCH(E127,'Global inputs'!$B$186:$B$243,0)))</f>
        <v>0.08</v>
      </c>
    </row>
    <row r="128" spans="1:31" s="29" customFormat="1" x14ac:dyDescent="0.2">
      <c r="A128" s="267"/>
      <c r="B128" s="210" t="s">
        <v>742</v>
      </c>
      <c r="C128" s="210" t="s">
        <v>289</v>
      </c>
      <c r="D128" s="210" t="s">
        <v>723</v>
      </c>
      <c r="E128" s="210" t="s">
        <v>163</v>
      </c>
      <c r="F128" s="210" t="s">
        <v>106</v>
      </c>
      <c r="G128" s="210" t="s">
        <v>725</v>
      </c>
      <c r="H128" s="197">
        <v>0</v>
      </c>
      <c r="I128" s="210" t="s">
        <v>221</v>
      </c>
      <c r="J128" s="210">
        <v>2020</v>
      </c>
      <c r="K128" s="210">
        <v>2020</v>
      </c>
      <c r="L128" s="268" t="str">
        <f t="shared" si="23"/>
        <v>Simple</v>
      </c>
      <c r="M128" s="197">
        <v>206954.01999511721</v>
      </c>
      <c r="N128" s="197">
        <v>0</v>
      </c>
      <c r="O128" s="257">
        <f>IF(ISNA(MATCH(H128,'Operating leases'!$B$32:$B$43,0)),0,INDEX('Operating leases'!$M$32:$S$43,MATCH(H128,'Operating leases'!$B$32:$B$43,0),MATCH(J128,'Operating leases'!$M$11:$S$11,0)))</f>
        <v>0</v>
      </c>
      <c r="P128" s="257">
        <f t="shared" si="24"/>
        <v>206954.01999511721</v>
      </c>
      <c r="Q128" s="257">
        <f t="shared" si="25"/>
        <v>206954.01999511721</v>
      </c>
      <c r="R128" s="258">
        <f>INDEX('Escalators '!$M$124:$S$129,MATCH(I128,'Escalators '!$B$124:$B$129,0),MATCH(J128,'Escalators '!$M$113:$S$113,0))</f>
        <v>1</v>
      </c>
      <c r="S128" s="257">
        <f t="shared" si="26"/>
        <v>0</v>
      </c>
      <c r="T128" s="257">
        <f t="shared" si="27"/>
        <v>0</v>
      </c>
      <c r="U128" s="269">
        <f t="shared" si="28"/>
        <v>206954.01999511721</v>
      </c>
      <c r="V128" s="269">
        <f t="shared" si="29"/>
        <v>206954.01999511721</v>
      </c>
      <c r="W128" s="269">
        <f t="shared" si="30"/>
        <v>206954.01999511721</v>
      </c>
      <c r="X128" s="257">
        <f t="shared" si="31"/>
        <v>206954.01999511721</v>
      </c>
      <c r="Y128" s="270">
        <f>IF(L128="Complex",(INDEX('Escalators '!$M$176:$S$176,MATCH('Forecast capex'!J128,'Escalators '!$M$178:$S$178,0))/12+1)^((K128-J128)*12)-1,0)</f>
        <v>0</v>
      </c>
      <c r="Z128" s="257">
        <f t="shared" si="32"/>
        <v>0</v>
      </c>
      <c r="AA128" s="257">
        <f t="shared" si="33"/>
        <v>0</v>
      </c>
      <c r="AB128" s="269">
        <f t="shared" si="34"/>
        <v>0</v>
      </c>
      <c r="AC128" s="269">
        <f t="shared" si="35"/>
        <v>0</v>
      </c>
      <c r="AD128" s="271" t="str">
        <f>INDEX('Global inputs'!$C$134:$C$171,MATCH(F128,'Global inputs'!$B$134:$B$171,0))</f>
        <v>Asset replacement and renewal</v>
      </c>
      <c r="AE128" s="272">
        <f>IF(OR(H128='Operating leases'!$B$32,H128='Operating leases'!$B$33),"",INDEX('Global inputs'!$C$186:$C$243,MATCH(E128,'Global inputs'!$B$186:$B$243,0)))</f>
        <v>0.08</v>
      </c>
    </row>
    <row r="129" spans="1:31" s="29" customFormat="1" x14ac:dyDescent="0.2">
      <c r="A129" s="267"/>
      <c r="B129" s="210" t="s">
        <v>742</v>
      </c>
      <c r="C129" s="210" t="s">
        <v>289</v>
      </c>
      <c r="D129" s="210" t="s">
        <v>723</v>
      </c>
      <c r="E129" s="210" t="s">
        <v>164</v>
      </c>
      <c r="F129" s="210" t="s">
        <v>114</v>
      </c>
      <c r="G129" s="210" t="s">
        <v>724</v>
      </c>
      <c r="H129" s="197">
        <v>0</v>
      </c>
      <c r="I129" s="210" t="s">
        <v>139</v>
      </c>
      <c r="J129" s="210">
        <v>2020</v>
      </c>
      <c r="K129" s="210">
        <v>2020</v>
      </c>
      <c r="L129" s="268" t="str">
        <f t="shared" si="23"/>
        <v>Simple</v>
      </c>
      <c r="M129" s="197">
        <v>80733.248010864263</v>
      </c>
      <c r="N129" s="197">
        <v>0</v>
      </c>
      <c r="O129" s="257">
        <f>IF(ISNA(MATCH(H129,'Operating leases'!$B$32:$B$43,0)),0,INDEX('Operating leases'!$M$32:$S$43,MATCH(H129,'Operating leases'!$B$32:$B$43,0),MATCH(J129,'Operating leases'!$M$11:$S$11,0)))</f>
        <v>0</v>
      </c>
      <c r="P129" s="257">
        <f t="shared" si="24"/>
        <v>80733.248010864263</v>
      </c>
      <c r="Q129" s="257">
        <f t="shared" si="25"/>
        <v>80733.248010864263</v>
      </c>
      <c r="R129" s="258">
        <f>INDEX('Escalators '!$M$124:$S$129,MATCH(I129,'Escalators '!$B$124:$B$129,0),MATCH(J129,'Escalators '!$M$113:$S$113,0))</f>
        <v>1</v>
      </c>
      <c r="S129" s="257">
        <f t="shared" si="26"/>
        <v>0</v>
      </c>
      <c r="T129" s="257">
        <f t="shared" si="27"/>
        <v>0</v>
      </c>
      <c r="U129" s="269">
        <f t="shared" si="28"/>
        <v>80733.248010864263</v>
      </c>
      <c r="V129" s="269">
        <f t="shared" si="29"/>
        <v>80733.248010864263</v>
      </c>
      <c r="W129" s="269">
        <f t="shared" si="30"/>
        <v>80733.248010864263</v>
      </c>
      <c r="X129" s="257">
        <f t="shared" si="31"/>
        <v>80733.248010864263</v>
      </c>
      <c r="Y129" s="270">
        <f>IF(L129="Complex",(INDEX('Escalators '!$M$176:$S$176,MATCH('Forecast capex'!J129,'Escalators '!$M$178:$S$178,0))/12+1)^((K129-J129)*12)-1,0)</f>
        <v>0</v>
      </c>
      <c r="Z129" s="257">
        <f t="shared" si="32"/>
        <v>0</v>
      </c>
      <c r="AA129" s="257">
        <f t="shared" si="33"/>
        <v>0</v>
      </c>
      <c r="AB129" s="269">
        <f t="shared" si="34"/>
        <v>0</v>
      </c>
      <c r="AC129" s="269">
        <f t="shared" si="35"/>
        <v>0</v>
      </c>
      <c r="AD129" s="271" t="str">
        <f>INDEX('Global inputs'!$C$134:$C$171,MATCH(F129,'Global inputs'!$B$134:$B$171,0))</f>
        <v>Asset replacement and renewal</v>
      </c>
      <c r="AE129" s="272">
        <f>IF(OR(H129='Operating leases'!$B$32,H129='Operating leases'!$B$33),"",INDEX('Global inputs'!$C$186:$C$243,MATCH(E129,'Global inputs'!$B$186:$B$243,0)))</f>
        <v>0.08</v>
      </c>
    </row>
    <row r="130" spans="1:31" s="27" customFormat="1" x14ac:dyDescent="0.2">
      <c r="A130" s="250"/>
      <c r="B130" s="210" t="s">
        <v>742</v>
      </c>
      <c r="C130" s="210" t="s">
        <v>289</v>
      </c>
      <c r="D130" s="210" t="s">
        <v>723</v>
      </c>
      <c r="E130" s="210" t="s">
        <v>164</v>
      </c>
      <c r="F130" s="210" t="s">
        <v>114</v>
      </c>
      <c r="G130" s="210" t="s">
        <v>724</v>
      </c>
      <c r="H130" s="197">
        <v>0</v>
      </c>
      <c r="I130" s="210" t="s">
        <v>221</v>
      </c>
      <c r="J130" s="210">
        <v>2020</v>
      </c>
      <c r="K130" s="210">
        <v>2020</v>
      </c>
      <c r="L130" s="268" t="str">
        <f t="shared" si="23"/>
        <v>Simple</v>
      </c>
      <c r="M130" s="197">
        <v>20183.312002716066</v>
      </c>
      <c r="N130" s="197">
        <v>0</v>
      </c>
      <c r="O130" s="257">
        <f>IF(ISNA(MATCH(H130,'Operating leases'!$B$32:$B$43,0)),0,INDEX('Operating leases'!$M$32:$S$43,MATCH(H130,'Operating leases'!$B$32:$B$43,0),MATCH(J130,'Operating leases'!$M$11:$S$11,0)))</f>
        <v>0</v>
      </c>
      <c r="P130" s="257">
        <f t="shared" si="24"/>
        <v>20183.312002716066</v>
      </c>
      <c r="Q130" s="257">
        <f t="shared" si="25"/>
        <v>20183.312002716066</v>
      </c>
      <c r="R130" s="258">
        <f>INDEX('Escalators '!$M$124:$S$129,MATCH(I130,'Escalators '!$B$124:$B$129,0),MATCH(J130,'Escalators '!$M$113:$S$113,0))</f>
        <v>1</v>
      </c>
      <c r="S130" s="257">
        <f t="shared" si="26"/>
        <v>0</v>
      </c>
      <c r="T130" s="257">
        <f t="shared" si="27"/>
        <v>0</v>
      </c>
      <c r="U130" s="269">
        <f t="shared" si="28"/>
        <v>20183.312002716066</v>
      </c>
      <c r="V130" s="269">
        <f t="shared" si="29"/>
        <v>20183.312002716066</v>
      </c>
      <c r="W130" s="269">
        <f t="shared" si="30"/>
        <v>20183.312002716066</v>
      </c>
      <c r="X130" s="257">
        <f t="shared" si="31"/>
        <v>20183.312002716066</v>
      </c>
      <c r="Y130" s="270">
        <f>IF(L130="Complex",(INDEX('Escalators '!$M$176:$S$176,MATCH('Forecast capex'!J130,'Escalators '!$M$178:$S$178,0))/12+1)^((K130-J130)*12)-1,0)</f>
        <v>0</v>
      </c>
      <c r="Z130" s="257">
        <f t="shared" si="32"/>
        <v>0</v>
      </c>
      <c r="AA130" s="257">
        <f t="shared" si="33"/>
        <v>0</v>
      </c>
      <c r="AB130" s="269">
        <f t="shared" si="34"/>
        <v>0</v>
      </c>
      <c r="AC130" s="269">
        <f t="shared" si="35"/>
        <v>0</v>
      </c>
      <c r="AD130" s="271" t="str">
        <f>INDEX('Global inputs'!$C$134:$C$171,MATCH(F130,'Global inputs'!$B$134:$B$171,0))</f>
        <v>Asset replacement and renewal</v>
      </c>
      <c r="AE130" s="272">
        <f>IF(OR(H130='Operating leases'!$B$32,H130='Operating leases'!$B$33),"",INDEX('Global inputs'!$C$186:$C$243,MATCH(E130,'Global inputs'!$B$186:$B$243,0)))</f>
        <v>0.08</v>
      </c>
    </row>
    <row r="131" spans="1:31" s="27" customFormat="1" x14ac:dyDescent="0.2">
      <c r="A131" s="250"/>
      <c r="B131" s="210" t="s">
        <v>742</v>
      </c>
      <c r="C131" s="210" t="s">
        <v>290</v>
      </c>
      <c r="D131" s="210" t="s">
        <v>718</v>
      </c>
      <c r="E131" s="210" t="s">
        <v>170</v>
      </c>
      <c r="F131" s="210" t="s">
        <v>110</v>
      </c>
      <c r="G131" s="210" t="s">
        <v>721</v>
      </c>
      <c r="H131" s="197">
        <v>0</v>
      </c>
      <c r="I131" s="210" t="s">
        <v>229</v>
      </c>
      <c r="J131" s="210">
        <v>2020</v>
      </c>
      <c r="K131" s="210">
        <v>2020</v>
      </c>
      <c r="L131" s="268" t="str">
        <f t="shared" si="23"/>
        <v>Simple</v>
      </c>
      <c r="M131" s="197">
        <v>37500</v>
      </c>
      <c r="N131" s="197">
        <v>0</v>
      </c>
      <c r="O131" s="257">
        <f>IF(ISNA(MATCH(H131,'Operating leases'!$B$32:$B$43,0)),0,INDEX('Operating leases'!$M$32:$S$43,MATCH(H131,'Operating leases'!$B$32:$B$43,0),MATCH(J131,'Operating leases'!$M$11:$S$11,0)))</f>
        <v>0</v>
      </c>
      <c r="P131" s="257">
        <f t="shared" si="24"/>
        <v>37500</v>
      </c>
      <c r="Q131" s="257">
        <f t="shared" si="25"/>
        <v>37500</v>
      </c>
      <c r="R131" s="258">
        <f>INDEX('Escalators '!$M$124:$S$129,MATCH(I131,'Escalators '!$B$124:$B$129,0),MATCH(J131,'Escalators '!$M$113:$S$113,0))</f>
        <v>1</v>
      </c>
      <c r="S131" s="257">
        <f t="shared" si="26"/>
        <v>0</v>
      </c>
      <c r="T131" s="257">
        <f t="shared" si="27"/>
        <v>0</v>
      </c>
      <c r="U131" s="269">
        <f t="shared" si="28"/>
        <v>37500</v>
      </c>
      <c r="V131" s="269">
        <f t="shared" si="29"/>
        <v>37500</v>
      </c>
      <c r="W131" s="269">
        <f t="shared" si="30"/>
        <v>37500</v>
      </c>
      <c r="X131" s="257">
        <f t="shared" si="31"/>
        <v>37500</v>
      </c>
      <c r="Y131" s="270">
        <f>IF(L131="Complex",(INDEX('Escalators '!$M$176:$S$176,MATCH('Forecast capex'!J131,'Escalators '!$M$178:$S$178,0))/12+1)^((K131-J131)*12)-1,0)</f>
        <v>0</v>
      </c>
      <c r="Z131" s="257">
        <f t="shared" si="32"/>
        <v>0</v>
      </c>
      <c r="AA131" s="257">
        <f t="shared" si="33"/>
        <v>0</v>
      </c>
      <c r="AB131" s="269">
        <f t="shared" si="34"/>
        <v>0</v>
      </c>
      <c r="AC131" s="269">
        <f t="shared" si="35"/>
        <v>0</v>
      </c>
      <c r="AD131" s="271" t="str">
        <f>INDEX('Global inputs'!$C$134:$C$171,MATCH(F131,'Global inputs'!$B$134:$B$171,0))</f>
        <v>Asset replacement and renewal</v>
      </c>
      <c r="AE131" s="272">
        <f>IF(OR(H131='Operating leases'!$B$32,H131='Operating leases'!$B$33),"",INDEX('Global inputs'!$C$186:$C$243,MATCH(E131,'Global inputs'!$B$186:$B$243,0)))</f>
        <v>0.08</v>
      </c>
    </row>
    <row r="132" spans="1:31" s="27" customFormat="1" x14ac:dyDescent="0.2">
      <c r="A132" s="250"/>
      <c r="B132" s="210" t="s">
        <v>742</v>
      </c>
      <c r="C132" s="210" t="s">
        <v>290</v>
      </c>
      <c r="D132" s="210" t="s">
        <v>718</v>
      </c>
      <c r="E132" s="210" t="s">
        <v>170</v>
      </c>
      <c r="F132" s="210" t="s">
        <v>110</v>
      </c>
      <c r="G132" s="210" t="s">
        <v>721</v>
      </c>
      <c r="H132" s="197">
        <v>0</v>
      </c>
      <c r="I132" s="210" t="s">
        <v>221</v>
      </c>
      <c r="J132" s="210">
        <v>2020</v>
      </c>
      <c r="K132" s="210">
        <v>2020</v>
      </c>
      <c r="L132" s="268" t="str">
        <f t="shared" si="23"/>
        <v>Simple</v>
      </c>
      <c r="M132" s="197">
        <v>37500</v>
      </c>
      <c r="N132" s="197">
        <v>0</v>
      </c>
      <c r="O132" s="257">
        <f>IF(ISNA(MATCH(H132,'Operating leases'!$B$32:$B$43,0)),0,INDEX('Operating leases'!$M$32:$S$43,MATCH(H132,'Operating leases'!$B$32:$B$43,0),MATCH(J132,'Operating leases'!$M$11:$S$11,0)))</f>
        <v>0</v>
      </c>
      <c r="P132" s="257">
        <f t="shared" si="24"/>
        <v>37500</v>
      </c>
      <c r="Q132" s="257">
        <f t="shared" si="25"/>
        <v>37500</v>
      </c>
      <c r="R132" s="258">
        <f>INDEX('Escalators '!$M$124:$S$129,MATCH(I132,'Escalators '!$B$124:$B$129,0),MATCH(J132,'Escalators '!$M$113:$S$113,0))</f>
        <v>1</v>
      </c>
      <c r="S132" s="257">
        <f t="shared" si="26"/>
        <v>0</v>
      </c>
      <c r="T132" s="257">
        <f t="shared" si="27"/>
        <v>0</v>
      </c>
      <c r="U132" s="269">
        <f t="shared" si="28"/>
        <v>37500</v>
      </c>
      <c r="V132" s="269">
        <f t="shared" si="29"/>
        <v>37500</v>
      </c>
      <c r="W132" s="269">
        <f t="shared" si="30"/>
        <v>37500</v>
      </c>
      <c r="X132" s="257">
        <f t="shared" si="31"/>
        <v>37500</v>
      </c>
      <c r="Y132" s="270">
        <f>IF(L132="Complex",(INDEX('Escalators '!$M$176:$S$176,MATCH('Forecast capex'!J132,'Escalators '!$M$178:$S$178,0))/12+1)^((K132-J132)*12)-1,0)</f>
        <v>0</v>
      </c>
      <c r="Z132" s="257">
        <f t="shared" si="32"/>
        <v>0</v>
      </c>
      <c r="AA132" s="257">
        <f t="shared" si="33"/>
        <v>0</v>
      </c>
      <c r="AB132" s="269">
        <f t="shared" si="34"/>
        <v>0</v>
      </c>
      <c r="AC132" s="269">
        <f t="shared" si="35"/>
        <v>0</v>
      </c>
      <c r="AD132" s="271" t="str">
        <f>INDEX('Global inputs'!$C$134:$C$171,MATCH(F132,'Global inputs'!$B$134:$B$171,0))</f>
        <v>Asset replacement and renewal</v>
      </c>
      <c r="AE132" s="272">
        <f>IF(OR(H132='Operating leases'!$B$32,H132='Operating leases'!$B$33),"",INDEX('Global inputs'!$C$186:$C$243,MATCH(E132,'Global inputs'!$B$186:$B$243,0)))</f>
        <v>0.08</v>
      </c>
    </row>
    <row r="133" spans="1:31" s="27" customFormat="1" x14ac:dyDescent="0.2">
      <c r="A133" s="250"/>
      <c r="B133" s="210" t="s">
        <v>742</v>
      </c>
      <c r="C133" s="210" t="s">
        <v>288</v>
      </c>
      <c r="D133" s="210" t="s">
        <v>223</v>
      </c>
      <c r="E133" s="210" t="s">
        <v>158</v>
      </c>
      <c r="F133" s="210" t="s">
        <v>107</v>
      </c>
      <c r="G133" s="210" t="s">
        <v>728</v>
      </c>
      <c r="H133" s="197">
        <v>0</v>
      </c>
      <c r="I133" s="210" t="s">
        <v>223</v>
      </c>
      <c r="J133" s="210">
        <v>2020</v>
      </c>
      <c r="K133" s="210">
        <v>2020</v>
      </c>
      <c r="L133" s="268" t="str">
        <f t="shared" si="23"/>
        <v>Simple</v>
      </c>
      <c r="M133" s="197">
        <v>100800</v>
      </c>
      <c r="N133" s="197">
        <v>0</v>
      </c>
      <c r="O133" s="257">
        <f>IF(ISNA(MATCH(H133,'Operating leases'!$B$32:$B$43,0)),0,INDEX('Operating leases'!$M$32:$S$43,MATCH(H133,'Operating leases'!$B$32:$B$43,0),MATCH(J133,'Operating leases'!$M$11:$S$11,0)))</f>
        <v>0</v>
      </c>
      <c r="P133" s="257">
        <f t="shared" si="24"/>
        <v>100800</v>
      </c>
      <c r="Q133" s="257">
        <f t="shared" si="25"/>
        <v>100800</v>
      </c>
      <c r="R133" s="258">
        <f>INDEX('Escalators '!$M$124:$S$129,MATCH(I133,'Escalators '!$B$124:$B$129,0),MATCH(J133,'Escalators '!$M$113:$S$113,0))</f>
        <v>1</v>
      </c>
      <c r="S133" s="257">
        <f t="shared" si="26"/>
        <v>0</v>
      </c>
      <c r="T133" s="257">
        <f t="shared" si="27"/>
        <v>0</v>
      </c>
      <c r="U133" s="269">
        <f t="shared" si="28"/>
        <v>100800</v>
      </c>
      <c r="V133" s="269">
        <f t="shared" si="29"/>
        <v>100800</v>
      </c>
      <c r="W133" s="269">
        <f t="shared" si="30"/>
        <v>100800</v>
      </c>
      <c r="X133" s="257">
        <f t="shared" si="31"/>
        <v>100800</v>
      </c>
      <c r="Y133" s="270">
        <f>IF(L133="Complex",(INDEX('Escalators '!$M$176:$S$176,MATCH('Forecast capex'!J133,'Escalators '!$M$178:$S$178,0))/12+1)^((K133-J133)*12)-1,0)</f>
        <v>0</v>
      </c>
      <c r="Z133" s="257">
        <f t="shared" si="32"/>
        <v>0</v>
      </c>
      <c r="AA133" s="257">
        <f t="shared" si="33"/>
        <v>0</v>
      </c>
      <c r="AB133" s="269">
        <f t="shared" si="34"/>
        <v>0</v>
      </c>
      <c r="AC133" s="269">
        <f t="shared" si="35"/>
        <v>0</v>
      </c>
      <c r="AD133" s="271" t="str">
        <f>INDEX('Global inputs'!$C$134:$C$171,MATCH(F133,'Global inputs'!$B$134:$B$171,0))</f>
        <v>Asset replacement and renewal</v>
      </c>
      <c r="AE133" s="272">
        <f>IF(OR(H133='Operating leases'!$B$32,H133='Operating leases'!$B$33),"",INDEX('Global inputs'!$C$186:$C$243,MATCH(E133,'Global inputs'!$B$186:$B$243,0)))</f>
        <v>0.08</v>
      </c>
    </row>
    <row r="134" spans="1:31" s="27" customFormat="1" x14ac:dyDescent="0.2">
      <c r="A134" s="250"/>
      <c r="B134" s="210" t="s">
        <v>742</v>
      </c>
      <c r="C134" s="210" t="s">
        <v>288</v>
      </c>
      <c r="D134" s="210" t="s">
        <v>223</v>
      </c>
      <c r="E134" s="210" t="s">
        <v>158</v>
      </c>
      <c r="F134" s="210" t="s">
        <v>107</v>
      </c>
      <c r="G134" s="210" t="s">
        <v>728</v>
      </c>
      <c r="H134" s="197">
        <v>0</v>
      </c>
      <c r="I134" s="210" t="s">
        <v>221</v>
      </c>
      <c r="J134" s="210">
        <v>2020</v>
      </c>
      <c r="K134" s="210">
        <v>2020</v>
      </c>
      <c r="L134" s="268" t="str">
        <f t="shared" si="23"/>
        <v>Simple</v>
      </c>
      <c r="M134" s="197">
        <v>151200</v>
      </c>
      <c r="N134" s="197">
        <v>0</v>
      </c>
      <c r="O134" s="257">
        <f>IF(ISNA(MATCH(H134,'Operating leases'!$B$32:$B$43,0)),0,INDEX('Operating leases'!$M$32:$S$43,MATCH(H134,'Operating leases'!$B$32:$B$43,0),MATCH(J134,'Operating leases'!$M$11:$S$11,0)))</f>
        <v>0</v>
      </c>
      <c r="P134" s="257">
        <f t="shared" si="24"/>
        <v>151200</v>
      </c>
      <c r="Q134" s="257">
        <f t="shared" si="25"/>
        <v>151200</v>
      </c>
      <c r="R134" s="258">
        <f>INDEX('Escalators '!$M$124:$S$129,MATCH(I134,'Escalators '!$B$124:$B$129,0),MATCH(J134,'Escalators '!$M$113:$S$113,0))</f>
        <v>1</v>
      </c>
      <c r="S134" s="257">
        <f t="shared" si="26"/>
        <v>0</v>
      </c>
      <c r="T134" s="257">
        <f t="shared" si="27"/>
        <v>0</v>
      </c>
      <c r="U134" s="269">
        <f t="shared" si="28"/>
        <v>151200</v>
      </c>
      <c r="V134" s="269">
        <f t="shared" si="29"/>
        <v>151200</v>
      </c>
      <c r="W134" s="269">
        <f t="shared" si="30"/>
        <v>151200</v>
      </c>
      <c r="X134" s="257">
        <f t="shared" si="31"/>
        <v>151200</v>
      </c>
      <c r="Y134" s="270">
        <f>IF(L134="Complex",(INDEX('Escalators '!$M$176:$S$176,MATCH('Forecast capex'!J134,'Escalators '!$M$178:$S$178,0))/12+1)^((K134-J134)*12)-1,0)</f>
        <v>0</v>
      </c>
      <c r="Z134" s="257">
        <f t="shared" si="32"/>
        <v>0</v>
      </c>
      <c r="AA134" s="257">
        <f t="shared" si="33"/>
        <v>0</v>
      </c>
      <c r="AB134" s="269">
        <f t="shared" si="34"/>
        <v>0</v>
      </c>
      <c r="AC134" s="269">
        <f t="shared" si="35"/>
        <v>0</v>
      </c>
      <c r="AD134" s="271" t="str">
        <f>INDEX('Global inputs'!$C$134:$C$171,MATCH(F134,'Global inputs'!$B$134:$B$171,0))</f>
        <v>Asset replacement and renewal</v>
      </c>
      <c r="AE134" s="272">
        <f>IF(OR(H134='Operating leases'!$B$32,H134='Operating leases'!$B$33),"",INDEX('Global inputs'!$C$186:$C$243,MATCH(E134,'Global inputs'!$B$186:$B$243,0)))</f>
        <v>0.08</v>
      </c>
    </row>
    <row r="135" spans="1:31" s="27" customFormat="1" x14ac:dyDescent="0.2">
      <c r="A135" s="250"/>
      <c r="B135" s="210" t="s">
        <v>742</v>
      </c>
      <c r="C135" s="210" t="s">
        <v>290</v>
      </c>
      <c r="D135" s="210" t="s">
        <v>718</v>
      </c>
      <c r="E135" s="210" t="s">
        <v>168</v>
      </c>
      <c r="F135" s="210" t="s">
        <v>111</v>
      </c>
      <c r="G135" s="210" t="s">
        <v>720</v>
      </c>
      <c r="H135" s="197">
        <v>0</v>
      </c>
      <c r="I135" s="210" t="s">
        <v>229</v>
      </c>
      <c r="J135" s="210">
        <v>2020</v>
      </c>
      <c r="K135" s="210">
        <v>2020</v>
      </c>
      <c r="L135" s="268" t="str">
        <f t="shared" si="23"/>
        <v>Simple</v>
      </c>
      <c r="M135" s="197">
        <v>235200</v>
      </c>
      <c r="N135" s="197">
        <v>0</v>
      </c>
      <c r="O135" s="257">
        <f>IF(ISNA(MATCH(H135,'Operating leases'!$B$32:$B$43,0)),0,INDEX('Operating leases'!$M$32:$S$43,MATCH(H135,'Operating leases'!$B$32:$B$43,0),MATCH(J135,'Operating leases'!$M$11:$S$11,0)))</f>
        <v>0</v>
      </c>
      <c r="P135" s="257">
        <f t="shared" si="24"/>
        <v>235200</v>
      </c>
      <c r="Q135" s="257">
        <f t="shared" si="25"/>
        <v>235200</v>
      </c>
      <c r="R135" s="258">
        <f>INDEX('Escalators '!$M$124:$S$129,MATCH(I135,'Escalators '!$B$124:$B$129,0),MATCH(J135,'Escalators '!$M$113:$S$113,0))</f>
        <v>1</v>
      </c>
      <c r="S135" s="257">
        <f t="shared" si="26"/>
        <v>0</v>
      </c>
      <c r="T135" s="257">
        <f t="shared" si="27"/>
        <v>0</v>
      </c>
      <c r="U135" s="269">
        <f t="shared" si="28"/>
        <v>235200</v>
      </c>
      <c r="V135" s="269">
        <f t="shared" si="29"/>
        <v>235200</v>
      </c>
      <c r="W135" s="269">
        <f t="shared" si="30"/>
        <v>235200</v>
      </c>
      <c r="X135" s="257">
        <f t="shared" si="31"/>
        <v>235200</v>
      </c>
      <c r="Y135" s="270">
        <f>IF(L135="Complex",(INDEX('Escalators '!$M$176:$S$176,MATCH('Forecast capex'!J135,'Escalators '!$M$178:$S$178,0))/12+1)^((K135-J135)*12)-1,0)</f>
        <v>0</v>
      </c>
      <c r="Z135" s="257">
        <f t="shared" si="32"/>
        <v>0</v>
      </c>
      <c r="AA135" s="257">
        <f t="shared" si="33"/>
        <v>0</v>
      </c>
      <c r="AB135" s="269">
        <f t="shared" si="34"/>
        <v>0</v>
      </c>
      <c r="AC135" s="269">
        <f t="shared" si="35"/>
        <v>0</v>
      </c>
      <c r="AD135" s="271" t="str">
        <f>INDEX('Global inputs'!$C$134:$C$171,MATCH(F135,'Global inputs'!$B$134:$B$171,0))</f>
        <v>Asset replacement and renewal</v>
      </c>
      <c r="AE135" s="272">
        <f>IF(OR(H135='Operating leases'!$B$32,H135='Operating leases'!$B$33),"",INDEX('Global inputs'!$C$186:$C$243,MATCH(E135,'Global inputs'!$B$186:$B$243,0)))</f>
        <v>0.08</v>
      </c>
    </row>
    <row r="136" spans="1:31" s="27" customFormat="1" x14ac:dyDescent="0.2">
      <c r="A136" s="250"/>
      <c r="B136" s="210" t="s">
        <v>742</v>
      </c>
      <c r="C136" s="210" t="s">
        <v>290</v>
      </c>
      <c r="D136" s="210" t="s">
        <v>718</v>
      </c>
      <c r="E136" s="210" t="s">
        <v>168</v>
      </c>
      <c r="F136" s="210" t="s">
        <v>111</v>
      </c>
      <c r="G136" s="210" t="s">
        <v>720</v>
      </c>
      <c r="H136" s="197">
        <v>0</v>
      </c>
      <c r="I136" s="210" t="s">
        <v>221</v>
      </c>
      <c r="J136" s="210">
        <v>2020</v>
      </c>
      <c r="K136" s="210">
        <v>2020</v>
      </c>
      <c r="L136" s="268" t="str">
        <f t="shared" si="23"/>
        <v>Simple</v>
      </c>
      <c r="M136" s="197">
        <v>58800</v>
      </c>
      <c r="N136" s="197">
        <v>0</v>
      </c>
      <c r="O136" s="257">
        <f>IF(ISNA(MATCH(H136,'Operating leases'!$B$32:$B$43,0)),0,INDEX('Operating leases'!$M$32:$S$43,MATCH(H136,'Operating leases'!$B$32:$B$43,0),MATCH(J136,'Operating leases'!$M$11:$S$11,0)))</f>
        <v>0</v>
      </c>
      <c r="P136" s="257">
        <f t="shared" si="24"/>
        <v>58800</v>
      </c>
      <c r="Q136" s="257">
        <f t="shared" si="25"/>
        <v>58800</v>
      </c>
      <c r="R136" s="258">
        <f>INDEX('Escalators '!$M$124:$S$129,MATCH(I136,'Escalators '!$B$124:$B$129,0),MATCH(J136,'Escalators '!$M$113:$S$113,0))</f>
        <v>1</v>
      </c>
      <c r="S136" s="257">
        <f t="shared" si="26"/>
        <v>0</v>
      </c>
      <c r="T136" s="257">
        <f t="shared" si="27"/>
        <v>0</v>
      </c>
      <c r="U136" s="269">
        <f t="shared" si="28"/>
        <v>58800</v>
      </c>
      <c r="V136" s="269">
        <f t="shared" si="29"/>
        <v>58800</v>
      </c>
      <c r="W136" s="269">
        <f t="shared" si="30"/>
        <v>58800</v>
      </c>
      <c r="X136" s="257">
        <f t="shared" si="31"/>
        <v>58800</v>
      </c>
      <c r="Y136" s="270">
        <f>IF(L136="Complex",(INDEX('Escalators '!$M$176:$S$176,MATCH('Forecast capex'!J136,'Escalators '!$M$178:$S$178,0))/12+1)^((K136-J136)*12)-1,0)</f>
        <v>0</v>
      </c>
      <c r="Z136" s="257">
        <f t="shared" si="32"/>
        <v>0</v>
      </c>
      <c r="AA136" s="257">
        <f t="shared" si="33"/>
        <v>0</v>
      </c>
      <c r="AB136" s="269">
        <f t="shared" si="34"/>
        <v>0</v>
      </c>
      <c r="AC136" s="269">
        <f t="shared" si="35"/>
        <v>0</v>
      </c>
      <c r="AD136" s="271" t="str">
        <f>INDEX('Global inputs'!$C$134:$C$171,MATCH(F136,'Global inputs'!$B$134:$B$171,0))</f>
        <v>Asset replacement and renewal</v>
      </c>
      <c r="AE136" s="272">
        <f>IF(OR(H136='Operating leases'!$B$32,H136='Operating leases'!$B$33),"",INDEX('Global inputs'!$C$186:$C$243,MATCH(E136,'Global inputs'!$B$186:$B$243,0)))</f>
        <v>0.08</v>
      </c>
    </row>
    <row r="137" spans="1:31" s="27" customFormat="1" x14ac:dyDescent="0.2">
      <c r="A137" s="250"/>
      <c r="B137" s="210" t="s">
        <v>742</v>
      </c>
      <c r="C137" s="210" t="s">
        <v>289</v>
      </c>
      <c r="D137" s="210" t="s">
        <v>718</v>
      </c>
      <c r="E137" s="210" t="s">
        <v>165</v>
      </c>
      <c r="F137" s="210" t="s">
        <v>113</v>
      </c>
      <c r="G137" s="210" t="s">
        <v>745</v>
      </c>
      <c r="H137" s="197">
        <v>0</v>
      </c>
      <c r="I137" s="210" t="s">
        <v>229</v>
      </c>
      <c r="J137" s="210">
        <v>2020</v>
      </c>
      <c r="K137" s="210">
        <v>2020</v>
      </c>
      <c r="L137" s="268" t="str">
        <f t="shared" si="23"/>
        <v>Simple</v>
      </c>
      <c r="M137" s="197">
        <v>438249</v>
      </c>
      <c r="N137" s="197">
        <v>0</v>
      </c>
      <c r="O137" s="257">
        <f>IF(ISNA(MATCH(H137,'Operating leases'!$B$32:$B$43,0)),0,INDEX('Operating leases'!$M$32:$S$43,MATCH(H137,'Operating leases'!$B$32:$B$43,0),MATCH(J137,'Operating leases'!$M$11:$S$11,0)))</f>
        <v>0</v>
      </c>
      <c r="P137" s="257">
        <f t="shared" si="24"/>
        <v>438249</v>
      </c>
      <c r="Q137" s="257">
        <f t="shared" si="25"/>
        <v>438249</v>
      </c>
      <c r="R137" s="258">
        <f>INDEX('Escalators '!$M$124:$S$129,MATCH(I137,'Escalators '!$B$124:$B$129,0),MATCH(J137,'Escalators '!$M$113:$S$113,0))</f>
        <v>1</v>
      </c>
      <c r="S137" s="257">
        <f t="shared" si="26"/>
        <v>0</v>
      </c>
      <c r="T137" s="257">
        <f t="shared" si="27"/>
        <v>0</v>
      </c>
      <c r="U137" s="269">
        <f t="shared" si="28"/>
        <v>438249</v>
      </c>
      <c r="V137" s="269">
        <f t="shared" si="29"/>
        <v>438249</v>
      </c>
      <c r="W137" s="269">
        <f t="shared" si="30"/>
        <v>438249</v>
      </c>
      <c r="X137" s="257">
        <f t="shared" si="31"/>
        <v>438249</v>
      </c>
      <c r="Y137" s="270">
        <f>IF(L137="Complex",(INDEX('Escalators '!$M$176:$S$176,MATCH('Forecast capex'!J137,'Escalators '!$M$178:$S$178,0))/12+1)^((K137-J137)*12)-1,0)</f>
        <v>0</v>
      </c>
      <c r="Z137" s="257">
        <f t="shared" si="32"/>
        <v>0</v>
      </c>
      <c r="AA137" s="257">
        <f t="shared" si="33"/>
        <v>0</v>
      </c>
      <c r="AB137" s="269">
        <f t="shared" si="34"/>
        <v>0</v>
      </c>
      <c r="AC137" s="269">
        <f t="shared" si="35"/>
        <v>0</v>
      </c>
      <c r="AD137" s="271" t="str">
        <f>INDEX('Global inputs'!$C$134:$C$171,MATCH(F137,'Global inputs'!$B$134:$B$171,0))</f>
        <v>Asset replacement and renewal</v>
      </c>
      <c r="AE137" s="272">
        <f>IF(OR(H137='Operating leases'!$B$32,H137='Operating leases'!$B$33),"",INDEX('Global inputs'!$C$186:$C$243,MATCH(E137,'Global inputs'!$B$186:$B$243,0)))</f>
        <v>0.1</v>
      </c>
    </row>
    <row r="138" spans="1:31" s="27" customFormat="1" x14ac:dyDescent="0.2">
      <c r="A138" s="250"/>
      <c r="B138" s="210" t="s">
        <v>742</v>
      </c>
      <c r="C138" s="210" t="s">
        <v>289</v>
      </c>
      <c r="D138" s="210" t="s">
        <v>718</v>
      </c>
      <c r="E138" s="210" t="s">
        <v>165</v>
      </c>
      <c r="F138" s="210" t="s">
        <v>113</v>
      </c>
      <c r="G138" s="210" t="s">
        <v>745</v>
      </c>
      <c r="H138" s="197">
        <v>0</v>
      </c>
      <c r="I138" s="210" t="s">
        <v>221</v>
      </c>
      <c r="J138" s="210">
        <v>2020</v>
      </c>
      <c r="K138" s="210">
        <v>2020</v>
      </c>
      <c r="L138" s="268" t="str">
        <f t="shared" ref="L138:L201" si="36">IF(J138=K138,"Simple","Complex")</f>
        <v>Simple</v>
      </c>
      <c r="M138" s="197">
        <v>438249</v>
      </c>
      <c r="N138" s="197">
        <v>0</v>
      </c>
      <c r="O138" s="257">
        <f>IF(ISNA(MATCH(H138,'Operating leases'!$B$32:$B$43,0)),0,INDEX('Operating leases'!$M$32:$S$43,MATCH(H138,'Operating leases'!$B$32:$B$43,0),MATCH(J138,'Operating leases'!$M$11:$S$11,0)))</f>
        <v>0</v>
      </c>
      <c r="P138" s="257">
        <f t="shared" ref="P138:P201" si="37">O138+M138</f>
        <v>438249</v>
      </c>
      <c r="Q138" s="257">
        <f t="shared" ref="Q138:Q201" si="38">M138+N138+O138</f>
        <v>438249</v>
      </c>
      <c r="R138" s="258">
        <f>INDEX('Escalators '!$M$124:$S$129,MATCH(I138,'Escalators '!$B$124:$B$129,0),MATCH(J138,'Escalators '!$M$113:$S$113,0))</f>
        <v>1</v>
      </c>
      <c r="S138" s="257">
        <f t="shared" ref="S138:S201" si="39">O138*R138</f>
        <v>0</v>
      </c>
      <c r="T138" s="257">
        <f t="shared" ref="T138:T201" si="40">N138*R138</f>
        <v>0</v>
      </c>
      <c r="U138" s="269">
        <f t="shared" ref="U138:U201" si="41">W138-S138</f>
        <v>438249</v>
      </c>
      <c r="V138" s="269">
        <f t="shared" ref="V138:V201" si="42">U138+T138</f>
        <v>438249</v>
      </c>
      <c r="W138" s="269">
        <f t="shared" ref="W138:W201" si="43">X138-T138</f>
        <v>438249</v>
      </c>
      <c r="X138" s="257">
        <f t="shared" ref="X138:X201" si="44">Q138*R138</f>
        <v>438249</v>
      </c>
      <c r="Y138" s="270">
        <f>IF(L138="Complex",(INDEX('Escalators '!$M$176:$S$176,MATCH('Forecast capex'!J138,'Escalators '!$M$178:$S$178,0))/12+1)^((K138-J138)*12)-1,0)</f>
        <v>0</v>
      </c>
      <c r="Z138" s="257">
        <f t="shared" ref="Z138:Z201" si="45">P138*Y138</f>
        <v>0</v>
      </c>
      <c r="AA138" s="257">
        <f t="shared" ref="AA138:AA201" si="46">W138*Y138</f>
        <v>0</v>
      </c>
      <c r="AB138" s="269">
        <f t="shared" ref="AB138:AB201" si="47">IF(L138="Complex",AC138-T138,0)</f>
        <v>0</v>
      </c>
      <c r="AC138" s="269">
        <f t="shared" ref="AC138:AC201" si="48">IF(L138="Complex",V138+AA138,0)</f>
        <v>0</v>
      </c>
      <c r="AD138" s="271" t="str">
        <f>INDEX('Global inputs'!$C$134:$C$171,MATCH(F138,'Global inputs'!$B$134:$B$171,0))</f>
        <v>Asset replacement and renewal</v>
      </c>
      <c r="AE138" s="272">
        <f>IF(OR(H138='Operating leases'!$B$32,H138='Operating leases'!$B$33),"",INDEX('Global inputs'!$C$186:$C$243,MATCH(E138,'Global inputs'!$B$186:$B$243,0)))</f>
        <v>0.1</v>
      </c>
    </row>
    <row r="139" spans="1:31" s="27" customFormat="1" x14ac:dyDescent="0.2">
      <c r="A139" s="250"/>
      <c r="B139" s="210" t="s">
        <v>746</v>
      </c>
      <c r="C139" s="210" t="s">
        <v>287</v>
      </c>
      <c r="D139" s="210" t="s">
        <v>715</v>
      </c>
      <c r="E139" s="210" t="s">
        <v>150</v>
      </c>
      <c r="F139" s="210" t="s">
        <v>86</v>
      </c>
      <c r="G139" s="210" t="s">
        <v>716</v>
      </c>
      <c r="H139" s="197">
        <v>0</v>
      </c>
      <c r="I139" s="210" t="s">
        <v>229</v>
      </c>
      <c r="J139" s="210">
        <v>2020</v>
      </c>
      <c r="K139" s="210">
        <v>2020</v>
      </c>
      <c r="L139" s="268" t="str">
        <f t="shared" si="36"/>
        <v>Simple</v>
      </c>
      <c r="M139" s="197">
        <v>88222.15325041808</v>
      </c>
      <c r="N139" s="197">
        <v>0</v>
      </c>
      <c r="O139" s="257">
        <f>IF(ISNA(MATCH(H139,'Operating leases'!$B$32:$B$43,0)),0,INDEX('Operating leases'!$M$32:$S$43,MATCH(H139,'Operating leases'!$B$32:$B$43,0),MATCH(J139,'Operating leases'!$M$11:$S$11,0)))</f>
        <v>0</v>
      </c>
      <c r="P139" s="257">
        <f t="shared" si="37"/>
        <v>88222.15325041808</v>
      </c>
      <c r="Q139" s="257">
        <f t="shared" si="38"/>
        <v>88222.15325041808</v>
      </c>
      <c r="R139" s="258">
        <f>INDEX('Escalators '!$M$124:$S$129,MATCH(I139,'Escalators '!$B$124:$B$129,0),MATCH(J139,'Escalators '!$M$113:$S$113,0))</f>
        <v>1</v>
      </c>
      <c r="S139" s="257">
        <f t="shared" si="39"/>
        <v>0</v>
      </c>
      <c r="T139" s="257">
        <f t="shared" si="40"/>
        <v>0</v>
      </c>
      <c r="U139" s="269">
        <f t="shared" si="41"/>
        <v>88222.15325041808</v>
      </c>
      <c r="V139" s="269">
        <f t="shared" si="42"/>
        <v>88222.15325041808</v>
      </c>
      <c r="W139" s="269">
        <f t="shared" si="43"/>
        <v>88222.15325041808</v>
      </c>
      <c r="X139" s="257">
        <f t="shared" si="44"/>
        <v>88222.15325041808</v>
      </c>
      <c r="Y139" s="270">
        <f>IF(L139="Complex",(INDEX('Escalators '!$M$176:$S$176,MATCH('Forecast capex'!J139,'Escalators '!$M$178:$S$178,0))/12+1)^((K139-J139)*12)-1,0)</f>
        <v>0</v>
      </c>
      <c r="Z139" s="257">
        <f t="shared" si="45"/>
        <v>0</v>
      </c>
      <c r="AA139" s="257">
        <f t="shared" si="46"/>
        <v>0</v>
      </c>
      <c r="AB139" s="269">
        <f t="shared" si="47"/>
        <v>0</v>
      </c>
      <c r="AC139" s="269">
        <f t="shared" si="48"/>
        <v>0</v>
      </c>
      <c r="AD139" s="271" t="str">
        <f>INDEX('Global inputs'!$C$134:$C$171,MATCH(F139,'Global inputs'!$B$134:$B$171,0))</f>
        <v xml:space="preserve">System growth </v>
      </c>
      <c r="AE139" s="272">
        <f>IF(OR(H139='Operating leases'!$B$32,H139='Operating leases'!$B$33),"",INDEX('Global inputs'!$C$186:$C$243,MATCH(E139,'Global inputs'!$B$186:$B$243,0)))</f>
        <v>0.08</v>
      </c>
    </row>
    <row r="140" spans="1:31" s="27" customFormat="1" x14ac:dyDescent="0.2">
      <c r="A140" s="250"/>
      <c r="B140" s="210" t="s">
        <v>746</v>
      </c>
      <c r="C140" s="210" t="s">
        <v>287</v>
      </c>
      <c r="D140" s="210" t="s">
        <v>715</v>
      </c>
      <c r="E140" s="210" t="s">
        <v>150</v>
      </c>
      <c r="F140" s="210" t="s">
        <v>86</v>
      </c>
      <c r="G140" s="210" t="s">
        <v>716</v>
      </c>
      <c r="H140" s="197">
        <v>0</v>
      </c>
      <c r="I140" s="210" t="s">
        <v>221</v>
      </c>
      <c r="J140" s="210">
        <v>2020</v>
      </c>
      <c r="K140" s="210">
        <v>2020</v>
      </c>
      <c r="L140" s="268" t="str">
        <f t="shared" si="36"/>
        <v>Simple</v>
      </c>
      <c r="M140" s="197">
        <v>88222.15325041808</v>
      </c>
      <c r="N140" s="197">
        <v>0</v>
      </c>
      <c r="O140" s="257">
        <f>IF(ISNA(MATCH(H140,'Operating leases'!$B$32:$B$43,0)),0,INDEX('Operating leases'!$M$32:$S$43,MATCH(H140,'Operating leases'!$B$32:$B$43,0),MATCH(J140,'Operating leases'!$M$11:$S$11,0)))</f>
        <v>0</v>
      </c>
      <c r="P140" s="257">
        <f t="shared" si="37"/>
        <v>88222.15325041808</v>
      </c>
      <c r="Q140" s="257">
        <f t="shared" si="38"/>
        <v>88222.15325041808</v>
      </c>
      <c r="R140" s="258">
        <f>INDEX('Escalators '!$M$124:$S$129,MATCH(I140,'Escalators '!$B$124:$B$129,0),MATCH(J140,'Escalators '!$M$113:$S$113,0))</f>
        <v>1</v>
      </c>
      <c r="S140" s="257">
        <f t="shared" si="39"/>
        <v>0</v>
      </c>
      <c r="T140" s="257">
        <f t="shared" si="40"/>
        <v>0</v>
      </c>
      <c r="U140" s="269">
        <f t="shared" si="41"/>
        <v>88222.15325041808</v>
      </c>
      <c r="V140" s="269">
        <f t="shared" si="42"/>
        <v>88222.15325041808</v>
      </c>
      <c r="W140" s="269">
        <f t="shared" si="43"/>
        <v>88222.15325041808</v>
      </c>
      <c r="X140" s="257">
        <f t="shared" si="44"/>
        <v>88222.15325041808</v>
      </c>
      <c r="Y140" s="270">
        <f>IF(L140="Complex",(INDEX('Escalators '!$M$176:$S$176,MATCH('Forecast capex'!J140,'Escalators '!$M$178:$S$178,0))/12+1)^((K140-J140)*12)-1,0)</f>
        <v>0</v>
      </c>
      <c r="Z140" s="257">
        <f t="shared" si="45"/>
        <v>0</v>
      </c>
      <c r="AA140" s="257">
        <f t="shared" si="46"/>
        <v>0</v>
      </c>
      <c r="AB140" s="269">
        <f t="shared" si="47"/>
        <v>0</v>
      </c>
      <c r="AC140" s="269">
        <f t="shared" si="48"/>
        <v>0</v>
      </c>
      <c r="AD140" s="271" t="str">
        <f>INDEX('Global inputs'!$C$134:$C$171,MATCH(F140,'Global inputs'!$B$134:$B$171,0))</f>
        <v xml:space="preserve">System growth </v>
      </c>
      <c r="AE140" s="272">
        <f>IF(OR(H140='Operating leases'!$B$32,H140='Operating leases'!$B$33),"",INDEX('Global inputs'!$C$186:$C$243,MATCH(E140,'Global inputs'!$B$186:$B$243,0)))</f>
        <v>0.08</v>
      </c>
    </row>
    <row r="141" spans="1:31" s="27" customFormat="1" x14ac:dyDescent="0.2">
      <c r="A141" s="250"/>
      <c r="B141" s="210" t="s">
        <v>746</v>
      </c>
      <c r="C141" s="210" t="s">
        <v>287</v>
      </c>
      <c r="D141" s="210" t="s">
        <v>715</v>
      </c>
      <c r="E141" s="210" t="s">
        <v>151</v>
      </c>
      <c r="F141" s="210" t="s">
        <v>86</v>
      </c>
      <c r="G141" s="210" t="s">
        <v>716</v>
      </c>
      <c r="H141" s="197">
        <v>0</v>
      </c>
      <c r="I141" s="210" t="s">
        <v>229</v>
      </c>
      <c r="J141" s="210">
        <v>2020</v>
      </c>
      <c r="K141" s="210">
        <v>2020</v>
      </c>
      <c r="L141" s="268" t="str">
        <f t="shared" si="36"/>
        <v>Simple</v>
      </c>
      <c r="M141" s="197">
        <v>88222.15325041808</v>
      </c>
      <c r="N141" s="197">
        <v>0</v>
      </c>
      <c r="O141" s="257">
        <f>IF(ISNA(MATCH(H141,'Operating leases'!$B$32:$B$43,0)),0,INDEX('Operating leases'!$M$32:$S$43,MATCH(H141,'Operating leases'!$B$32:$B$43,0),MATCH(J141,'Operating leases'!$M$11:$S$11,0)))</f>
        <v>0</v>
      </c>
      <c r="P141" s="257">
        <f t="shared" si="37"/>
        <v>88222.15325041808</v>
      </c>
      <c r="Q141" s="257">
        <f t="shared" si="38"/>
        <v>88222.15325041808</v>
      </c>
      <c r="R141" s="258">
        <f>INDEX('Escalators '!$M$124:$S$129,MATCH(I141,'Escalators '!$B$124:$B$129,0),MATCH(J141,'Escalators '!$M$113:$S$113,0))</f>
        <v>1</v>
      </c>
      <c r="S141" s="257">
        <f t="shared" si="39"/>
        <v>0</v>
      </c>
      <c r="T141" s="257">
        <f t="shared" si="40"/>
        <v>0</v>
      </c>
      <c r="U141" s="269">
        <f t="shared" si="41"/>
        <v>88222.15325041808</v>
      </c>
      <c r="V141" s="269">
        <f t="shared" si="42"/>
        <v>88222.15325041808</v>
      </c>
      <c r="W141" s="269">
        <f t="shared" si="43"/>
        <v>88222.15325041808</v>
      </c>
      <c r="X141" s="257">
        <f t="shared" si="44"/>
        <v>88222.15325041808</v>
      </c>
      <c r="Y141" s="270">
        <f>IF(L141="Complex",(INDEX('Escalators '!$M$176:$S$176,MATCH('Forecast capex'!J141,'Escalators '!$M$178:$S$178,0))/12+1)^((K141-J141)*12)-1,0)</f>
        <v>0</v>
      </c>
      <c r="Z141" s="257">
        <f t="shared" si="45"/>
        <v>0</v>
      </c>
      <c r="AA141" s="257">
        <f t="shared" si="46"/>
        <v>0</v>
      </c>
      <c r="AB141" s="269">
        <f t="shared" si="47"/>
        <v>0</v>
      </c>
      <c r="AC141" s="269">
        <f t="shared" si="48"/>
        <v>0</v>
      </c>
      <c r="AD141" s="271" t="str">
        <f>INDEX('Global inputs'!$C$134:$C$171,MATCH(F141,'Global inputs'!$B$134:$B$171,0))</f>
        <v xml:space="preserve">System growth </v>
      </c>
      <c r="AE141" s="272">
        <f>IF(OR(H141='Operating leases'!$B$32,H141='Operating leases'!$B$33),"",INDEX('Global inputs'!$C$186:$C$243,MATCH(E141,'Global inputs'!$B$186:$B$243,0)))</f>
        <v>0.1</v>
      </c>
    </row>
    <row r="142" spans="1:31" s="27" customFormat="1" x14ac:dyDescent="0.2">
      <c r="A142" s="250"/>
      <c r="B142" s="210" t="s">
        <v>746</v>
      </c>
      <c r="C142" s="210" t="s">
        <v>287</v>
      </c>
      <c r="D142" s="210" t="s">
        <v>715</v>
      </c>
      <c r="E142" s="210" t="s">
        <v>151</v>
      </c>
      <c r="F142" s="210" t="s">
        <v>86</v>
      </c>
      <c r="G142" s="210" t="s">
        <v>716</v>
      </c>
      <c r="H142" s="197">
        <v>0</v>
      </c>
      <c r="I142" s="210" t="s">
        <v>221</v>
      </c>
      <c r="J142" s="210">
        <v>2020</v>
      </c>
      <c r="K142" s="210">
        <v>2020</v>
      </c>
      <c r="L142" s="268" t="str">
        <f t="shared" si="36"/>
        <v>Simple</v>
      </c>
      <c r="M142" s="197">
        <v>88222.15325041808</v>
      </c>
      <c r="N142" s="197">
        <v>0</v>
      </c>
      <c r="O142" s="257">
        <f>IF(ISNA(MATCH(H142,'Operating leases'!$B$32:$B$43,0)),0,INDEX('Operating leases'!$M$32:$S$43,MATCH(H142,'Operating leases'!$B$32:$B$43,0),MATCH(J142,'Operating leases'!$M$11:$S$11,0)))</f>
        <v>0</v>
      </c>
      <c r="P142" s="257">
        <f t="shared" si="37"/>
        <v>88222.15325041808</v>
      </c>
      <c r="Q142" s="257">
        <f t="shared" si="38"/>
        <v>88222.15325041808</v>
      </c>
      <c r="R142" s="258">
        <f>INDEX('Escalators '!$M$124:$S$129,MATCH(I142,'Escalators '!$B$124:$B$129,0),MATCH(J142,'Escalators '!$M$113:$S$113,0))</f>
        <v>1</v>
      </c>
      <c r="S142" s="257">
        <f t="shared" si="39"/>
        <v>0</v>
      </c>
      <c r="T142" s="257">
        <f t="shared" si="40"/>
        <v>0</v>
      </c>
      <c r="U142" s="269">
        <f t="shared" si="41"/>
        <v>88222.15325041808</v>
      </c>
      <c r="V142" s="269">
        <f t="shared" si="42"/>
        <v>88222.15325041808</v>
      </c>
      <c r="W142" s="269">
        <f t="shared" si="43"/>
        <v>88222.15325041808</v>
      </c>
      <c r="X142" s="257">
        <f t="shared" si="44"/>
        <v>88222.15325041808</v>
      </c>
      <c r="Y142" s="270">
        <f>IF(L142="Complex",(INDEX('Escalators '!$M$176:$S$176,MATCH('Forecast capex'!J142,'Escalators '!$M$178:$S$178,0))/12+1)^((K142-J142)*12)-1,0)</f>
        <v>0</v>
      </c>
      <c r="Z142" s="257">
        <f t="shared" si="45"/>
        <v>0</v>
      </c>
      <c r="AA142" s="257">
        <f t="shared" si="46"/>
        <v>0</v>
      </c>
      <c r="AB142" s="269">
        <f t="shared" si="47"/>
        <v>0</v>
      </c>
      <c r="AC142" s="269">
        <f t="shared" si="48"/>
        <v>0</v>
      </c>
      <c r="AD142" s="271" t="str">
        <f>INDEX('Global inputs'!$C$134:$C$171,MATCH(F142,'Global inputs'!$B$134:$B$171,0))</f>
        <v xml:space="preserve">System growth </v>
      </c>
      <c r="AE142" s="272">
        <f>IF(OR(H142='Operating leases'!$B$32,H142='Operating leases'!$B$33),"",INDEX('Global inputs'!$C$186:$C$243,MATCH(E142,'Global inputs'!$B$186:$B$243,0)))</f>
        <v>0.1</v>
      </c>
    </row>
    <row r="143" spans="1:31" s="27" customFormat="1" x14ac:dyDescent="0.2">
      <c r="A143" s="250"/>
      <c r="B143" s="210" t="s">
        <v>746</v>
      </c>
      <c r="C143" s="210" t="s">
        <v>287</v>
      </c>
      <c r="D143" s="210" t="s">
        <v>715</v>
      </c>
      <c r="E143" s="210" t="s">
        <v>153</v>
      </c>
      <c r="F143" s="210" t="s">
        <v>86</v>
      </c>
      <c r="G143" s="210" t="s">
        <v>716</v>
      </c>
      <c r="H143" s="197">
        <v>0</v>
      </c>
      <c r="I143" s="210" t="s">
        <v>229</v>
      </c>
      <c r="J143" s="210">
        <v>2020</v>
      </c>
      <c r="K143" s="210">
        <v>2020</v>
      </c>
      <c r="L143" s="268" t="str">
        <f t="shared" si="36"/>
        <v>Simple</v>
      </c>
      <c r="M143" s="197">
        <v>39209.845889074706</v>
      </c>
      <c r="N143" s="197">
        <v>0</v>
      </c>
      <c r="O143" s="257">
        <f>IF(ISNA(MATCH(H143,'Operating leases'!$B$32:$B$43,0)),0,INDEX('Operating leases'!$M$32:$S$43,MATCH(H143,'Operating leases'!$B$32:$B$43,0),MATCH(J143,'Operating leases'!$M$11:$S$11,0)))</f>
        <v>0</v>
      </c>
      <c r="P143" s="257">
        <f t="shared" si="37"/>
        <v>39209.845889074706</v>
      </c>
      <c r="Q143" s="257">
        <f t="shared" si="38"/>
        <v>39209.845889074706</v>
      </c>
      <c r="R143" s="258">
        <f>INDEX('Escalators '!$M$124:$S$129,MATCH(I143,'Escalators '!$B$124:$B$129,0),MATCH(J143,'Escalators '!$M$113:$S$113,0))</f>
        <v>1</v>
      </c>
      <c r="S143" s="257">
        <f t="shared" si="39"/>
        <v>0</v>
      </c>
      <c r="T143" s="257">
        <f t="shared" si="40"/>
        <v>0</v>
      </c>
      <c r="U143" s="269">
        <f t="shared" si="41"/>
        <v>39209.845889074706</v>
      </c>
      <c r="V143" s="269">
        <f t="shared" si="42"/>
        <v>39209.845889074706</v>
      </c>
      <c r="W143" s="269">
        <f t="shared" si="43"/>
        <v>39209.845889074706</v>
      </c>
      <c r="X143" s="257">
        <f t="shared" si="44"/>
        <v>39209.845889074706</v>
      </c>
      <c r="Y143" s="270">
        <f>IF(L143="Complex",(INDEX('Escalators '!$M$176:$S$176,MATCH('Forecast capex'!J143,'Escalators '!$M$178:$S$178,0))/12+1)^((K143-J143)*12)-1,0)</f>
        <v>0</v>
      </c>
      <c r="Z143" s="257">
        <f t="shared" si="45"/>
        <v>0</v>
      </c>
      <c r="AA143" s="257">
        <f t="shared" si="46"/>
        <v>0</v>
      </c>
      <c r="AB143" s="269">
        <f t="shared" si="47"/>
        <v>0</v>
      </c>
      <c r="AC143" s="269">
        <f t="shared" si="48"/>
        <v>0</v>
      </c>
      <c r="AD143" s="271" t="str">
        <f>INDEX('Global inputs'!$C$134:$C$171,MATCH(F143,'Global inputs'!$B$134:$B$171,0))</f>
        <v xml:space="preserve">System growth </v>
      </c>
      <c r="AE143" s="272">
        <f>IF(OR(H143='Operating leases'!$B$32,H143='Operating leases'!$B$33),"",INDEX('Global inputs'!$C$186:$C$243,MATCH(E143,'Global inputs'!$B$186:$B$243,0)))</f>
        <v>0.08</v>
      </c>
    </row>
    <row r="144" spans="1:31" s="27" customFormat="1" x14ac:dyDescent="0.2">
      <c r="A144" s="250"/>
      <c r="B144" s="210" t="s">
        <v>746</v>
      </c>
      <c r="C144" s="210" t="s">
        <v>287</v>
      </c>
      <c r="D144" s="210" t="s">
        <v>715</v>
      </c>
      <c r="E144" s="210" t="s">
        <v>153</v>
      </c>
      <c r="F144" s="210" t="s">
        <v>86</v>
      </c>
      <c r="G144" s="210" t="s">
        <v>716</v>
      </c>
      <c r="H144" s="197">
        <v>0</v>
      </c>
      <c r="I144" s="210" t="s">
        <v>221</v>
      </c>
      <c r="J144" s="210">
        <v>2020</v>
      </c>
      <c r="K144" s="210">
        <v>2020</v>
      </c>
      <c r="L144" s="268" t="str">
        <f t="shared" si="36"/>
        <v>Simple</v>
      </c>
      <c r="M144" s="197">
        <v>39209.845889074706</v>
      </c>
      <c r="N144" s="197">
        <v>0</v>
      </c>
      <c r="O144" s="257">
        <f>IF(ISNA(MATCH(H144,'Operating leases'!$B$32:$B$43,0)),0,INDEX('Operating leases'!$M$32:$S$43,MATCH(H144,'Operating leases'!$B$32:$B$43,0),MATCH(J144,'Operating leases'!$M$11:$S$11,0)))</f>
        <v>0</v>
      </c>
      <c r="P144" s="257">
        <f t="shared" si="37"/>
        <v>39209.845889074706</v>
      </c>
      <c r="Q144" s="257">
        <f t="shared" si="38"/>
        <v>39209.845889074706</v>
      </c>
      <c r="R144" s="258">
        <f>INDEX('Escalators '!$M$124:$S$129,MATCH(I144,'Escalators '!$B$124:$B$129,0),MATCH(J144,'Escalators '!$M$113:$S$113,0))</f>
        <v>1</v>
      </c>
      <c r="S144" s="257">
        <f t="shared" si="39"/>
        <v>0</v>
      </c>
      <c r="T144" s="257">
        <f t="shared" si="40"/>
        <v>0</v>
      </c>
      <c r="U144" s="269">
        <f t="shared" si="41"/>
        <v>39209.845889074706</v>
      </c>
      <c r="V144" s="269">
        <f t="shared" si="42"/>
        <v>39209.845889074706</v>
      </c>
      <c r="W144" s="269">
        <f t="shared" si="43"/>
        <v>39209.845889074706</v>
      </c>
      <c r="X144" s="257">
        <f t="shared" si="44"/>
        <v>39209.845889074706</v>
      </c>
      <c r="Y144" s="270">
        <f>IF(L144="Complex",(INDEX('Escalators '!$M$176:$S$176,MATCH('Forecast capex'!J144,'Escalators '!$M$178:$S$178,0))/12+1)^((K144-J144)*12)-1,0)</f>
        <v>0</v>
      </c>
      <c r="Z144" s="257">
        <f t="shared" si="45"/>
        <v>0</v>
      </c>
      <c r="AA144" s="257">
        <f t="shared" si="46"/>
        <v>0</v>
      </c>
      <c r="AB144" s="269">
        <f t="shared" si="47"/>
        <v>0</v>
      </c>
      <c r="AC144" s="269">
        <f t="shared" si="48"/>
        <v>0</v>
      </c>
      <c r="AD144" s="271" t="str">
        <f>INDEX('Global inputs'!$C$134:$C$171,MATCH(F144,'Global inputs'!$B$134:$B$171,0))</f>
        <v xml:space="preserve">System growth </v>
      </c>
      <c r="AE144" s="272">
        <f>IF(OR(H144='Operating leases'!$B$32,H144='Operating leases'!$B$33),"",INDEX('Global inputs'!$C$186:$C$243,MATCH(E144,'Global inputs'!$B$186:$B$243,0)))</f>
        <v>0.08</v>
      </c>
    </row>
    <row r="145" spans="1:31" s="27" customFormat="1" x14ac:dyDescent="0.2">
      <c r="A145" s="250"/>
      <c r="B145" s="210" t="s">
        <v>746</v>
      </c>
      <c r="C145" s="210" t="s">
        <v>287</v>
      </c>
      <c r="D145" s="210" t="s">
        <v>715</v>
      </c>
      <c r="E145" s="210" t="s">
        <v>154</v>
      </c>
      <c r="F145" s="210" t="s">
        <v>86</v>
      </c>
      <c r="G145" s="210" t="s">
        <v>716</v>
      </c>
      <c r="H145" s="197">
        <v>0</v>
      </c>
      <c r="I145" s="210" t="s">
        <v>229</v>
      </c>
      <c r="J145" s="210">
        <v>2020</v>
      </c>
      <c r="K145" s="210">
        <v>2020</v>
      </c>
      <c r="L145" s="268" t="str">
        <f t="shared" si="36"/>
        <v>Simple</v>
      </c>
      <c r="M145" s="197">
        <v>39209.845889074706</v>
      </c>
      <c r="N145" s="197">
        <v>0</v>
      </c>
      <c r="O145" s="257">
        <f>IF(ISNA(MATCH(H145,'Operating leases'!$B$32:$B$43,0)),0,INDEX('Operating leases'!$M$32:$S$43,MATCH(H145,'Operating leases'!$B$32:$B$43,0),MATCH(J145,'Operating leases'!$M$11:$S$11,0)))</f>
        <v>0</v>
      </c>
      <c r="P145" s="257">
        <f t="shared" si="37"/>
        <v>39209.845889074706</v>
      </c>
      <c r="Q145" s="257">
        <f t="shared" si="38"/>
        <v>39209.845889074706</v>
      </c>
      <c r="R145" s="258">
        <f>INDEX('Escalators '!$M$124:$S$129,MATCH(I145,'Escalators '!$B$124:$B$129,0),MATCH(J145,'Escalators '!$M$113:$S$113,0))</f>
        <v>1</v>
      </c>
      <c r="S145" s="257">
        <f t="shared" si="39"/>
        <v>0</v>
      </c>
      <c r="T145" s="257">
        <f t="shared" si="40"/>
        <v>0</v>
      </c>
      <c r="U145" s="269">
        <f t="shared" si="41"/>
        <v>39209.845889074706</v>
      </c>
      <c r="V145" s="269">
        <f t="shared" si="42"/>
        <v>39209.845889074706</v>
      </c>
      <c r="W145" s="269">
        <f t="shared" si="43"/>
        <v>39209.845889074706</v>
      </c>
      <c r="X145" s="257">
        <f t="shared" si="44"/>
        <v>39209.845889074706</v>
      </c>
      <c r="Y145" s="270">
        <f>IF(L145="Complex",(INDEX('Escalators '!$M$176:$S$176,MATCH('Forecast capex'!J145,'Escalators '!$M$178:$S$178,0))/12+1)^((K145-J145)*12)-1,0)</f>
        <v>0</v>
      </c>
      <c r="Z145" s="257">
        <f t="shared" si="45"/>
        <v>0</v>
      </c>
      <c r="AA145" s="257">
        <f t="shared" si="46"/>
        <v>0</v>
      </c>
      <c r="AB145" s="269">
        <f t="shared" si="47"/>
        <v>0</v>
      </c>
      <c r="AC145" s="269">
        <f t="shared" si="48"/>
        <v>0</v>
      </c>
      <c r="AD145" s="271" t="str">
        <f>INDEX('Global inputs'!$C$134:$C$171,MATCH(F145,'Global inputs'!$B$134:$B$171,0))</f>
        <v xml:space="preserve">System growth </v>
      </c>
      <c r="AE145" s="272">
        <f>IF(OR(H145='Operating leases'!$B$32,H145='Operating leases'!$B$33),"",INDEX('Global inputs'!$C$186:$C$243,MATCH(E145,'Global inputs'!$B$186:$B$243,0)))</f>
        <v>0.1</v>
      </c>
    </row>
    <row r="146" spans="1:31" s="27" customFormat="1" x14ac:dyDescent="0.2">
      <c r="A146" s="250"/>
      <c r="B146" s="210" t="s">
        <v>746</v>
      </c>
      <c r="C146" s="210" t="s">
        <v>287</v>
      </c>
      <c r="D146" s="210" t="s">
        <v>715</v>
      </c>
      <c r="E146" s="210" t="s">
        <v>154</v>
      </c>
      <c r="F146" s="210" t="s">
        <v>86</v>
      </c>
      <c r="G146" s="210" t="s">
        <v>716</v>
      </c>
      <c r="H146" s="197">
        <v>0</v>
      </c>
      <c r="I146" s="210" t="s">
        <v>221</v>
      </c>
      <c r="J146" s="210">
        <v>2020</v>
      </c>
      <c r="K146" s="210">
        <v>2020</v>
      </c>
      <c r="L146" s="268" t="str">
        <f t="shared" si="36"/>
        <v>Simple</v>
      </c>
      <c r="M146" s="197">
        <v>39209.845889074706</v>
      </c>
      <c r="N146" s="197">
        <v>0</v>
      </c>
      <c r="O146" s="257">
        <f>IF(ISNA(MATCH(H146,'Operating leases'!$B$32:$B$43,0)),0,INDEX('Operating leases'!$M$32:$S$43,MATCH(H146,'Operating leases'!$B$32:$B$43,0),MATCH(J146,'Operating leases'!$M$11:$S$11,0)))</f>
        <v>0</v>
      </c>
      <c r="P146" s="257">
        <f t="shared" si="37"/>
        <v>39209.845889074706</v>
      </c>
      <c r="Q146" s="257">
        <f t="shared" si="38"/>
        <v>39209.845889074706</v>
      </c>
      <c r="R146" s="258">
        <f>INDEX('Escalators '!$M$124:$S$129,MATCH(I146,'Escalators '!$B$124:$B$129,0),MATCH(J146,'Escalators '!$M$113:$S$113,0))</f>
        <v>1</v>
      </c>
      <c r="S146" s="257">
        <f t="shared" si="39"/>
        <v>0</v>
      </c>
      <c r="T146" s="257">
        <f t="shared" si="40"/>
        <v>0</v>
      </c>
      <c r="U146" s="269">
        <f t="shared" si="41"/>
        <v>39209.845889074706</v>
      </c>
      <c r="V146" s="269">
        <f t="shared" si="42"/>
        <v>39209.845889074706</v>
      </c>
      <c r="W146" s="269">
        <f t="shared" si="43"/>
        <v>39209.845889074706</v>
      </c>
      <c r="X146" s="257">
        <f t="shared" si="44"/>
        <v>39209.845889074706</v>
      </c>
      <c r="Y146" s="270">
        <f>IF(L146="Complex",(INDEX('Escalators '!$M$176:$S$176,MATCH('Forecast capex'!J146,'Escalators '!$M$178:$S$178,0))/12+1)^((K146-J146)*12)-1,0)</f>
        <v>0</v>
      </c>
      <c r="Z146" s="257">
        <f t="shared" si="45"/>
        <v>0</v>
      </c>
      <c r="AA146" s="257">
        <f t="shared" si="46"/>
        <v>0</v>
      </c>
      <c r="AB146" s="269">
        <f t="shared" si="47"/>
        <v>0</v>
      </c>
      <c r="AC146" s="269">
        <f t="shared" si="48"/>
        <v>0</v>
      </c>
      <c r="AD146" s="271" t="str">
        <f>INDEX('Global inputs'!$C$134:$C$171,MATCH(F146,'Global inputs'!$B$134:$B$171,0))</f>
        <v xml:space="preserve">System growth </v>
      </c>
      <c r="AE146" s="272">
        <f>IF(OR(H146='Operating leases'!$B$32,H146='Operating leases'!$B$33),"",INDEX('Global inputs'!$C$186:$C$243,MATCH(E146,'Global inputs'!$B$186:$B$243,0)))</f>
        <v>0.1</v>
      </c>
    </row>
    <row r="147" spans="1:31" s="27" customFormat="1" x14ac:dyDescent="0.2">
      <c r="A147" s="250"/>
      <c r="B147" s="210" t="s">
        <v>746</v>
      </c>
      <c r="C147" s="210" t="s">
        <v>287</v>
      </c>
      <c r="D147" s="210" t="s">
        <v>715</v>
      </c>
      <c r="E147" s="210" t="s">
        <v>150</v>
      </c>
      <c r="F147" s="210" t="s">
        <v>86</v>
      </c>
      <c r="G147" s="210" t="s">
        <v>717</v>
      </c>
      <c r="H147" s="197">
        <v>0</v>
      </c>
      <c r="I147" s="210" t="s">
        <v>229</v>
      </c>
      <c r="J147" s="210">
        <v>2020</v>
      </c>
      <c r="K147" s="210">
        <v>2020</v>
      </c>
      <c r="L147" s="268" t="str">
        <f t="shared" si="36"/>
        <v>Simple</v>
      </c>
      <c r="M147" s="197">
        <v>58814.768833612055</v>
      </c>
      <c r="N147" s="197">
        <v>0</v>
      </c>
      <c r="O147" s="257">
        <f>IF(ISNA(MATCH(H147,'Operating leases'!$B$32:$B$43,0)),0,INDEX('Operating leases'!$M$32:$S$43,MATCH(H147,'Operating leases'!$B$32:$B$43,0),MATCH(J147,'Operating leases'!$M$11:$S$11,0)))</f>
        <v>0</v>
      </c>
      <c r="P147" s="257">
        <f t="shared" si="37"/>
        <v>58814.768833612055</v>
      </c>
      <c r="Q147" s="257">
        <f t="shared" si="38"/>
        <v>58814.768833612055</v>
      </c>
      <c r="R147" s="258">
        <f>INDEX('Escalators '!$M$124:$S$129,MATCH(I147,'Escalators '!$B$124:$B$129,0),MATCH(J147,'Escalators '!$M$113:$S$113,0))</f>
        <v>1</v>
      </c>
      <c r="S147" s="257">
        <f t="shared" si="39"/>
        <v>0</v>
      </c>
      <c r="T147" s="257">
        <f t="shared" si="40"/>
        <v>0</v>
      </c>
      <c r="U147" s="269">
        <f t="shared" si="41"/>
        <v>58814.768833612055</v>
      </c>
      <c r="V147" s="269">
        <f t="shared" si="42"/>
        <v>58814.768833612055</v>
      </c>
      <c r="W147" s="269">
        <f t="shared" si="43"/>
        <v>58814.768833612055</v>
      </c>
      <c r="X147" s="257">
        <f t="shared" si="44"/>
        <v>58814.768833612055</v>
      </c>
      <c r="Y147" s="270">
        <f>IF(L147="Complex",(INDEX('Escalators '!$M$176:$S$176,MATCH('Forecast capex'!J147,'Escalators '!$M$178:$S$178,0))/12+1)^((K147-J147)*12)-1,0)</f>
        <v>0</v>
      </c>
      <c r="Z147" s="257">
        <f t="shared" si="45"/>
        <v>0</v>
      </c>
      <c r="AA147" s="257">
        <f t="shared" si="46"/>
        <v>0</v>
      </c>
      <c r="AB147" s="269">
        <f t="shared" si="47"/>
        <v>0</v>
      </c>
      <c r="AC147" s="269">
        <f t="shared" si="48"/>
        <v>0</v>
      </c>
      <c r="AD147" s="271" t="str">
        <f>INDEX('Global inputs'!$C$134:$C$171,MATCH(F147,'Global inputs'!$B$134:$B$171,0))</f>
        <v xml:space="preserve">System growth </v>
      </c>
      <c r="AE147" s="272">
        <f>IF(OR(H147='Operating leases'!$B$32,H147='Operating leases'!$B$33),"",INDEX('Global inputs'!$C$186:$C$243,MATCH(E147,'Global inputs'!$B$186:$B$243,0)))</f>
        <v>0.08</v>
      </c>
    </row>
    <row r="148" spans="1:31" s="27" customFormat="1" x14ac:dyDescent="0.2">
      <c r="A148" s="250"/>
      <c r="B148" s="210" t="s">
        <v>746</v>
      </c>
      <c r="C148" s="210" t="s">
        <v>287</v>
      </c>
      <c r="D148" s="210" t="s">
        <v>715</v>
      </c>
      <c r="E148" s="210" t="s">
        <v>150</v>
      </c>
      <c r="F148" s="210" t="s">
        <v>86</v>
      </c>
      <c r="G148" s="210" t="s">
        <v>717</v>
      </c>
      <c r="H148" s="197">
        <v>0</v>
      </c>
      <c r="I148" s="210" t="s">
        <v>221</v>
      </c>
      <c r="J148" s="210">
        <v>2020</v>
      </c>
      <c r="K148" s="210">
        <v>2020</v>
      </c>
      <c r="L148" s="268" t="str">
        <f t="shared" si="36"/>
        <v>Simple</v>
      </c>
      <c r="M148" s="197">
        <v>58814.768833612055</v>
      </c>
      <c r="N148" s="197">
        <v>0</v>
      </c>
      <c r="O148" s="257">
        <f>IF(ISNA(MATCH(H148,'Operating leases'!$B$32:$B$43,0)),0,INDEX('Operating leases'!$M$32:$S$43,MATCH(H148,'Operating leases'!$B$32:$B$43,0),MATCH(J148,'Operating leases'!$M$11:$S$11,0)))</f>
        <v>0</v>
      </c>
      <c r="P148" s="257">
        <f t="shared" si="37"/>
        <v>58814.768833612055</v>
      </c>
      <c r="Q148" s="257">
        <f t="shared" si="38"/>
        <v>58814.768833612055</v>
      </c>
      <c r="R148" s="258">
        <f>INDEX('Escalators '!$M$124:$S$129,MATCH(I148,'Escalators '!$B$124:$B$129,0),MATCH(J148,'Escalators '!$M$113:$S$113,0))</f>
        <v>1</v>
      </c>
      <c r="S148" s="257">
        <f t="shared" si="39"/>
        <v>0</v>
      </c>
      <c r="T148" s="257">
        <f t="shared" si="40"/>
        <v>0</v>
      </c>
      <c r="U148" s="269">
        <f t="shared" si="41"/>
        <v>58814.768833612055</v>
      </c>
      <c r="V148" s="269">
        <f t="shared" si="42"/>
        <v>58814.768833612055</v>
      </c>
      <c r="W148" s="269">
        <f t="shared" si="43"/>
        <v>58814.768833612055</v>
      </c>
      <c r="X148" s="257">
        <f t="shared" si="44"/>
        <v>58814.768833612055</v>
      </c>
      <c r="Y148" s="270">
        <f>IF(L148="Complex",(INDEX('Escalators '!$M$176:$S$176,MATCH('Forecast capex'!J148,'Escalators '!$M$178:$S$178,0))/12+1)^((K148-J148)*12)-1,0)</f>
        <v>0</v>
      </c>
      <c r="Z148" s="257">
        <f t="shared" si="45"/>
        <v>0</v>
      </c>
      <c r="AA148" s="257">
        <f t="shared" si="46"/>
        <v>0</v>
      </c>
      <c r="AB148" s="269">
        <f t="shared" si="47"/>
        <v>0</v>
      </c>
      <c r="AC148" s="269">
        <f t="shared" si="48"/>
        <v>0</v>
      </c>
      <c r="AD148" s="271" t="str">
        <f>INDEX('Global inputs'!$C$134:$C$171,MATCH(F148,'Global inputs'!$B$134:$B$171,0))</f>
        <v xml:space="preserve">System growth </v>
      </c>
      <c r="AE148" s="272">
        <f>IF(OR(H148='Operating leases'!$B$32,H148='Operating leases'!$B$33),"",INDEX('Global inputs'!$C$186:$C$243,MATCH(E148,'Global inputs'!$B$186:$B$243,0)))</f>
        <v>0.08</v>
      </c>
    </row>
    <row r="149" spans="1:31" s="27" customFormat="1" x14ac:dyDescent="0.2">
      <c r="A149" s="250"/>
      <c r="B149" s="210" t="s">
        <v>746</v>
      </c>
      <c r="C149" s="210" t="s">
        <v>287</v>
      </c>
      <c r="D149" s="210" t="s">
        <v>715</v>
      </c>
      <c r="E149" s="210" t="s">
        <v>151</v>
      </c>
      <c r="F149" s="210" t="s">
        <v>86</v>
      </c>
      <c r="G149" s="210" t="s">
        <v>717</v>
      </c>
      <c r="H149" s="197">
        <v>0</v>
      </c>
      <c r="I149" s="210" t="s">
        <v>229</v>
      </c>
      <c r="J149" s="210">
        <v>2020</v>
      </c>
      <c r="K149" s="210">
        <v>2020</v>
      </c>
      <c r="L149" s="268" t="str">
        <f t="shared" si="36"/>
        <v>Simple</v>
      </c>
      <c r="M149" s="197">
        <v>58814.768833612055</v>
      </c>
      <c r="N149" s="197">
        <v>0</v>
      </c>
      <c r="O149" s="257">
        <f>IF(ISNA(MATCH(H149,'Operating leases'!$B$32:$B$43,0)),0,INDEX('Operating leases'!$M$32:$S$43,MATCH(H149,'Operating leases'!$B$32:$B$43,0),MATCH(J149,'Operating leases'!$M$11:$S$11,0)))</f>
        <v>0</v>
      </c>
      <c r="P149" s="257">
        <f t="shared" si="37"/>
        <v>58814.768833612055</v>
      </c>
      <c r="Q149" s="257">
        <f t="shared" si="38"/>
        <v>58814.768833612055</v>
      </c>
      <c r="R149" s="258">
        <f>INDEX('Escalators '!$M$124:$S$129,MATCH(I149,'Escalators '!$B$124:$B$129,0),MATCH(J149,'Escalators '!$M$113:$S$113,0))</f>
        <v>1</v>
      </c>
      <c r="S149" s="257">
        <f t="shared" si="39"/>
        <v>0</v>
      </c>
      <c r="T149" s="257">
        <f t="shared" si="40"/>
        <v>0</v>
      </c>
      <c r="U149" s="269">
        <f t="shared" si="41"/>
        <v>58814.768833612055</v>
      </c>
      <c r="V149" s="269">
        <f t="shared" si="42"/>
        <v>58814.768833612055</v>
      </c>
      <c r="W149" s="269">
        <f t="shared" si="43"/>
        <v>58814.768833612055</v>
      </c>
      <c r="X149" s="257">
        <f t="shared" si="44"/>
        <v>58814.768833612055</v>
      </c>
      <c r="Y149" s="270">
        <f>IF(L149="Complex",(INDEX('Escalators '!$M$176:$S$176,MATCH('Forecast capex'!J149,'Escalators '!$M$178:$S$178,0))/12+1)^((K149-J149)*12)-1,0)</f>
        <v>0</v>
      </c>
      <c r="Z149" s="257">
        <f t="shared" si="45"/>
        <v>0</v>
      </c>
      <c r="AA149" s="257">
        <f t="shared" si="46"/>
        <v>0</v>
      </c>
      <c r="AB149" s="269">
        <f t="shared" si="47"/>
        <v>0</v>
      </c>
      <c r="AC149" s="269">
        <f t="shared" si="48"/>
        <v>0</v>
      </c>
      <c r="AD149" s="271" t="str">
        <f>INDEX('Global inputs'!$C$134:$C$171,MATCH(F149,'Global inputs'!$B$134:$B$171,0))</f>
        <v xml:space="preserve">System growth </v>
      </c>
      <c r="AE149" s="272">
        <f>IF(OR(H149='Operating leases'!$B$32,H149='Operating leases'!$B$33),"",INDEX('Global inputs'!$C$186:$C$243,MATCH(E149,'Global inputs'!$B$186:$B$243,0)))</f>
        <v>0.1</v>
      </c>
    </row>
    <row r="150" spans="1:31" s="27" customFormat="1" x14ac:dyDescent="0.2">
      <c r="A150" s="250"/>
      <c r="B150" s="210" t="s">
        <v>746</v>
      </c>
      <c r="C150" s="210" t="s">
        <v>287</v>
      </c>
      <c r="D150" s="210" t="s">
        <v>715</v>
      </c>
      <c r="E150" s="210" t="s">
        <v>151</v>
      </c>
      <c r="F150" s="210" t="s">
        <v>86</v>
      </c>
      <c r="G150" s="210" t="s">
        <v>717</v>
      </c>
      <c r="H150" s="197">
        <v>0</v>
      </c>
      <c r="I150" s="210" t="s">
        <v>221</v>
      </c>
      <c r="J150" s="210">
        <v>2020</v>
      </c>
      <c r="K150" s="210">
        <v>2020</v>
      </c>
      <c r="L150" s="268" t="str">
        <f t="shared" si="36"/>
        <v>Simple</v>
      </c>
      <c r="M150" s="197">
        <v>58814.768833612055</v>
      </c>
      <c r="N150" s="197">
        <v>0</v>
      </c>
      <c r="O150" s="257">
        <f>IF(ISNA(MATCH(H150,'Operating leases'!$B$32:$B$43,0)),0,INDEX('Operating leases'!$M$32:$S$43,MATCH(H150,'Operating leases'!$B$32:$B$43,0),MATCH(J150,'Operating leases'!$M$11:$S$11,0)))</f>
        <v>0</v>
      </c>
      <c r="P150" s="257">
        <f t="shared" si="37"/>
        <v>58814.768833612055</v>
      </c>
      <c r="Q150" s="257">
        <f t="shared" si="38"/>
        <v>58814.768833612055</v>
      </c>
      <c r="R150" s="258">
        <f>INDEX('Escalators '!$M$124:$S$129,MATCH(I150,'Escalators '!$B$124:$B$129,0),MATCH(J150,'Escalators '!$M$113:$S$113,0))</f>
        <v>1</v>
      </c>
      <c r="S150" s="257">
        <f t="shared" si="39"/>
        <v>0</v>
      </c>
      <c r="T150" s="257">
        <f t="shared" si="40"/>
        <v>0</v>
      </c>
      <c r="U150" s="269">
        <f t="shared" si="41"/>
        <v>58814.768833612055</v>
      </c>
      <c r="V150" s="269">
        <f t="shared" si="42"/>
        <v>58814.768833612055</v>
      </c>
      <c r="W150" s="269">
        <f t="shared" si="43"/>
        <v>58814.768833612055</v>
      </c>
      <c r="X150" s="257">
        <f t="shared" si="44"/>
        <v>58814.768833612055</v>
      </c>
      <c r="Y150" s="270">
        <f>IF(L150="Complex",(INDEX('Escalators '!$M$176:$S$176,MATCH('Forecast capex'!J150,'Escalators '!$M$178:$S$178,0))/12+1)^((K150-J150)*12)-1,0)</f>
        <v>0</v>
      </c>
      <c r="Z150" s="257">
        <f t="shared" si="45"/>
        <v>0</v>
      </c>
      <c r="AA150" s="257">
        <f t="shared" si="46"/>
        <v>0</v>
      </c>
      <c r="AB150" s="269">
        <f t="shared" si="47"/>
        <v>0</v>
      </c>
      <c r="AC150" s="269">
        <f t="shared" si="48"/>
        <v>0</v>
      </c>
      <c r="AD150" s="271" t="str">
        <f>INDEX('Global inputs'!$C$134:$C$171,MATCH(F150,'Global inputs'!$B$134:$B$171,0))</f>
        <v xml:space="preserve">System growth </v>
      </c>
      <c r="AE150" s="272">
        <f>IF(OR(H150='Operating leases'!$B$32,H150='Operating leases'!$B$33),"",INDEX('Global inputs'!$C$186:$C$243,MATCH(E150,'Global inputs'!$B$186:$B$243,0)))</f>
        <v>0.1</v>
      </c>
    </row>
    <row r="151" spans="1:31" s="27" customFormat="1" x14ac:dyDescent="0.2">
      <c r="A151" s="250"/>
      <c r="B151" s="210" t="s">
        <v>746</v>
      </c>
      <c r="C151" s="210" t="s">
        <v>287</v>
      </c>
      <c r="D151" s="210" t="s">
        <v>715</v>
      </c>
      <c r="E151" s="210" t="s">
        <v>153</v>
      </c>
      <c r="F151" s="210" t="s">
        <v>86</v>
      </c>
      <c r="G151" s="210" t="s">
        <v>717</v>
      </c>
      <c r="H151" s="197">
        <v>0</v>
      </c>
      <c r="I151" s="210" t="s">
        <v>229</v>
      </c>
      <c r="J151" s="210">
        <v>2020</v>
      </c>
      <c r="K151" s="210">
        <v>2020</v>
      </c>
      <c r="L151" s="268" t="str">
        <f t="shared" si="36"/>
        <v>Simple</v>
      </c>
      <c r="M151" s="197">
        <v>29407.384416806028</v>
      </c>
      <c r="N151" s="197">
        <v>0</v>
      </c>
      <c r="O151" s="257">
        <f>IF(ISNA(MATCH(H151,'Operating leases'!$B$32:$B$43,0)),0,INDEX('Operating leases'!$M$32:$S$43,MATCH(H151,'Operating leases'!$B$32:$B$43,0),MATCH(J151,'Operating leases'!$M$11:$S$11,0)))</f>
        <v>0</v>
      </c>
      <c r="P151" s="257">
        <f t="shared" si="37"/>
        <v>29407.384416806028</v>
      </c>
      <c r="Q151" s="257">
        <f t="shared" si="38"/>
        <v>29407.384416806028</v>
      </c>
      <c r="R151" s="258">
        <f>INDEX('Escalators '!$M$124:$S$129,MATCH(I151,'Escalators '!$B$124:$B$129,0),MATCH(J151,'Escalators '!$M$113:$S$113,0))</f>
        <v>1</v>
      </c>
      <c r="S151" s="257">
        <f t="shared" si="39"/>
        <v>0</v>
      </c>
      <c r="T151" s="257">
        <f t="shared" si="40"/>
        <v>0</v>
      </c>
      <c r="U151" s="269">
        <f t="shared" si="41"/>
        <v>29407.384416806028</v>
      </c>
      <c r="V151" s="269">
        <f t="shared" si="42"/>
        <v>29407.384416806028</v>
      </c>
      <c r="W151" s="269">
        <f t="shared" si="43"/>
        <v>29407.384416806028</v>
      </c>
      <c r="X151" s="257">
        <f t="shared" si="44"/>
        <v>29407.384416806028</v>
      </c>
      <c r="Y151" s="270">
        <f>IF(L151="Complex",(INDEX('Escalators '!$M$176:$S$176,MATCH('Forecast capex'!J151,'Escalators '!$M$178:$S$178,0))/12+1)^((K151-J151)*12)-1,0)</f>
        <v>0</v>
      </c>
      <c r="Z151" s="257">
        <f t="shared" si="45"/>
        <v>0</v>
      </c>
      <c r="AA151" s="257">
        <f t="shared" si="46"/>
        <v>0</v>
      </c>
      <c r="AB151" s="269">
        <f t="shared" si="47"/>
        <v>0</v>
      </c>
      <c r="AC151" s="269">
        <f t="shared" si="48"/>
        <v>0</v>
      </c>
      <c r="AD151" s="271" t="str">
        <f>INDEX('Global inputs'!$C$134:$C$171,MATCH(F151,'Global inputs'!$B$134:$B$171,0))</f>
        <v xml:space="preserve">System growth </v>
      </c>
      <c r="AE151" s="272">
        <f>IF(OR(H151='Operating leases'!$B$32,H151='Operating leases'!$B$33),"",INDEX('Global inputs'!$C$186:$C$243,MATCH(E151,'Global inputs'!$B$186:$B$243,0)))</f>
        <v>0.08</v>
      </c>
    </row>
    <row r="152" spans="1:31" s="27" customFormat="1" x14ac:dyDescent="0.2">
      <c r="A152" s="250"/>
      <c r="B152" s="210" t="s">
        <v>746</v>
      </c>
      <c r="C152" s="210" t="s">
        <v>287</v>
      </c>
      <c r="D152" s="210" t="s">
        <v>715</v>
      </c>
      <c r="E152" s="210" t="s">
        <v>153</v>
      </c>
      <c r="F152" s="210" t="s">
        <v>86</v>
      </c>
      <c r="G152" s="210" t="s">
        <v>717</v>
      </c>
      <c r="H152" s="197">
        <v>0</v>
      </c>
      <c r="I152" s="210" t="s">
        <v>221</v>
      </c>
      <c r="J152" s="210">
        <v>2020</v>
      </c>
      <c r="K152" s="210">
        <v>2020</v>
      </c>
      <c r="L152" s="268" t="str">
        <f t="shared" si="36"/>
        <v>Simple</v>
      </c>
      <c r="M152" s="197">
        <v>29407.384416806028</v>
      </c>
      <c r="N152" s="197">
        <v>0</v>
      </c>
      <c r="O152" s="257">
        <f>IF(ISNA(MATCH(H152,'Operating leases'!$B$32:$B$43,0)),0,INDEX('Operating leases'!$M$32:$S$43,MATCH(H152,'Operating leases'!$B$32:$B$43,0),MATCH(J152,'Operating leases'!$M$11:$S$11,0)))</f>
        <v>0</v>
      </c>
      <c r="P152" s="257">
        <f t="shared" si="37"/>
        <v>29407.384416806028</v>
      </c>
      <c r="Q152" s="257">
        <f t="shared" si="38"/>
        <v>29407.384416806028</v>
      </c>
      <c r="R152" s="258">
        <f>INDEX('Escalators '!$M$124:$S$129,MATCH(I152,'Escalators '!$B$124:$B$129,0),MATCH(J152,'Escalators '!$M$113:$S$113,0))</f>
        <v>1</v>
      </c>
      <c r="S152" s="257">
        <f t="shared" si="39"/>
        <v>0</v>
      </c>
      <c r="T152" s="257">
        <f t="shared" si="40"/>
        <v>0</v>
      </c>
      <c r="U152" s="269">
        <f t="shared" si="41"/>
        <v>29407.384416806028</v>
      </c>
      <c r="V152" s="269">
        <f t="shared" si="42"/>
        <v>29407.384416806028</v>
      </c>
      <c r="W152" s="269">
        <f t="shared" si="43"/>
        <v>29407.384416806028</v>
      </c>
      <c r="X152" s="257">
        <f t="shared" si="44"/>
        <v>29407.384416806028</v>
      </c>
      <c r="Y152" s="270">
        <f>IF(L152="Complex",(INDEX('Escalators '!$M$176:$S$176,MATCH('Forecast capex'!J152,'Escalators '!$M$178:$S$178,0))/12+1)^((K152-J152)*12)-1,0)</f>
        <v>0</v>
      </c>
      <c r="Z152" s="257">
        <f t="shared" si="45"/>
        <v>0</v>
      </c>
      <c r="AA152" s="257">
        <f t="shared" si="46"/>
        <v>0</v>
      </c>
      <c r="AB152" s="269">
        <f t="shared" si="47"/>
        <v>0</v>
      </c>
      <c r="AC152" s="269">
        <f t="shared" si="48"/>
        <v>0</v>
      </c>
      <c r="AD152" s="271" t="str">
        <f>INDEX('Global inputs'!$C$134:$C$171,MATCH(F152,'Global inputs'!$B$134:$B$171,0))</f>
        <v xml:space="preserve">System growth </v>
      </c>
      <c r="AE152" s="272">
        <f>IF(OR(H152='Operating leases'!$B$32,H152='Operating leases'!$B$33),"",INDEX('Global inputs'!$C$186:$C$243,MATCH(E152,'Global inputs'!$B$186:$B$243,0)))</f>
        <v>0.08</v>
      </c>
    </row>
    <row r="153" spans="1:31" s="27" customFormat="1" x14ac:dyDescent="0.2">
      <c r="A153" s="250"/>
      <c r="B153" s="210" t="s">
        <v>746</v>
      </c>
      <c r="C153" s="210" t="s">
        <v>287</v>
      </c>
      <c r="D153" s="210" t="s">
        <v>715</v>
      </c>
      <c r="E153" s="210" t="s">
        <v>154</v>
      </c>
      <c r="F153" s="210" t="s">
        <v>86</v>
      </c>
      <c r="G153" s="210" t="s">
        <v>717</v>
      </c>
      <c r="H153" s="197">
        <v>0</v>
      </c>
      <c r="I153" s="210" t="s">
        <v>229</v>
      </c>
      <c r="J153" s="210">
        <v>2020</v>
      </c>
      <c r="K153" s="210">
        <v>2020</v>
      </c>
      <c r="L153" s="268" t="str">
        <f t="shared" si="36"/>
        <v>Simple</v>
      </c>
      <c r="M153" s="197">
        <v>29407.384416806028</v>
      </c>
      <c r="N153" s="197">
        <v>0</v>
      </c>
      <c r="O153" s="257">
        <f>IF(ISNA(MATCH(H153,'Operating leases'!$B$32:$B$43,0)),0,INDEX('Operating leases'!$M$32:$S$43,MATCH(H153,'Operating leases'!$B$32:$B$43,0),MATCH(J153,'Operating leases'!$M$11:$S$11,0)))</f>
        <v>0</v>
      </c>
      <c r="P153" s="257">
        <f t="shared" si="37"/>
        <v>29407.384416806028</v>
      </c>
      <c r="Q153" s="257">
        <f t="shared" si="38"/>
        <v>29407.384416806028</v>
      </c>
      <c r="R153" s="258">
        <f>INDEX('Escalators '!$M$124:$S$129,MATCH(I153,'Escalators '!$B$124:$B$129,0),MATCH(J153,'Escalators '!$M$113:$S$113,0))</f>
        <v>1</v>
      </c>
      <c r="S153" s="257">
        <f t="shared" si="39"/>
        <v>0</v>
      </c>
      <c r="T153" s="257">
        <f t="shared" si="40"/>
        <v>0</v>
      </c>
      <c r="U153" s="269">
        <f t="shared" si="41"/>
        <v>29407.384416806028</v>
      </c>
      <c r="V153" s="269">
        <f t="shared" si="42"/>
        <v>29407.384416806028</v>
      </c>
      <c r="W153" s="269">
        <f t="shared" si="43"/>
        <v>29407.384416806028</v>
      </c>
      <c r="X153" s="257">
        <f t="shared" si="44"/>
        <v>29407.384416806028</v>
      </c>
      <c r="Y153" s="270">
        <f>IF(L153="Complex",(INDEX('Escalators '!$M$176:$S$176,MATCH('Forecast capex'!J153,'Escalators '!$M$178:$S$178,0))/12+1)^((K153-J153)*12)-1,0)</f>
        <v>0</v>
      </c>
      <c r="Z153" s="257">
        <f t="shared" si="45"/>
        <v>0</v>
      </c>
      <c r="AA153" s="257">
        <f t="shared" si="46"/>
        <v>0</v>
      </c>
      <c r="AB153" s="269">
        <f t="shared" si="47"/>
        <v>0</v>
      </c>
      <c r="AC153" s="269">
        <f t="shared" si="48"/>
        <v>0</v>
      </c>
      <c r="AD153" s="271" t="str">
        <f>INDEX('Global inputs'!$C$134:$C$171,MATCH(F153,'Global inputs'!$B$134:$B$171,0))</f>
        <v xml:space="preserve">System growth </v>
      </c>
      <c r="AE153" s="272">
        <f>IF(OR(H153='Operating leases'!$B$32,H153='Operating leases'!$B$33),"",INDEX('Global inputs'!$C$186:$C$243,MATCH(E153,'Global inputs'!$B$186:$B$243,0)))</f>
        <v>0.1</v>
      </c>
    </row>
    <row r="154" spans="1:31" s="27" customFormat="1" x14ac:dyDescent="0.2">
      <c r="A154" s="250"/>
      <c r="B154" s="210" t="s">
        <v>746</v>
      </c>
      <c r="C154" s="210" t="s">
        <v>287</v>
      </c>
      <c r="D154" s="210" t="s">
        <v>715</v>
      </c>
      <c r="E154" s="210" t="s">
        <v>154</v>
      </c>
      <c r="F154" s="210" t="s">
        <v>86</v>
      </c>
      <c r="G154" s="210" t="s">
        <v>717</v>
      </c>
      <c r="H154" s="197">
        <v>0</v>
      </c>
      <c r="I154" s="210" t="s">
        <v>221</v>
      </c>
      <c r="J154" s="210">
        <v>2020</v>
      </c>
      <c r="K154" s="210">
        <v>2020</v>
      </c>
      <c r="L154" s="268" t="str">
        <f t="shared" si="36"/>
        <v>Simple</v>
      </c>
      <c r="M154" s="197">
        <v>29407.384416806028</v>
      </c>
      <c r="N154" s="197">
        <v>0</v>
      </c>
      <c r="O154" s="257">
        <f>IF(ISNA(MATCH(H154,'Operating leases'!$B$32:$B$43,0)),0,INDEX('Operating leases'!$M$32:$S$43,MATCH(H154,'Operating leases'!$B$32:$B$43,0),MATCH(J154,'Operating leases'!$M$11:$S$11,0)))</f>
        <v>0</v>
      </c>
      <c r="P154" s="257">
        <f t="shared" si="37"/>
        <v>29407.384416806028</v>
      </c>
      <c r="Q154" s="257">
        <f t="shared" si="38"/>
        <v>29407.384416806028</v>
      </c>
      <c r="R154" s="258">
        <f>INDEX('Escalators '!$M$124:$S$129,MATCH(I154,'Escalators '!$B$124:$B$129,0),MATCH(J154,'Escalators '!$M$113:$S$113,0))</f>
        <v>1</v>
      </c>
      <c r="S154" s="257">
        <f t="shared" si="39"/>
        <v>0</v>
      </c>
      <c r="T154" s="257">
        <f t="shared" si="40"/>
        <v>0</v>
      </c>
      <c r="U154" s="269">
        <f t="shared" si="41"/>
        <v>29407.384416806028</v>
      </c>
      <c r="V154" s="269">
        <f t="shared" si="42"/>
        <v>29407.384416806028</v>
      </c>
      <c r="W154" s="269">
        <f t="shared" si="43"/>
        <v>29407.384416806028</v>
      </c>
      <c r="X154" s="257">
        <f t="shared" si="44"/>
        <v>29407.384416806028</v>
      </c>
      <c r="Y154" s="270">
        <f>IF(L154="Complex",(INDEX('Escalators '!$M$176:$S$176,MATCH('Forecast capex'!J154,'Escalators '!$M$178:$S$178,0))/12+1)^((K154-J154)*12)-1,0)</f>
        <v>0</v>
      </c>
      <c r="Z154" s="257">
        <f t="shared" si="45"/>
        <v>0</v>
      </c>
      <c r="AA154" s="257">
        <f t="shared" si="46"/>
        <v>0</v>
      </c>
      <c r="AB154" s="269">
        <f t="shared" si="47"/>
        <v>0</v>
      </c>
      <c r="AC154" s="269">
        <f t="shared" si="48"/>
        <v>0</v>
      </c>
      <c r="AD154" s="271" t="str">
        <f>INDEX('Global inputs'!$C$134:$C$171,MATCH(F154,'Global inputs'!$B$134:$B$171,0))</f>
        <v xml:space="preserve">System growth </v>
      </c>
      <c r="AE154" s="272">
        <f>IF(OR(H154='Operating leases'!$B$32,H154='Operating leases'!$B$33),"",INDEX('Global inputs'!$C$186:$C$243,MATCH(E154,'Global inputs'!$B$186:$B$243,0)))</f>
        <v>0.1</v>
      </c>
    </row>
    <row r="155" spans="1:31" s="27" customFormat="1" x14ac:dyDescent="0.2">
      <c r="A155" s="250"/>
      <c r="B155" s="210" t="s">
        <v>746</v>
      </c>
      <c r="C155" s="210" t="s">
        <v>290</v>
      </c>
      <c r="D155" s="210" t="s">
        <v>718</v>
      </c>
      <c r="E155" s="210" t="s">
        <v>169</v>
      </c>
      <c r="F155" s="210" t="s">
        <v>86</v>
      </c>
      <c r="G155" s="210" t="s">
        <v>720</v>
      </c>
      <c r="H155" s="197">
        <v>0</v>
      </c>
      <c r="I155" s="210" t="s">
        <v>229</v>
      </c>
      <c r="J155" s="210">
        <v>2020</v>
      </c>
      <c r="K155" s="210">
        <v>2020</v>
      </c>
      <c r="L155" s="268" t="str">
        <f t="shared" si="36"/>
        <v>Simple</v>
      </c>
      <c r="M155" s="197">
        <v>94103.630133779297</v>
      </c>
      <c r="N155" s="197">
        <v>0</v>
      </c>
      <c r="O155" s="257">
        <f>IF(ISNA(MATCH(H155,'Operating leases'!$B$32:$B$43,0)),0,INDEX('Operating leases'!$M$32:$S$43,MATCH(H155,'Operating leases'!$B$32:$B$43,0),MATCH(J155,'Operating leases'!$M$11:$S$11,0)))</f>
        <v>0</v>
      </c>
      <c r="P155" s="257">
        <f t="shared" si="37"/>
        <v>94103.630133779297</v>
      </c>
      <c r="Q155" s="257">
        <f t="shared" si="38"/>
        <v>94103.630133779297</v>
      </c>
      <c r="R155" s="258">
        <f>INDEX('Escalators '!$M$124:$S$129,MATCH(I155,'Escalators '!$B$124:$B$129,0),MATCH(J155,'Escalators '!$M$113:$S$113,0))</f>
        <v>1</v>
      </c>
      <c r="S155" s="257">
        <f t="shared" si="39"/>
        <v>0</v>
      </c>
      <c r="T155" s="257">
        <f t="shared" si="40"/>
        <v>0</v>
      </c>
      <c r="U155" s="269">
        <f t="shared" si="41"/>
        <v>94103.630133779297</v>
      </c>
      <c r="V155" s="269">
        <f t="shared" si="42"/>
        <v>94103.630133779297</v>
      </c>
      <c r="W155" s="269">
        <f t="shared" si="43"/>
        <v>94103.630133779297</v>
      </c>
      <c r="X155" s="257">
        <f t="shared" si="44"/>
        <v>94103.630133779297</v>
      </c>
      <c r="Y155" s="270">
        <f>IF(L155="Complex",(INDEX('Escalators '!$M$176:$S$176,MATCH('Forecast capex'!J155,'Escalators '!$M$178:$S$178,0))/12+1)^((K155-J155)*12)-1,0)</f>
        <v>0</v>
      </c>
      <c r="Z155" s="257">
        <f t="shared" si="45"/>
        <v>0</v>
      </c>
      <c r="AA155" s="257">
        <f t="shared" si="46"/>
        <v>0</v>
      </c>
      <c r="AB155" s="269">
        <f t="shared" si="47"/>
        <v>0</v>
      </c>
      <c r="AC155" s="269">
        <f t="shared" si="48"/>
        <v>0</v>
      </c>
      <c r="AD155" s="271" t="str">
        <f>INDEX('Global inputs'!$C$134:$C$171,MATCH(F155,'Global inputs'!$B$134:$B$171,0))</f>
        <v xml:space="preserve">System growth </v>
      </c>
      <c r="AE155" s="272">
        <f>IF(OR(H155='Operating leases'!$B$32,H155='Operating leases'!$B$33),"",INDEX('Global inputs'!$C$186:$C$243,MATCH(E155,'Global inputs'!$B$186:$B$243,0)))</f>
        <v>0.08</v>
      </c>
    </row>
    <row r="156" spans="1:31" s="27" customFormat="1" x14ac:dyDescent="0.2">
      <c r="A156" s="250"/>
      <c r="B156" s="210" t="s">
        <v>746</v>
      </c>
      <c r="C156" s="210" t="s">
        <v>290</v>
      </c>
      <c r="D156" s="210" t="s">
        <v>718</v>
      </c>
      <c r="E156" s="210" t="s">
        <v>169</v>
      </c>
      <c r="F156" s="210" t="s">
        <v>86</v>
      </c>
      <c r="G156" s="210" t="s">
        <v>720</v>
      </c>
      <c r="H156" s="197">
        <v>0</v>
      </c>
      <c r="I156" s="210" t="s">
        <v>221</v>
      </c>
      <c r="J156" s="210">
        <v>2020</v>
      </c>
      <c r="K156" s="210">
        <v>2020</v>
      </c>
      <c r="L156" s="268" t="str">
        <f t="shared" si="36"/>
        <v>Simple</v>
      </c>
      <c r="M156" s="197">
        <v>62735.753422519534</v>
      </c>
      <c r="N156" s="197">
        <v>0</v>
      </c>
      <c r="O156" s="257">
        <f>IF(ISNA(MATCH(H156,'Operating leases'!$B$32:$B$43,0)),0,INDEX('Operating leases'!$M$32:$S$43,MATCH(H156,'Operating leases'!$B$32:$B$43,0),MATCH(J156,'Operating leases'!$M$11:$S$11,0)))</f>
        <v>0</v>
      </c>
      <c r="P156" s="257">
        <f t="shared" si="37"/>
        <v>62735.753422519534</v>
      </c>
      <c r="Q156" s="257">
        <f t="shared" si="38"/>
        <v>62735.753422519534</v>
      </c>
      <c r="R156" s="258">
        <f>INDEX('Escalators '!$M$124:$S$129,MATCH(I156,'Escalators '!$B$124:$B$129,0),MATCH(J156,'Escalators '!$M$113:$S$113,0))</f>
        <v>1</v>
      </c>
      <c r="S156" s="257">
        <f t="shared" si="39"/>
        <v>0</v>
      </c>
      <c r="T156" s="257">
        <f t="shared" si="40"/>
        <v>0</v>
      </c>
      <c r="U156" s="269">
        <f t="shared" si="41"/>
        <v>62735.753422519534</v>
      </c>
      <c r="V156" s="269">
        <f t="shared" si="42"/>
        <v>62735.753422519534</v>
      </c>
      <c r="W156" s="269">
        <f t="shared" si="43"/>
        <v>62735.753422519534</v>
      </c>
      <c r="X156" s="257">
        <f t="shared" si="44"/>
        <v>62735.753422519534</v>
      </c>
      <c r="Y156" s="270">
        <f>IF(L156="Complex",(INDEX('Escalators '!$M$176:$S$176,MATCH('Forecast capex'!J156,'Escalators '!$M$178:$S$178,0))/12+1)^((K156-J156)*12)-1,0)</f>
        <v>0</v>
      </c>
      <c r="Z156" s="257">
        <f t="shared" si="45"/>
        <v>0</v>
      </c>
      <c r="AA156" s="257">
        <f t="shared" si="46"/>
        <v>0</v>
      </c>
      <c r="AB156" s="269">
        <f t="shared" si="47"/>
        <v>0</v>
      </c>
      <c r="AC156" s="269">
        <f t="shared" si="48"/>
        <v>0</v>
      </c>
      <c r="AD156" s="271" t="str">
        <f>INDEX('Global inputs'!$C$134:$C$171,MATCH(F156,'Global inputs'!$B$134:$B$171,0))</f>
        <v xml:space="preserve">System growth </v>
      </c>
      <c r="AE156" s="272">
        <f>IF(OR(H156='Operating leases'!$B$32,H156='Operating leases'!$B$33),"",INDEX('Global inputs'!$C$186:$C$243,MATCH(E156,'Global inputs'!$B$186:$B$243,0)))</f>
        <v>0.08</v>
      </c>
    </row>
    <row r="157" spans="1:31" s="27" customFormat="1" x14ac:dyDescent="0.2">
      <c r="A157" s="250"/>
      <c r="B157" s="210" t="s">
        <v>746</v>
      </c>
      <c r="C157" s="210" t="s">
        <v>290</v>
      </c>
      <c r="D157" s="210" t="s">
        <v>718</v>
      </c>
      <c r="E157" s="210" t="s">
        <v>171</v>
      </c>
      <c r="F157" s="210" t="s">
        <v>86</v>
      </c>
      <c r="G157" s="210" t="s">
        <v>743</v>
      </c>
      <c r="H157" s="197">
        <v>0</v>
      </c>
      <c r="I157" s="210" t="s">
        <v>229</v>
      </c>
      <c r="J157" s="210">
        <v>2020</v>
      </c>
      <c r="K157" s="210">
        <v>2020</v>
      </c>
      <c r="L157" s="268" t="str">
        <f t="shared" si="36"/>
        <v>Simple</v>
      </c>
      <c r="M157" s="197">
        <v>70577.722600334469</v>
      </c>
      <c r="N157" s="197">
        <v>0</v>
      </c>
      <c r="O157" s="257">
        <f>IF(ISNA(MATCH(H157,'Operating leases'!$B$32:$B$43,0)),0,INDEX('Operating leases'!$M$32:$S$43,MATCH(H157,'Operating leases'!$B$32:$B$43,0),MATCH(J157,'Operating leases'!$M$11:$S$11,0)))</f>
        <v>0</v>
      </c>
      <c r="P157" s="257">
        <f t="shared" si="37"/>
        <v>70577.722600334469</v>
      </c>
      <c r="Q157" s="257">
        <f t="shared" si="38"/>
        <v>70577.722600334469</v>
      </c>
      <c r="R157" s="258">
        <f>INDEX('Escalators '!$M$124:$S$129,MATCH(I157,'Escalators '!$B$124:$B$129,0),MATCH(J157,'Escalators '!$M$113:$S$113,0))</f>
        <v>1</v>
      </c>
      <c r="S157" s="257">
        <f t="shared" si="39"/>
        <v>0</v>
      </c>
      <c r="T157" s="257">
        <f t="shared" si="40"/>
        <v>0</v>
      </c>
      <c r="U157" s="269">
        <f t="shared" si="41"/>
        <v>70577.722600334469</v>
      </c>
      <c r="V157" s="269">
        <f t="shared" si="42"/>
        <v>70577.722600334469</v>
      </c>
      <c r="W157" s="269">
        <f t="shared" si="43"/>
        <v>70577.722600334469</v>
      </c>
      <c r="X157" s="257">
        <f t="shared" si="44"/>
        <v>70577.722600334469</v>
      </c>
      <c r="Y157" s="270">
        <f>IF(L157="Complex",(INDEX('Escalators '!$M$176:$S$176,MATCH('Forecast capex'!J157,'Escalators '!$M$178:$S$178,0))/12+1)^((K157-J157)*12)-1,0)</f>
        <v>0</v>
      </c>
      <c r="Z157" s="257">
        <f t="shared" si="45"/>
        <v>0</v>
      </c>
      <c r="AA157" s="257">
        <f t="shared" si="46"/>
        <v>0</v>
      </c>
      <c r="AB157" s="269">
        <f t="shared" si="47"/>
        <v>0</v>
      </c>
      <c r="AC157" s="269">
        <f t="shared" si="48"/>
        <v>0</v>
      </c>
      <c r="AD157" s="271" t="str">
        <f>INDEX('Global inputs'!$C$134:$C$171,MATCH(F157,'Global inputs'!$B$134:$B$171,0))</f>
        <v xml:space="preserve">System growth </v>
      </c>
      <c r="AE157" s="272">
        <f>IF(OR(H157='Operating leases'!$B$32,H157='Operating leases'!$B$33),"",INDEX('Global inputs'!$C$186:$C$243,MATCH(E157,'Global inputs'!$B$186:$B$243,0)))</f>
        <v>0.08</v>
      </c>
    </row>
    <row r="158" spans="1:31" s="27" customFormat="1" x14ac:dyDescent="0.2">
      <c r="A158" s="250"/>
      <c r="B158" s="210" t="s">
        <v>746</v>
      </c>
      <c r="C158" s="210" t="s">
        <v>290</v>
      </c>
      <c r="D158" s="210" t="s">
        <v>718</v>
      </c>
      <c r="E158" s="210" t="s">
        <v>171</v>
      </c>
      <c r="F158" s="210" t="s">
        <v>86</v>
      </c>
      <c r="G158" s="210" t="s">
        <v>743</v>
      </c>
      <c r="H158" s="197">
        <v>0</v>
      </c>
      <c r="I158" s="210" t="s">
        <v>221</v>
      </c>
      <c r="J158" s="210">
        <v>2020</v>
      </c>
      <c r="K158" s="210">
        <v>2020</v>
      </c>
      <c r="L158" s="268" t="str">
        <f t="shared" si="36"/>
        <v>Simple</v>
      </c>
      <c r="M158" s="197">
        <v>47051.815066889649</v>
      </c>
      <c r="N158" s="197">
        <v>0</v>
      </c>
      <c r="O158" s="257">
        <f>IF(ISNA(MATCH(H158,'Operating leases'!$B$32:$B$43,0)),0,INDEX('Operating leases'!$M$32:$S$43,MATCH(H158,'Operating leases'!$B$32:$B$43,0),MATCH(J158,'Operating leases'!$M$11:$S$11,0)))</f>
        <v>0</v>
      </c>
      <c r="P158" s="257">
        <f t="shared" si="37"/>
        <v>47051.815066889649</v>
      </c>
      <c r="Q158" s="257">
        <f t="shared" si="38"/>
        <v>47051.815066889649</v>
      </c>
      <c r="R158" s="258">
        <f>INDEX('Escalators '!$M$124:$S$129,MATCH(I158,'Escalators '!$B$124:$B$129,0),MATCH(J158,'Escalators '!$M$113:$S$113,0))</f>
        <v>1</v>
      </c>
      <c r="S158" s="257">
        <f t="shared" si="39"/>
        <v>0</v>
      </c>
      <c r="T158" s="257">
        <f t="shared" si="40"/>
        <v>0</v>
      </c>
      <c r="U158" s="269">
        <f t="shared" si="41"/>
        <v>47051.815066889649</v>
      </c>
      <c r="V158" s="269">
        <f t="shared" si="42"/>
        <v>47051.815066889649</v>
      </c>
      <c r="W158" s="269">
        <f t="shared" si="43"/>
        <v>47051.815066889649</v>
      </c>
      <c r="X158" s="257">
        <f t="shared" si="44"/>
        <v>47051.815066889649</v>
      </c>
      <c r="Y158" s="270">
        <f>IF(L158="Complex",(INDEX('Escalators '!$M$176:$S$176,MATCH('Forecast capex'!J158,'Escalators '!$M$178:$S$178,0))/12+1)^((K158-J158)*12)-1,0)</f>
        <v>0</v>
      </c>
      <c r="Z158" s="257">
        <f t="shared" si="45"/>
        <v>0</v>
      </c>
      <c r="AA158" s="257">
        <f t="shared" si="46"/>
        <v>0</v>
      </c>
      <c r="AB158" s="269">
        <f t="shared" si="47"/>
        <v>0</v>
      </c>
      <c r="AC158" s="269">
        <f t="shared" si="48"/>
        <v>0</v>
      </c>
      <c r="AD158" s="271" t="str">
        <f>INDEX('Global inputs'!$C$134:$C$171,MATCH(F158,'Global inputs'!$B$134:$B$171,0))</f>
        <v xml:space="preserve">System growth </v>
      </c>
      <c r="AE158" s="272">
        <f>IF(OR(H158='Operating leases'!$B$32,H158='Operating leases'!$B$33),"",INDEX('Global inputs'!$C$186:$C$243,MATCH(E158,'Global inputs'!$B$186:$B$243,0)))</f>
        <v>0.08</v>
      </c>
    </row>
    <row r="159" spans="1:31" s="27" customFormat="1" x14ac:dyDescent="0.2">
      <c r="A159" s="250"/>
      <c r="B159" s="210" t="s">
        <v>746</v>
      </c>
      <c r="C159" s="210" t="s">
        <v>290</v>
      </c>
      <c r="D159" s="210" t="s">
        <v>718</v>
      </c>
      <c r="E159" s="210" t="s">
        <v>170</v>
      </c>
      <c r="F159" s="210" t="s">
        <v>86</v>
      </c>
      <c r="G159" s="210" t="s">
        <v>721</v>
      </c>
      <c r="H159" s="197">
        <v>0</v>
      </c>
      <c r="I159" s="210" t="s">
        <v>229</v>
      </c>
      <c r="J159" s="210">
        <v>2020</v>
      </c>
      <c r="K159" s="210">
        <v>2020</v>
      </c>
      <c r="L159" s="268" t="str">
        <f t="shared" si="36"/>
        <v>Simple</v>
      </c>
      <c r="M159" s="197">
        <v>137234.46061176149</v>
      </c>
      <c r="N159" s="197">
        <v>0</v>
      </c>
      <c r="O159" s="257">
        <f>IF(ISNA(MATCH(H159,'Operating leases'!$B$32:$B$43,0)),0,INDEX('Operating leases'!$M$32:$S$43,MATCH(H159,'Operating leases'!$B$32:$B$43,0),MATCH(J159,'Operating leases'!$M$11:$S$11,0)))</f>
        <v>0</v>
      </c>
      <c r="P159" s="257">
        <f t="shared" si="37"/>
        <v>137234.46061176149</v>
      </c>
      <c r="Q159" s="257">
        <f t="shared" si="38"/>
        <v>137234.46061176149</v>
      </c>
      <c r="R159" s="258">
        <f>INDEX('Escalators '!$M$124:$S$129,MATCH(I159,'Escalators '!$B$124:$B$129,0),MATCH(J159,'Escalators '!$M$113:$S$113,0))</f>
        <v>1</v>
      </c>
      <c r="S159" s="257">
        <f t="shared" si="39"/>
        <v>0</v>
      </c>
      <c r="T159" s="257">
        <f t="shared" si="40"/>
        <v>0</v>
      </c>
      <c r="U159" s="269">
        <f t="shared" si="41"/>
        <v>137234.46061176149</v>
      </c>
      <c r="V159" s="269">
        <f t="shared" si="42"/>
        <v>137234.46061176149</v>
      </c>
      <c r="W159" s="269">
        <f t="shared" si="43"/>
        <v>137234.46061176149</v>
      </c>
      <c r="X159" s="257">
        <f t="shared" si="44"/>
        <v>137234.46061176149</v>
      </c>
      <c r="Y159" s="270">
        <f>IF(L159="Complex",(INDEX('Escalators '!$M$176:$S$176,MATCH('Forecast capex'!J159,'Escalators '!$M$178:$S$178,0))/12+1)^((K159-J159)*12)-1,0)</f>
        <v>0</v>
      </c>
      <c r="Z159" s="257">
        <f t="shared" si="45"/>
        <v>0</v>
      </c>
      <c r="AA159" s="257">
        <f t="shared" si="46"/>
        <v>0</v>
      </c>
      <c r="AB159" s="269">
        <f t="shared" si="47"/>
        <v>0</v>
      </c>
      <c r="AC159" s="269">
        <f t="shared" si="48"/>
        <v>0</v>
      </c>
      <c r="AD159" s="271" t="str">
        <f>INDEX('Global inputs'!$C$134:$C$171,MATCH(F159,'Global inputs'!$B$134:$B$171,0))</f>
        <v xml:space="preserve">System growth </v>
      </c>
      <c r="AE159" s="272">
        <f>IF(OR(H159='Operating leases'!$B$32,H159='Operating leases'!$B$33),"",INDEX('Global inputs'!$C$186:$C$243,MATCH(E159,'Global inputs'!$B$186:$B$243,0)))</f>
        <v>0.08</v>
      </c>
    </row>
    <row r="160" spans="1:31" s="27" customFormat="1" x14ac:dyDescent="0.2">
      <c r="A160" s="250"/>
      <c r="B160" s="210" t="s">
        <v>746</v>
      </c>
      <c r="C160" s="210" t="s">
        <v>290</v>
      </c>
      <c r="D160" s="210" t="s">
        <v>718</v>
      </c>
      <c r="E160" s="210" t="s">
        <v>170</v>
      </c>
      <c r="F160" s="210" t="s">
        <v>86</v>
      </c>
      <c r="G160" s="210" t="s">
        <v>721</v>
      </c>
      <c r="H160" s="197">
        <v>0</v>
      </c>
      <c r="I160" s="210" t="s">
        <v>221</v>
      </c>
      <c r="J160" s="210">
        <v>2020</v>
      </c>
      <c r="K160" s="210">
        <v>2020</v>
      </c>
      <c r="L160" s="268" t="str">
        <f t="shared" si="36"/>
        <v>Simple</v>
      </c>
      <c r="M160" s="197">
        <v>137234.46061176149</v>
      </c>
      <c r="N160" s="197">
        <v>0</v>
      </c>
      <c r="O160" s="257">
        <f>IF(ISNA(MATCH(H160,'Operating leases'!$B$32:$B$43,0)),0,INDEX('Operating leases'!$M$32:$S$43,MATCH(H160,'Operating leases'!$B$32:$B$43,0),MATCH(J160,'Operating leases'!$M$11:$S$11,0)))</f>
        <v>0</v>
      </c>
      <c r="P160" s="257">
        <f t="shared" si="37"/>
        <v>137234.46061176149</v>
      </c>
      <c r="Q160" s="257">
        <f t="shared" si="38"/>
        <v>137234.46061176149</v>
      </c>
      <c r="R160" s="258">
        <f>INDEX('Escalators '!$M$124:$S$129,MATCH(I160,'Escalators '!$B$124:$B$129,0),MATCH(J160,'Escalators '!$M$113:$S$113,0))</f>
        <v>1</v>
      </c>
      <c r="S160" s="257">
        <f t="shared" si="39"/>
        <v>0</v>
      </c>
      <c r="T160" s="257">
        <f t="shared" si="40"/>
        <v>0</v>
      </c>
      <c r="U160" s="269">
        <f t="shared" si="41"/>
        <v>137234.46061176149</v>
      </c>
      <c r="V160" s="269">
        <f t="shared" si="42"/>
        <v>137234.46061176149</v>
      </c>
      <c r="W160" s="269">
        <f t="shared" si="43"/>
        <v>137234.46061176149</v>
      </c>
      <c r="X160" s="257">
        <f t="shared" si="44"/>
        <v>137234.46061176149</v>
      </c>
      <c r="Y160" s="270">
        <f>IF(L160="Complex",(INDEX('Escalators '!$M$176:$S$176,MATCH('Forecast capex'!J160,'Escalators '!$M$178:$S$178,0))/12+1)^((K160-J160)*12)-1,0)</f>
        <v>0</v>
      </c>
      <c r="Z160" s="257">
        <f t="shared" si="45"/>
        <v>0</v>
      </c>
      <c r="AA160" s="257">
        <f t="shared" si="46"/>
        <v>0</v>
      </c>
      <c r="AB160" s="269">
        <f t="shared" si="47"/>
        <v>0</v>
      </c>
      <c r="AC160" s="269">
        <f t="shared" si="48"/>
        <v>0</v>
      </c>
      <c r="AD160" s="271" t="str">
        <f>INDEX('Global inputs'!$C$134:$C$171,MATCH(F160,'Global inputs'!$B$134:$B$171,0))</f>
        <v xml:space="preserve">System growth </v>
      </c>
      <c r="AE160" s="272">
        <f>IF(OR(H160='Operating leases'!$B$32,H160='Operating leases'!$B$33),"",INDEX('Global inputs'!$C$186:$C$243,MATCH(E160,'Global inputs'!$B$186:$B$243,0)))</f>
        <v>0.08</v>
      </c>
    </row>
    <row r="161" spans="1:31" s="27" customFormat="1" x14ac:dyDescent="0.2">
      <c r="A161" s="250"/>
      <c r="B161" s="210" t="s">
        <v>746</v>
      </c>
      <c r="C161" s="210" t="s">
        <v>288</v>
      </c>
      <c r="D161" s="210" t="s">
        <v>718</v>
      </c>
      <c r="E161" s="210" t="s">
        <v>160</v>
      </c>
      <c r="F161" s="210" t="s">
        <v>86</v>
      </c>
      <c r="G161" s="210" t="s">
        <v>722</v>
      </c>
      <c r="H161" s="197">
        <v>0</v>
      </c>
      <c r="I161" s="210" t="s">
        <v>229</v>
      </c>
      <c r="J161" s="210">
        <v>2020</v>
      </c>
      <c r="K161" s="210">
        <v>2020</v>
      </c>
      <c r="L161" s="268" t="str">
        <f t="shared" si="36"/>
        <v>Simple</v>
      </c>
      <c r="M161" s="197">
        <v>19604.922944537353</v>
      </c>
      <c r="N161" s="197">
        <v>0</v>
      </c>
      <c r="O161" s="257">
        <f>IF(ISNA(MATCH(H161,'Operating leases'!$B$32:$B$43,0)),0,INDEX('Operating leases'!$M$32:$S$43,MATCH(H161,'Operating leases'!$B$32:$B$43,0),MATCH(J161,'Operating leases'!$M$11:$S$11,0)))</f>
        <v>0</v>
      </c>
      <c r="P161" s="257">
        <f t="shared" si="37"/>
        <v>19604.922944537353</v>
      </c>
      <c r="Q161" s="257">
        <f t="shared" si="38"/>
        <v>19604.922944537353</v>
      </c>
      <c r="R161" s="258">
        <f>INDEX('Escalators '!$M$124:$S$129,MATCH(I161,'Escalators '!$B$124:$B$129,0),MATCH(J161,'Escalators '!$M$113:$S$113,0))</f>
        <v>1</v>
      </c>
      <c r="S161" s="257">
        <f t="shared" si="39"/>
        <v>0</v>
      </c>
      <c r="T161" s="257">
        <f t="shared" si="40"/>
        <v>0</v>
      </c>
      <c r="U161" s="269">
        <f t="shared" si="41"/>
        <v>19604.922944537353</v>
      </c>
      <c r="V161" s="269">
        <f t="shared" si="42"/>
        <v>19604.922944537353</v>
      </c>
      <c r="W161" s="269">
        <f t="shared" si="43"/>
        <v>19604.922944537353</v>
      </c>
      <c r="X161" s="257">
        <f t="shared" si="44"/>
        <v>19604.922944537353</v>
      </c>
      <c r="Y161" s="270">
        <f>IF(L161="Complex",(INDEX('Escalators '!$M$176:$S$176,MATCH('Forecast capex'!J161,'Escalators '!$M$178:$S$178,0))/12+1)^((K161-J161)*12)-1,0)</f>
        <v>0</v>
      </c>
      <c r="Z161" s="257">
        <f t="shared" si="45"/>
        <v>0</v>
      </c>
      <c r="AA161" s="257">
        <f t="shared" si="46"/>
        <v>0</v>
      </c>
      <c r="AB161" s="269">
        <f t="shared" si="47"/>
        <v>0</v>
      </c>
      <c r="AC161" s="269">
        <f t="shared" si="48"/>
        <v>0</v>
      </c>
      <c r="AD161" s="271" t="str">
        <f>INDEX('Global inputs'!$C$134:$C$171,MATCH(F161,'Global inputs'!$B$134:$B$171,0))</f>
        <v xml:space="preserve">System growth </v>
      </c>
      <c r="AE161" s="272">
        <f>IF(OR(H161='Operating leases'!$B$32,H161='Operating leases'!$B$33),"",INDEX('Global inputs'!$C$186:$C$243,MATCH(E161,'Global inputs'!$B$186:$B$243,0)))</f>
        <v>0.08</v>
      </c>
    </row>
    <row r="162" spans="1:31" s="27" customFormat="1" x14ac:dyDescent="0.2">
      <c r="A162" s="250"/>
      <c r="B162" s="210" t="s">
        <v>746</v>
      </c>
      <c r="C162" s="210" t="s">
        <v>288</v>
      </c>
      <c r="D162" s="210" t="s">
        <v>718</v>
      </c>
      <c r="E162" s="210" t="s">
        <v>160</v>
      </c>
      <c r="F162" s="210" t="s">
        <v>86</v>
      </c>
      <c r="G162" s="210" t="s">
        <v>722</v>
      </c>
      <c r="H162" s="197">
        <v>0</v>
      </c>
      <c r="I162" s="210" t="s">
        <v>221</v>
      </c>
      <c r="J162" s="210">
        <v>2020</v>
      </c>
      <c r="K162" s="210">
        <v>2020</v>
      </c>
      <c r="L162" s="268" t="str">
        <f t="shared" si="36"/>
        <v>Simple</v>
      </c>
      <c r="M162" s="197">
        <v>19604.922944537353</v>
      </c>
      <c r="N162" s="197">
        <v>0</v>
      </c>
      <c r="O162" s="257">
        <f>IF(ISNA(MATCH(H162,'Operating leases'!$B$32:$B$43,0)),0,INDEX('Operating leases'!$M$32:$S$43,MATCH(H162,'Operating leases'!$B$32:$B$43,0),MATCH(J162,'Operating leases'!$M$11:$S$11,0)))</f>
        <v>0</v>
      </c>
      <c r="P162" s="257">
        <f t="shared" si="37"/>
        <v>19604.922944537353</v>
      </c>
      <c r="Q162" s="257">
        <f t="shared" si="38"/>
        <v>19604.922944537353</v>
      </c>
      <c r="R162" s="258">
        <f>INDEX('Escalators '!$M$124:$S$129,MATCH(I162,'Escalators '!$B$124:$B$129,0),MATCH(J162,'Escalators '!$M$113:$S$113,0))</f>
        <v>1</v>
      </c>
      <c r="S162" s="257">
        <f t="shared" si="39"/>
        <v>0</v>
      </c>
      <c r="T162" s="257">
        <f t="shared" si="40"/>
        <v>0</v>
      </c>
      <c r="U162" s="269">
        <f t="shared" si="41"/>
        <v>19604.922944537353</v>
      </c>
      <c r="V162" s="269">
        <f t="shared" si="42"/>
        <v>19604.922944537353</v>
      </c>
      <c r="W162" s="269">
        <f t="shared" si="43"/>
        <v>19604.922944537353</v>
      </c>
      <c r="X162" s="257">
        <f t="shared" si="44"/>
        <v>19604.922944537353</v>
      </c>
      <c r="Y162" s="270">
        <f>IF(L162="Complex",(INDEX('Escalators '!$M$176:$S$176,MATCH('Forecast capex'!J162,'Escalators '!$M$178:$S$178,0))/12+1)^((K162-J162)*12)-1,0)</f>
        <v>0</v>
      </c>
      <c r="Z162" s="257">
        <f t="shared" si="45"/>
        <v>0</v>
      </c>
      <c r="AA162" s="257">
        <f t="shared" si="46"/>
        <v>0</v>
      </c>
      <c r="AB162" s="269">
        <f t="shared" si="47"/>
        <v>0</v>
      </c>
      <c r="AC162" s="269">
        <f t="shared" si="48"/>
        <v>0</v>
      </c>
      <c r="AD162" s="271" t="str">
        <f>INDEX('Global inputs'!$C$134:$C$171,MATCH(F162,'Global inputs'!$B$134:$B$171,0))</f>
        <v xml:space="preserve">System growth </v>
      </c>
      <c r="AE162" s="272">
        <f>IF(OR(H162='Operating leases'!$B$32,H162='Operating leases'!$B$33),"",INDEX('Global inputs'!$C$186:$C$243,MATCH(E162,'Global inputs'!$B$186:$B$243,0)))</f>
        <v>0.08</v>
      </c>
    </row>
    <row r="163" spans="1:31" s="27" customFormat="1" x14ac:dyDescent="0.2">
      <c r="A163" s="250"/>
      <c r="B163" s="210" t="s">
        <v>746</v>
      </c>
      <c r="C163" s="210" t="s">
        <v>289</v>
      </c>
      <c r="D163" s="210" t="s">
        <v>723</v>
      </c>
      <c r="E163" s="210" t="s">
        <v>164</v>
      </c>
      <c r="F163" s="210" t="s">
        <v>86</v>
      </c>
      <c r="G163" s="210" t="s">
        <v>724</v>
      </c>
      <c r="H163" s="197">
        <v>0</v>
      </c>
      <c r="I163" s="210" t="s">
        <v>139</v>
      </c>
      <c r="J163" s="210">
        <v>2020</v>
      </c>
      <c r="K163" s="210">
        <v>2020</v>
      </c>
      <c r="L163" s="268" t="str">
        <f t="shared" si="36"/>
        <v>Simple</v>
      </c>
      <c r="M163" s="197">
        <v>313678.76711259765</v>
      </c>
      <c r="N163" s="197">
        <v>0</v>
      </c>
      <c r="O163" s="257">
        <f>IF(ISNA(MATCH(H163,'Operating leases'!$B$32:$B$43,0)),0,INDEX('Operating leases'!$M$32:$S$43,MATCH(H163,'Operating leases'!$B$32:$B$43,0),MATCH(J163,'Operating leases'!$M$11:$S$11,0)))</f>
        <v>0</v>
      </c>
      <c r="P163" s="257">
        <f t="shared" si="37"/>
        <v>313678.76711259765</v>
      </c>
      <c r="Q163" s="257">
        <f t="shared" si="38"/>
        <v>313678.76711259765</v>
      </c>
      <c r="R163" s="258">
        <f>INDEX('Escalators '!$M$124:$S$129,MATCH(I163,'Escalators '!$B$124:$B$129,0),MATCH(J163,'Escalators '!$M$113:$S$113,0))</f>
        <v>1</v>
      </c>
      <c r="S163" s="257">
        <f t="shared" si="39"/>
        <v>0</v>
      </c>
      <c r="T163" s="257">
        <f t="shared" si="40"/>
        <v>0</v>
      </c>
      <c r="U163" s="269">
        <f t="shared" si="41"/>
        <v>313678.76711259765</v>
      </c>
      <c r="V163" s="269">
        <f t="shared" si="42"/>
        <v>313678.76711259765</v>
      </c>
      <c r="W163" s="269">
        <f t="shared" si="43"/>
        <v>313678.76711259765</v>
      </c>
      <c r="X163" s="257">
        <f t="shared" si="44"/>
        <v>313678.76711259765</v>
      </c>
      <c r="Y163" s="270">
        <f>IF(L163="Complex",(INDEX('Escalators '!$M$176:$S$176,MATCH('Forecast capex'!J163,'Escalators '!$M$178:$S$178,0))/12+1)^((K163-J163)*12)-1,0)</f>
        <v>0</v>
      </c>
      <c r="Z163" s="257">
        <f t="shared" si="45"/>
        <v>0</v>
      </c>
      <c r="AA163" s="257">
        <f t="shared" si="46"/>
        <v>0</v>
      </c>
      <c r="AB163" s="269">
        <f t="shared" si="47"/>
        <v>0</v>
      </c>
      <c r="AC163" s="269">
        <f t="shared" si="48"/>
        <v>0</v>
      </c>
      <c r="AD163" s="271" t="str">
        <f>INDEX('Global inputs'!$C$134:$C$171,MATCH(F163,'Global inputs'!$B$134:$B$171,0))</f>
        <v xml:space="preserve">System growth </v>
      </c>
      <c r="AE163" s="272">
        <f>IF(OR(H163='Operating leases'!$B$32,H163='Operating leases'!$B$33),"",INDEX('Global inputs'!$C$186:$C$243,MATCH(E163,'Global inputs'!$B$186:$B$243,0)))</f>
        <v>0.08</v>
      </c>
    </row>
    <row r="164" spans="1:31" s="27" customFormat="1" x14ac:dyDescent="0.2">
      <c r="A164" s="250"/>
      <c r="B164" s="210" t="s">
        <v>746</v>
      </c>
      <c r="C164" s="210" t="s">
        <v>289</v>
      </c>
      <c r="D164" s="210" t="s">
        <v>723</v>
      </c>
      <c r="E164" s="210" t="s">
        <v>164</v>
      </c>
      <c r="F164" s="210" t="s">
        <v>86</v>
      </c>
      <c r="G164" s="210" t="s">
        <v>724</v>
      </c>
      <c r="H164" s="197">
        <v>0</v>
      </c>
      <c r="I164" s="210" t="s">
        <v>221</v>
      </c>
      <c r="J164" s="210">
        <v>2020</v>
      </c>
      <c r="K164" s="210">
        <v>2020</v>
      </c>
      <c r="L164" s="268" t="str">
        <f t="shared" si="36"/>
        <v>Simple</v>
      </c>
      <c r="M164" s="197">
        <v>78419.691778149412</v>
      </c>
      <c r="N164" s="197">
        <v>0</v>
      </c>
      <c r="O164" s="257">
        <f>IF(ISNA(MATCH(H164,'Operating leases'!$B$32:$B$43,0)),0,INDEX('Operating leases'!$M$32:$S$43,MATCH(H164,'Operating leases'!$B$32:$B$43,0),MATCH(J164,'Operating leases'!$M$11:$S$11,0)))</f>
        <v>0</v>
      </c>
      <c r="P164" s="257">
        <f t="shared" si="37"/>
        <v>78419.691778149412</v>
      </c>
      <c r="Q164" s="257">
        <f t="shared" si="38"/>
        <v>78419.691778149412</v>
      </c>
      <c r="R164" s="258">
        <f>INDEX('Escalators '!$M$124:$S$129,MATCH(I164,'Escalators '!$B$124:$B$129,0),MATCH(J164,'Escalators '!$M$113:$S$113,0))</f>
        <v>1</v>
      </c>
      <c r="S164" s="257">
        <f t="shared" si="39"/>
        <v>0</v>
      </c>
      <c r="T164" s="257">
        <f t="shared" si="40"/>
        <v>0</v>
      </c>
      <c r="U164" s="269">
        <f t="shared" si="41"/>
        <v>78419.691778149412</v>
      </c>
      <c r="V164" s="269">
        <f t="shared" si="42"/>
        <v>78419.691778149412</v>
      </c>
      <c r="W164" s="269">
        <f t="shared" si="43"/>
        <v>78419.691778149412</v>
      </c>
      <c r="X164" s="257">
        <f t="shared" si="44"/>
        <v>78419.691778149412</v>
      </c>
      <c r="Y164" s="270">
        <f>IF(L164="Complex",(INDEX('Escalators '!$M$176:$S$176,MATCH('Forecast capex'!J164,'Escalators '!$M$178:$S$178,0))/12+1)^((K164-J164)*12)-1,0)</f>
        <v>0</v>
      </c>
      <c r="Z164" s="257">
        <f t="shared" si="45"/>
        <v>0</v>
      </c>
      <c r="AA164" s="257">
        <f t="shared" si="46"/>
        <v>0</v>
      </c>
      <c r="AB164" s="269">
        <f t="shared" si="47"/>
        <v>0</v>
      </c>
      <c r="AC164" s="269">
        <f t="shared" si="48"/>
        <v>0</v>
      </c>
      <c r="AD164" s="271" t="str">
        <f>INDEX('Global inputs'!$C$134:$C$171,MATCH(F164,'Global inputs'!$B$134:$B$171,0))</f>
        <v xml:space="preserve">System growth </v>
      </c>
      <c r="AE164" s="272">
        <f>IF(OR(H164='Operating leases'!$B$32,H164='Operating leases'!$B$33),"",INDEX('Global inputs'!$C$186:$C$243,MATCH(E164,'Global inputs'!$B$186:$B$243,0)))</f>
        <v>0.08</v>
      </c>
    </row>
    <row r="165" spans="1:31" s="27" customFormat="1" x14ac:dyDescent="0.2">
      <c r="A165" s="250"/>
      <c r="B165" s="210" t="s">
        <v>746</v>
      </c>
      <c r="C165" s="210" t="s">
        <v>289</v>
      </c>
      <c r="D165" s="210" t="s">
        <v>723</v>
      </c>
      <c r="E165" s="210" t="s">
        <v>163</v>
      </c>
      <c r="F165" s="210" t="s">
        <v>86</v>
      </c>
      <c r="G165" s="210" t="s">
        <v>725</v>
      </c>
      <c r="H165" s="197">
        <v>0</v>
      </c>
      <c r="I165" s="210" t="s">
        <v>139</v>
      </c>
      <c r="J165" s="210">
        <v>2020</v>
      </c>
      <c r="K165" s="210">
        <v>2020</v>
      </c>
      <c r="L165" s="268" t="str">
        <f t="shared" si="36"/>
        <v>Simple</v>
      </c>
      <c r="M165" s="197">
        <v>94103.630133779297</v>
      </c>
      <c r="N165" s="197">
        <v>0</v>
      </c>
      <c r="O165" s="257">
        <f>IF(ISNA(MATCH(H165,'Operating leases'!$B$32:$B$43,0)),0,INDEX('Operating leases'!$M$32:$S$43,MATCH(H165,'Operating leases'!$B$32:$B$43,0),MATCH(J165,'Operating leases'!$M$11:$S$11,0)))</f>
        <v>0</v>
      </c>
      <c r="P165" s="257">
        <f t="shared" si="37"/>
        <v>94103.630133779297</v>
      </c>
      <c r="Q165" s="257">
        <f t="shared" si="38"/>
        <v>94103.630133779297</v>
      </c>
      <c r="R165" s="258">
        <f>INDEX('Escalators '!$M$124:$S$129,MATCH(I165,'Escalators '!$B$124:$B$129,0),MATCH(J165,'Escalators '!$M$113:$S$113,0))</f>
        <v>1</v>
      </c>
      <c r="S165" s="257">
        <f t="shared" si="39"/>
        <v>0</v>
      </c>
      <c r="T165" s="257">
        <f t="shared" si="40"/>
        <v>0</v>
      </c>
      <c r="U165" s="269">
        <f t="shared" si="41"/>
        <v>94103.630133779297</v>
      </c>
      <c r="V165" s="269">
        <f t="shared" si="42"/>
        <v>94103.630133779297</v>
      </c>
      <c r="W165" s="269">
        <f t="shared" si="43"/>
        <v>94103.630133779297</v>
      </c>
      <c r="X165" s="257">
        <f t="shared" si="44"/>
        <v>94103.630133779297</v>
      </c>
      <c r="Y165" s="270">
        <f>IF(L165="Complex",(INDEX('Escalators '!$M$176:$S$176,MATCH('Forecast capex'!J165,'Escalators '!$M$178:$S$178,0))/12+1)^((K165-J165)*12)-1,0)</f>
        <v>0</v>
      </c>
      <c r="Z165" s="257">
        <f t="shared" si="45"/>
        <v>0</v>
      </c>
      <c r="AA165" s="257">
        <f t="shared" si="46"/>
        <v>0</v>
      </c>
      <c r="AB165" s="269">
        <f t="shared" si="47"/>
        <v>0</v>
      </c>
      <c r="AC165" s="269">
        <f t="shared" si="48"/>
        <v>0</v>
      </c>
      <c r="AD165" s="271" t="str">
        <f>INDEX('Global inputs'!$C$134:$C$171,MATCH(F165,'Global inputs'!$B$134:$B$171,0))</f>
        <v xml:space="preserve">System growth </v>
      </c>
      <c r="AE165" s="272">
        <f>IF(OR(H165='Operating leases'!$B$32,H165='Operating leases'!$B$33),"",INDEX('Global inputs'!$C$186:$C$243,MATCH(E165,'Global inputs'!$B$186:$B$243,0)))</f>
        <v>0.08</v>
      </c>
    </row>
    <row r="166" spans="1:31" s="27" customFormat="1" x14ac:dyDescent="0.2">
      <c r="A166" s="250"/>
      <c r="B166" s="210" t="s">
        <v>746</v>
      </c>
      <c r="C166" s="210" t="s">
        <v>289</v>
      </c>
      <c r="D166" s="210" t="s">
        <v>723</v>
      </c>
      <c r="E166" s="210" t="s">
        <v>163</v>
      </c>
      <c r="F166" s="210" t="s">
        <v>86</v>
      </c>
      <c r="G166" s="210" t="s">
        <v>725</v>
      </c>
      <c r="H166" s="197">
        <v>0</v>
      </c>
      <c r="I166" s="210" t="s">
        <v>221</v>
      </c>
      <c r="J166" s="210">
        <v>2020</v>
      </c>
      <c r="K166" s="210">
        <v>2020</v>
      </c>
      <c r="L166" s="268" t="str">
        <f t="shared" si="36"/>
        <v>Simple</v>
      </c>
      <c r="M166" s="197">
        <v>23525.907533444824</v>
      </c>
      <c r="N166" s="197">
        <v>0</v>
      </c>
      <c r="O166" s="257">
        <f>IF(ISNA(MATCH(H166,'Operating leases'!$B$32:$B$43,0)),0,INDEX('Operating leases'!$M$32:$S$43,MATCH(H166,'Operating leases'!$B$32:$B$43,0),MATCH(J166,'Operating leases'!$M$11:$S$11,0)))</f>
        <v>0</v>
      </c>
      <c r="P166" s="257">
        <f t="shared" si="37"/>
        <v>23525.907533444824</v>
      </c>
      <c r="Q166" s="257">
        <f t="shared" si="38"/>
        <v>23525.907533444824</v>
      </c>
      <c r="R166" s="258">
        <f>INDEX('Escalators '!$M$124:$S$129,MATCH(I166,'Escalators '!$B$124:$B$129,0),MATCH(J166,'Escalators '!$M$113:$S$113,0))</f>
        <v>1</v>
      </c>
      <c r="S166" s="257">
        <f t="shared" si="39"/>
        <v>0</v>
      </c>
      <c r="T166" s="257">
        <f t="shared" si="40"/>
        <v>0</v>
      </c>
      <c r="U166" s="269">
        <f t="shared" si="41"/>
        <v>23525.907533444824</v>
      </c>
      <c r="V166" s="269">
        <f t="shared" si="42"/>
        <v>23525.907533444824</v>
      </c>
      <c r="W166" s="269">
        <f t="shared" si="43"/>
        <v>23525.907533444824</v>
      </c>
      <c r="X166" s="257">
        <f t="shared" si="44"/>
        <v>23525.907533444824</v>
      </c>
      <c r="Y166" s="270">
        <f>IF(L166="Complex",(INDEX('Escalators '!$M$176:$S$176,MATCH('Forecast capex'!J166,'Escalators '!$M$178:$S$178,0))/12+1)^((K166-J166)*12)-1,0)</f>
        <v>0</v>
      </c>
      <c r="Z166" s="257">
        <f t="shared" si="45"/>
        <v>0</v>
      </c>
      <c r="AA166" s="257">
        <f t="shared" si="46"/>
        <v>0</v>
      </c>
      <c r="AB166" s="269">
        <f t="shared" si="47"/>
        <v>0</v>
      </c>
      <c r="AC166" s="269">
        <f t="shared" si="48"/>
        <v>0</v>
      </c>
      <c r="AD166" s="271" t="str">
        <f>INDEX('Global inputs'!$C$134:$C$171,MATCH(F166,'Global inputs'!$B$134:$B$171,0))</f>
        <v xml:space="preserve">System growth </v>
      </c>
      <c r="AE166" s="272">
        <f>IF(OR(H166='Operating leases'!$B$32,H166='Operating leases'!$B$33),"",INDEX('Global inputs'!$C$186:$C$243,MATCH(E166,'Global inputs'!$B$186:$B$243,0)))</f>
        <v>0.08</v>
      </c>
    </row>
    <row r="167" spans="1:31" s="27" customFormat="1" x14ac:dyDescent="0.2">
      <c r="A167" s="250"/>
      <c r="B167" s="210" t="s">
        <v>746</v>
      </c>
      <c r="C167" s="210" t="s">
        <v>290</v>
      </c>
      <c r="D167" s="210" t="s">
        <v>723</v>
      </c>
      <c r="E167" s="210" t="s">
        <v>172</v>
      </c>
      <c r="F167" s="210" t="s">
        <v>86</v>
      </c>
      <c r="G167" s="210" t="s">
        <v>747</v>
      </c>
      <c r="H167" s="197">
        <v>0</v>
      </c>
      <c r="I167" s="210" t="s">
        <v>139</v>
      </c>
      <c r="J167" s="210">
        <v>2020</v>
      </c>
      <c r="K167" s="210">
        <v>2020</v>
      </c>
      <c r="L167" s="268" t="str">
        <f t="shared" si="36"/>
        <v>Simple</v>
      </c>
      <c r="M167" s="197">
        <v>15683.938355629884</v>
      </c>
      <c r="N167" s="197">
        <v>0</v>
      </c>
      <c r="O167" s="257">
        <f>IF(ISNA(MATCH(H167,'Operating leases'!$B$32:$B$43,0)),0,INDEX('Operating leases'!$M$32:$S$43,MATCH(H167,'Operating leases'!$B$32:$B$43,0),MATCH(J167,'Operating leases'!$M$11:$S$11,0)))</f>
        <v>0</v>
      </c>
      <c r="P167" s="257">
        <f t="shared" si="37"/>
        <v>15683.938355629884</v>
      </c>
      <c r="Q167" s="257">
        <f t="shared" si="38"/>
        <v>15683.938355629884</v>
      </c>
      <c r="R167" s="258">
        <f>INDEX('Escalators '!$M$124:$S$129,MATCH(I167,'Escalators '!$B$124:$B$129,0),MATCH(J167,'Escalators '!$M$113:$S$113,0))</f>
        <v>1</v>
      </c>
      <c r="S167" s="257">
        <f t="shared" si="39"/>
        <v>0</v>
      </c>
      <c r="T167" s="257">
        <f t="shared" si="40"/>
        <v>0</v>
      </c>
      <c r="U167" s="269">
        <f t="shared" si="41"/>
        <v>15683.938355629884</v>
      </c>
      <c r="V167" s="269">
        <f t="shared" si="42"/>
        <v>15683.938355629884</v>
      </c>
      <c r="W167" s="269">
        <f t="shared" si="43"/>
        <v>15683.938355629884</v>
      </c>
      <c r="X167" s="257">
        <f t="shared" si="44"/>
        <v>15683.938355629884</v>
      </c>
      <c r="Y167" s="270">
        <f>IF(L167="Complex",(INDEX('Escalators '!$M$176:$S$176,MATCH('Forecast capex'!J167,'Escalators '!$M$178:$S$178,0))/12+1)^((K167-J167)*12)-1,0)</f>
        <v>0</v>
      </c>
      <c r="Z167" s="257">
        <f t="shared" si="45"/>
        <v>0</v>
      </c>
      <c r="AA167" s="257">
        <f t="shared" si="46"/>
        <v>0</v>
      </c>
      <c r="AB167" s="269">
        <f t="shared" si="47"/>
        <v>0</v>
      </c>
      <c r="AC167" s="269">
        <f t="shared" si="48"/>
        <v>0</v>
      </c>
      <c r="AD167" s="271" t="str">
        <f>INDEX('Global inputs'!$C$134:$C$171,MATCH(F167,'Global inputs'!$B$134:$B$171,0))</f>
        <v xml:space="preserve">System growth </v>
      </c>
      <c r="AE167" s="272">
        <f>IF(OR(H167='Operating leases'!$B$32,H167='Operating leases'!$B$33),"",INDEX('Global inputs'!$C$186:$C$243,MATCH(E167,'Global inputs'!$B$186:$B$243,0)))</f>
        <v>0.08</v>
      </c>
    </row>
    <row r="168" spans="1:31" s="27" customFormat="1" x14ac:dyDescent="0.2">
      <c r="A168" s="250"/>
      <c r="B168" s="210" t="s">
        <v>746</v>
      </c>
      <c r="C168" s="210" t="s">
        <v>290</v>
      </c>
      <c r="D168" s="210" t="s">
        <v>723</v>
      </c>
      <c r="E168" s="210" t="s">
        <v>172</v>
      </c>
      <c r="F168" s="210" t="s">
        <v>86</v>
      </c>
      <c r="G168" s="210" t="s">
        <v>747</v>
      </c>
      <c r="H168" s="197">
        <v>0</v>
      </c>
      <c r="I168" s="210" t="s">
        <v>221</v>
      </c>
      <c r="J168" s="210">
        <v>2020</v>
      </c>
      <c r="K168" s="210">
        <v>2020</v>
      </c>
      <c r="L168" s="268" t="str">
        <f t="shared" si="36"/>
        <v>Simple</v>
      </c>
      <c r="M168" s="197">
        <v>3920.9845889074709</v>
      </c>
      <c r="N168" s="197">
        <v>0</v>
      </c>
      <c r="O168" s="257">
        <f>IF(ISNA(MATCH(H168,'Operating leases'!$B$32:$B$43,0)),0,INDEX('Operating leases'!$M$32:$S$43,MATCH(H168,'Operating leases'!$B$32:$B$43,0),MATCH(J168,'Operating leases'!$M$11:$S$11,0)))</f>
        <v>0</v>
      </c>
      <c r="P168" s="257">
        <f t="shared" si="37"/>
        <v>3920.9845889074709</v>
      </c>
      <c r="Q168" s="257">
        <f t="shared" si="38"/>
        <v>3920.9845889074709</v>
      </c>
      <c r="R168" s="258">
        <f>INDEX('Escalators '!$M$124:$S$129,MATCH(I168,'Escalators '!$B$124:$B$129,0),MATCH(J168,'Escalators '!$M$113:$S$113,0))</f>
        <v>1</v>
      </c>
      <c r="S168" s="257">
        <f t="shared" si="39"/>
        <v>0</v>
      </c>
      <c r="T168" s="257">
        <f t="shared" si="40"/>
        <v>0</v>
      </c>
      <c r="U168" s="269">
        <f t="shared" si="41"/>
        <v>3920.9845889074709</v>
      </c>
      <c r="V168" s="269">
        <f t="shared" si="42"/>
        <v>3920.9845889074709</v>
      </c>
      <c r="W168" s="269">
        <f t="shared" si="43"/>
        <v>3920.9845889074709</v>
      </c>
      <c r="X168" s="257">
        <f t="shared" si="44"/>
        <v>3920.9845889074709</v>
      </c>
      <c r="Y168" s="270">
        <f>IF(L168="Complex",(INDEX('Escalators '!$M$176:$S$176,MATCH('Forecast capex'!J168,'Escalators '!$M$178:$S$178,0))/12+1)^((K168-J168)*12)-1,0)</f>
        <v>0</v>
      </c>
      <c r="Z168" s="257">
        <f t="shared" si="45"/>
        <v>0</v>
      </c>
      <c r="AA168" s="257">
        <f t="shared" si="46"/>
        <v>0</v>
      </c>
      <c r="AB168" s="269">
        <f t="shared" si="47"/>
        <v>0</v>
      </c>
      <c r="AC168" s="269">
        <f t="shared" si="48"/>
        <v>0</v>
      </c>
      <c r="AD168" s="271" t="str">
        <f>INDEX('Global inputs'!$C$134:$C$171,MATCH(F168,'Global inputs'!$B$134:$B$171,0))</f>
        <v xml:space="preserve">System growth </v>
      </c>
      <c r="AE168" s="272">
        <f>IF(OR(H168='Operating leases'!$B$32,H168='Operating leases'!$B$33),"",INDEX('Global inputs'!$C$186:$C$243,MATCH(E168,'Global inputs'!$B$186:$B$243,0)))</f>
        <v>0.08</v>
      </c>
    </row>
    <row r="169" spans="1:31" s="27" customFormat="1" x14ac:dyDescent="0.2">
      <c r="A169" s="250"/>
      <c r="B169" s="210" t="s">
        <v>746</v>
      </c>
      <c r="C169" s="210" t="s">
        <v>286</v>
      </c>
      <c r="D169" s="210" t="s">
        <v>735</v>
      </c>
      <c r="E169" s="210" t="s">
        <v>144</v>
      </c>
      <c r="F169" s="210" t="s">
        <v>86</v>
      </c>
      <c r="G169" s="210" t="s">
        <v>736</v>
      </c>
      <c r="H169" s="197">
        <v>0</v>
      </c>
      <c r="I169" s="210" t="s">
        <v>229</v>
      </c>
      <c r="J169" s="210">
        <v>2020</v>
      </c>
      <c r="K169" s="210">
        <v>2020</v>
      </c>
      <c r="L169" s="268" t="str">
        <f t="shared" si="36"/>
        <v>Simple</v>
      </c>
      <c r="M169" s="197">
        <v>7841.9691778149418</v>
      </c>
      <c r="N169" s="197">
        <v>0</v>
      </c>
      <c r="O169" s="257">
        <f>IF(ISNA(MATCH(H169,'Operating leases'!$B$32:$B$43,0)),0,INDEX('Operating leases'!$M$32:$S$43,MATCH(H169,'Operating leases'!$B$32:$B$43,0),MATCH(J169,'Operating leases'!$M$11:$S$11,0)))</f>
        <v>0</v>
      </c>
      <c r="P169" s="257">
        <f t="shared" si="37"/>
        <v>7841.9691778149418</v>
      </c>
      <c r="Q169" s="257">
        <f t="shared" si="38"/>
        <v>7841.9691778149418</v>
      </c>
      <c r="R169" s="258">
        <f>INDEX('Escalators '!$M$124:$S$129,MATCH(I169,'Escalators '!$B$124:$B$129,0),MATCH(J169,'Escalators '!$M$113:$S$113,0))</f>
        <v>1</v>
      </c>
      <c r="S169" s="257">
        <f t="shared" si="39"/>
        <v>0</v>
      </c>
      <c r="T169" s="257">
        <f t="shared" si="40"/>
        <v>0</v>
      </c>
      <c r="U169" s="269">
        <f t="shared" si="41"/>
        <v>7841.9691778149418</v>
      </c>
      <c r="V169" s="269">
        <f t="shared" si="42"/>
        <v>7841.9691778149418</v>
      </c>
      <c r="W169" s="269">
        <f t="shared" si="43"/>
        <v>7841.9691778149418</v>
      </c>
      <c r="X169" s="257">
        <f t="shared" si="44"/>
        <v>7841.9691778149418</v>
      </c>
      <c r="Y169" s="270">
        <f>IF(L169="Complex",(INDEX('Escalators '!$M$176:$S$176,MATCH('Forecast capex'!J169,'Escalators '!$M$178:$S$178,0))/12+1)^((K169-J169)*12)-1,0)</f>
        <v>0</v>
      </c>
      <c r="Z169" s="257">
        <f t="shared" si="45"/>
        <v>0</v>
      </c>
      <c r="AA169" s="257">
        <f t="shared" si="46"/>
        <v>0</v>
      </c>
      <c r="AB169" s="269">
        <f t="shared" si="47"/>
        <v>0</v>
      </c>
      <c r="AC169" s="269">
        <f t="shared" si="48"/>
        <v>0</v>
      </c>
      <c r="AD169" s="271" t="str">
        <f>INDEX('Global inputs'!$C$134:$C$171,MATCH(F169,'Global inputs'!$B$134:$B$171,0))</f>
        <v xml:space="preserve">System growth </v>
      </c>
      <c r="AE169" s="272">
        <f>IF(OR(H169='Operating leases'!$B$32,H169='Operating leases'!$B$33),"",INDEX('Global inputs'!$C$186:$C$243,MATCH(E169,'Global inputs'!$B$186:$B$243,0)))</f>
        <v>0.08</v>
      </c>
    </row>
    <row r="170" spans="1:31" s="27" customFormat="1" x14ac:dyDescent="0.2">
      <c r="A170" s="250"/>
      <c r="B170" s="210" t="s">
        <v>746</v>
      </c>
      <c r="C170" s="210" t="s">
        <v>286</v>
      </c>
      <c r="D170" s="210" t="s">
        <v>735</v>
      </c>
      <c r="E170" s="210" t="s">
        <v>144</v>
      </c>
      <c r="F170" s="210" t="s">
        <v>86</v>
      </c>
      <c r="G170" s="210" t="s">
        <v>736</v>
      </c>
      <c r="H170" s="197">
        <v>0</v>
      </c>
      <c r="I170" s="210" t="s">
        <v>221</v>
      </c>
      <c r="J170" s="210">
        <v>2020</v>
      </c>
      <c r="K170" s="210">
        <v>2020</v>
      </c>
      <c r="L170" s="268" t="str">
        <f t="shared" si="36"/>
        <v>Simple</v>
      </c>
      <c r="M170" s="197">
        <v>31367.876711259767</v>
      </c>
      <c r="N170" s="197">
        <v>0</v>
      </c>
      <c r="O170" s="257">
        <f>IF(ISNA(MATCH(H170,'Operating leases'!$B$32:$B$43,0)),0,INDEX('Operating leases'!$M$32:$S$43,MATCH(H170,'Operating leases'!$B$32:$B$43,0),MATCH(J170,'Operating leases'!$M$11:$S$11,0)))</f>
        <v>0</v>
      </c>
      <c r="P170" s="257">
        <f t="shared" si="37"/>
        <v>31367.876711259767</v>
      </c>
      <c r="Q170" s="257">
        <f t="shared" si="38"/>
        <v>31367.876711259767</v>
      </c>
      <c r="R170" s="258">
        <f>INDEX('Escalators '!$M$124:$S$129,MATCH(I170,'Escalators '!$B$124:$B$129,0),MATCH(J170,'Escalators '!$M$113:$S$113,0))</f>
        <v>1</v>
      </c>
      <c r="S170" s="257">
        <f t="shared" si="39"/>
        <v>0</v>
      </c>
      <c r="T170" s="257">
        <f t="shared" si="40"/>
        <v>0</v>
      </c>
      <c r="U170" s="269">
        <f t="shared" si="41"/>
        <v>31367.876711259767</v>
      </c>
      <c r="V170" s="269">
        <f t="shared" si="42"/>
        <v>31367.876711259767</v>
      </c>
      <c r="W170" s="269">
        <f t="shared" si="43"/>
        <v>31367.876711259767</v>
      </c>
      <c r="X170" s="257">
        <f t="shared" si="44"/>
        <v>31367.876711259767</v>
      </c>
      <c r="Y170" s="270">
        <f>IF(L170="Complex",(INDEX('Escalators '!$M$176:$S$176,MATCH('Forecast capex'!J170,'Escalators '!$M$178:$S$178,0))/12+1)^((K170-J170)*12)-1,0)</f>
        <v>0</v>
      </c>
      <c r="Z170" s="257">
        <f t="shared" si="45"/>
        <v>0</v>
      </c>
      <c r="AA170" s="257">
        <f t="shared" si="46"/>
        <v>0</v>
      </c>
      <c r="AB170" s="269">
        <f t="shared" si="47"/>
        <v>0</v>
      </c>
      <c r="AC170" s="269">
        <f t="shared" si="48"/>
        <v>0</v>
      </c>
      <c r="AD170" s="271" t="str">
        <f>INDEX('Global inputs'!$C$134:$C$171,MATCH(F170,'Global inputs'!$B$134:$B$171,0))</f>
        <v xml:space="preserve">System growth </v>
      </c>
      <c r="AE170" s="272">
        <f>IF(OR(H170='Operating leases'!$B$32,H170='Operating leases'!$B$33),"",INDEX('Global inputs'!$C$186:$C$243,MATCH(E170,'Global inputs'!$B$186:$B$243,0)))</f>
        <v>0.08</v>
      </c>
    </row>
    <row r="171" spans="1:31" s="27" customFormat="1" x14ac:dyDescent="0.2">
      <c r="A171" s="250"/>
      <c r="B171" s="210" t="s">
        <v>746</v>
      </c>
      <c r="C171" s="210" t="s">
        <v>291</v>
      </c>
      <c r="D171" s="210" t="s">
        <v>735</v>
      </c>
      <c r="E171" s="210" t="s">
        <v>175</v>
      </c>
      <c r="F171" s="210" t="s">
        <v>86</v>
      </c>
      <c r="G171" s="210" t="s">
        <v>748</v>
      </c>
      <c r="H171" s="197">
        <v>0</v>
      </c>
      <c r="I171" s="210" t="s">
        <v>229</v>
      </c>
      <c r="J171" s="210">
        <v>2020</v>
      </c>
      <c r="K171" s="210">
        <v>2020</v>
      </c>
      <c r="L171" s="268" t="str">
        <f t="shared" si="36"/>
        <v>Simple</v>
      </c>
      <c r="M171" s="197">
        <v>3920.9845889074709</v>
      </c>
      <c r="N171" s="197">
        <v>0</v>
      </c>
      <c r="O171" s="257">
        <f>IF(ISNA(MATCH(H171,'Operating leases'!$B$32:$B$43,0)),0,INDEX('Operating leases'!$M$32:$S$43,MATCH(H171,'Operating leases'!$B$32:$B$43,0),MATCH(J171,'Operating leases'!$M$11:$S$11,0)))</f>
        <v>0</v>
      </c>
      <c r="P171" s="257">
        <f t="shared" si="37"/>
        <v>3920.9845889074709</v>
      </c>
      <c r="Q171" s="257">
        <f t="shared" si="38"/>
        <v>3920.9845889074709</v>
      </c>
      <c r="R171" s="258">
        <f>INDEX('Escalators '!$M$124:$S$129,MATCH(I171,'Escalators '!$B$124:$B$129,0),MATCH(J171,'Escalators '!$M$113:$S$113,0))</f>
        <v>1</v>
      </c>
      <c r="S171" s="257">
        <f t="shared" si="39"/>
        <v>0</v>
      </c>
      <c r="T171" s="257">
        <f t="shared" si="40"/>
        <v>0</v>
      </c>
      <c r="U171" s="269">
        <f t="shared" si="41"/>
        <v>3920.9845889074709</v>
      </c>
      <c r="V171" s="269">
        <f t="shared" si="42"/>
        <v>3920.9845889074709</v>
      </c>
      <c r="W171" s="269">
        <f t="shared" si="43"/>
        <v>3920.9845889074709</v>
      </c>
      <c r="X171" s="257">
        <f t="shared" si="44"/>
        <v>3920.9845889074709</v>
      </c>
      <c r="Y171" s="270">
        <f>IF(L171="Complex",(INDEX('Escalators '!$M$176:$S$176,MATCH('Forecast capex'!J171,'Escalators '!$M$178:$S$178,0))/12+1)^((K171-J171)*12)-1,0)</f>
        <v>0</v>
      </c>
      <c r="Z171" s="257">
        <f t="shared" si="45"/>
        <v>0</v>
      </c>
      <c r="AA171" s="257">
        <f t="shared" si="46"/>
        <v>0</v>
      </c>
      <c r="AB171" s="269">
        <f t="shared" si="47"/>
        <v>0</v>
      </c>
      <c r="AC171" s="269">
        <f t="shared" si="48"/>
        <v>0</v>
      </c>
      <c r="AD171" s="271" t="str">
        <f>INDEX('Global inputs'!$C$134:$C$171,MATCH(F171,'Global inputs'!$B$134:$B$171,0))</f>
        <v xml:space="preserve">System growth </v>
      </c>
      <c r="AE171" s="272">
        <f>IF(OR(H171='Operating leases'!$B$32,H171='Operating leases'!$B$33),"",INDEX('Global inputs'!$C$186:$C$243,MATCH(E171,'Global inputs'!$B$186:$B$243,0)))</f>
        <v>0.1</v>
      </c>
    </row>
    <row r="172" spans="1:31" s="27" customFormat="1" x14ac:dyDescent="0.2">
      <c r="A172" s="250"/>
      <c r="B172" s="210" t="s">
        <v>746</v>
      </c>
      <c r="C172" s="210" t="s">
        <v>291</v>
      </c>
      <c r="D172" s="210" t="s">
        <v>735</v>
      </c>
      <c r="E172" s="210" t="s">
        <v>175</v>
      </c>
      <c r="F172" s="210" t="s">
        <v>86</v>
      </c>
      <c r="G172" s="210" t="s">
        <v>748</v>
      </c>
      <c r="H172" s="197">
        <v>0</v>
      </c>
      <c r="I172" s="210" t="s">
        <v>221</v>
      </c>
      <c r="J172" s="210">
        <v>2020</v>
      </c>
      <c r="K172" s="210">
        <v>2020</v>
      </c>
      <c r="L172" s="268" t="str">
        <f t="shared" si="36"/>
        <v>Simple</v>
      </c>
      <c r="M172" s="197">
        <v>15683.938355629884</v>
      </c>
      <c r="N172" s="197">
        <v>0</v>
      </c>
      <c r="O172" s="257">
        <f>IF(ISNA(MATCH(H172,'Operating leases'!$B$32:$B$43,0)),0,INDEX('Operating leases'!$M$32:$S$43,MATCH(H172,'Operating leases'!$B$32:$B$43,0),MATCH(J172,'Operating leases'!$M$11:$S$11,0)))</f>
        <v>0</v>
      </c>
      <c r="P172" s="257">
        <f t="shared" si="37"/>
        <v>15683.938355629884</v>
      </c>
      <c r="Q172" s="257">
        <f t="shared" si="38"/>
        <v>15683.938355629884</v>
      </c>
      <c r="R172" s="258">
        <f>INDEX('Escalators '!$M$124:$S$129,MATCH(I172,'Escalators '!$B$124:$B$129,0),MATCH(J172,'Escalators '!$M$113:$S$113,0))</f>
        <v>1</v>
      </c>
      <c r="S172" s="257">
        <f t="shared" si="39"/>
        <v>0</v>
      </c>
      <c r="T172" s="257">
        <f t="shared" si="40"/>
        <v>0</v>
      </c>
      <c r="U172" s="269">
        <f t="shared" si="41"/>
        <v>15683.938355629884</v>
      </c>
      <c r="V172" s="269">
        <f t="shared" si="42"/>
        <v>15683.938355629884</v>
      </c>
      <c r="W172" s="269">
        <f t="shared" si="43"/>
        <v>15683.938355629884</v>
      </c>
      <c r="X172" s="257">
        <f t="shared" si="44"/>
        <v>15683.938355629884</v>
      </c>
      <c r="Y172" s="270">
        <f>IF(L172="Complex",(INDEX('Escalators '!$M$176:$S$176,MATCH('Forecast capex'!J172,'Escalators '!$M$178:$S$178,0))/12+1)^((K172-J172)*12)-1,0)</f>
        <v>0</v>
      </c>
      <c r="Z172" s="257">
        <f t="shared" si="45"/>
        <v>0</v>
      </c>
      <c r="AA172" s="257">
        <f t="shared" si="46"/>
        <v>0</v>
      </c>
      <c r="AB172" s="269">
        <f t="shared" si="47"/>
        <v>0</v>
      </c>
      <c r="AC172" s="269">
        <f t="shared" si="48"/>
        <v>0</v>
      </c>
      <c r="AD172" s="271" t="str">
        <f>INDEX('Global inputs'!$C$134:$C$171,MATCH(F172,'Global inputs'!$B$134:$B$171,0))</f>
        <v xml:space="preserve">System growth </v>
      </c>
      <c r="AE172" s="272">
        <f>IF(OR(H172='Operating leases'!$B$32,H172='Operating leases'!$B$33),"",INDEX('Global inputs'!$C$186:$C$243,MATCH(E172,'Global inputs'!$B$186:$B$243,0)))</f>
        <v>0.1</v>
      </c>
    </row>
    <row r="173" spans="1:31" s="27" customFormat="1" x14ac:dyDescent="0.2">
      <c r="A173" s="250"/>
      <c r="B173" s="210" t="s">
        <v>746</v>
      </c>
      <c r="C173" s="210" t="s">
        <v>288</v>
      </c>
      <c r="D173" s="210" t="s">
        <v>223</v>
      </c>
      <c r="E173" s="210" t="s">
        <v>156</v>
      </c>
      <c r="F173" s="210" t="s">
        <v>86</v>
      </c>
      <c r="G173" s="210" t="s">
        <v>727</v>
      </c>
      <c r="H173" s="197">
        <v>0</v>
      </c>
      <c r="I173" s="210" t="s">
        <v>223</v>
      </c>
      <c r="J173" s="210">
        <v>2020</v>
      </c>
      <c r="K173" s="210">
        <v>2020</v>
      </c>
      <c r="L173" s="268" t="str">
        <f t="shared" si="36"/>
        <v>Simple</v>
      </c>
      <c r="M173" s="197">
        <v>317599.75170150516</v>
      </c>
      <c r="N173" s="197">
        <v>0</v>
      </c>
      <c r="O173" s="257">
        <f>IF(ISNA(MATCH(H173,'Operating leases'!$B$32:$B$43,0)),0,INDEX('Operating leases'!$M$32:$S$43,MATCH(H173,'Operating leases'!$B$32:$B$43,0),MATCH(J173,'Operating leases'!$M$11:$S$11,0)))</f>
        <v>0</v>
      </c>
      <c r="P173" s="257">
        <f t="shared" si="37"/>
        <v>317599.75170150516</v>
      </c>
      <c r="Q173" s="257">
        <f t="shared" si="38"/>
        <v>317599.75170150516</v>
      </c>
      <c r="R173" s="258">
        <f>INDEX('Escalators '!$M$124:$S$129,MATCH(I173,'Escalators '!$B$124:$B$129,0),MATCH(J173,'Escalators '!$M$113:$S$113,0))</f>
        <v>1</v>
      </c>
      <c r="S173" s="257">
        <f t="shared" si="39"/>
        <v>0</v>
      </c>
      <c r="T173" s="257">
        <f t="shared" si="40"/>
        <v>0</v>
      </c>
      <c r="U173" s="269">
        <f t="shared" si="41"/>
        <v>317599.75170150516</v>
      </c>
      <c r="V173" s="269">
        <f t="shared" si="42"/>
        <v>317599.75170150516</v>
      </c>
      <c r="W173" s="269">
        <f t="shared" si="43"/>
        <v>317599.75170150516</v>
      </c>
      <c r="X173" s="257">
        <f t="shared" si="44"/>
        <v>317599.75170150516</v>
      </c>
      <c r="Y173" s="270">
        <f>IF(L173="Complex",(INDEX('Escalators '!$M$176:$S$176,MATCH('Forecast capex'!J173,'Escalators '!$M$178:$S$178,0))/12+1)^((K173-J173)*12)-1,0)</f>
        <v>0</v>
      </c>
      <c r="Z173" s="257">
        <f t="shared" si="45"/>
        <v>0</v>
      </c>
      <c r="AA173" s="257">
        <f t="shared" si="46"/>
        <v>0</v>
      </c>
      <c r="AB173" s="269">
        <f t="shared" si="47"/>
        <v>0</v>
      </c>
      <c r="AC173" s="269">
        <f t="shared" si="48"/>
        <v>0</v>
      </c>
      <c r="AD173" s="271" t="str">
        <f>INDEX('Global inputs'!$C$134:$C$171,MATCH(F173,'Global inputs'!$B$134:$B$171,0))</f>
        <v xml:space="preserve">System growth </v>
      </c>
      <c r="AE173" s="272">
        <f>IF(OR(H173='Operating leases'!$B$32,H173='Operating leases'!$B$33),"",INDEX('Global inputs'!$C$186:$C$243,MATCH(E173,'Global inputs'!$B$186:$B$243,0)))</f>
        <v>0.08</v>
      </c>
    </row>
    <row r="174" spans="1:31" s="27" customFormat="1" x14ac:dyDescent="0.2">
      <c r="A174" s="250"/>
      <c r="B174" s="210" t="s">
        <v>746</v>
      </c>
      <c r="C174" s="210" t="s">
        <v>288</v>
      </c>
      <c r="D174" s="210" t="s">
        <v>223</v>
      </c>
      <c r="E174" s="210" t="s">
        <v>156</v>
      </c>
      <c r="F174" s="210" t="s">
        <v>86</v>
      </c>
      <c r="G174" s="210" t="s">
        <v>727</v>
      </c>
      <c r="H174" s="197">
        <v>0</v>
      </c>
      <c r="I174" s="210" t="s">
        <v>221</v>
      </c>
      <c r="J174" s="210">
        <v>2020</v>
      </c>
      <c r="K174" s="210">
        <v>2020</v>
      </c>
      <c r="L174" s="268" t="str">
        <f t="shared" si="36"/>
        <v>Simple</v>
      </c>
      <c r="M174" s="197">
        <v>741066.08730351203</v>
      </c>
      <c r="N174" s="197">
        <v>0</v>
      </c>
      <c r="O174" s="257">
        <f>IF(ISNA(MATCH(H174,'Operating leases'!$B$32:$B$43,0)),0,INDEX('Operating leases'!$M$32:$S$43,MATCH(H174,'Operating leases'!$B$32:$B$43,0),MATCH(J174,'Operating leases'!$M$11:$S$11,0)))</f>
        <v>0</v>
      </c>
      <c r="P174" s="257">
        <f t="shared" si="37"/>
        <v>741066.08730351203</v>
      </c>
      <c r="Q174" s="257">
        <f t="shared" si="38"/>
        <v>741066.08730351203</v>
      </c>
      <c r="R174" s="258">
        <f>INDEX('Escalators '!$M$124:$S$129,MATCH(I174,'Escalators '!$B$124:$B$129,0),MATCH(J174,'Escalators '!$M$113:$S$113,0))</f>
        <v>1</v>
      </c>
      <c r="S174" s="257">
        <f t="shared" si="39"/>
        <v>0</v>
      </c>
      <c r="T174" s="257">
        <f t="shared" si="40"/>
        <v>0</v>
      </c>
      <c r="U174" s="269">
        <f t="shared" si="41"/>
        <v>741066.08730351203</v>
      </c>
      <c r="V174" s="269">
        <f t="shared" si="42"/>
        <v>741066.08730351203</v>
      </c>
      <c r="W174" s="269">
        <f t="shared" si="43"/>
        <v>741066.08730351203</v>
      </c>
      <c r="X174" s="257">
        <f t="shared" si="44"/>
        <v>741066.08730351203</v>
      </c>
      <c r="Y174" s="270">
        <f>IF(L174="Complex",(INDEX('Escalators '!$M$176:$S$176,MATCH('Forecast capex'!J174,'Escalators '!$M$178:$S$178,0))/12+1)^((K174-J174)*12)-1,0)</f>
        <v>0</v>
      </c>
      <c r="Z174" s="257">
        <f t="shared" si="45"/>
        <v>0</v>
      </c>
      <c r="AA174" s="257">
        <f t="shared" si="46"/>
        <v>0</v>
      </c>
      <c r="AB174" s="269">
        <f t="shared" si="47"/>
        <v>0</v>
      </c>
      <c r="AC174" s="269">
        <f t="shared" si="48"/>
        <v>0</v>
      </c>
      <c r="AD174" s="271" t="str">
        <f>INDEX('Global inputs'!$C$134:$C$171,MATCH(F174,'Global inputs'!$B$134:$B$171,0))</f>
        <v xml:space="preserve">System growth </v>
      </c>
      <c r="AE174" s="272">
        <f>IF(OR(H174='Operating leases'!$B$32,H174='Operating leases'!$B$33),"",INDEX('Global inputs'!$C$186:$C$243,MATCH(E174,'Global inputs'!$B$186:$B$243,0)))</f>
        <v>0.08</v>
      </c>
    </row>
    <row r="175" spans="1:31" s="27" customFormat="1" x14ac:dyDescent="0.2">
      <c r="A175" s="250"/>
      <c r="B175" s="210" t="s">
        <v>746</v>
      </c>
      <c r="C175" s="210" t="s">
        <v>288</v>
      </c>
      <c r="D175" s="210" t="s">
        <v>223</v>
      </c>
      <c r="E175" s="210" t="s">
        <v>158</v>
      </c>
      <c r="F175" s="210" t="s">
        <v>86</v>
      </c>
      <c r="G175" s="210" t="s">
        <v>728</v>
      </c>
      <c r="H175" s="197">
        <v>0</v>
      </c>
      <c r="I175" s="210" t="s">
        <v>223</v>
      </c>
      <c r="J175" s="210">
        <v>2020</v>
      </c>
      <c r="K175" s="210">
        <v>2020</v>
      </c>
      <c r="L175" s="268" t="str">
        <f t="shared" si="36"/>
        <v>Simple</v>
      </c>
      <c r="M175" s="197">
        <v>31367.876711259767</v>
      </c>
      <c r="N175" s="197">
        <v>0</v>
      </c>
      <c r="O175" s="257">
        <f>IF(ISNA(MATCH(H175,'Operating leases'!$B$32:$B$43,0)),0,INDEX('Operating leases'!$M$32:$S$43,MATCH(H175,'Operating leases'!$B$32:$B$43,0),MATCH(J175,'Operating leases'!$M$11:$S$11,0)))</f>
        <v>0</v>
      </c>
      <c r="P175" s="257">
        <f t="shared" si="37"/>
        <v>31367.876711259767</v>
      </c>
      <c r="Q175" s="257">
        <f t="shared" si="38"/>
        <v>31367.876711259767</v>
      </c>
      <c r="R175" s="258">
        <f>INDEX('Escalators '!$M$124:$S$129,MATCH(I175,'Escalators '!$B$124:$B$129,0),MATCH(J175,'Escalators '!$M$113:$S$113,0))</f>
        <v>1</v>
      </c>
      <c r="S175" s="257">
        <f t="shared" si="39"/>
        <v>0</v>
      </c>
      <c r="T175" s="257">
        <f t="shared" si="40"/>
        <v>0</v>
      </c>
      <c r="U175" s="269">
        <f t="shared" si="41"/>
        <v>31367.876711259767</v>
      </c>
      <c r="V175" s="269">
        <f t="shared" si="42"/>
        <v>31367.876711259767</v>
      </c>
      <c r="W175" s="269">
        <f t="shared" si="43"/>
        <v>31367.876711259767</v>
      </c>
      <c r="X175" s="257">
        <f t="shared" si="44"/>
        <v>31367.876711259767</v>
      </c>
      <c r="Y175" s="270">
        <f>IF(L175="Complex",(INDEX('Escalators '!$M$176:$S$176,MATCH('Forecast capex'!J175,'Escalators '!$M$178:$S$178,0))/12+1)^((K175-J175)*12)-1,0)</f>
        <v>0</v>
      </c>
      <c r="Z175" s="257">
        <f t="shared" si="45"/>
        <v>0</v>
      </c>
      <c r="AA175" s="257">
        <f t="shared" si="46"/>
        <v>0</v>
      </c>
      <c r="AB175" s="269">
        <f t="shared" si="47"/>
        <v>0</v>
      </c>
      <c r="AC175" s="269">
        <f t="shared" si="48"/>
        <v>0</v>
      </c>
      <c r="AD175" s="271" t="str">
        <f>INDEX('Global inputs'!$C$134:$C$171,MATCH(F175,'Global inputs'!$B$134:$B$171,0))</f>
        <v xml:space="preserve">System growth </v>
      </c>
      <c r="AE175" s="272">
        <f>IF(OR(H175='Operating leases'!$B$32,H175='Operating leases'!$B$33),"",INDEX('Global inputs'!$C$186:$C$243,MATCH(E175,'Global inputs'!$B$186:$B$243,0)))</f>
        <v>0.08</v>
      </c>
    </row>
    <row r="176" spans="1:31" s="27" customFormat="1" x14ac:dyDescent="0.2">
      <c r="A176" s="250"/>
      <c r="B176" s="210" t="s">
        <v>746</v>
      </c>
      <c r="C176" s="210" t="s">
        <v>288</v>
      </c>
      <c r="D176" s="210" t="s">
        <v>223</v>
      </c>
      <c r="E176" s="210" t="s">
        <v>158</v>
      </c>
      <c r="F176" s="210" t="s">
        <v>86</v>
      </c>
      <c r="G176" s="210" t="s">
        <v>728</v>
      </c>
      <c r="H176" s="197">
        <v>0</v>
      </c>
      <c r="I176" s="210" t="s">
        <v>221</v>
      </c>
      <c r="J176" s="210">
        <v>2020</v>
      </c>
      <c r="K176" s="210">
        <v>2020</v>
      </c>
      <c r="L176" s="268" t="str">
        <f t="shared" si="36"/>
        <v>Simple</v>
      </c>
      <c r="M176" s="197">
        <v>47051.815066889649</v>
      </c>
      <c r="N176" s="197">
        <v>0</v>
      </c>
      <c r="O176" s="257">
        <f>IF(ISNA(MATCH(H176,'Operating leases'!$B$32:$B$43,0)),0,INDEX('Operating leases'!$M$32:$S$43,MATCH(H176,'Operating leases'!$B$32:$B$43,0),MATCH(J176,'Operating leases'!$M$11:$S$11,0)))</f>
        <v>0</v>
      </c>
      <c r="P176" s="257">
        <f t="shared" si="37"/>
        <v>47051.815066889649</v>
      </c>
      <c r="Q176" s="257">
        <f t="shared" si="38"/>
        <v>47051.815066889649</v>
      </c>
      <c r="R176" s="258">
        <f>INDEX('Escalators '!$M$124:$S$129,MATCH(I176,'Escalators '!$B$124:$B$129,0),MATCH(J176,'Escalators '!$M$113:$S$113,0))</f>
        <v>1</v>
      </c>
      <c r="S176" s="257">
        <f t="shared" si="39"/>
        <v>0</v>
      </c>
      <c r="T176" s="257">
        <f t="shared" si="40"/>
        <v>0</v>
      </c>
      <c r="U176" s="269">
        <f t="shared" si="41"/>
        <v>47051.815066889649</v>
      </c>
      <c r="V176" s="269">
        <f t="shared" si="42"/>
        <v>47051.815066889649</v>
      </c>
      <c r="W176" s="269">
        <f t="shared" si="43"/>
        <v>47051.815066889649</v>
      </c>
      <c r="X176" s="257">
        <f t="shared" si="44"/>
        <v>47051.815066889649</v>
      </c>
      <c r="Y176" s="270">
        <f>IF(L176="Complex",(INDEX('Escalators '!$M$176:$S$176,MATCH('Forecast capex'!J176,'Escalators '!$M$178:$S$178,0))/12+1)^((K176-J176)*12)-1,0)</f>
        <v>0</v>
      </c>
      <c r="Z176" s="257">
        <f t="shared" si="45"/>
        <v>0</v>
      </c>
      <c r="AA176" s="257">
        <f t="shared" si="46"/>
        <v>0</v>
      </c>
      <c r="AB176" s="269">
        <f t="shared" si="47"/>
        <v>0</v>
      </c>
      <c r="AC176" s="269">
        <f t="shared" si="48"/>
        <v>0</v>
      </c>
      <c r="AD176" s="271" t="str">
        <f>INDEX('Global inputs'!$C$134:$C$171,MATCH(F176,'Global inputs'!$B$134:$B$171,0))</f>
        <v xml:space="preserve">System growth </v>
      </c>
      <c r="AE176" s="272">
        <f>IF(OR(H176='Operating leases'!$B$32,H176='Operating leases'!$B$33),"",INDEX('Global inputs'!$C$186:$C$243,MATCH(E176,'Global inputs'!$B$186:$B$243,0)))</f>
        <v>0.08</v>
      </c>
    </row>
    <row r="177" spans="1:31" s="27" customFormat="1" x14ac:dyDescent="0.2">
      <c r="A177" s="250"/>
      <c r="B177" s="210" t="s">
        <v>746</v>
      </c>
      <c r="C177" s="210" t="s">
        <v>287</v>
      </c>
      <c r="D177" s="210" t="s">
        <v>729</v>
      </c>
      <c r="E177" s="210" t="s">
        <v>150</v>
      </c>
      <c r="F177" s="210" t="s">
        <v>86</v>
      </c>
      <c r="G177" s="210" t="s">
        <v>731</v>
      </c>
      <c r="H177" s="197">
        <v>0</v>
      </c>
      <c r="I177" s="210" t="s">
        <v>225</v>
      </c>
      <c r="J177" s="210">
        <v>2020</v>
      </c>
      <c r="K177" s="210">
        <v>2020</v>
      </c>
      <c r="L177" s="268" t="str">
        <f t="shared" si="36"/>
        <v>Simple</v>
      </c>
      <c r="M177" s="197">
        <v>62735.753422519534</v>
      </c>
      <c r="N177" s="197">
        <v>0</v>
      </c>
      <c r="O177" s="257">
        <f>IF(ISNA(MATCH(H177,'Operating leases'!$B$32:$B$43,0)),0,INDEX('Operating leases'!$M$32:$S$43,MATCH(H177,'Operating leases'!$B$32:$B$43,0),MATCH(J177,'Operating leases'!$M$11:$S$11,0)))</f>
        <v>0</v>
      </c>
      <c r="P177" s="257">
        <f t="shared" si="37"/>
        <v>62735.753422519534</v>
      </c>
      <c r="Q177" s="257">
        <f t="shared" si="38"/>
        <v>62735.753422519534</v>
      </c>
      <c r="R177" s="258">
        <f>INDEX('Escalators '!$M$124:$S$129,MATCH(I177,'Escalators '!$B$124:$B$129,0),MATCH(J177,'Escalators '!$M$113:$S$113,0))</f>
        <v>1</v>
      </c>
      <c r="S177" s="257">
        <f t="shared" si="39"/>
        <v>0</v>
      </c>
      <c r="T177" s="257">
        <f t="shared" si="40"/>
        <v>0</v>
      </c>
      <c r="U177" s="269">
        <f t="shared" si="41"/>
        <v>62735.753422519534</v>
      </c>
      <c r="V177" s="269">
        <f t="shared" si="42"/>
        <v>62735.753422519534</v>
      </c>
      <c r="W177" s="269">
        <f t="shared" si="43"/>
        <v>62735.753422519534</v>
      </c>
      <c r="X177" s="257">
        <f t="shared" si="44"/>
        <v>62735.753422519534</v>
      </c>
      <c r="Y177" s="270">
        <f>IF(L177="Complex",(INDEX('Escalators '!$M$176:$S$176,MATCH('Forecast capex'!J177,'Escalators '!$M$178:$S$178,0))/12+1)^((K177-J177)*12)-1,0)</f>
        <v>0</v>
      </c>
      <c r="Z177" s="257">
        <f t="shared" si="45"/>
        <v>0</v>
      </c>
      <c r="AA177" s="257">
        <f t="shared" si="46"/>
        <v>0</v>
      </c>
      <c r="AB177" s="269">
        <f t="shared" si="47"/>
        <v>0</v>
      </c>
      <c r="AC177" s="269">
        <f t="shared" si="48"/>
        <v>0</v>
      </c>
      <c r="AD177" s="271" t="str">
        <f>INDEX('Global inputs'!$C$134:$C$171,MATCH(F177,'Global inputs'!$B$134:$B$171,0))</f>
        <v xml:space="preserve">System growth </v>
      </c>
      <c r="AE177" s="272">
        <f>IF(OR(H177='Operating leases'!$B$32,H177='Operating leases'!$B$33),"",INDEX('Global inputs'!$C$186:$C$243,MATCH(E177,'Global inputs'!$B$186:$B$243,0)))</f>
        <v>0.08</v>
      </c>
    </row>
    <row r="178" spans="1:31" s="27" customFormat="1" x14ac:dyDescent="0.2">
      <c r="A178" s="250"/>
      <c r="B178" s="210" t="s">
        <v>746</v>
      </c>
      <c r="C178" s="210" t="s">
        <v>287</v>
      </c>
      <c r="D178" s="210" t="s">
        <v>729</v>
      </c>
      <c r="E178" s="210" t="s">
        <v>150</v>
      </c>
      <c r="F178" s="210" t="s">
        <v>86</v>
      </c>
      <c r="G178" s="210" t="s">
        <v>731</v>
      </c>
      <c r="H178" s="197">
        <v>0</v>
      </c>
      <c r="I178" s="210" t="s">
        <v>221</v>
      </c>
      <c r="J178" s="210">
        <v>2020</v>
      </c>
      <c r="K178" s="210">
        <v>2020</v>
      </c>
      <c r="L178" s="268" t="str">
        <f t="shared" si="36"/>
        <v>Simple</v>
      </c>
      <c r="M178" s="197">
        <v>250943.01369007814</v>
      </c>
      <c r="N178" s="197">
        <v>0</v>
      </c>
      <c r="O178" s="257">
        <f>IF(ISNA(MATCH(H178,'Operating leases'!$B$32:$B$43,0)),0,INDEX('Operating leases'!$M$32:$S$43,MATCH(H178,'Operating leases'!$B$32:$B$43,0),MATCH(J178,'Operating leases'!$M$11:$S$11,0)))</f>
        <v>0</v>
      </c>
      <c r="P178" s="257">
        <f t="shared" si="37"/>
        <v>250943.01369007814</v>
      </c>
      <c r="Q178" s="257">
        <f t="shared" si="38"/>
        <v>250943.01369007814</v>
      </c>
      <c r="R178" s="258">
        <f>INDEX('Escalators '!$M$124:$S$129,MATCH(I178,'Escalators '!$B$124:$B$129,0),MATCH(J178,'Escalators '!$M$113:$S$113,0))</f>
        <v>1</v>
      </c>
      <c r="S178" s="257">
        <f t="shared" si="39"/>
        <v>0</v>
      </c>
      <c r="T178" s="257">
        <f t="shared" si="40"/>
        <v>0</v>
      </c>
      <c r="U178" s="269">
        <f t="shared" si="41"/>
        <v>250943.01369007814</v>
      </c>
      <c r="V178" s="269">
        <f t="shared" si="42"/>
        <v>250943.01369007814</v>
      </c>
      <c r="W178" s="269">
        <f t="shared" si="43"/>
        <v>250943.01369007814</v>
      </c>
      <c r="X178" s="257">
        <f t="shared" si="44"/>
        <v>250943.01369007814</v>
      </c>
      <c r="Y178" s="270">
        <f>IF(L178="Complex",(INDEX('Escalators '!$M$176:$S$176,MATCH('Forecast capex'!J178,'Escalators '!$M$178:$S$178,0))/12+1)^((K178-J178)*12)-1,0)</f>
        <v>0</v>
      </c>
      <c r="Z178" s="257">
        <f t="shared" si="45"/>
        <v>0</v>
      </c>
      <c r="AA178" s="257">
        <f t="shared" si="46"/>
        <v>0</v>
      </c>
      <c r="AB178" s="269">
        <f t="shared" si="47"/>
        <v>0</v>
      </c>
      <c r="AC178" s="269">
        <f t="shared" si="48"/>
        <v>0</v>
      </c>
      <c r="AD178" s="271" t="str">
        <f>INDEX('Global inputs'!$C$134:$C$171,MATCH(F178,'Global inputs'!$B$134:$B$171,0))</f>
        <v xml:space="preserve">System growth </v>
      </c>
      <c r="AE178" s="272">
        <f>IF(OR(H178='Operating leases'!$B$32,H178='Operating leases'!$B$33),"",INDEX('Global inputs'!$C$186:$C$243,MATCH(E178,'Global inputs'!$B$186:$B$243,0)))</f>
        <v>0.08</v>
      </c>
    </row>
    <row r="179" spans="1:31" s="27" customFormat="1" x14ac:dyDescent="0.2">
      <c r="A179" s="250"/>
      <c r="B179" s="210" t="s">
        <v>746</v>
      </c>
      <c r="C179" s="210" t="s">
        <v>287</v>
      </c>
      <c r="D179" s="210" t="s">
        <v>729</v>
      </c>
      <c r="E179" s="210" t="s">
        <v>151</v>
      </c>
      <c r="F179" s="210" t="s">
        <v>86</v>
      </c>
      <c r="G179" s="210" t="s">
        <v>731</v>
      </c>
      <c r="H179" s="197">
        <v>0</v>
      </c>
      <c r="I179" s="210" t="s">
        <v>225</v>
      </c>
      <c r="J179" s="210">
        <v>2020</v>
      </c>
      <c r="K179" s="210">
        <v>2020</v>
      </c>
      <c r="L179" s="268" t="str">
        <f t="shared" si="36"/>
        <v>Simple</v>
      </c>
      <c r="M179" s="197">
        <v>62735.753422519534</v>
      </c>
      <c r="N179" s="197">
        <v>0</v>
      </c>
      <c r="O179" s="257">
        <f>IF(ISNA(MATCH(H179,'Operating leases'!$B$32:$B$43,0)),0,INDEX('Operating leases'!$M$32:$S$43,MATCH(H179,'Operating leases'!$B$32:$B$43,0),MATCH(J179,'Operating leases'!$M$11:$S$11,0)))</f>
        <v>0</v>
      </c>
      <c r="P179" s="257">
        <f t="shared" si="37"/>
        <v>62735.753422519534</v>
      </c>
      <c r="Q179" s="257">
        <f t="shared" si="38"/>
        <v>62735.753422519534</v>
      </c>
      <c r="R179" s="258">
        <f>INDEX('Escalators '!$M$124:$S$129,MATCH(I179,'Escalators '!$B$124:$B$129,0),MATCH(J179,'Escalators '!$M$113:$S$113,0))</f>
        <v>1</v>
      </c>
      <c r="S179" s="257">
        <f t="shared" si="39"/>
        <v>0</v>
      </c>
      <c r="T179" s="257">
        <f t="shared" si="40"/>
        <v>0</v>
      </c>
      <c r="U179" s="269">
        <f t="shared" si="41"/>
        <v>62735.753422519534</v>
      </c>
      <c r="V179" s="269">
        <f t="shared" si="42"/>
        <v>62735.753422519534</v>
      </c>
      <c r="W179" s="269">
        <f t="shared" si="43"/>
        <v>62735.753422519534</v>
      </c>
      <c r="X179" s="257">
        <f t="shared" si="44"/>
        <v>62735.753422519534</v>
      </c>
      <c r="Y179" s="270">
        <f>IF(L179="Complex",(INDEX('Escalators '!$M$176:$S$176,MATCH('Forecast capex'!J179,'Escalators '!$M$178:$S$178,0))/12+1)^((K179-J179)*12)-1,0)</f>
        <v>0</v>
      </c>
      <c r="Z179" s="257">
        <f t="shared" si="45"/>
        <v>0</v>
      </c>
      <c r="AA179" s="257">
        <f t="shared" si="46"/>
        <v>0</v>
      </c>
      <c r="AB179" s="269">
        <f t="shared" si="47"/>
        <v>0</v>
      </c>
      <c r="AC179" s="269">
        <f t="shared" si="48"/>
        <v>0</v>
      </c>
      <c r="AD179" s="271" t="str">
        <f>INDEX('Global inputs'!$C$134:$C$171,MATCH(F179,'Global inputs'!$B$134:$B$171,0))</f>
        <v xml:space="preserve">System growth </v>
      </c>
      <c r="AE179" s="272">
        <f>IF(OR(H179='Operating leases'!$B$32,H179='Operating leases'!$B$33),"",INDEX('Global inputs'!$C$186:$C$243,MATCH(E179,'Global inputs'!$B$186:$B$243,0)))</f>
        <v>0.1</v>
      </c>
    </row>
    <row r="180" spans="1:31" s="27" customFormat="1" x14ac:dyDescent="0.2">
      <c r="A180" s="250"/>
      <c r="B180" s="210" t="s">
        <v>746</v>
      </c>
      <c r="C180" s="210" t="s">
        <v>287</v>
      </c>
      <c r="D180" s="210" t="s">
        <v>729</v>
      </c>
      <c r="E180" s="210" t="s">
        <v>151</v>
      </c>
      <c r="F180" s="210" t="s">
        <v>86</v>
      </c>
      <c r="G180" s="210" t="s">
        <v>731</v>
      </c>
      <c r="H180" s="197">
        <v>0</v>
      </c>
      <c r="I180" s="210" t="s">
        <v>221</v>
      </c>
      <c r="J180" s="210">
        <v>2020</v>
      </c>
      <c r="K180" s="210">
        <v>2020</v>
      </c>
      <c r="L180" s="268" t="str">
        <f t="shared" si="36"/>
        <v>Simple</v>
      </c>
      <c r="M180" s="197">
        <v>250943.01369007814</v>
      </c>
      <c r="N180" s="197">
        <v>0</v>
      </c>
      <c r="O180" s="257">
        <f>IF(ISNA(MATCH(H180,'Operating leases'!$B$32:$B$43,0)),0,INDEX('Operating leases'!$M$32:$S$43,MATCH(H180,'Operating leases'!$B$32:$B$43,0),MATCH(J180,'Operating leases'!$M$11:$S$11,0)))</f>
        <v>0</v>
      </c>
      <c r="P180" s="257">
        <f t="shared" si="37"/>
        <v>250943.01369007814</v>
      </c>
      <c r="Q180" s="257">
        <f t="shared" si="38"/>
        <v>250943.01369007814</v>
      </c>
      <c r="R180" s="258">
        <f>INDEX('Escalators '!$M$124:$S$129,MATCH(I180,'Escalators '!$B$124:$B$129,0),MATCH(J180,'Escalators '!$M$113:$S$113,0))</f>
        <v>1</v>
      </c>
      <c r="S180" s="257">
        <f t="shared" si="39"/>
        <v>0</v>
      </c>
      <c r="T180" s="257">
        <f t="shared" si="40"/>
        <v>0</v>
      </c>
      <c r="U180" s="269">
        <f t="shared" si="41"/>
        <v>250943.01369007814</v>
      </c>
      <c r="V180" s="269">
        <f t="shared" si="42"/>
        <v>250943.01369007814</v>
      </c>
      <c r="W180" s="269">
        <f t="shared" si="43"/>
        <v>250943.01369007814</v>
      </c>
      <c r="X180" s="257">
        <f t="shared" si="44"/>
        <v>250943.01369007814</v>
      </c>
      <c r="Y180" s="270">
        <f>IF(L180="Complex",(INDEX('Escalators '!$M$176:$S$176,MATCH('Forecast capex'!J180,'Escalators '!$M$178:$S$178,0))/12+1)^((K180-J180)*12)-1,0)</f>
        <v>0</v>
      </c>
      <c r="Z180" s="257">
        <f t="shared" si="45"/>
        <v>0</v>
      </c>
      <c r="AA180" s="257">
        <f t="shared" si="46"/>
        <v>0</v>
      </c>
      <c r="AB180" s="269">
        <f t="shared" si="47"/>
        <v>0</v>
      </c>
      <c r="AC180" s="269">
        <f t="shared" si="48"/>
        <v>0</v>
      </c>
      <c r="AD180" s="271" t="str">
        <f>INDEX('Global inputs'!$C$134:$C$171,MATCH(F180,'Global inputs'!$B$134:$B$171,0))</f>
        <v xml:space="preserve">System growth </v>
      </c>
      <c r="AE180" s="272">
        <f>IF(OR(H180='Operating leases'!$B$32,H180='Operating leases'!$B$33),"",INDEX('Global inputs'!$C$186:$C$243,MATCH(E180,'Global inputs'!$B$186:$B$243,0)))</f>
        <v>0.1</v>
      </c>
    </row>
    <row r="181" spans="1:31" s="27" customFormat="1" x14ac:dyDescent="0.2">
      <c r="A181" s="250"/>
      <c r="B181" s="210" t="s">
        <v>746</v>
      </c>
      <c r="C181" s="210" t="s">
        <v>287</v>
      </c>
      <c r="D181" s="210" t="s">
        <v>729</v>
      </c>
      <c r="E181" s="210" t="s">
        <v>153</v>
      </c>
      <c r="F181" s="210" t="s">
        <v>86</v>
      </c>
      <c r="G181" s="210" t="s">
        <v>737</v>
      </c>
      <c r="H181" s="197">
        <v>0</v>
      </c>
      <c r="I181" s="210" t="s">
        <v>225</v>
      </c>
      <c r="J181" s="210">
        <v>2020</v>
      </c>
      <c r="K181" s="210">
        <v>2020</v>
      </c>
      <c r="L181" s="268" t="str">
        <f t="shared" si="36"/>
        <v>Simple</v>
      </c>
      <c r="M181" s="197">
        <v>11762.953766722412</v>
      </c>
      <c r="N181" s="197">
        <v>0</v>
      </c>
      <c r="O181" s="257">
        <f>IF(ISNA(MATCH(H181,'Operating leases'!$B$32:$B$43,0)),0,INDEX('Operating leases'!$M$32:$S$43,MATCH(H181,'Operating leases'!$B$32:$B$43,0),MATCH(J181,'Operating leases'!$M$11:$S$11,0)))</f>
        <v>0</v>
      </c>
      <c r="P181" s="257">
        <f t="shared" si="37"/>
        <v>11762.953766722412</v>
      </c>
      <c r="Q181" s="257">
        <f t="shared" si="38"/>
        <v>11762.953766722412</v>
      </c>
      <c r="R181" s="258">
        <f>INDEX('Escalators '!$M$124:$S$129,MATCH(I181,'Escalators '!$B$124:$B$129,0),MATCH(J181,'Escalators '!$M$113:$S$113,0))</f>
        <v>1</v>
      </c>
      <c r="S181" s="257">
        <f t="shared" si="39"/>
        <v>0</v>
      </c>
      <c r="T181" s="257">
        <f t="shared" si="40"/>
        <v>0</v>
      </c>
      <c r="U181" s="269">
        <f t="shared" si="41"/>
        <v>11762.953766722412</v>
      </c>
      <c r="V181" s="269">
        <f t="shared" si="42"/>
        <v>11762.953766722412</v>
      </c>
      <c r="W181" s="269">
        <f t="shared" si="43"/>
        <v>11762.953766722412</v>
      </c>
      <c r="X181" s="257">
        <f t="shared" si="44"/>
        <v>11762.953766722412</v>
      </c>
      <c r="Y181" s="270">
        <f>IF(L181="Complex",(INDEX('Escalators '!$M$176:$S$176,MATCH('Forecast capex'!J181,'Escalators '!$M$178:$S$178,0))/12+1)^((K181-J181)*12)-1,0)</f>
        <v>0</v>
      </c>
      <c r="Z181" s="257">
        <f t="shared" si="45"/>
        <v>0</v>
      </c>
      <c r="AA181" s="257">
        <f t="shared" si="46"/>
        <v>0</v>
      </c>
      <c r="AB181" s="269">
        <f t="shared" si="47"/>
        <v>0</v>
      </c>
      <c r="AC181" s="269">
        <f t="shared" si="48"/>
        <v>0</v>
      </c>
      <c r="AD181" s="271" t="str">
        <f>INDEX('Global inputs'!$C$134:$C$171,MATCH(F181,'Global inputs'!$B$134:$B$171,0))</f>
        <v xml:space="preserve">System growth </v>
      </c>
      <c r="AE181" s="272">
        <f>IF(OR(H181='Operating leases'!$B$32,H181='Operating leases'!$B$33),"",INDEX('Global inputs'!$C$186:$C$243,MATCH(E181,'Global inputs'!$B$186:$B$243,0)))</f>
        <v>0.08</v>
      </c>
    </row>
    <row r="182" spans="1:31" s="27" customFormat="1" x14ac:dyDescent="0.2">
      <c r="A182" s="250"/>
      <c r="B182" s="210" t="s">
        <v>746</v>
      </c>
      <c r="C182" s="210" t="s">
        <v>287</v>
      </c>
      <c r="D182" s="210" t="s">
        <v>729</v>
      </c>
      <c r="E182" s="210" t="s">
        <v>153</v>
      </c>
      <c r="F182" s="210" t="s">
        <v>86</v>
      </c>
      <c r="G182" s="210" t="s">
        <v>737</v>
      </c>
      <c r="H182" s="197">
        <v>0</v>
      </c>
      <c r="I182" s="210" t="s">
        <v>221</v>
      </c>
      <c r="J182" s="210">
        <v>2020</v>
      </c>
      <c r="K182" s="210">
        <v>2020</v>
      </c>
      <c r="L182" s="268" t="str">
        <f t="shared" si="36"/>
        <v>Simple</v>
      </c>
      <c r="M182" s="197">
        <v>47051.815066889649</v>
      </c>
      <c r="N182" s="197">
        <v>0</v>
      </c>
      <c r="O182" s="257">
        <f>IF(ISNA(MATCH(H182,'Operating leases'!$B$32:$B$43,0)),0,INDEX('Operating leases'!$M$32:$S$43,MATCH(H182,'Operating leases'!$B$32:$B$43,0),MATCH(J182,'Operating leases'!$M$11:$S$11,0)))</f>
        <v>0</v>
      </c>
      <c r="P182" s="257">
        <f t="shared" si="37"/>
        <v>47051.815066889649</v>
      </c>
      <c r="Q182" s="257">
        <f t="shared" si="38"/>
        <v>47051.815066889649</v>
      </c>
      <c r="R182" s="258">
        <f>INDEX('Escalators '!$M$124:$S$129,MATCH(I182,'Escalators '!$B$124:$B$129,0),MATCH(J182,'Escalators '!$M$113:$S$113,0))</f>
        <v>1</v>
      </c>
      <c r="S182" s="257">
        <f t="shared" si="39"/>
        <v>0</v>
      </c>
      <c r="T182" s="257">
        <f t="shared" si="40"/>
        <v>0</v>
      </c>
      <c r="U182" s="269">
        <f t="shared" si="41"/>
        <v>47051.815066889649</v>
      </c>
      <c r="V182" s="269">
        <f t="shared" si="42"/>
        <v>47051.815066889649</v>
      </c>
      <c r="W182" s="269">
        <f t="shared" si="43"/>
        <v>47051.815066889649</v>
      </c>
      <c r="X182" s="257">
        <f t="shared" si="44"/>
        <v>47051.815066889649</v>
      </c>
      <c r="Y182" s="270">
        <f>IF(L182="Complex",(INDEX('Escalators '!$M$176:$S$176,MATCH('Forecast capex'!J182,'Escalators '!$M$178:$S$178,0))/12+1)^((K182-J182)*12)-1,0)</f>
        <v>0</v>
      </c>
      <c r="Z182" s="257">
        <f t="shared" si="45"/>
        <v>0</v>
      </c>
      <c r="AA182" s="257">
        <f t="shared" si="46"/>
        <v>0</v>
      </c>
      <c r="AB182" s="269">
        <f t="shared" si="47"/>
        <v>0</v>
      </c>
      <c r="AC182" s="269">
        <f t="shared" si="48"/>
        <v>0</v>
      </c>
      <c r="AD182" s="271" t="str">
        <f>INDEX('Global inputs'!$C$134:$C$171,MATCH(F182,'Global inputs'!$B$134:$B$171,0))</f>
        <v xml:space="preserve">System growth </v>
      </c>
      <c r="AE182" s="272">
        <f>IF(OR(H182='Operating leases'!$B$32,H182='Operating leases'!$B$33),"",INDEX('Global inputs'!$C$186:$C$243,MATCH(E182,'Global inputs'!$B$186:$B$243,0)))</f>
        <v>0.08</v>
      </c>
    </row>
    <row r="183" spans="1:31" s="27" customFormat="1" x14ac:dyDescent="0.2">
      <c r="A183" s="250"/>
      <c r="B183" s="210" t="s">
        <v>746</v>
      </c>
      <c r="C183" s="210" t="s">
        <v>287</v>
      </c>
      <c r="D183" s="210" t="s">
        <v>729</v>
      </c>
      <c r="E183" s="210" t="s">
        <v>154</v>
      </c>
      <c r="F183" s="210" t="s">
        <v>86</v>
      </c>
      <c r="G183" s="210" t="s">
        <v>737</v>
      </c>
      <c r="H183" s="197">
        <v>0</v>
      </c>
      <c r="I183" s="210" t="s">
        <v>225</v>
      </c>
      <c r="J183" s="210">
        <v>2020</v>
      </c>
      <c r="K183" s="210">
        <v>2020</v>
      </c>
      <c r="L183" s="268" t="str">
        <f t="shared" si="36"/>
        <v>Simple</v>
      </c>
      <c r="M183" s="197">
        <v>11762.953766722412</v>
      </c>
      <c r="N183" s="197">
        <v>0</v>
      </c>
      <c r="O183" s="257">
        <f>IF(ISNA(MATCH(H183,'Operating leases'!$B$32:$B$43,0)),0,INDEX('Operating leases'!$M$32:$S$43,MATCH(H183,'Operating leases'!$B$32:$B$43,0),MATCH(J183,'Operating leases'!$M$11:$S$11,0)))</f>
        <v>0</v>
      </c>
      <c r="P183" s="257">
        <f t="shared" si="37"/>
        <v>11762.953766722412</v>
      </c>
      <c r="Q183" s="257">
        <f t="shared" si="38"/>
        <v>11762.953766722412</v>
      </c>
      <c r="R183" s="258">
        <f>INDEX('Escalators '!$M$124:$S$129,MATCH(I183,'Escalators '!$B$124:$B$129,0),MATCH(J183,'Escalators '!$M$113:$S$113,0))</f>
        <v>1</v>
      </c>
      <c r="S183" s="257">
        <f t="shared" si="39"/>
        <v>0</v>
      </c>
      <c r="T183" s="257">
        <f t="shared" si="40"/>
        <v>0</v>
      </c>
      <c r="U183" s="269">
        <f t="shared" si="41"/>
        <v>11762.953766722412</v>
      </c>
      <c r="V183" s="269">
        <f t="shared" si="42"/>
        <v>11762.953766722412</v>
      </c>
      <c r="W183" s="269">
        <f t="shared" si="43"/>
        <v>11762.953766722412</v>
      </c>
      <c r="X183" s="257">
        <f t="shared" si="44"/>
        <v>11762.953766722412</v>
      </c>
      <c r="Y183" s="270">
        <f>IF(L183="Complex",(INDEX('Escalators '!$M$176:$S$176,MATCH('Forecast capex'!J183,'Escalators '!$M$178:$S$178,0))/12+1)^((K183-J183)*12)-1,0)</f>
        <v>0</v>
      </c>
      <c r="Z183" s="257">
        <f t="shared" si="45"/>
        <v>0</v>
      </c>
      <c r="AA183" s="257">
        <f t="shared" si="46"/>
        <v>0</v>
      </c>
      <c r="AB183" s="269">
        <f t="shared" si="47"/>
        <v>0</v>
      </c>
      <c r="AC183" s="269">
        <f t="shared" si="48"/>
        <v>0</v>
      </c>
      <c r="AD183" s="271" t="str">
        <f>INDEX('Global inputs'!$C$134:$C$171,MATCH(F183,'Global inputs'!$B$134:$B$171,0))</f>
        <v xml:space="preserve">System growth </v>
      </c>
      <c r="AE183" s="272">
        <f>IF(OR(H183='Operating leases'!$B$32,H183='Operating leases'!$B$33),"",INDEX('Global inputs'!$C$186:$C$243,MATCH(E183,'Global inputs'!$B$186:$B$243,0)))</f>
        <v>0.1</v>
      </c>
    </row>
    <row r="184" spans="1:31" s="27" customFormat="1" x14ac:dyDescent="0.2">
      <c r="A184" s="250"/>
      <c r="B184" s="210" t="s">
        <v>746</v>
      </c>
      <c r="C184" s="210" t="s">
        <v>287</v>
      </c>
      <c r="D184" s="210" t="s">
        <v>729</v>
      </c>
      <c r="E184" s="210" t="s">
        <v>154</v>
      </c>
      <c r="F184" s="210" t="s">
        <v>86</v>
      </c>
      <c r="G184" s="210" t="s">
        <v>737</v>
      </c>
      <c r="H184" s="197">
        <v>0</v>
      </c>
      <c r="I184" s="210" t="s">
        <v>221</v>
      </c>
      <c r="J184" s="210">
        <v>2020</v>
      </c>
      <c r="K184" s="210">
        <v>2020</v>
      </c>
      <c r="L184" s="268" t="str">
        <f t="shared" si="36"/>
        <v>Simple</v>
      </c>
      <c r="M184" s="197">
        <v>47051.815066889649</v>
      </c>
      <c r="N184" s="197">
        <v>0</v>
      </c>
      <c r="O184" s="257">
        <f>IF(ISNA(MATCH(H184,'Operating leases'!$B$32:$B$43,0)),0,INDEX('Operating leases'!$M$32:$S$43,MATCH(H184,'Operating leases'!$B$32:$B$43,0),MATCH(J184,'Operating leases'!$M$11:$S$11,0)))</f>
        <v>0</v>
      </c>
      <c r="P184" s="257">
        <f t="shared" si="37"/>
        <v>47051.815066889649</v>
      </c>
      <c r="Q184" s="257">
        <f t="shared" si="38"/>
        <v>47051.815066889649</v>
      </c>
      <c r="R184" s="258">
        <f>INDEX('Escalators '!$M$124:$S$129,MATCH(I184,'Escalators '!$B$124:$B$129,0),MATCH(J184,'Escalators '!$M$113:$S$113,0))</f>
        <v>1</v>
      </c>
      <c r="S184" s="257">
        <f t="shared" si="39"/>
        <v>0</v>
      </c>
      <c r="T184" s="257">
        <f t="shared" si="40"/>
        <v>0</v>
      </c>
      <c r="U184" s="269">
        <f t="shared" si="41"/>
        <v>47051.815066889649</v>
      </c>
      <c r="V184" s="269">
        <f t="shared" si="42"/>
        <v>47051.815066889649</v>
      </c>
      <c r="W184" s="269">
        <f t="shared" si="43"/>
        <v>47051.815066889649</v>
      </c>
      <c r="X184" s="257">
        <f t="shared" si="44"/>
        <v>47051.815066889649</v>
      </c>
      <c r="Y184" s="270">
        <f>IF(L184="Complex",(INDEX('Escalators '!$M$176:$S$176,MATCH('Forecast capex'!J184,'Escalators '!$M$178:$S$178,0))/12+1)^((K184-J184)*12)-1,0)</f>
        <v>0</v>
      </c>
      <c r="Z184" s="257">
        <f t="shared" si="45"/>
        <v>0</v>
      </c>
      <c r="AA184" s="257">
        <f t="shared" si="46"/>
        <v>0</v>
      </c>
      <c r="AB184" s="269">
        <f t="shared" si="47"/>
        <v>0</v>
      </c>
      <c r="AC184" s="269">
        <f t="shared" si="48"/>
        <v>0</v>
      </c>
      <c r="AD184" s="271" t="str">
        <f>INDEX('Global inputs'!$C$134:$C$171,MATCH(F184,'Global inputs'!$B$134:$B$171,0))</f>
        <v xml:space="preserve">System growth </v>
      </c>
      <c r="AE184" s="272">
        <f>IF(OR(H184='Operating leases'!$B$32,H184='Operating leases'!$B$33),"",INDEX('Global inputs'!$C$186:$C$243,MATCH(E184,'Global inputs'!$B$186:$B$243,0)))</f>
        <v>0.1</v>
      </c>
    </row>
    <row r="185" spans="1:31" s="27" customFormat="1" x14ac:dyDescent="0.2">
      <c r="A185" s="250"/>
      <c r="B185" s="210" t="s">
        <v>742</v>
      </c>
      <c r="C185" s="210" t="s">
        <v>287</v>
      </c>
      <c r="D185" s="210" t="s">
        <v>715</v>
      </c>
      <c r="E185" s="210" t="s">
        <v>150</v>
      </c>
      <c r="F185" s="210" t="s">
        <v>99</v>
      </c>
      <c r="G185" s="210" t="s">
        <v>716</v>
      </c>
      <c r="H185" s="197">
        <v>0</v>
      </c>
      <c r="I185" s="210" t="s">
        <v>229</v>
      </c>
      <c r="J185" s="210">
        <v>2020</v>
      </c>
      <c r="K185" s="210">
        <v>2020</v>
      </c>
      <c r="L185" s="268" t="str">
        <f t="shared" si="36"/>
        <v>Simple</v>
      </c>
      <c r="M185" s="197">
        <v>6468750</v>
      </c>
      <c r="N185" s="197">
        <v>0</v>
      </c>
      <c r="O185" s="257">
        <f>IF(ISNA(MATCH(H185,'Operating leases'!$B$32:$B$43,0)),0,INDEX('Operating leases'!$M$32:$S$43,MATCH(H185,'Operating leases'!$B$32:$B$43,0),MATCH(J185,'Operating leases'!$M$11:$S$11,0)))</f>
        <v>0</v>
      </c>
      <c r="P185" s="257">
        <f t="shared" si="37"/>
        <v>6468750</v>
      </c>
      <c r="Q185" s="257">
        <f t="shared" si="38"/>
        <v>6468750</v>
      </c>
      <c r="R185" s="258">
        <f>INDEX('Escalators '!$M$124:$S$129,MATCH(I185,'Escalators '!$B$124:$B$129,0),MATCH(J185,'Escalators '!$M$113:$S$113,0))</f>
        <v>1</v>
      </c>
      <c r="S185" s="257">
        <f t="shared" si="39"/>
        <v>0</v>
      </c>
      <c r="T185" s="257">
        <f t="shared" si="40"/>
        <v>0</v>
      </c>
      <c r="U185" s="269">
        <f t="shared" si="41"/>
        <v>6468750</v>
      </c>
      <c r="V185" s="269">
        <f t="shared" si="42"/>
        <v>6468750</v>
      </c>
      <c r="W185" s="269">
        <f t="shared" si="43"/>
        <v>6468750</v>
      </c>
      <c r="X185" s="257">
        <f t="shared" si="44"/>
        <v>6468750</v>
      </c>
      <c r="Y185" s="270">
        <f>IF(L185="Complex",(INDEX('Escalators '!$M$176:$S$176,MATCH('Forecast capex'!J185,'Escalators '!$M$178:$S$178,0))/12+1)^((K185-J185)*12)-1,0)</f>
        <v>0</v>
      </c>
      <c r="Z185" s="257">
        <f t="shared" si="45"/>
        <v>0</v>
      </c>
      <c r="AA185" s="257">
        <f t="shared" si="46"/>
        <v>0</v>
      </c>
      <c r="AB185" s="269">
        <f t="shared" si="47"/>
        <v>0</v>
      </c>
      <c r="AC185" s="269">
        <f t="shared" si="48"/>
        <v>0</v>
      </c>
      <c r="AD185" s="271" t="str">
        <f>INDEX('Global inputs'!$C$134:$C$171,MATCH(F185,'Global inputs'!$B$134:$B$171,0))</f>
        <v>Asset replacement and renewal</v>
      </c>
      <c r="AE185" s="272">
        <f>IF(OR(H185='Operating leases'!$B$32,H185='Operating leases'!$B$33),"",INDEX('Global inputs'!$C$186:$C$243,MATCH(E185,'Global inputs'!$B$186:$B$243,0)))</f>
        <v>0.08</v>
      </c>
    </row>
    <row r="186" spans="1:31" s="27" customFormat="1" x14ac:dyDescent="0.2">
      <c r="A186" s="250"/>
      <c r="B186" s="210" t="s">
        <v>742</v>
      </c>
      <c r="C186" s="210" t="s">
        <v>287</v>
      </c>
      <c r="D186" s="210" t="s">
        <v>715</v>
      </c>
      <c r="E186" s="210" t="s">
        <v>150</v>
      </c>
      <c r="F186" s="210" t="s">
        <v>99</v>
      </c>
      <c r="G186" s="210" t="s">
        <v>716</v>
      </c>
      <c r="H186" s="197">
        <v>0</v>
      </c>
      <c r="I186" s="210" t="s">
        <v>221</v>
      </c>
      <c r="J186" s="210">
        <v>2020</v>
      </c>
      <c r="K186" s="210">
        <v>2020</v>
      </c>
      <c r="L186" s="268" t="str">
        <f t="shared" si="36"/>
        <v>Simple</v>
      </c>
      <c r="M186" s="197">
        <v>6468750</v>
      </c>
      <c r="N186" s="197">
        <v>0</v>
      </c>
      <c r="O186" s="257">
        <f>IF(ISNA(MATCH(H186,'Operating leases'!$B$32:$B$43,0)),0,INDEX('Operating leases'!$M$32:$S$43,MATCH(H186,'Operating leases'!$B$32:$B$43,0),MATCH(J186,'Operating leases'!$M$11:$S$11,0)))</f>
        <v>0</v>
      </c>
      <c r="P186" s="257">
        <f t="shared" si="37"/>
        <v>6468750</v>
      </c>
      <c r="Q186" s="257">
        <f t="shared" si="38"/>
        <v>6468750</v>
      </c>
      <c r="R186" s="258">
        <f>INDEX('Escalators '!$M$124:$S$129,MATCH(I186,'Escalators '!$B$124:$B$129,0),MATCH(J186,'Escalators '!$M$113:$S$113,0))</f>
        <v>1</v>
      </c>
      <c r="S186" s="257">
        <f t="shared" si="39"/>
        <v>0</v>
      </c>
      <c r="T186" s="257">
        <f t="shared" si="40"/>
        <v>0</v>
      </c>
      <c r="U186" s="269">
        <f t="shared" si="41"/>
        <v>6468750</v>
      </c>
      <c r="V186" s="269">
        <f t="shared" si="42"/>
        <v>6468750</v>
      </c>
      <c r="W186" s="269">
        <f t="shared" si="43"/>
        <v>6468750</v>
      </c>
      <c r="X186" s="257">
        <f t="shared" si="44"/>
        <v>6468750</v>
      </c>
      <c r="Y186" s="270">
        <f>IF(L186="Complex",(INDEX('Escalators '!$M$176:$S$176,MATCH('Forecast capex'!J186,'Escalators '!$M$178:$S$178,0))/12+1)^((K186-J186)*12)-1,0)</f>
        <v>0</v>
      </c>
      <c r="Z186" s="257">
        <f t="shared" si="45"/>
        <v>0</v>
      </c>
      <c r="AA186" s="257">
        <f t="shared" si="46"/>
        <v>0</v>
      </c>
      <c r="AB186" s="269">
        <f t="shared" si="47"/>
        <v>0</v>
      </c>
      <c r="AC186" s="269">
        <f t="shared" si="48"/>
        <v>0</v>
      </c>
      <c r="AD186" s="271" t="str">
        <f>INDEX('Global inputs'!$C$134:$C$171,MATCH(F186,'Global inputs'!$B$134:$B$171,0))</f>
        <v>Asset replacement and renewal</v>
      </c>
      <c r="AE186" s="272">
        <f>IF(OR(H186='Operating leases'!$B$32,H186='Operating leases'!$B$33),"",INDEX('Global inputs'!$C$186:$C$243,MATCH(E186,'Global inputs'!$B$186:$B$243,0)))</f>
        <v>0.08</v>
      </c>
    </row>
    <row r="187" spans="1:31" s="29" customFormat="1" x14ac:dyDescent="0.2">
      <c r="A187" s="267"/>
      <c r="B187" s="210" t="s">
        <v>742</v>
      </c>
      <c r="C187" s="210" t="s">
        <v>287</v>
      </c>
      <c r="D187" s="210" t="s">
        <v>715</v>
      </c>
      <c r="E187" s="210" t="s">
        <v>152</v>
      </c>
      <c r="F187" s="210" t="s">
        <v>99</v>
      </c>
      <c r="G187" s="210" t="s">
        <v>716</v>
      </c>
      <c r="H187" s="197">
        <v>0</v>
      </c>
      <c r="I187" s="210" t="s">
        <v>229</v>
      </c>
      <c r="J187" s="210">
        <v>2020</v>
      </c>
      <c r="K187" s="210">
        <v>2020</v>
      </c>
      <c r="L187" s="268" t="str">
        <f t="shared" si="36"/>
        <v>Simple</v>
      </c>
      <c r="M187" s="197">
        <v>630000</v>
      </c>
      <c r="N187" s="197">
        <v>0</v>
      </c>
      <c r="O187" s="257">
        <f>IF(ISNA(MATCH(H187,'Operating leases'!$B$32:$B$43,0)),0,INDEX('Operating leases'!$M$32:$S$43,MATCH(H187,'Operating leases'!$B$32:$B$43,0),MATCH(J187,'Operating leases'!$M$11:$S$11,0)))</f>
        <v>0</v>
      </c>
      <c r="P187" s="257">
        <f t="shared" si="37"/>
        <v>630000</v>
      </c>
      <c r="Q187" s="257">
        <f t="shared" si="38"/>
        <v>630000</v>
      </c>
      <c r="R187" s="258">
        <f>INDEX('Escalators '!$M$124:$S$129,MATCH(I187,'Escalators '!$B$124:$B$129,0),MATCH(J187,'Escalators '!$M$113:$S$113,0))</f>
        <v>1</v>
      </c>
      <c r="S187" s="257">
        <f t="shared" si="39"/>
        <v>0</v>
      </c>
      <c r="T187" s="257">
        <f t="shared" si="40"/>
        <v>0</v>
      </c>
      <c r="U187" s="269">
        <f t="shared" si="41"/>
        <v>630000</v>
      </c>
      <c r="V187" s="269">
        <f t="shared" si="42"/>
        <v>630000</v>
      </c>
      <c r="W187" s="269">
        <f t="shared" si="43"/>
        <v>630000</v>
      </c>
      <c r="X187" s="257">
        <f t="shared" si="44"/>
        <v>630000</v>
      </c>
      <c r="Y187" s="270">
        <f>IF(L187="Complex",(INDEX('Escalators '!$M$176:$S$176,MATCH('Forecast capex'!J187,'Escalators '!$M$178:$S$178,0))/12+1)^((K187-J187)*12)-1,0)</f>
        <v>0</v>
      </c>
      <c r="Z187" s="257">
        <f t="shared" si="45"/>
        <v>0</v>
      </c>
      <c r="AA187" s="257">
        <f t="shared" si="46"/>
        <v>0</v>
      </c>
      <c r="AB187" s="269">
        <f t="shared" si="47"/>
        <v>0</v>
      </c>
      <c r="AC187" s="269">
        <f t="shared" si="48"/>
        <v>0</v>
      </c>
      <c r="AD187" s="271" t="str">
        <f>INDEX('Global inputs'!$C$134:$C$171,MATCH(F187,'Global inputs'!$B$134:$B$171,0))</f>
        <v>Asset replacement and renewal</v>
      </c>
      <c r="AE187" s="272">
        <f>IF(OR(H187='Operating leases'!$B$32,H187='Operating leases'!$B$33),"",INDEX('Global inputs'!$C$186:$C$243,MATCH(E187,'Global inputs'!$B$186:$B$243,0)))</f>
        <v>0.08</v>
      </c>
    </row>
    <row r="188" spans="1:31" s="27" customFormat="1" x14ac:dyDescent="0.2">
      <c r="A188" s="250"/>
      <c r="B188" s="210" t="s">
        <v>742</v>
      </c>
      <c r="C188" s="210" t="s">
        <v>287</v>
      </c>
      <c r="D188" s="210" t="s">
        <v>715</v>
      </c>
      <c r="E188" s="210" t="s">
        <v>152</v>
      </c>
      <c r="F188" s="210" t="s">
        <v>99</v>
      </c>
      <c r="G188" s="210" t="s">
        <v>716</v>
      </c>
      <c r="H188" s="197">
        <v>0</v>
      </c>
      <c r="I188" s="210" t="s">
        <v>221</v>
      </c>
      <c r="J188" s="210">
        <v>2020</v>
      </c>
      <c r="K188" s="210">
        <v>2020</v>
      </c>
      <c r="L188" s="268" t="str">
        <f t="shared" si="36"/>
        <v>Simple</v>
      </c>
      <c r="M188" s="197">
        <v>630000</v>
      </c>
      <c r="N188" s="197">
        <v>0</v>
      </c>
      <c r="O188" s="257">
        <f>IF(ISNA(MATCH(H188,'Operating leases'!$B$32:$B$43,0)),0,INDEX('Operating leases'!$M$32:$S$43,MATCH(H188,'Operating leases'!$B$32:$B$43,0),MATCH(J188,'Operating leases'!$M$11:$S$11,0)))</f>
        <v>0</v>
      </c>
      <c r="P188" s="257">
        <f t="shared" si="37"/>
        <v>630000</v>
      </c>
      <c r="Q188" s="257">
        <f t="shared" si="38"/>
        <v>630000</v>
      </c>
      <c r="R188" s="258">
        <f>INDEX('Escalators '!$M$124:$S$129,MATCH(I188,'Escalators '!$B$124:$B$129,0),MATCH(J188,'Escalators '!$M$113:$S$113,0))</f>
        <v>1</v>
      </c>
      <c r="S188" s="257">
        <f t="shared" si="39"/>
        <v>0</v>
      </c>
      <c r="T188" s="257">
        <f t="shared" si="40"/>
        <v>0</v>
      </c>
      <c r="U188" s="269">
        <f t="shared" si="41"/>
        <v>630000</v>
      </c>
      <c r="V188" s="269">
        <f t="shared" si="42"/>
        <v>630000</v>
      </c>
      <c r="W188" s="269">
        <f t="shared" si="43"/>
        <v>630000</v>
      </c>
      <c r="X188" s="257">
        <f t="shared" si="44"/>
        <v>630000</v>
      </c>
      <c r="Y188" s="270">
        <f>IF(L188="Complex",(INDEX('Escalators '!$M$176:$S$176,MATCH('Forecast capex'!J188,'Escalators '!$M$178:$S$178,0))/12+1)^((K188-J188)*12)-1,0)</f>
        <v>0</v>
      </c>
      <c r="Z188" s="257">
        <f t="shared" si="45"/>
        <v>0</v>
      </c>
      <c r="AA188" s="257">
        <f t="shared" si="46"/>
        <v>0</v>
      </c>
      <c r="AB188" s="269">
        <f t="shared" si="47"/>
        <v>0</v>
      </c>
      <c r="AC188" s="269">
        <f t="shared" si="48"/>
        <v>0</v>
      </c>
      <c r="AD188" s="271" t="str">
        <f>INDEX('Global inputs'!$C$134:$C$171,MATCH(F188,'Global inputs'!$B$134:$B$171,0))</f>
        <v>Asset replacement and renewal</v>
      </c>
      <c r="AE188" s="272">
        <f>IF(OR(H188='Operating leases'!$B$32,H188='Operating leases'!$B$33),"",INDEX('Global inputs'!$C$186:$C$243,MATCH(E188,'Global inputs'!$B$186:$B$243,0)))</f>
        <v>0.08</v>
      </c>
    </row>
    <row r="189" spans="1:31" s="27" customFormat="1" x14ac:dyDescent="0.2">
      <c r="A189" s="250"/>
      <c r="B189" s="210" t="s">
        <v>742</v>
      </c>
      <c r="C189" s="210" t="s">
        <v>287</v>
      </c>
      <c r="D189" s="210" t="s">
        <v>715</v>
      </c>
      <c r="E189" s="210" t="s">
        <v>150</v>
      </c>
      <c r="F189" s="210" t="s">
        <v>101</v>
      </c>
      <c r="G189" s="210" t="s">
        <v>717</v>
      </c>
      <c r="H189" s="197">
        <v>0</v>
      </c>
      <c r="I189" s="210" t="s">
        <v>229</v>
      </c>
      <c r="J189" s="210">
        <v>2020</v>
      </c>
      <c r="K189" s="210">
        <v>2020</v>
      </c>
      <c r="L189" s="268" t="str">
        <f t="shared" si="36"/>
        <v>Simple</v>
      </c>
      <c r="M189" s="197">
        <v>570625</v>
      </c>
      <c r="N189" s="197">
        <v>0</v>
      </c>
      <c r="O189" s="257">
        <f>IF(ISNA(MATCH(H189,'Operating leases'!$B$32:$B$43,0)),0,INDEX('Operating leases'!$M$32:$S$43,MATCH(H189,'Operating leases'!$B$32:$B$43,0),MATCH(J189,'Operating leases'!$M$11:$S$11,0)))</f>
        <v>0</v>
      </c>
      <c r="P189" s="257">
        <f t="shared" si="37"/>
        <v>570625</v>
      </c>
      <c r="Q189" s="257">
        <f t="shared" si="38"/>
        <v>570625</v>
      </c>
      <c r="R189" s="258">
        <f>INDEX('Escalators '!$M$124:$S$129,MATCH(I189,'Escalators '!$B$124:$B$129,0),MATCH(J189,'Escalators '!$M$113:$S$113,0))</f>
        <v>1</v>
      </c>
      <c r="S189" s="257">
        <f t="shared" si="39"/>
        <v>0</v>
      </c>
      <c r="T189" s="257">
        <f t="shared" si="40"/>
        <v>0</v>
      </c>
      <c r="U189" s="269">
        <f t="shared" si="41"/>
        <v>570625</v>
      </c>
      <c r="V189" s="269">
        <f t="shared" si="42"/>
        <v>570625</v>
      </c>
      <c r="W189" s="269">
        <f t="shared" si="43"/>
        <v>570625</v>
      </c>
      <c r="X189" s="257">
        <f t="shared" si="44"/>
        <v>570625</v>
      </c>
      <c r="Y189" s="270">
        <f>IF(L189="Complex",(INDEX('Escalators '!$M$176:$S$176,MATCH('Forecast capex'!J189,'Escalators '!$M$178:$S$178,0))/12+1)^((K189-J189)*12)-1,0)</f>
        <v>0</v>
      </c>
      <c r="Z189" s="257">
        <f t="shared" si="45"/>
        <v>0</v>
      </c>
      <c r="AA189" s="257">
        <f t="shared" si="46"/>
        <v>0</v>
      </c>
      <c r="AB189" s="269">
        <f t="shared" si="47"/>
        <v>0</v>
      </c>
      <c r="AC189" s="269">
        <f t="shared" si="48"/>
        <v>0</v>
      </c>
      <c r="AD189" s="271" t="str">
        <f>INDEX('Global inputs'!$C$134:$C$171,MATCH(F189,'Global inputs'!$B$134:$B$171,0))</f>
        <v>Asset replacement and renewal</v>
      </c>
      <c r="AE189" s="272">
        <f>IF(OR(H189='Operating leases'!$B$32,H189='Operating leases'!$B$33),"",INDEX('Global inputs'!$C$186:$C$243,MATCH(E189,'Global inputs'!$B$186:$B$243,0)))</f>
        <v>0.08</v>
      </c>
    </row>
    <row r="190" spans="1:31" s="27" customFormat="1" x14ac:dyDescent="0.2">
      <c r="A190" s="250"/>
      <c r="B190" s="210" t="s">
        <v>742</v>
      </c>
      <c r="C190" s="210" t="s">
        <v>287</v>
      </c>
      <c r="D190" s="210" t="s">
        <v>715</v>
      </c>
      <c r="E190" s="210" t="s">
        <v>150</v>
      </c>
      <c r="F190" s="210" t="s">
        <v>101</v>
      </c>
      <c r="G190" s="210" t="s">
        <v>717</v>
      </c>
      <c r="H190" s="197">
        <v>0</v>
      </c>
      <c r="I190" s="210" t="s">
        <v>221</v>
      </c>
      <c r="J190" s="210">
        <v>2020</v>
      </c>
      <c r="K190" s="210">
        <v>2020</v>
      </c>
      <c r="L190" s="268" t="str">
        <f t="shared" si="36"/>
        <v>Simple</v>
      </c>
      <c r="M190" s="197">
        <v>570625</v>
      </c>
      <c r="N190" s="197">
        <v>0</v>
      </c>
      <c r="O190" s="257">
        <f>IF(ISNA(MATCH(H190,'Operating leases'!$B$32:$B$43,0)),0,INDEX('Operating leases'!$M$32:$S$43,MATCH(H190,'Operating leases'!$B$32:$B$43,0),MATCH(J190,'Operating leases'!$M$11:$S$11,0)))</f>
        <v>0</v>
      </c>
      <c r="P190" s="257">
        <f t="shared" si="37"/>
        <v>570625</v>
      </c>
      <c r="Q190" s="257">
        <f t="shared" si="38"/>
        <v>570625</v>
      </c>
      <c r="R190" s="258">
        <f>INDEX('Escalators '!$M$124:$S$129,MATCH(I190,'Escalators '!$B$124:$B$129,0),MATCH(J190,'Escalators '!$M$113:$S$113,0))</f>
        <v>1</v>
      </c>
      <c r="S190" s="257">
        <f t="shared" si="39"/>
        <v>0</v>
      </c>
      <c r="T190" s="257">
        <f t="shared" si="40"/>
        <v>0</v>
      </c>
      <c r="U190" s="269">
        <f t="shared" si="41"/>
        <v>570625</v>
      </c>
      <c r="V190" s="269">
        <f t="shared" si="42"/>
        <v>570625</v>
      </c>
      <c r="W190" s="269">
        <f t="shared" si="43"/>
        <v>570625</v>
      </c>
      <c r="X190" s="257">
        <f t="shared" si="44"/>
        <v>570625</v>
      </c>
      <c r="Y190" s="270">
        <f>IF(L190="Complex",(INDEX('Escalators '!$M$176:$S$176,MATCH('Forecast capex'!J190,'Escalators '!$M$178:$S$178,0))/12+1)^((K190-J190)*12)-1,0)</f>
        <v>0</v>
      </c>
      <c r="Z190" s="257">
        <f t="shared" si="45"/>
        <v>0</v>
      </c>
      <c r="AA190" s="257">
        <f t="shared" si="46"/>
        <v>0</v>
      </c>
      <c r="AB190" s="269">
        <f t="shared" si="47"/>
        <v>0</v>
      </c>
      <c r="AC190" s="269">
        <f t="shared" si="48"/>
        <v>0</v>
      </c>
      <c r="AD190" s="271" t="str">
        <f>INDEX('Global inputs'!$C$134:$C$171,MATCH(F190,'Global inputs'!$B$134:$B$171,0))</f>
        <v>Asset replacement and renewal</v>
      </c>
      <c r="AE190" s="272">
        <f>IF(OR(H190='Operating leases'!$B$32,H190='Operating leases'!$B$33),"",INDEX('Global inputs'!$C$186:$C$243,MATCH(E190,'Global inputs'!$B$186:$B$243,0)))</f>
        <v>0.08</v>
      </c>
    </row>
    <row r="191" spans="1:31" s="27" customFormat="1" x14ac:dyDescent="0.2">
      <c r="A191" s="250"/>
      <c r="B191" s="210" t="s">
        <v>742</v>
      </c>
      <c r="C191" s="210" t="s">
        <v>287</v>
      </c>
      <c r="D191" s="210" t="s">
        <v>729</v>
      </c>
      <c r="E191" s="210" t="s">
        <v>150</v>
      </c>
      <c r="F191" s="210" t="s">
        <v>103</v>
      </c>
      <c r="G191" s="210" t="s">
        <v>731</v>
      </c>
      <c r="H191" s="197">
        <v>0</v>
      </c>
      <c r="I191" s="210" t="s">
        <v>225</v>
      </c>
      <c r="J191" s="210">
        <v>2020</v>
      </c>
      <c r="K191" s="210">
        <v>2020</v>
      </c>
      <c r="L191" s="268" t="str">
        <f t="shared" si="36"/>
        <v>Simple</v>
      </c>
      <c r="M191" s="197">
        <v>834300</v>
      </c>
      <c r="N191" s="197">
        <v>0</v>
      </c>
      <c r="O191" s="257">
        <f>IF(ISNA(MATCH(H191,'Operating leases'!$B$32:$B$43,0)),0,INDEX('Operating leases'!$M$32:$S$43,MATCH(H191,'Operating leases'!$B$32:$B$43,0),MATCH(J191,'Operating leases'!$M$11:$S$11,0)))</f>
        <v>0</v>
      </c>
      <c r="P191" s="257">
        <f t="shared" si="37"/>
        <v>834300</v>
      </c>
      <c r="Q191" s="257">
        <f t="shared" si="38"/>
        <v>834300</v>
      </c>
      <c r="R191" s="258">
        <f>INDEX('Escalators '!$M$124:$S$129,MATCH(I191,'Escalators '!$B$124:$B$129,0),MATCH(J191,'Escalators '!$M$113:$S$113,0))</f>
        <v>1</v>
      </c>
      <c r="S191" s="257">
        <f t="shared" si="39"/>
        <v>0</v>
      </c>
      <c r="T191" s="257">
        <f t="shared" si="40"/>
        <v>0</v>
      </c>
      <c r="U191" s="269">
        <f t="shared" si="41"/>
        <v>834300</v>
      </c>
      <c r="V191" s="269">
        <f t="shared" si="42"/>
        <v>834300</v>
      </c>
      <c r="W191" s="269">
        <f t="shared" si="43"/>
        <v>834300</v>
      </c>
      <c r="X191" s="257">
        <f t="shared" si="44"/>
        <v>834300</v>
      </c>
      <c r="Y191" s="270">
        <f>IF(L191="Complex",(INDEX('Escalators '!$M$176:$S$176,MATCH('Forecast capex'!J191,'Escalators '!$M$178:$S$178,0))/12+1)^((K191-J191)*12)-1,0)</f>
        <v>0</v>
      </c>
      <c r="Z191" s="257">
        <f t="shared" si="45"/>
        <v>0</v>
      </c>
      <c r="AA191" s="257">
        <f t="shared" si="46"/>
        <v>0</v>
      </c>
      <c r="AB191" s="269">
        <f t="shared" si="47"/>
        <v>0</v>
      </c>
      <c r="AC191" s="269">
        <f t="shared" si="48"/>
        <v>0</v>
      </c>
      <c r="AD191" s="271" t="str">
        <f>INDEX('Global inputs'!$C$134:$C$171,MATCH(F191,'Global inputs'!$B$134:$B$171,0))</f>
        <v>Asset replacement and renewal</v>
      </c>
      <c r="AE191" s="272">
        <f>IF(OR(H191='Operating leases'!$B$32,H191='Operating leases'!$B$33),"",INDEX('Global inputs'!$C$186:$C$243,MATCH(E191,'Global inputs'!$B$186:$B$243,0)))</f>
        <v>0.08</v>
      </c>
    </row>
    <row r="192" spans="1:31" s="27" customFormat="1" x14ac:dyDescent="0.2">
      <c r="A192" s="250"/>
      <c r="B192" s="210" t="s">
        <v>742</v>
      </c>
      <c r="C192" s="210" t="s">
        <v>287</v>
      </c>
      <c r="D192" s="210" t="s">
        <v>729</v>
      </c>
      <c r="E192" s="210" t="s">
        <v>150</v>
      </c>
      <c r="F192" s="210" t="s">
        <v>103</v>
      </c>
      <c r="G192" s="210" t="s">
        <v>731</v>
      </c>
      <c r="H192" s="197">
        <v>0</v>
      </c>
      <c r="I192" s="210" t="s">
        <v>221</v>
      </c>
      <c r="J192" s="210">
        <v>2020</v>
      </c>
      <c r="K192" s="210">
        <v>2020</v>
      </c>
      <c r="L192" s="268" t="str">
        <f t="shared" si="36"/>
        <v>Simple</v>
      </c>
      <c r="M192" s="197">
        <v>3337200</v>
      </c>
      <c r="N192" s="197">
        <v>0</v>
      </c>
      <c r="O192" s="257">
        <f>IF(ISNA(MATCH(H192,'Operating leases'!$B$32:$B$43,0)),0,INDEX('Operating leases'!$M$32:$S$43,MATCH(H192,'Operating leases'!$B$32:$B$43,0),MATCH(J192,'Operating leases'!$M$11:$S$11,0)))</f>
        <v>0</v>
      </c>
      <c r="P192" s="257">
        <f t="shared" si="37"/>
        <v>3337200</v>
      </c>
      <c r="Q192" s="257">
        <f t="shared" si="38"/>
        <v>3337200</v>
      </c>
      <c r="R192" s="258">
        <f>INDEX('Escalators '!$M$124:$S$129,MATCH(I192,'Escalators '!$B$124:$B$129,0),MATCH(J192,'Escalators '!$M$113:$S$113,0))</f>
        <v>1</v>
      </c>
      <c r="S192" s="257">
        <f t="shared" si="39"/>
        <v>0</v>
      </c>
      <c r="T192" s="257">
        <f t="shared" si="40"/>
        <v>0</v>
      </c>
      <c r="U192" s="269">
        <f t="shared" si="41"/>
        <v>3337200</v>
      </c>
      <c r="V192" s="269">
        <f t="shared" si="42"/>
        <v>3337200</v>
      </c>
      <c r="W192" s="269">
        <f t="shared" si="43"/>
        <v>3337200</v>
      </c>
      <c r="X192" s="257">
        <f t="shared" si="44"/>
        <v>3337200</v>
      </c>
      <c r="Y192" s="270">
        <f>IF(L192="Complex",(INDEX('Escalators '!$M$176:$S$176,MATCH('Forecast capex'!J192,'Escalators '!$M$178:$S$178,0))/12+1)^((K192-J192)*12)-1,0)</f>
        <v>0</v>
      </c>
      <c r="Z192" s="257">
        <f t="shared" si="45"/>
        <v>0</v>
      </c>
      <c r="AA192" s="257">
        <f t="shared" si="46"/>
        <v>0</v>
      </c>
      <c r="AB192" s="269">
        <f t="shared" si="47"/>
        <v>0</v>
      </c>
      <c r="AC192" s="269">
        <f t="shared" si="48"/>
        <v>0</v>
      </c>
      <c r="AD192" s="271" t="str">
        <f>INDEX('Global inputs'!$C$134:$C$171,MATCH(F192,'Global inputs'!$B$134:$B$171,0))</f>
        <v>Asset replacement and renewal</v>
      </c>
      <c r="AE192" s="272">
        <f>IF(OR(H192='Operating leases'!$B$32,H192='Operating leases'!$B$33),"",INDEX('Global inputs'!$C$186:$C$243,MATCH(E192,'Global inputs'!$B$186:$B$243,0)))</f>
        <v>0.08</v>
      </c>
    </row>
    <row r="193" spans="1:31" s="27" customFormat="1" x14ac:dyDescent="0.2">
      <c r="A193" s="250"/>
      <c r="B193" s="210" t="s">
        <v>742</v>
      </c>
      <c r="C193" s="210" t="s">
        <v>290</v>
      </c>
      <c r="D193" s="210" t="s">
        <v>718</v>
      </c>
      <c r="E193" s="210" t="s">
        <v>173</v>
      </c>
      <c r="F193" s="210" t="s">
        <v>109</v>
      </c>
      <c r="G193" s="210" t="s">
        <v>719</v>
      </c>
      <c r="H193" s="197">
        <v>0</v>
      </c>
      <c r="I193" s="210" t="s">
        <v>142</v>
      </c>
      <c r="J193" s="210">
        <v>2020</v>
      </c>
      <c r="K193" s="210">
        <v>2020</v>
      </c>
      <c r="L193" s="268" t="str">
        <f t="shared" si="36"/>
        <v>Simple</v>
      </c>
      <c r="M193" s="197">
        <v>978060</v>
      </c>
      <c r="N193" s="197">
        <v>0</v>
      </c>
      <c r="O193" s="257">
        <f>IF(ISNA(MATCH(H193,'Operating leases'!$B$32:$B$43,0)),0,INDEX('Operating leases'!$M$32:$S$43,MATCH(H193,'Operating leases'!$B$32:$B$43,0),MATCH(J193,'Operating leases'!$M$11:$S$11,0)))</f>
        <v>0</v>
      </c>
      <c r="P193" s="257">
        <f t="shared" si="37"/>
        <v>978060</v>
      </c>
      <c r="Q193" s="257">
        <f t="shared" si="38"/>
        <v>978060</v>
      </c>
      <c r="R193" s="258">
        <f>INDEX('Escalators '!$M$124:$S$129,MATCH(I193,'Escalators '!$B$124:$B$129,0),MATCH(J193,'Escalators '!$M$113:$S$113,0))</f>
        <v>1</v>
      </c>
      <c r="S193" s="257">
        <f t="shared" si="39"/>
        <v>0</v>
      </c>
      <c r="T193" s="257">
        <f t="shared" si="40"/>
        <v>0</v>
      </c>
      <c r="U193" s="269">
        <f t="shared" si="41"/>
        <v>978060</v>
      </c>
      <c r="V193" s="269">
        <f t="shared" si="42"/>
        <v>978060</v>
      </c>
      <c r="W193" s="269">
        <f t="shared" si="43"/>
        <v>978060</v>
      </c>
      <c r="X193" s="257">
        <f t="shared" si="44"/>
        <v>978060</v>
      </c>
      <c r="Y193" s="270">
        <f>IF(L193="Complex",(INDEX('Escalators '!$M$176:$S$176,MATCH('Forecast capex'!J193,'Escalators '!$M$178:$S$178,0))/12+1)^((K193-J193)*12)-1,0)</f>
        <v>0</v>
      </c>
      <c r="Z193" s="257">
        <f t="shared" si="45"/>
        <v>0</v>
      </c>
      <c r="AA193" s="257">
        <f t="shared" si="46"/>
        <v>0</v>
      </c>
      <c r="AB193" s="269">
        <f t="shared" si="47"/>
        <v>0</v>
      </c>
      <c r="AC193" s="269">
        <f t="shared" si="48"/>
        <v>0</v>
      </c>
      <c r="AD193" s="271" t="str">
        <f>INDEX('Global inputs'!$C$134:$C$171,MATCH(F193,'Global inputs'!$B$134:$B$171,0))</f>
        <v>Asset replacement and renewal</v>
      </c>
      <c r="AE193" s="272">
        <f>IF(OR(H193='Operating leases'!$B$32,H193='Operating leases'!$B$33),"",INDEX('Global inputs'!$C$186:$C$243,MATCH(E193,'Global inputs'!$B$186:$B$243,0)))</f>
        <v>0.08</v>
      </c>
    </row>
    <row r="194" spans="1:31" s="27" customFormat="1" x14ac:dyDescent="0.2">
      <c r="A194" s="250"/>
      <c r="B194" s="210" t="s">
        <v>742</v>
      </c>
      <c r="C194" s="210" t="s">
        <v>290</v>
      </c>
      <c r="D194" s="210" t="s">
        <v>718</v>
      </c>
      <c r="E194" s="210" t="s">
        <v>173</v>
      </c>
      <c r="F194" s="210" t="s">
        <v>109</v>
      </c>
      <c r="G194" s="210" t="s">
        <v>719</v>
      </c>
      <c r="H194" s="197">
        <v>0</v>
      </c>
      <c r="I194" s="210" t="s">
        <v>221</v>
      </c>
      <c r="J194" s="210">
        <v>2020</v>
      </c>
      <c r="K194" s="210">
        <v>2020</v>
      </c>
      <c r="L194" s="268" t="str">
        <f t="shared" si="36"/>
        <v>Simple</v>
      </c>
      <c r="M194" s="197">
        <v>244515</v>
      </c>
      <c r="N194" s="197">
        <v>0</v>
      </c>
      <c r="O194" s="257">
        <f>IF(ISNA(MATCH(H194,'Operating leases'!$B$32:$B$43,0)),0,INDEX('Operating leases'!$M$32:$S$43,MATCH(H194,'Operating leases'!$B$32:$B$43,0),MATCH(J194,'Operating leases'!$M$11:$S$11,0)))</f>
        <v>0</v>
      </c>
      <c r="P194" s="257">
        <f t="shared" si="37"/>
        <v>244515</v>
      </c>
      <c r="Q194" s="257">
        <f t="shared" si="38"/>
        <v>244515</v>
      </c>
      <c r="R194" s="258">
        <f>INDEX('Escalators '!$M$124:$S$129,MATCH(I194,'Escalators '!$B$124:$B$129,0),MATCH(J194,'Escalators '!$M$113:$S$113,0))</f>
        <v>1</v>
      </c>
      <c r="S194" s="257">
        <f t="shared" si="39"/>
        <v>0</v>
      </c>
      <c r="T194" s="257">
        <f t="shared" si="40"/>
        <v>0</v>
      </c>
      <c r="U194" s="269">
        <f t="shared" si="41"/>
        <v>244515</v>
      </c>
      <c r="V194" s="269">
        <f t="shared" si="42"/>
        <v>244515</v>
      </c>
      <c r="W194" s="269">
        <f t="shared" si="43"/>
        <v>244515</v>
      </c>
      <c r="X194" s="257">
        <f t="shared" si="44"/>
        <v>244515</v>
      </c>
      <c r="Y194" s="270">
        <f>IF(L194="Complex",(INDEX('Escalators '!$M$176:$S$176,MATCH('Forecast capex'!J194,'Escalators '!$M$178:$S$178,0))/12+1)^((K194-J194)*12)-1,0)</f>
        <v>0</v>
      </c>
      <c r="Z194" s="257">
        <f t="shared" si="45"/>
        <v>0</v>
      </c>
      <c r="AA194" s="257">
        <f t="shared" si="46"/>
        <v>0</v>
      </c>
      <c r="AB194" s="269">
        <f t="shared" si="47"/>
        <v>0</v>
      </c>
      <c r="AC194" s="269">
        <f t="shared" si="48"/>
        <v>0</v>
      </c>
      <c r="AD194" s="271" t="str">
        <f>INDEX('Global inputs'!$C$134:$C$171,MATCH(F194,'Global inputs'!$B$134:$B$171,0))</f>
        <v>Asset replacement and renewal</v>
      </c>
      <c r="AE194" s="272">
        <f>IF(OR(H194='Operating leases'!$B$32,H194='Operating leases'!$B$33),"",INDEX('Global inputs'!$C$186:$C$243,MATCH(E194,'Global inputs'!$B$186:$B$243,0)))</f>
        <v>0.08</v>
      </c>
    </row>
    <row r="195" spans="1:31" s="27" customFormat="1" x14ac:dyDescent="0.2">
      <c r="A195" s="250"/>
      <c r="B195" s="210" t="s">
        <v>742</v>
      </c>
      <c r="C195" s="210" t="s">
        <v>288</v>
      </c>
      <c r="D195" s="210" t="s">
        <v>718</v>
      </c>
      <c r="E195" s="210" t="s">
        <v>160</v>
      </c>
      <c r="F195" s="210" t="s">
        <v>112</v>
      </c>
      <c r="G195" s="210" t="s">
        <v>722</v>
      </c>
      <c r="H195" s="197">
        <v>0</v>
      </c>
      <c r="I195" s="210" t="s">
        <v>229</v>
      </c>
      <c r="J195" s="210">
        <v>2020</v>
      </c>
      <c r="K195" s="210">
        <v>2020</v>
      </c>
      <c r="L195" s="268" t="str">
        <f t="shared" si="36"/>
        <v>Simple</v>
      </c>
      <c r="M195" s="197">
        <v>62500</v>
      </c>
      <c r="N195" s="197">
        <v>0</v>
      </c>
      <c r="O195" s="257">
        <f>IF(ISNA(MATCH(H195,'Operating leases'!$B$32:$B$43,0)),0,INDEX('Operating leases'!$M$32:$S$43,MATCH(H195,'Operating leases'!$B$32:$B$43,0),MATCH(J195,'Operating leases'!$M$11:$S$11,0)))</f>
        <v>0</v>
      </c>
      <c r="P195" s="257">
        <f t="shared" si="37"/>
        <v>62500</v>
      </c>
      <c r="Q195" s="257">
        <f t="shared" si="38"/>
        <v>62500</v>
      </c>
      <c r="R195" s="258">
        <f>INDEX('Escalators '!$M$124:$S$129,MATCH(I195,'Escalators '!$B$124:$B$129,0),MATCH(J195,'Escalators '!$M$113:$S$113,0))</f>
        <v>1</v>
      </c>
      <c r="S195" s="257">
        <f t="shared" si="39"/>
        <v>0</v>
      </c>
      <c r="T195" s="257">
        <f t="shared" si="40"/>
        <v>0</v>
      </c>
      <c r="U195" s="269">
        <f t="shared" si="41"/>
        <v>62500</v>
      </c>
      <c r="V195" s="269">
        <f t="shared" si="42"/>
        <v>62500</v>
      </c>
      <c r="W195" s="269">
        <f t="shared" si="43"/>
        <v>62500</v>
      </c>
      <c r="X195" s="257">
        <f t="shared" si="44"/>
        <v>62500</v>
      </c>
      <c r="Y195" s="270">
        <f>IF(L195="Complex",(INDEX('Escalators '!$M$176:$S$176,MATCH('Forecast capex'!J195,'Escalators '!$M$178:$S$178,0))/12+1)^((K195-J195)*12)-1,0)</f>
        <v>0</v>
      </c>
      <c r="Z195" s="257">
        <f t="shared" si="45"/>
        <v>0</v>
      </c>
      <c r="AA195" s="257">
        <f t="shared" si="46"/>
        <v>0</v>
      </c>
      <c r="AB195" s="269">
        <f t="shared" si="47"/>
        <v>0</v>
      </c>
      <c r="AC195" s="269">
        <f t="shared" si="48"/>
        <v>0</v>
      </c>
      <c r="AD195" s="271" t="str">
        <f>INDEX('Global inputs'!$C$134:$C$171,MATCH(F195,'Global inputs'!$B$134:$B$171,0))</f>
        <v>Asset replacement and renewal</v>
      </c>
      <c r="AE195" s="272">
        <f>IF(OR(H195='Operating leases'!$B$32,H195='Operating leases'!$B$33),"",INDEX('Global inputs'!$C$186:$C$243,MATCH(E195,'Global inputs'!$B$186:$B$243,0)))</f>
        <v>0.08</v>
      </c>
    </row>
    <row r="196" spans="1:31" s="27" customFormat="1" x14ac:dyDescent="0.2">
      <c r="A196" s="250"/>
      <c r="B196" s="210" t="s">
        <v>742</v>
      </c>
      <c r="C196" s="210" t="s">
        <v>288</v>
      </c>
      <c r="D196" s="210" t="s">
        <v>718</v>
      </c>
      <c r="E196" s="210" t="s">
        <v>160</v>
      </c>
      <c r="F196" s="210" t="s">
        <v>112</v>
      </c>
      <c r="G196" s="210" t="s">
        <v>722</v>
      </c>
      <c r="H196" s="197">
        <v>0</v>
      </c>
      <c r="I196" s="210" t="s">
        <v>221</v>
      </c>
      <c r="J196" s="210">
        <v>2020</v>
      </c>
      <c r="K196" s="210">
        <v>2020</v>
      </c>
      <c r="L196" s="268" t="str">
        <f t="shared" si="36"/>
        <v>Simple</v>
      </c>
      <c r="M196" s="197">
        <v>62500</v>
      </c>
      <c r="N196" s="197">
        <v>0</v>
      </c>
      <c r="O196" s="257">
        <f>IF(ISNA(MATCH(H196,'Operating leases'!$B$32:$B$43,0)),0,INDEX('Operating leases'!$M$32:$S$43,MATCH(H196,'Operating leases'!$B$32:$B$43,0),MATCH(J196,'Operating leases'!$M$11:$S$11,0)))</f>
        <v>0</v>
      </c>
      <c r="P196" s="257">
        <f t="shared" si="37"/>
        <v>62500</v>
      </c>
      <c r="Q196" s="257">
        <f t="shared" si="38"/>
        <v>62500</v>
      </c>
      <c r="R196" s="258">
        <f>INDEX('Escalators '!$M$124:$S$129,MATCH(I196,'Escalators '!$B$124:$B$129,0),MATCH(J196,'Escalators '!$M$113:$S$113,0))</f>
        <v>1</v>
      </c>
      <c r="S196" s="257">
        <f t="shared" si="39"/>
        <v>0</v>
      </c>
      <c r="T196" s="257">
        <f t="shared" si="40"/>
        <v>0</v>
      </c>
      <c r="U196" s="269">
        <f t="shared" si="41"/>
        <v>62500</v>
      </c>
      <c r="V196" s="269">
        <f t="shared" si="42"/>
        <v>62500</v>
      </c>
      <c r="W196" s="269">
        <f t="shared" si="43"/>
        <v>62500</v>
      </c>
      <c r="X196" s="257">
        <f t="shared" si="44"/>
        <v>62500</v>
      </c>
      <c r="Y196" s="270">
        <f>IF(L196="Complex",(INDEX('Escalators '!$M$176:$S$176,MATCH('Forecast capex'!J196,'Escalators '!$M$178:$S$178,0))/12+1)^((K196-J196)*12)-1,0)</f>
        <v>0</v>
      </c>
      <c r="Z196" s="257">
        <f t="shared" si="45"/>
        <v>0</v>
      </c>
      <c r="AA196" s="257">
        <f t="shared" si="46"/>
        <v>0</v>
      </c>
      <c r="AB196" s="269">
        <f t="shared" si="47"/>
        <v>0</v>
      </c>
      <c r="AC196" s="269">
        <f t="shared" si="48"/>
        <v>0</v>
      </c>
      <c r="AD196" s="271" t="str">
        <f>INDEX('Global inputs'!$C$134:$C$171,MATCH(F196,'Global inputs'!$B$134:$B$171,0))</f>
        <v>Asset replacement and renewal</v>
      </c>
      <c r="AE196" s="272">
        <f>IF(OR(H196='Operating leases'!$B$32,H196='Operating leases'!$B$33),"",INDEX('Global inputs'!$C$186:$C$243,MATCH(E196,'Global inputs'!$B$186:$B$243,0)))</f>
        <v>0.08</v>
      </c>
    </row>
    <row r="197" spans="1:31" s="27" customFormat="1" x14ac:dyDescent="0.2">
      <c r="A197" s="250"/>
      <c r="B197" s="210" t="s">
        <v>742</v>
      </c>
      <c r="C197" s="210" t="s">
        <v>288</v>
      </c>
      <c r="D197" s="210" t="s">
        <v>718</v>
      </c>
      <c r="E197" s="210" t="s">
        <v>161</v>
      </c>
      <c r="F197" s="210" t="s">
        <v>112</v>
      </c>
      <c r="G197" s="210" t="s">
        <v>722</v>
      </c>
      <c r="H197" s="197">
        <v>0</v>
      </c>
      <c r="I197" s="210" t="s">
        <v>229</v>
      </c>
      <c r="J197" s="210">
        <v>2020</v>
      </c>
      <c r="K197" s="210">
        <v>2020</v>
      </c>
      <c r="L197" s="268" t="str">
        <f t="shared" si="36"/>
        <v>Simple</v>
      </c>
      <c r="M197" s="197">
        <v>225000</v>
      </c>
      <c r="N197" s="197">
        <v>0</v>
      </c>
      <c r="O197" s="257">
        <f>IF(ISNA(MATCH(H197,'Operating leases'!$B$32:$B$43,0)),0,INDEX('Operating leases'!$M$32:$S$43,MATCH(H197,'Operating leases'!$B$32:$B$43,0),MATCH(J197,'Operating leases'!$M$11:$S$11,0)))</f>
        <v>0</v>
      </c>
      <c r="P197" s="257">
        <f t="shared" si="37"/>
        <v>225000</v>
      </c>
      <c r="Q197" s="257">
        <f t="shared" si="38"/>
        <v>225000</v>
      </c>
      <c r="R197" s="258">
        <f>INDEX('Escalators '!$M$124:$S$129,MATCH(I197,'Escalators '!$B$124:$B$129,0),MATCH(J197,'Escalators '!$M$113:$S$113,0))</f>
        <v>1</v>
      </c>
      <c r="S197" s="257">
        <f t="shared" si="39"/>
        <v>0</v>
      </c>
      <c r="T197" s="257">
        <f t="shared" si="40"/>
        <v>0</v>
      </c>
      <c r="U197" s="269">
        <f t="shared" si="41"/>
        <v>225000</v>
      </c>
      <c r="V197" s="269">
        <f t="shared" si="42"/>
        <v>225000</v>
      </c>
      <c r="W197" s="269">
        <f t="shared" si="43"/>
        <v>225000</v>
      </c>
      <c r="X197" s="257">
        <f t="shared" si="44"/>
        <v>225000</v>
      </c>
      <c r="Y197" s="270">
        <f>IF(L197="Complex",(INDEX('Escalators '!$M$176:$S$176,MATCH('Forecast capex'!J197,'Escalators '!$M$178:$S$178,0))/12+1)^((K197-J197)*12)-1,0)</f>
        <v>0</v>
      </c>
      <c r="Z197" s="257">
        <f t="shared" si="45"/>
        <v>0</v>
      </c>
      <c r="AA197" s="257">
        <f t="shared" si="46"/>
        <v>0</v>
      </c>
      <c r="AB197" s="269">
        <f t="shared" si="47"/>
        <v>0</v>
      </c>
      <c r="AC197" s="269">
        <f t="shared" si="48"/>
        <v>0</v>
      </c>
      <c r="AD197" s="271" t="str">
        <f>INDEX('Global inputs'!$C$134:$C$171,MATCH(F197,'Global inputs'!$B$134:$B$171,0))</f>
        <v>Asset replacement and renewal</v>
      </c>
      <c r="AE197" s="272">
        <f>IF(OR(H197='Operating leases'!$B$32,H197='Operating leases'!$B$33),"",INDEX('Global inputs'!$C$186:$C$243,MATCH(E197,'Global inputs'!$B$186:$B$243,0)))</f>
        <v>0.08</v>
      </c>
    </row>
    <row r="198" spans="1:31" s="27" customFormat="1" x14ac:dyDescent="0.2">
      <c r="A198" s="250"/>
      <c r="B198" s="210" t="s">
        <v>742</v>
      </c>
      <c r="C198" s="210" t="s">
        <v>288</v>
      </c>
      <c r="D198" s="210" t="s">
        <v>718</v>
      </c>
      <c r="E198" s="210" t="s">
        <v>161</v>
      </c>
      <c r="F198" s="210" t="s">
        <v>112</v>
      </c>
      <c r="G198" s="210" t="s">
        <v>722</v>
      </c>
      <c r="H198" s="197">
        <v>0</v>
      </c>
      <c r="I198" s="210" t="s">
        <v>221</v>
      </c>
      <c r="J198" s="210">
        <v>2020</v>
      </c>
      <c r="K198" s="210">
        <v>2020</v>
      </c>
      <c r="L198" s="268" t="str">
        <f t="shared" si="36"/>
        <v>Simple</v>
      </c>
      <c r="M198" s="197">
        <v>225000</v>
      </c>
      <c r="N198" s="197">
        <v>0</v>
      </c>
      <c r="O198" s="257">
        <f>IF(ISNA(MATCH(H198,'Operating leases'!$B$32:$B$43,0)),0,INDEX('Operating leases'!$M$32:$S$43,MATCH(H198,'Operating leases'!$B$32:$B$43,0),MATCH(J198,'Operating leases'!$M$11:$S$11,0)))</f>
        <v>0</v>
      </c>
      <c r="P198" s="257">
        <f t="shared" si="37"/>
        <v>225000</v>
      </c>
      <c r="Q198" s="257">
        <f t="shared" si="38"/>
        <v>225000</v>
      </c>
      <c r="R198" s="258">
        <f>INDEX('Escalators '!$M$124:$S$129,MATCH(I198,'Escalators '!$B$124:$B$129,0),MATCH(J198,'Escalators '!$M$113:$S$113,0))</f>
        <v>1</v>
      </c>
      <c r="S198" s="257">
        <f t="shared" si="39"/>
        <v>0</v>
      </c>
      <c r="T198" s="257">
        <f t="shared" si="40"/>
        <v>0</v>
      </c>
      <c r="U198" s="269">
        <f t="shared" si="41"/>
        <v>225000</v>
      </c>
      <c r="V198" s="269">
        <f t="shared" si="42"/>
        <v>225000</v>
      </c>
      <c r="W198" s="269">
        <f t="shared" si="43"/>
        <v>225000</v>
      </c>
      <c r="X198" s="257">
        <f t="shared" si="44"/>
        <v>225000</v>
      </c>
      <c r="Y198" s="270">
        <f>IF(L198="Complex",(INDEX('Escalators '!$M$176:$S$176,MATCH('Forecast capex'!J198,'Escalators '!$M$178:$S$178,0))/12+1)^((K198-J198)*12)-1,0)</f>
        <v>0</v>
      </c>
      <c r="Z198" s="257">
        <f t="shared" si="45"/>
        <v>0</v>
      </c>
      <c r="AA198" s="257">
        <f t="shared" si="46"/>
        <v>0</v>
      </c>
      <c r="AB198" s="269">
        <f t="shared" si="47"/>
        <v>0</v>
      </c>
      <c r="AC198" s="269">
        <f t="shared" si="48"/>
        <v>0</v>
      </c>
      <c r="AD198" s="271" t="str">
        <f>INDEX('Global inputs'!$C$134:$C$171,MATCH(F198,'Global inputs'!$B$134:$B$171,0))</f>
        <v>Asset replacement and renewal</v>
      </c>
      <c r="AE198" s="272">
        <f>IF(OR(H198='Operating leases'!$B$32,H198='Operating leases'!$B$33),"",INDEX('Global inputs'!$C$186:$C$243,MATCH(E198,'Global inputs'!$B$186:$B$243,0)))</f>
        <v>0.08</v>
      </c>
    </row>
    <row r="199" spans="1:31" s="27" customFormat="1" x14ac:dyDescent="0.2">
      <c r="A199" s="250"/>
      <c r="B199" s="210" t="s">
        <v>742</v>
      </c>
      <c r="C199" s="210" t="s">
        <v>286</v>
      </c>
      <c r="D199" s="210" t="s">
        <v>735</v>
      </c>
      <c r="E199" s="210" t="s">
        <v>144</v>
      </c>
      <c r="F199" s="210" t="s">
        <v>117</v>
      </c>
      <c r="G199" s="210" t="s">
        <v>736</v>
      </c>
      <c r="H199" s="197">
        <v>0</v>
      </c>
      <c r="I199" s="210" t="s">
        <v>229</v>
      </c>
      <c r="J199" s="210">
        <v>2020</v>
      </c>
      <c r="K199" s="210">
        <v>2020</v>
      </c>
      <c r="L199" s="268" t="str">
        <f t="shared" si="36"/>
        <v>Simple</v>
      </c>
      <c r="M199" s="197">
        <v>252000.00000000006</v>
      </c>
      <c r="N199" s="197">
        <v>0</v>
      </c>
      <c r="O199" s="257">
        <f>IF(ISNA(MATCH(H199,'Operating leases'!$B$32:$B$43,0)),0,INDEX('Operating leases'!$M$32:$S$43,MATCH(H199,'Operating leases'!$B$32:$B$43,0),MATCH(J199,'Operating leases'!$M$11:$S$11,0)))</f>
        <v>0</v>
      </c>
      <c r="P199" s="257">
        <f t="shared" si="37"/>
        <v>252000.00000000006</v>
      </c>
      <c r="Q199" s="257">
        <f t="shared" si="38"/>
        <v>252000.00000000006</v>
      </c>
      <c r="R199" s="258">
        <f>INDEX('Escalators '!$M$124:$S$129,MATCH(I199,'Escalators '!$B$124:$B$129,0),MATCH(J199,'Escalators '!$M$113:$S$113,0))</f>
        <v>1</v>
      </c>
      <c r="S199" s="257">
        <f t="shared" si="39"/>
        <v>0</v>
      </c>
      <c r="T199" s="257">
        <f t="shared" si="40"/>
        <v>0</v>
      </c>
      <c r="U199" s="269">
        <f t="shared" si="41"/>
        <v>252000.00000000006</v>
      </c>
      <c r="V199" s="269">
        <f t="shared" si="42"/>
        <v>252000.00000000006</v>
      </c>
      <c r="W199" s="269">
        <f t="shared" si="43"/>
        <v>252000.00000000006</v>
      </c>
      <c r="X199" s="257">
        <f t="shared" si="44"/>
        <v>252000.00000000006</v>
      </c>
      <c r="Y199" s="270">
        <f>IF(L199="Complex",(INDEX('Escalators '!$M$176:$S$176,MATCH('Forecast capex'!J199,'Escalators '!$M$178:$S$178,0))/12+1)^((K199-J199)*12)-1,0)</f>
        <v>0</v>
      </c>
      <c r="Z199" s="257">
        <f t="shared" si="45"/>
        <v>0</v>
      </c>
      <c r="AA199" s="257">
        <f t="shared" si="46"/>
        <v>0</v>
      </c>
      <c r="AB199" s="269">
        <f t="shared" si="47"/>
        <v>0</v>
      </c>
      <c r="AC199" s="269">
        <f t="shared" si="48"/>
        <v>0</v>
      </c>
      <c r="AD199" s="271" t="str">
        <f>INDEX('Global inputs'!$C$134:$C$171,MATCH(F199,'Global inputs'!$B$134:$B$171,0))</f>
        <v>Asset replacement and renewal</v>
      </c>
      <c r="AE199" s="272">
        <f>IF(OR(H199='Operating leases'!$B$32,H199='Operating leases'!$B$33),"",INDEX('Global inputs'!$C$186:$C$243,MATCH(E199,'Global inputs'!$B$186:$B$243,0)))</f>
        <v>0.08</v>
      </c>
    </row>
    <row r="200" spans="1:31" s="27" customFormat="1" x14ac:dyDescent="0.2">
      <c r="A200" s="250"/>
      <c r="B200" s="210" t="s">
        <v>742</v>
      </c>
      <c r="C200" s="210" t="s">
        <v>286</v>
      </c>
      <c r="D200" s="210" t="s">
        <v>735</v>
      </c>
      <c r="E200" s="210" t="s">
        <v>144</v>
      </c>
      <c r="F200" s="210" t="s">
        <v>117</v>
      </c>
      <c r="G200" s="210" t="s">
        <v>736</v>
      </c>
      <c r="H200" s="197">
        <v>0</v>
      </c>
      <c r="I200" s="210" t="s">
        <v>221</v>
      </c>
      <c r="J200" s="210">
        <v>2020</v>
      </c>
      <c r="K200" s="210">
        <v>2020</v>
      </c>
      <c r="L200" s="268" t="str">
        <f t="shared" si="36"/>
        <v>Simple</v>
      </c>
      <c r="M200" s="197">
        <v>1008000.0000000002</v>
      </c>
      <c r="N200" s="197">
        <v>0</v>
      </c>
      <c r="O200" s="257">
        <f>IF(ISNA(MATCH(H200,'Operating leases'!$B$32:$B$43,0)),0,INDEX('Operating leases'!$M$32:$S$43,MATCH(H200,'Operating leases'!$B$32:$B$43,0),MATCH(J200,'Operating leases'!$M$11:$S$11,0)))</f>
        <v>0</v>
      </c>
      <c r="P200" s="257">
        <f t="shared" si="37"/>
        <v>1008000.0000000002</v>
      </c>
      <c r="Q200" s="257">
        <f t="shared" si="38"/>
        <v>1008000.0000000002</v>
      </c>
      <c r="R200" s="258">
        <f>INDEX('Escalators '!$M$124:$S$129,MATCH(I200,'Escalators '!$B$124:$B$129,0),MATCH(J200,'Escalators '!$M$113:$S$113,0))</f>
        <v>1</v>
      </c>
      <c r="S200" s="257">
        <f t="shared" si="39"/>
        <v>0</v>
      </c>
      <c r="T200" s="257">
        <f t="shared" si="40"/>
        <v>0</v>
      </c>
      <c r="U200" s="269">
        <f t="shared" si="41"/>
        <v>1008000.0000000002</v>
      </c>
      <c r="V200" s="269">
        <f t="shared" si="42"/>
        <v>1008000.0000000002</v>
      </c>
      <c r="W200" s="269">
        <f t="shared" si="43"/>
        <v>1008000.0000000002</v>
      </c>
      <c r="X200" s="257">
        <f t="shared" si="44"/>
        <v>1008000.0000000002</v>
      </c>
      <c r="Y200" s="270">
        <f>IF(L200="Complex",(INDEX('Escalators '!$M$176:$S$176,MATCH('Forecast capex'!J200,'Escalators '!$M$178:$S$178,0))/12+1)^((K200-J200)*12)-1,0)</f>
        <v>0</v>
      </c>
      <c r="Z200" s="257">
        <f t="shared" si="45"/>
        <v>0</v>
      </c>
      <c r="AA200" s="257">
        <f t="shared" si="46"/>
        <v>0</v>
      </c>
      <c r="AB200" s="269">
        <f t="shared" si="47"/>
        <v>0</v>
      </c>
      <c r="AC200" s="269">
        <f t="shared" si="48"/>
        <v>0</v>
      </c>
      <c r="AD200" s="271" t="str">
        <f>INDEX('Global inputs'!$C$134:$C$171,MATCH(F200,'Global inputs'!$B$134:$B$171,0))</f>
        <v>Asset replacement and renewal</v>
      </c>
      <c r="AE200" s="272">
        <f>IF(OR(H200='Operating leases'!$B$32,H200='Operating leases'!$B$33),"",INDEX('Global inputs'!$C$186:$C$243,MATCH(E200,'Global inputs'!$B$186:$B$243,0)))</f>
        <v>0.08</v>
      </c>
    </row>
    <row r="201" spans="1:31" s="27" customFormat="1" x14ac:dyDescent="0.2">
      <c r="A201" s="250"/>
      <c r="B201" s="210" t="s">
        <v>738</v>
      </c>
      <c r="C201" s="210" t="s">
        <v>292</v>
      </c>
      <c r="D201" s="210" t="s">
        <v>739</v>
      </c>
      <c r="E201" s="210" t="s">
        <v>181</v>
      </c>
      <c r="F201" s="210" t="s">
        <v>89</v>
      </c>
      <c r="G201" s="210" t="s">
        <v>749</v>
      </c>
      <c r="H201" s="197">
        <v>0</v>
      </c>
      <c r="I201" s="210" t="s">
        <v>229</v>
      </c>
      <c r="J201" s="210">
        <v>2020</v>
      </c>
      <c r="K201" s="210">
        <v>2020</v>
      </c>
      <c r="L201" s="268" t="str">
        <f t="shared" si="36"/>
        <v>Simple</v>
      </c>
      <c r="M201" s="197">
        <v>145805</v>
      </c>
      <c r="N201" s="197">
        <v>0</v>
      </c>
      <c r="O201" s="257">
        <f>IF(ISNA(MATCH(H201,'Operating leases'!$B$32:$B$43,0)),0,INDEX('Operating leases'!$M$32:$S$43,MATCH(H201,'Operating leases'!$B$32:$B$43,0),MATCH(J201,'Operating leases'!$M$11:$S$11,0)))</f>
        <v>0</v>
      </c>
      <c r="P201" s="257">
        <f t="shared" si="37"/>
        <v>145805</v>
      </c>
      <c r="Q201" s="257">
        <f t="shared" si="38"/>
        <v>145805</v>
      </c>
      <c r="R201" s="258">
        <f>INDEX('Escalators '!$M$124:$S$129,MATCH(I201,'Escalators '!$B$124:$B$129,0),MATCH(J201,'Escalators '!$M$113:$S$113,0))</f>
        <v>1</v>
      </c>
      <c r="S201" s="257">
        <f t="shared" si="39"/>
        <v>0</v>
      </c>
      <c r="T201" s="257">
        <f t="shared" si="40"/>
        <v>0</v>
      </c>
      <c r="U201" s="269">
        <f t="shared" si="41"/>
        <v>145805</v>
      </c>
      <c r="V201" s="269">
        <f t="shared" si="42"/>
        <v>145805</v>
      </c>
      <c r="W201" s="269">
        <f t="shared" si="43"/>
        <v>145805</v>
      </c>
      <c r="X201" s="257">
        <f t="shared" si="44"/>
        <v>145805</v>
      </c>
      <c r="Y201" s="270">
        <f>IF(L201="Complex",(INDEX('Escalators '!$M$176:$S$176,MATCH('Forecast capex'!J201,'Escalators '!$M$178:$S$178,0))/12+1)^((K201-J201)*12)-1,0)</f>
        <v>0</v>
      </c>
      <c r="Z201" s="257">
        <f t="shared" si="45"/>
        <v>0</v>
      </c>
      <c r="AA201" s="257">
        <f t="shared" si="46"/>
        <v>0</v>
      </c>
      <c r="AB201" s="269">
        <f t="shared" si="47"/>
        <v>0</v>
      </c>
      <c r="AC201" s="269">
        <f t="shared" si="48"/>
        <v>0</v>
      </c>
      <c r="AD201" s="271" t="str">
        <f>INDEX('Global inputs'!$C$134:$C$171,MATCH(F201,'Global inputs'!$B$134:$B$171,0))</f>
        <v>Non-network CAPEX</v>
      </c>
      <c r="AE201" s="272">
        <f>IF(OR(H201='Operating leases'!$B$32,H201='Operating leases'!$B$33),"",INDEX('Global inputs'!$C$186:$C$243,MATCH(E201,'Global inputs'!$B$186:$B$243,0)))</f>
        <v>0.5</v>
      </c>
    </row>
    <row r="202" spans="1:31" s="27" customFormat="1" x14ac:dyDescent="0.2">
      <c r="A202" s="250"/>
      <c r="B202" s="210" t="s">
        <v>738</v>
      </c>
      <c r="C202" s="210" t="s">
        <v>292</v>
      </c>
      <c r="D202" s="210" t="s">
        <v>739</v>
      </c>
      <c r="E202" s="210" t="s">
        <v>183</v>
      </c>
      <c r="F202" s="210" t="s">
        <v>89</v>
      </c>
      <c r="G202" s="210" t="s">
        <v>750</v>
      </c>
      <c r="H202" s="197">
        <v>0</v>
      </c>
      <c r="I202" s="210" t="s">
        <v>229</v>
      </c>
      <c r="J202" s="210">
        <v>2020</v>
      </c>
      <c r="K202" s="210">
        <v>2020</v>
      </c>
      <c r="L202" s="268" t="str">
        <f t="shared" ref="L202:L265" si="49">IF(J202=K202,"Simple","Complex")</f>
        <v>Simple</v>
      </c>
      <c r="M202" s="197">
        <v>2770295</v>
      </c>
      <c r="N202" s="197">
        <v>0</v>
      </c>
      <c r="O202" s="257">
        <f>IF(ISNA(MATCH(H202,'Operating leases'!$B$32:$B$43,0)),0,INDEX('Operating leases'!$M$32:$S$43,MATCH(H202,'Operating leases'!$B$32:$B$43,0),MATCH(J202,'Operating leases'!$M$11:$S$11,0)))</f>
        <v>0</v>
      </c>
      <c r="P202" s="257">
        <f t="shared" ref="P202:P265" si="50">O202+M202</f>
        <v>2770295</v>
      </c>
      <c r="Q202" s="257">
        <f t="shared" ref="Q202:Q265" si="51">M202+N202+O202</f>
        <v>2770295</v>
      </c>
      <c r="R202" s="258">
        <f>INDEX('Escalators '!$M$124:$S$129,MATCH(I202,'Escalators '!$B$124:$B$129,0),MATCH(J202,'Escalators '!$M$113:$S$113,0))</f>
        <v>1</v>
      </c>
      <c r="S202" s="257">
        <f t="shared" ref="S202:S265" si="52">O202*R202</f>
        <v>0</v>
      </c>
      <c r="T202" s="257">
        <f t="shared" ref="T202:T265" si="53">N202*R202</f>
        <v>0</v>
      </c>
      <c r="U202" s="269">
        <f t="shared" ref="U202:U265" si="54">W202-S202</f>
        <v>2770295</v>
      </c>
      <c r="V202" s="269">
        <f t="shared" ref="V202:V265" si="55">U202+T202</f>
        <v>2770295</v>
      </c>
      <c r="W202" s="269">
        <f t="shared" ref="W202:W265" si="56">X202-T202</f>
        <v>2770295</v>
      </c>
      <c r="X202" s="257">
        <f t="shared" ref="X202:X265" si="57">Q202*R202</f>
        <v>2770295</v>
      </c>
      <c r="Y202" s="270">
        <f>IF(L202="Complex",(INDEX('Escalators '!$M$176:$S$176,MATCH('Forecast capex'!J202,'Escalators '!$M$178:$S$178,0))/12+1)^((K202-J202)*12)-1,0)</f>
        <v>0</v>
      </c>
      <c r="Z202" s="257">
        <f t="shared" ref="Z202:Z265" si="58">P202*Y202</f>
        <v>0</v>
      </c>
      <c r="AA202" s="257">
        <f t="shared" ref="AA202:AA265" si="59">W202*Y202</f>
        <v>0</v>
      </c>
      <c r="AB202" s="269">
        <f t="shared" ref="AB202:AB265" si="60">IF(L202="Complex",AC202-T202,0)</f>
        <v>0</v>
      </c>
      <c r="AC202" s="269">
        <f t="shared" ref="AC202:AC265" si="61">IF(L202="Complex",V202+AA202,0)</f>
        <v>0</v>
      </c>
      <c r="AD202" s="271" t="str">
        <f>INDEX('Global inputs'!$C$134:$C$171,MATCH(F202,'Global inputs'!$B$134:$B$171,0))</f>
        <v>Non-network CAPEX</v>
      </c>
      <c r="AE202" s="272">
        <f>IF(OR(H202='Operating leases'!$B$32,H202='Operating leases'!$B$33),"",INDEX('Global inputs'!$C$186:$C$243,MATCH(E202,'Global inputs'!$B$186:$B$243,0)))</f>
        <v>0.5</v>
      </c>
    </row>
    <row r="203" spans="1:31" s="27" customFormat="1" x14ac:dyDescent="0.2">
      <c r="A203" s="250"/>
      <c r="B203" s="210" t="s">
        <v>738</v>
      </c>
      <c r="C203" s="210" t="s">
        <v>292</v>
      </c>
      <c r="D203" s="210" t="s">
        <v>739</v>
      </c>
      <c r="E203" s="210" t="s">
        <v>186</v>
      </c>
      <c r="F203" s="210" t="s">
        <v>89</v>
      </c>
      <c r="G203" s="210">
        <v>0</v>
      </c>
      <c r="H203" s="197" t="s">
        <v>89</v>
      </c>
      <c r="I203" s="210" t="s">
        <v>229</v>
      </c>
      <c r="J203" s="210">
        <v>2020</v>
      </c>
      <c r="K203" s="210">
        <v>2020</v>
      </c>
      <c r="L203" s="268" t="str">
        <f t="shared" si="49"/>
        <v>Simple</v>
      </c>
      <c r="M203" s="197">
        <v>0</v>
      </c>
      <c r="N203" s="197">
        <v>0</v>
      </c>
      <c r="O203" s="257">
        <f>IF(ISNA(MATCH(H203,'Operating leases'!$B$32:$B$43,0)),0,INDEX('Operating leases'!$M$32:$S$43,MATCH(H203,'Operating leases'!$B$32:$B$43,0),MATCH(J203,'Operating leases'!$M$11:$S$11,0)))</f>
        <v>1572901.8771693718</v>
      </c>
      <c r="P203" s="257">
        <f t="shared" si="50"/>
        <v>1572901.8771693718</v>
      </c>
      <c r="Q203" s="257">
        <f t="shared" si="51"/>
        <v>1572901.8771693718</v>
      </c>
      <c r="R203" s="258">
        <f>INDEX('Escalators '!$M$124:$S$129,MATCH(I203,'Escalators '!$B$124:$B$129,0),MATCH(J203,'Escalators '!$M$113:$S$113,0))</f>
        <v>1</v>
      </c>
      <c r="S203" s="257">
        <f t="shared" si="52"/>
        <v>1572901.8771693718</v>
      </c>
      <c r="T203" s="257">
        <f t="shared" si="53"/>
        <v>0</v>
      </c>
      <c r="U203" s="269">
        <f t="shared" si="54"/>
        <v>0</v>
      </c>
      <c r="V203" s="269">
        <f t="shared" si="55"/>
        <v>0</v>
      </c>
      <c r="W203" s="269">
        <f t="shared" si="56"/>
        <v>1572901.8771693718</v>
      </c>
      <c r="X203" s="257">
        <f t="shared" si="57"/>
        <v>1572901.8771693718</v>
      </c>
      <c r="Y203" s="270">
        <f>IF(L203="Complex",(INDEX('Escalators '!$M$176:$S$176,MATCH('Forecast capex'!J203,'Escalators '!$M$178:$S$178,0))/12+1)^((K203-J203)*12)-1,0)</f>
        <v>0</v>
      </c>
      <c r="Z203" s="257">
        <f t="shared" si="58"/>
        <v>0</v>
      </c>
      <c r="AA203" s="257">
        <f t="shared" si="59"/>
        <v>0</v>
      </c>
      <c r="AB203" s="269">
        <f t="shared" si="60"/>
        <v>0</v>
      </c>
      <c r="AC203" s="269">
        <f t="shared" si="61"/>
        <v>0</v>
      </c>
      <c r="AD203" s="271" t="str">
        <f>INDEX('Global inputs'!$C$134:$C$171,MATCH(F203,'Global inputs'!$B$134:$B$171,0))</f>
        <v>Non-network CAPEX</v>
      </c>
      <c r="AE203" s="272" t="str">
        <f>IF(OR(H203='Operating leases'!$B$32,H203='Operating leases'!$B$33),"",INDEX('Global inputs'!$C$186:$C$243,MATCH(E203,'Global inputs'!$B$186:$B$243,0)))</f>
        <v/>
      </c>
    </row>
    <row r="204" spans="1:31" s="27" customFormat="1" x14ac:dyDescent="0.2">
      <c r="A204" s="250"/>
      <c r="B204" s="210" t="s">
        <v>738</v>
      </c>
      <c r="C204" s="210" t="s">
        <v>292</v>
      </c>
      <c r="D204" s="210" t="s">
        <v>739</v>
      </c>
      <c r="E204" s="210" t="s">
        <v>185</v>
      </c>
      <c r="F204" s="210" t="s">
        <v>91</v>
      </c>
      <c r="G204" s="210">
        <v>0</v>
      </c>
      <c r="H204" s="197" t="s">
        <v>91</v>
      </c>
      <c r="I204" s="210" t="s">
        <v>229</v>
      </c>
      <c r="J204" s="210">
        <v>2020</v>
      </c>
      <c r="K204" s="210">
        <v>2020</v>
      </c>
      <c r="L204" s="268" t="str">
        <f t="shared" si="49"/>
        <v>Simple</v>
      </c>
      <c r="M204" s="197">
        <v>0</v>
      </c>
      <c r="N204" s="197">
        <v>0</v>
      </c>
      <c r="O204" s="257">
        <f>IF(ISNA(MATCH(H204,'Operating leases'!$B$32:$B$43,0)),0,INDEX('Operating leases'!$M$32:$S$43,MATCH(H204,'Operating leases'!$B$32:$B$43,0),MATCH(J204,'Operating leases'!$M$11:$S$11,0)))</f>
        <v>3348425.1664176038</v>
      </c>
      <c r="P204" s="257">
        <f t="shared" si="50"/>
        <v>3348425.1664176038</v>
      </c>
      <c r="Q204" s="257">
        <f t="shared" si="51"/>
        <v>3348425.1664176038</v>
      </c>
      <c r="R204" s="258">
        <f>INDEX('Escalators '!$M$124:$S$129,MATCH(I204,'Escalators '!$B$124:$B$129,0),MATCH(J204,'Escalators '!$M$113:$S$113,0))</f>
        <v>1</v>
      </c>
      <c r="S204" s="257">
        <f t="shared" si="52"/>
        <v>3348425.1664176038</v>
      </c>
      <c r="T204" s="257">
        <f t="shared" si="53"/>
        <v>0</v>
      </c>
      <c r="U204" s="269">
        <f t="shared" si="54"/>
        <v>0</v>
      </c>
      <c r="V204" s="269">
        <f t="shared" si="55"/>
        <v>0</v>
      </c>
      <c r="W204" s="269">
        <f t="shared" si="56"/>
        <v>3348425.1664176038</v>
      </c>
      <c r="X204" s="257">
        <f t="shared" si="57"/>
        <v>3348425.1664176038</v>
      </c>
      <c r="Y204" s="270">
        <f>IF(L204="Complex",(INDEX('Escalators '!$M$176:$S$176,MATCH('Forecast capex'!J204,'Escalators '!$M$178:$S$178,0))/12+1)^((K204-J204)*12)-1,0)</f>
        <v>0</v>
      </c>
      <c r="Z204" s="257">
        <f t="shared" si="58"/>
        <v>0</v>
      </c>
      <c r="AA204" s="257">
        <f t="shared" si="59"/>
        <v>0</v>
      </c>
      <c r="AB204" s="269">
        <f t="shared" si="60"/>
        <v>0</v>
      </c>
      <c r="AC204" s="269">
        <f t="shared" si="61"/>
        <v>0</v>
      </c>
      <c r="AD204" s="271" t="str">
        <f>INDEX('Global inputs'!$C$134:$C$171,MATCH(F204,'Global inputs'!$B$134:$B$171,0))</f>
        <v>Non-network CAPEX</v>
      </c>
      <c r="AE204" s="272" t="str">
        <f>IF(OR(H204='Operating leases'!$B$32,H204='Operating leases'!$B$33),"",INDEX('Global inputs'!$C$186:$C$243,MATCH(E204,'Global inputs'!$B$186:$B$243,0)))</f>
        <v/>
      </c>
    </row>
    <row r="205" spans="1:31" s="27" customFormat="1" x14ac:dyDescent="0.2">
      <c r="A205" s="250"/>
      <c r="B205" s="210" t="s">
        <v>742</v>
      </c>
      <c r="C205" s="210" t="s">
        <v>289</v>
      </c>
      <c r="D205" s="210" t="s">
        <v>718</v>
      </c>
      <c r="E205" s="210" t="s">
        <v>165</v>
      </c>
      <c r="F205" s="210" t="s">
        <v>116</v>
      </c>
      <c r="G205" s="210" t="s">
        <v>745</v>
      </c>
      <c r="H205" s="197">
        <v>0</v>
      </c>
      <c r="I205" s="210" t="s">
        <v>229</v>
      </c>
      <c r="J205" s="210">
        <v>2020</v>
      </c>
      <c r="K205" s="210">
        <v>2020</v>
      </c>
      <c r="L205" s="268" t="str">
        <f t="shared" si="49"/>
        <v>Simple</v>
      </c>
      <c r="M205" s="197">
        <v>18880.5</v>
      </c>
      <c r="N205" s="197">
        <v>0</v>
      </c>
      <c r="O205" s="257">
        <f>IF(ISNA(MATCH(H205,'Operating leases'!$B$32:$B$43,0)),0,INDEX('Operating leases'!$M$32:$S$43,MATCH(H205,'Operating leases'!$B$32:$B$43,0),MATCH(J205,'Operating leases'!$M$11:$S$11,0)))</f>
        <v>0</v>
      </c>
      <c r="P205" s="257">
        <f t="shared" si="50"/>
        <v>18880.5</v>
      </c>
      <c r="Q205" s="257">
        <f t="shared" si="51"/>
        <v>18880.5</v>
      </c>
      <c r="R205" s="258">
        <f>INDEX('Escalators '!$M$124:$S$129,MATCH(I205,'Escalators '!$B$124:$B$129,0),MATCH(J205,'Escalators '!$M$113:$S$113,0))</f>
        <v>1</v>
      </c>
      <c r="S205" s="257">
        <f t="shared" si="52"/>
        <v>0</v>
      </c>
      <c r="T205" s="257">
        <f t="shared" si="53"/>
        <v>0</v>
      </c>
      <c r="U205" s="269">
        <f t="shared" si="54"/>
        <v>18880.5</v>
      </c>
      <c r="V205" s="269">
        <f t="shared" si="55"/>
        <v>18880.5</v>
      </c>
      <c r="W205" s="269">
        <f t="shared" si="56"/>
        <v>18880.5</v>
      </c>
      <c r="X205" s="257">
        <f t="shared" si="57"/>
        <v>18880.5</v>
      </c>
      <c r="Y205" s="270">
        <f>IF(L205="Complex",(INDEX('Escalators '!$M$176:$S$176,MATCH('Forecast capex'!J205,'Escalators '!$M$178:$S$178,0))/12+1)^((K205-J205)*12)-1,0)</f>
        <v>0</v>
      </c>
      <c r="Z205" s="257">
        <f t="shared" si="58"/>
        <v>0</v>
      </c>
      <c r="AA205" s="257">
        <f t="shared" si="59"/>
        <v>0</v>
      </c>
      <c r="AB205" s="269">
        <f t="shared" si="60"/>
        <v>0</v>
      </c>
      <c r="AC205" s="269">
        <f t="shared" si="61"/>
        <v>0</v>
      </c>
      <c r="AD205" s="271" t="str">
        <f>INDEX('Global inputs'!$C$134:$C$171,MATCH(F205,'Global inputs'!$B$134:$B$171,0))</f>
        <v>Asset replacement and renewal</v>
      </c>
      <c r="AE205" s="272">
        <f>IF(OR(H205='Operating leases'!$B$32,H205='Operating leases'!$B$33),"",INDEX('Global inputs'!$C$186:$C$243,MATCH(E205,'Global inputs'!$B$186:$B$243,0)))</f>
        <v>0.1</v>
      </c>
    </row>
    <row r="206" spans="1:31" s="27" customFormat="1" x14ac:dyDescent="0.2">
      <c r="A206" s="250"/>
      <c r="B206" s="210" t="s">
        <v>742</v>
      </c>
      <c r="C206" s="210" t="s">
        <v>289</v>
      </c>
      <c r="D206" s="210" t="s">
        <v>718</v>
      </c>
      <c r="E206" s="210" t="s">
        <v>165</v>
      </c>
      <c r="F206" s="210" t="s">
        <v>116</v>
      </c>
      <c r="G206" s="210" t="s">
        <v>745</v>
      </c>
      <c r="H206" s="197">
        <v>0</v>
      </c>
      <c r="I206" s="210" t="s">
        <v>221</v>
      </c>
      <c r="J206" s="210">
        <v>2020</v>
      </c>
      <c r="K206" s="210">
        <v>2020</v>
      </c>
      <c r="L206" s="268" t="str">
        <f t="shared" si="49"/>
        <v>Simple</v>
      </c>
      <c r="M206" s="197">
        <v>18880.5</v>
      </c>
      <c r="N206" s="197">
        <v>0</v>
      </c>
      <c r="O206" s="257">
        <f>IF(ISNA(MATCH(H206,'Operating leases'!$B$32:$B$43,0)),0,INDEX('Operating leases'!$M$32:$S$43,MATCH(H206,'Operating leases'!$B$32:$B$43,0),MATCH(J206,'Operating leases'!$M$11:$S$11,0)))</f>
        <v>0</v>
      </c>
      <c r="P206" s="257">
        <f t="shared" si="50"/>
        <v>18880.5</v>
      </c>
      <c r="Q206" s="257">
        <f t="shared" si="51"/>
        <v>18880.5</v>
      </c>
      <c r="R206" s="258">
        <f>INDEX('Escalators '!$M$124:$S$129,MATCH(I206,'Escalators '!$B$124:$B$129,0),MATCH(J206,'Escalators '!$M$113:$S$113,0))</f>
        <v>1</v>
      </c>
      <c r="S206" s="257">
        <f t="shared" si="52"/>
        <v>0</v>
      </c>
      <c r="T206" s="257">
        <f t="shared" si="53"/>
        <v>0</v>
      </c>
      <c r="U206" s="269">
        <f t="shared" si="54"/>
        <v>18880.5</v>
      </c>
      <c r="V206" s="269">
        <f t="shared" si="55"/>
        <v>18880.5</v>
      </c>
      <c r="W206" s="269">
        <f t="shared" si="56"/>
        <v>18880.5</v>
      </c>
      <c r="X206" s="257">
        <f t="shared" si="57"/>
        <v>18880.5</v>
      </c>
      <c r="Y206" s="270">
        <f>IF(L206="Complex",(INDEX('Escalators '!$M$176:$S$176,MATCH('Forecast capex'!J206,'Escalators '!$M$178:$S$178,0))/12+1)^((K206-J206)*12)-1,0)</f>
        <v>0</v>
      </c>
      <c r="Z206" s="257">
        <f t="shared" si="58"/>
        <v>0</v>
      </c>
      <c r="AA206" s="257">
        <f t="shared" si="59"/>
        <v>0</v>
      </c>
      <c r="AB206" s="269">
        <f t="shared" si="60"/>
        <v>0</v>
      </c>
      <c r="AC206" s="269">
        <f t="shared" si="61"/>
        <v>0</v>
      </c>
      <c r="AD206" s="271" t="str">
        <f>INDEX('Global inputs'!$C$134:$C$171,MATCH(F206,'Global inputs'!$B$134:$B$171,0))</f>
        <v>Asset replacement and renewal</v>
      </c>
      <c r="AE206" s="272">
        <f>IF(OR(H206='Operating leases'!$B$32,H206='Operating leases'!$B$33),"",INDEX('Global inputs'!$C$186:$C$243,MATCH(E206,'Global inputs'!$B$186:$B$243,0)))</f>
        <v>0.1</v>
      </c>
    </row>
    <row r="207" spans="1:31" s="27" customFormat="1" x14ac:dyDescent="0.2">
      <c r="A207" s="250"/>
      <c r="B207" s="210" t="s">
        <v>742</v>
      </c>
      <c r="C207" s="210" t="s">
        <v>290</v>
      </c>
      <c r="D207" s="210" t="s">
        <v>718</v>
      </c>
      <c r="E207" s="210" t="s">
        <v>171</v>
      </c>
      <c r="F207" s="210" t="s">
        <v>111</v>
      </c>
      <c r="G207" s="210" t="s">
        <v>743</v>
      </c>
      <c r="H207" s="197">
        <v>0</v>
      </c>
      <c r="I207" s="210" t="s">
        <v>229</v>
      </c>
      <c r="J207" s="210">
        <v>2020</v>
      </c>
      <c r="K207" s="210">
        <v>2020</v>
      </c>
      <c r="L207" s="268" t="str">
        <f t="shared" si="49"/>
        <v>Simple</v>
      </c>
      <c r="M207" s="197">
        <v>4193.6880064086918</v>
      </c>
      <c r="N207" s="197">
        <v>0</v>
      </c>
      <c r="O207" s="257">
        <f>IF(ISNA(MATCH(H207,'Operating leases'!$B$32:$B$43,0)),0,INDEX('Operating leases'!$M$32:$S$43,MATCH(H207,'Operating leases'!$B$32:$B$43,0),MATCH(J207,'Operating leases'!$M$11:$S$11,0)))</f>
        <v>0</v>
      </c>
      <c r="P207" s="257">
        <f t="shared" si="50"/>
        <v>4193.6880064086918</v>
      </c>
      <c r="Q207" s="257">
        <f t="shared" si="51"/>
        <v>4193.6880064086918</v>
      </c>
      <c r="R207" s="258">
        <f>INDEX('Escalators '!$M$124:$S$129,MATCH(I207,'Escalators '!$B$124:$B$129,0),MATCH(J207,'Escalators '!$M$113:$S$113,0))</f>
        <v>1</v>
      </c>
      <c r="S207" s="257">
        <f t="shared" si="52"/>
        <v>0</v>
      </c>
      <c r="T207" s="257">
        <f t="shared" si="53"/>
        <v>0</v>
      </c>
      <c r="U207" s="269">
        <f t="shared" si="54"/>
        <v>4193.6880064086918</v>
      </c>
      <c r="V207" s="269">
        <f t="shared" si="55"/>
        <v>4193.6880064086918</v>
      </c>
      <c r="W207" s="269">
        <f t="shared" si="56"/>
        <v>4193.6880064086918</v>
      </c>
      <c r="X207" s="257">
        <f t="shared" si="57"/>
        <v>4193.6880064086918</v>
      </c>
      <c r="Y207" s="270">
        <f>IF(L207="Complex",(INDEX('Escalators '!$M$176:$S$176,MATCH('Forecast capex'!J207,'Escalators '!$M$178:$S$178,0))/12+1)^((K207-J207)*12)-1,0)</f>
        <v>0</v>
      </c>
      <c r="Z207" s="257">
        <f t="shared" si="58"/>
        <v>0</v>
      </c>
      <c r="AA207" s="257">
        <f t="shared" si="59"/>
        <v>0</v>
      </c>
      <c r="AB207" s="269">
        <f t="shared" si="60"/>
        <v>0</v>
      </c>
      <c r="AC207" s="269">
        <f t="shared" si="61"/>
        <v>0</v>
      </c>
      <c r="AD207" s="271" t="str">
        <f>INDEX('Global inputs'!$C$134:$C$171,MATCH(F207,'Global inputs'!$B$134:$B$171,0))</f>
        <v>Asset replacement and renewal</v>
      </c>
      <c r="AE207" s="272">
        <f>IF(OR(H207='Operating leases'!$B$32,H207='Operating leases'!$B$33),"",INDEX('Global inputs'!$C$186:$C$243,MATCH(E207,'Global inputs'!$B$186:$B$243,0)))</f>
        <v>0.08</v>
      </c>
    </row>
    <row r="208" spans="1:31" s="27" customFormat="1" x14ac:dyDescent="0.2">
      <c r="A208" s="250"/>
      <c r="B208" s="210" t="s">
        <v>742</v>
      </c>
      <c r="C208" s="210" t="s">
        <v>290</v>
      </c>
      <c r="D208" s="210" t="s">
        <v>718</v>
      </c>
      <c r="E208" s="210" t="s">
        <v>171</v>
      </c>
      <c r="F208" s="210" t="s">
        <v>111</v>
      </c>
      <c r="G208" s="210" t="s">
        <v>743</v>
      </c>
      <c r="H208" s="197">
        <v>0</v>
      </c>
      <c r="I208" s="210" t="s">
        <v>221</v>
      </c>
      <c r="J208" s="210">
        <v>2020</v>
      </c>
      <c r="K208" s="210">
        <v>2020</v>
      </c>
      <c r="L208" s="268" t="str">
        <f t="shared" si="49"/>
        <v>Simple</v>
      </c>
      <c r="M208" s="197">
        <v>2795.7920042724613</v>
      </c>
      <c r="N208" s="197">
        <v>0</v>
      </c>
      <c r="O208" s="257">
        <f>IF(ISNA(MATCH(H208,'Operating leases'!$B$32:$B$43,0)),0,INDEX('Operating leases'!$M$32:$S$43,MATCH(H208,'Operating leases'!$B$32:$B$43,0),MATCH(J208,'Operating leases'!$M$11:$S$11,0)))</f>
        <v>0</v>
      </c>
      <c r="P208" s="257">
        <f t="shared" si="50"/>
        <v>2795.7920042724613</v>
      </c>
      <c r="Q208" s="257">
        <f t="shared" si="51"/>
        <v>2795.7920042724613</v>
      </c>
      <c r="R208" s="258">
        <f>INDEX('Escalators '!$M$124:$S$129,MATCH(I208,'Escalators '!$B$124:$B$129,0),MATCH(J208,'Escalators '!$M$113:$S$113,0))</f>
        <v>1</v>
      </c>
      <c r="S208" s="257">
        <f t="shared" si="52"/>
        <v>0</v>
      </c>
      <c r="T208" s="257">
        <f t="shared" si="53"/>
        <v>0</v>
      </c>
      <c r="U208" s="269">
        <f t="shared" si="54"/>
        <v>2795.7920042724613</v>
      </c>
      <c r="V208" s="269">
        <f t="shared" si="55"/>
        <v>2795.7920042724613</v>
      </c>
      <c r="W208" s="269">
        <f t="shared" si="56"/>
        <v>2795.7920042724613</v>
      </c>
      <c r="X208" s="257">
        <f t="shared" si="57"/>
        <v>2795.7920042724613</v>
      </c>
      <c r="Y208" s="270">
        <f>IF(L208="Complex",(INDEX('Escalators '!$M$176:$S$176,MATCH('Forecast capex'!J208,'Escalators '!$M$178:$S$178,0))/12+1)^((K208-J208)*12)-1,0)</f>
        <v>0</v>
      </c>
      <c r="Z208" s="257">
        <f t="shared" si="58"/>
        <v>0</v>
      </c>
      <c r="AA208" s="257">
        <f t="shared" si="59"/>
        <v>0</v>
      </c>
      <c r="AB208" s="269">
        <f t="shared" si="60"/>
        <v>0</v>
      </c>
      <c r="AC208" s="269">
        <f t="shared" si="61"/>
        <v>0</v>
      </c>
      <c r="AD208" s="271" t="str">
        <f>INDEX('Global inputs'!$C$134:$C$171,MATCH(F208,'Global inputs'!$B$134:$B$171,0))</f>
        <v>Asset replacement and renewal</v>
      </c>
      <c r="AE208" s="272">
        <f>IF(OR(H208='Operating leases'!$B$32,H208='Operating leases'!$B$33),"",INDEX('Global inputs'!$C$186:$C$243,MATCH(E208,'Global inputs'!$B$186:$B$243,0)))</f>
        <v>0.08</v>
      </c>
    </row>
    <row r="209" spans="1:31" s="27" customFormat="1" x14ac:dyDescent="0.2">
      <c r="A209" s="250"/>
      <c r="B209" s="210" t="s">
        <v>746</v>
      </c>
      <c r="C209" s="210" t="s">
        <v>286</v>
      </c>
      <c r="D209" s="210" t="s">
        <v>732</v>
      </c>
      <c r="E209" s="210" t="s">
        <v>140</v>
      </c>
      <c r="F209" s="210" t="s">
        <v>88</v>
      </c>
      <c r="G209" s="210" t="s">
        <v>733</v>
      </c>
      <c r="H209" s="197">
        <v>0</v>
      </c>
      <c r="I209" s="210" t="s">
        <v>142</v>
      </c>
      <c r="J209" s="210">
        <v>2020</v>
      </c>
      <c r="K209" s="210">
        <v>2020</v>
      </c>
      <c r="L209" s="268" t="str">
        <f t="shared" si="49"/>
        <v>Simple</v>
      </c>
      <c r="M209" s="197">
        <v>3889.8864843750002</v>
      </c>
      <c r="N209" s="197">
        <v>0</v>
      </c>
      <c r="O209" s="257">
        <f>IF(ISNA(MATCH(H209,'Operating leases'!$B$32:$B$43,0)),0,INDEX('Operating leases'!$M$32:$S$43,MATCH(H209,'Operating leases'!$B$32:$B$43,0),MATCH(J209,'Operating leases'!$M$11:$S$11,0)))</f>
        <v>0</v>
      </c>
      <c r="P209" s="257">
        <f t="shared" si="50"/>
        <v>3889.8864843750002</v>
      </c>
      <c r="Q209" s="257">
        <f t="shared" si="51"/>
        <v>3889.8864843750002</v>
      </c>
      <c r="R209" s="258">
        <f>INDEX('Escalators '!$M$124:$S$129,MATCH(I209,'Escalators '!$B$124:$B$129,0),MATCH(J209,'Escalators '!$M$113:$S$113,0))</f>
        <v>1</v>
      </c>
      <c r="S209" s="257">
        <f t="shared" si="52"/>
        <v>0</v>
      </c>
      <c r="T209" s="257">
        <f t="shared" si="53"/>
        <v>0</v>
      </c>
      <c r="U209" s="269">
        <f t="shared" si="54"/>
        <v>3889.8864843750002</v>
      </c>
      <c r="V209" s="269">
        <f t="shared" si="55"/>
        <v>3889.8864843750002</v>
      </c>
      <c r="W209" s="269">
        <f t="shared" si="56"/>
        <v>3889.8864843750002</v>
      </c>
      <c r="X209" s="257">
        <f t="shared" si="57"/>
        <v>3889.8864843750002</v>
      </c>
      <c r="Y209" s="270">
        <f>IF(L209="Complex",(INDEX('Escalators '!$M$176:$S$176,MATCH('Forecast capex'!J209,'Escalators '!$M$178:$S$178,0))/12+1)^((K209-J209)*12)-1,0)</f>
        <v>0</v>
      </c>
      <c r="Z209" s="257">
        <f t="shared" si="58"/>
        <v>0</v>
      </c>
      <c r="AA209" s="257">
        <f t="shared" si="59"/>
        <v>0</v>
      </c>
      <c r="AB209" s="269">
        <f t="shared" si="60"/>
        <v>0</v>
      </c>
      <c r="AC209" s="269">
        <f t="shared" si="61"/>
        <v>0</v>
      </c>
      <c r="AD209" s="271" t="str">
        <f>INDEX('Global inputs'!$C$134:$C$171,MATCH(F209,'Global inputs'!$B$134:$B$171,0))</f>
        <v xml:space="preserve">System growth </v>
      </c>
      <c r="AE209" s="272">
        <f>IF(OR(H209='Operating leases'!$B$32,H209='Operating leases'!$B$33),"",INDEX('Global inputs'!$C$186:$C$243,MATCH(E209,'Global inputs'!$B$186:$B$243,0)))</f>
        <v>0.08</v>
      </c>
    </row>
    <row r="210" spans="1:31" s="27" customFormat="1" x14ac:dyDescent="0.2">
      <c r="A210" s="250"/>
      <c r="B210" s="210" t="s">
        <v>746</v>
      </c>
      <c r="C210" s="210" t="s">
        <v>286</v>
      </c>
      <c r="D210" s="210" t="s">
        <v>732</v>
      </c>
      <c r="E210" s="210" t="s">
        <v>140</v>
      </c>
      <c r="F210" s="210" t="s">
        <v>88</v>
      </c>
      <c r="G210" s="210" t="s">
        <v>733</v>
      </c>
      <c r="H210" s="197">
        <v>0</v>
      </c>
      <c r="I210" s="210" t="s">
        <v>221</v>
      </c>
      <c r="J210" s="210">
        <v>2020</v>
      </c>
      <c r="K210" s="210">
        <v>2020</v>
      </c>
      <c r="L210" s="268" t="str">
        <f t="shared" si="49"/>
        <v>Simple</v>
      </c>
      <c r="M210" s="197">
        <v>2593.2576562500003</v>
      </c>
      <c r="N210" s="197">
        <v>0</v>
      </c>
      <c r="O210" s="257">
        <f>IF(ISNA(MATCH(H210,'Operating leases'!$B$32:$B$43,0)),0,INDEX('Operating leases'!$M$32:$S$43,MATCH(H210,'Operating leases'!$B$32:$B$43,0),MATCH(J210,'Operating leases'!$M$11:$S$11,0)))</f>
        <v>0</v>
      </c>
      <c r="P210" s="257">
        <f t="shared" si="50"/>
        <v>2593.2576562500003</v>
      </c>
      <c r="Q210" s="257">
        <f t="shared" si="51"/>
        <v>2593.2576562500003</v>
      </c>
      <c r="R210" s="258">
        <f>INDEX('Escalators '!$M$124:$S$129,MATCH(I210,'Escalators '!$B$124:$B$129,0),MATCH(J210,'Escalators '!$M$113:$S$113,0))</f>
        <v>1</v>
      </c>
      <c r="S210" s="257">
        <f t="shared" si="52"/>
        <v>0</v>
      </c>
      <c r="T210" s="257">
        <f t="shared" si="53"/>
        <v>0</v>
      </c>
      <c r="U210" s="269">
        <f t="shared" si="54"/>
        <v>2593.2576562500003</v>
      </c>
      <c r="V210" s="269">
        <f t="shared" si="55"/>
        <v>2593.2576562500003</v>
      </c>
      <c r="W210" s="269">
        <f t="shared" si="56"/>
        <v>2593.2576562500003</v>
      </c>
      <c r="X210" s="257">
        <f t="shared" si="57"/>
        <v>2593.2576562500003</v>
      </c>
      <c r="Y210" s="270">
        <f>IF(L210="Complex",(INDEX('Escalators '!$M$176:$S$176,MATCH('Forecast capex'!J210,'Escalators '!$M$178:$S$178,0))/12+1)^((K210-J210)*12)-1,0)</f>
        <v>0</v>
      </c>
      <c r="Z210" s="257">
        <f t="shared" si="58"/>
        <v>0</v>
      </c>
      <c r="AA210" s="257">
        <f t="shared" si="59"/>
        <v>0</v>
      </c>
      <c r="AB210" s="269">
        <f t="shared" si="60"/>
        <v>0</v>
      </c>
      <c r="AC210" s="269">
        <f t="shared" si="61"/>
        <v>0</v>
      </c>
      <c r="AD210" s="271" t="str">
        <f>INDEX('Global inputs'!$C$134:$C$171,MATCH(F210,'Global inputs'!$B$134:$B$171,0))</f>
        <v xml:space="preserve">System growth </v>
      </c>
      <c r="AE210" s="272">
        <f>IF(OR(H210='Operating leases'!$B$32,H210='Operating leases'!$B$33),"",INDEX('Global inputs'!$C$186:$C$243,MATCH(E210,'Global inputs'!$B$186:$B$243,0)))</f>
        <v>0.08</v>
      </c>
    </row>
    <row r="211" spans="1:31" s="27" customFormat="1" x14ac:dyDescent="0.2">
      <c r="A211" s="250"/>
      <c r="B211" s="210" t="s">
        <v>746</v>
      </c>
      <c r="C211" s="210" t="s">
        <v>286</v>
      </c>
      <c r="D211" s="210" t="s">
        <v>732</v>
      </c>
      <c r="E211" s="210" t="s">
        <v>143</v>
      </c>
      <c r="F211" s="210" t="s">
        <v>88</v>
      </c>
      <c r="G211" s="210" t="s">
        <v>734</v>
      </c>
      <c r="H211" s="197">
        <v>0</v>
      </c>
      <c r="I211" s="210" t="s">
        <v>142</v>
      </c>
      <c r="J211" s="210">
        <v>2020</v>
      </c>
      <c r="K211" s="210">
        <v>2020</v>
      </c>
      <c r="L211" s="268" t="str">
        <f t="shared" si="49"/>
        <v>Simple</v>
      </c>
      <c r="M211" s="197">
        <v>5186.5153125000006</v>
      </c>
      <c r="N211" s="197">
        <v>0</v>
      </c>
      <c r="O211" s="257">
        <f>IF(ISNA(MATCH(H211,'Operating leases'!$B$32:$B$43,0)),0,INDEX('Operating leases'!$M$32:$S$43,MATCH(H211,'Operating leases'!$B$32:$B$43,0),MATCH(J211,'Operating leases'!$M$11:$S$11,0)))</f>
        <v>0</v>
      </c>
      <c r="P211" s="257">
        <f t="shared" si="50"/>
        <v>5186.5153125000006</v>
      </c>
      <c r="Q211" s="257">
        <f t="shared" si="51"/>
        <v>5186.5153125000006</v>
      </c>
      <c r="R211" s="258">
        <f>INDEX('Escalators '!$M$124:$S$129,MATCH(I211,'Escalators '!$B$124:$B$129,0),MATCH(J211,'Escalators '!$M$113:$S$113,0))</f>
        <v>1</v>
      </c>
      <c r="S211" s="257">
        <f t="shared" si="52"/>
        <v>0</v>
      </c>
      <c r="T211" s="257">
        <f t="shared" si="53"/>
        <v>0</v>
      </c>
      <c r="U211" s="269">
        <f t="shared" si="54"/>
        <v>5186.5153125000006</v>
      </c>
      <c r="V211" s="269">
        <f t="shared" si="55"/>
        <v>5186.5153125000006</v>
      </c>
      <c r="W211" s="269">
        <f t="shared" si="56"/>
        <v>5186.5153125000006</v>
      </c>
      <c r="X211" s="257">
        <f t="shared" si="57"/>
        <v>5186.5153125000006</v>
      </c>
      <c r="Y211" s="270">
        <f>IF(L211="Complex",(INDEX('Escalators '!$M$176:$S$176,MATCH('Forecast capex'!J211,'Escalators '!$M$178:$S$178,0))/12+1)^((K211-J211)*12)-1,0)</f>
        <v>0</v>
      </c>
      <c r="Z211" s="257">
        <f t="shared" si="58"/>
        <v>0</v>
      </c>
      <c r="AA211" s="257">
        <f t="shared" si="59"/>
        <v>0</v>
      </c>
      <c r="AB211" s="269">
        <f t="shared" si="60"/>
        <v>0</v>
      </c>
      <c r="AC211" s="269">
        <f t="shared" si="61"/>
        <v>0</v>
      </c>
      <c r="AD211" s="271" t="str">
        <f>INDEX('Global inputs'!$C$134:$C$171,MATCH(F211,'Global inputs'!$B$134:$B$171,0))</f>
        <v xml:space="preserve">System growth </v>
      </c>
      <c r="AE211" s="272">
        <f>IF(OR(H211='Operating leases'!$B$32,H211='Operating leases'!$B$33),"",INDEX('Global inputs'!$C$186:$C$243,MATCH(E211,'Global inputs'!$B$186:$B$243,0)))</f>
        <v>0.08</v>
      </c>
    </row>
    <row r="212" spans="1:31" s="27" customFormat="1" x14ac:dyDescent="0.2">
      <c r="A212" s="250"/>
      <c r="B212" s="210" t="s">
        <v>746</v>
      </c>
      <c r="C212" s="210" t="s">
        <v>286</v>
      </c>
      <c r="D212" s="210" t="s">
        <v>732</v>
      </c>
      <c r="E212" s="210" t="s">
        <v>143</v>
      </c>
      <c r="F212" s="210" t="s">
        <v>88</v>
      </c>
      <c r="G212" s="210" t="s">
        <v>734</v>
      </c>
      <c r="H212" s="197">
        <v>0</v>
      </c>
      <c r="I212" s="210" t="s">
        <v>221</v>
      </c>
      <c r="J212" s="210">
        <v>2020</v>
      </c>
      <c r="K212" s="210">
        <v>2020</v>
      </c>
      <c r="L212" s="268" t="str">
        <f t="shared" si="49"/>
        <v>Simple</v>
      </c>
      <c r="M212" s="197">
        <v>1296.6288281250002</v>
      </c>
      <c r="N212" s="197">
        <v>0</v>
      </c>
      <c r="O212" s="257">
        <f>IF(ISNA(MATCH(H212,'Operating leases'!$B$32:$B$43,0)),0,INDEX('Operating leases'!$M$32:$S$43,MATCH(H212,'Operating leases'!$B$32:$B$43,0),MATCH(J212,'Operating leases'!$M$11:$S$11,0)))</f>
        <v>0</v>
      </c>
      <c r="P212" s="257">
        <f t="shared" si="50"/>
        <v>1296.6288281250002</v>
      </c>
      <c r="Q212" s="257">
        <f t="shared" si="51"/>
        <v>1296.6288281250002</v>
      </c>
      <c r="R212" s="258">
        <f>INDEX('Escalators '!$M$124:$S$129,MATCH(I212,'Escalators '!$B$124:$B$129,0),MATCH(J212,'Escalators '!$M$113:$S$113,0))</f>
        <v>1</v>
      </c>
      <c r="S212" s="257">
        <f t="shared" si="52"/>
        <v>0</v>
      </c>
      <c r="T212" s="257">
        <f t="shared" si="53"/>
        <v>0</v>
      </c>
      <c r="U212" s="269">
        <f t="shared" si="54"/>
        <v>1296.6288281250002</v>
      </c>
      <c r="V212" s="269">
        <f t="shared" si="55"/>
        <v>1296.6288281250002</v>
      </c>
      <c r="W212" s="269">
        <f t="shared" si="56"/>
        <v>1296.6288281250002</v>
      </c>
      <c r="X212" s="257">
        <f t="shared" si="57"/>
        <v>1296.6288281250002</v>
      </c>
      <c r="Y212" s="270">
        <f>IF(L212="Complex",(INDEX('Escalators '!$M$176:$S$176,MATCH('Forecast capex'!J212,'Escalators '!$M$178:$S$178,0))/12+1)^((K212-J212)*12)-1,0)</f>
        <v>0</v>
      </c>
      <c r="Z212" s="257">
        <f t="shared" si="58"/>
        <v>0</v>
      </c>
      <c r="AA212" s="257">
        <f t="shared" si="59"/>
        <v>0</v>
      </c>
      <c r="AB212" s="269">
        <f t="shared" si="60"/>
        <v>0</v>
      </c>
      <c r="AC212" s="269">
        <f t="shared" si="61"/>
        <v>0</v>
      </c>
      <c r="AD212" s="271" t="str">
        <f>INDEX('Global inputs'!$C$134:$C$171,MATCH(F212,'Global inputs'!$B$134:$B$171,0))</f>
        <v xml:space="preserve">System growth </v>
      </c>
      <c r="AE212" s="272">
        <f>IF(OR(H212='Operating leases'!$B$32,H212='Operating leases'!$B$33),"",INDEX('Global inputs'!$C$186:$C$243,MATCH(E212,'Global inputs'!$B$186:$B$243,0)))</f>
        <v>0.08</v>
      </c>
    </row>
    <row r="213" spans="1:31" s="27" customFormat="1" x14ac:dyDescent="0.2">
      <c r="A213" s="250"/>
      <c r="B213" s="210" t="s">
        <v>746</v>
      </c>
      <c r="C213" s="210" t="s">
        <v>286</v>
      </c>
      <c r="D213" s="210" t="s">
        <v>732</v>
      </c>
      <c r="E213" s="210" t="s">
        <v>136</v>
      </c>
      <c r="F213" s="210" t="s">
        <v>88</v>
      </c>
      <c r="G213" s="210" t="s">
        <v>751</v>
      </c>
      <c r="H213" s="197">
        <v>0</v>
      </c>
      <c r="I213" s="210" t="s">
        <v>229</v>
      </c>
      <c r="J213" s="210">
        <v>2020</v>
      </c>
      <c r="K213" s="210">
        <v>2020</v>
      </c>
      <c r="L213" s="268" t="str">
        <f t="shared" si="49"/>
        <v>Simple</v>
      </c>
      <c r="M213" s="197">
        <v>6483.1441406250005</v>
      </c>
      <c r="N213" s="197">
        <v>0</v>
      </c>
      <c r="O213" s="257">
        <f>IF(ISNA(MATCH(H213,'Operating leases'!$B$32:$B$43,0)),0,INDEX('Operating leases'!$M$32:$S$43,MATCH(H213,'Operating leases'!$B$32:$B$43,0),MATCH(J213,'Operating leases'!$M$11:$S$11,0)))</f>
        <v>0</v>
      </c>
      <c r="P213" s="257">
        <f t="shared" si="50"/>
        <v>6483.1441406250005</v>
      </c>
      <c r="Q213" s="257">
        <f t="shared" si="51"/>
        <v>6483.1441406250005</v>
      </c>
      <c r="R213" s="258">
        <f>INDEX('Escalators '!$M$124:$S$129,MATCH(I213,'Escalators '!$B$124:$B$129,0),MATCH(J213,'Escalators '!$M$113:$S$113,0))</f>
        <v>1</v>
      </c>
      <c r="S213" s="257">
        <f t="shared" si="52"/>
        <v>0</v>
      </c>
      <c r="T213" s="257">
        <f t="shared" si="53"/>
        <v>0</v>
      </c>
      <c r="U213" s="269">
        <f t="shared" si="54"/>
        <v>6483.1441406250005</v>
      </c>
      <c r="V213" s="269">
        <f t="shared" si="55"/>
        <v>6483.1441406250005</v>
      </c>
      <c r="W213" s="269">
        <f t="shared" si="56"/>
        <v>6483.1441406250005</v>
      </c>
      <c r="X213" s="257">
        <f t="shared" si="57"/>
        <v>6483.1441406250005</v>
      </c>
      <c r="Y213" s="270">
        <f>IF(L213="Complex",(INDEX('Escalators '!$M$176:$S$176,MATCH('Forecast capex'!J213,'Escalators '!$M$178:$S$178,0))/12+1)^((K213-J213)*12)-1,0)</f>
        <v>0</v>
      </c>
      <c r="Z213" s="257">
        <f t="shared" si="58"/>
        <v>0</v>
      </c>
      <c r="AA213" s="257">
        <f t="shared" si="59"/>
        <v>0</v>
      </c>
      <c r="AB213" s="269">
        <f t="shared" si="60"/>
        <v>0</v>
      </c>
      <c r="AC213" s="269">
        <f t="shared" si="61"/>
        <v>0</v>
      </c>
      <c r="AD213" s="271" t="str">
        <f>INDEX('Global inputs'!$C$134:$C$171,MATCH(F213,'Global inputs'!$B$134:$B$171,0))</f>
        <v xml:space="preserve">System growth </v>
      </c>
      <c r="AE213" s="272">
        <f>IF(OR(H213='Operating leases'!$B$32,H213='Operating leases'!$B$33),"",INDEX('Global inputs'!$C$186:$C$243,MATCH(E213,'Global inputs'!$B$186:$B$243,0)))</f>
        <v>0</v>
      </c>
    </row>
    <row r="214" spans="1:31" s="27" customFormat="1" x14ac:dyDescent="0.2">
      <c r="A214" s="250"/>
      <c r="B214" s="210" t="s">
        <v>746</v>
      </c>
      <c r="C214" s="210" t="s">
        <v>286</v>
      </c>
      <c r="D214" s="210" t="s">
        <v>732</v>
      </c>
      <c r="E214" s="210" t="s">
        <v>136</v>
      </c>
      <c r="F214" s="210" t="s">
        <v>88</v>
      </c>
      <c r="G214" s="210" t="s">
        <v>751</v>
      </c>
      <c r="H214" s="197">
        <v>0</v>
      </c>
      <c r="I214" s="210" t="s">
        <v>221</v>
      </c>
      <c r="J214" s="210">
        <v>2020</v>
      </c>
      <c r="K214" s="210">
        <v>2020</v>
      </c>
      <c r="L214" s="268" t="str">
        <f t="shared" si="49"/>
        <v>Simple</v>
      </c>
      <c r="M214" s="197">
        <v>6483.1441406250005</v>
      </c>
      <c r="N214" s="197">
        <v>0</v>
      </c>
      <c r="O214" s="257">
        <f>IF(ISNA(MATCH(H214,'Operating leases'!$B$32:$B$43,0)),0,INDEX('Operating leases'!$M$32:$S$43,MATCH(H214,'Operating leases'!$B$32:$B$43,0),MATCH(J214,'Operating leases'!$M$11:$S$11,0)))</f>
        <v>0</v>
      </c>
      <c r="P214" s="257">
        <f t="shared" si="50"/>
        <v>6483.1441406250005</v>
      </c>
      <c r="Q214" s="257">
        <f t="shared" si="51"/>
        <v>6483.1441406250005</v>
      </c>
      <c r="R214" s="258">
        <f>INDEX('Escalators '!$M$124:$S$129,MATCH(I214,'Escalators '!$B$124:$B$129,0),MATCH(J214,'Escalators '!$M$113:$S$113,0))</f>
        <v>1</v>
      </c>
      <c r="S214" s="257">
        <f t="shared" si="52"/>
        <v>0</v>
      </c>
      <c r="T214" s="257">
        <f t="shared" si="53"/>
        <v>0</v>
      </c>
      <c r="U214" s="269">
        <f t="shared" si="54"/>
        <v>6483.1441406250005</v>
      </c>
      <c r="V214" s="269">
        <f t="shared" si="55"/>
        <v>6483.1441406250005</v>
      </c>
      <c r="W214" s="269">
        <f t="shared" si="56"/>
        <v>6483.1441406250005</v>
      </c>
      <c r="X214" s="257">
        <f t="shared" si="57"/>
        <v>6483.1441406250005</v>
      </c>
      <c r="Y214" s="270">
        <f>IF(L214="Complex",(INDEX('Escalators '!$M$176:$S$176,MATCH('Forecast capex'!J214,'Escalators '!$M$178:$S$178,0))/12+1)^((K214-J214)*12)-1,0)</f>
        <v>0</v>
      </c>
      <c r="Z214" s="257">
        <f t="shared" si="58"/>
        <v>0</v>
      </c>
      <c r="AA214" s="257">
        <f t="shared" si="59"/>
        <v>0</v>
      </c>
      <c r="AB214" s="269">
        <f t="shared" si="60"/>
        <v>0</v>
      </c>
      <c r="AC214" s="269">
        <f t="shared" si="61"/>
        <v>0</v>
      </c>
      <c r="AD214" s="271" t="str">
        <f>INDEX('Global inputs'!$C$134:$C$171,MATCH(F214,'Global inputs'!$B$134:$B$171,0))</f>
        <v xml:space="preserve">System growth </v>
      </c>
      <c r="AE214" s="272">
        <f>IF(OR(H214='Operating leases'!$B$32,H214='Operating leases'!$B$33),"",INDEX('Global inputs'!$C$186:$C$243,MATCH(E214,'Global inputs'!$B$186:$B$243,0)))</f>
        <v>0</v>
      </c>
    </row>
    <row r="215" spans="1:31" s="27" customFormat="1" x14ac:dyDescent="0.2">
      <c r="A215" s="250"/>
      <c r="B215" s="210" t="s">
        <v>746</v>
      </c>
      <c r="C215" s="210" t="s">
        <v>286</v>
      </c>
      <c r="D215" s="210" t="s">
        <v>735</v>
      </c>
      <c r="E215" s="210" t="s">
        <v>144</v>
      </c>
      <c r="F215" s="210" t="s">
        <v>88</v>
      </c>
      <c r="G215" s="210" t="s">
        <v>736</v>
      </c>
      <c r="H215" s="197">
        <v>0</v>
      </c>
      <c r="I215" s="210" t="s">
        <v>229</v>
      </c>
      <c r="J215" s="210">
        <v>2020</v>
      </c>
      <c r="K215" s="210">
        <v>2020</v>
      </c>
      <c r="L215" s="268" t="str">
        <f t="shared" si="49"/>
        <v>Simple</v>
      </c>
      <c r="M215" s="197">
        <v>648.31441406250008</v>
      </c>
      <c r="N215" s="197">
        <v>0</v>
      </c>
      <c r="O215" s="257">
        <f>IF(ISNA(MATCH(H215,'Operating leases'!$B$32:$B$43,0)),0,INDEX('Operating leases'!$M$32:$S$43,MATCH(H215,'Operating leases'!$B$32:$B$43,0),MATCH(J215,'Operating leases'!$M$11:$S$11,0)))</f>
        <v>0</v>
      </c>
      <c r="P215" s="257">
        <f t="shared" si="50"/>
        <v>648.31441406250008</v>
      </c>
      <c r="Q215" s="257">
        <f t="shared" si="51"/>
        <v>648.31441406250008</v>
      </c>
      <c r="R215" s="258">
        <f>INDEX('Escalators '!$M$124:$S$129,MATCH(I215,'Escalators '!$B$124:$B$129,0),MATCH(J215,'Escalators '!$M$113:$S$113,0))</f>
        <v>1</v>
      </c>
      <c r="S215" s="257">
        <f t="shared" si="52"/>
        <v>0</v>
      </c>
      <c r="T215" s="257">
        <f t="shared" si="53"/>
        <v>0</v>
      </c>
      <c r="U215" s="269">
        <f t="shared" si="54"/>
        <v>648.31441406250008</v>
      </c>
      <c r="V215" s="269">
        <f t="shared" si="55"/>
        <v>648.31441406250008</v>
      </c>
      <c r="W215" s="269">
        <f t="shared" si="56"/>
        <v>648.31441406250008</v>
      </c>
      <c r="X215" s="257">
        <f t="shared" si="57"/>
        <v>648.31441406250008</v>
      </c>
      <c r="Y215" s="270">
        <f>IF(L215="Complex",(INDEX('Escalators '!$M$176:$S$176,MATCH('Forecast capex'!J215,'Escalators '!$M$178:$S$178,0))/12+1)^((K215-J215)*12)-1,0)</f>
        <v>0</v>
      </c>
      <c r="Z215" s="257">
        <f t="shared" si="58"/>
        <v>0</v>
      </c>
      <c r="AA215" s="257">
        <f t="shared" si="59"/>
        <v>0</v>
      </c>
      <c r="AB215" s="269">
        <f t="shared" si="60"/>
        <v>0</v>
      </c>
      <c r="AC215" s="269">
        <f t="shared" si="61"/>
        <v>0</v>
      </c>
      <c r="AD215" s="271" t="str">
        <f>INDEX('Global inputs'!$C$134:$C$171,MATCH(F215,'Global inputs'!$B$134:$B$171,0))</f>
        <v xml:space="preserve">System growth </v>
      </c>
      <c r="AE215" s="272">
        <f>IF(OR(H215='Operating leases'!$B$32,H215='Operating leases'!$B$33),"",INDEX('Global inputs'!$C$186:$C$243,MATCH(E215,'Global inputs'!$B$186:$B$243,0)))</f>
        <v>0.08</v>
      </c>
    </row>
    <row r="216" spans="1:31" s="27" customFormat="1" x14ac:dyDescent="0.2">
      <c r="A216" s="250"/>
      <c r="B216" s="210" t="s">
        <v>746</v>
      </c>
      <c r="C216" s="210" t="s">
        <v>286</v>
      </c>
      <c r="D216" s="210" t="s">
        <v>735</v>
      </c>
      <c r="E216" s="210" t="s">
        <v>144</v>
      </c>
      <c r="F216" s="210" t="s">
        <v>88</v>
      </c>
      <c r="G216" s="210" t="s">
        <v>736</v>
      </c>
      <c r="H216" s="197">
        <v>0</v>
      </c>
      <c r="I216" s="210" t="s">
        <v>221</v>
      </c>
      <c r="J216" s="210">
        <v>2020</v>
      </c>
      <c r="K216" s="210">
        <v>2020</v>
      </c>
      <c r="L216" s="268" t="str">
        <f t="shared" si="49"/>
        <v>Simple</v>
      </c>
      <c r="M216" s="197">
        <v>2593.2576562500003</v>
      </c>
      <c r="N216" s="197">
        <v>0</v>
      </c>
      <c r="O216" s="257">
        <f>IF(ISNA(MATCH(H216,'Operating leases'!$B$32:$B$43,0)),0,INDEX('Operating leases'!$M$32:$S$43,MATCH(H216,'Operating leases'!$B$32:$B$43,0),MATCH(J216,'Operating leases'!$M$11:$S$11,0)))</f>
        <v>0</v>
      </c>
      <c r="P216" s="257">
        <f t="shared" si="50"/>
        <v>2593.2576562500003</v>
      </c>
      <c r="Q216" s="257">
        <f t="shared" si="51"/>
        <v>2593.2576562500003</v>
      </c>
      <c r="R216" s="258">
        <f>INDEX('Escalators '!$M$124:$S$129,MATCH(I216,'Escalators '!$B$124:$B$129,0),MATCH(J216,'Escalators '!$M$113:$S$113,0))</f>
        <v>1</v>
      </c>
      <c r="S216" s="257">
        <f t="shared" si="52"/>
        <v>0</v>
      </c>
      <c r="T216" s="257">
        <f t="shared" si="53"/>
        <v>0</v>
      </c>
      <c r="U216" s="269">
        <f t="shared" si="54"/>
        <v>2593.2576562500003</v>
      </c>
      <c r="V216" s="269">
        <f t="shared" si="55"/>
        <v>2593.2576562500003</v>
      </c>
      <c r="W216" s="269">
        <f t="shared" si="56"/>
        <v>2593.2576562500003</v>
      </c>
      <c r="X216" s="257">
        <f t="shared" si="57"/>
        <v>2593.2576562500003</v>
      </c>
      <c r="Y216" s="270">
        <f>IF(L216="Complex",(INDEX('Escalators '!$M$176:$S$176,MATCH('Forecast capex'!J216,'Escalators '!$M$178:$S$178,0))/12+1)^((K216-J216)*12)-1,0)</f>
        <v>0</v>
      </c>
      <c r="Z216" s="257">
        <f t="shared" si="58"/>
        <v>0</v>
      </c>
      <c r="AA216" s="257">
        <f t="shared" si="59"/>
        <v>0</v>
      </c>
      <c r="AB216" s="269">
        <f t="shared" si="60"/>
        <v>0</v>
      </c>
      <c r="AC216" s="269">
        <f t="shared" si="61"/>
        <v>0</v>
      </c>
      <c r="AD216" s="271" t="str">
        <f>INDEX('Global inputs'!$C$134:$C$171,MATCH(F216,'Global inputs'!$B$134:$B$171,0))</f>
        <v xml:space="preserve">System growth </v>
      </c>
      <c r="AE216" s="272">
        <f>IF(OR(H216='Operating leases'!$B$32,H216='Operating leases'!$B$33),"",INDEX('Global inputs'!$C$186:$C$243,MATCH(E216,'Global inputs'!$B$186:$B$243,0)))</f>
        <v>0.08</v>
      </c>
    </row>
    <row r="217" spans="1:31" s="27" customFormat="1" x14ac:dyDescent="0.2">
      <c r="A217" s="250"/>
      <c r="B217" s="210" t="s">
        <v>746</v>
      </c>
      <c r="C217" s="210" t="s">
        <v>286</v>
      </c>
      <c r="D217" s="210" t="s">
        <v>735</v>
      </c>
      <c r="E217" s="210" t="s">
        <v>147</v>
      </c>
      <c r="F217" s="210" t="s">
        <v>88</v>
      </c>
      <c r="G217" s="210" t="s">
        <v>744</v>
      </c>
      <c r="H217" s="197">
        <v>0</v>
      </c>
      <c r="I217" s="210" t="s">
        <v>229</v>
      </c>
      <c r="J217" s="210">
        <v>2020</v>
      </c>
      <c r="K217" s="210">
        <v>2020</v>
      </c>
      <c r="L217" s="268" t="str">
        <f t="shared" si="49"/>
        <v>Simple</v>
      </c>
      <c r="M217" s="197">
        <v>324.15720703125004</v>
      </c>
      <c r="N217" s="197">
        <v>0</v>
      </c>
      <c r="O217" s="257">
        <f>IF(ISNA(MATCH(H217,'Operating leases'!$B$32:$B$43,0)),0,INDEX('Operating leases'!$M$32:$S$43,MATCH(H217,'Operating leases'!$B$32:$B$43,0),MATCH(J217,'Operating leases'!$M$11:$S$11,0)))</f>
        <v>0</v>
      </c>
      <c r="P217" s="257">
        <f t="shared" si="50"/>
        <v>324.15720703125004</v>
      </c>
      <c r="Q217" s="257">
        <f t="shared" si="51"/>
        <v>324.15720703125004</v>
      </c>
      <c r="R217" s="258">
        <f>INDEX('Escalators '!$M$124:$S$129,MATCH(I217,'Escalators '!$B$124:$B$129,0),MATCH(J217,'Escalators '!$M$113:$S$113,0))</f>
        <v>1</v>
      </c>
      <c r="S217" s="257">
        <f t="shared" si="52"/>
        <v>0</v>
      </c>
      <c r="T217" s="257">
        <f t="shared" si="53"/>
        <v>0</v>
      </c>
      <c r="U217" s="269">
        <f t="shared" si="54"/>
        <v>324.15720703125004</v>
      </c>
      <c r="V217" s="269">
        <f t="shared" si="55"/>
        <v>324.15720703125004</v>
      </c>
      <c r="W217" s="269">
        <f t="shared" si="56"/>
        <v>324.15720703125004</v>
      </c>
      <c r="X217" s="257">
        <f t="shared" si="57"/>
        <v>324.15720703125004</v>
      </c>
      <c r="Y217" s="270">
        <f>IF(L217="Complex",(INDEX('Escalators '!$M$176:$S$176,MATCH('Forecast capex'!J217,'Escalators '!$M$178:$S$178,0))/12+1)^((K217-J217)*12)-1,0)</f>
        <v>0</v>
      </c>
      <c r="Z217" s="257">
        <f t="shared" si="58"/>
        <v>0</v>
      </c>
      <c r="AA217" s="257">
        <f t="shared" si="59"/>
        <v>0</v>
      </c>
      <c r="AB217" s="269">
        <f t="shared" si="60"/>
        <v>0</v>
      </c>
      <c r="AC217" s="269">
        <f t="shared" si="61"/>
        <v>0</v>
      </c>
      <c r="AD217" s="271" t="str">
        <f>INDEX('Global inputs'!$C$134:$C$171,MATCH(F217,'Global inputs'!$B$134:$B$171,0))</f>
        <v xml:space="preserve">System growth </v>
      </c>
      <c r="AE217" s="272">
        <f>IF(OR(H217='Operating leases'!$B$32,H217='Operating leases'!$B$33),"",INDEX('Global inputs'!$C$186:$C$243,MATCH(E217,'Global inputs'!$B$186:$B$243,0)))</f>
        <v>0.08</v>
      </c>
    </row>
    <row r="218" spans="1:31" s="27" customFormat="1" x14ac:dyDescent="0.2">
      <c r="A218" s="250"/>
      <c r="B218" s="210" t="s">
        <v>746</v>
      </c>
      <c r="C218" s="210" t="s">
        <v>286</v>
      </c>
      <c r="D218" s="210" t="s">
        <v>735</v>
      </c>
      <c r="E218" s="210" t="s">
        <v>147</v>
      </c>
      <c r="F218" s="210" t="s">
        <v>88</v>
      </c>
      <c r="G218" s="210" t="s">
        <v>744</v>
      </c>
      <c r="H218" s="197">
        <v>0</v>
      </c>
      <c r="I218" s="210" t="s">
        <v>221</v>
      </c>
      <c r="J218" s="210">
        <v>2020</v>
      </c>
      <c r="K218" s="210">
        <v>2020</v>
      </c>
      <c r="L218" s="268" t="str">
        <f t="shared" si="49"/>
        <v>Simple</v>
      </c>
      <c r="M218" s="197">
        <v>1296.6288281250002</v>
      </c>
      <c r="N218" s="197">
        <v>0</v>
      </c>
      <c r="O218" s="257">
        <f>IF(ISNA(MATCH(H218,'Operating leases'!$B$32:$B$43,0)),0,INDEX('Operating leases'!$M$32:$S$43,MATCH(H218,'Operating leases'!$B$32:$B$43,0),MATCH(J218,'Operating leases'!$M$11:$S$11,0)))</f>
        <v>0</v>
      </c>
      <c r="P218" s="257">
        <f t="shared" si="50"/>
        <v>1296.6288281250002</v>
      </c>
      <c r="Q218" s="257">
        <f t="shared" si="51"/>
        <v>1296.6288281250002</v>
      </c>
      <c r="R218" s="258">
        <f>INDEX('Escalators '!$M$124:$S$129,MATCH(I218,'Escalators '!$B$124:$B$129,0),MATCH(J218,'Escalators '!$M$113:$S$113,0))</f>
        <v>1</v>
      </c>
      <c r="S218" s="257">
        <f t="shared" si="52"/>
        <v>0</v>
      </c>
      <c r="T218" s="257">
        <f t="shared" si="53"/>
        <v>0</v>
      </c>
      <c r="U218" s="269">
        <f t="shared" si="54"/>
        <v>1296.6288281250002</v>
      </c>
      <c r="V218" s="269">
        <f t="shared" si="55"/>
        <v>1296.6288281250002</v>
      </c>
      <c r="W218" s="269">
        <f t="shared" si="56"/>
        <v>1296.6288281250002</v>
      </c>
      <c r="X218" s="257">
        <f t="shared" si="57"/>
        <v>1296.6288281250002</v>
      </c>
      <c r="Y218" s="270">
        <f>IF(L218="Complex",(INDEX('Escalators '!$M$176:$S$176,MATCH('Forecast capex'!J218,'Escalators '!$M$178:$S$178,0))/12+1)^((K218-J218)*12)-1,0)</f>
        <v>0</v>
      </c>
      <c r="Z218" s="257">
        <f t="shared" si="58"/>
        <v>0</v>
      </c>
      <c r="AA218" s="257">
        <f t="shared" si="59"/>
        <v>0</v>
      </c>
      <c r="AB218" s="269">
        <f t="shared" si="60"/>
        <v>0</v>
      </c>
      <c r="AC218" s="269">
        <f t="shared" si="61"/>
        <v>0</v>
      </c>
      <c r="AD218" s="271" t="str">
        <f>INDEX('Global inputs'!$C$134:$C$171,MATCH(F218,'Global inputs'!$B$134:$B$171,0))</f>
        <v xml:space="preserve">System growth </v>
      </c>
      <c r="AE218" s="272">
        <f>IF(OR(H218='Operating leases'!$B$32,H218='Operating leases'!$B$33),"",INDEX('Global inputs'!$C$186:$C$243,MATCH(E218,'Global inputs'!$B$186:$B$243,0)))</f>
        <v>0.08</v>
      </c>
    </row>
    <row r="219" spans="1:31" s="27" customFormat="1" x14ac:dyDescent="0.2">
      <c r="A219" s="250"/>
      <c r="B219" s="210" t="s">
        <v>746</v>
      </c>
      <c r="C219" s="210" t="s">
        <v>291</v>
      </c>
      <c r="D219" s="210" t="s">
        <v>735</v>
      </c>
      <c r="E219" s="210" t="s">
        <v>175</v>
      </c>
      <c r="F219" s="210" t="s">
        <v>88</v>
      </c>
      <c r="G219" s="210" t="s">
        <v>748</v>
      </c>
      <c r="H219" s="197">
        <v>0</v>
      </c>
      <c r="I219" s="210" t="s">
        <v>229</v>
      </c>
      <c r="J219" s="210">
        <v>2020</v>
      </c>
      <c r="K219" s="210">
        <v>2020</v>
      </c>
      <c r="L219" s="268" t="str">
        <f t="shared" si="49"/>
        <v>Simple</v>
      </c>
      <c r="M219" s="197">
        <v>324.15720703125004</v>
      </c>
      <c r="N219" s="197">
        <v>0</v>
      </c>
      <c r="O219" s="257">
        <f>IF(ISNA(MATCH(H219,'Operating leases'!$B$32:$B$43,0)),0,INDEX('Operating leases'!$M$32:$S$43,MATCH(H219,'Operating leases'!$B$32:$B$43,0),MATCH(J219,'Operating leases'!$M$11:$S$11,0)))</f>
        <v>0</v>
      </c>
      <c r="P219" s="257">
        <f t="shared" si="50"/>
        <v>324.15720703125004</v>
      </c>
      <c r="Q219" s="257">
        <f t="shared" si="51"/>
        <v>324.15720703125004</v>
      </c>
      <c r="R219" s="258">
        <f>INDEX('Escalators '!$M$124:$S$129,MATCH(I219,'Escalators '!$B$124:$B$129,0),MATCH(J219,'Escalators '!$M$113:$S$113,0))</f>
        <v>1</v>
      </c>
      <c r="S219" s="257">
        <f t="shared" si="52"/>
        <v>0</v>
      </c>
      <c r="T219" s="257">
        <f t="shared" si="53"/>
        <v>0</v>
      </c>
      <c r="U219" s="269">
        <f t="shared" si="54"/>
        <v>324.15720703125004</v>
      </c>
      <c r="V219" s="269">
        <f t="shared" si="55"/>
        <v>324.15720703125004</v>
      </c>
      <c r="W219" s="269">
        <f t="shared" si="56"/>
        <v>324.15720703125004</v>
      </c>
      <c r="X219" s="257">
        <f t="shared" si="57"/>
        <v>324.15720703125004</v>
      </c>
      <c r="Y219" s="270">
        <f>IF(L219="Complex",(INDEX('Escalators '!$M$176:$S$176,MATCH('Forecast capex'!J219,'Escalators '!$M$178:$S$178,0))/12+1)^((K219-J219)*12)-1,0)</f>
        <v>0</v>
      </c>
      <c r="Z219" s="257">
        <f t="shared" si="58"/>
        <v>0</v>
      </c>
      <c r="AA219" s="257">
        <f t="shared" si="59"/>
        <v>0</v>
      </c>
      <c r="AB219" s="269">
        <f t="shared" si="60"/>
        <v>0</v>
      </c>
      <c r="AC219" s="269">
        <f t="shared" si="61"/>
        <v>0</v>
      </c>
      <c r="AD219" s="271" t="str">
        <f>INDEX('Global inputs'!$C$134:$C$171,MATCH(F219,'Global inputs'!$B$134:$B$171,0))</f>
        <v xml:space="preserve">System growth </v>
      </c>
      <c r="AE219" s="272">
        <f>IF(OR(H219='Operating leases'!$B$32,H219='Operating leases'!$B$33),"",INDEX('Global inputs'!$C$186:$C$243,MATCH(E219,'Global inputs'!$B$186:$B$243,0)))</f>
        <v>0.1</v>
      </c>
    </row>
    <row r="220" spans="1:31" s="27" customFormat="1" x14ac:dyDescent="0.2">
      <c r="A220" s="250"/>
      <c r="B220" s="210" t="s">
        <v>746</v>
      </c>
      <c r="C220" s="210" t="s">
        <v>291</v>
      </c>
      <c r="D220" s="210" t="s">
        <v>735</v>
      </c>
      <c r="E220" s="210" t="s">
        <v>175</v>
      </c>
      <c r="F220" s="210" t="s">
        <v>88</v>
      </c>
      <c r="G220" s="210" t="s">
        <v>748</v>
      </c>
      <c r="H220" s="197">
        <v>0</v>
      </c>
      <c r="I220" s="210" t="s">
        <v>221</v>
      </c>
      <c r="J220" s="210">
        <v>2020</v>
      </c>
      <c r="K220" s="210">
        <v>2020</v>
      </c>
      <c r="L220" s="268" t="str">
        <f t="shared" si="49"/>
        <v>Simple</v>
      </c>
      <c r="M220" s="197">
        <v>1296.6288281250002</v>
      </c>
      <c r="N220" s="197">
        <v>0</v>
      </c>
      <c r="O220" s="257">
        <f>IF(ISNA(MATCH(H220,'Operating leases'!$B$32:$B$43,0)),0,INDEX('Operating leases'!$M$32:$S$43,MATCH(H220,'Operating leases'!$B$32:$B$43,0),MATCH(J220,'Operating leases'!$M$11:$S$11,0)))</f>
        <v>0</v>
      </c>
      <c r="P220" s="257">
        <f t="shared" si="50"/>
        <v>1296.6288281250002</v>
      </c>
      <c r="Q220" s="257">
        <f t="shared" si="51"/>
        <v>1296.6288281250002</v>
      </c>
      <c r="R220" s="258">
        <f>INDEX('Escalators '!$M$124:$S$129,MATCH(I220,'Escalators '!$B$124:$B$129,0),MATCH(J220,'Escalators '!$M$113:$S$113,0))</f>
        <v>1</v>
      </c>
      <c r="S220" s="257">
        <f t="shared" si="52"/>
        <v>0</v>
      </c>
      <c r="T220" s="257">
        <f t="shared" si="53"/>
        <v>0</v>
      </c>
      <c r="U220" s="269">
        <f t="shared" si="54"/>
        <v>1296.6288281250002</v>
      </c>
      <c r="V220" s="269">
        <f t="shared" si="55"/>
        <v>1296.6288281250002</v>
      </c>
      <c r="W220" s="269">
        <f t="shared" si="56"/>
        <v>1296.6288281250002</v>
      </c>
      <c r="X220" s="257">
        <f t="shared" si="57"/>
        <v>1296.6288281250002</v>
      </c>
      <c r="Y220" s="270">
        <f>IF(L220="Complex",(INDEX('Escalators '!$M$176:$S$176,MATCH('Forecast capex'!J220,'Escalators '!$M$178:$S$178,0))/12+1)^((K220-J220)*12)-1,0)</f>
        <v>0</v>
      </c>
      <c r="Z220" s="257">
        <f t="shared" si="58"/>
        <v>0</v>
      </c>
      <c r="AA220" s="257">
        <f t="shared" si="59"/>
        <v>0</v>
      </c>
      <c r="AB220" s="269">
        <f t="shared" si="60"/>
        <v>0</v>
      </c>
      <c r="AC220" s="269">
        <f t="shared" si="61"/>
        <v>0</v>
      </c>
      <c r="AD220" s="271" t="str">
        <f>INDEX('Global inputs'!$C$134:$C$171,MATCH(F220,'Global inputs'!$B$134:$B$171,0))</f>
        <v xml:space="preserve">System growth </v>
      </c>
      <c r="AE220" s="272">
        <f>IF(OR(H220='Operating leases'!$B$32,H220='Operating leases'!$B$33),"",INDEX('Global inputs'!$C$186:$C$243,MATCH(E220,'Global inputs'!$B$186:$B$243,0)))</f>
        <v>0.1</v>
      </c>
    </row>
    <row r="221" spans="1:31" s="27" customFormat="1" x14ac:dyDescent="0.2">
      <c r="A221" s="250"/>
      <c r="B221" s="210" t="s">
        <v>742</v>
      </c>
      <c r="C221" s="210" t="s">
        <v>286</v>
      </c>
      <c r="D221" s="210" t="s">
        <v>732</v>
      </c>
      <c r="E221" s="210" t="s">
        <v>138</v>
      </c>
      <c r="F221" s="210" t="s">
        <v>108</v>
      </c>
      <c r="G221" s="210" t="s">
        <v>752</v>
      </c>
      <c r="H221" s="197">
        <v>0</v>
      </c>
      <c r="I221" s="210" t="s">
        <v>221</v>
      </c>
      <c r="J221" s="210">
        <v>2020</v>
      </c>
      <c r="K221" s="210">
        <v>2020</v>
      </c>
      <c r="L221" s="268" t="str">
        <f t="shared" si="49"/>
        <v>Simple</v>
      </c>
      <c r="M221" s="197">
        <v>1176968.8097058465</v>
      </c>
      <c r="N221" s="197">
        <v>0</v>
      </c>
      <c r="O221" s="257">
        <f>IF(ISNA(MATCH(H221,'Operating leases'!$B$32:$B$43,0)),0,INDEX('Operating leases'!$M$32:$S$43,MATCH(H221,'Operating leases'!$B$32:$B$43,0),MATCH(J221,'Operating leases'!$M$11:$S$11,0)))</f>
        <v>0</v>
      </c>
      <c r="P221" s="257">
        <f t="shared" si="50"/>
        <v>1176968.8097058465</v>
      </c>
      <c r="Q221" s="257">
        <f t="shared" si="51"/>
        <v>1176968.8097058465</v>
      </c>
      <c r="R221" s="258">
        <f>INDEX('Escalators '!$M$124:$S$129,MATCH(I221,'Escalators '!$B$124:$B$129,0),MATCH(J221,'Escalators '!$M$113:$S$113,0))</f>
        <v>1</v>
      </c>
      <c r="S221" s="257">
        <f t="shared" si="52"/>
        <v>0</v>
      </c>
      <c r="T221" s="257">
        <f t="shared" si="53"/>
        <v>0</v>
      </c>
      <c r="U221" s="269">
        <f t="shared" si="54"/>
        <v>1176968.8097058465</v>
      </c>
      <c r="V221" s="269">
        <f t="shared" si="55"/>
        <v>1176968.8097058465</v>
      </c>
      <c r="W221" s="269">
        <f t="shared" si="56"/>
        <v>1176968.8097058465</v>
      </c>
      <c r="X221" s="257">
        <f t="shared" si="57"/>
        <v>1176968.8097058465</v>
      </c>
      <c r="Y221" s="270">
        <f>IF(L221="Complex",(INDEX('Escalators '!$M$176:$S$176,MATCH('Forecast capex'!J221,'Escalators '!$M$178:$S$178,0))/12+1)^((K221-J221)*12)-1,0)</f>
        <v>0</v>
      </c>
      <c r="Z221" s="257">
        <f t="shared" si="58"/>
        <v>0</v>
      </c>
      <c r="AA221" s="257">
        <f t="shared" si="59"/>
        <v>0</v>
      </c>
      <c r="AB221" s="269">
        <f t="shared" si="60"/>
        <v>0</v>
      </c>
      <c r="AC221" s="269">
        <f t="shared" si="61"/>
        <v>0</v>
      </c>
      <c r="AD221" s="271" t="str">
        <f>INDEX('Global inputs'!$C$134:$C$171,MATCH(F221,'Global inputs'!$B$134:$B$171,0))</f>
        <v>Asset replacement and renewal</v>
      </c>
      <c r="AE221" s="272">
        <f>IF(OR(H221='Operating leases'!$B$32,H221='Operating leases'!$B$33),"",INDEX('Global inputs'!$C$186:$C$243,MATCH(E221,'Global inputs'!$B$186:$B$243,0)))</f>
        <v>0.08</v>
      </c>
    </row>
    <row r="222" spans="1:31" s="27" customFormat="1" x14ac:dyDescent="0.2">
      <c r="A222" s="250"/>
      <c r="B222" s="210" t="s">
        <v>742</v>
      </c>
      <c r="C222" s="210" t="s">
        <v>286</v>
      </c>
      <c r="D222" s="210" t="s">
        <v>732</v>
      </c>
      <c r="E222" s="210" t="s">
        <v>138</v>
      </c>
      <c r="F222" s="210" t="s">
        <v>108</v>
      </c>
      <c r="G222" s="210" t="s">
        <v>752</v>
      </c>
      <c r="H222" s="197">
        <v>0</v>
      </c>
      <c r="I222" s="210" t="s">
        <v>139</v>
      </c>
      <c r="J222" s="210">
        <v>2020</v>
      </c>
      <c r="K222" s="210">
        <v>2020</v>
      </c>
      <c r="L222" s="268" t="str">
        <f t="shared" si="49"/>
        <v>Simple</v>
      </c>
      <c r="M222" s="197">
        <v>1765453.2145587697</v>
      </c>
      <c r="N222" s="197">
        <v>0</v>
      </c>
      <c r="O222" s="257">
        <f>IF(ISNA(MATCH(H222,'Operating leases'!$B$32:$B$43,0)),0,INDEX('Operating leases'!$M$32:$S$43,MATCH(H222,'Operating leases'!$B$32:$B$43,0),MATCH(J222,'Operating leases'!$M$11:$S$11,0)))</f>
        <v>0</v>
      </c>
      <c r="P222" s="257">
        <f t="shared" si="50"/>
        <v>1765453.2145587697</v>
      </c>
      <c r="Q222" s="257">
        <f t="shared" si="51"/>
        <v>1765453.2145587697</v>
      </c>
      <c r="R222" s="258">
        <f>INDEX('Escalators '!$M$124:$S$129,MATCH(I222,'Escalators '!$B$124:$B$129,0),MATCH(J222,'Escalators '!$M$113:$S$113,0))</f>
        <v>1</v>
      </c>
      <c r="S222" s="257">
        <f t="shared" si="52"/>
        <v>0</v>
      </c>
      <c r="T222" s="257">
        <f t="shared" si="53"/>
        <v>0</v>
      </c>
      <c r="U222" s="269">
        <f t="shared" si="54"/>
        <v>1765453.2145587697</v>
      </c>
      <c r="V222" s="269">
        <f t="shared" si="55"/>
        <v>1765453.2145587697</v>
      </c>
      <c r="W222" s="269">
        <f t="shared" si="56"/>
        <v>1765453.2145587697</v>
      </c>
      <c r="X222" s="257">
        <f t="shared" si="57"/>
        <v>1765453.2145587697</v>
      </c>
      <c r="Y222" s="270">
        <f>IF(L222="Complex",(INDEX('Escalators '!$M$176:$S$176,MATCH('Forecast capex'!J222,'Escalators '!$M$178:$S$178,0))/12+1)^((K222-J222)*12)-1,0)</f>
        <v>0</v>
      </c>
      <c r="Z222" s="257">
        <f t="shared" si="58"/>
        <v>0</v>
      </c>
      <c r="AA222" s="257">
        <f t="shared" si="59"/>
        <v>0</v>
      </c>
      <c r="AB222" s="269">
        <f t="shared" si="60"/>
        <v>0</v>
      </c>
      <c r="AC222" s="269">
        <f t="shared" si="61"/>
        <v>0</v>
      </c>
      <c r="AD222" s="271" t="str">
        <f>INDEX('Global inputs'!$C$134:$C$171,MATCH(F222,'Global inputs'!$B$134:$B$171,0))</f>
        <v>Asset replacement and renewal</v>
      </c>
      <c r="AE222" s="272">
        <f>IF(OR(H222='Operating leases'!$B$32,H222='Operating leases'!$B$33),"",INDEX('Global inputs'!$C$186:$C$243,MATCH(E222,'Global inputs'!$B$186:$B$243,0)))</f>
        <v>0.08</v>
      </c>
    </row>
    <row r="223" spans="1:31" s="27" customFormat="1" x14ac:dyDescent="0.2">
      <c r="A223" s="250"/>
      <c r="B223" s="210" t="s">
        <v>742</v>
      </c>
      <c r="C223" s="210" t="s">
        <v>286</v>
      </c>
      <c r="D223" s="210" t="s">
        <v>732</v>
      </c>
      <c r="E223" s="210" t="s">
        <v>140</v>
      </c>
      <c r="F223" s="210" t="s">
        <v>108</v>
      </c>
      <c r="G223" s="210" t="s">
        <v>733</v>
      </c>
      <c r="H223" s="197">
        <v>0</v>
      </c>
      <c r="I223" s="210" t="s">
        <v>221</v>
      </c>
      <c r="J223" s="210">
        <v>2020</v>
      </c>
      <c r="K223" s="210">
        <v>2020</v>
      </c>
      <c r="L223" s="268" t="str">
        <f t="shared" si="49"/>
        <v>Simple</v>
      </c>
      <c r="M223" s="197">
        <v>163099.75191280592</v>
      </c>
      <c r="N223" s="197">
        <v>0</v>
      </c>
      <c r="O223" s="257">
        <f>IF(ISNA(MATCH(H223,'Operating leases'!$B$32:$B$43,0)),0,INDEX('Operating leases'!$M$32:$S$43,MATCH(H223,'Operating leases'!$B$32:$B$43,0),MATCH(J223,'Operating leases'!$M$11:$S$11,0)))</f>
        <v>0</v>
      </c>
      <c r="P223" s="257">
        <f t="shared" si="50"/>
        <v>163099.75191280592</v>
      </c>
      <c r="Q223" s="257">
        <f t="shared" si="51"/>
        <v>163099.75191280592</v>
      </c>
      <c r="R223" s="258">
        <f>INDEX('Escalators '!$M$124:$S$129,MATCH(I223,'Escalators '!$B$124:$B$129,0),MATCH(J223,'Escalators '!$M$113:$S$113,0))</f>
        <v>1</v>
      </c>
      <c r="S223" s="257">
        <f t="shared" si="52"/>
        <v>0</v>
      </c>
      <c r="T223" s="257">
        <f t="shared" si="53"/>
        <v>0</v>
      </c>
      <c r="U223" s="269">
        <f t="shared" si="54"/>
        <v>163099.75191280592</v>
      </c>
      <c r="V223" s="269">
        <f t="shared" si="55"/>
        <v>163099.75191280592</v>
      </c>
      <c r="W223" s="269">
        <f t="shared" si="56"/>
        <v>163099.75191280592</v>
      </c>
      <c r="X223" s="257">
        <f t="shared" si="57"/>
        <v>163099.75191280592</v>
      </c>
      <c r="Y223" s="270">
        <f>IF(L223="Complex",(INDEX('Escalators '!$M$176:$S$176,MATCH('Forecast capex'!J223,'Escalators '!$M$178:$S$178,0))/12+1)^((K223-J223)*12)-1,0)</f>
        <v>0</v>
      </c>
      <c r="Z223" s="257">
        <f t="shared" si="58"/>
        <v>0</v>
      </c>
      <c r="AA223" s="257">
        <f t="shared" si="59"/>
        <v>0</v>
      </c>
      <c r="AB223" s="269">
        <f t="shared" si="60"/>
        <v>0</v>
      </c>
      <c r="AC223" s="269">
        <f t="shared" si="61"/>
        <v>0</v>
      </c>
      <c r="AD223" s="271" t="str">
        <f>INDEX('Global inputs'!$C$134:$C$171,MATCH(F223,'Global inputs'!$B$134:$B$171,0))</f>
        <v>Asset replacement and renewal</v>
      </c>
      <c r="AE223" s="272">
        <f>IF(OR(H223='Operating leases'!$B$32,H223='Operating leases'!$B$33),"",INDEX('Global inputs'!$C$186:$C$243,MATCH(E223,'Global inputs'!$B$186:$B$243,0)))</f>
        <v>0.08</v>
      </c>
    </row>
    <row r="224" spans="1:31" s="27" customFormat="1" x14ac:dyDescent="0.2">
      <c r="A224" s="250"/>
      <c r="B224" s="210" t="s">
        <v>742</v>
      </c>
      <c r="C224" s="210" t="s">
        <v>286</v>
      </c>
      <c r="D224" s="210" t="s">
        <v>732</v>
      </c>
      <c r="E224" s="210" t="s">
        <v>140</v>
      </c>
      <c r="F224" s="210" t="s">
        <v>108</v>
      </c>
      <c r="G224" s="210" t="s">
        <v>733</v>
      </c>
      <c r="H224" s="197">
        <v>0</v>
      </c>
      <c r="I224" s="210" t="s">
        <v>142</v>
      </c>
      <c r="J224" s="210">
        <v>2020</v>
      </c>
      <c r="K224" s="210">
        <v>2020</v>
      </c>
      <c r="L224" s="268" t="str">
        <f t="shared" si="49"/>
        <v>Simple</v>
      </c>
      <c r="M224" s="197">
        <v>244649.62786920884</v>
      </c>
      <c r="N224" s="197">
        <v>0</v>
      </c>
      <c r="O224" s="257">
        <f>IF(ISNA(MATCH(H224,'Operating leases'!$B$32:$B$43,0)),0,INDEX('Operating leases'!$M$32:$S$43,MATCH(H224,'Operating leases'!$B$32:$B$43,0),MATCH(J224,'Operating leases'!$M$11:$S$11,0)))</f>
        <v>0</v>
      </c>
      <c r="P224" s="257">
        <f t="shared" si="50"/>
        <v>244649.62786920884</v>
      </c>
      <c r="Q224" s="257">
        <f t="shared" si="51"/>
        <v>244649.62786920884</v>
      </c>
      <c r="R224" s="258">
        <f>INDEX('Escalators '!$M$124:$S$129,MATCH(I224,'Escalators '!$B$124:$B$129,0),MATCH(J224,'Escalators '!$M$113:$S$113,0))</f>
        <v>1</v>
      </c>
      <c r="S224" s="257">
        <f t="shared" si="52"/>
        <v>0</v>
      </c>
      <c r="T224" s="257">
        <f t="shared" si="53"/>
        <v>0</v>
      </c>
      <c r="U224" s="269">
        <f t="shared" si="54"/>
        <v>244649.62786920884</v>
      </c>
      <c r="V224" s="269">
        <f t="shared" si="55"/>
        <v>244649.62786920884</v>
      </c>
      <c r="W224" s="269">
        <f t="shared" si="56"/>
        <v>244649.62786920884</v>
      </c>
      <c r="X224" s="257">
        <f t="shared" si="57"/>
        <v>244649.62786920884</v>
      </c>
      <c r="Y224" s="270">
        <f>IF(L224="Complex",(INDEX('Escalators '!$M$176:$S$176,MATCH('Forecast capex'!J224,'Escalators '!$M$178:$S$178,0))/12+1)^((K224-J224)*12)-1,0)</f>
        <v>0</v>
      </c>
      <c r="Z224" s="257">
        <f t="shared" si="58"/>
        <v>0</v>
      </c>
      <c r="AA224" s="257">
        <f t="shared" si="59"/>
        <v>0</v>
      </c>
      <c r="AB224" s="269">
        <f t="shared" si="60"/>
        <v>0</v>
      </c>
      <c r="AC224" s="269">
        <f t="shared" si="61"/>
        <v>0</v>
      </c>
      <c r="AD224" s="271" t="str">
        <f>INDEX('Global inputs'!$C$134:$C$171,MATCH(F224,'Global inputs'!$B$134:$B$171,0))</f>
        <v>Asset replacement and renewal</v>
      </c>
      <c r="AE224" s="272">
        <f>IF(OR(H224='Operating leases'!$B$32,H224='Operating leases'!$B$33),"",INDEX('Global inputs'!$C$186:$C$243,MATCH(E224,'Global inputs'!$B$186:$B$243,0)))</f>
        <v>0.08</v>
      </c>
    </row>
    <row r="225" spans="1:31" s="27" customFormat="1" x14ac:dyDescent="0.2">
      <c r="A225" s="250"/>
      <c r="B225" s="210" t="s">
        <v>742</v>
      </c>
      <c r="C225" s="210" t="s">
        <v>286</v>
      </c>
      <c r="D225" s="210" t="s">
        <v>732</v>
      </c>
      <c r="E225" s="210" t="s">
        <v>143</v>
      </c>
      <c r="F225" s="210" t="s">
        <v>108</v>
      </c>
      <c r="G225" s="210" t="s">
        <v>734</v>
      </c>
      <c r="H225" s="197">
        <v>0</v>
      </c>
      <c r="I225" s="210" t="s">
        <v>221</v>
      </c>
      <c r="J225" s="210">
        <v>2020</v>
      </c>
      <c r="K225" s="210">
        <v>2020</v>
      </c>
      <c r="L225" s="268" t="str">
        <f t="shared" si="49"/>
        <v>Simple</v>
      </c>
      <c r="M225" s="197">
        <v>108417.38480468752</v>
      </c>
      <c r="N225" s="197">
        <v>0</v>
      </c>
      <c r="O225" s="257">
        <f>IF(ISNA(MATCH(H225,'Operating leases'!$B$32:$B$43,0)),0,INDEX('Operating leases'!$M$32:$S$43,MATCH(H225,'Operating leases'!$B$32:$B$43,0),MATCH(J225,'Operating leases'!$M$11:$S$11,0)))</f>
        <v>0</v>
      </c>
      <c r="P225" s="257">
        <f t="shared" si="50"/>
        <v>108417.38480468752</v>
      </c>
      <c r="Q225" s="257">
        <f t="shared" si="51"/>
        <v>108417.38480468752</v>
      </c>
      <c r="R225" s="258">
        <f>INDEX('Escalators '!$M$124:$S$129,MATCH(I225,'Escalators '!$B$124:$B$129,0),MATCH(J225,'Escalators '!$M$113:$S$113,0))</f>
        <v>1</v>
      </c>
      <c r="S225" s="257">
        <f t="shared" si="52"/>
        <v>0</v>
      </c>
      <c r="T225" s="257">
        <f t="shared" si="53"/>
        <v>0</v>
      </c>
      <c r="U225" s="269">
        <f t="shared" si="54"/>
        <v>108417.38480468752</v>
      </c>
      <c r="V225" s="269">
        <f t="shared" si="55"/>
        <v>108417.38480468752</v>
      </c>
      <c r="W225" s="269">
        <f t="shared" si="56"/>
        <v>108417.38480468752</v>
      </c>
      <c r="X225" s="257">
        <f t="shared" si="57"/>
        <v>108417.38480468752</v>
      </c>
      <c r="Y225" s="270">
        <f>IF(L225="Complex",(INDEX('Escalators '!$M$176:$S$176,MATCH('Forecast capex'!J225,'Escalators '!$M$178:$S$178,0))/12+1)^((K225-J225)*12)-1,0)</f>
        <v>0</v>
      </c>
      <c r="Z225" s="257">
        <f t="shared" si="58"/>
        <v>0</v>
      </c>
      <c r="AA225" s="257">
        <f t="shared" si="59"/>
        <v>0</v>
      </c>
      <c r="AB225" s="269">
        <f t="shared" si="60"/>
        <v>0</v>
      </c>
      <c r="AC225" s="269">
        <f t="shared" si="61"/>
        <v>0</v>
      </c>
      <c r="AD225" s="271" t="str">
        <f>INDEX('Global inputs'!$C$134:$C$171,MATCH(F225,'Global inputs'!$B$134:$B$171,0))</f>
        <v>Asset replacement and renewal</v>
      </c>
      <c r="AE225" s="272">
        <f>IF(OR(H225='Operating leases'!$B$32,H225='Operating leases'!$B$33),"",INDEX('Global inputs'!$C$186:$C$243,MATCH(E225,'Global inputs'!$B$186:$B$243,0)))</f>
        <v>0.08</v>
      </c>
    </row>
    <row r="226" spans="1:31" s="27" customFormat="1" x14ac:dyDescent="0.2">
      <c r="A226" s="250"/>
      <c r="B226" s="210" t="s">
        <v>742</v>
      </c>
      <c r="C226" s="210" t="s">
        <v>286</v>
      </c>
      <c r="D226" s="210" t="s">
        <v>732</v>
      </c>
      <c r="E226" s="210" t="s">
        <v>143</v>
      </c>
      <c r="F226" s="210" t="s">
        <v>108</v>
      </c>
      <c r="G226" s="210" t="s">
        <v>734</v>
      </c>
      <c r="H226" s="197">
        <v>0</v>
      </c>
      <c r="I226" s="210" t="s">
        <v>142</v>
      </c>
      <c r="J226" s="210">
        <v>2020</v>
      </c>
      <c r="K226" s="210">
        <v>2020</v>
      </c>
      <c r="L226" s="268" t="str">
        <f t="shared" si="49"/>
        <v>Simple</v>
      </c>
      <c r="M226" s="197">
        <v>433669.53921875008</v>
      </c>
      <c r="N226" s="197">
        <v>0</v>
      </c>
      <c r="O226" s="257">
        <f>IF(ISNA(MATCH(H226,'Operating leases'!$B$32:$B$43,0)),0,INDEX('Operating leases'!$M$32:$S$43,MATCH(H226,'Operating leases'!$B$32:$B$43,0),MATCH(J226,'Operating leases'!$M$11:$S$11,0)))</f>
        <v>0</v>
      </c>
      <c r="P226" s="257">
        <f t="shared" si="50"/>
        <v>433669.53921875008</v>
      </c>
      <c r="Q226" s="257">
        <f t="shared" si="51"/>
        <v>433669.53921875008</v>
      </c>
      <c r="R226" s="258">
        <f>INDEX('Escalators '!$M$124:$S$129,MATCH(I226,'Escalators '!$B$124:$B$129,0),MATCH(J226,'Escalators '!$M$113:$S$113,0))</f>
        <v>1</v>
      </c>
      <c r="S226" s="257">
        <f t="shared" si="52"/>
        <v>0</v>
      </c>
      <c r="T226" s="257">
        <f t="shared" si="53"/>
        <v>0</v>
      </c>
      <c r="U226" s="269">
        <f t="shared" si="54"/>
        <v>433669.53921875008</v>
      </c>
      <c r="V226" s="269">
        <f t="shared" si="55"/>
        <v>433669.53921875008</v>
      </c>
      <c r="W226" s="269">
        <f t="shared" si="56"/>
        <v>433669.53921875008</v>
      </c>
      <c r="X226" s="257">
        <f t="shared" si="57"/>
        <v>433669.53921875008</v>
      </c>
      <c r="Y226" s="270">
        <f>IF(L226="Complex",(INDEX('Escalators '!$M$176:$S$176,MATCH('Forecast capex'!J226,'Escalators '!$M$178:$S$178,0))/12+1)^((K226-J226)*12)-1,0)</f>
        <v>0</v>
      </c>
      <c r="Z226" s="257">
        <f t="shared" si="58"/>
        <v>0</v>
      </c>
      <c r="AA226" s="257">
        <f t="shared" si="59"/>
        <v>0</v>
      </c>
      <c r="AB226" s="269">
        <f t="shared" si="60"/>
        <v>0</v>
      </c>
      <c r="AC226" s="269">
        <f t="shared" si="61"/>
        <v>0</v>
      </c>
      <c r="AD226" s="271" t="str">
        <f>INDEX('Global inputs'!$C$134:$C$171,MATCH(F226,'Global inputs'!$B$134:$B$171,0))</f>
        <v>Asset replacement and renewal</v>
      </c>
      <c r="AE226" s="272">
        <f>IF(OR(H226='Operating leases'!$B$32,H226='Operating leases'!$B$33),"",INDEX('Global inputs'!$C$186:$C$243,MATCH(E226,'Global inputs'!$B$186:$B$243,0)))</f>
        <v>0.08</v>
      </c>
    </row>
    <row r="227" spans="1:31" s="27" customFormat="1" x14ac:dyDescent="0.2">
      <c r="A227" s="250"/>
      <c r="B227" s="210" t="s">
        <v>742</v>
      </c>
      <c r="C227" s="210" t="s">
        <v>286</v>
      </c>
      <c r="D227" s="210" t="s">
        <v>732</v>
      </c>
      <c r="E227" s="210" t="s">
        <v>136</v>
      </c>
      <c r="F227" s="210" t="s">
        <v>108</v>
      </c>
      <c r="G227" s="210" t="s">
        <v>751</v>
      </c>
      <c r="H227" s="197">
        <v>0</v>
      </c>
      <c r="I227" s="210" t="s">
        <v>221</v>
      </c>
      <c r="J227" s="210">
        <v>2020</v>
      </c>
      <c r="K227" s="210">
        <v>2020</v>
      </c>
      <c r="L227" s="268" t="str">
        <f t="shared" si="49"/>
        <v>Simple</v>
      </c>
      <c r="M227" s="197">
        <v>1137085.4302368164</v>
      </c>
      <c r="N227" s="197">
        <v>0</v>
      </c>
      <c r="O227" s="257">
        <f>IF(ISNA(MATCH(H227,'Operating leases'!$B$32:$B$43,0)),0,INDEX('Operating leases'!$M$32:$S$43,MATCH(H227,'Operating leases'!$B$32:$B$43,0),MATCH(J227,'Operating leases'!$M$11:$S$11,0)))</f>
        <v>0</v>
      </c>
      <c r="P227" s="257">
        <f t="shared" si="50"/>
        <v>1137085.4302368164</v>
      </c>
      <c r="Q227" s="257">
        <f t="shared" si="51"/>
        <v>1137085.4302368164</v>
      </c>
      <c r="R227" s="258">
        <f>INDEX('Escalators '!$M$124:$S$129,MATCH(I227,'Escalators '!$B$124:$B$129,0),MATCH(J227,'Escalators '!$M$113:$S$113,0))</f>
        <v>1</v>
      </c>
      <c r="S227" s="257">
        <f t="shared" si="52"/>
        <v>0</v>
      </c>
      <c r="T227" s="257">
        <f t="shared" si="53"/>
        <v>0</v>
      </c>
      <c r="U227" s="269">
        <f t="shared" si="54"/>
        <v>1137085.4302368164</v>
      </c>
      <c r="V227" s="269">
        <f t="shared" si="55"/>
        <v>1137085.4302368164</v>
      </c>
      <c r="W227" s="269">
        <f t="shared" si="56"/>
        <v>1137085.4302368164</v>
      </c>
      <c r="X227" s="257">
        <f t="shared" si="57"/>
        <v>1137085.4302368164</v>
      </c>
      <c r="Y227" s="270">
        <f>IF(L227="Complex",(INDEX('Escalators '!$M$176:$S$176,MATCH('Forecast capex'!J227,'Escalators '!$M$178:$S$178,0))/12+1)^((K227-J227)*12)-1,0)</f>
        <v>0</v>
      </c>
      <c r="Z227" s="257">
        <f t="shared" si="58"/>
        <v>0</v>
      </c>
      <c r="AA227" s="257">
        <f t="shared" si="59"/>
        <v>0</v>
      </c>
      <c r="AB227" s="269">
        <f t="shared" si="60"/>
        <v>0</v>
      </c>
      <c r="AC227" s="269">
        <f t="shared" si="61"/>
        <v>0</v>
      </c>
      <c r="AD227" s="271" t="str">
        <f>INDEX('Global inputs'!$C$134:$C$171,MATCH(F227,'Global inputs'!$B$134:$B$171,0))</f>
        <v>Asset replacement and renewal</v>
      </c>
      <c r="AE227" s="272">
        <f>IF(OR(H227='Operating leases'!$B$32,H227='Operating leases'!$B$33),"",INDEX('Global inputs'!$C$186:$C$243,MATCH(E227,'Global inputs'!$B$186:$B$243,0)))</f>
        <v>0</v>
      </c>
    </row>
    <row r="228" spans="1:31" s="27" customFormat="1" x14ac:dyDescent="0.2">
      <c r="A228" s="250"/>
      <c r="B228" s="210" t="s">
        <v>742</v>
      </c>
      <c r="C228" s="210" t="s">
        <v>286</v>
      </c>
      <c r="D228" s="210" t="s">
        <v>732</v>
      </c>
      <c r="E228" s="210" t="s">
        <v>136</v>
      </c>
      <c r="F228" s="210" t="s">
        <v>108</v>
      </c>
      <c r="G228" s="210" t="s">
        <v>751</v>
      </c>
      <c r="H228" s="197">
        <v>0</v>
      </c>
      <c r="I228" s="210" t="s">
        <v>229</v>
      </c>
      <c r="J228" s="210">
        <v>2020</v>
      </c>
      <c r="K228" s="210">
        <v>2020</v>
      </c>
      <c r="L228" s="268" t="str">
        <f t="shared" si="49"/>
        <v>Simple</v>
      </c>
      <c r="M228" s="197">
        <v>1137085.4302368164</v>
      </c>
      <c r="N228" s="197">
        <v>0</v>
      </c>
      <c r="O228" s="257">
        <f>IF(ISNA(MATCH(H228,'Operating leases'!$B$32:$B$43,0)),0,INDEX('Operating leases'!$M$32:$S$43,MATCH(H228,'Operating leases'!$B$32:$B$43,0),MATCH(J228,'Operating leases'!$M$11:$S$11,0)))</f>
        <v>0</v>
      </c>
      <c r="P228" s="257">
        <f t="shared" si="50"/>
        <v>1137085.4302368164</v>
      </c>
      <c r="Q228" s="257">
        <f t="shared" si="51"/>
        <v>1137085.4302368164</v>
      </c>
      <c r="R228" s="258">
        <f>INDEX('Escalators '!$M$124:$S$129,MATCH(I228,'Escalators '!$B$124:$B$129,0),MATCH(J228,'Escalators '!$M$113:$S$113,0))</f>
        <v>1</v>
      </c>
      <c r="S228" s="257">
        <f t="shared" si="52"/>
        <v>0</v>
      </c>
      <c r="T228" s="257">
        <f t="shared" si="53"/>
        <v>0</v>
      </c>
      <c r="U228" s="269">
        <f t="shared" si="54"/>
        <v>1137085.4302368164</v>
      </c>
      <c r="V228" s="269">
        <f t="shared" si="55"/>
        <v>1137085.4302368164</v>
      </c>
      <c r="W228" s="269">
        <f t="shared" si="56"/>
        <v>1137085.4302368164</v>
      </c>
      <c r="X228" s="257">
        <f t="shared" si="57"/>
        <v>1137085.4302368164</v>
      </c>
      <c r="Y228" s="270">
        <f>IF(L228="Complex",(INDEX('Escalators '!$M$176:$S$176,MATCH('Forecast capex'!J228,'Escalators '!$M$178:$S$178,0))/12+1)^((K228-J228)*12)-1,0)</f>
        <v>0</v>
      </c>
      <c r="Z228" s="257">
        <f t="shared" si="58"/>
        <v>0</v>
      </c>
      <c r="AA228" s="257">
        <f t="shared" si="59"/>
        <v>0</v>
      </c>
      <c r="AB228" s="269">
        <f t="shared" si="60"/>
        <v>0</v>
      </c>
      <c r="AC228" s="269">
        <f t="shared" si="61"/>
        <v>0</v>
      </c>
      <c r="AD228" s="271" t="str">
        <f>INDEX('Global inputs'!$C$134:$C$171,MATCH(F228,'Global inputs'!$B$134:$B$171,0))</f>
        <v>Asset replacement and renewal</v>
      </c>
      <c r="AE228" s="272">
        <f>IF(OR(H228='Operating leases'!$B$32,H228='Operating leases'!$B$33),"",INDEX('Global inputs'!$C$186:$C$243,MATCH(E228,'Global inputs'!$B$186:$B$243,0)))</f>
        <v>0</v>
      </c>
    </row>
    <row r="229" spans="1:31" s="27" customFormat="1" x14ac:dyDescent="0.2">
      <c r="A229" s="250"/>
      <c r="B229" s="210" t="s">
        <v>742</v>
      </c>
      <c r="C229" s="210" t="s">
        <v>285</v>
      </c>
      <c r="D229" s="210" t="s">
        <v>223</v>
      </c>
      <c r="E229" s="210" t="s">
        <v>134</v>
      </c>
      <c r="F229" s="210" t="s">
        <v>105</v>
      </c>
      <c r="G229" s="210" t="s">
        <v>726</v>
      </c>
      <c r="H229" s="197">
        <v>0</v>
      </c>
      <c r="I229" s="210" t="s">
        <v>223</v>
      </c>
      <c r="J229" s="210">
        <v>2020</v>
      </c>
      <c r="K229" s="210">
        <v>2021</v>
      </c>
      <c r="L229" s="268" t="str">
        <f t="shared" si="49"/>
        <v>Complex</v>
      </c>
      <c r="M229" s="197">
        <v>810793.5793945312</v>
      </c>
      <c r="N229" s="197">
        <v>0</v>
      </c>
      <c r="O229" s="257">
        <f>IF(ISNA(MATCH(H229,'Operating leases'!$B$32:$B$43,0)),0,INDEX('Operating leases'!$M$32:$S$43,MATCH(H229,'Operating leases'!$B$32:$B$43,0),MATCH(J229,'Operating leases'!$M$11:$S$11,0)))</f>
        <v>0</v>
      </c>
      <c r="P229" s="257">
        <f t="shared" si="50"/>
        <v>810793.5793945312</v>
      </c>
      <c r="Q229" s="257">
        <f t="shared" si="51"/>
        <v>810793.5793945312</v>
      </c>
      <c r="R229" s="258">
        <f>INDEX('Escalators '!$M$124:$S$129,MATCH(I229,'Escalators '!$B$124:$B$129,0),MATCH(J229,'Escalators '!$M$113:$S$113,0))</f>
        <v>1</v>
      </c>
      <c r="S229" s="257">
        <f t="shared" si="52"/>
        <v>0</v>
      </c>
      <c r="T229" s="257">
        <f t="shared" si="53"/>
        <v>0</v>
      </c>
      <c r="U229" s="269">
        <f t="shared" si="54"/>
        <v>810793.5793945312</v>
      </c>
      <c r="V229" s="269">
        <f t="shared" si="55"/>
        <v>810793.5793945312</v>
      </c>
      <c r="W229" s="269">
        <f t="shared" si="56"/>
        <v>810793.5793945312</v>
      </c>
      <c r="X229" s="257">
        <f t="shared" si="57"/>
        <v>810793.5793945312</v>
      </c>
      <c r="Y229" s="273">
        <f>IF(L229="Complex",(INDEX('Escalators '!$M$176:$S$176,MATCH('Forecast capex'!J229,'Escalators '!$M$178:$S$178,0))/12+1)^((K229-J229)*12)-1,0)</f>
        <v>3.5566952945970565E-2</v>
      </c>
      <c r="Z229" s="257">
        <f t="shared" si="58"/>
        <v>28837.45708722034</v>
      </c>
      <c r="AA229" s="257">
        <f t="shared" si="59"/>
        <v>28837.45708722034</v>
      </c>
      <c r="AB229" s="269">
        <f t="shared" si="60"/>
        <v>839631.03648175159</v>
      </c>
      <c r="AC229" s="269">
        <f t="shared" si="61"/>
        <v>839631.03648175159</v>
      </c>
      <c r="AD229" s="271" t="str">
        <f>INDEX('Global inputs'!$C$134:$C$171,MATCH(F229,'Global inputs'!$B$134:$B$171,0))</f>
        <v>Asset replacement and renewal</v>
      </c>
      <c r="AE229" s="272">
        <f>IF(OR(H229='Operating leases'!$B$32,H229='Operating leases'!$B$33),"",INDEX('Global inputs'!$C$186:$C$243,MATCH(E229,'Global inputs'!$B$186:$B$243,0)))</f>
        <v>0.08</v>
      </c>
    </row>
    <row r="230" spans="1:31" s="27" customFormat="1" x14ac:dyDescent="0.2">
      <c r="A230" s="250"/>
      <c r="B230" s="210" t="s">
        <v>742</v>
      </c>
      <c r="C230" s="210" t="s">
        <v>285</v>
      </c>
      <c r="D230" s="210" t="s">
        <v>223</v>
      </c>
      <c r="E230" s="210" t="s">
        <v>134</v>
      </c>
      <c r="F230" s="210" t="s">
        <v>105</v>
      </c>
      <c r="G230" s="210" t="s">
        <v>726</v>
      </c>
      <c r="H230" s="197">
        <v>0</v>
      </c>
      <c r="I230" s="210" t="s">
        <v>221</v>
      </c>
      <c r="J230" s="210">
        <v>2020</v>
      </c>
      <c r="K230" s="210">
        <v>2021</v>
      </c>
      <c r="L230" s="268" t="str">
        <f t="shared" si="49"/>
        <v>Complex</v>
      </c>
      <c r="M230" s="197">
        <v>1891851.6852539061</v>
      </c>
      <c r="N230" s="197">
        <v>0</v>
      </c>
      <c r="O230" s="257">
        <f>IF(ISNA(MATCH(H230,'Operating leases'!$B$32:$B$43,0)),0,INDEX('Operating leases'!$M$32:$S$43,MATCH(H230,'Operating leases'!$B$32:$B$43,0),MATCH(J230,'Operating leases'!$M$11:$S$11,0)))</f>
        <v>0</v>
      </c>
      <c r="P230" s="257">
        <f t="shared" si="50"/>
        <v>1891851.6852539061</v>
      </c>
      <c r="Q230" s="257">
        <f t="shared" si="51"/>
        <v>1891851.6852539061</v>
      </c>
      <c r="R230" s="258">
        <f>INDEX('Escalators '!$M$124:$S$129,MATCH(I230,'Escalators '!$B$124:$B$129,0),MATCH(J230,'Escalators '!$M$113:$S$113,0))</f>
        <v>1</v>
      </c>
      <c r="S230" s="257">
        <f t="shared" si="52"/>
        <v>0</v>
      </c>
      <c r="T230" s="257">
        <f t="shared" si="53"/>
        <v>0</v>
      </c>
      <c r="U230" s="269">
        <f t="shared" si="54"/>
        <v>1891851.6852539061</v>
      </c>
      <c r="V230" s="269">
        <f t="shared" si="55"/>
        <v>1891851.6852539061</v>
      </c>
      <c r="W230" s="269">
        <f t="shared" si="56"/>
        <v>1891851.6852539061</v>
      </c>
      <c r="X230" s="257">
        <f t="shared" si="57"/>
        <v>1891851.6852539061</v>
      </c>
      <c r="Y230" s="270">
        <f>IF(L230="Complex",(INDEX('Escalators '!$M$176:$S$176,MATCH('Forecast capex'!J230,'Escalators '!$M$178:$S$178,0))/12+1)^((K230-J230)*12)-1,0)</f>
        <v>3.5566952945970565E-2</v>
      </c>
      <c r="Z230" s="257">
        <f t="shared" si="58"/>
        <v>67287.399870180787</v>
      </c>
      <c r="AA230" s="257">
        <f t="shared" si="59"/>
        <v>67287.399870180787</v>
      </c>
      <c r="AB230" s="269">
        <f t="shared" si="60"/>
        <v>1959139.0851240868</v>
      </c>
      <c r="AC230" s="269">
        <f t="shared" si="61"/>
        <v>1959139.0851240868</v>
      </c>
      <c r="AD230" s="271" t="str">
        <f>INDEX('Global inputs'!$C$134:$C$171,MATCH(F230,'Global inputs'!$B$134:$B$171,0))</f>
        <v>Asset replacement and renewal</v>
      </c>
      <c r="AE230" s="272">
        <f>IF(OR(H230='Operating leases'!$B$32,H230='Operating leases'!$B$33),"",INDEX('Global inputs'!$C$186:$C$243,MATCH(E230,'Global inputs'!$B$186:$B$243,0)))</f>
        <v>0.08</v>
      </c>
    </row>
    <row r="231" spans="1:31" s="27" customFormat="1" x14ac:dyDescent="0.2">
      <c r="A231" s="250"/>
      <c r="B231" s="210" t="s">
        <v>746</v>
      </c>
      <c r="C231" s="210" t="s">
        <v>286</v>
      </c>
      <c r="D231" s="210" t="s">
        <v>732</v>
      </c>
      <c r="E231" s="210" t="s">
        <v>138</v>
      </c>
      <c r="F231" s="210" t="s">
        <v>87</v>
      </c>
      <c r="G231" s="210" t="s">
        <v>752</v>
      </c>
      <c r="H231" s="197">
        <v>0</v>
      </c>
      <c r="I231" s="210" t="s">
        <v>139</v>
      </c>
      <c r="J231" s="210">
        <v>2020</v>
      </c>
      <c r="K231" s="210">
        <v>2021</v>
      </c>
      <c r="L231" s="268" t="str">
        <f t="shared" si="49"/>
        <v>Complex</v>
      </c>
      <c r="M231" s="197">
        <v>1879246.4596148436</v>
      </c>
      <c r="N231" s="197">
        <v>0</v>
      </c>
      <c r="O231" s="257">
        <f>IF(ISNA(MATCH(H231,'Operating leases'!$B$32:$B$43,0)),0,INDEX('Operating leases'!$M$32:$S$43,MATCH(H231,'Operating leases'!$B$32:$B$43,0),MATCH(J231,'Operating leases'!$M$11:$S$11,0)))</f>
        <v>0</v>
      </c>
      <c r="P231" s="257">
        <f t="shared" si="50"/>
        <v>1879246.4596148436</v>
      </c>
      <c r="Q231" s="257">
        <f t="shared" si="51"/>
        <v>1879246.4596148436</v>
      </c>
      <c r="R231" s="258">
        <f>INDEX('Escalators '!$M$124:$S$129,MATCH(I231,'Escalators '!$B$124:$B$129,0),MATCH(J231,'Escalators '!$M$113:$S$113,0))</f>
        <v>1</v>
      </c>
      <c r="S231" s="257">
        <f t="shared" si="52"/>
        <v>0</v>
      </c>
      <c r="T231" s="257">
        <f t="shared" si="53"/>
        <v>0</v>
      </c>
      <c r="U231" s="269">
        <f t="shared" si="54"/>
        <v>1879246.4596148436</v>
      </c>
      <c r="V231" s="269">
        <f t="shared" si="55"/>
        <v>1879246.4596148436</v>
      </c>
      <c r="W231" s="269">
        <f t="shared" si="56"/>
        <v>1879246.4596148436</v>
      </c>
      <c r="X231" s="257">
        <f t="shared" si="57"/>
        <v>1879246.4596148436</v>
      </c>
      <c r="Y231" s="270">
        <f>IF(L231="Complex",(INDEX('Escalators '!$M$176:$S$176,MATCH('Forecast capex'!J231,'Escalators '!$M$178:$S$178,0))/12+1)^((K231-J231)*12)-1,0)</f>
        <v>3.5566952945970565E-2</v>
      </c>
      <c r="Z231" s="257">
        <f t="shared" si="58"/>
        <v>66839.070403002916</v>
      </c>
      <c r="AA231" s="257">
        <f t="shared" si="59"/>
        <v>66839.070403002916</v>
      </c>
      <c r="AB231" s="269">
        <f t="shared" si="60"/>
        <v>1946085.5300178465</v>
      </c>
      <c r="AC231" s="269">
        <f t="shared" si="61"/>
        <v>1946085.5300178465</v>
      </c>
      <c r="AD231" s="271" t="str">
        <f>INDEX('Global inputs'!$C$134:$C$171,MATCH(F231,'Global inputs'!$B$134:$B$171,0))</f>
        <v xml:space="preserve">System growth </v>
      </c>
      <c r="AE231" s="272">
        <f>IF(OR(H231='Operating leases'!$B$32,H231='Operating leases'!$B$33),"",INDEX('Global inputs'!$C$186:$C$243,MATCH(E231,'Global inputs'!$B$186:$B$243,0)))</f>
        <v>0.08</v>
      </c>
    </row>
    <row r="232" spans="1:31" s="27" customFormat="1" x14ac:dyDescent="0.2">
      <c r="A232" s="250"/>
      <c r="B232" s="210" t="s">
        <v>746</v>
      </c>
      <c r="C232" s="210" t="s">
        <v>286</v>
      </c>
      <c r="D232" s="210" t="s">
        <v>732</v>
      </c>
      <c r="E232" s="210" t="s">
        <v>138</v>
      </c>
      <c r="F232" s="210" t="s">
        <v>87</v>
      </c>
      <c r="G232" s="210" t="s">
        <v>752</v>
      </c>
      <c r="H232" s="197">
        <v>0</v>
      </c>
      <c r="I232" s="210" t="s">
        <v>221</v>
      </c>
      <c r="J232" s="210">
        <v>2020</v>
      </c>
      <c r="K232" s="210">
        <v>2021</v>
      </c>
      <c r="L232" s="268" t="str">
        <f t="shared" si="49"/>
        <v>Complex</v>
      </c>
      <c r="M232" s="197">
        <v>1252830.9730765624</v>
      </c>
      <c r="N232" s="197">
        <v>0</v>
      </c>
      <c r="O232" s="257">
        <f>IF(ISNA(MATCH(H232,'Operating leases'!$B$32:$B$43,0)),0,INDEX('Operating leases'!$M$32:$S$43,MATCH(H232,'Operating leases'!$B$32:$B$43,0),MATCH(J232,'Operating leases'!$M$11:$S$11,0)))</f>
        <v>0</v>
      </c>
      <c r="P232" s="257">
        <f t="shared" si="50"/>
        <v>1252830.9730765624</v>
      </c>
      <c r="Q232" s="257">
        <f t="shared" si="51"/>
        <v>1252830.9730765624</v>
      </c>
      <c r="R232" s="258">
        <f>INDEX('Escalators '!$M$124:$S$129,MATCH(I232,'Escalators '!$B$124:$B$129,0),MATCH(J232,'Escalators '!$M$113:$S$113,0))</f>
        <v>1</v>
      </c>
      <c r="S232" s="257">
        <f t="shared" si="52"/>
        <v>0</v>
      </c>
      <c r="T232" s="257">
        <f t="shared" si="53"/>
        <v>0</v>
      </c>
      <c r="U232" s="269">
        <f t="shared" si="54"/>
        <v>1252830.9730765624</v>
      </c>
      <c r="V232" s="269">
        <f t="shared" si="55"/>
        <v>1252830.9730765624</v>
      </c>
      <c r="W232" s="269">
        <f t="shared" si="56"/>
        <v>1252830.9730765624</v>
      </c>
      <c r="X232" s="257">
        <f t="shared" si="57"/>
        <v>1252830.9730765624</v>
      </c>
      <c r="Y232" s="270">
        <f>IF(L232="Complex",(INDEX('Escalators '!$M$176:$S$176,MATCH('Forecast capex'!J232,'Escalators '!$M$178:$S$178,0))/12+1)^((K232-J232)*12)-1,0)</f>
        <v>3.5566952945970565E-2</v>
      </c>
      <c r="Z232" s="257">
        <f t="shared" si="58"/>
        <v>44559.38026866861</v>
      </c>
      <c r="AA232" s="257">
        <f t="shared" si="59"/>
        <v>44559.38026866861</v>
      </c>
      <c r="AB232" s="269">
        <f t="shared" si="60"/>
        <v>1297390.3533452309</v>
      </c>
      <c r="AC232" s="269">
        <f t="shared" si="61"/>
        <v>1297390.3533452309</v>
      </c>
      <c r="AD232" s="271" t="str">
        <f>INDEX('Global inputs'!$C$134:$C$171,MATCH(F232,'Global inputs'!$B$134:$B$171,0))</f>
        <v xml:space="preserve">System growth </v>
      </c>
      <c r="AE232" s="272">
        <f>IF(OR(H232='Operating leases'!$B$32,H232='Operating leases'!$B$33),"",INDEX('Global inputs'!$C$186:$C$243,MATCH(E232,'Global inputs'!$B$186:$B$243,0)))</f>
        <v>0.08</v>
      </c>
    </row>
    <row r="233" spans="1:31" s="27" customFormat="1" x14ac:dyDescent="0.2">
      <c r="A233" s="250"/>
      <c r="B233" s="210" t="s">
        <v>746</v>
      </c>
      <c r="C233" s="210" t="s">
        <v>286</v>
      </c>
      <c r="D233" s="210" t="s">
        <v>732</v>
      </c>
      <c r="E233" s="210" t="s">
        <v>143</v>
      </c>
      <c r="F233" s="210" t="s">
        <v>87</v>
      </c>
      <c r="G233" s="210" t="s">
        <v>734</v>
      </c>
      <c r="H233" s="197">
        <v>0</v>
      </c>
      <c r="I233" s="210" t="s">
        <v>142</v>
      </c>
      <c r="J233" s="210">
        <v>2020</v>
      </c>
      <c r="K233" s="210">
        <v>2021</v>
      </c>
      <c r="L233" s="268" t="str">
        <f t="shared" si="49"/>
        <v>Complex</v>
      </c>
      <c r="M233" s="197">
        <v>131876.94453437501</v>
      </c>
      <c r="N233" s="197">
        <v>0</v>
      </c>
      <c r="O233" s="257">
        <f>IF(ISNA(MATCH(H233,'Operating leases'!$B$32:$B$43,0)),0,INDEX('Operating leases'!$M$32:$S$43,MATCH(H233,'Operating leases'!$B$32:$B$43,0),MATCH(J233,'Operating leases'!$M$11:$S$11,0)))</f>
        <v>0</v>
      </c>
      <c r="P233" s="257">
        <f t="shared" si="50"/>
        <v>131876.94453437501</v>
      </c>
      <c r="Q233" s="257">
        <f t="shared" si="51"/>
        <v>131876.94453437501</v>
      </c>
      <c r="R233" s="258">
        <f>INDEX('Escalators '!$M$124:$S$129,MATCH(I233,'Escalators '!$B$124:$B$129,0),MATCH(J233,'Escalators '!$M$113:$S$113,0))</f>
        <v>1</v>
      </c>
      <c r="S233" s="257">
        <f t="shared" si="52"/>
        <v>0</v>
      </c>
      <c r="T233" s="257">
        <f t="shared" si="53"/>
        <v>0</v>
      </c>
      <c r="U233" s="269">
        <f t="shared" si="54"/>
        <v>131876.94453437501</v>
      </c>
      <c r="V233" s="269">
        <f t="shared" si="55"/>
        <v>131876.94453437501</v>
      </c>
      <c r="W233" s="269">
        <f t="shared" si="56"/>
        <v>131876.94453437501</v>
      </c>
      <c r="X233" s="257">
        <f t="shared" si="57"/>
        <v>131876.94453437501</v>
      </c>
      <c r="Y233" s="270">
        <f>IF(L233="Complex",(INDEX('Escalators '!$M$176:$S$176,MATCH('Forecast capex'!J233,'Escalators '!$M$178:$S$178,0))/12+1)^((K233-J233)*12)-1,0)</f>
        <v>3.5566952945970565E-2</v>
      </c>
      <c r="Z233" s="257">
        <f t="shared" si="58"/>
        <v>4690.4610809124861</v>
      </c>
      <c r="AA233" s="257">
        <f t="shared" si="59"/>
        <v>4690.4610809124861</v>
      </c>
      <c r="AB233" s="269">
        <f t="shared" si="60"/>
        <v>136567.40561528748</v>
      </c>
      <c r="AC233" s="269">
        <f t="shared" si="61"/>
        <v>136567.40561528748</v>
      </c>
      <c r="AD233" s="271" t="str">
        <f>INDEX('Global inputs'!$C$134:$C$171,MATCH(F233,'Global inputs'!$B$134:$B$171,0))</f>
        <v xml:space="preserve">System growth </v>
      </c>
      <c r="AE233" s="272">
        <f>IF(OR(H233='Operating leases'!$B$32,H233='Operating leases'!$B$33),"",INDEX('Global inputs'!$C$186:$C$243,MATCH(E233,'Global inputs'!$B$186:$B$243,0)))</f>
        <v>0.08</v>
      </c>
    </row>
    <row r="234" spans="1:31" s="27" customFormat="1" x14ac:dyDescent="0.2">
      <c r="A234" s="250"/>
      <c r="B234" s="210" t="s">
        <v>746</v>
      </c>
      <c r="C234" s="210" t="s">
        <v>286</v>
      </c>
      <c r="D234" s="210" t="s">
        <v>732</v>
      </c>
      <c r="E234" s="210" t="s">
        <v>143</v>
      </c>
      <c r="F234" s="210" t="s">
        <v>87</v>
      </c>
      <c r="G234" s="210" t="s">
        <v>734</v>
      </c>
      <c r="H234" s="197">
        <v>0</v>
      </c>
      <c r="I234" s="210" t="s">
        <v>221</v>
      </c>
      <c r="J234" s="210">
        <v>2020</v>
      </c>
      <c r="K234" s="210">
        <v>2021</v>
      </c>
      <c r="L234" s="268" t="str">
        <f t="shared" si="49"/>
        <v>Complex</v>
      </c>
      <c r="M234" s="197">
        <v>32969.236133593753</v>
      </c>
      <c r="N234" s="197">
        <v>0</v>
      </c>
      <c r="O234" s="257">
        <f>IF(ISNA(MATCH(H234,'Operating leases'!$B$32:$B$43,0)),0,INDEX('Operating leases'!$M$32:$S$43,MATCH(H234,'Operating leases'!$B$32:$B$43,0),MATCH(J234,'Operating leases'!$M$11:$S$11,0)))</f>
        <v>0</v>
      </c>
      <c r="P234" s="257">
        <f t="shared" si="50"/>
        <v>32969.236133593753</v>
      </c>
      <c r="Q234" s="257">
        <f t="shared" si="51"/>
        <v>32969.236133593753</v>
      </c>
      <c r="R234" s="258">
        <f>INDEX('Escalators '!$M$124:$S$129,MATCH(I234,'Escalators '!$B$124:$B$129,0),MATCH(J234,'Escalators '!$M$113:$S$113,0))</f>
        <v>1</v>
      </c>
      <c r="S234" s="257">
        <f t="shared" si="52"/>
        <v>0</v>
      </c>
      <c r="T234" s="257">
        <f t="shared" si="53"/>
        <v>0</v>
      </c>
      <c r="U234" s="269">
        <f t="shared" si="54"/>
        <v>32969.236133593753</v>
      </c>
      <c r="V234" s="269">
        <f t="shared" si="55"/>
        <v>32969.236133593753</v>
      </c>
      <c r="W234" s="269">
        <f t="shared" si="56"/>
        <v>32969.236133593753</v>
      </c>
      <c r="X234" s="257">
        <f t="shared" si="57"/>
        <v>32969.236133593753</v>
      </c>
      <c r="Y234" s="270">
        <f>IF(L234="Complex",(INDEX('Escalators '!$M$176:$S$176,MATCH('Forecast capex'!J234,'Escalators '!$M$178:$S$178,0))/12+1)^((K234-J234)*12)-1,0)</f>
        <v>3.5566952945970565E-2</v>
      </c>
      <c r="Z234" s="257">
        <f t="shared" si="58"/>
        <v>1172.6152702281215</v>
      </c>
      <c r="AA234" s="257">
        <f t="shared" si="59"/>
        <v>1172.6152702281215</v>
      </c>
      <c r="AB234" s="269">
        <f t="shared" si="60"/>
        <v>34141.851403821871</v>
      </c>
      <c r="AC234" s="269">
        <f t="shared" si="61"/>
        <v>34141.851403821871</v>
      </c>
      <c r="AD234" s="271" t="str">
        <f>INDEX('Global inputs'!$C$134:$C$171,MATCH(F234,'Global inputs'!$B$134:$B$171,0))</f>
        <v xml:space="preserve">System growth </v>
      </c>
      <c r="AE234" s="272">
        <f>IF(OR(H234='Operating leases'!$B$32,H234='Operating leases'!$B$33),"",INDEX('Global inputs'!$C$186:$C$243,MATCH(E234,'Global inputs'!$B$186:$B$243,0)))</f>
        <v>0.08</v>
      </c>
    </row>
    <row r="235" spans="1:31" s="27" customFormat="1" x14ac:dyDescent="0.2">
      <c r="A235" s="250"/>
      <c r="B235" s="210" t="s">
        <v>714</v>
      </c>
      <c r="C235" s="210" t="s">
        <v>284</v>
      </c>
      <c r="D235" s="210" t="s">
        <v>715</v>
      </c>
      <c r="E235" s="210" t="s">
        <v>127</v>
      </c>
      <c r="F235" s="210" t="s">
        <v>92</v>
      </c>
      <c r="G235" s="210" t="s">
        <v>716</v>
      </c>
      <c r="H235" s="197">
        <v>0</v>
      </c>
      <c r="I235" s="210" t="s">
        <v>229</v>
      </c>
      <c r="J235" s="210">
        <v>2021</v>
      </c>
      <c r="K235" s="210">
        <v>2021</v>
      </c>
      <c r="L235" s="268" t="str">
        <f t="shared" si="49"/>
        <v>Simple</v>
      </c>
      <c r="M235" s="197">
        <v>6528.9732167617258</v>
      </c>
      <c r="N235" s="197">
        <v>9793.4598251425869</v>
      </c>
      <c r="O235" s="257">
        <f>IF(ISNA(MATCH(H235,'Operating leases'!$B$32:$B$43,0)),0,INDEX('Operating leases'!$M$32:$S$43,MATCH(H235,'Operating leases'!$B$32:$B$43,0),MATCH(J235,'Operating leases'!$M$11:$S$11,0)))</f>
        <v>0</v>
      </c>
      <c r="P235" s="257">
        <f t="shared" si="50"/>
        <v>6528.9732167617258</v>
      </c>
      <c r="Q235" s="257">
        <f t="shared" si="51"/>
        <v>16322.433041904313</v>
      </c>
      <c r="R235" s="258">
        <f>INDEX('Escalators '!$M$124:$S$129,MATCH(I235,'Escalators '!$B$124:$B$129,0),MATCH(J235,'Escalators '!$M$113:$S$113,0))</f>
        <v>1.0206154571717865</v>
      </c>
      <c r="S235" s="257">
        <f t="shared" si="52"/>
        <v>0</v>
      </c>
      <c r="T235" s="257">
        <f t="shared" si="53"/>
        <v>9995.3564767314256</v>
      </c>
      <c r="U235" s="269">
        <f t="shared" si="54"/>
        <v>6663.5709844876164</v>
      </c>
      <c r="V235" s="269">
        <f t="shared" si="55"/>
        <v>16658.927461219042</v>
      </c>
      <c r="W235" s="269">
        <f t="shared" si="56"/>
        <v>6663.5709844876164</v>
      </c>
      <c r="X235" s="257">
        <f t="shared" si="57"/>
        <v>16658.927461219042</v>
      </c>
      <c r="Y235" s="270">
        <f>IF(L235="Complex",(INDEX('Escalators '!$M$176:$S$176,MATCH('Forecast capex'!J235,'Escalators '!$M$178:$S$178,0))/12+1)^((K235-J235)*12)-1,0)</f>
        <v>0</v>
      </c>
      <c r="Z235" s="257">
        <f t="shared" si="58"/>
        <v>0</v>
      </c>
      <c r="AA235" s="257">
        <f t="shared" si="59"/>
        <v>0</v>
      </c>
      <c r="AB235" s="269">
        <f t="shared" si="60"/>
        <v>0</v>
      </c>
      <c r="AC235" s="269">
        <f t="shared" si="61"/>
        <v>0</v>
      </c>
      <c r="AD235" s="271" t="str">
        <f>INDEX('Global inputs'!$C$134:$C$171,MATCH(F235,'Global inputs'!$B$134:$B$171,0))</f>
        <v>Asset relocations and undergrounding</v>
      </c>
      <c r="AE235" s="272">
        <f>IF(OR(H235='Operating leases'!$B$32,H235='Operating leases'!$B$33),"",INDEX('Global inputs'!$C$186:$C$243,MATCH(E235,'Global inputs'!$B$186:$B$243,0)))</f>
        <v>0.08</v>
      </c>
    </row>
    <row r="236" spans="1:31" s="27" customFormat="1" x14ac:dyDescent="0.2">
      <c r="A236" s="250"/>
      <c r="B236" s="210" t="s">
        <v>714</v>
      </c>
      <c r="C236" s="210" t="s">
        <v>284</v>
      </c>
      <c r="D236" s="210" t="s">
        <v>715</v>
      </c>
      <c r="E236" s="210" t="s">
        <v>127</v>
      </c>
      <c r="F236" s="210" t="s">
        <v>92</v>
      </c>
      <c r="G236" s="210" t="s">
        <v>716</v>
      </c>
      <c r="H236" s="197">
        <v>0</v>
      </c>
      <c r="I236" s="210" t="s">
        <v>221</v>
      </c>
      <c r="J236" s="210">
        <v>2021</v>
      </c>
      <c r="K236" s="210">
        <v>2021</v>
      </c>
      <c r="L236" s="268" t="str">
        <f t="shared" si="49"/>
        <v>Simple</v>
      </c>
      <c r="M236" s="197">
        <v>6528.9732167617258</v>
      </c>
      <c r="N236" s="197">
        <v>9793.4598251425869</v>
      </c>
      <c r="O236" s="257">
        <f>IF(ISNA(MATCH(H236,'Operating leases'!$B$32:$B$43,0)),0,INDEX('Operating leases'!$M$32:$S$43,MATCH(H236,'Operating leases'!$B$32:$B$43,0),MATCH(J236,'Operating leases'!$M$11:$S$11,0)))</f>
        <v>0</v>
      </c>
      <c r="P236" s="257">
        <f t="shared" si="50"/>
        <v>6528.9732167617258</v>
      </c>
      <c r="Q236" s="257">
        <f t="shared" si="51"/>
        <v>16322.433041904313</v>
      </c>
      <c r="R236" s="258">
        <f>INDEX('Escalators '!$M$124:$S$129,MATCH(I236,'Escalators '!$B$124:$B$129,0),MATCH(J236,'Escalators '!$M$113:$S$113,0))</f>
        <v>1.0120900655357943</v>
      </c>
      <c r="S236" s="257">
        <f t="shared" si="52"/>
        <v>0</v>
      </c>
      <c r="T236" s="257">
        <f t="shared" si="53"/>
        <v>9911.8633962507283</v>
      </c>
      <c r="U236" s="269">
        <f t="shared" si="54"/>
        <v>6607.9089308338207</v>
      </c>
      <c r="V236" s="269">
        <f t="shared" si="55"/>
        <v>16519.772327084549</v>
      </c>
      <c r="W236" s="269">
        <f t="shared" si="56"/>
        <v>6607.9089308338207</v>
      </c>
      <c r="X236" s="257">
        <f t="shared" si="57"/>
        <v>16519.772327084549</v>
      </c>
      <c r="Y236" s="270">
        <f>IF(L236="Complex",(INDEX('Escalators '!$M$176:$S$176,MATCH('Forecast capex'!J236,'Escalators '!$M$178:$S$178,0))/12+1)^((K236-J236)*12)-1,0)</f>
        <v>0</v>
      </c>
      <c r="Z236" s="257">
        <f t="shared" si="58"/>
        <v>0</v>
      </c>
      <c r="AA236" s="257">
        <f t="shared" si="59"/>
        <v>0</v>
      </c>
      <c r="AB236" s="269">
        <f t="shared" si="60"/>
        <v>0</v>
      </c>
      <c r="AC236" s="269">
        <f t="shared" si="61"/>
        <v>0</v>
      </c>
      <c r="AD236" s="271" t="str">
        <f>INDEX('Global inputs'!$C$134:$C$171,MATCH(F236,'Global inputs'!$B$134:$B$171,0))</f>
        <v>Asset relocations and undergrounding</v>
      </c>
      <c r="AE236" s="272">
        <f>IF(OR(H236='Operating leases'!$B$32,H236='Operating leases'!$B$33),"",INDEX('Global inputs'!$C$186:$C$243,MATCH(E236,'Global inputs'!$B$186:$B$243,0)))</f>
        <v>0.08</v>
      </c>
    </row>
    <row r="237" spans="1:31" s="27" customFormat="1" x14ac:dyDescent="0.2">
      <c r="A237" s="250"/>
      <c r="B237" s="210" t="s">
        <v>714</v>
      </c>
      <c r="C237" s="210" t="s">
        <v>284</v>
      </c>
      <c r="D237" s="210" t="s">
        <v>715</v>
      </c>
      <c r="E237" s="210" t="s">
        <v>129</v>
      </c>
      <c r="F237" s="210" t="s">
        <v>92</v>
      </c>
      <c r="G237" s="210" t="s">
        <v>716</v>
      </c>
      <c r="H237" s="197">
        <v>0</v>
      </c>
      <c r="I237" s="210" t="s">
        <v>229</v>
      </c>
      <c r="J237" s="210">
        <v>2021</v>
      </c>
      <c r="K237" s="210">
        <v>2021</v>
      </c>
      <c r="L237" s="268" t="str">
        <f t="shared" si="49"/>
        <v>Simple</v>
      </c>
      <c r="M237" s="197">
        <v>6528.9732167617258</v>
      </c>
      <c r="N237" s="197">
        <v>9793.4598251425869</v>
      </c>
      <c r="O237" s="257">
        <f>IF(ISNA(MATCH(H237,'Operating leases'!$B$32:$B$43,0)),0,INDEX('Operating leases'!$M$32:$S$43,MATCH(H237,'Operating leases'!$B$32:$B$43,0),MATCH(J237,'Operating leases'!$M$11:$S$11,0)))</f>
        <v>0</v>
      </c>
      <c r="P237" s="257">
        <f t="shared" si="50"/>
        <v>6528.9732167617258</v>
      </c>
      <c r="Q237" s="257">
        <f t="shared" si="51"/>
        <v>16322.433041904313</v>
      </c>
      <c r="R237" s="258">
        <f>INDEX('Escalators '!$M$124:$S$129,MATCH(I237,'Escalators '!$B$124:$B$129,0),MATCH(J237,'Escalators '!$M$113:$S$113,0))</f>
        <v>1.0206154571717865</v>
      </c>
      <c r="S237" s="257">
        <f t="shared" si="52"/>
        <v>0</v>
      </c>
      <c r="T237" s="257">
        <f t="shared" si="53"/>
        <v>9995.3564767314256</v>
      </c>
      <c r="U237" s="269">
        <f t="shared" si="54"/>
        <v>6663.5709844876164</v>
      </c>
      <c r="V237" s="269">
        <f t="shared" si="55"/>
        <v>16658.927461219042</v>
      </c>
      <c r="W237" s="269">
        <f t="shared" si="56"/>
        <v>6663.5709844876164</v>
      </c>
      <c r="X237" s="257">
        <f t="shared" si="57"/>
        <v>16658.927461219042</v>
      </c>
      <c r="Y237" s="270">
        <f>IF(L237="Complex",(INDEX('Escalators '!$M$176:$S$176,MATCH('Forecast capex'!J237,'Escalators '!$M$178:$S$178,0))/12+1)^((K237-J237)*12)-1,0)</f>
        <v>0</v>
      </c>
      <c r="Z237" s="257">
        <f t="shared" si="58"/>
        <v>0</v>
      </c>
      <c r="AA237" s="257">
        <f t="shared" si="59"/>
        <v>0</v>
      </c>
      <c r="AB237" s="269">
        <f t="shared" si="60"/>
        <v>0</v>
      </c>
      <c r="AC237" s="269">
        <f t="shared" si="61"/>
        <v>0</v>
      </c>
      <c r="AD237" s="271" t="str">
        <f>INDEX('Global inputs'!$C$134:$C$171,MATCH(F237,'Global inputs'!$B$134:$B$171,0))</f>
        <v>Asset relocations and undergrounding</v>
      </c>
      <c r="AE237" s="272">
        <f>IF(OR(H237='Operating leases'!$B$32,H237='Operating leases'!$B$33),"",INDEX('Global inputs'!$C$186:$C$243,MATCH(E237,'Global inputs'!$B$186:$B$243,0)))</f>
        <v>0.1</v>
      </c>
    </row>
    <row r="238" spans="1:31" s="27" customFormat="1" x14ac:dyDescent="0.2">
      <c r="A238" s="250"/>
      <c r="B238" s="210" t="s">
        <v>714</v>
      </c>
      <c r="C238" s="210" t="s">
        <v>284</v>
      </c>
      <c r="D238" s="210" t="s">
        <v>715</v>
      </c>
      <c r="E238" s="210" t="s">
        <v>129</v>
      </c>
      <c r="F238" s="210" t="s">
        <v>92</v>
      </c>
      <c r="G238" s="210" t="s">
        <v>716</v>
      </c>
      <c r="H238" s="197">
        <v>0</v>
      </c>
      <c r="I238" s="210" t="s">
        <v>221</v>
      </c>
      <c r="J238" s="210">
        <v>2021</v>
      </c>
      <c r="K238" s="210">
        <v>2021</v>
      </c>
      <c r="L238" s="268" t="str">
        <f t="shared" si="49"/>
        <v>Simple</v>
      </c>
      <c r="M238" s="197">
        <v>6528.9732167617258</v>
      </c>
      <c r="N238" s="197">
        <v>9793.4598251425869</v>
      </c>
      <c r="O238" s="257">
        <f>IF(ISNA(MATCH(H238,'Operating leases'!$B$32:$B$43,0)),0,INDEX('Operating leases'!$M$32:$S$43,MATCH(H238,'Operating leases'!$B$32:$B$43,0),MATCH(J238,'Operating leases'!$M$11:$S$11,0)))</f>
        <v>0</v>
      </c>
      <c r="P238" s="257">
        <f t="shared" si="50"/>
        <v>6528.9732167617258</v>
      </c>
      <c r="Q238" s="257">
        <f t="shared" si="51"/>
        <v>16322.433041904313</v>
      </c>
      <c r="R238" s="258">
        <f>INDEX('Escalators '!$M$124:$S$129,MATCH(I238,'Escalators '!$B$124:$B$129,0),MATCH(J238,'Escalators '!$M$113:$S$113,0))</f>
        <v>1.0120900655357943</v>
      </c>
      <c r="S238" s="257">
        <f t="shared" si="52"/>
        <v>0</v>
      </c>
      <c r="T238" s="257">
        <f t="shared" si="53"/>
        <v>9911.8633962507283</v>
      </c>
      <c r="U238" s="269">
        <f t="shared" si="54"/>
        <v>6607.9089308338207</v>
      </c>
      <c r="V238" s="269">
        <f t="shared" si="55"/>
        <v>16519.772327084549</v>
      </c>
      <c r="W238" s="269">
        <f t="shared" si="56"/>
        <v>6607.9089308338207</v>
      </c>
      <c r="X238" s="257">
        <f t="shared" si="57"/>
        <v>16519.772327084549</v>
      </c>
      <c r="Y238" s="270">
        <f>IF(L238="Complex",(INDEX('Escalators '!$M$176:$S$176,MATCH('Forecast capex'!J238,'Escalators '!$M$178:$S$178,0))/12+1)^((K238-J238)*12)-1,0)</f>
        <v>0</v>
      </c>
      <c r="Z238" s="257">
        <f t="shared" si="58"/>
        <v>0</v>
      </c>
      <c r="AA238" s="257">
        <f t="shared" si="59"/>
        <v>0</v>
      </c>
      <c r="AB238" s="269">
        <f t="shared" si="60"/>
        <v>0</v>
      </c>
      <c r="AC238" s="269">
        <f t="shared" si="61"/>
        <v>0</v>
      </c>
      <c r="AD238" s="271" t="str">
        <f>INDEX('Global inputs'!$C$134:$C$171,MATCH(F238,'Global inputs'!$B$134:$B$171,0))</f>
        <v>Asset relocations and undergrounding</v>
      </c>
      <c r="AE238" s="272">
        <f>IF(OR(H238='Operating leases'!$B$32,H238='Operating leases'!$B$33),"",INDEX('Global inputs'!$C$186:$C$243,MATCH(E238,'Global inputs'!$B$186:$B$243,0)))</f>
        <v>0.1</v>
      </c>
    </row>
    <row r="239" spans="1:31" s="27" customFormat="1" x14ac:dyDescent="0.2">
      <c r="A239" s="250"/>
      <c r="B239" s="210" t="s">
        <v>714</v>
      </c>
      <c r="C239" s="210" t="s">
        <v>287</v>
      </c>
      <c r="D239" s="210" t="s">
        <v>715</v>
      </c>
      <c r="E239" s="210" t="s">
        <v>150</v>
      </c>
      <c r="F239" s="210" t="s">
        <v>92</v>
      </c>
      <c r="G239" s="210" t="s">
        <v>716</v>
      </c>
      <c r="H239" s="197">
        <v>0</v>
      </c>
      <c r="I239" s="210" t="s">
        <v>229</v>
      </c>
      <c r="J239" s="210">
        <v>2021</v>
      </c>
      <c r="K239" s="210">
        <v>2021</v>
      </c>
      <c r="L239" s="268" t="str">
        <f t="shared" si="49"/>
        <v>Simple</v>
      </c>
      <c r="M239" s="197">
        <v>26115.892867046903</v>
      </c>
      <c r="N239" s="197">
        <v>39173.839300570347</v>
      </c>
      <c r="O239" s="257">
        <f>IF(ISNA(MATCH(H239,'Operating leases'!$B$32:$B$43,0)),0,INDEX('Operating leases'!$M$32:$S$43,MATCH(H239,'Operating leases'!$B$32:$B$43,0),MATCH(J239,'Operating leases'!$M$11:$S$11,0)))</f>
        <v>0</v>
      </c>
      <c r="P239" s="257">
        <f t="shared" si="50"/>
        <v>26115.892867046903</v>
      </c>
      <c r="Q239" s="257">
        <f t="shared" si="51"/>
        <v>65289.732167617251</v>
      </c>
      <c r="R239" s="258">
        <f>INDEX('Escalators '!$M$124:$S$129,MATCH(I239,'Escalators '!$B$124:$B$129,0),MATCH(J239,'Escalators '!$M$113:$S$113,0))</f>
        <v>1.0206154571717865</v>
      </c>
      <c r="S239" s="257">
        <f t="shared" si="52"/>
        <v>0</v>
      </c>
      <c r="T239" s="257">
        <f t="shared" si="53"/>
        <v>39981.425906925702</v>
      </c>
      <c r="U239" s="269">
        <f t="shared" si="54"/>
        <v>26654.283937950466</v>
      </c>
      <c r="V239" s="269">
        <f t="shared" si="55"/>
        <v>66635.709844876168</v>
      </c>
      <c r="W239" s="269">
        <f t="shared" si="56"/>
        <v>26654.283937950466</v>
      </c>
      <c r="X239" s="257">
        <f t="shared" si="57"/>
        <v>66635.709844876168</v>
      </c>
      <c r="Y239" s="270">
        <f>IF(L239="Complex",(INDEX('Escalators '!$M$176:$S$176,MATCH('Forecast capex'!J239,'Escalators '!$M$178:$S$178,0))/12+1)^((K239-J239)*12)-1,0)</f>
        <v>0</v>
      </c>
      <c r="Z239" s="257">
        <f t="shared" si="58"/>
        <v>0</v>
      </c>
      <c r="AA239" s="257">
        <f t="shared" si="59"/>
        <v>0</v>
      </c>
      <c r="AB239" s="269">
        <f t="shared" si="60"/>
        <v>0</v>
      </c>
      <c r="AC239" s="269">
        <f t="shared" si="61"/>
        <v>0</v>
      </c>
      <c r="AD239" s="271" t="str">
        <f>INDEX('Global inputs'!$C$134:$C$171,MATCH(F239,'Global inputs'!$B$134:$B$171,0))</f>
        <v>Asset relocations and undergrounding</v>
      </c>
      <c r="AE239" s="272">
        <f>IF(OR(H239='Operating leases'!$B$32,H239='Operating leases'!$B$33),"",INDEX('Global inputs'!$C$186:$C$243,MATCH(E239,'Global inputs'!$B$186:$B$243,0)))</f>
        <v>0.08</v>
      </c>
    </row>
    <row r="240" spans="1:31" s="27" customFormat="1" x14ac:dyDescent="0.2">
      <c r="A240" s="250"/>
      <c r="B240" s="210" t="s">
        <v>714</v>
      </c>
      <c r="C240" s="210" t="s">
        <v>287</v>
      </c>
      <c r="D240" s="210" t="s">
        <v>715</v>
      </c>
      <c r="E240" s="210" t="s">
        <v>150</v>
      </c>
      <c r="F240" s="210" t="s">
        <v>92</v>
      </c>
      <c r="G240" s="210" t="s">
        <v>716</v>
      </c>
      <c r="H240" s="197">
        <v>0</v>
      </c>
      <c r="I240" s="210" t="s">
        <v>221</v>
      </c>
      <c r="J240" s="210">
        <v>2021</v>
      </c>
      <c r="K240" s="210">
        <v>2021</v>
      </c>
      <c r="L240" s="268" t="str">
        <f t="shared" si="49"/>
        <v>Simple</v>
      </c>
      <c r="M240" s="197">
        <v>26115.892867046903</v>
      </c>
      <c r="N240" s="197">
        <v>39173.839300570347</v>
      </c>
      <c r="O240" s="257">
        <f>IF(ISNA(MATCH(H240,'Operating leases'!$B$32:$B$43,0)),0,INDEX('Operating leases'!$M$32:$S$43,MATCH(H240,'Operating leases'!$B$32:$B$43,0),MATCH(J240,'Operating leases'!$M$11:$S$11,0)))</f>
        <v>0</v>
      </c>
      <c r="P240" s="257">
        <f t="shared" si="50"/>
        <v>26115.892867046903</v>
      </c>
      <c r="Q240" s="257">
        <f t="shared" si="51"/>
        <v>65289.732167617251</v>
      </c>
      <c r="R240" s="258">
        <f>INDEX('Escalators '!$M$124:$S$129,MATCH(I240,'Escalators '!$B$124:$B$129,0),MATCH(J240,'Escalators '!$M$113:$S$113,0))</f>
        <v>1.0120900655357943</v>
      </c>
      <c r="S240" s="257">
        <f t="shared" si="52"/>
        <v>0</v>
      </c>
      <c r="T240" s="257">
        <f t="shared" si="53"/>
        <v>39647.453585002913</v>
      </c>
      <c r="U240" s="269">
        <f t="shared" si="54"/>
        <v>26431.635723335283</v>
      </c>
      <c r="V240" s="269">
        <f t="shared" si="55"/>
        <v>66079.089308338196</v>
      </c>
      <c r="W240" s="269">
        <f t="shared" si="56"/>
        <v>26431.635723335283</v>
      </c>
      <c r="X240" s="257">
        <f t="shared" si="57"/>
        <v>66079.089308338196</v>
      </c>
      <c r="Y240" s="270">
        <f>IF(L240="Complex",(INDEX('Escalators '!$M$176:$S$176,MATCH('Forecast capex'!J240,'Escalators '!$M$178:$S$178,0))/12+1)^((K240-J240)*12)-1,0)</f>
        <v>0</v>
      </c>
      <c r="Z240" s="257">
        <f t="shared" si="58"/>
        <v>0</v>
      </c>
      <c r="AA240" s="257">
        <f t="shared" si="59"/>
        <v>0</v>
      </c>
      <c r="AB240" s="269">
        <f t="shared" si="60"/>
        <v>0</v>
      </c>
      <c r="AC240" s="269">
        <f t="shared" si="61"/>
        <v>0</v>
      </c>
      <c r="AD240" s="271" t="str">
        <f>INDEX('Global inputs'!$C$134:$C$171,MATCH(F240,'Global inputs'!$B$134:$B$171,0))</f>
        <v>Asset relocations and undergrounding</v>
      </c>
      <c r="AE240" s="272">
        <f>IF(OR(H240='Operating leases'!$B$32,H240='Operating leases'!$B$33),"",INDEX('Global inputs'!$C$186:$C$243,MATCH(E240,'Global inputs'!$B$186:$B$243,0)))</f>
        <v>0.08</v>
      </c>
    </row>
    <row r="241" spans="1:31" s="27" customFormat="1" x14ac:dyDescent="0.2">
      <c r="A241" s="250"/>
      <c r="B241" s="210" t="s">
        <v>714</v>
      </c>
      <c r="C241" s="210" t="s">
        <v>287</v>
      </c>
      <c r="D241" s="210" t="s">
        <v>715</v>
      </c>
      <c r="E241" s="210" t="s">
        <v>151</v>
      </c>
      <c r="F241" s="210" t="s">
        <v>92</v>
      </c>
      <c r="G241" s="210" t="s">
        <v>716</v>
      </c>
      <c r="H241" s="197">
        <v>0</v>
      </c>
      <c r="I241" s="210" t="s">
        <v>229</v>
      </c>
      <c r="J241" s="210">
        <v>2021</v>
      </c>
      <c r="K241" s="210">
        <v>2021</v>
      </c>
      <c r="L241" s="268" t="str">
        <f t="shared" si="49"/>
        <v>Simple</v>
      </c>
      <c r="M241" s="197">
        <v>26115.892867046903</v>
      </c>
      <c r="N241" s="197">
        <v>39173.839300570347</v>
      </c>
      <c r="O241" s="257">
        <f>IF(ISNA(MATCH(H241,'Operating leases'!$B$32:$B$43,0)),0,INDEX('Operating leases'!$M$32:$S$43,MATCH(H241,'Operating leases'!$B$32:$B$43,0),MATCH(J241,'Operating leases'!$M$11:$S$11,0)))</f>
        <v>0</v>
      </c>
      <c r="P241" s="257">
        <f t="shared" si="50"/>
        <v>26115.892867046903</v>
      </c>
      <c r="Q241" s="257">
        <f t="shared" si="51"/>
        <v>65289.732167617251</v>
      </c>
      <c r="R241" s="258">
        <f>INDEX('Escalators '!$M$124:$S$129,MATCH(I241,'Escalators '!$B$124:$B$129,0),MATCH(J241,'Escalators '!$M$113:$S$113,0))</f>
        <v>1.0206154571717865</v>
      </c>
      <c r="S241" s="257">
        <f t="shared" si="52"/>
        <v>0</v>
      </c>
      <c r="T241" s="257">
        <f t="shared" si="53"/>
        <v>39981.425906925702</v>
      </c>
      <c r="U241" s="269">
        <f t="shared" si="54"/>
        <v>26654.283937950466</v>
      </c>
      <c r="V241" s="269">
        <f t="shared" si="55"/>
        <v>66635.709844876168</v>
      </c>
      <c r="W241" s="269">
        <f t="shared" si="56"/>
        <v>26654.283937950466</v>
      </c>
      <c r="X241" s="257">
        <f t="shared" si="57"/>
        <v>66635.709844876168</v>
      </c>
      <c r="Y241" s="270">
        <f>IF(L241="Complex",(INDEX('Escalators '!$M$176:$S$176,MATCH('Forecast capex'!J241,'Escalators '!$M$178:$S$178,0))/12+1)^((K241-J241)*12)-1,0)</f>
        <v>0</v>
      </c>
      <c r="Z241" s="257">
        <f t="shared" si="58"/>
        <v>0</v>
      </c>
      <c r="AA241" s="257">
        <f t="shared" si="59"/>
        <v>0</v>
      </c>
      <c r="AB241" s="269">
        <f t="shared" si="60"/>
        <v>0</v>
      </c>
      <c r="AC241" s="269">
        <f t="shared" si="61"/>
        <v>0</v>
      </c>
      <c r="AD241" s="271" t="str">
        <f>INDEX('Global inputs'!$C$134:$C$171,MATCH(F241,'Global inputs'!$B$134:$B$171,0))</f>
        <v>Asset relocations and undergrounding</v>
      </c>
      <c r="AE241" s="272">
        <f>IF(OR(H241='Operating leases'!$B$32,H241='Operating leases'!$B$33),"",INDEX('Global inputs'!$C$186:$C$243,MATCH(E241,'Global inputs'!$B$186:$B$243,0)))</f>
        <v>0.1</v>
      </c>
    </row>
    <row r="242" spans="1:31" s="27" customFormat="1" x14ac:dyDescent="0.2">
      <c r="A242" s="250"/>
      <c r="B242" s="210" t="s">
        <v>714</v>
      </c>
      <c r="C242" s="210" t="s">
        <v>287</v>
      </c>
      <c r="D242" s="210" t="s">
        <v>715</v>
      </c>
      <c r="E242" s="210" t="s">
        <v>151</v>
      </c>
      <c r="F242" s="210" t="s">
        <v>92</v>
      </c>
      <c r="G242" s="210" t="s">
        <v>716</v>
      </c>
      <c r="H242" s="197">
        <v>0</v>
      </c>
      <c r="I242" s="210" t="s">
        <v>221</v>
      </c>
      <c r="J242" s="210">
        <v>2021</v>
      </c>
      <c r="K242" s="210">
        <v>2021</v>
      </c>
      <c r="L242" s="268" t="str">
        <f t="shared" si="49"/>
        <v>Simple</v>
      </c>
      <c r="M242" s="197">
        <v>26115.892867046903</v>
      </c>
      <c r="N242" s="197">
        <v>39173.839300570347</v>
      </c>
      <c r="O242" s="257">
        <f>IF(ISNA(MATCH(H242,'Operating leases'!$B$32:$B$43,0)),0,INDEX('Operating leases'!$M$32:$S$43,MATCH(H242,'Operating leases'!$B$32:$B$43,0),MATCH(J242,'Operating leases'!$M$11:$S$11,0)))</f>
        <v>0</v>
      </c>
      <c r="P242" s="257">
        <f t="shared" si="50"/>
        <v>26115.892867046903</v>
      </c>
      <c r="Q242" s="257">
        <f t="shared" si="51"/>
        <v>65289.732167617251</v>
      </c>
      <c r="R242" s="258">
        <f>INDEX('Escalators '!$M$124:$S$129,MATCH(I242,'Escalators '!$B$124:$B$129,0),MATCH(J242,'Escalators '!$M$113:$S$113,0))</f>
        <v>1.0120900655357943</v>
      </c>
      <c r="S242" s="257">
        <f t="shared" si="52"/>
        <v>0</v>
      </c>
      <c r="T242" s="257">
        <f t="shared" si="53"/>
        <v>39647.453585002913</v>
      </c>
      <c r="U242" s="269">
        <f t="shared" si="54"/>
        <v>26431.635723335283</v>
      </c>
      <c r="V242" s="269">
        <f t="shared" si="55"/>
        <v>66079.089308338196</v>
      </c>
      <c r="W242" s="269">
        <f t="shared" si="56"/>
        <v>26431.635723335283</v>
      </c>
      <c r="X242" s="257">
        <f t="shared" si="57"/>
        <v>66079.089308338196</v>
      </c>
      <c r="Y242" s="270">
        <f>IF(L242="Complex",(INDEX('Escalators '!$M$176:$S$176,MATCH('Forecast capex'!J242,'Escalators '!$M$178:$S$178,0))/12+1)^((K242-J242)*12)-1,0)</f>
        <v>0</v>
      </c>
      <c r="Z242" s="257">
        <f t="shared" si="58"/>
        <v>0</v>
      </c>
      <c r="AA242" s="257">
        <f t="shared" si="59"/>
        <v>0</v>
      </c>
      <c r="AB242" s="269">
        <f t="shared" si="60"/>
        <v>0</v>
      </c>
      <c r="AC242" s="269">
        <f t="shared" si="61"/>
        <v>0</v>
      </c>
      <c r="AD242" s="271" t="str">
        <f>INDEX('Global inputs'!$C$134:$C$171,MATCH(F242,'Global inputs'!$B$134:$B$171,0))</f>
        <v>Asset relocations and undergrounding</v>
      </c>
      <c r="AE242" s="272">
        <f>IF(OR(H242='Operating leases'!$B$32,H242='Operating leases'!$B$33),"",INDEX('Global inputs'!$C$186:$C$243,MATCH(E242,'Global inputs'!$B$186:$B$243,0)))</f>
        <v>0.1</v>
      </c>
    </row>
    <row r="243" spans="1:31" s="27" customFormat="1" x14ac:dyDescent="0.2">
      <c r="A243" s="250"/>
      <c r="B243" s="210" t="s">
        <v>714</v>
      </c>
      <c r="C243" s="210" t="s">
        <v>287</v>
      </c>
      <c r="D243" s="210" t="s">
        <v>715</v>
      </c>
      <c r="E243" s="210" t="s">
        <v>153</v>
      </c>
      <c r="F243" s="210" t="s">
        <v>92</v>
      </c>
      <c r="G243" s="210" t="s">
        <v>716</v>
      </c>
      <c r="H243" s="197">
        <v>0</v>
      </c>
      <c r="I243" s="210" t="s">
        <v>229</v>
      </c>
      <c r="J243" s="210">
        <v>2021</v>
      </c>
      <c r="K243" s="210">
        <v>2021</v>
      </c>
      <c r="L243" s="268" t="str">
        <f t="shared" si="49"/>
        <v>Simple</v>
      </c>
      <c r="M243" s="197">
        <v>1187.0860394112231</v>
      </c>
      <c r="N243" s="197">
        <v>1780.6290591168345</v>
      </c>
      <c r="O243" s="257">
        <f>IF(ISNA(MATCH(H243,'Operating leases'!$B$32:$B$43,0)),0,INDEX('Operating leases'!$M$32:$S$43,MATCH(H243,'Operating leases'!$B$32:$B$43,0),MATCH(J243,'Operating leases'!$M$11:$S$11,0)))</f>
        <v>0</v>
      </c>
      <c r="P243" s="257">
        <f t="shared" si="50"/>
        <v>1187.0860394112231</v>
      </c>
      <c r="Q243" s="257">
        <f t="shared" si="51"/>
        <v>2967.7150985280578</v>
      </c>
      <c r="R243" s="258">
        <f>INDEX('Escalators '!$M$124:$S$129,MATCH(I243,'Escalators '!$B$124:$B$129,0),MATCH(J243,'Escalators '!$M$113:$S$113,0))</f>
        <v>1.0206154571717865</v>
      </c>
      <c r="S243" s="257">
        <f t="shared" si="52"/>
        <v>0</v>
      </c>
      <c r="T243" s="257">
        <f t="shared" si="53"/>
        <v>1817.3375412238961</v>
      </c>
      <c r="U243" s="269">
        <f t="shared" si="54"/>
        <v>1211.5583608159309</v>
      </c>
      <c r="V243" s="269">
        <f t="shared" si="55"/>
        <v>3028.895902039827</v>
      </c>
      <c r="W243" s="269">
        <f t="shared" si="56"/>
        <v>1211.5583608159309</v>
      </c>
      <c r="X243" s="257">
        <f t="shared" si="57"/>
        <v>3028.895902039827</v>
      </c>
      <c r="Y243" s="270">
        <f>IF(L243="Complex",(INDEX('Escalators '!$M$176:$S$176,MATCH('Forecast capex'!J243,'Escalators '!$M$178:$S$178,0))/12+1)^((K243-J243)*12)-1,0)</f>
        <v>0</v>
      </c>
      <c r="Z243" s="257">
        <f t="shared" si="58"/>
        <v>0</v>
      </c>
      <c r="AA243" s="257">
        <f t="shared" si="59"/>
        <v>0</v>
      </c>
      <c r="AB243" s="269">
        <f t="shared" si="60"/>
        <v>0</v>
      </c>
      <c r="AC243" s="269">
        <f t="shared" si="61"/>
        <v>0</v>
      </c>
      <c r="AD243" s="271" t="str">
        <f>INDEX('Global inputs'!$C$134:$C$171,MATCH(F243,'Global inputs'!$B$134:$B$171,0))</f>
        <v>Asset relocations and undergrounding</v>
      </c>
      <c r="AE243" s="272">
        <f>IF(OR(H243='Operating leases'!$B$32,H243='Operating leases'!$B$33),"",INDEX('Global inputs'!$C$186:$C$243,MATCH(E243,'Global inputs'!$B$186:$B$243,0)))</f>
        <v>0.08</v>
      </c>
    </row>
    <row r="244" spans="1:31" s="27" customFormat="1" x14ac:dyDescent="0.2">
      <c r="A244" s="250"/>
      <c r="B244" s="210" t="s">
        <v>714</v>
      </c>
      <c r="C244" s="210" t="s">
        <v>287</v>
      </c>
      <c r="D244" s="210" t="s">
        <v>715</v>
      </c>
      <c r="E244" s="210" t="s">
        <v>153</v>
      </c>
      <c r="F244" s="210" t="s">
        <v>92</v>
      </c>
      <c r="G244" s="210" t="s">
        <v>716</v>
      </c>
      <c r="H244" s="197">
        <v>0</v>
      </c>
      <c r="I244" s="210" t="s">
        <v>221</v>
      </c>
      <c r="J244" s="210">
        <v>2021</v>
      </c>
      <c r="K244" s="210">
        <v>2021</v>
      </c>
      <c r="L244" s="268" t="str">
        <f t="shared" si="49"/>
        <v>Simple</v>
      </c>
      <c r="M244" s="197">
        <v>1187.0860394112231</v>
      </c>
      <c r="N244" s="197">
        <v>1780.6290591168345</v>
      </c>
      <c r="O244" s="257">
        <f>IF(ISNA(MATCH(H244,'Operating leases'!$B$32:$B$43,0)),0,INDEX('Operating leases'!$M$32:$S$43,MATCH(H244,'Operating leases'!$B$32:$B$43,0),MATCH(J244,'Operating leases'!$M$11:$S$11,0)))</f>
        <v>0</v>
      </c>
      <c r="P244" s="257">
        <f t="shared" si="50"/>
        <v>1187.0860394112231</v>
      </c>
      <c r="Q244" s="257">
        <f t="shared" si="51"/>
        <v>2967.7150985280578</v>
      </c>
      <c r="R244" s="258">
        <f>INDEX('Escalators '!$M$124:$S$129,MATCH(I244,'Escalators '!$B$124:$B$129,0),MATCH(J244,'Escalators '!$M$113:$S$113,0))</f>
        <v>1.0120900655357943</v>
      </c>
      <c r="S244" s="257">
        <f t="shared" si="52"/>
        <v>0</v>
      </c>
      <c r="T244" s="257">
        <f t="shared" si="53"/>
        <v>1802.1569811364966</v>
      </c>
      <c r="U244" s="269">
        <f t="shared" si="54"/>
        <v>1201.4379874243314</v>
      </c>
      <c r="V244" s="269">
        <f t="shared" si="55"/>
        <v>3003.594968560828</v>
      </c>
      <c r="W244" s="269">
        <f t="shared" si="56"/>
        <v>1201.4379874243314</v>
      </c>
      <c r="X244" s="257">
        <f t="shared" si="57"/>
        <v>3003.594968560828</v>
      </c>
      <c r="Y244" s="270">
        <f>IF(L244="Complex",(INDEX('Escalators '!$M$176:$S$176,MATCH('Forecast capex'!J244,'Escalators '!$M$178:$S$178,0))/12+1)^((K244-J244)*12)-1,0)</f>
        <v>0</v>
      </c>
      <c r="Z244" s="257">
        <f t="shared" si="58"/>
        <v>0</v>
      </c>
      <c r="AA244" s="257">
        <f t="shared" si="59"/>
        <v>0</v>
      </c>
      <c r="AB244" s="269">
        <f t="shared" si="60"/>
        <v>0</v>
      </c>
      <c r="AC244" s="269">
        <f t="shared" si="61"/>
        <v>0</v>
      </c>
      <c r="AD244" s="271" t="str">
        <f>INDEX('Global inputs'!$C$134:$C$171,MATCH(F244,'Global inputs'!$B$134:$B$171,0))</f>
        <v>Asset relocations and undergrounding</v>
      </c>
      <c r="AE244" s="272">
        <f>IF(OR(H244='Operating leases'!$B$32,H244='Operating leases'!$B$33),"",INDEX('Global inputs'!$C$186:$C$243,MATCH(E244,'Global inputs'!$B$186:$B$243,0)))</f>
        <v>0.08</v>
      </c>
    </row>
    <row r="245" spans="1:31" s="27" customFormat="1" x14ac:dyDescent="0.2">
      <c r="A245" s="250"/>
      <c r="B245" s="210" t="s">
        <v>714</v>
      </c>
      <c r="C245" s="210" t="s">
        <v>287</v>
      </c>
      <c r="D245" s="210" t="s">
        <v>715</v>
      </c>
      <c r="E245" s="210" t="s">
        <v>154</v>
      </c>
      <c r="F245" s="210" t="s">
        <v>92</v>
      </c>
      <c r="G245" s="210" t="s">
        <v>716</v>
      </c>
      <c r="H245" s="197">
        <v>0</v>
      </c>
      <c r="I245" s="210" t="s">
        <v>229</v>
      </c>
      <c r="J245" s="210">
        <v>2021</v>
      </c>
      <c r="K245" s="210">
        <v>2021</v>
      </c>
      <c r="L245" s="268" t="str">
        <f t="shared" si="49"/>
        <v>Simple</v>
      </c>
      <c r="M245" s="197">
        <v>1187.0860394112231</v>
      </c>
      <c r="N245" s="197">
        <v>1780.6290591168345</v>
      </c>
      <c r="O245" s="257">
        <f>IF(ISNA(MATCH(H245,'Operating leases'!$B$32:$B$43,0)),0,INDEX('Operating leases'!$M$32:$S$43,MATCH(H245,'Operating leases'!$B$32:$B$43,0),MATCH(J245,'Operating leases'!$M$11:$S$11,0)))</f>
        <v>0</v>
      </c>
      <c r="P245" s="257">
        <f t="shared" si="50"/>
        <v>1187.0860394112231</v>
      </c>
      <c r="Q245" s="257">
        <f t="shared" si="51"/>
        <v>2967.7150985280578</v>
      </c>
      <c r="R245" s="258">
        <f>INDEX('Escalators '!$M$124:$S$129,MATCH(I245,'Escalators '!$B$124:$B$129,0),MATCH(J245,'Escalators '!$M$113:$S$113,0))</f>
        <v>1.0206154571717865</v>
      </c>
      <c r="S245" s="257">
        <f t="shared" si="52"/>
        <v>0</v>
      </c>
      <c r="T245" s="257">
        <f t="shared" si="53"/>
        <v>1817.3375412238961</v>
      </c>
      <c r="U245" s="269">
        <f t="shared" si="54"/>
        <v>1211.5583608159309</v>
      </c>
      <c r="V245" s="269">
        <f t="shared" si="55"/>
        <v>3028.895902039827</v>
      </c>
      <c r="W245" s="269">
        <f t="shared" si="56"/>
        <v>1211.5583608159309</v>
      </c>
      <c r="X245" s="257">
        <f t="shared" si="57"/>
        <v>3028.895902039827</v>
      </c>
      <c r="Y245" s="270">
        <f>IF(L245="Complex",(INDEX('Escalators '!$M$176:$S$176,MATCH('Forecast capex'!J245,'Escalators '!$M$178:$S$178,0))/12+1)^((K245-J245)*12)-1,0)</f>
        <v>0</v>
      </c>
      <c r="Z245" s="257">
        <f t="shared" si="58"/>
        <v>0</v>
      </c>
      <c r="AA245" s="257">
        <f t="shared" si="59"/>
        <v>0</v>
      </c>
      <c r="AB245" s="269">
        <f t="shared" si="60"/>
        <v>0</v>
      </c>
      <c r="AC245" s="269">
        <f t="shared" si="61"/>
        <v>0</v>
      </c>
      <c r="AD245" s="271" t="str">
        <f>INDEX('Global inputs'!$C$134:$C$171,MATCH(F245,'Global inputs'!$B$134:$B$171,0))</f>
        <v>Asset relocations and undergrounding</v>
      </c>
      <c r="AE245" s="272">
        <f>IF(OR(H245='Operating leases'!$B$32,H245='Operating leases'!$B$33),"",INDEX('Global inputs'!$C$186:$C$243,MATCH(E245,'Global inputs'!$B$186:$B$243,0)))</f>
        <v>0.1</v>
      </c>
    </row>
    <row r="246" spans="1:31" s="27" customFormat="1" x14ac:dyDescent="0.2">
      <c r="A246" s="250"/>
      <c r="B246" s="210" t="s">
        <v>714</v>
      </c>
      <c r="C246" s="210" t="s">
        <v>287</v>
      </c>
      <c r="D246" s="210" t="s">
        <v>715</v>
      </c>
      <c r="E246" s="210" t="s">
        <v>154</v>
      </c>
      <c r="F246" s="210" t="s">
        <v>92</v>
      </c>
      <c r="G246" s="210" t="s">
        <v>716</v>
      </c>
      <c r="H246" s="197">
        <v>0</v>
      </c>
      <c r="I246" s="210" t="s">
        <v>221</v>
      </c>
      <c r="J246" s="210">
        <v>2021</v>
      </c>
      <c r="K246" s="210">
        <v>2021</v>
      </c>
      <c r="L246" s="268" t="str">
        <f t="shared" si="49"/>
        <v>Simple</v>
      </c>
      <c r="M246" s="197">
        <v>1187.0860394112231</v>
      </c>
      <c r="N246" s="197">
        <v>1780.6290591168345</v>
      </c>
      <c r="O246" s="257">
        <f>IF(ISNA(MATCH(H246,'Operating leases'!$B$32:$B$43,0)),0,INDEX('Operating leases'!$M$32:$S$43,MATCH(H246,'Operating leases'!$B$32:$B$43,0),MATCH(J246,'Operating leases'!$M$11:$S$11,0)))</f>
        <v>0</v>
      </c>
      <c r="P246" s="257">
        <f t="shared" si="50"/>
        <v>1187.0860394112231</v>
      </c>
      <c r="Q246" s="257">
        <f t="shared" si="51"/>
        <v>2967.7150985280578</v>
      </c>
      <c r="R246" s="258">
        <f>INDEX('Escalators '!$M$124:$S$129,MATCH(I246,'Escalators '!$B$124:$B$129,0),MATCH(J246,'Escalators '!$M$113:$S$113,0))</f>
        <v>1.0120900655357943</v>
      </c>
      <c r="S246" s="257">
        <f t="shared" si="52"/>
        <v>0</v>
      </c>
      <c r="T246" s="257">
        <f t="shared" si="53"/>
        <v>1802.1569811364966</v>
      </c>
      <c r="U246" s="269">
        <f t="shared" si="54"/>
        <v>1201.4379874243314</v>
      </c>
      <c r="V246" s="269">
        <f t="shared" si="55"/>
        <v>3003.594968560828</v>
      </c>
      <c r="W246" s="269">
        <f t="shared" si="56"/>
        <v>1201.4379874243314</v>
      </c>
      <c r="X246" s="257">
        <f t="shared" si="57"/>
        <v>3003.594968560828</v>
      </c>
      <c r="Y246" s="270">
        <f>IF(L246="Complex",(INDEX('Escalators '!$M$176:$S$176,MATCH('Forecast capex'!J246,'Escalators '!$M$178:$S$178,0))/12+1)^((K246-J246)*12)-1,0)</f>
        <v>0</v>
      </c>
      <c r="Z246" s="257">
        <f t="shared" si="58"/>
        <v>0</v>
      </c>
      <c r="AA246" s="257">
        <f t="shared" si="59"/>
        <v>0</v>
      </c>
      <c r="AB246" s="269">
        <f t="shared" si="60"/>
        <v>0</v>
      </c>
      <c r="AC246" s="269">
        <f t="shared" si="61"/>
        <v>0</v>
      </c>
      <c r="AD246" s="271" t="str">
        <f>INDEX('Global inputs'!$C$134:$C$171,MATCH(F246,'Global inputs'!$B$134:$B$171,0))</f>
        <v>Asset relocations and undergrounding</v>
      </c>
      <c r="AE246" s="272">
        <f>IF(OR(H246='Operating leases'!$B$32,H246='Operating leases'!$B$33),"",INDEX('Global inputs'!$C$186:$C$243,MATCH(E246,'Global inputs'!$B$186:$B$243,0)))</f>
        <v>0.1</v>
      </c>
    </row>
    <row r="247" spans="1:31" s="27" customFormat="1" x14ac:dyDescent="0.2">
      <c r="A247" s="250"/>
      <c r="B247" s="210" t="s">
        <v>714</v>
      </c>
      <c r="C247" s="210" t="s">
        <v>284</v>
      </c>
      <c r="D247" s="210" t="s">
        <v>715</v>
      </c>
      <c r="E247" s="210" t="s">
        <v>127</v>
      </c>
      <c r="F247" s="210" t="s">
        <v>92</v>
      </c>
      <c r="G247" s="210" t="s">
        <v>717</v>
      </c>
      <c r="H247" s="197">
        <v>0</v>
      </c>
      <c r="I247" s="210" t="s">
        <v>229</v>
      </c>
      <c r="J247" s="210">
        <v>2021</v>
      </c>
      <c r="K247" s="210">
        <v>2021</v>
      </c>
      <c r="L247" s="268" t="str">
        <f t="shared" si="49"/>
        <v>Simple</v>
      </c>
      <c r="M247" s="197">
        <v>1780.6290591168345</v>
      </c>
      <c r="N247" s="197">
        <v>2670.9435886752512</v>
      </c>
      <c r="O247" s="257">
        <f>IF(ISNA(MATCH(H247,'Operating leases'!$B$32:$B$43,0)),0,INDEX('Operating leases'!$M$32:$S$43,MATCH(H247,'Operating leases'!$B$32:$B$43,0),MATCH(J247,'Operating leases'!$M$11:$S$11,0)))</f>
        <v>0</v>
      </c>
      <c r="P247" s="257">
        <f t="shared" si="50"/>
        <v>1780.6290591168345</v>
      </c>
      <c r="Q247" s="257">
        <f t="shared" si="51"/>
        <v>4451.5726477920853</v>
      </c>
      <c r="R247" s="258">
        <f>INDEX('Escalators '!$M$124:$S$129,MATCH(I247,'Escalators '!$B$124:$B$129,0),MATCH(J247,'Escalators '!$M$113:$S$113,0))</f>
        <v>1.0206154571717865</v>
      </c>
      <c r="S247" s="257">
        <f t="shared" si="52"/>
        <v>0</v>
      </c>
      <c r="T247" s="257">
        <f t="shared" si="53"/>
        <v>2726.0063118358435</v>
      </c>
      <c r="U247" s="269">
        <f t="shared" si="54"/>
        <v>1817.3375412238961</v>
      </c>
      <c r="V247" s="269">
        <f t="shared" si="55"/>
        <v>4543.3438530597396</v>
      </c>
      <c r="W247" s="269">
        <f t="shared" si="56"/>
        <v>1817.3375412238961</v>
      </c>
      <c r="X247" s="257">
        <f t="shared" si="57"/>
        <v>4543.3438530597396</v>
      </c>
      <c r="Y247" s="270">
        <f>IF(L247="Complex",(INDEX('Escalators '!$M$176:$S$176,MATCH('Forecast capex'!J247,'Escalators '!$M$178:$S$178,0))/12+1)^((K247-J247)*12)-1,0)</f>
        <v>0</v>
      </c>
      <c r="Z247" s="257">
        <f t="shared" si="58"/>
        <v>0</v>
      </c>
      <c r="AA247" s="257">
        <f t="shared" si="59"/>
        <v>0</v>
      </c>
      <c r="AB247" s="269">
        <f t="shared" si="60"/>
        <v>0</v>
      </c>
      <c r="AC247" s="269">
        <f t="shared" si="61"/>
        <v>0</v>
      </c>
      <c r="AD247" s="271" t="str">
        <f>INDEX('Global inputs'!$C$134:$C$171,MATCH(F247,'Global inputs'!$B$134:$B$171,0))</f>
        <v>Asset relocations and undergrounding</v>
      </c>
      <c r="AE247" s="272">
        <f>IF(OR(H247='Operating leases'!$B$32,H247='Operating leases'!$B$33),"",INDEX('Global inputs'!$C$186:$C$243,MATCH(E247,'Global inputs'!$B$186:$B$243,0)))</f>
        <v>0.08</v>
      </c>
    </row>
    <row r="248" spans="1:31" s="27" customFormat="1" x14ac:dyDescent="0.2">
      <c r="A248" s="250"/>
      <c r="B248" s="210" t="s">
        <v>714</v>
      </c>
      <c r="C248" s="210" t="s">
        <v>284</v>
      </c>
      <c r="D248" s="210" t="s">
        <v>715</v>
      </c>
      <c r="E248" s="210" t="s">
        <v>127</v>
      </c>
      <c r="F248" s="210" t="s">
        <v>92</v>
      </c>
      <c r="G248" s="210" t="s">
        <v>717</v>
      </c>
      <c r="H248" s="197">
        <v>0</v>
      </c>
      <c r="I248" s="210" t="s">
        <v>221</v>
      </c>
      <c r="J248" s="210">
        <v>2021</v>
      </c>
      <c r="K248" s="210">
        <v>2021</v>
      </c>
      <c r="L248" s="268" t="str">
        <f t="shared" si="49"/>
        <v>Simple</v>
      </c>
      <c r="M248" s="197">
        <v>1780.6290591168345</v>
      </c>
      <c r="N248" s="197">
        <v>2670.9435886752512</v>
      </c>
      <c r="O248" s="257">
        <f>IF(ISNA(MATCH(H248,'Operating leases'!$B$32:$B$43,0)),0,INDEX('Operating leases'!$M$32:$S$43,MATCH(H248,'Operating leases'!$B$32:$B$43,0),MATCH(J248,'Operating leases'!$M$11:$S$11,0)))</f>
        <v>0</v>
      </c>
      <c r="P248" s="257">
        <f t="shared" si="50"/>
        <v>1780.6290591168345</v>
      </c>
      <c r="Q248" s="257">
        <f t="shared" si="51"/>
        <v>4451.5726477920853</v>
      </c>
      <c r="R248" s="258">
        <f>INDEX('Escalators '!$M$124:$S$129,MATCH(I248,'Escalators '!$B$124:$B$129,0),MATCH(J248,'Escalators '!$M$113:$S$113,0))</f>
        <v>1.0120900655357943</v>
      </c>
      <c r="S248" s="257">
        <f t="shared" si="52"/>
        <v>0</v>
      </c>
      <c r="T248" s="257">
        <f t="shared" si="53"/>
        <v>2703.2354717047447</v>
      </c>
      <c r="U248" s="269">
        <f t="shared" si="54"/>
        <v>1802.1569811364961</v>
      </c>
      <c r="V248" s="269">
        <f t="shared" si="55"/>
        <v>4505.3924528412408</v>
      </c>
      <c r="W248" s="269">
        <f t="shared" si="56"/>
        <v>1802.1569811364961</v>
      </c>
      <c r="X248" s="257">
        <f t="shared" si="57"/>
        <v>4505.3924528412408</v>
      </c>
      <c r="Y248" s="270">
        <f>IF(L248="Complex",(INDEX('Escalators '!$M$176:$S$176,MATCH('Forecast capex'!J248,'Escalators '!$M$178:$S$178,0))/12+1)^((K248-J248)*12)-1,0)</f>
        <v>0</v>
      </c>
      <c r="Z248" s="257">
        <f t="shared" si="58"/>
        <v>0</v>
      </c>
      <c r="AA248" s="257">
        <f t="shared" si="59"/>
        <v>0</v>
      </c>
      <c r="AB248" s="269">
        <f t="shared" si="60"/>
        <v>0</v>
      </c>
      <c r="AC248" s="269">
        <f t="shared" si="61"/>
        <v>0</v>
      </c>
      <c r="AD248" s="271" t="str">
        <f>INDEX('Global inputs'!$C$134:$C$171,MATCH(F248,'Global inputs'!$B$134:$B$171,0))</f>
        <v>Asset relocations and undergrounding</v>
      </c>
      <c r="AE248" s="272">
        <f>IF(OR(H248='Operating leases'!$B$32,H248='Operating leases'!$B$33),"",INDEX('Global inputs'!$C$186:$C$243,MATCH(E248,'Global inputs'!$B$186:$B$243,0)))</f>
        <v>0.08</v>
      </c>
    </row>
    <row r="249" spans="1:31" s="27" customFormat="1" x14ac:dyDescent="0.2">
      <c r="A249" s="250"/>
      <c r="B249" s="210" t="s">
        <v>714</v>
      </c>
      <c r="C249" s="210" t="s">
        <v>284</v>
      </c>
      <c r="D249" s="210" t="s">
        <v>715</v>
      </c>
      <c r="E249" s="210" t="s">
        <v>129</v>
      </c>
      <c r="F249" s="210" t="s">
        <v>92</v>
      </c>
      <c r="G249" s="210" t="s">
        <v>717</v>
      </c>
      <c r="H249" s="197">
        <v>0</v>
      </c>
      <c r="I249" s="210" t="s">
        <v>229</v>
      </c>
      <c r="J249" s="210">
        <v>2021</v>
      </c>
      <c r="K249" s="210">
        <v>2021</v>
      </c>
      <c r="L249" s="268" t="str">
        <f t="shared" si="49"/>
        <v>Simple</v>
      </c>
      <c r="M249" s="197">
        <v>1780.6290591168345</v>
      </c>
      <c r="N249" s="197">
        <v>2670.9435886752512</v>
      </c>
      <c r="O249" s="257">
        <f>IF(ISNA(MATCH(H249,'Operating leases'!$B$32:$B$43,0)),0,INDEX('Operating leases'!$M$32:$S$43,MATCH(H249,'Operating leases'!$B$32:$B$43,0),MATCH(J249,'Operating leases'!$M$11:$S$11,0)))</f>
        <v>0</v>
      </c>
      <c r="P249" s="257">
        <f t="shared" si="50"/>
        <v>1780.6290591168345</v>
      </c>
      <c r="Q249" s="257">
        <f t="shared" si="51"/>
        <v>4451.5726477920853</v>
      </c>
      <c r="R249" s="258">
        <f>INDEX('Escalators '!$M$124:$S$129,MATCH(I249,'Escalators '!$B$124:$B$129,0),MATCH(J249,'Escalators '!$M$113:$S$113,0))</f>
        <v>1.0206154571717865</v>
      </c>
      <c r="S249" s="257">
        <f t="shared" si="52"/>
        <v>0</v>
      </c>
      <c r="T249" s="257">
        <f t="shared" si="53"/>
        <v>2726.0063118358435</v>
      </c>
      <c r="U249" s="269">
        <f t="shared" si="54"/>
        <v>1817.3375412238961</v>
      </c>
      <c r="V249" s="269">
        <f t="shared" si="55"/>
        <v>4543.3438530597396</v>
      </c>
      <c r="W249" s="269">
        <f t="shared" si="56"/>
        <v>1817.3375412238961</v>
      </c>
      <c r="X249" s="257">
        <f t="shared" si="57"/>
        <v>4543.3438530597396</v>
      </c>
      <c r="Y249" s="270">
        <f>IF(L249="Complex",(INDEX('Escalators '!$M$176:$S$176,MATCH('Forecast capex'!J249,'Escalators '!$M$178:$S$178,0))/12+1)^((K249-J249)*12)-1,0)</f>
        <v>0</v>
      </c>
      <c r="Z249" s="257">
        <f t="shared" si="58"/>
        <v>0</v>
      </c>
      <c r="AA249" s="257">
        <f t="shared" si="59"/>
        <v>0</v>
      </c>
      <c r="AB249" s="269">
        <f t="shared" si="60"/>
        <v>0</v>
      </c>
      <c r="AC249" s="269">
        <f t="shared" si="61"/>
        <v>0</v>
      </c>
      <c r="AD249" s="271" t="str">
        <f>INDEX('Global inputs'!$C$134:$C$171,MATCH(F249,'Global inputs'!$B$134:$B$171,0))</f>
        <v>Asset relocations and undergrounding</v>
      </c>
      <c r="AE249" s="272">
        <f>IF(OR(H249='Operating leases'!$B$32,H249='Operating leases'!$B$33),"",INDEX('Global inputs'!$C$186:$C$243,MATCH(E249,'Global inputs'!$B$186:$B$243,0)))</f>
        <v>0.1</v>
      </c>
    </row>
    <row r="250" spans="1:31" s="27" customFormat="1" x14ac:dyDescent="0.2">
      <c r="A250" s="250"/>
      <c r="B250" s="210" t="s">
        <v>714</v>
      </c>
      <c r="C250" s="210" t="s">
        <v>284</v>
      </c>
      <c r="D250" s="210" t="s">
        <v>715</v>
      </c>
      <c r="E250" s="210" t="s">
        <v>129</v>
      </c>
      <c r="F250" s="210" t="s">
        <v>92</v>
      </c>
      <c r="G250" s="210" t="s">
        <v>717</v>
      </c>
      <c r="H250" s="197">
        <v>0</v>
      </c>
      <c r="I250" s="210" t="s">
        <v>221</v>
      </c>
      <c r="J250" s="210">
        <v>2021</v>
      </c>
      <c r="K250" s="210">
        <v>2021</v>
      </c>
      <c r="L250" s="268" t="str">
        <f t="shared" si="49"/>
        <v>Simple</v>
      </c>
      <c r="M250" s="197">
        <v>1780.6290591168345</v>
      </c>
      <c r="N250" s="197">
        <v>2670.9435886752512</v>
      </c>
      <c r="O250" s="257">
        <f>IF(ISNA(MATCH(H250,'Operating leases'!$B$32:$B$43,0)),0,INDEX('Operating leases'!$M$32:$S$43,MATCH(H250,'Operating leases'!$B$32:$B$43,0),MATCH(J250,'Operating leases'!$M$11:$S$11,0)))</f>
        <v>0</v>
      </c>
      <c r="P250" s="257">
        <f t="shared" si="50"/>
        <v>1780.6290591168345</v>
      </c>
      <c r="Q250" s="257">
        <f t="shared" si="51"/>
        <v>4451.5726477920853</v>
      </c>
      <c r="R250" s="258">
        <f>INDEX('Escalators '!$M$124:$S$129,MATCH(I250,'Escalators '!$B$124:$B$129,0),MATCH(J250,'Escalators '!$M$113:$S$113,0))</f>
        <v>1.0120900655357943</v>
      </c>
      <c r="S250" s="257">
        <f t="shared" si="52"/>
        <v>0</v>
      </c>
      <c r="T250" s="257">
        <f t="shared" si="53"/>
        <v>2703.2354717047447</v>
      </c>
      <c r="U250" s="269">
        <f t="shared" si="54"/>
        <v>1802.1569811364961</v>
      </c>
      <c r="V250" s="269">
        <f t="shared" si="55"/>
        <v>4505.3924528412408</v>
      </c>
      <c r="W250" s="269">
        <f t="shared" si="56"/>
        <v>1802.1569811364961</v>
      </c>
      <c r="X250" s="257">
        <f t="shared" si="57"/>
        <v>4505.3924528412408</v>
      </c>
      <c r="Y250" s="270">
        <f>IF(L250="Complex",(INDEX('Escalators '!$M$176:$S$176,MATCH('Forecast capex'!J250,'Escalators '!$M$178:$S$178,0))/12+1)^((K250-J250)*12)-1,0)</f>
        <v>0</v>
      </c>
      <c r="Z250" s="257">
        <f t="shared" si="58"/>
        <v>0</v>
      </c>
      <c r="AA250" s="257">
        <f t="shared" si="59"/>
        <v>0</v>
      </c>
      <c r="AB250" s="269">
        <f t="shared" si="60"/>
        <v>0</v>
      </c>
      <c r="AC250" s="269">
        <f t="shared" si="61"/>
        <v>0</v>
      </c>
      <c r="AD250" s="271" t="str">
        <f>INDEX('Global inputs'!$C$134:$C$171,MATCH(F250,'Global inputs'!$B$134:$B$171,0))</f>
        <v>Asset relocations and undergrounding</v>
      </c>
      <c r="AE250" s="272">
        <f>IF(OR(H250='Operating leases'!$B$32,H250='Operating leases'!$B$33),"",INDEX('Global inputs'!$C$186:$C$243,MATCH(E250,'Global inputs'!$B$186:$B$243,0)))</f>
        <v>0.1</v>
      </c>
    </row>
    <row r="251" spans="1:31" s="27" customFormat="1" x14ac:dyDescent="0.2">
      <c r="A251" s="250"/>
      <c r="B251" s="210" t="s">
        <v>714</v>
      </c>
      <c r="C251" s="210" t="s">
        <v>287</v>
      </c>
      <c r="D251" s="210" t="s">
        <v>715</v>
      </c>
      <c r="E251" s="210" t="s">
        <v>150</v>
      </c>
      <c r="F251" s="210" t="s">
        <v>92</v>
      </c>
      <c r="G251" s="210" t="s">
        <v>717</v>
      </c>
      <c r="H251" s="197">
        <v>0</v>
      </c>
      <c r="I251" s="210" t="s">
        <v>229</v>
      </c>
      <c r="J251" s="210">
        <v>2021</v>
      </c>
      <c r="K251" s="210">
        <v>2021</v>
      </c>
      <c r="L251" s="268" t="str">
        <f t="shared" si="49"/>
        <v>Simple</v>
      </c>
      <c r="M251" s="197">
        <v>11870.860394112231</v>
      </c>
      <c r="N251" s="197">
        <v>17806.290591168345</v>
      </c>
      <c r="O251" s="257">
        <f>IF(ISNA(MATCH(H251,'Operating leases'!$B$32:$B$43,0)),0,INDEX('Operating leases'!$M$32:$S$43,MATCH(H251,'Operating leases'!$B$32:$B$43,0),MATCH(J251,'Operating leases'!$M$11:$S$11,0)))</f>
        <v>0</v>
      </c>
      <c r="P251" s="257">
        <f t="shared" si="50"/>
        <v>11870.860394112231</v>
      </c>
      <c r="Q251" s="257">
        <f t="shared" si="51"/>
        <v>29677.150985280576</v>
      </c>
      <c r="R251" s="258">
        <f>INDEX('Escalators '!$M$124:$S$129,MATCH(I251,'Escalators '!$B$124:$B$129,0),MATCH(J251,'Escalators '!$M$113:$S$113,0))</f>
        <v>1.0206154571717865</v>
      </c>
      <c r="S251" s="257">
        <f t="shared" si="52"/>
        <v>0</v>
      </c>
      <c r="T251" s="257">
        <f t="shared" si="53"/>
        <v>18173.375412238962</v>
      </c>
      <c r="U251" s="269">
        <f t="shared" si="54"/>
        <v>12115.583608159308</v>
      </c>
      <c r="V251" s="269">
        <f t="shared" si="55"/>
        <v>30288.95902039827</v>
      </c>
      <c r="W251" s="269">
        <f t="shared" si="56"/>
        <v>12115.583608159308</v>
      </c>
      <c r="X251" s="257">
        <f t="shared" si="57"/>
        <v>30288.95902039827</v>
      </c>
      <c r="Y251" s="270">
        <f>IF(L251="Complex",(INDEX('Escalators '!$M$176:$S$176,MATCH('Forecast capex'!J251,'Escalators '!$M$178:$S$178,0))/12+1)^((K251-J251)*12)-1,0)</f>
        <v>0</v>
      </c>
      <c r="Z251" s="257">
        <f t="shared" si="58"/>
        <v>0</v>
      </c>
      <c r="AA251" s="257">
        <f t="shared" si="59"/>
        <v>0</v>
      </c>
      <c r="AB251" s="269">
        <f t="shared" si="60"/>
        <v>0</v>
      </c>
      <c r="AC251" s="269">
        <f t="shared" si="61"/>
        <v>0</v>
      </c>
      <c r="AD251" s="271" t="str">
        <f>INDEX('Global inputs'!$C$134:$C$171,MATCH(F251,'Global inputs'!$B$134:$B$171,0))</f>
        <v>Asset relocations and undergrounding</v>
      </c>
      <c r="AE251" s="272">
        <f>IF(OR(H251='Operating leases'!$B$32,H251='Operating leases'!$B$33),"",INDEX('Global inputs'!$C$186:$C$243,MATCH(E251,'Global inputs'!$B$186:$B$243,0)))</f>
        <v>0.08</v>
      </c>
    </row>
    <row r="252" spans="1:31" s="27" customFormat="1" x14ac:dyDescent="0.2">
      <c r="A252" s="250"/>
      <c r="B252" s="210" t="s">
        <v>714</v>
      </c>
      <c r="C252" s="210" t="s">
        <v>287</v>
      </c>
      <c r="D252" s="210" t="s">
        <v>715</v>
      </c>
      <c r="E252" s="210" t="s">
        <v>150</v>
      </c>
      <c r="F252" s="210" t="s">
        <v>92</v>
      </c>
      <c r="G252" s="210" t="s">
        <v>717</v>
      </c>
      <c r="H252" s="197">
        <v>0</v>
      </c>
      <c r="I252" s="210" t="s">
        <v>221</v>
      </c>
      <c r="J252" s="210">
        <v>2021</v>
      </c>
      <c r="K252" s="210">
        <v>2021</v>
      </c>
      <c r="L252" s="268" t="str">
        <f t="shared" si="49"/>
        <v>Simple</v>
      </c>
      <c r="M252" s="197">
        <v>11870.860394112231</v>
      </c>
      <c r="N252" s="197">
        <v>17806.290591168345</v>
      </c>
      <c r="O252" s="257">
        <f>IF(ISNA(MATCH(H252,'Operating leases'!$B$32:$B$43,0)),0,INDEX('Operating leases'!$M$32:$S$43,MATCH(H252,'Operating leases'!$B$32:$B$43,0),MATCH(J252,'Operating leases'!$M$11:$S$11,0)))</f>
        <v>0</v>
      </c>
      <c r="P252" s="257">
        <f t="shared" si="50"/>
        <v>11870.860394112231</v>
      </c>
      <c r="Q252" s="257">
        <f t="shared" si="51"/>
        <v>29677.150985280576</v>
      </c>
      <c r="R252" s="258">
        <f>INDEX('Escalators '!$M$124:$S$129,MATCH(I252,'Escalators '!$B$124:$B$129,0),MATCH(J252,'Escalators '!$M$113:$S$113,0))</f>
        <v>1.0120900655357943</v>
      </c>
      <c r="S252" s="257">
        <f t="shared" si="52"/>
        <v>0</v>
      </c>
      <c r="T252" s="257">
        <f t="shared" si="53"/>
        <v>18021.569811364967</v>
      </c>
      <c r="U252" s="269">
        <f t="shared" si="54"/>
        <v>12014.379874243314</v>
      </c>
      <c r="V252" s="269">
        <f t="shared" si="55"/>
        <v>30035.949685608281</v>
      </c>
      <c r="W252" s="269">
        <f t="shared" si="56"/>
        <v>12014.379874243314</v>
      </c>
      <c r="X252" s="257">
        <f t="shared" si="57"/>
        <v>30035.949685608281</v>
      </c>
      <c r="Y252" s="270">
        <f>IF(L252="Complex",(INDEX('Escalators '!$M$176:$S$176,MATCH('Forecast capex'!J252,'Escalators '!$M$178:$S$178,0))/12+1)^((K252-J252)*12)-1,0)</f>
        <v>0</v>
      </c>
      <c r="Z252" s="257">
        <f t="shared" si="58"/>
        <v>0</v>
      </c>
      <c r="AA252" s="257">
        <f t="shared" si="59"/>
        <v>0</v>
      </c>
      <c r="AB252" s="269">
        <f t="shared" si="60"/>
        <v>0</v>
      </c>
      <c r="AC252" s="269">
        <f t="shared" si="61"/>
        <v>0</v>
      </c>
      <c r="AD252" s="271" t="str">
        <f>INDEX('Global inputs'!$C$134:$C$171,MATCH(F252,'Global inputs'!$B$134:$B$171,0))</f>
        <v>Asset relocations and undergrounding</v>
      </c>
      <c r="AE252" s="272">
        <f>IF(OR(H252='Operating leases'!$B$32,H252='Operating leases'!$B$33),"",INDEX('Global inputs'!$C$186:$C$243,MATCH(E252,'Global inputs'!$B$186:$B$243,0)))</f>
        <v>0.08</v>
      </c>
    </row>
    <row r="253" spans="1:31" s="27" customFormat="1" x14ac:dyDescent="0.2">
      <c r="A253" s="250"/>
      <c r="B253" s="210" t="s">
        <v>714</v>
      </c>
      <c r="C253" s="210" t="s">
        <v>287</v>
      </c>
      <c r="D253" s="210" t="s">
        <v>715</v>
      </c>
      <c r="E253" s="210" t="s">
        <v>151</v>
      </c>
      <c r="F253" s="210" t="s">
        <v>92</v>
      </c>
      <c r="G253" s="210" t="s">
        <v>717</v>
      </c>
      <c r="H253" s="197">
        <v>0</v>
      </c>
      <c r="I253" s="210" t="s">
        <v>229</v>
      </c>
      <c r="J253" s="210">
        <v>2021</v>
      </c>
      <c r="K253" s="210">
        <v>2021</v>
      </c>
      <c r="L253" s="268" t="str">
        <f t="shared" si="49"/>
        <v>Simple</v>
      </c>
      <c r="M253" s="197">
        <v>11870.860394112231</v>
      </c>
      <c r="N253" s="197">
        <v>17806.290591168345</v>
      </c>
      <c r="O253" s="257">
        <f>IF(ISNA(MATCH(H253,'Operating leases'!$B$32:$B$43,0)),0,INDEX('Operating leases'!$M$32:$S$43,MATCH(H253,'Operating leases'!$B$32:$B$43,0),MATCH(J253,'Operating leases'!$M$11:$S$11,0)))</f>
        <v>0</v>
      </c>
      <c r="P253" s="257">
        <f t="shared" si="50"/>
        <v>11870.860394112231</v>
      </c>
      <c r="Q253" s="257">
        <f t="shared" si="51"/>
        <v>29677.150985280576</v>
      </c>
      <c r="R253" s="258">
        <f>INDEX('Escalators '!$M$124:$S$129,MATCH(I253,'Escalators '!$B$124:$B$129,0),MATCH(J253,'Escalators '!$M$113:$S$113,0))</f>
        <v>1.0206154571717865</v>
      </c>
      <c r="S253" s="257">
        <f t="shared" si="52"/>
        <v>0</v>
      </c>
      <c r="T253" s="257">
        <f t="shared" si="53"/>
        <v>18173.375412238962</v>
      </c>
      <c r="U253" s="269">
        <f t="shared" si="54"/>
        <v>12115.583608159308</v>
      </c>
      <c r="V253" s="269">
        <f t="shared" si="55"/>
        <v>30288.95902039827</v>
      </c>
      <c r="W253" s="269">
        <f t="shared" si="56"/>
        <v>12115.583608159308</v>
      </c>
      <c r="X253" s="257">
        <f t="shared" si="57"/>
        <v>30288.95902039827</v>
      </c>
      <c r="Y253" s="270">
        <f>IF(L253="Complex",(INDEX('Escalators '!$M$176:$S$176,MATCH('Forecast capex'!J253,'Escalators '!$M$178:$S$178,0))/12+1)^((K253-J253)*12)-1,0)</f>
        <v>0</v>
      </c>
      <c r="Z253" s="257">
        <f t="shared" si="58"/>
        <v>0</v>
      </c>
      <c r="AA253" s="257">
        <f t="shared" si="59"/>
        <v>0</v>
      </c>
      <c r="AB253" s="269">
        <f t="shared" si="60"/>
        <v>0</v>
      </c>
      <c r="AC253" s="269">
        <f t="shared" si="61"/>
        <v>0</v>
      </c>
      <c r="AD253" s="271" t="str">
        <f>INDEX('Global inputs'!$C$134:$C$171,MATCH(F253,'Global inputs'!$B$134:$B$171,0))</f>
        <v>Asset relocations and undergrounding</v>
      </c>
      <c r="AE253" s="272">
        <f>IF(OR(H253='Operating leases'!$B$32,H253='Operating leases'!$B$33),"",INDEX('Global inputs'!$C$186:$C$243,MATCH(E253,'Global inputs'!$B$186:$B$243,0)))</f>
        <v>0.1</v>
      </c>
    </row>
    <row r="254" spans="1:31" s="27" customFormat="1" x14ac:dyDescent="0.2">
      <c r="A254" s="250"/>
      <c r="B254" s="210" t="s">
        <v>714</v>
      </c>
      <c r="C254" s="210" t="s">
        <v>287</v>
      </c>
      <c r="D254" s="210" t="s">
        <v>715</v>
      </c>
      <c r="E254" s="210" t="s">
        <v>151</v>
      </c>
      <c r="F254" s="210" t="s">
        <v>92</v>
      </c>
      <c r="G254" s="210" t="s">
        <v>717</v>
      </c>
      <c r="H254" s="197">
        <v>0</v>
      </c>
      <c r="I254" s="210" t="s">
        <v>221</v>
      </c>
      <c r="J254" s="210">
        <v>2021</v>
      </c>
      <c r="K254" s="210">
        <v>2021</v>
      </c>
      <c r="L254" s="268" t="str">
        <f t="shared" si="49"/>
        <v>Simple</v>
      </c>
      <c r="M254" s="197">
        <v>11870.860394112231</v>
      </c>
      <c r="N254" s="197">
        <v>17806.290591168345</v>
      </c>
      <c r="O254" s="257">
        <f>IF(ISNA(MATCH(H254,'Operating leases'!$B$32:$B$43,0)),0,INDEX('Operating leases'!$M$32:$S$43,MATCH(H254,'Operating leases'!$B$32:$B$43,0),MATCH(J254,'Operating leases'!$M$11:$S$11,0)))</f>
        <v>0</v>
      </c>
      <c r="P254" s="257">
        <f t="shared" si="50"/>
        <v>11870.860394112231</v>
      </c>
      <c r="Q254" s="257">
        <f t="shared" si="51"/>
        <v>29677.150985280576</v>
      </c>
      <c r="R254" s="258">
        <f>INDEX('Escalators '!$M$124:$S$129,MATCH(I254,'Escalators '!$B$124:$B$129,0),MATCH(J254,'Escalators '!$M$113:$S$113,0))</f>
        <v>1.0120900655357943</v>
      </c>
      <c r="S254" s="257">
        <f t="shared" si="52"/>
        <v>0</v>
      </c>
      <c r="T254" s="257">
        <f t="shared" si="53"/>
        <v>18021.569811364967</v>
      </c>
      <c r="U254" s="269">
        <f t="shared" si="54"/>
        <v>12014.379874243314</v>
      </c>
      <c r="V254" s="269">
        <f t="shared" si="55"/>
        <v>30035.949685608281</v>
      </c>
      <c r="W254" s="269">
        <f t="shared" si="56"/>
        <v>12014.379874243314</v>
      </c>
      <c r="X254" s="257">
        <f t="shared" si="57"/>
        <v>30035.949685608281</v>
      </c>
      <c r="Y254" s="270">
        <f>IF(L254="Complex",(INDEX('Escalators '!$M$176:$S$176,MATCH('Forecast capex'!J254,'Escalators '!$M$178:$S$178,0))/12+1)^((K254-J254)*12)-1,0)</f>
        <v>0</v>
      </c>
      <c r="Z254" s="257">
        <f t="shared" si="58"/>
        <v>0</v>
      </c>
      <c r="AA254" s="257">
        <f t="shared" si="59"/>
        <v>0</v>
      </c>
      <c r="AB254" s="269">
        <f t="shared" si="60"/>
        <v>0</v>
      </c>
      <c r="AC254" s="269">
        <f t="shared" si="61"/>
        <v>0</v>
      </c>
      <c r="AD254" s="271" t="str">
        <f>INDEX('Global inputs'!$C$134:$C$171,MATCH(F254,'Global inputs'!$B$134:$B$171,0))</f>
        <v>Asset relocations and undergrounding</v>
      </c>
      <c r="AE254" s="272">
        <f>IF(OR(H254='Operating leases'!$B$32,H254='Operating leases'!$B$33),"",INDEX('Global inputs'!$C$186:$C$243,MATCH(E254,'Global inputs'!$B$186:$B$243,0)))</f>
        <v>0.1</v>
      </c>
    </row>
    <row r="255" spans="1:31" s="27" customFormat="1" x14ac:dyDescent="0.2">
      <c r="A255" s="250"/>
      <c r="B255" s="210" t="s">
        <v>714</v>
      </c>
      <c r="C255" s="210" t="s">
        <v>287</v>
      </c>
      <c r="D255" s="210" t="s">
        <v>715</v>
      </c>
      <c r="E255" s="210" t="s">
        <v>153</v>
      </c>
      <c r="F255" s="210" t="s">
        <v>92</v>
      </c>
      <c r="G255" s="210" t="s">
        <v>717</v>
      </c>
      <c r="H255" s="197">
        <v>0</v>
      </c>
      <c r="I255" s="210" t="s">
        <v>229</v>
      </c>
      <c r="J255" s="210">
        <v>2021</v>
      </c>
      <c r="K255" s="210">
        <v>2021</v>
      </c>
      <c r="L255" s="268" t="str">
        <f t="shared" si="49"/>
        <v>Simple</v>
      </c>
      <c r="M255" s="197">
        <v>4748.3441576448922</v>
      </c>
      <c r="N255" s="197">
        <v>7122.5162364673379</v>
      </c>
      <c r="O255" s="257">
        <f>IF(ISNA(MATCH(H255,'Operating leases'!$B$32:$B$43,0)),0,INDEX('Operating leases'!$M$32:$S$43,MATCH(H255,'Operating leases'!$B$32:$B$43,0),MATCH(J255,'Operating leases'!$M$11:$S$11,0)))</f>
        <v>0</v>
      </c>
      <c r="P255" s="257">
        <f t="shared" si="50"/>
        <v>4748.3441576448922</v>
      </c>
      <c r="Q255" s="257">
        <f t="shared" si="51"/>
        <v>11870.860394112231</v>
      </c>
      <c r="R255" s="258">
        <f>INDEX('Escalators '!$M$124:$S$129,MATCH(I255,'Escalators '!$B$124:$B$129,0),MATCH(J255,'Escalators '!$M$113:$S$113,0))</f>
        <v>1.0206154571717865</v>
      </c>
      <c r="S255" s="257">
        <f t="shared" si="52"/>
        <v>0</v>
      </c>
      <c r="T255" s="257">
        <f t="shared" si="53"/>
        <v>7269.3501648955844</v>
      </c>
      <c r="U255" s="269">
        <f t="shared" si="54"/>
        <v>4846.2334432637235</v>
      </c>
      <c r="V255" s="269">
        <f t="shared" si="55"/>
        <v>12115.583608159308</v>
      </c>
      <c r="W255" s="269">
        <f t="shared" si="56"/>
        <v>4846.2334432637235</v>
      </c>
      <c r="X255" s="257">
        <f t="shared" si="57"/>
        <v>12115.583608159308</v>
      </c>
      <c r="Y255" s="270">
        <f>IF(L255="Complex",(INDEX('Escalators '!$M$176:$S$176,MATCH('Forecast capex'!J255,'Escalators '!$M$178:$S$178,0))/12+1)^((K255-J255)*12)-1,0)</f>
        <v>0</v>
      </c>
      <c r="Z255" s="257">
        <f t="shared" si="58"/>
        <v>0</v>
      </c>
      <c r="AA255" s="257">
        <f t="shared" si="59"/>
        <v>0</v>
      </c>
      <c r="AB255" s="269">
        <f t="shared" si="60"/>
        <v>0</v>
      </c>
      <c r="AC255" s="269">
        <f t="shared" si="61"/>
        <v>0</v>
      </c>
      <c r="AD255" s="271" t="str">
        <f>INDEX('Global inputs'!$C$134:$C$171,MATCH(F255,'Global inputs'!$B$134:$B$171,0))</f>
        <v>Asset relocations and undergrounding</v>
      </c>
      <c r="AE255" s="272">
        <f>IF(OR(H255='Operating leases'!$B$32,H255='Operating leases'!$B$33),"",INDEX('Global inputs'!$C$186:$C$243,MATCH(E255,'Global inputs'!$B$186:$B$243,0)))</f>
        <v>0.08</v>
      </c>
    </row>
    <row r="256" spans="1:31" s="27" customFormat="1" x14ac:dyDescent="0.2">
      <c r="A256" s="250"/>
      <c r="B256" s="210" t="s">
        <v>714</v>
      </c>
      <c r="C256" s="210" t="s">
        <v>287</v>
      </c>
      <c r="D256" s="210" t="s">
        <v>715</v>
      </c>
      <c r="E256" s="210" t="s">
        <v>153</v>
      </c>
      <c r="F256" s="210" t="s">
        <v>92</v>
      </c>
      <c r="G256" s="210" t="s">
        <v>717</v>
      </c>
      <c r="H256" s="197">
        <v>0</v>
      </c>
      <c r="I256" s="210" t="s">
        <v>221</v>
      </c>
      <c r="J256" s="210">
        <v>2021</v>
      </c>
      <c r="K256" s="210">
        <v>2021</v>
      </c>
      <c r="L256" s="268" t="str">
        <f t="shared" si="49"/>
        <v>Simple</v>
      </c>
      <c r="M256" s="197">
        <v>4748.3441576448922</v>
      </c>
      <c r="N256" s="197">
        <v>7122.5162364673379</v>
      </c>
      <c r="O256" s="257">
        <f>IF(ISNA(MATCH(H256,'Operating leases'!$B$32:$B$43,0)),0,INDEX('Operating leases'!$M$32:$S$43,MATCH(H256,'Operating leases'!$B$32:$B$43,0),MATCH(J256,'Operating leases'!$M$11:$S$11,0)))</f>
        <v>0</v>
      </c>
      <c r="P256" s="257">
        <f t="shared" si="50"/>
        <v>4748.3441576448922</v>
      </c>
      <c r="Q256" s="257">
        <f t="shared" si="51"/>
        <v>11870.860394112231</v>
      </c>
      <c r="R256" s="258">
        <f>INDEX('Escalators '!$M$124:$S$129,MATCH(I256,'Escalators '!$B$124:$B$129,0),MATCH(J256,'Escalators '!$M$113:$S$113,0))</f>
        <v>1.0120900655357943</v>
      </c>
      <c r="S256" s="257">
        <f t="shared" si="52"/>
        <v>0</v>
      </c>
      <c r="T256" s="257">
        <f t="shared" si="53"/>
        <v>7208.6279245459864</v>
      </c>
      <c r="U256" s="269">
        <f t="shared" si="54"/>
        <v>4805.7519496973255</v>
      </c>
      <c r="V256" s="269">
        <f t="shared" si="55"/>
        <v>12014.379874243312</v>
      </c>
      <c r="W256" s="269">
        <f t="shared" si="56"/>
        <v>4805.7519496973255</v>
      </c>
      <c r="X256" s="257">
        <f t="shared" si="57"/>
        <v>12014.379874243312</v>
      </c>
      <c r="Y256" s="270">
        <f>IF(L256="Complex",(INDEX('Escalators '!$M$176:$S$176,MATCH('Forecast capex'!J256,'Escalators '!$M$178:$S$178,0))/12+1)^((K256-J256)*12)-1,0)</f>
        <v>0</v>
      </c>
      <c r="Z256" s="257">
        <f t="shared" si="58"/>
        <v>0</v>
      </c>
      <c r="AA256" s="257">
        <f t="shared" si="59"/>
        <v>0</v>
      </c>
      <c r="AB256" s="269">
        <f t="shared" si="60"/>
        <v>0</v>
      </c>
      <c r="AC256" s="269">
        <f t="shared" si="61"/>
        <v>0</v>
      </c>
      <c r="AD256" s="271" t="str">
        <f>INDEX('Global inputs'!$C$134:$C$171,MATCH(F256,'Global inputs'!$B$134:$B$171,0))</f>
        <v>Asset relocations and undergrounding</v>
      </c>
      <c r="AE256" s="272">
        <f>IF(OR(H256='Operating leases'!$B$32,H256='Operating leases'!$B$33),"",INDEX('Global inputs'!$C$186:$C$243,MATCH(E256,'Global inputs'!$B$186:$B$243,0)))</f>
        <v>0.08</v>
      </c>
    </row>
    <row r="257" spans="1:31" s="27" customFormat="1" x14ac:dyDescent="0.2">
      <c r="A257" s="250"/>
      <c r="B257" s="210" t="s">
        <v>714</v>
      </c>
      <c r="C257" s="210" t="s">
        <v>287</v>
      </c>
      <c r="D257" s="210" t="s">
        <v>715</v>
      </c>
      <c r="E257" s="210" t="s">
        <v>154</v>
      </c>
      <c r="F257" s="210" t="s">
        <v>92</v>
      </c>
      <c r="G257" s="210" t="s">
        <v>717</v>
      </c>
      <c r="H257" s="197">
        <v>0</v>
      </c>
      <c r="I257" s="210" t="s">
        <v>229</v>
      </c>
      <c r="J257" s="210">
        <v>2021</v>
      </c>
      <c r="K257" s="210">
        <v>2021</v>
      </c>
      <c r="L257" s="268" t="str">
        <f t="shared" si="49"/>
        <v>Simple</v>
      </c>
      <c r="M257" s="197">
        <v>4748.3441576448922</v>
      </c>
      <c r="N257" s="197">
        <v>7122.5162364673379</v>
      </c>
      <c r="O257" s="257">
        <f>IF(ISNA(MATCH(H257,'Operating leases'!$B$32:$B$43,0)),0,INDEX('Operating leases'!$M$32:$S$43,MATCH(H257,'Operating leases'!$B$32:$B$43,0),MATCH(J257,'Operating leases'!$M$11:$S$11,0)))</f>
        <v>0</v>
      </c>
      <c r="P257" s="257">
        <f t="shared" si="50"/>
        <v>4748.3441576448922</v>
      </c>
      <c r="Q257" s="257">
        <f t="shared" si="51"/>
        <v>11870.860394112231</v>
      </c>
      <c r="R257" s="258">
        <f>INDEX('Escalators '!$M$124:$S$129,MATCH(I257,'Escalators '!$B$124:$B$129,0),MATCH(J257,'Escalators '!$M$113:$S$113,0))</f>
        <v>1.0206154571717865</v>
      </c>
      <c r="S257" s="257">
        <f t="shared" si="52"/>
        <v>0</v>
      </c>
      <c r="T257" s="257">
        <f t="shared" si="53"/>
        <v>7269.3501648955844</v>
      </c>
      <c r="U257" s="269">
        <f t="shared" si="54"/>
        <v>4846.2334432637235</v>
      </c>
      <c r="V257" s="269">
        <f t="shared" si="55"/>
        <v>12115.583608159308</v>
      </c>
      <c r="W257" s="269">
        <f t="shared" si="56"/>
        <v>4846.2334432637235</v>
      </c>
      <c r="X257" s="257">
        <f t="shared" si="57"/>
        <v>12115.583608159308</v>
      </c>
      <c r="Y257" s="270">
        <f>IF(L257="Complex",(INDEX('Escalators '!$M$176:$S$176,MATCH('Forecast capex'!J257,'Escalators '!$M$178:$S$178,0))/12+1)^((K257-J257)*12)-1,0)</f>
        <v>0</v>
      </c>
      <c r="Z257" s="257">
        <f t="shared" si="58"/>
        <v>0</v>
      </c>
      <c r="AA257" s="257">
        <f t="shared" si="59"/>
        <v>0</v>
      </c>
      <c r="AB257" s="269">
        <f t="shared" si="60"/>
        <v>0</v>
      </c>
      <c r="AC257" s="269">
        <f t="shared" si="61"/>
        <v>0</v>
      </c>
      <c r="AD257" s="271" t="str">
        <f>INDEX('Global inputs'!$C$134:$C$171,MATCH(F257,'Global inputs'!$B$134:$B$171,0))</f>
        <v>Asset relocations and undergrounding</v>
      </c>
      <c r="AE257" s="272">
        <f>IF(OR(H257='Operating leases'!$B$32,H257='Operating leases'!$B$33),"",INDEX('Global inputs'!$C$186:$C$243,MATCH(E257,'Global inputs'!$B$186:$B$243,0)))</f>
        <v>0.1</v>
      </c>
    </row>
    <row r="258" spans="1:31" s="27" customFormat="1" x14ac:dyDescent="0.2">
      <c r="A258" s="250"/>
      <c r="B258" s="210" t="s">
        <v>714</v>
      </c>
      <c r="C258" s="210" t="s">
        <v>287</v>
      </c>
      <c r="D258" s="210" t="s">
        <v>715</v>
      </c>
      <c r="E258" s="210" t="s">
        <v>154</v>
      </c>
      <c r="F258" s="210" t="s">
        <v>92</v>
      </c>
      <c r="G258" s="210" t="s">
        <v>717</v>
      </c>
      <c r="H258" s="197">
        <v>0</v>
      </c>
      <c r="I258" s="210" t="s">
        <v>221</v>
      </c>
      <c r="J258" s="210">
        <v>2021</v>
      </c>
      <c r="K258" s="210">
        <v>2021</v>
      </c>
      <c r="L258" s="268" t="str">
        <f t="shared" si="49"/>
        <v>Simple</v>
      </c>
      <c r="M258" s="197">
        <v>4748.3441576448922</v>
      </c>
      <c r="N258" s="197">
        <v>7122.5162364673379</v>
      </c>
      <c r="O258" s="257">
        <f>IF(ISNA(MATCH(H258,'Operating leases'!$B$32:$B$43,0)),0,INDEX('Operating leases'!$M$32:$S$43,MATCH(H258,'Operating leases'!$B$32:$B$43,0),MATCH(J258,'Operating leases'!$M$11:$S$11,0)))</f>
        <v>0</v>
      </c>
      <c r="P258" s="257">
        <f t="shared" si="50"/>
        <v>4748.3441576448922</v>
      </c>
      <c r="Q258" s="257">
        <f t="shared" si="51"/>
        <v>11870.860394112231</v>
      </c>
      <c r="R258" s="258">
        <f>INDEX('Escalators '!$M$124:$S$129,MATCH(I258,'Escalators '!$B$124:$B$129,0),MATCH(J258,'Escalators '!$M$113:$S$113,0))</f>
        <v>1.0120900655357943</v>
      </c>
      <c r="S258" s="257">
        <f t="shared" si="52"/>
        <v>0</v>
      </c>
      <c r="T258" s="257">
        <f t="shared" si="53"/>
        <v>7208.6279245459864</v>
      </c>
      <c r="U258" s="269">
        <f t="shared" si="54"/>
        <v>4805.7519496973255</v>
      </c>
      <c r="V258" s="269">
        <f t="shared" si="55"/>
        <v>12014.379874243312</v>
      </c>
      <c r="W258" s="269">
        <f t="shared" si="56"/>
        <v>4805.7519496973255</v>
      </c>
      <c r="X258" s="257">
        <f t="shared" si="57"/>
        <v>12014.379874243312</v>
      </c>
      <c r="Y258" s="270">
        <f>IF(L258="Complex",(INDEX('Escalators '!$M$176:$S$176,MATCH('Forecast capex'!J258,'Escalators '!$M$178:$S$178,0))/12+1)^((K258-J258)*12)-1,0)</f>
        <v>0</v>
      </c>
      <c r="Z258" s="257">
        <f t="shared" si="58"/>
        <v>0</v>
      </c>
      <c r="AA258" s="257">
        <f t="shared" si="59"/>
        <v>0</v>
      </c>
      <c r="AB258" s="269">
        <f t="shared" si="60"/>
        <v>0</v>
      </c>
      <c r="AC258" s="269">
        <f t="shared" si="61"/>
        <v>0</v>
      </c>
      <c r="AD258" s="271" t="str">
        <f>INDEX('Global inputs'!$C$134:$C$171,MATCH(F258,'Global inputs'!$B$134:$B$171,0))</f>
        <v>Asset relocations and undergrounding</v>
      </c>
      <c r="AE258" s="272">
        <f>IF(OR(H258='Operating leases'!$B$32,H258='Operating leases'!$B$33),"",INDEX('Global inputs'!$C$186:$C$243,MATCH(E258,'Global inputs'!$B$186:$B$243,0)))</f>
        <v>0.1</v>
      </c>
    </row>
    <row r="259" spans="1:31" s="27" customFormat="1" x14ac:dyDescent="0.2">
      <c r="A259" s="250"/>
      <c r="B259" s="210" t="s">
        <v>714</v>
      </c>
      <c r="C259" s="210" t="s">
        <v>290</v>
      </c>
      <c r="D259" s="210" t="s">
        <v>718</v>
      </c>
      <c r="E259" s="210" t="s">
        <v>173</v>
      </c>
      <c r="F259" s="210" t="s">
        <v>92</v>
      </c>
      <c r="G259" s="210" t="s">
        <v>719</v>
      </c>
      <c r="H259" s="197">
        <v>0</v>
      </c>
      <c r="I259" s="210" t="s">
        <v>142</v>
      </c>
      <c r="J259" s="210">
        <v>2021</v>
      </c>
      <c r="K259" s="210">
        <v>2021</v>
      </c>
      <c r="L259" s="268" t="str">
        <f t="shared" si="49"/>
        <v>Simple</v>
      </c>
      <c r="M259" s="197">
        <v>11396.025978347741</v>
      </c>
      <c r="N259" s="197">
        <v>17094.03896752161</v>
      </c>
      <c r="O259" s="257">
        <f>IF(ISNA(MATCH(H259,'Operating leases'!$B$32:$B$43,0)),0,INDEX('Operating leases'!$M$32:$S$43,MATCH(H259,'Operating leases'!$B$32:$B$43,0),MATCH(J259,'Operating leases'!$M$11:$S$11,0)))</f>
        <v>0</v>
      </c>
      <c r="P259" s="257">
        <f t="shared" si="50"/>
        <v>11396.025978347741</v>
      </c>
      <c r="Q259" s="257">
        <f t="shared" si="51"/>
        <v>28490.064945869352</v>
      </c>
      <c r="R259" s="258">
        <f>INDEX('Escalators '!$M$124:$S$129,MATCH(I259,'Escalators '!$B$124:$B$129,0),MATCH(J259,'Escalators '!$M$113:$S$113,0))</f>
        <v>1.0199504944721745</v>
      </c>
      <c r="S259" s="257">
        <f t="shared" si="52"/>
        <v>0</v>
      </c>
      <c r="T259" s="257">
        <f t="shared" si="53"/>
        <v>17435.073497450285</v>
      </c>
      <c r="U259" s="269">
        <f t="shared" si="54"/>
        <v>11623.382331633526</v>
      </c>
      <c r="V259" s="269">
        <f t="shared" si="55"/>
        <v>29058.45582908381</v>
      </c>
      <c r="W259" s="269">
        <f t="shared" si="56"/>
        <v>11623.382331633526</v>
      </c>
      <c r="X259" s="257">
        <f t="shared" si="57"/>
        <v>29058.45582908381</v>
      </c>
      <c r="Y259" s="270">
        <f>IF(L259="Complex",(INDEX('Escalators '!$M$176:$S$176,MATCH('Forecast capex'!J259,'Escalators '!$M$178:$S$178,0))/12+1)^((K259-J259)*12)-1,0)</f>
        <v>0</v>
      </c>
      <c r="Z259" s="257">
        <f t="shared" si="58"/>
        <v>0</v>
      </c>
      <c r="AA259" s="257">
        <f t="shared" si="59"/>
        <v>0</v>
      </c>
      <c r="AB259" s="269">
        <f t="shared" si="60"/>
        <v>0</v>
      </c>
      <c r="AC259" s="269">
        <f t="shared" si="61"/>
        <v>0</v>
      </c>
      <c r="AD259" s="271" t="str">
        <f>INDEX('Global inputs'!$C$134:$C$171,MATCH(F259,'Global inputs'!$B$134:$B$171,0))</f>
        <v>Asset relocations and undergrounding</v>
      </c>
      <c r="AE259" s="272">
        <f>IF(OR(H259='Operating leases'!$B$32,H259='Operating leases'!$B$33),"",INDEX('Global inputs'!$C$186:$C$243,MATCH(E259,'Global inputs'!$B$186:$B$243,0)))</f>
        <v>0.08</v>
      </c>
    </row>
    <row r="260" spans="1:31" s="27" customFormat="1" x14ac:dyDescent="0.2">
      <c r="A260" s="250"/>
      <c r="B260" s="210" t="s">
        <v>714</v>
      </c>
      <c r="C260" s="210" t="s">
        <v>290</v>
      </c>
      <c r="D260" s="210" t="s">
        <v>718</v>
      </c>
      <c r="E260" s="210" t="s">
        <v>173</v>
      </c>
      <c r="F260" s="210" t="s">
        <v>92</v>
      </c>
      <c r="G260" s="210" t="s">
        <v>719</v>
      </c>
      <c r="H260" s="197">
        <v>0</v>
      </c>
      <c r="I260" s="210" t="s">
        <v>221</v>
      </c>
      <c r="J260" s="210">
        <v>2021</v>
      </c>
      <c r="K260" s="210">
        <v>2021</v>
      </c>
      <c r="L260" s="268" t="str">
        <f t="shared" si="49"/>
        <v>Simple</v>
      </c>
      <c r="M260" s="197">
        <v>2849.0064945869353</v>
      </c>
      <c r="N260" s="197">
        <v>4273.5097418804025</v>
      </c>
      <c r="O260" s="257">
        <f>IF(ISNA(MATCH(H260,'Operating leases'!$B$32:$B$43,0)),0,INDEX('Operating leases'!$M$32:$S$43,MATCH(H260,'Operating leases'!$B$32:$B$43,0),MATCH(J260,'Operating leases'!$M$11:$S$11,0)))</f>
        <v>0</v>
      </c>
      <c r="P260" s="257">
        <f t="shared" si="50"/>
        <v>2849.0064945869353</v>
      </c>
      <c r="Q260" s="257">
        <f t="shared" si="51"/>
        <v>7122.5162364673379</v>
      </c>
      <c r="R260" s="258">
        <f>INDEX('Escalators '!$M$124:$S$129,MATCH(I260,'Escalators '!$B$124:$B$129,0),MATCH(J260,'Escalators '!$M$113:$S$113,0))</f>
        <v>1.0120900655357943</v>
      </c>
      <c r="S260" s="257">
        <f t="shared" si="52"/>
        <v>0</v>
      </c>
      <c r="T260" s="257">
        <f t="shared" si="53"/>
        <v>4325.1767547275922</v>
      </c>
      <c r="U260" s="269">
        <f t="shared" si="54"/>
        <v>2883.4511698183942</v>
      </c>
      <c r="V260" s="269">
        <f t="shared" si="55"/>
        <v>7208.6279245459864</v>
      </c>
      <c r="W260" s="269">
        <f t="shared" si="56"/>
        <v>2883.4511698183942</v>
      </c>
      <c r="X260" s="257">
        <f t="shared" si="57"/>
        <v>7208.6279245459864</v>
      </c>
      <c r="Y260" s="270">
        <f>IF(L260="Complex",(INDEX('Escalators '!$M$176:$S$176,MATCH('Forecast capex'!J260,'Escalators '!$M$178:$S$178,0))/12+1)^((K260-J260)*12)-1,0)</f>
        <v>0</v>
      </c>
      <c r="Z260" s="257">
        <f t="shared" si="58"/>
        <v>0</v>
      </c>
      <c r="AA260" s="257">
        <f t="shared" si="59"/>
        <v>0</v>
      </c>
      <c r="AB260" s="269">
        <f t="shared" si="60"/>
        <v>0</v>
      </c>
      <c r="AC260" s="269">
        <f t="shared" si="61"/>
        <v>0</v>
      </c>
      <c r="AD260" s="271" t="str">
        <f>INDEX('Global inputs'!$C$134:$C$171,MATCH(F260,'Global inputs'!$B$134:$B$171,0))</f>
        <v>Asset relocations and undergrounding</v>
      </c>
      <c r="AE260" s="272">
        <f>IF(OR(H260='Operating leases'!$B$32,H260='Operating leases'!$B$33),"",INDEX('Global inputs'!$C$186:$C$243,MATCH(E260,'Global inputs'!$B$186:$B$243,0)))</f>
        <v>0.08</v>
      </c>
    </row>
    <row r="261" spans="1:31" s="27" customFormat="1" x14ac:dyDescent="0.2">
      <c r="A261" s="250"/>
      <c r="B261" s="210" t="s">
        <v>714</v>
      </c>
      <c r="C261" s="210" t="s">
        <v>290</v>
      </c>
      <c r="D261" s="210" t="s">
        <v>718</v>
      </c>
      <c r="E261" s="210" t="s">
        <v>169</v>
      </c>
      <c r="F261" s="210" t="s">
        <v>92</v>
      </c>
      <c r="G261" s="210" t="s">
        <v>720</v>
      </c>
      <c r="H261" s="197">
        <v>0</v>
      </c>
      <c r="I261" s="210" t="s">
        <v>229</v>
      </c>
      <c r="J261" s="210">
        <v>2021</v>
      </c>
      <c r="K261" s="210">
        <v>2021</v>
      </c>
      <c r="L261" s="268" t="str">
        <f t="shared" si="49"/>
        <v>Simple</v>
      </c>
      <c r="M261" s="197">
        <v>24216.555203988948</v>
      </c>
      <c r="N261" s="197">
        <v>36324.832805983417</v>
      </c>
      <c r="O261" s="257">
        <f>IF(ISNA(MATCH(H261,'Operating leases'!$B$32:$B$43,0)),0,INDEX('Operating leases'!$M$32:$S$43,MATCH(H261,'Operating leases'!$B$32:$B$43,0),MATCH(J261,'Operating leases'!$M$11:$S$11,0)))</f>
        <v>0</v>
      </c>
      <c r="P261" s="257">
        <f t="shared" si="50"/>
        <v>24216.555203988948</v>
      </c>
      <c r="Q261" s="257">
        <f t="shared" si="51"/>
        <v>60541.388009972361</v>
      </c>
      <c r="R261" s="258">
        <f>INDEX('Escalators '!$M$124:$S$129,MATCH(I261,'Escalators '!$B$124:$B$129,0),MATCH(J261,'Escalators '!$M$113:$S$113,0))</f>
        <v>1.0206154571717865</v>
      </c>
      <c r="S261" s="257">
        <f t="shared" si="52"/>
        <v>0</v>
      </c>
      <c r="T261" s="257">
        <f t="shared" si="53"/>
        <v>37073.685840967475</v>
      </c>
      <c r="U261" s="269">
        <f t="shared" si="54"/>
        <v>24715.790560644979</v>
      </c>
      <c r="V261" s="269">
        <f t="shared" si="55"/>
        <v>61789.476401612454</v>
      </c>
      <c r="W261" s="269">
        <f t="shared" si="56"/>
        <v>24715.790560644979</v>
      </c>
      <c r="X261" s="257">
        <f t="shared" si="57"/>
        <v>61789.476401612454</v>
      </c>
      <c r="Y261" s="270">
        <f>IF(L261="Complex",(INDEX('Escalators '!$M$176:$S$176,MATCH('Forecast capex'!J261,'Escalators '!$M$178:$S$178,0))/12+1)^((K261-J261)*12)-1,0)</f>
        <v>0</v>
      </c>
      <c r="Z261" s="257">
        <f t="shared" si="58"/>
        <v>0</v>
      </c>
      <c r="AA261" s="257">
        <f t="shared" si="59"/>
        <v>0</v>
      </c>
      <c r="AB261" s="269">
        <f t="shared" si="60"/>
        <v>0</v>
      </c>
      <c r="AC261" s="269">
        <f t="shared" si="61"/>
        <v>0</v>
      </c>
      <c r="AD261" s="271" t="str">
        <f>INDEX('Global inputs'!$C$134:$C$171,MATCH(F261,'Global inputs'!$B$134:$B$171,0))</f>
        <v>Asset relocations and undergrounding</v>
      </c>
      <c r="AE261" s="272">
        <f>IF(OR(H261='Operating leases'!$B$32,H261='Operating leases'!$B$33),"",INDEX('Global inputs'!$C$186:$C$243,MATCH(E261,'Global inputs'!$B$186:$B$243,0)))</f>
        <v>0.08</v>
      </c>
    </row>
    <row r="262" spans="1:31" s="27" customFormat="1" x14ac:dyDescent="0.2">
      <c r="A262" s="250"/>
      <c r="B262" s="210" t="s">
        <v>714</v>
      </c>
      <c r="C262" s="210" t="s">
        <v>290</v>
      </c>
      <c r="D262" s="210" t="s">
        <v>718</v>
      </c>
      <c r="E262" s="210" t="s">
        <v>169</v>
      </c>
      <c r="F262" s="210" t="s">
        <v>92</v>
      </c>
      <c r="G262" s="210" t="s">
        <v>720</v>
      </c>
      <c r="H262" s="197">
        <v>0</v>
      </c>
      <c r="I262" s="210" t="s">
        <v>221</v>
      </c>
      <c r="J262" s="210">
        <v>2021</v>
      </c>
      <c r="K262" s="210">
        <v>2021</v>
      </c>
      <c r="L262" s="268" t="str">
        <f t="shared" si="49"/>
        <v>Simple</v>
      </c>
      <c r="M262" s="197">
        <v>16144.370135992633</v>
      </c>
      <c r="N262" s="197">
        <v>24216.555203988944</v>
      </c>
      <c r="O262" s="257">
        <f>IF(ISNA(MATCH(H262,'Operating leases'!$B$32:$B$43,0)),0,INDEX('Operating leases'!$M$32:$S$43,MATCH(H262,'Operating leases'!$B$32:$B$43,0),MATCH(J262,'Operating leases'!$M$11:$S$11,0)))</f>
        <v>0</v>
      </c>
      <c r="P262" s="257">
        <f t="shared" si="50"/>
        <v>16144.370135992633</v>
      </c>
      <c r="Q262" s="257">
        <f t="shared" si="51"/>
        <v>40360.925339981579</v>
      </c>
      <c r="R262" s="258">
        <f>INDEX('Escalators '!$M$124:$S$129,MATCH(I262,'Escalators '!$B$124:$B$129,0),MATCH(J262,'Escalators '!$M$113:$S$113,0))</f>
        <v>1.0120900655357943</v>
      </c>
      <c r="S262" s="257">
        <f t="shared" si="52"/>
        <v>0</v>
      </c>
      <c r="T262" s="257">
        <f t="shared" si="53"/>
        <v>24509.33494345635</v>
      </c>
      <c r="U262" s="269">
        <f t="shared" si="54"/>
        <v>16339.55662897091</v>
      </c>
      <c r="V262" s="269">
        <f t="shared" si="55"/>
        <v>40848.891572427259</v>
      </c>
      <c r="W262" s="269">
        <f t="shared" si="56"/>
        <v>16339.55662897091</v>
      </c>
      <c r="X262" s="257">
        <f t="shared" si="57"/>
        <v>40848.891572427259</v>
      </c>
      <c r="Y262" s="270">
        <f>IF(L262="Complex",(INDEX('Escalators '!$M$176:$S$176,MATCH('Forecast capex'!J262,'Escalators '!$M$178:$S$178,0))/12+1)^((K262-J262)*12)-1,0)</f>
        <v>0</v>
      </c>
      <c r="Z262" s="257">
        <f t="shared" si="58"/>
        <v>0</v>
      </c>
      <c r="AA262" s="257">
        <f t="shared" si="59"/>
        <v>0</v>
      </c>
      <c r="AB262" s="269">
        <f t="shared" si="60"/>
        <v>0</v>
      </c>
      <c r="AC262" s="269">
        <f t="shared" si="61"/>
        <v>0</v>
      </c>
      <c r="AD262" s="271" t="str">
        <f>INDEX('Global inputs'!$C$134:$C$171,MATCH(F262,'Global inputs'!$B$134:$B$171,0))</f>
        <v>Asset relocations and undergrounding</v>
      </c>
      <c r="AE262" s="272">
        <f>IF(OR(H262='Operating leases'!$B$32,H262='Operating leases'!$B$33),"",INDEX('Global inputs'!$C$186:$C$243,MATCH(E262,'Global inputs'!$B$186:$B$243,0)))</f>
        <v>0.08</v>
      </c>
    </row>
    <row r="263" spans="1:31" s="27" customFormat="1" x14ac:dyDescent="0.2">
      <c r="A263" s="250"/>
      <c r="B263" s="210" t="s">
        <v>714</v>
      </c>
      <c r="C263" s="210" t="s">
        <v>290</v>
      </c>
      <c r="D263" s="210" t="s">
        <v>718</v>
      </c>
      <c r="E263" s="210" t="s">
        <v>170</v>
      </c>
      <c r="F263" s="210" t="s">
        <v>92</v>
      </c>
      <c r="G263" s="210" t="s">
        <v>721</v>
      </c>
      <c r="H263" s="197">
        <v>0</v>
      </c>
      <c r="I263" s="210" t="s">
        <v>229</v>
      </c>
      <c r="J263" s="210">
        <v>2021</v>
      </c>
      <c r="K263" s="210">
        <v>2021</v>
      </c>
      <c r="L263" s="268" t="str">
        <f t="shared" si="49"/>
        <v>Simple</v>
      </c>
      <c r="M263" s="197">
        <v>21367.548709402014</v>
      </c>
      <c r="N263" s="197">
        <v>32051.32306410302</v>
      </c>
      <c r="O263" s="257">
        <f>IF(ISNA(MATCH(H263,'Operating leases'!$B$32:$B$43,0)),0,INDEX('Operating leases'!$M$32:$S$43,MATCH(H263,'Operating leases'!$B$32:$B$43,0),MATCH(J263,'Operating leases'!$M$11:$S$11,0)))</f>
        <v>0</v>
      </c>
      <c r="P263" s="257">
        <f t="shared" si="50"/>
        <v>21367.548709402014</v>
      </c>
      <c r="Q263" s="257">
        <f t="shared" si="51"/>
        <v>53418.87177350503</v>
      </c>
      <c r="R263" s="258">
        <f>INDEX('Escalators '!$M$124:$S$129,MATCH(I263,'Escalators '!$B$124:$B$129,0),MATCH(J263,'Escalators '!$M$113:$S$113,0))</f>
        <v>1.0206154571717865</v>
      </c>
      <c r="S263" s="257">
        <f t="shared" si="52"/>
        <v>0</v>
      </c>
      <c r="T263" s="257">
        <f t="shared" si="53"/>
        <v>32712.075742030127</v>
      </c>
      <c r="U263" s="269">
        <f t="shared" si="54"/>
        <v>21808.050494686748</v>
      </c>
      <c r="V263" s="269">
        <f t="shared" si="55"/>
        <v>54520.126236716875</v>
      </c>
      <c r="W263" s="269">
        <f t="shared" si="56"/>
        <v>21808.050494686748</v>
      </c>
      <c r="X263" s="257">
        <f t="shared" si="57"/>
        <v>54520.126236716875</v>
      </c>
      <c r="Y263" s="270">
        <f>IF(L263="Complex",(INDEX('Escalators '!$M$176:$S$176,MATCH('Forecast capex'!J263,'Escalators '!$M$178:$S$178,0))/12+1)^((K263-J263)*12)-1,0)</f>
        <v>0</v>
      </c>
      <c r="Z263" s="257">
        <f t="shared" si="58"/>
        <v>0</v>
      </c>
      <c r="AA263" s="257">
        <f t="shared" si="59"/>
        <v>0</v>
      </c>
      <c r="AB263" s="269">
        <f t="shared" si="60"/>
        <v>0</v>
      </c>
      <c r="AC263" s="269">
        <f t="shared" si="61"/>
        <v>0</v>
      </c>
      <c r="AD263" s="271" t="str">
        <f>INDEX('Global inputs'!$C$134:$C$171,MATCH(F263,'Global inputs'!$B$134:$B$171,0))</f>
        <v>Asset relocations and undergrounding</v>
      </c>
      <c r="AE263" s="272">
        <f>IF(OR(H263='Operating leases'!$B$32,H263='Operating leases'!$B$33),"",INDEX('Global inputs'!$C$186:$C$243,MATCH(E263,'Global inputs'!$B$186:$B$243,0)))</f>
        <v>0.08</v>
      </c>
    </row>
    <row r="264" spans="1:31" s="27" customFormat="1" x14ac:dyDescent="0.2">
      <c r="A264" s="250"/>
      <c r="B264" s="210" t="s">
        <v>714</v>
      </c>
      <c r="C264" s="210" t="s">
        <v>290</v>
      </c>
      <c r="D264" s="210" t="s">
        <v>718</v>
      </c>
      <c r="E264" s="210" t="s">
        <v>170</v>
      </c>
      <c r="F264" s="210" t="s">
        <v>92</v>
      </c>
      <c r="G264" s="210" t="s">
        <v>721</v>
      </c>
      <c r="H264" s="197">
        <v>0</v>
      </c>
      <c r="I264" s="210" t="s">
        <v>221</v>
      </c>
      <c r="J264" s="210">
        <v>2021</v>
      </c>
      <c r="K264" s="210">
        <v>2021</v>
      </c>
      <c r="L264" s="268" t="str">
        <f t="shared" si="49"/>
        <v>Simple</v>
      </c>
      <c r="M264" s="197">
        <v>21367.548709402014</v>
      </c>
      <c r="N264" s="197">
        <v>32051.32306410302</v>
      </c>
      <c r="O264" s="257">
        <f>IF(ISNA(MATCH(H264,'Operating leases'!$B$32:$B$43,0)),0,INDEX('Operating leases'!$M$32:$S$43,MATCH(H264,'Operating leases'!$B$32:$B$43,0),MATCH(J264,'Operating leases'!$M$11:$S$11,0)))</f>
        <v>0</v>
      </c>
      <c r="P264" s="257">
        <f t="shared" si="50"/>
        <v>21367.548709402014</v>
      </c>
      <c r="Q264" s="257">
        <f t="shared" si="51"/>
        <v>53418.87177350503</v>
      </c>
      <c r="R264" s="258">
        <f>INDEX('Escalators '!$M$124:$S$129,MATCH(I264,'Escalators '!$B$124:$B$129,0),MATCH(J264,'Escalators '!$M$113:$S$113,0))</f>
        <v>1.0120900655357943</v>
      </c>
      <c r="S264" s="257">
        <f t="shared" si="52"/>
        <v>0</v>
      </c>
      <c r="T264" s="257">
        <f t="shared" si="53"/>
        <v>32438.82566045694</v>
      </c>
      <c r="U264" s="269">
        <f t="shared" si="54"/>
        <v>21625.883773637957</v>
      </c>
      <c r="V264" s="269">
        <f t="shared" si="55"/>
        <v>54064.709434094897</v>
      </c>
      <c r="W264" s="269">
        <f t="shared" si="56"/>
        <v>21625.883773637957</v>
      </c>
      <c r="X264" s="257">
        <f t="shared" si="57"/>
        <v>54064.709434094897</v>
      </c>
      <c r="Y264" s="270">
        <f>IF(L264="Complex",(INDEX('Escalators '!$M$176:$S$176,MATCH('Forecast capex'!J264,'Escalators '!$M$178:$S$178,0))/12+1)^((K264-J264)*12)-1,0)</f>
        <v>0</v>
      </c>
      <c r="Z264" s="257">
        <f t="shared" si="58"/>
        <v>0</v>
      </c>
      <c r="AA264" s="257">
        <f t="shared" si="59"/>
        <v>0</v>
      </c>
      <c r="AB264" s="269">
        <f t="shared" si="60"/>
        <v>0</v>
      </c>
      <c r="AC264" s="269">
        <f t="shared" si="61"/>
        <v>0</v>
      </c>
      <c r="AD264" s="271" t="str">
        <f>INDEX('Global inputs'!$C$134:$C$171,MATCH(F264,'Global inputs'!$B$134:$B$171,0))</f>
        <v>Asset relocations and undergrounding</v>
      </c>
      <c r="AE264" s="272">
        <f>IF(OR(H264='Operating leases'!$B$32,H264='Operating leases'!$B$33),"",INDEX('Global inputs'!$C$186:$C$243,MATCH(E264,'Global inputs'!$B$186:$B$243,0)))</f>
        <v>0.08</v>
      </c>
    </row>
    <row r="265" spans="1:31" s="27" customFormat="1" x14ac:dyDescent="0.2">
      <c r="A265" s="250"/>
      <c r="B265" s="210" t="s">
        <v>714</v>
      </c>
      <c r="C265" s="210" t="s">
        <v>288</v>
      </c>
      <c r="D265" s="210" t="s">
        <v>718</v>
      </c>
      <c r="E265" s="210" t="s">
        <v>160</v>
      </c>
      <c r="F265" s="210" t="s">
        <v>92</v>
      </c>
      <c r="G265" s="210" t="s">
        <v>722</v>
      </c>
      <c r="H265" s="197">
        <v>0</v>
      </c>
      <c r="I265" s="210" t="s">
        <v>229</v>
      </c>
      <c r="J265" s="210">
        <v>2021</v>
      </c>
      <c r="K265" s="210">
        <v>2021</v>
      </c>
      <c r="L265" s="268" t="str">
        <f t="shared" si="49"/>
        <v>Simple</v>
      </c>
      <c r="M265" s="197">
        <v>13057.946433523452</v>
      </c>
      <c r="N265" s="197">
        <v>19586.919650285174</v>
      </c>
      <c r="O265" s="257">
        <f>IF(ISNA(MATCH(H265,'Operating leases'!$B$32:$B$43,0)),0,INDEX('Operating leases'!$M$32:$S$43,MATCH(H265,'Operating leases'!$B$32:$B$43,0),MATCH(J265,'Operating leases'!$M$11:$S$11,0)))</f>
        <v>0</v>
      </c>
      <c r="P265" s="257">
        <f t="shared" si="50"/>
        <v>13057.946433523452</v>
      </c>
      <c r="Q265" s="257">
        <f t="shared" si="51"/>
        <v>32644.866083808625</v>
      </c>
      <c r="R265" s="258">
        <f>INDEX('Escalators '!$M$124:$S$129,MATCH(I265,'Escalators '!$B$124:$B$129,0),MATCH(J265,'Escalators '!$M$113:$S$113,0))</f>
        <v>1.0206154571717865</v>
      </c>
      <c r="S265" s="257">
        <f t="shared" si="52"/>
        <v>0</v>
      </c>
      <c r="T265" s="257">
        <f t="shared" si="53"/>
        <v>19990.712953462851</v>
      </c>
      <c r="U265" s="269">
        <f t="shared" si="54"/>
        <v>13327.141968975233</v>
      </c>
      <c r="V265" s="269">
        <f t="shared" si="55"/>
        <v>33317.854922438084</v>
      </c>
      <c r="W265" s="269">
        <f t="shared" si="56"/>
        <v>13327.141968975233</v>
      </c>
      <c r="X265" s="257">
        <f t="shared" si="57"/>
        <v>33317.854922438084</v>
      </c>
      <c r="Y265" s="270">
        <f>IF(L265="Complex",(INDEX('Escalators '!$M$176:$S$176,MATCH('Forecast capex'!J265,'Escalators '!$M$178:$S$178,0))/12+1)^((K265-J265)*12)-1,0)</f>
        <v>0</v>
      </c>
      <c r="Z265" s="257">
        <f t="shared" si="58"/>
        <v>0</v>
      </c>
      <c r="AA265" s="257">
        <f t="shared" si="59"/>
        <v>0</v>
      </c>
      <c r="AB265" s="269">
        <f t="shared" si="60"/>
        <v>0</v>
      </c>
      <c r="AC265" s="269">
        <f t="shared" si="61"/>
        <v>0</v>
      </c>
      <c r="AD265" s="271" t="str">
        <f>INDEX('Global inputs'!$C$134:$C$171,MATCH(F265,'Global inputs'!$B$134:$B$171,0))</f>
        <v>Asset relocations and undergrounding</v>
      </c>
      <c r="AE265" s="272">
        <f>IF(OR(H265='Operating leases'!$B$32,H265='Operating leases'!$B$33),"",INDEX('Global inputs'!$C$186:$C$243,MATCH(E265,'Global inputs'!$B$186:$B$243,0)))</f>
        <v>0.08</v>
      </c>
    </row>
    <row r="266" spans="1:31" s="27" customFormat="1" x14ac:dyDescent="0.2">
      <c r="A266" s="250"/>
      <c r="B266" s="210" t="s">
        <v>714</v>
      </c>
      <c r="C266" s="210" t="s">
        <v>288</v>
      </c>
      <c r="D266" s="210" t="s">
        <v>718</v>
      </c>
      <c r="E266" s="210" t="s">
        <v>160</v>
      </c>
      <c r="F266" s="210" t="s">
        <v>92</v>
      </c>
      <c r="G266" s="210" t="s">
        <v>722</v>
      </c>
      <c r="H266" s="197">
        <v>0</v>
      </c>
      <c r="I266" s="210" t="s">
        <v>221</v>
      </c>
      <c r="J266" s="210">
        <v>2021</v>
      </c>
      <c r="K266" s="210">
        <v>2021</v>
      </c>
      <c r="L266" s="268" t="str">
        <f t="shared" ref="L266:L329" si="62">IF(J266=K266,"Simple","Complex")</f>
        <v>Simple</v>
      </c>
      <c r="M266" s="197">
        <v>13057.946433523452</v>
      </c>
      <c r="N266" s="197">
        <v>19586.919650285174</v>
      </c>
      <c r="O266" s="257">
        <f>IF(ISNA(MATCH(H266,'Operating leases'!$B$32:$B$43,0)),0,INDEX('Operating leases'!$M$32:$S$43,MATCH(H266,'Operating leases'!$B$32:$B$43,0),MATCH(J266,'Operating leases'!$M$11:$S$11,0)))</f>
        <v>0</v>
      </c>
      <c r="P266" s="257">
        <f t="shared" ref="P266:P329" si="63">O266+M266</f>
        <v>13057.946433523452</v>
      </c>
      <c r="Q266" s="257">
        <f t="shared" ref="Q266:Q329" si="64">M266+N266+O266</f>
        <v>32644.866083808625</v>
      </c>
      <c r="R266" s="258">
        <f>INDEX('Escalators '!$M$124:$S$129,MATCH(I266,'Escalators '!$B$124:$B$129,0),MATCH(J266,'Escalators '!$M$113:$S$113,0))</f>
        <v>1.0120900655357943</v>
      </c>
      <c r="S266" s="257">
        <f t="shared" ref="S266:S329" si="65">O266*R266</f>
        <v>0</v>
      </c>
      <c r="T266" s="257">
        <f t="shared" ref="T266:T329" si="66">N266*R266</f>
        <v>19823.726792501457</v>
      </c>
      <c r="U266" s="269">
        <f t="shared" ref="U266:U329" si="67">W266-S266</f>
        <v>13215.817861667641</v>
      </c>
      <c r="V266" s="269">
        <f t="shared" ref="V266:V329" si="68">U266+T266</f>
        <v>33039.544654169098</v>
      </c>
      <c r="W266" s="269">
        <f t="shared" ref="W266:W329" si="69">X266-T266</f>
        <v>13215.817861667641</v>
      </c>
      <c r="X266" s="257">
        <f t="shared" ref="X266:X329" si="70">Q266*R266</f>
        <v>33039.544654169098</v>
      </c>
      <c r="Y266" s="270">
        <f>IF(L266="Complex",(INDEX('Escalators '!$M$176:$S$176,MATCH('Forecast capex'!J266,'Escalators '!$M$178:$S$178,0))/12+1)^((K266-J266)*12)-1,0)</f>
        <v>0</v>
      </c>
      <c r="Z266" s="257">
        <f t="shared" ref="Z266:Z329" si="71">P266*Y266</f>
        <v>0</v>
      </c>
      <c r="AA266" s="257">
        <f t="shared" ref="AA266:AA329" si="72">W266*Y266</f>
        <v>0</v>
      </c>
      <c r="AB266" s="269">
        <f t="shared" ref="AB266:AB329" si="73">IF(L266="Complex",AC266-T266,0)</f>
        <v>0</v>
      </c>
      <c r="AC266" s="269">
        <f t="shared" ref="AC266:AC329" si="74">IF(L266="Complex",V266+AA266,0)</f>
        <v>0</v>
      </c>
      <c r="AD266" s="271" t="str">
        <f>INDEX('Global inputs'!$C$134:$C$171,MATCH(F266,'Global inputs'!$B$134:$B$171,0))</f>
        <v>Asset relocations and undergrounding</v>
      </c>
      <c r="AE266" s="272">
        <f>IF(OR(H266='Operating leases'!$B$32,H266='Operating leases'!$B$33),"",INDEX('Global inputs'!$C$186:$C$243,MATCH(E266,'Global inputs'!$B$186:$B$243,0)))</f>
        <v>0.08</v>
      </c>
    </row>
    <row r="267" spans="1:31" s="27" customFormat="1" x14ac:dyDescent="0.2">
      <c r="A267" s="250"/>
      <c r="B267" s="210" t="s">
        <v>714</v>
      </c>
      <c r="C267" s="210" t="s">
        <v>289</v>
      </c>
      <c r="D267" s="210" t="s">
        <v>723</v>
      </c>
      <c r="E267" s="210" t="s">
        <v>164</v>
      </c>
      <c r="F267" s="210" t="s">
        <v>92</v>
      </c>
      <c r="G267" s="210" t="s">
        <v>724</v>
      </c>
      <c r="H267" s="197">
        <v>0</v>
      </c>
      <c r="I267" s="210" t="s">
        <v>139</v>
      </c>
      <c r="J267" s="210">
        <v>2021</v>
      </c>
      <c r="K267" s="210">
        <v>2021</v>
      </c>
      <c r="L267" s="268" t="str">
        <f t="shared" si="62"/>
        <v>Simple</v>
      </c>
      <c r="M267" s="197">
        <v>15194.701304463655</v>
      </c>
      <c r="N267" s="197">
        <v>22792.051956695479</v>
      </c>
      <c r="O267" s="257">
        <f>IF(ISNA(MATCH(H267,'Operating leases'!$B$32:$B$43,0)),0,INDEX('Operating leases'!$M$32:$S$43,MATCH(H267,'Operating leases'!$B$32:$B$43,0),MATCH(J267,'Operating leases'!$M$11:$S$11,0)))</f>
        <v>0</v>
      </c>
      <c r="P267" s="257">
        <f t="shared" si="63"/>
        <v>15194.701304463655</v>
      </c>
      <c r="Q267" s="257">
        <f t="shared" si="64"/>
        <v>37986.75326115913</v>
      </c>
      <c r="R267" s="258">
        <f>INDEX('Escalators '!$M$124:$S$129,MATCH(I267,'Escalators '!$B$124:$B$129,0),MATCH(J267,'Escalators '!$M$113:$S$113,0))</f>
        <v>1.005513233090898</v>
      </c>
      <c r="S267" s="257">
        <f t="shared" si="65"/>
        <v>0</v>
      </c>
      <c r="T267" s="257">
        <f t="shared" si="66"/>
        <v>22917.709851752599</v>
      </c>
      <c r="U267" s="269">
        <f t="shared" si="67"/>
        <v>15278.473234501729</v>
      </c>
      <c r="V267" s="269">
        <f t="shared" si="68"/>
        <v>38196.183086254328</v>
      </c>
      <c r="W267" s="269">
        <f t="shared" si="69"/>
        <v>15278.473234501729</v>
      </c>
      <c r="X267" s="257">
        <f t="shared" si="70"/>
        <v>38196.183086254328</v>
      </c>
      <c r="Y267" s="270">
        <f>IF(L267="Complex",(INDEX('Escalators '!$M$176:$S$176,MATCH('Forecast capex'!J267,'Escalators '!$M$178:$S$178,0))/12+1)^((K267-J267)*12)-1,0)</f>
        <v>0</v>
      </c>
      <c r="Z267" s="257">
        <f t="shared" si="71"/>
        <v>0</v>
      </c>
      <c r="AA267" s="257">
        <f t="shared" si="72"/>
        <v>0</v>
      </c>
      <c r="AB267" s="269">
        <f t="shared" si="73"/>
        <v>0</v>
      </c>
      <c r="AC267" s="269">
        <f t="shared" si="74"/>
        <v>0</v>
      </c>
      <c r="AD267" s="271" t="str">
        <f>INDEX('Global inputs'!$C$134:$C$171,MATCH(F267,'Global inputs'!$B$134:$B$171,0))</f>
        <v>Asset relocations and undergrounding</v>
      </c>
      <c r="AE267" s="272">
        <f>IF(OR(H267='Operating leases'!$B$32,H267='Operating leases'!$B$33),"",INDEX('Global inputs'!$C$186:$C$243,MATCH(E267,'Global inputs'!$B$186:$B$243,0)))</f>
        <v>0.08</v>
      </c>
    </row>
    <row r="268" spans="1:31" s="27" customFormat="1" x14ac:dyDescent="0.2">
      <c r="A268" s="250"/>
      <c r="B268" s="210" t="s">
        <v>714</v>
      </c>
      <c r="C268" s="210" t="s">
        <v>289</v>
      </c>
      <c r="D268" s="210" t="s">
        <v>723</v>
      </c>
      <c r="E268" s="210" t="s">
        <v>164</v>
      </c>
      <c r="F268" s="210" t="s">
        <v>92</v>
      </c>
      <c r="G268" s="210" t="s">
        <v>724</v>
      </c>
      <c r="H268" s="197">
        <v>0</v>
      </c>
      <c r="I268" s="210" t="s">
        <v>221</v>
      </c>
      <c r="J268" s="210">
        <v>2021</v>
      </c>
      <c r="K268" s="210">
        <v>2021</v>
      </c>
      <c r="L268" s="268" t="str">
        <f t="shared" si="62"/>
        <v>Simple</v>
      </c>
      <c r="M268" s="197">
        <v>3798.6753261159138</v>
      </c>
      <c r="N268" s="197">
        <v>5698.0129891738698</v>
      </c>
      <c r="O268" s="257">
        <f>IF(ISNA(MATCH(H268,'Operating leases'!$B$32:$B$43,0)),0,INDEX('Operating leases'!$M$32:$S$43,MATCH(H268,'Operating leases'!$B$32:$B$43,0),MATCH(J268,'Operating leases'!$M$11:$S$11,0)))</f>
        <v>0</v>
      </c>
      <c r="P268" s="257">
        <f t="shared" si="63"/>
        <v>3798.6753261159138</v>
      </c>
      <c r="Q268" s="257">
        <f t="shared" si="64"/>
        <v>9496.6883152897826</v>
      </c>
      <c r="R268" s="258">
        <f>INDEX('Escalators '!$M$124:$S$129,MATCH(I268,'Escalators '!$B$124:$B$129,0),MATCH(J268,'Escalators '!$M$113:$S$113,0))</f>
        <v>1.0120900655357943</v>
      </c>
      <c r="S268" s="257">
        <f t="shared" si="65"/>
        <v>0</v>
      </c>
      <c r="T268" s="257">
        <f t="shared" si="66"/>
        <v>5766.9023396367893</v>
      </c>
      <c r="U268" s="269">
        <f t="shared" si="67"/>
        <v>3844.601559757858</v>
      </c>
      <c r="V268" s="269">
        <f t="shared" si="68"/>
        <v>9611.5038993946473</v>
      </c>
      <c r="W268" s="269">
        <f t="shared" si="69"/>
        <v>3844.601559757858</v>
      </c>
      <c r="X268" s="257">
        <f t="shared" si="70"/>
        <v>9611.5038993946473</v>
      </c>
      <c r="Y268" s="270">
        <f>IF(L268="Complex",(INDEX('Escalators '!$M$176:$S$176,MATCH('Forecast capex'!J268,'Escalators '!$M$178:$S$178,0))/12+1)^((K268-J268)*12)-1,0)</f>
        <v>0</v>
      </c>
      <c r="Z268" s="257">
        <f t="shared" si="71"/>
        <v>0</v>
      </c>
      <c r="AA268" s="257">
        <f t="shared" si="72"/>
        <v>0</v>
      </c>
      <c r="AB268" s="269">
        <f t="shared" si="73"/>
        <v>0</v>
      </c>
      <c r="AC268" s="269">
        <f t="shared" si="74"/>
        <v>0</v>
      </c>
      <c r="AD268" s="271" t="str">
        <f>INDEX('Global inputs'!$C$134:$C$171,MATCH(F268,'Global inputs'!$B$134:$B$171,0))</f>
        <v>Asset relocations and undergrounding</v>
      </c>
      <c r="AE268" s="272">
        <f>IF(OR(H268='Operating leases'!$B$32,H268='Operating leases'!$B$33),"",INDEX('Global inputs'!$C$186:$C$243,MATCH(E268,'Global inputs'!$B$186:$B$243,0)))</f>
        <v>0.08</v>
      </c>
    </row>
    <row r="269" spans="1:31" s="27" customFormat="1" x14ac:dyDescent="0.2">
      <c r="A269" s="250"/>
      <c r="B269" s="210" t="s">
        <v>714</v>
      </c>
      <c r="C269" s="210" t="s">
        <v>289</v>
      </c>
      <c r="D269" s="210" t="s">
        <v>723</v>
      </c>
      <c r="E269" s="210" t="s">
        <v>163</v>
      </c>
      <c r="F269" s="210" t="s">
        <v>92</v>
      </c>
      <c r="G269" s="210" t="s">
        <v>725</v>
      </c>
      <c r="H269" s="197">
        <v>0</v>
      </c>
      <c r="I269" s="210" t="s">
        <v>139</v>
      </c>
      <c r="J269" s="210">
        <v>2021</v>
      </c>
      <c r="K269" s="210">
        <v>2021</v>
      </c>
      <c r="L269" s="268" t="str">
        <f t="shared" si="62"/>
        <v>Simple</v>
      </c>
      <c r="M269" s="197">
        <v>17094.03896752161</v>
      </c>
      <c r="N269" s="197">
        <v>25641.058451282413</v>
      </c>
      <c r="O269" s="257">
        <f>IF(ISNA(MATCH(H269,'Operating leases'!$B$32:$B$43,0)),0,INDEX('Operating leases'!$M$32:$S$43,MATCH(H269,'Operating leases'!$B$32:$B$43,0),MATCH(J269,'Operating leases'!$M$11:$S$11,0)))</f>
        <v>0</v>
      </c>
      <c r="P269" s="257">
        <f t="shared" si="63"/>
        <v>17094.03896752161</v>
      </c>
      <c r="Q269" s="257">
        <f t="shared" si="64"/>
        <v>42735.097418804027</v>
      </c>
      <c r="R269" s="258">
        <f>INDEX('Escalators '!$M$124:$S$129,MATCH(I269,'Escalators '!$B$124:$B$129,0),MATCH(J269,'Escalators '!$M$113:$S$113,0))</f>
        <v>1.005513233090898</v>
      </c>
      <c r="S269" s="257">
        <f t="shared" si="65"/>
        <v>0</v>
      </c>
      <c r="T269" s="257">
        <f t="shared" si="66"/>
        <v>25782.423583221673</v>
      </c>
      <c r="U269" s="269">
        <f t="shared" si="67"/>
        <v>17188.282388814456</v>
      </c>
      <c r="V269" s="269">
        <f t="shared" si="68"/>
        <v>42970.705972036129</v>
      </c>
      <c r="W269" s="269">
        <f t="shared" si="69"/>
        <v>17188.282388814456</v>
      </c>
      <c r="X269" s="257">
        <f t="shared" si="70"/>
        <v>42970.705972036129</v>
      </c>
      <c r="Y269" s="270">
        <f>IF(L269="Complex",(INDEX('Escalators '!$M$176:$S$176,MATCH('Forecast capex'!J269,'Escalators '!$M$178:$S$178,0))/12+1)^((K269-J269)*12)-1,0)</f>
        <v>0</v>
      </c>
      <c r="Z269" s="257">
        <f t="shared" si="71"/>
        <v>0</v>
      </c>
      <c r="AA269" s="257">
        <f t="shared" si="72"/>
        <v>0</v>
      </c>
      <c r="AB269" s="269">
        <f t="shared" si="73"/>
        <v>0</v>
      </c>
      <c r="AC269" s="269">
        <f t="shared" si="74"/>
        <v>0</v>
      </c>
      <c r="AD269" s="271" t="str">
        <f>INDEX('Global inputs'!$C$134:$C$171,MATCH(F269,'Global inputs'!$B$134:$B$171,0))</f>
        <v>Asset relocations and undergrounding</v>
      </c>
      <c r="AE269" s="272">
        <f>IF(OR(H269='Operating leases'!$B$32,H269='Operating leases'!$B$33),"",INDEX('Global inputs'!$C$186:$C$243,MATCH(E269,'Global inputs'!$B$186:$B$243,0)))</f>
        <v>0.08</v>
      </c>
    </row>
    <row r="270" spans="1:31" s="27" customFormat="1" x14ac:dyDescent="0.2">
      <c r="A270" s="250"/>
      <c r="B270" s="210" t="s">
        <v>714</v>
      </c>
      <c r="C270" s="210" t="s">
        <v>289</v>
      </c>
      <c r="D270" s="210" t="s">
        <v>723</v>
      </c>
      <c r="E270" s="210" t="s">
        <v>163</v>
      </c>
      <c r="F270" s="210" t="s">
        <v>92</v>
      </c>
      <c r="G270" s="210" t="s">
        <v>725</v>
      </c>
      <c r="H270" s="197">
        <v>0</v>
      </c>
      <c r="I270" s="210" t="s">
        <v>221</v>
      </c>
      <c r="J270" s="210">
        <v>2021</v>
      </c>
      <c r="K270" s="210">
        <v>2021</v>
      </c>
      <c r="L270" s="268" t="str">
        <f t="shared" si="62"/>
        <v>Simple</v>
      </c>
      <c r="M270" s="197">
        <v>4273.5097418804025</v>
      </c>
      <c r="N270" s="197">
        <v>6410.2646128206034</v>
      </c>
      <c r="O270" s="257">
        <f>IF(ISNA(MATCH(H270,'Operating leases'!$B$32:$B$43,0)),0,INDEX('Operating leases'!$M$32:$S$43,MATCH(H270,'Operating leases'!$B$32:$B$43,0),MATCH(J270,'Operating leases'!$M$11:$S$11,0)))</f>
        <v>0</v>
      </c>
      <c r="P270" s="257">
        <f t="shared" si="63"/>
        <v>4273.5097418804025</v>
      </c>
      <c r="Q270" s="257">
        <f t="shared" si="64"/>
        <v>10683.774354701007</v>
      </c>
      <c r="R270" s="258">
        <f>INDEX('Escalators '!$M$124:$S$129,MATCH(I270,'Escalators '!$B$124:$B$129,0),MATCH(J270,'Escalators '!$M$113:$S$113,0))</f>
        <v>1.0120900655357943</v>
      </c>
      <c r="S270" s="257">
        <f t="shared" si="65"/>
        <v>0</v>
      </c>
      <c r="T270" s="257">
        <f t="shared" si="66"/>
        <v>6487.7651320913874</v>
      </c>
      <c r="U270" s="269">
        <f t="shared" si="67"/>
        <v>4325.1767547275931</v>
      </c>
      <c r="V270" s="269">
        <f t="shared" si="68"/>
        <v>10812.94188681898</v>
      </c>
      <c r="W270" s="269">
        <f t="shared" si="69"/>
        <v>4325.1767547275931</v>
      </c>
      <c r="X270" s="257">
        <f t="shared" si="70"/>
        <v>10812.94188681898</v>
      </c>
      <c r="Y270" s="270">
        <f>IF(L270="Complex",(INDEX('Escalators '!$M$176:$S$176,MATCH('Forecast capex'!J270,'Escalators '!$M$178:$S$178,0))/12+1)^((K270-J270)*12)-1,0)</f>
        <v>0</v>
      </c>
      <c r="Z270" s="257">
        <f t="shared" si="71"/>
        <v>0</v>
      </c>
      <c r="AA270" s="257">
        <f t="shared" si="72"/>
        <v>0</v>
      </c>
      <c r="AB270" s="269">
        <f t="shared" si="73"/>
        <v>0</v>
      </c>
      <c r="AC270" s="269">
        <f t="shared" si="74"/>
        <v>0</v>
      </c>
      <c r="AD270" s="271" t="str">
        <f>INDEX('Global inputs'!$C$134:$C$171,MATCH(F270,'Global inputs'!$B$134:$B$171,0))</f>
        <v>Asset relocations and undergrounding</v>
      </c>
      <c r="AE270" s="272">
        <f>IF(OR(H270='Operating leases'!$B$32,H270='Operating leases'!$B$33),"",INDEX('Global inputs'!$C$186:$C$243,MATCH(E270,'Global inputs'!$B$186:$B$243,0)))</f>
        <v>0.08</v>
      </c>
    </row>
    <row r="271" spans="1:31" s="27" customFormat="1" x14ac:dyDescent="0.2">
      <c r="A271" s="250"/>
      <c r="B271" s="210" t="s">
        <v>714</v>
      </c>
      <c r="C271" s="210" t="s">
        <v>285</v>
      </c>
      <c r="D271" s="210" t="s">
        <v>223</v>
      </c>
      <c r="E271" s="210" t="s">
        <v>134</v>
      </c>
      <c r="F271" s="210" t="s">
        <v>92</v>
      </c>
      <c r="G271" s="210" t="s">
        <v>726</v>
      </c>
      <c r="H271" s="197">
        <v>0</v>
      </c>
      <c r="I271" s="210" t="s">
        <v>223</v>
      </c>
      <c r="J271" s="210">
        <v>2021</v>
      </c>
      <c r="K271" s="210">
        <v>2021</v>
      </c>
      <c r="L271" s="268" t="str">
        <f t="shared" si="62"/>
        <v>Simple</v>
      </c>
      <c r="M271" s="197">
        <v>5698.0129891738707</v>
      </c>
      <c r="N271" s="197">
        <v>8547.0194837608051</v>
      </c>
      <c r="O271" s="257">
        <f>IF(ISNA(MATCH(H271,'Operating leases'!$B$32:$B$43,0)),0,INDEX('Operating leases'!$M$32:$S$43,MATCH(H271,'Operating leases'!$B$32:$B$43,0),MATCH(J271,'Operating leases'!$M$11:$S$11,0)))</f>
        <v>0</v>
      </c>
      <c r="P271" s="257">
        <f t="shared" si="63"/>
        <v>5698.0129891738707</v>
      </c>
      <c r="Q271" s="257">
        <f t="shared" si="64"/>
        <v>14245.032472934676</v>
      </c>
      <c r="R271" s="258">
        <f>INDEX('Escalators '!$M$124:$S$129,MATCH(I271,'Escalators '!$B$124:$B$129,0),MATCH(J271,'Escalators '!$M$113:$S$113,0))</f>
        <v>1.0239888729183189</v>
      </c>
      <c r="S271" s="257">
        <f t="shared" si="65"/>
        <v>0</v>
      </c>
      <c r="T271" s="257">
        <f t="shared" si="66"/>
        <v>8752.0528479871391</v>
      </c>
      <c r="U271" s="269">
        <f t="shared" si="67"/>
        <v>5834.7018986580915</v>
      </c>
      <c r="V271" s="269">
        <f t="shared" si="68"/>
        <v>14586.754746645231</v>
      </c>
      <c r="W271" s="269">
        <f t="shared" si="69"/>
        <v>5834.7018986580915</v>
      </c>
      <c r="X271" s="257">
        <f t="shared" si="70"/>
        <v>14586.754746645231</v>
      </c>
      <c r="Y271" s="270">
        <f>IF(L271="Complex",(INDEX('Escalators '!$M$176:$S$176,MATCH('Forecast capex'!J271,'Escalators '!$M$178:$S$178,0))/12+1)^((K271-J271)*12)-1,0)</f>
        <v>0</v>
      </c>
      <c r="Z271" s="257">
        <f t="shared" si="71"/>
        <v>0</v>
      </c>
      <c r="AA271" s="257">
        <f t="shared" si="72"/>
        <v>0</v>
      </c>
      <c r="AB271" s="269">
        <f t="shared" si="73"/>
        <v>0</v>
      </c>
      <c r="AC271" s="269">
        <f t="shared" si="74"/>
        <v>0</v>
      </c>
      <c r="AD271" s="271" t="str">
        <f>INDEX('Global inputs'!$C$134:$C$171,MATCH(F271,'Global inputs'!$B$134:$B$171,0))</f>
        <v>Asset relocations and undergrounding</v>
      </c>
      <c r="AE271" s="272">
        <f>IF(OR(H271='Operating leases'!$B$32,H271='Operating leases'!$B$33),"",INDEX('Global inputs'!$C$186:$C$243,MATCH(E271,'Global inputs'!$B$186:$B$243,0)))</f>
        <v>0.08</v>
      </c>
    </row>
    <row r="272" spans="1:31" s="27" customFormat="1" x14ac:dyDescent="0.2">
      <c r="A272" s="250"/>
      <c r="B272" s="210" t="s">
        <v>714</v>
      </c>
      <c r="C272" s="210" t="s">
        <v>285</v>
      </c>
      <c r="D272" s="210" t="s">
        <v>223</v>
      </c>
      <c r="E272" s="210" t="s">
        <v>134</v>
      </c>
      <c r="F272" s="210" t="s">
        <v>92</v>
      </c>
      <c r="G272" s="210" t="s">
        <v>726</v>
      </c>
      <c r="H272" s="197">
        <v>0</v>
      </c>
      <c r="I272" s="210" t="s">
        <v>221</v>
      </c>
      <c r="J272" s="210">
        <v>2021</v>
      </c>
      <c r="K272" s="210">
        <v>2021</v>
      </c>
      <c r="L272" s="268" t="str">
        <f t="shared" si="62"/>
        <v>Simple</v>
      </c>
      <c r="M272" s="197">
        <v>13295.363641405698</v>
      </c>
      <c r="N272" s="197">
        <v>19943.045462108545</v>
      </c>
      <c r="O272" s="257">
        <f>IF(ISNA(MATCH(H272,'Operating leases'!$B$32:$B$43,0)),0,INDEX('Operating leases'!$M$32:$S$43,MATCH(H272,'Operating leases'!$B$32:$B$43,0),MATCH(J272,'Operating leases'!$M$11:$S$11,0)))</f>
        <v>0</v>
      </c>
      <c r="P272" s="257">
        <f t="shared" si="63"/>
        <v>13295.363641405698</v>
      </c>
      <c r="Q272" s="257">
        <f t="shared" si="64"/>
        <v>33238.409103514241</v>
      </c>
      <c r="R272" s="258">
        <f>INDEX('Escalators '!$M$124:$S$129,MATCH(I272,'Escalators '!$B$124:$B$129,0),MATCH(J272,'Escalators '!$M$113:$S$113,0))</f>
        <v>1.0120900655357943</v>
      </c>
      <c r="S272" s="257">
        <f t="shared" si="65"/>
        <v>0</v>
      </c>
      <c r="T272" s="257">
        <f t="shared" si="66"/>
        <v>20184.158188728761</v>
      </c>
      <c r="U272" s="269">
        <f t="shared" si="67"/>
        <v>13456.10545915251</v>
      </c>
      <c r="V272" s="269">
        <f t="shared" si="68"/>
        <v>33640.263647881271</v>
      </c>
      <c r="W272" s="269">
        <f t="shared" si="69"/>
        <v>13456.10545915251</v>
      </c>
      <c r="X272" s="257">
        <f t="shared" si="70"/>
        <v>33640.263647881271</v>
      </c>
      <c r="Y272" s="270">
        <f>IF(L272="Complex",(INDEX('Escalators '!$M$176:$S$176,MATCH('Forecast capex'!J272,'Escalators '!$M$178:$S$178,0))/12+1)^((K272-J272)*12)-1,0)</f>
        <v>0</v>
      </c>
      <c r="Z272" s="257">
        <f t="shared" si="71"/>
        <v>0</v>
      </c>
      <c r="AA272" s="257">
        <f t="shared" si="72"/>
        <v>0</v>
      </c>
      <c r="AB272" s="269">
        <f t="shared" si="73"/>
        <v>0</v>
      </c>
      <c r="AC272" s="269">
        <f t="shared" si="74"/>
        <v>0</v>
      </c>
      <c r="AD272" s="271" t="str">
        <f>INDEX('Global inputs'!$C$134:$C$171,MATCH(F272,'Global inputs'!$B$134:$B$171,0))</f>
        <v>Asset relocations and undergrounding</v>
      </c>
      <c r="AE272" s="272">
        <f>IF(OR(H272='Operating leases'!$B$32,H272='Operating leases'!$B$33),"",INDEX('Global inputs'!$C$186:$C$243,MATCH(E272,'Global inputs'!$B$186:$B$243,0)))</f>
        <v>0.08</v>
      </c>
    </row>
    <row r="273" spans="1:31" s="27" customFormat="1" x14ac:dyDescent="0.2">
      <c r="A273" s="250"/>
      <c r="B273" s="210" t="s">
        <v>714</v>
      </c>
      <c r="C273" s="210" t="s">
        <v>288</v>
      </c>
      <c r="D273" s="210" t="s">
        <v>223</v>
      </c>
      <c r="E273" s="210" t="s">
        <v>156</v>
      </c>
      <c r="F273" s="210" t="s">
        <v>92</v>
      </c>
      <c r="G273" s="210" t="s">
        <v>727</v>
      </c>
      <c r="H273" s="197">
        <v>0</v>
      </c>
      <c r="I273" s="210" t="s">
        <v>223</v>
      </c>
      <c r="J273" s="210">
        <v>2021</v>
      </c>
      <c r="K273" s="210">
        <v>2021</v>
      </c>
      <c r="L273" s="268" t="str">
        <f t="shared" si="62"/>
        <v>Simple</v>
      </c>
      <c r="M273" s="197">
        <v>61965.891257265837</v>
      </c>
      <c r="N273" s="197">
        <v>92948.836885898738</v>
      </c>
      <c r="O273" s="257">
        <f>IF(ISNA(MATCH(H273,'Operating leases'!$B$32:$B$43,0)),0,INDEX('Operating leases'!$M$32:$S$43,MATCH(H273,'Operating leases'!$B$32:$B$43,0),MATCH(J273,'Operating leases'!$M$11:$S$11,0)))</f>
        <v>0</v>
      </c>
      <c r="P273" s="257">
        <f t="shared" si="63"/>
        <v>61965.891257265837</v>
      </c>
      <c r="Q273" s="257">
        <f t="shared" si="64"/>
        <v>154914.72814316457</v>
      </c>
      <c r="R273" s="258">
        <f>INDEX('Escalators '!$M$124:$S$129,MATCH(I273,'Escalators '!$B$124:$B$129,0),MATCH(J273,'Escalators '!$M$113:$S$113,0))</f>
        <v>1.0239888729183189</v>
      </c>
      <c r="S273" s="257">
        <f t="shared" si="65"/>
        <v>0</v>
      </c>
      <c r="T273" s="257">
        <f t="shared" si="66"/>
        <v>95178.574721860117</v>
      </c>
      <c r="U273" s="269">
        <f t="shared" si="67"/>
        <v>63452.383147906745</v>
      </c>
      <c r="V273" s="269">
        <f t="shared" si="68"/>
        <v>158630.95786976686</v>
      </c>
      <c r="W273" s="269">
        <f t="shared" si="69"/>
        <v>63452.383147906745</v>
      </c>
      <c r="X273" s="257">
        <f t="shared" si="70"/>
        <v>158630.95786976686</v>
      </c>
      <c r="Y273" s="270">
        <f>IF(L273="Complex",(INDEX('Escalators '!$M$176:$S$176,MATCH('Forecast capex'!J273,'Escalators '!$M$178:$S$178,0))/12+1)^((K273-J273)*12)-1,0)</f>
        <v>0</v>
      </c>
      <c r="Z273" s="257">
        <f t="shared" si="71"/>
        <v>0</v>
      </c>
      <c r="AA273" s="257">
        <f t="shared" si="72"/>
        <v>0</v>
      </c>
      <c r="AB273" s="269">
        <f t="shared" si="73"/>
        <v>0</v>
      </c>
      <c r="AC273" s="269">
        <f t="shared" si="74"/>
        <v>0</v>
      </c>
      <c r="AD273" s="271" t="str">
        <f>INDEX('Global inputs'!$C$134:$C$171,MATCH(F273,'Global inputs'!$B$134:$B$171,0))</f>
        <v>Asset relocations and undergrounding</v>
      </c>
      <c r="AE273" s="272">
        <f>IF(OR(H273='Operating leases'!$B$32,H273='Operating leases'!$B$33),"",INDEX('Global inputs'!$C$186:$C$243,MATCH(E273,'Global inputs'!$B$186:$B$243,0)))</f>
        <v>0.08</v>
      </c>
    </row>
    <row r="274" spans="1:31" s="27" customFormat="1" x14ac:dyDescent="0.2">
      <c r="A274" s="250"/>
      <c r="B274" s="210" t="s">
        <v>714</v>
      </c>
      <c r="C274" s="210" t="s">
        <v>288</v>
      </c>
      <c r="D274" s="210" t="s">
        <v>223</v>
      </c>
      <c r="E274" s="210" t="s">
        <v>156</v>
      </c>
      <c r="F274" s="210" t="s">
        <v>92</v>
      </c>
      <c r="G274" s="210" t="s">
        <v>727</v>
      </c>
      <c r="H274" s="197">
        <v>0</v>
      </c>
      <c r="I274" s="210" t="s">
        <v>221</v>
      </c>
      <c r="J274" s="210">
        <v>2021</v>
      </c>
      <c r="K274" s="210">
        <v>2021</v>
      </c>
      <c r="L274" s="268" t="str">
        <f t="shared" si="62"/>
        <v>Simple</v>
      </c>
      <c r="M274" s="197">
        <v>144587.07960028696</v>
      </c>
      <c r="N274" s="197">
        <v>216880.61940043044</v>
      </c>
      <c r="O274" s="257">
        <f>IF(ISNA(MATCH(H274,'Operating leases'!$B$32:$B$43,0)),0,INDEX('Operating leases'!$M$32:$S$43,MATCH(H274,'Operating leases'!$B$32:$B$43,0),MATCH(J274,'Operating leases'!$M$11:$S$11,0)))</f>
        <v>0</v>
      </c>
      <c r="P274" s="257">
        <f t="shared" si="63"/>
        <v>144587.07960028696</v>
      </c>
      <c r="Q274" s="257">
        <f t="shared" si="64"/>
        <v>361467.69900071737</v>
      </c>
      <c r="R274" s="258">
        <f>INDEX('Escalators '!$M$124:$S$129,MATCH(I274,'Escalators '!$B$124:$B$129,0),MATCH(J274,'Escalators '!$M$113:$S$113,0))</f>
        <v>1.0120900655357943</v>
      </c>
      <c r="S274" s="257">
        <f t="shared" si="65"/>
        <v>0</v>
      </c>
      <c r="T274" s="257">
        <f t="shared" si="66"/>
        <v>219502.7203024253</v>
      </c>
      <c r="U274" s="269">
        <f t="shared" si="67"/>
        <v>146335.14686828354</v>
      </c>
      <c r="V274" s="269">
        <f t="shared" si="68"/>
        <v>365837.86717070884</v>
      </c>
      <c r="W274" s="269">
        <f t="shared" si="69"/>
        <v>146335.14686828354</v>
      </c>
      <c r="X274" s="257">
        <f t="shared" si="70"/>
        <v>365837.86717070884</v>
      </c>
      <c r="Y274" s="270">
        <f>IF(L274="Complex",(INDEX('Escalators '!$M$176:$S$176,MATCH('Forecast capex'!J274,'Escalators '!$M$178:$S$178,0))/12+1)^((K274-J274)*12)-1,0)</f>
        <v>0</v>
      </c>
      <c r="Z274" s="257">
        <f t="shared" si="71"/>
        <v>0</v>
      </c>
      <c r="AA274" s="257">
        <f t="shared" si="72"/>
        <v>0</v>
      </c>
      <c r="AB274" s="269">
        <f t="shared" si="73"/>
        <v>0</v>
      </c>
      <c r="AC274" s="269">
        <f t="shared" si="74"/>
        <v>0</v>
      </c>
      <c r="AD274" s="271" t="str">
        <f>INDEX('Global inputs'!$C$134:$C$171,MATCH(F274,'Global inputs'!$B$134:$B$171,0))</f>
        <v>Asset relocations and undergrounding</v>
      </c>
      <c r="AE274" s="272">
        <f>IF(OR(H274='Operating leases'!$B$32,H274='Operating leases'!$B$33),"",INDEX('Global inputs'!$C$186:$C$243,MATCH(E274,'Global inputs'!$B$186:$B$243,0)))</f>
        <v>0.08</v>
      </c>
    </row>
    <row r="275" spans="1:31" s="27" customFormat="1" x14ac:dyDescent="0.2">
      <c r="A275" s="250"/>
      <c r="B275" s="210" t="s">
        <v>714</v>
      </c>
      <c r="C275" s="210" t="s">
        <v>288</v>
      </c>
      <c r="D275" s="210" t="s">
        <v>223</v>
      </c>
      <c r="E275" s="210" t="s">
        <v>158</v>
      </c>
      <c r="F275" s="210" t="s">
        <v>92</v>
      </c>
      <c r="G275" s="210" t="s">
        <v>728</v>
      </c>
      <c r="H275" s="197">
        <v>0</v>
      </c>
      <c r="I275" s="210" t="s">
        <v>223</v>
      </c>
      <c r="J275" s="210">
        <v>2021</v>
      </c>
      <c r="K275" s="210">
        <v>2021</v>
      </c>
      <c r="L275" s="268" t="str">
        <f t="shared" si="62"/>
        <v>Simple</v>
      </c>
      <c r="M275" s="197">
        <v>52231.785734093814</v>
      </c>
      <c r="N275" s="197">
        <v>78347.678601140709</v>
      </c>
      <c r="O275" s="257">
        <f>IF(ISNA(MATCH(H275,'Operating leases'!$B$32:$B$43,0)),0,INDEX('Operating leases'!$M$32:$S$43,MATCH(H275,'Operating leases'!$B$32:$B$43,0),MATCH(J275,'Operating leases'!$M$11:$S$11,0)))</f>
        <v>0</v>
      </c>
      <c r="P275" s="257">
        <f t="shared" si="63"/>
        <v>52231.785734093814</v>
      </c>
      <c r="Q275" s="257">
        <f t="shared" si="64"/>
        <v>130579.46433523452</v>
      </c>
      <c r="R275" s="258">
        <f>INDEX('Escalators '!$M$124:$S$129,MATCH(I275,'Escalators '!$B$124:$B$129,0),MATCH(J275,'Escalators '!$M$113:$S$113,0))</f>
        <v>1.0239888729183189</v>
      </c>
      <c r="S275" s="257">
        <f t="shared" si="65"/>
        <v>0</v>
      </c>
      <c r="T275" s="257">
        <f t="shared" si="66"/>
        <v>80227.151106548758</v>
      </c>
      <c r="U275" s="269">
        <f t="shared" si="67"/>
        <v>53484.767404365848</v>
      </c>
      <c r="V275" s="269">
        <f t="shared" si="68"/>
        <v>133711.91851091461</v>
      </c>
      <c r="W275" s="269">
        <f t="shared" si="69"/>
        <v>53484.767404365848</v>
      </c>
      <c r="X275" s="257">
        <f t="shared" si="70"/>
        <v>133711.91851091461</v>
      </c>
      <c r="Y275" s="270">
        <f>IF(L275="Complex",(INDEX('Escalators '!$M$176:$S$176,MATCH('Forecast capex'!J275,'Escalators '!$M$178:$S$178,0))/12+1)^((K275-J275)*12)-1,0)</f>
        <v>0</v>
      </c>
      <c r="Z275" s="257">
        <f t="shared" si="71"/>
        <v>0</v>
      </c>
      <c r="AA275" s="257">
        <f t="shared" si="72"/>
        <v>0</v>
      </c>
      <c r="AB275" s="269">
        <f t="shared" si="73"/>
        <v>0</v>
      </c>
      <c r="AC275" s="269">
        <f t="shared" si="74"/>
        <v>0</v>
      </c>
      <c r="AD275" s="271" t="str">
        <f>INDEX('Global inputs'!$C$134:$C$171,MATCH(F275,'Global inputs'!$B$134:$B$171,0))</f>
        <v>Asset relocations and undergrounding</v>
      </c>
      <c r="AE275" s="272">
        <f>IF(OR(H275='Operating leases'!$B$32,H275='Operating leases'!$B$33),"",INDEX('Global inputs'!$C$186:$C$243,MATCH(E275,'Global inputs'!$B$186:$B$243,0)))</f>
        <v>0.08</v>
      </c>
    </row>
    <row r="276" spans="1:31" s="27" customFormat="1" x14ac:dyDescent="0.2">
      <c r="A276" s="250"/>
      <c r="B276" s="210" t="s">
        <v>714</v>
      </c>
      <c r="C276" s="210" t="s">
        <v>288</v>
      </c>
      <c r="D276" s="210" t="s">
        <v>223</v>
      </c>
      <c r="E276" s="210" t="s">
        <v>158</v>
      </c>
      <c r="F276" s="210" t="s">
        <v>92</v>
      </c>
      <c r="G276" s="210" t="s">
        <v>728</v>
      </c>
      <c r="H276" s="197">
        <v>0</v>
      </c>
      <c r="I276" s="210" t="s">
        <v>221</v>
      </c>
      <c r="J276" s="210">
        <v>2021</v>
      </c>
      <c r="K276" s="210">
        <v>2021</v>
      </c>
      <c r="L276" s="268" t="str">
        <f t="shared" si="62"/>
        <v>Simple</v>
      </c>
      <c r="M276" s="197">
        <v>78347.678601140709</v>
      </c>
      <c r="N276" s="197">
        <v>117521.51790171106</v>
      </c>
      <c r="O276" s="257">
        <f>IF(ISNA(MATCH(H276,'Operating leases'!$B$32:$B$43,0)),0,INDEX('Operating leases'!$M$32:$S$43,MATCH(H276,'Operating leases'!$B$32:$B$43,0),MATCH(J276,'Operating leases'!$M$11:$S$11,0)))</f>
        <v>0</v>
      </c>
      <c r="P276" s="257">
        <f t="shared" si="63"/>
        <v>78347.678601140709</v>
      </c>
      <c r="Q276" s="257">
        <f t="shared" si="64"/>
        <v>195869.19650285179</v>
      </c>
      <c r="R276" s="258">
        <f>INDEX('Escalators '!$M$124:$S$129,MATCH(I276,'Escalators '!$B$124:$B$129,0),MATCH(J276,'Escalators '!$M$113:$S$113,0))</f>
        <v>1.0120900655357943</v>
      </c>
      <c r="S276" s="257">
        <f t="shared" si="65"/>
        <v>0</v>
      </c>
      <c r="T276" s="257">
        <f t="shared" si="66"/>
        <v>118942.36075500878</v>
      </c>
      <c r="U276" s="269">
        <f t="shared" si="67"/>
        <v>79294.907170005856</v>
      </c>
      <c r="V276" s="269">
        <f t="shared" si="68"/>
        <v>198237.26792501463</v>
      </c>
      <c r="W276" s="269">
        <f t="shared" si="69"/>
        <v>79294.907170005856</v>
      </c>
      <c r="X276" s="257">
        <f t="shared" si="70"/>
        <v>198237.26792501463</v>
      </c>
      <c r="Y276" s="270">
        <f>IF(L276="Complex",(INDEX('Escalators '!$M$176:$S$176,MATCH('Forecast capex'!J276,'Escalators '!$M$178:$S$178,0))/12+1)^((K276-J276)*12)-1,0)</f>
        <v>0</v>
      </c>
      <c r="Z276" s="257">
        <f t="shared" si="71"/>
        <v>0</v>
      </c>
      <c r="AA276" s="257">
        <f t="shared" si="72"/>
        <v>0</v>
      </c>
      <c r="AB276" s="269">
        <f t="shared" si="73"/>
        <v>0</v>
      </c>
      <c r="AC276" s="269">
        <f t="shared" si="74"/>
        <v>0</v>
      </c>
      <c r="AD276" s="271" t="str">
        <f>INDEX('Global inputs'!$C$134:$C$171,MATCH(F276,'Global inputs'!$B$134:$B$171,0))</f>
        <v>Asset relocations and undergrounding</v>
      </c>
      <c r="AE276" s="272">
        <f>IF(OR(H276='Operating leases'!$B$32,H276='Operating leases'!$B$33),"",INDEX('Global inputs'!$C$186:$C$243,MATCH(E276,'Global inputs'!$B$186:$B$243,0)))</f>
        <v>0.08</v>
      </c>
    </row>
    <row r="277" spans="1:31" s="27" customFormat="1" x14ac:dyDescent="0.2">
      <c r="A277" s="250"/>
      <c r="B277" s="210" t="s">
        <v>714</v>
      </c>
      <c r="C277" s="210" t="s">
        <v>284</v>
      </c>
      <c r="D277" s="210" t="s">
        <v>729</v>
      </c>
      <c r="E277" s="210" t="s">
        <v>127</v>
      </c>
      <c r="F277" s="210" t="s">
        <v>92</v>
      </c>
      <c r="G277" s="210" t="s">
        <v>730</v>
      </c>
      <c r="H277" s="197">
        <v>0</v>
      </c>
      <c r="I277" s="210" t="s">
        <v>225</v>
      </c>
      <c r="J277" s="210">
        <v>2021</v>
      </c>
      <c r="K277" s="210">
        <v>2021</v>
      </c>
      <c r="L277" s="268" t="str">
        <f t="shared" si="62"/>
        <v>Simple</v>
      </c>
      <c r="M277" s="197">
        <v>1424.5032472934677</v>
      </c>
      <c r="N277" s="197">
        <v>2136.7548709402013</v>
      </c>
      <c r="O277" s="257">
        <f>IF(ISNA(MATCH(H277,'Operating leases'!$B$32:$B$43,0)),0,INDEX('Operating leases'!$M$32:$S$43,MATCH(H277,'Operating leases'!$B$32:$B$43,0),MATCH(J277,'Operating leases'!$M$11:$S$11,0)))</f>
        <v>0</v>
      </c>
      <c r="P277" s="257">
        <f t="shared" si="63"/>
        <v>1424.5032472934677</v>
      </c>
      <c r="Q277" s="257">
        <f t="shared" si="64"/>
        <v>3561.2581182336689</v>
      </c>
      <c r="R277" s="258">
        <f>INDEX('Escalators '!$M$124:$S$129,MATCH(I277,'Escalators '!$B$124:$B$129,0),MATCH(J277,'Escalators '!$M$113:$S$113,0))</f>
        <v>1.023305412371134</v>
      </c>
      <c r="S277" s="257">
        <f t="shared" si="65"/>
        <v>0</v>
      </c>
      <c r="T277" s="257">
        <f t="shared" si="66"/>
        <v>2186.5528243434919</v>
      </c>
      <c r="U277" s="269">
        <f t="shared" si="67"/>
        <v>1457.7018828956616</v>
      </c>
      <c r="V277" s="269">
        <f t="shared" si="68"/>
        <v>3644.2547072391535</v>
      </c>
      <c r="W277" s="269">
        <f t="shared" si="69"/>
        <v>1457.7018828956616</v>
      </c>
      <c r="X277" s="257">
        <f t="shared" si="70"/>
        <v>3644.2547072391535</v>
      </c>
      <c r="Y277" s="270">
        <f>IF(L277="Complex",(INDEX('Escalators '!$M$176:$S$176,MATCH('Forecast capex'!J277,'Escalators '!$M$178:$S$178,0))/12+1)^((K277-J277)*12)-1,0)</f>
        <v>0</v>
      </c>
      <c r="Z277" s="257">
        <f t="shared" si="71"/>
        <v>0</v>
      </c>
      <c r="AA277" s="257">
        <f t="shared" si="72"/>
        <v>0</v>
      </c>
      <c r="AB277" s="269">
        <f t="shared" si="73"/>
        <v>0</v>
      </c>
      <c r="AC277" s="269">
        <f t="shared" si="74"/>
        <v>0</v>
      </c>
      <c r="AD277" s="271" t="str">
        <f>INDEX('Global inputs'!$C$134:$C$171,MATCH(F277,'Global inputs'!$B$134:$B$171,0))</f>
        <v>Asset relocations and undergrounding</v>
      </c>
      <c r="AE277" s="272">
        <f>IF(OR(H277='Operating leases'!$B$32,H277='Operating leases'!$B$33),"",INDEX('Global inputs'!$C$186:$C$243,MATCH(E277,'Global inputs'!$B$186:$B$243,0)))</f>
        <v>0.08</v>
      </c>
    </row>
    <row r="278" spans="1:31" s="27" customFormat="1" x14ac:dyDescent="0.2">
      <c r="A278" s="250"/>
      <c r="B278" s="210" t="s">
        <v>714</v>
      </c>
      <c r="C278" s="210" t="s">
        <v>284</v>
      </c>
      <c r="D278" s="210" t="s">
        <v>729</v>
      </c>
      <c r="E278" s="210" t="s">
        <v>127</v>
      </c>
      <c r="F278" s="210" t="s">
        <v>92</v>
      </c>
      <c r="G278" s="210" t="s">
        <v>730</v>
      </c>
      <c r="H278" s="197">
        <v>0</v>
      </c>
      <c r="I278" s="210" t="s">
        <v>221</v>
      </c>
      <c r="J278" s="210">
        <v>2021</v>
      </c>
      <c r="K278" s="210">
        <v>2021</v>
      </c>
      <c r="L278" s="268" t="str">
        <f t="shared" si="62"/>
        <v>Simple</v>
      </c>
      <c r="M278" s="197">
        <v>5698.0129891738707</v>
      </c>
      <c r="N278" s="197">
        <v>8547.0194837608051</v>
      </c>
      <c r="O278" s="257">
        <f>IF(ISNA(MATCH(H278,'Operating leases'!$B$32:$B$43,0)),0,INDEX('Operating leases'!$M$32:$S$43,MATCH(H278,'Operating leases'!$B$32:$B$43,0),MATCH(J278,'Operating leases'!$M$11:$S$11,0)))</f>
        <v>0</v>
      </c>
      <c r="P278" s="257">
        <f t="shared" si="63"/>
        <v>5698.0129891738707</v>
      </c>
      <c r="Q278" s="257">
        <f t="shared" si="64"/>
        <v>14245.032472934676</v>
      </c>
      <c r="R278" s="258">
        <f>INDEX('Escalators '!$M$124:$S$129,MATCH(I278,'Escalators '!$B$124:$B$129,0),MATCH(J278,'Escalators '!$M$113:$S$113,0))</f>
        <v>1.0120900655357943</v>
      </c>
      <c r="S278" s="257">
        <f t="shared" si="65"/>
        <v>0</v>
      </c>
      <c r="T278" s="257">
        <f t="shared" si="66"/>
        <v>8650.3535094551844</v>
      </c>
      <c r="U278" s="269">
        <f t="shared" si="67"/>
        <v>5766.9023396367884</v>
      </c>
      <c r="V278" s="269">
        <f t="shared" si="68"/>
        <v>14417.255849091973</v>
      </c>
      <c r="W278" s="269">
        <f t="shared" si="69"/>
        <v>5766.9023396367884</v>
      </c>
      <c r="X278" s="257">
        <f t="shared" si="70"/>
        <v>14417.255849091973</v>
      </c>
      <c r="Y278" s="270">
        <f>IF(L278="Complex",(INDEX('Escalators '!$M$176:$S$176,MATCH('Forecast capex'!J278,'Escalators '!$M$178:$S$178,0))/12+1)^((K278-J278)*12)-1,0)</f>
        <v>0</v>
      </c>
      <c r="Z278" s="257">
        <f t="shared" si="71"/>
        <v>0</v>
      </c>
      <c r="AA278" s="257">
        <f t="shared" si="72"/>
        <v>0</v>
      </c>
      <c r="AB278" s="269">
        <f t="shared" si="73"/>
        <v>0</v>
      </c>
      <c r="AC278" s="269">
        <f t="shared" si="74"/>
        <v>0</v>
      </c>
      <c r="AD278" s="271" t="str">
        <f>INDEX('Global inputs'!$C$134:$C$171,MATCH(F278,'Global inputs'!$B$134:$B$171,0))</f>
        <v>Asset relocations and undergrounding</v>
      </c>
      <c r="AE278" s="272">
        <f>IF(OR(H278='Operating leases'!$B$32,H278='Operating leases'!$B$33),"",INDEX('Global inputs'!$C$186:$C$243,MATCH(E278,'Global inputs'!$B$186:$B$243,0)))</f>
        <v>0.08</v>
      </c>
    </row>
    <row r="279" spans="1:31" s="27" customFormat="1" x14ac:dyDescent="0.2">
      <c r="A279" s="250"/>
      <c r="B279" s="210" t="s">
        <v>714</v>
      </c>
      <c r="C279" s="210" t="s">
        <v>284</v>
      </c>
      <c r="D279" s="210" t="s">
        <v>729</v>
      </c>
      <c r="E279" s="210" t="s">
        <v>129</v>
      </c>
      <c r="F279" s="210" t="s">
        <v>92</v>
      </c>
      <c r="G279" s="210" t="s">
        <v>730</v>
      </c>
      <c r="H279" s="197">
        <v>0</v>
      </c>
      <c r="I279" s="210" t="s">
        <v>225</v>
      </c>
      <c r="J279" s="210">
        <v>2021</v>
      </c>
      <c r="K279" s="210">
        <v>2021</v>
      </c>
      <c r="L279" s="268" t="str">
        <f t="shared" si="62"/>
        <v>Simple</v>
      </c>
      <c r="M279" s="197">
        <v>1424.5032472934677</v>
      </c>
      <c r="N279" s="197">
        <v>2136.7548709402013</v>
      </c>
      <c r="O279" s="257">
        <f>IF(ISNA(MATCH(H279,'Operating leases'!$B$32:$B$43,0)),0,INDEX('Operating leases'!$M$32:$S$43,MATCH(H279,'Operating leases'!$B$32:$B$43,0),MATCH(J279,'Operating leases'!$M$11:$S$11,0)))</f>
        <v>0</v>
      </c>
      <c r="P279" s="257">
        <f t="shared" si="63"/>
        <v>1424.5032472934677</v>
      </c>
      <c r="Q279" s="257">
        <f t="shared" si="64"/>
        <v>3561.2581182336689</v>
      </c>
      <c r="R279" s="258">
        <f>INDEX('Escalators '!$M$124:$S$129,MATCH(I279,'Escalators '!$B$124:$B$129,0),MATCH(J279,'Escalators '!$M$113:$S$113,0))</f>
        <v>1.023305412371134</v>
      </c>
      <c r="S279" s="257">
        <f t="shared" si="65"/>
        <v>0</v>
      </c>
      <c r="T279" s="257">
        <f t="shared" si="66"/>
        <v>2186.5528243434919</v>
      </c>
      <c r="U279" s="269">
        <f t="shared" si="67"/>
        <v>1457.7018828956616</v>
      </c>
      <c r="V279" s="269">
        <f t="shared" si="68"/>
        <v>3644.2547072391535</v>
      </c>
      <c r="W279" s="269">
        <f t="shared" si="69"/>
        <v>1457.7018828956616</v>
      </c>
      <c r="X279" s="257">
        <f t="shared" si="70"/>
        <v>3644.2547072391535</v>
      </c>
      <c r="Y279" s="270">
        <f>IF(L279="Complex",(INDEX('Escalators '!$M$176:$S$176,MATCH('Forecast capex'!J279,'Escalators '!$M$178:$S$178,0))/12+1)^((K279-J279)*12)-1,0)</f>
        <v>0</v>
      </c>
      <c r="Z279" s="257">
        <f t="shared" si="71"/>
        <v>0</v>
      </c>
      <c r="AA279" s="257">
        <f t="shared" si="72"/>
        <v>0</v>
      </c>
      <c r="AB279" s="269">
        <f t="shared" si="73"/>
        <v>0</v>
      </c>
      <c r="AC279" s="269">
        <f t="shared" si="74"/>
        <v>0</v>
      </c>
      <c r="AD279" s="271" t="str">
        <f>INDEX('Global inputs'!$C$134:$C$171,MATCH(F279,'Global inputs'!$B$134:$B$171,0))</f>
        <v>Asset relocations and undergrounding</v>
      </c>
      <c r="AE279" s="272">
        <f>IF(OR(H279='Operating leases'!$B$32,H279='Operating leases'!$B$33),"",INDEX('Global inputs'!$C$186:$C$243,MATCH(E279,'Global inputs'!$B$186:$B$243,0)))</f>
        <v>0.1</v>
      </c>
    </row>
    <row r="280" spans="1:31" s="27" customFormat="1" x14ac:dyDescent="0.2">
      <c r="A280" s="250"/>
      <c r="B280" s="210" t="s">
        <v>714</v>
      </c>
      <c r="C280" s="210" t="s">
        <v>284</v>
      </c>
      <c r="D280" s="210" t="s">
        <v>729</v>
      </c>
      <c r="E280" s="210" t="s">
        <v>129</v>
      </c>
      <c r="F280" s="210" t="s">
        <v>92</v>
      </c>
      <c r="G280" s="210" t="s">
        <v>730</v>
      </c>
      <c r="H280" s="197">
        <v>0</v>
      </c>
      <c r="I280" s="210" t="s">
        <v>221</v>
      </c>
      <c r="J280" s="210">
        <v>2021</v>
      </c>
      <c r="K280" s="210">
        <v>2021</v>
      </c>
      <c r="L280" s="268" t="str">
        <f t="shared" si="62"/>
        <v>Simple</v>
      </c>
      <c r="M280" s="197">
        <v>5698.0129891738707</v>
      </c>
      <c r="N280" s="197">
        <v>8547.0194837608051</v>
      </c>
      <c r="O280" s="257">
        <f>IF(ISNA(MATCH(H280,'Operating leases'!$B$32:$B$43,0)),0,INDEX('Operating leases'!$M$32:$S$43,MATCH(H280,'Operating leases'!$B$32:$B$43,0),MATCH(J280,'Operating leases'!$M$11:$S$11,0)))</f>
        <v>0</v>
      </c>
      <c r="P280" s="257">
        <f t="shared" si="63"/>
        <v>5698.0129891738707</v>
      </c>
      <c r="Q280" s="257">
        <f t="shared" si="64"/>
        <v>14245.032472934676</v>
      </c>
      <c r="R280" s="258">
        <f>INDEX('Escalators '!$M$124:$S$129,MATCH(I280,'Escalators '!$B$124:$B$129,0),MATCH(J280,'Escalators '!$M$113:$S$113,0))</f>
        <v>1.0120900655357943</v>
      </c>
      <c r="S280" s="257">
        <f t="shared" si="65"/>
        <v>0</v>
      </c>
      <c r="T280" s="257">
        <f t="shared" si="66"/>
        <v>8650.3535094551844</v>
      </c>
      <c r="U280" s="269">
        <f t="shared" si="67"/>
        <v>5766.9023396367884</v>
      </c>
      <c r="V280" s="269">
        <f t="shared" si="68"/>
        <v>14417.255849091973</v>
      </c>
      <c r="W280" s="269">
        <f t="shared" si="69"/>
        <v>5766.9023396367884</v>
      </c>
      <c r="X280" s="257">
        <f t="shared" si="70"/>
        <v>14417.255849091973</v>
      </c>
      <c r="Y280" s="270">
        <f>IF(L280="Complex",(INDEX('Escalators '!$M$176:$S$176,MATCH('Forecast capex'!J280,'Escalators '!$M$178:$S$178,0))/12+1)^((K280-J280)*12)-1,0)</f>
        <v>0</v>
      </c>
      <c r="Z280" s="257">
        <f t="shared" si="71"/>
        <v>0</v>
      </c>
      <c r="AA280" s="257">
        <f t="shared" si="72"/>
        <v>0</v>
      </c>
      <c r="AB280" s="269">
        <f t="shared" si="73"/>
        <v>0</v>
      </c>
      <c r="AC280" s="269">
        <f t="shared" si="74"/>
        <v>0</v>
      </c>
      <c r="AD280" s="271" t="str">
        <f>INDEX('Global inputs'!$C$134:$C$171,MATCH(F280,'Global inputs'!$B$134:$B$171,0))</f>
        <v>Asset relocations and undergrounding</v>
      </c>
      <c r="AE280" s="272">
        <f>IF(OR(H280='Operating leases'!$B$32,H280='Operating leases'!$B$33),"",INDEX('Global inputs'!$C$186:$C$243,MATCH(E280,'Global inputs'!$B$186:$B$243,0)))</f>
        <v>0.1</v>
      </c>
    </row>
    <row r="281" spans="1:31" s="27" customFormat="1" x14ac:dyDescent="0.2">
      <c r="A281" s="250"/>
      <c r="B281" s="210" t="s">
        <v>714</v>
      </c>
      <c r="C281" s="210" t="s">
        <v>287</v>
      </c>
      <c r="D281" s="210" t="s">
        <v>729</v>
      </c>
      <c r="E281" s="210" t="s">
        <v>150</v>
      </c>
      <c r="F281" s="210" t="s">
        <v>92</v>
      </c>
      <c r="G281" s="210" t="s">
        <v>731</v>
      </c>
      <c r="H281" s="197">
        <v>0</v>
      </c>
      <c r="I281" s="210" t="s">
        <v>225</v>
      </c>
      <c r="J281" s="210">
        <v>2021</v>
      </c>
      <c r="K281" s="210">
        <v>2021</v>
      </c>
      <c r="L281" s="268" t="str">
        <f t="shared" si="62"/>
        <v>Simple</v>
      </c>
      <c r="M281" s="197">
        <v>2374.1720788224461</v>
      </c>
      <c r="N281" s="197">
        <v>3561.2581182336689</v>
      </c>
      <c r="O281" s="257">
        <f>IF(ISNA(MATCH(H281,'Operating leases'!$B$32:$B$43,0)),0,INDEX('Operating leases'!$M$32:$S$43,MATCH(H281,'Operating leases'!$B$32:$B$43,0),MATCH(J281,'Operating leases'!$M$11:$S$11,0)))</f>
        <v>0</v>
      </c>
      <c r="P281" s="257">
        <f t="shared" si="63"/>
        <v>2374.1720788224461</v>
      </c>
      <c r="Q281" s="257">
        <f t="shared" si="64"/>
        <v>5935.4301970561155</v>
      </c>
      <c r="R281" s="258">
        <f>INDEX('Escalators '!$M$124:$S$129,MATCH(I281,'Escalators '!$B$124:$B$129,0),MATCH(J281,'Escalators '!$M$113:$S$113,0))</f>
        <v>1.023305412371134</v>
      </c>
      <c r="S281" s="257">
        <f t="shared" si="65"/>
        <v>0</v>
      </c>
      <c r="T281" s="257">
        <f t="shared" si="66"/>
        <v>3644.2547072391535</v>
      </c>
      <c r="U281" s="269">
        <f t="shared" si="67"/>
        <v>2429.5031381594363</v>
      </c>
      <c r="V281" s="269">
        <f t="shared" si="68"/>
        <v>6073.7578453985898</v>
      </c>
      <c r="W281" s="269">
        <f t="shared" si="69"/>
        <v>2429.5031381594363</v>
      </c>
      <c r="X281" s="257">
        <f t="shared" si="70"/>
        <v>6073.7578453985898</v>
      </c>
      <c r="Y281" s="270">
        <f>IF(L281="Complex",(INDEX('Escalators '!$M$176:$S$176,MATCH('Forecast capex'!J281,'Escalators '!$M$178:$S$178,0))/12+1)^((K281-J281)*12)-1,0)</f>
        <v>0</v>
      </c>
      <c r="Z281" s="257">
        <f t="shared" si="71"/>
        <v>0</v>
      </c>
      <c r="AA281" s="257">
        <f t="shared" si="72"/>
        <v>0</v>
      </c>
      <c r="AB281" s="269">
        <f t="shared" si="73"/>
        <v>0</v>
      </c>
      <c r="AC281" s="269">
        <f t="shared" si="74"/>
        <v>0</v>
      </c>
      <c r="AD281" s="271" t="str">
        <f>INDEX('Global inputs'!$C$134:$C$171,MATCH(F281,'Global inputs'!$B$134:$B$171,0))</f>
        <v>Asset relocations and undergrounding</v>
      </c>
      <c r="AE281" s="272">
        <f>IF(OR(H281='Operating leases'!$B$32,H281='Operating leases'!$B$33),"",INDEX('Global inputs'!$C$186:$C$243,MATCH(E281,'Global inputs'!$B$186:$B$243,0)))</f>
        <v>0.08</v>
      </c>
    </row>
    <row r="282" spans="1:31" s="27" customFormat="1" x14ac:dyDescent="0.2">
      <c r="A282" s="250"/>
      <c r="B282" s="210" t="s">
        <v>714</v>
      </c>
      <c r="C282" s="210" t="s">
        <v>287</v>
      </c>
      <c r="D282" s="210" t="s">
        <v>729</v>
      </c>
      <c r="E282" s="210" t="s">
        <v>150</v>
      </c>
      <c r="F282" s="210" t="s">
        <v>92</v>
      </c>
      <c r="G282" s="210" t="s">
        <v>731</v>
      </c>
      <c r="H282" s="197">
        <v>0</v>
      </c>
      <c r="I282" s="210" t="s">
        <v>221</v>
      </c>
      <c r="J282" s="210">
        <v>2021</v>
      </c>
      <c r="K282" s="210">
        <v>2021</v>
      </c>
      <c r="L282" s="268" t="str">
        <f t="shared" si="62"/>
        <v>Simple</v>
      </c>
      <c r="M282" s="197">
        <v>9496.6883152897844</v>
      </c>
      <c r="N282" s="197">
        <v>14245.032472934676</v>
      </c>
      <c r="O282" s="257">
        <f>IF(ISNA(MATCH(H282,'Operating leases'!$B$32:$B$43,0)),0,INDEX('Operating leases'!$M$32:$S$43,MATCH(H282,'Operating leases'!$B$32:$B$43,0),MATCH(J282,'Operating leases'!$M$11:$S$11,0)))</f>
        <v>0</v>
      </c>
      <c r="P282" s="257">
        <f t="shared" si="63"/>
        <v>9496.6883152897844</v>
      </c>
      <c r="Q282" s="257">
        <f t="shared" si="64"/>
        <v>23741.720788224462</v>
      </c>
      <c r="R282" s="258">
        <f>INDEX('Escalators '!$M$124:$S$129,MATCH(I282,'Escalators '!$B$124:$B$129,0),MATCH(J282,'Escalators '!$M$113:$S$113,0))</f>
        <v>1.0120900655357943</v>
      </c>
      <c r="S282" s="257">
        <f t="shared" si="65"/>
        <v>0</v>
      </c>
      <c r="T282" s="257">
        <f t="shared" si="66"/>
        <v>14417.255849091973</v>
      </c>
      <c r="U282" s="269">
        <f t="shared" si="67"/>
        <v>9611.5038993946509</v>
      </c>
      <c r="V282" s="269">
        <f t="shared" si="68"/>
        <v>24028.759748486624</v>
      </c>
      <c r="W282" s="269">
        <f t="shared" si="69"/>
        <v>9611.5038993946509</v>
      </c>
      <c r="X282" s="257">
        <f t="shared" si="70"/>
        <v>24028.759748486624</v>
      </c>
      <c r="Y282" s="270">
        <f>IF(L282="Complex",(INDEX('Escalators '!$M$176:$S$176,MATCH('Forecast capex'!J282,'Escalators '!$M$178:$S$178,0))/12+1)^((K282-J282)*12)-1,0)</f>
        <v>0</v>
      </c>
      <c r="Z282" s="257">
        <f t="shared" si="71"/>
        <v>0</v>
      </c>
      <c r="AA282" s="257">
        <f t="shared" si="72"/>
        <v>0</v>
      </c>
      <c r="AB282" s="269">
        <f t="shared" si="73"/>
        <v>0</v>
      </c>
      <c r="AC282" s="269">
        <f t="shared" si="74"/>
        <v>0</v>
      </c>
      <c r="AD282" s="271" t="str">
        <f>INDEX('Global inputs'!$C$134:$C$171,MATCH(F282,'Global inputs'!$B$134:$B$171,0))</f>
        <v>Asset relocations and undergrounding</v>
      </c>
      <c r="AE282" s="272">
        <f>IF(OR(H282='Operating leases'!$B$32,H282='Operating leases'!$B$33),"",INDEX('Global inputs'!$C$186:$C$243,MATCH(E282,'Global inputs'!$B$186:$B$243,0)))</f>
        <v>0.08</v>
      </c>
    </row>
    <row r="283" spans="1:31" s="27" customFormat="1" x14ac:dyDescent="0.2">
      <c r="A283" s="250"/>
      <c r="B283" s="210" t="s">
        <v>714</v>
      </c>
      <c r="C283" s="210" t="s">
        <v>287</v>
      </c>
      <c r="D283" s="210" t="s">
        <v>729</v>
      </c>
      <c r="E283" s="210" t="s">
        <v>151</v>
      </c>
      <c r="F283" s="210" t="s">
        <v>92</v>
      </c>
      <c r="G283" s="210" t="s">
        <v>731</v>
      </c>
      <c r="H283" s="197">
        <v>0</v>
      </c>
      <c r="I283" s="210" t="s">
        <v>225</v>
      </c>
      <c r="J283" s="210">
        <v>2021</v>
      </c>
      <c r="K283" s="210">
        <v>2021</v>
      </c>
      <c r="L283" s="268" t="str">
        <f t="shared" si="62"/>
        <v>Simple</v>
      </c>
      <c r="M283" s="197">
        <v>2374.1720788224461</v>
      </c>
      <c r="N283" s="197">
        <v>3561.2581182336689</v>
      </c>
      <c r="O283" s="257">
        <f>IF(ISNA(MATCH(H283,'Operating leases'!$B$32:$B$43,0)),0,INDEX('Operating leases'!$M$32:$S$43,MATCH(H283,'Operating leases'!$B$32:$B$43,0),MATCH(J283,'Operating leases'!$M$11:$S$11,0)))</f>
        <v>0</v>
      </c>
      <c r="P283" s="257">
        <f t="shared" si="63"/>
        <v>2374.1720788224461</v>
      </c>
      <c r="Q283" s="257">
        <f t="shared" si="64"/>
        <v>5935.4301970561155</v>
      </c>
      <c r="R283" s="258">
        <f>INDEX('Escalators '!$M$124:$S$129,MATCH(I283,'Escalators '!$B$124:$B$129,0),MATCH(J283,'Escalators '!$M$113:$S$113,0))</f>
        <v>1.023305412371134</v>
      </c>
      <c r="S283" s="257">
        <f t="shared" si="65"/>
        <v>0</v>
      </c>
      <c r="T283" s="257">
        <f t="shared" si="66"/>
        <v>3644.2547072391535</v>
      </c>
      <c r="U283" s="269">
        <f t="shared" si="67"/>
        <v>2429.5031381594363</v>
      </c>
      <c r="V283" s="269">
        <f t="shared" si="68"/>
        <v>6073.7578453985898</v>
      </c>
      <c r="W283" s="269">
        <f t="shared" si="69"/>
        <v>2429.5031381594363</v>
      </c>
      <c r="X283" s="257">
        <f t="shared" si="70"/>
        <v>6073.7578453985898</v>
      </c>
      <c r="Y283" s="270">
        <f>IF(L283="Complex",(INDEX('Escalators '!$M$176:$S$176,MATCH('Forecast capex'!J283,'Escalators '!$M$178:$S$178,0))/12+1)^((K283-J283)*12)-1,0)</f>
        <v>0</v>
      </c>
      <c r="Z283" s="257">
        <f t="shared" si="71"/>
        <v>0</v>
      </c>
      <c r="AA283" s="257">
        <f t="shared" si="72"/>
        <v>0</v>
      </c>
      <c r="AB283" s="269">
        <f t="shared" si="73"/>
        <v>0</v>
      </c>
      <c r="AC283" s="269">
        <f t="shared" si="74"/>
        <v>0</v>
      </c>
      <c r="AD283" s="271" t="str">
        <f>INDEX('Global inputs'!$C$134:$C$171,MATCH(F283,'Global inputs'!$B$134:$B$171,0))</f>
        <v>Asset relocations and undergrounding</v>
      </c>
      <c r="AE283" s="272">
        <f>IF(OR(H283='Operating leases'!$B$32,H283='Operating leases'!$B$33),"",INDEX('Global inputs'!$C$186:$C$243,MATCH(E283,'Global inputs'!$B$186:$B$243,0)))</f>
        <v>0.1</v>
      </c>
    </row>
    <row r="284" spans="1:31" s="27" customFormat="1" x14ac:dyDescent="0.2">
      <c r="A284" s="250"/>
      <c r="B284" s="210" t="s">
        <v>714</v>
      </c>
      <c r="C284" s="210" t="s">
        <v>287</v>
      </c>
      <c r="D284" s="210" t="s">
        <v>729</v>
      </c>
      <c r="E284" s="210" t="s">
        <v>151</v>
      </c>
      <c r="F284" s="210" t="s">
        <v>92</v>
      </c>
      <c r="G284" s="210" t="s">
        <v>731</v>
      </c>
      <c r="H284" s="197">
        <v>0</v>
      </c>
      <c r="I284" s="210" t="s">
        <v>221</v>
      </c>
      <c r="J284" s="210">
        <v>2021</v>
      </c>
      <c r="K284" s="210">
        <v>2021</v>
      </c>
      <c r="L284" s="268" t="str">
        <f t="shared" si="62"/>
        <v>Simple</v>
      </c>
      <c r="M284" s="197">
        <v>9496.6883152897844</v>
      </c>
      <c r="N284" s="197">
        <v>14245.032472934676</v>
      </c>
      <c r="O284" s="257">
        <f>IF(ISNA(MATCH(H284,'Operating leases'!$B$32:$B$43,0)),0,INDEX('Operating leases'!$M$32:$S$43,MATCH(H284,'Operating leases'!$B$32:$B$43,0),MATCH(J284,'Operating leases'!$M$11:$S$11,0)))</f>
        <v>0</v>
      </c>
      <c r="P284" s="257">
        <f t="shared" si="63"/>
        <v>9496.6883152897844</v>
      </c>
      <c r="Q284" s="257">
        <f t="shared" si="64"/>
        <v>23741.720788224462</v>
      </c>
      <c r="R284" s="258">
        <f>INDEX('Escalators '!$M$124:$S$129,MATCH(I284,'Escalators '!$B$124:$B$129,0),MATCH(J284,'Escalators '!$M$113:$S$113,0))</f>
        <v>1.0120900655357943</v>
      </c>
      <c r="S284" s="257">
        <f t="shared" si="65"/>
        <v>0</v>
      </c>
      <c r="T284" s="257">
        <f t="shared" si="66"/>
        <v>14417.255849091973</v>
      </c>
      <c r="U284" s="269">
        <f t="shared" si="67"/>
        <v>9611.5038993946509</v>
      </c>
      <c r="V284" s="269">
        <f t="shared" si="68"/>
        <v>24028.759748486624</v>
      </c>
      <c r="W284" s="269">
        <f t="shared" si="69"/>
        <v>9611.5038993946509</v>
      </c>
      <c r="X284" s="257">
        <f t="shared" si="70"/>
        <v>24028.759748486624</v>
      </c>
      <c r="Y284" s="270">
        <f>IF(L284="Complex",(INDEX('Escalators '!$M$176:$S$176,MATCH('Forecast capex'!J284,'Escalators '!$M$178:$S$178,0))/12+1)^((K284-J284)*12)-1,0)</f>
        <v>0</v>
      </c>
      <c r="Z284" s="257">
        <f t="shared" si="71"/>
        <v>0</v>
      </c>
      <c r="AA284" s="257">
        <f t="shared" si="72"/>
        <v>0</v>
      </c>
      <c r="AB284" s="269">
        <f t="shared" si="73"/>
        <v>0</v>
      </c>
      <c r="AC284" s="269">
        <f t="shared" si="74"/>
        <v>0</v>
      </c>
      <c r="AD284" s="271" t="str">
        <f>INDEX('Global inputs'!$C$134:$C$171,MATCH(F284,'Global inputs'!$B$134:$B$171,0))</f>
        <v>Asset relocations and undergrounding</v>
      </c>
      <c r="AE284" s="272">
        <f>IF(OR(H284='Operating leases'!$B$32,H284='Operating leases'!$B$33),"",INDEX('Global inputs'!$C$186:$C$243,MATCH(E284,'Global inputs'!$B$186:$B$243,0)))</f>
        <v>0.1</v>
      </c>
    </row>
    <row r="285" spans="1:31" s="27" customFormat="1" x14ac:dyDescent="0.2">
      <c r="A285" s="250"/>
      <c r="B285" s="210" t="s">
        <v>714</v>
      </c>
      <c r="C285" s="210" t="s">
        <v>284</v>
      </c>
      <c r="D285" s="210" t="s">
        <v>715</v>
      </c>
      <c r="E285" s="210" t="s">
        <v>127</v>
      </c>
      <c r="F285" s="210" t="s">
        <v>94</v>
      </c>
      <c r="G285" s="210" t="s">
        <v>716</v>
      </c>
      <c r="H285" s="197">
        <v>0</v>
      </c>
      <c r="I285" s="210" t="s">
        <v>229</v>
      </c>
      <c r="J285" s="210">
        <v>2021</v>
      </c>
      <c r="K285" s="210">
        <v>2021</v>
      </c>
      <c r="L285" s="268" t="str">
        <f t="shared" si="62"/>
        <v>Simple</v>
      </c>
      <c r="M285" s="197">
        <v>365.44914539068344</v>
      </c>
      <c r="N285" s="197">
        <v>548.17371808602513</v>
      </c>
      <c r="O285" s="257">
        <f>IF(ISNA(MATCH(H285,'Operating leases'!$B$32:$B$43,0)),0,INDEX('Operating leases'!$M$32:$S$43,MATCH(H285,'Operating leases'!$B$32:$B$43,0),MATCH(J285,'Operating leases'!$M$11:$S$11,0)))</f>
        <v>0</v>
      </c>
      <c r="P285" s="257">
        <f t="shared" si="63"/>
        <v>365.44914539068344</v>
      </c>
      <c r="Q285" s="257">
        <f t="shared" si="64"/>
        <v>913.62286347670852</v>
      </c>
      <c r="R285" s="258">
        <f>INDEX('Escalators '!$M$124:$S$129,MATCH(I285,'Escalators '!$B$124:$B$129,0),MATCH(J285,'Escalators '!$M$113:$S$113,0))</f>
        <v>1.0206154571717865</v>
      </c>
      <c r="S285" s="257">
        <f t="shared" si="65"/>
        <v>0</v>
      </c>
      <c r="T285" s="257">
        <f t="shared" si="66"/>
        <v>559.47456989392651</v>
      </c>
      <c r="U285" s="269">
        <f t="shared" si="67"/>
        <v>372.98304659595101</v>
      </c>
      <c r="V285" s="269">
        <f t="shared" si="68"/>
        <v>932.45761648987752</v>
      </c>
      <c r="W285" s="269">
        <f t="shared" si="69"/>
        <v>372.98304659595101</v>
      </c>
      <c r="X285" s="257">
        <f t="shared" si="70"/>
        <v>932.45761648987752</v>
      </c>
      <c r="Y285" s="270">
        <f>IF(L285="Complex",(INDEX('Escalators '!$M$176:$S$176,MATCH('Forecast capex'!J285,'Escalators '!$M$178:$S$178,0))/12+1)^((K285-J285)*12)-1,0)</f>
        <v>0</v>
      </c>
      <c r="Z285" s="257">
        <f t="shared" si="71"/>
        <v>0</v>
      </c>
      <c r="AA285" s="257">
        <f t="shared" si="72"/>
        <v>0</v>
      </c>
      <c r="AB285" s="269">
        <f t="shared" si="73"/>
        <v>0</v>
      </c>
      <c r="AC285" s="269">
        <f t="shared" si="74"/>
        <v>0</v>
      </c>
      <c r="AD285" s="271" t="str">
        <f>INDEX('Global inputs'!$C$134:$C$171,MATCH(F285,'Global inputs'!$B$134:$B$171,0))</f>
        <v>Consumer connection</v>
      </c>
      <c r="AE285" s="272">
        <f>IF(OR(H285='Operating leases'!$B$32,H285='Operating leases'!$B$33),"",INDEX('Global inputs'!$C$186:$C$243,MATCH(E285,'Global inputs'!$B$186:$B$243,0)))</f>
        <v>0.08</v>
      </c>
    </row>
    <row r="286" spans="1:31" s="27" customFormat="1" x14ac:dyDescent="0.2">
      <c r="A286" s="250"/>
      <c r="B286" s="210" t="s">
        <v>714</v>
      </c>
      <c r="C286" s="210" t="s">
        <v>284</v>
      </c>
      <c r="D286" s="210" t="s">
        <v>715</v>
      </c>
      <c r="E286" s="210" t="s">
        <v>127</v>
      </c>
      <c r="F286" s="210" t="s">
        <v>94</v>
      </c>
      <c r="G286" s="210" t="s">
        <v>716</v>
      </c>
      <c r="H286" s="197">
        <v>0</v>
      </c>
      <c r="I286" s="210" t="s">
        <v>221</v>
      </c>
      <c r="J286" s="210">
        <v>2021</v>
      </c>
      <c r="K286" s="210">
        <v>2021</v>
      </c>
      <c r="L286" s="268" t="str">
        <f t="shared" si="62"/>
        <v>Simple</v>
      </c>
      <c r="M286" s="197">
        <v>365.44914539068344</v>
      </c>
      <c r="N286" s="197">
        <v>548.17371808602513</v>
      </c>
      <c r="O286" s="257">
        <f>IF(ISNA(MATCH(H286,'Operating leases'!$B$32:$B$43,0)),0,INDEX('Operating leases'!$M$32:$S$43,MATCH(H286,'Operating leases'!$B$32:$B$43,0),MATCH(J286,'Operating leases'!$M$11:$S$11,0)))</f>
        <v>0</v>
      </c>
      <c r="P286" s="257">
        <f t="shared" si="63"/>
        <v>365.44914539068344</v>
      </c>
      <c r="Q286" s="257">
        <f t="shared" si="64"/>
        <v>913.62286347670852</v>
      </c>
      <c r="R286" s="258">
        <f>INDEX('Escalators '!$M$124:$S$129,MATCH(I286,'Escalators '!$B$124:$B$129,0),MATCH(J286,'Escalators '!$M$113:$S$113,0))</f>
        <v>1.0120900655357943</v>
      </c>
      <c r="S286" s="257">
        <f t="shared" si="65"/>
        <v>0</v>
      </c>
      <c r="T286" s="257">
        <f t="shared" si="66"/>
        <v>554.80117426268521</v>
      </c>
      <c r="U286" s="269">
        <f t="shared" si="67"/>
        <v>369.86744950845673</v>
      </c>
      <c r="V286" s="269">
        <f t="shared" si="68"/>
        <v>924.66862377114194</v>
      </c>
      <c r="W286" s="269">
        <f t="shared" si="69"/>
        <v>369.86744950845673</v>
      </c>
      <c r="X286" s="257">
        <f t="shared" si="70"/>
        <v>924.66862377114194</v>
      </c>
      <c r="Y286" s="270">
        <f>IF(L286="Complex",(INDEX('Escalators '!$M$176:$S$176,MATCH('Forecast capex'!J286,'Escalators '!$M$178:$S$178,0))/12+1)^((K286-J286)*12)-1,0)</f>
        <v>0</v>
      </c>
      <c r="Z286" s="257">
        <f t="shared" si="71"/>
        <v>0</v>
      </c>
      <c r="AA286" s="257">
        <f t="shared" si="72"/>
        <v>0</v>
      </c>
      <c r="AB286" s="269">
        <f t="shared" si="73"/>
        <v>0</v>
      </c>
      <c r="AC286" s="269">
        <f t="shared" si="74"/>
        <v>0</v>
      </c>
      <c r="AD286" s="271" t="str">
        <f>INDEX('Global inputs'!$C$134:$C$171,MATCH(F286,'Global inputs'!$B$134:$B$171,0))</f>
        <v>Consumer connection</v>
      </c>
      <c r="AE286" s="272">
        <f>IF(OR(H286='Operating leases'!$B$32,H286='Operating leases'!$B$33),"",INDEX('Global inputs'!$C$186:$C$243,MATCH(E286,'Global inputs'!$B$186:$B$243,0)))</f>
        <v>0.08</v>
      </c>
    </row>
    <row r="287" spans="1:31" s="27" customFormat="1" x14ac:dyDescent="0.2">
      <c r="A287" s="250"/>
      <c r="B287" s="210" t="s">
        <v>714</v>
      </c>
      <c r="C287" s="210" t="s">
        <v>284</v>
      </c>
      <c r="D287" s="210" t="s">
        <v>715</v>
      </c>
      <c r="E287" s="210" t="s">
        <v>129</v>
      </c>
      <c r="F287" s="210" t="s">
        <v>94</v>
      </c>
      <c r="G287" s="210" t="s">
        <v>716</v>
      </c>
      <c r="H287" s="197">
        <v>0</v>
      </c>
      <c r="I287" s="210" t="s">
        <v>229</v>
      </c>
      <c r="J287" s="210">
        <v>2021</v>
      </c>
      <c r="K287" s="210">
        <v>2021</v>
      </c>
      <c r="L287" s="268" t="str">
        <f t="shared" si="62"/>
        <v>Simple</v>
      </c>
      <c r="M287" s="197">
        <v>365.44914539068344</v>
      </c>
      <c r="N287" s="197">
        <v>548.17371808602513</v>
      </c>
      <c r="O287" s="257">
        <f>IF(ISNA(MATCH(H287,'Operating leases'!$B$32:$B$43,0)),0,INDEX('Operating leases'!$M$32:$S$43,MATCH(H287,'Operating leases'!$B$32:$B$43,0),MATCH(J287,'Operating leases'!$M$11:$S$11,0)))</f>
        <v>0</v>
      </c>
      <c r="P287" s="257">
        <f t="shared" si="63"/>
        <v>365.44914539068344</v>
      </c>
      <c r="Q287" s="257">
        <f t="shared" si="64"/>
        <v>913.62286347670852</v>
      </c>
      <c r="R287" s="258">
        <f>INDEX('Escalators '!$M$124:$S$129,MATCH(I287,'Escalators '!$B$124:$B$129,0),MATCH(J287,'Escalators '!$M$113:$S$113,0))</f>
        <v>1.0206154571717865</v>
      </c>
      <c r="S287" s="257">
        <f t="shared" si="65"/>
        <v>0</v>
      </c>
      <c r="T287" s="257">
        <f t="shared" si="66"/>
        <v>559.47456989392651</v>
      </c>
      <c r="U287" s="269">
        <f t="shared" si="67"/>
        <v>372.98304659595101</v>
      </c>
      <c r="V287" s="269">
        <f t="shared" si="68"/>
        <v>932.45761648987752</v>
      </c>
      <c r="W287" s="269">
        <f t="shared" si="69"/>
        <v>372.98304659595101</v>
      </c>
      <c r="X287" s="257">
        <f t="shared" si="70"/>
        <v>932.45761648987752</v>
      </c>
      <c r="Y287" s="270">
        <f>IF(L287="Complex",(INDEX('Escalators '!$M$176:$S$176,MATCH('Forecast capex'!J287,'Escalators '!$M$178:$S$178,0))/12+1)^((K287-J287)*12)-1,0)</f>
        <v>0</v>
      </c>
      <c r="Z287" s="257">
        <f t="shared" si="71"/>
        <v>0</v>
      </c>
      <c r="AA287" s="257">
        <f t="shared" si="72"/>
        <v>0</v>
      </c>
      <c r="AB287" s="269">
        <f t="shared" si="73"/>
        <v>0</v>
      </c>
      <c r="AC287" s="269">
        <f t="shared" si="74"/>
        <v>0</v>
      </c>
      <c r="AD287" s="271" t="str">
        <f>INDEX('Global inputs'!$C$134:$C$171,MATCH(F287,'Global inputs'!$B$134:$B$171,0))</f>
        <v>Consumer connection</v>
      </c>
      <c r="AE287" s="272">
        <f>IF(OR(H287='Operating leases'!$B$32,H287='Operating leases'!$B$33),"",INDEX('Global inputs'!$C$186:$C$243,MATCH(E287,'Global inputs'!$B$186:$B$243,0)))</f>
        <v>0.1</v>
      </c>
    </row>
    <row r="288" spans="1:31" s="27" customFormat="1" x14ac:dyDescent="0.2">
      <c r="A288" s="250"/>
      <c r="B288" s="210" t="s">
        <v>714</v>
      </c>
      <c r="C288" s="210" t="s">
        <v>284</v>
      </c>
      <c r="D288" s="210" t="s">
        <v>715</v>
      </c>
      <c r="E288" s="210" t="s">
        <v>129</v>
      </c>
      <c r="F288" s="210" t="s">
        <v>94</v>
      </c>
      <c r="G288" s="210" t="s">
        <v>716</v>
      </c>
      <c r="H288" s="197">
        <v>0</v>
      </c>
      <c r="I288" s="210" t="s">
        <v>221</v>
      </c>
      <c r="J288" s="210">
        <v>2021</v>
      </c>
      <c r="K288" s="210">
        <v>2021</v>
      </c>
      <c r="L288" s="268" t="str">
        <f t="shared" si="62"/>
        <v>Simple</v>
      </c>
      <c r="M288" s="197">
        <v>365.44914539068344</v>
      </c>
      <c r="N288" s="197">
        <v>548.17371808602513</v>
      </c>
      <c r="O288" s="257">
        <f>IF(ISNA(MATCH(H288,'Operating leases'!$B$32:$B$43,0)),0,INDEX('Operating leases'!$M$32:$S$43,MATCH(H288,'Operating leases'!$B$32:$B$43,0),MATCH(J288,'Operating leases'!$M$11:$S$11,0)))</f>
        <v>0</v>
      </c>
      <c r="P288" s="257">
        <f t="shared" si="63"/>
        <v>365.44914539068344</v>
      </c>
      <c r="Q288" s="257">
        <f t="shared" si="64"/>
        <v>913.62286347670852</v>
      </c>
      <c r="R288" s="258">
        <f>INDEX('Escalators '!$M$124:$S$129,MATCH(I288,'Escalators '!$B$124:$B$129,0),MATCH(J288,'Escalators '!$M$113:$S$113,0))</f>
        <v>1.0120900655357943</v>
      </c>
      <c r="S288" s="257">
        <f t="shared" si="65"/>
        <v>0</v>
      </c>
      <c r="T288" s="257">
        <f t="shared" si="66"/>
        <v>554.80117426268521</v>
      </c>
      <c r="U288" s="269">
        <f t="shared" si="67"/>
        <v>369.86744950845673</v>
      </c>
      <c r="V288" s="269">
        <f t="shared" si="68"/>
        <v>924.66862377114194</v>
      </c>
      <c r="W288" s="269">
        <f t="shared" si="69"/>
        <v>369.86744950845673</v>
      </c>
      <c r="X288" s="257">
        <f t="shared" si="70"/>
        <v>924.66862377114194</v>
      </c>
      <c r="Y288" s="270">
        <f>IF(L288="Complex",(INDEX('Escalators '!$M$176:$S$176,MATCH('Forecast capex'!J288,'Escalators '!$M$178:$S$178,0))/12+1)^((K288-J288)*12)-1,0)</f>
        <v>0</v>
      </c>
      <c r="Z288" s="257">
        <f t="shared" si="71"/>
        <v>0</v>
      </c>
      <c r="AA288" s="257">
        <f t="shared" si="72"/>
        <v>0</v>
      </c>
      <c r="AB288" s="269">
        <f t="shared" si="73"/>
        <v>0</v>
      </c>
      <c r="AC288" s="269">
        <f t="shared" si="74"/>
        <v>0</v>
      </c>
      <c r="AD288" s="271" t="str">
        <f>INDEX('Global inputs'!$C$134:$C$171,MATCH(F288,'Global inputs'!$B$134:$B$171,0))</f>
        <v>Consumer connection</v>
      </c>
      <c r="AE288" s="272">
        <f>IF(OR(H288='Operating leases'!$B$32,H288='Operating leases'!$B$33),"",INDEX('Global inputs'!$C$186:$C$243,MATCH(E288,'Global inputs'!$B$186:$B$243,0)))</f>
        <v>0.1</v>
      </c>
    </row>
    <row r="289" spans="1:31" s="27" customFormat="1" x14ac:dyDescent="0.2">
      <c r="A289" s="250"/>
      <c r="B289" s="210" t="s">
        <v>714</v>
      </c>
      <c r="C289" s="210" t="s">
        <v>287</v>
      </c>
      <c r="D289" s="210" t="s">
        <v>715</v>
      </c>
      <c r="E289" s="210" t="s">
        <v>150</v>
      </c>
      <c r="F289" s="210" t="s">
        <v>94</v>
      </c>
      <c r="G289" s="210" t="s">
        <v>716</v>
      </c>
      <c r="H289" s="197">
        <v>0</v>
      </c>
      <c r="I289" s="210" t="s">
        <v>229</v>
      </c>
      <c r="J289" s="210">
        <v>2021</v>
      </c>
      <c r="K289" s="210">
        <v>2021</v>
      </c>
      <c r="L289" s="268" t="str">
        <f t="shared" si="62"/>
        <v>Simple</v>
      </c>
      <c r="M289" s="197">
        <v>18272.457269534174</v>
      </c>
      <c r="N289" s="197">
        <v>27408.685904301259</v>
      </c>
      <c r="O289" s="257">
        <f>IF(ISNA(MATCH(H289,'Operating leases'!$B$32:$B$43,0)),0,INDEX('Operating leases'!$M$32:$S$43,MATCH(H289,'Operating leases'!$B$32:$B$43,0),MATCH(J289,'Operating leases'!$M$11:$S$11,0)))</f>
        <v>0</v>
      </c>
      <c r="P289" s="257">
        <f t="shared" si="63"/>
        <v>18272.457269534174</v>
      </c>
      <c r="Q289" s="257">
        <f t="shared" si="64"/>
        <v>45681.143173835429</v>
      </c>
      <c r="R289" s="258">
        <f>INDEX('Escalators '!$M$124:$S$129,MATCH(I289,'Escalators '!$B$124:$B$129,0),MATCH(J289,'Escalators '!$M$113:$S$113,0))</f>
        <v>1.0206154571717865</v>
      </c>
      <c r="S289" s="257">
        <f t="shared" si="65"/>
        <v>0</v>
      </c>
      <c r="T289" s="257">
        <f t="shared" si="66"/>
        <v>27973.72849469633</v>
      </c>
      <c r="U289" s="269">
        <f t="shared" si="67"/>
        <v>18649.152329797547</v>
      </c>
      <c r="V289" s="269">
        <f t="shared" si="68"/>
        <v>46622.880824493877</v>
      </c>
      <c r="W289" s="269">
        <f t="shared" si="69"/>
        <v>18649.152329797547</v>
      </c>
      <c r="X289" s="257">
        <f t="shared" si="70"/>
        <v>46622.880824493877</v>
      </c>
      <c r="Y289" s="270">
        <f>IF(L289="Complex",(INDEX('Escalators '!$M$176:$S$176,MATCH('Forecast capex'!J289,'Escalators '!$M$178:$S$178,0))/12+1)^((K289-J289)*12)-1,0)</f>
        <v>0</v>
      </c>
      <c r="Z289" s="257">
        <f t="shared" si="71"/>
        <v>0</v>
      </c>
      <c r="AA289" s="257">
        <f t="shared" si="72"/>
        <v>0</v>
      </c>
      <c r="AB289" s="269">
        <f t="shared" si="73"/>
        <v>0</v>
      </c>
      <c r="AC289" s="269">
        <f t="shared" si="74"/>
        <v>0</v>
      </c>
      <c r="AD289" s="271" t="str">
        <f>INDEX('Global inputs'!$C$134:$C$171,MATCH(F289,'Global inputs'!$B$134:$B$171,0))</f>
        <v>Consumer connection</v>
      </c>
      <c r="AE289" s="272">
        <f>IF(OR(H289='Operating leases'!$B$32,H289='Operating leases'!$B$33),"",INDEX('Global inputs'!$C$186:$C$243,MATCH(E289,'Global inputs'!$B$186:$B$243,0)))</f>
        <v>0.08</v>
      </c>
    </row>
    <row r="290" spans="1:31" s="27" customFormat="1" x14ac:dyDescent="0.2">
      <c r="A290" s="250"/>
      <c r="B290" s="210" t="s">
        <v>714</v>
      </c>
      <c r="C290" s="210" t="s">
        <v>287</v>
      </c>
      <c r="D290" s="210" t="s">
        <v>715</v>
      </c>
      <c r="E290" s="210" t="s">
        <v>150</v>
      </c>
      <c r="F290" s="210" t="s">
        <v>94</v>
      </c>
      <c r="G290" s="210" t="s">
        <v>716</v>
      </c>
      <c r="H290" s="197">
        <v>0</v>
      </c>
      <c r="I290" s="210" t="s">
        <v>221</v>
      </c>
      <c r="J290" s="210">
        <v>2021</v>
      </c>
      <c r="K290" s="210">
        <v>2021</v>
      </c>
      <c r="L290" s="268" t="str">
        <f t="shared" si="62"/>
        <v>Simple</v>
      </c>
      <c r="M290" s="197">
        <v>18272.457269534174</v>
      </c>
      <c r="N290" s="197">
        <v>27408.685904301259</v>
      </c>
      <c r="O290" s="257">
        <f>IF(ISNA(MATCH(H290,'Operating leases'!$B$32:$B$43,0)),0,INDEX('Operating leases'!$M$32:$S$43,MATCH(H290,'Operating leases'!$B$32:$B$43,0),MATCH(J290,'Operating leases'!$M$11:$S$11,0)))</f>
        <v>0</v>
      </c>
      <c r="P290" s="257">
        <f t="shared" si="63"/>
        <v>18272.457269534174</v>
      </c>
      <c r="Q290" s="257">
        <f t="shared" si="64"/>
        <v>45681.143173835429</v>
      </c>
      <c r="R290" s="258">
        <f>INDEX('Escalators '!$M$124:$S$129,MATCH(I290,'Escalators '!$B$124:$B$129,0),MATCH(J290,'Escalators '!$M$113:$S$113,0))</f>
        <v>1.0120900655357943</v>
      </c>
      <c r="S290" s="257">
        <f t="shared" si="65"/>
        <v>0</v>
      </c>
      <c r="T290" s="257">
        <f t="shared" si="66"/>
        <v>27740.058713134262</v>
      </c>
      <c r="U290" s="269">
        <f t="shared" si="67"/>
        <v>18493.372475422839</v>
      </c>
      <c r="V290" s="269">
        <f t="shared" si="68"/>
        <v>46233.431188557101</v>
      </c>
      <c r="W290" s="269">
        <f t="shared" si="69"/>
        <v>18493.372475422839</v>
      </c>
      <c r="X290" s="257">
        <f t="shared" si="70"/>
        <v>46233.431188557101</v>
      </c>
      <c r="Y290" s="270">
        <f>IF(L290="Complex",(INDEX('Escalators '!$M$176:$S$176,MATCH('Forecast capex'!J290,'Escalators '!$M$178:$S$178,0))/12+1)^((K290-J290)*12)-1,0)</f>
        <v>0</v>
      </c>
      <c r="Z290" s="257">
        <f t="shared" si="71"/>
        <v>0</v>
      </c>
      <c r="AA290" s="257">
        <f t="shared" si="72"/>
        <v>0</v>
      </c>
      <c r="AB290" s="269">
        <f t="shared" si="73"/>
        <v>0</v>
      </c>
      <c r="AC290" s="269">
        <f t="shared" si="74"/>
        <v>0</v>
      </c>
      <c r="AD290" s="271" t="str">
        <f>INDEX('Global inputs'!$C$134:$C$171,MATCH(F290,'Global inputs'!$B$134:$B$171,0))</f>
        <v>Consumer connection</v>
      </c>
      <c r="AE290" s="272">
        <f>IF(OR(H290='Operating leases'!$B$32,H290='Operating leases'!$B$33),"",INDEX('Global inputs'!$C$186:$C$243,MATCH(E290,'Global inputs'!$B$186:$B$243,0)))</f>
        <v>0.08</v>
      </c>
    </row>
    <row r="291" spans="1:31" s="27" customFormat="1" x14ac:dyDescent="0.2">
      <c r="A291" s="250"/>
      <c r="B291" s="210" t="s">
        <v>714</v>
      </c>
      <c r="C291" s="210" t="s">
        <v>287</v>
      </c>
      <c r="D291" s="210" t="s">
        <v>715</v>
      </c>
      <c r="E291" s="210" t="s">
        <v>151</v>
      </c>
      <c r="F291" s="210" t="s">
        <v>94</v>
      </c>
      <c r="G291" s="210" t="s">
        <v>716</v>
      </c>
      <c r="H291" s="197">
        <v>0</v>
      </c>
      <c r="I291" s="210" t="s">
        <v>229</v>
      </c>
      <c r="J291" s="210">
        <v>2021</v>
      </c>
      <c r="K291" s="210">
        <v>2021</v>
      </c>
      <c r="L291" s="268" t="str">
        <f t="shared" si="62"/>
        <v>Simple</v>
      </c>
      <c r="M291" s="197">
        <v>18272.457269534174</v>
      </c>
      <c r="N291" s="197">
        <v>27408.685904301259</v>
      </c>
      <c r="O291" s="257">
        <f>IF(ISNA(MATCH(H291,'Operating leases'!$B$32:$B$43,0)),0,INDEX('Operating leases'!$M$32:$S$43,MATCH(H291,'Operating leases'!$B$32:$B$43,0),MATCH(J291,'Operating leases'!$M$11:$S$11,0)))</f>
        <v>0</v>
      </c>
      <c r="P291" s="257">
        <f t="shared" si="63"/>
        <v>18272.457269534174</v>
      </c>
      <c r="Q291" s="257">
        <f t="shared" si="64"/>
        <v>45681.143173835429</v>
      </c>
      <c r="R291" s="258">
        <f>INDEX('Escalators '!$M$124:$S$129,MATCH(I291,'Escalators '!$B$124:$B$129,0),MATCH(J291,'Escalators '!$M$113:$S$113,0))</f>
        <v>1.0206154571717865</v>
      </c>
      <c r="S291" s="257">
        <f t="shared" si="65"/>
        <v>0</v>
      </c>
      <c r="T291" s="257">
        <f t="shared" si="66"/>
        <v>27973.72849469633</v>
      </c>
      <c r="U291" s="269">
        <f t="shared" si="67"/>
        <v>18649.152329797547</v>
      </c>
      <c r="V291" s="269">
        <f t="shared" si="68"/>
        <v>46622.880824493877</v>
      </c>
      <c r="W291" s="269">
        <f t="shared" si="69"/>
        <v>18649.152329797547</v>
      </c>
      <c r="X291" s="257">
        <f t="shared" si="70"/>
        <v>46622.880824493877</v>
      </c>
      <c r="Y291" s="270">
        <f>IF(L291="Complex",(INDEX('Escalators '!$M$176:$S$176,MATCH('Forecast capex'!J291,'Escalators '!$M$178:$S$178,0))/12+1)^((K291-J291)*12)-1,0)</f>
        <v>0</v>
      </c>
      <c r="Z291" s="257">
        <f t="shared" si="71"/>
        <v>0</v>
      </c>
      <c r="AA291" s="257">
        <f t="shared" si="72"/>
        <v>0</v>
      </c>
      <c r="AB291" s="269">
        <f t="shared" si="73"/>
        <v>0</v>
      </c>
      <c r="AC291" s="269">
        <f t="shared" si="74"/>
        <v>0</v>
      </c>
      <c r="AD291" s="271" t="str">
        <f>INDEX('Global inputs'!$C$134:$C$171,MATCH(F291,'Global inputs'!$B$134:$B$171,0))</f>
        <v>Consumer connection</v>
      </c>
      <c r="AE291" s="272">
        <f>IF(OR(H291='Operating leases'!$B$32,H291='Operating leases'!$B$33),"",INDEX('Global inputs'!$C$186:$C$243,MATCH(E291,'Global inputs'!$B$186:$B$243,0)))</f>
        <v>0.1</v>
      </c>
    </row>
    <row r="292" spans="1:31" s="27" customFormat="1" x14ac:dyDescent="0.2">
      <c r="A292" s="250"/>
      <c r="B292" s="210" t="s">
        <v>714</v>
      </c>
      <c r="C292" s="210" t="s">
        <v>287</v>
      </c>
      <c r="D292" s="210" t="s">
        <v>715</v>
      </c>
      <c r="E292" s="210" t="s">
        <v>151</v>
      </c>
      <c r="F292" s="210" t="s">
        <v>94</v>
      </c>
      <c r="G292" s="210" t="s">
        <v>716</v>
      </c>
      <c r="H292" s="197">
        <v>0</v>
      </c>
      <c r="I292" s="210" t="s">
        <v>221</v>
      </c>
      <c r="J292" s="210">
        <v>2021</v>
      </c>
      <c r="K292" s="210">
        <v>2021</v>
      </c>
      <c r="L292" s="268" t="str">
        <f t="shared" si="62"/>
        <v>Simple</v>
      </c>
      <c r="M292" s="197">
        <v>18272.457269534174</v>
      </c>
      <c r="N292" s="197">
        <v>27408.685904301259</v>
      </c>
      <c r="O292" s="257">
        <f>IF(ISNA(MATCH(H292,'Operating leases'!$B$32:$B$43,0)),0,INDEX('Operating leases'!$M$32:$S$43,MATCH(H292,'Operating leases'!$B$32:$B$43,0),MATCH(J292,'Operating leases'!$M$11:$S$11,0)))</f>
        <v>0</v>
      </c>
      <c r="P292" s="257">
        <f t="shared" si="63"/>
        <v>18272.457269534174</v>
      </c>
      <c r="Q292" s="257">
        <f t="shared" si="64"/>
        <v>45681.143173835429</v>
      </c>
      <c r="R292" s="258">
        <f>INDEX('Escalators '!$M$124:$S$129,MATCH(I292,'Escalators '!$B$124:$B$129,0),MATCH(J292,'Escalators '!$M$113:$S$113,0))</f>
        <v>1.0120900655357943</v>
      </c>
      <c r="S292" s="257">
        <f t="shared" si="65"/>
        <v>0</v>
      </c>
      <c r="T292" s="257">
        <f t="shared" si="66"/>
        <v>27740.058713134262</v>
      </c>
      <c r="U292" s="269">
        <f t="shared" si="67"/>
        <v>18493.372475422839</v>
      </c>
      <c r="V292" s="269">
        <f t="shared" si="68"/>
        <v>46233.431188557101</v>
      </c>
      <c r="W292" s="269">
        <f t="shared" si="69"/>
        <v>18493.372475422839</v>
      </c>
      <c r="X292" s="257">
        <f t="shared" si="70"/>
        <v>46233.431188557101</v>
      </c>
      <c r="Y292" s="270">
        <f>IF(L292="Complex",(INDEX('Escalators '!$M$176:$S$176,MATCH('Forecast capex'!J292,'Escalators '!$M$178:$S$178,0))/12+1)^((K292-J292)*12)-1,0)</f>
        <v>0</v>
      </c>
      <c r="Z292" s="257">
        <f t="shared" si="71"/>
        <v>0</v>
      </c>
      <c r="AA292" s="257">
        <f t="shared" si="72"/>
        <v>0</v>
      </c>
      <c r="AB292" s="269">
        <f t="shared" si="73"/>
        <v>0</v>
      </c>
      <c r="AC292" s="269">
        <f t="shared" si="74"/>
        <v>0</v>
      </c>
      <c r="AD292" s="271" t="str">
        <f>INDEX('Global inputs'!$C$134:$C$171,MATCH(F292,'Global inputs'!$B$134:$B$171,0))</f>
        <v>Consumer connection</v>
      </c>
      <c r="AE292" s="272">
        <f>IF(OR(H292='Operating leases'!$B$32,H292='Operating leases'!$B$33),"",INDEX('Global inputs'!$C$186:$C$243,MATCH(E292,'Global inputs'!$B$186:$B$243,0)))</f>
        <v>0.1</v>
      </c>
    </row>
    <row r="293" spans="1:31" s="27" customFormat="1" x14ac:dyDescent="0.2">
      <c r="A293" s="250"/>
      <c r="B293" s="210" t="s">
        <v>714</v>
      </c>
      <c r="C293" s="210" t="s">
        <v>287</v>
      </c>
      <c r="D293" s="210" t="s">
        <v>715</v>
      </c>
      <c r="E293" s="210" t="s">
        <v>153</v>
      </c>
      <c r="F293" s="210" t="s">
        <v>94</v>
      </c>
      <c r="G293" s="210" t="s">
        <v>716</v>
      </c>
      <c r="H293" s="197">
        <v>0</v>
      </c>
      <c r="I293" s="210" t="s">
        <v>229</v>
      </c>
      <c r="J293" s="210">
        <v>2021</v>
      </c>
      <c r="K293" s="210">
        <v>2021</v>
      </c>
      <c r="L293" s="268" t="str">
        <f t="shared" si="62"/>
        <v>Simple</v>
      </c>
      <c r="M293" s="197">
        <v>7126.2583351183275</v>
      </c>
      <c r="N293" s="197">
        <v>10689.387502677491</v>
      </c>
      <c r="O293" s="257">
        <f>IF(ISNA(MATCH(H293,'Operating leases'!$B$32:$B$43,0)),0,INDEX('Operating leases'!$M$32:$S$43,MATCH(H293,'Operating leases'!$B$32:$B$43,0),MATCH(J293,'Operating leases'!$M$11:$S$11,0)))</f>
        <v>0</v>
      </c>
      <c r="P293" s="257">
        <f t="shared" si="63"/>
        <v>7126.2583351183275</v>
      </c>
      <c r="Q293" s="257">
        <f t="shared" si="64"/>
        <v>17815.645837795819</v>
      </c>
      <c r="R293" s="258">
        <f>INDEX('Escalators '!$M$124:$S$129,MATCH(I293,'Escalators '!$B$124:$B$129,0),MATCH(J293,'Escalators '!$M$113:$S$113,0))</f>
        <v>1.0206154571717865</v>
      </c>
      <c r="S293" s="257">
        <f t="shared" si="65"/>
        <v>0</v>
      </c>
      <c r="T293" s="257">
        <f t="shared" si="66"/>
        <v>10909.754112931569</v>
      </c>
      <c r="U293" s="269">
        <f t="shared" si="67"/>
        <v>7273.1694086210446</v>
      </c>
      <c r="V293" s="269">
        <f t="shared" si="68"/>
        <v>18182.923521552613</v>
      </c>
      <c r="W293" s="269">
        <f t="shared" si="69"/>
        <v>7273.1694086210446</v>
      </c>
      <c r="X293" s="257">
        <f t="shared" si="70"/>
        <v>18182.923521552613</v>
      </c>
      <c r="Y293" s="270">
        <f>IF(L293="Complex",(INDEX('Escalators '!$M$176:$S$176,MATCH('Forecast capex'!J293,'Escalators '!$M$178:$S$178,0))/12+1)^((K293-J293)*12)-1,0)</f>
        <v>0</v>
      </c>
      <c r="Z293" s="257">
        <f t="shared" si="71"/>
        <v>0</v>
      </c>
      <c r="AA293" s="257">
        <f t="shared" si="72"/>
        <v>0</v>
      </c>
      <c r="AB293" s="269">
        <f t="shared" si="73"/>
        <v>0</v>
      </c>
      <c r="AC293" s="269">
        <f t="shared" si="74"/>
        <v>0</v>
      </c>
      <c r="AD293" s="271" t="str">
        <f>INDEX('Global inputs'!$C$134:$C$171,MATCH(F293,'Global inputs'!$B$134:$B$171,0))</f>
        <v>Consumer connection</v>
      </c>
      <c r="AE293" s="272">
        <f>IF(OR(H293='Operating leases'!$B$32,H293='Operating leases'!$B$33),"",INDEX('Global inputs'!$C$186:$C$243,MATCH(E293,'Global inputs'!$B$186:$B$243,0)))</f>
        <v>0.08</v>
      </c>
    </row>
    <row r="294" spans="1:31" s="27" customFormat="1" x14ac:dyDescent="0.2">
      <c r="A294" s="250"/>
      <c r="B294" s="210" t="s">
        <v>714</v>
      </c>
      <c r="C294" s="210" t="s">
        <v>287</v>
      </c>
      <c r="D294" s="210" t="s">
        <v>715</v>
      </c>
      <c r="E294" s="210" t="s">
        <v>153</v>
      </c>
      <c r="F294" s="210" t="s">
        <v>94</v>
      </c>
      <c r="G294" s="210" t="s">
        <v>716</v>
      </c>
      <c r="H294" s="197">
        <v>0</v>
      </c>
      <c r="I294" s="210" t="s">
        <v>221</v>
      </c>
      <c r="J294" s="210">
        <v>2021</v>
      </c>
      <c r="K294" s="210">
        <v>2021</v>
      </c>
      <c r="L294" s="268" t="str">
        <f t="shared" si="62"/>
        <v>Simple</v>
      </c>
      <c r="M294" s="197">
        <v>7126.2583351183275</v>
      </c>
      <c r="N294" s="197">
        <v>10689.387502677491</v>
      </c>
      <c r="O294" s="257">
        <f>IF(ISNA(MATCH(H294,'Operating leases'!$B$32:$B$43,0)),0,INDEX('Operating leases'!$M$32:$S$43,MATCH(H294,'Operating leases'!$B$32:$B$43,0),MATCH(J294,'Operating leases'!$M$11:$S$11,0)))</f>
        <v>0</v>
      </c>
      <c r="P294" s="257">
        <f t="shared" si="63"/>
        <v>7126.2583351183275</v>
      </c>
      <c r="Q294" s="257">
        <f t="shared" si="64"/>
        <v>17815.645837795819</v>
      </c>
      <c r="R294" s="258">
        <f>INDEX('Escalators '!$M$124:$S$129,MATCH(I294,'Escalators '!$B$124:$B$129,0),MATCH(J294,'Escalators '!$M$113:$S$113,0))</f>
        <v>1.0120900655357943</v>
      </c>
      <c r="S294" s="257">
        <f t="shared" si="65"/>
        <v>0</v>
      </c>
      <c r="T294" s="257">
        <f t="shared" si="66"/>
        <v>10818.622898122363</v>
      </c>
      <c r="U294" s="269">
        <f t="shared" si="67"/>
        <v>7212.4152654149093</v>
      </c>
      <c r="V294" s="269">
        <f t="shared" si="68"/>
        <v>18031.038163537272</v>
      </c>
      <c r="W294" s="269">
        <f t="shared" si="69"/>
        <v>7212.4152654149093</v>
      </c>
      <c r="X294" s="257">
        <f t="shared" si="70"/>
        <v>18031.038163537272</v>
      </c>
      <c r="Y294" s="270">
        <f>IF(L294="Complex",(INDEX('Escalators '!$M$176:$S$176,MATCH('Forecast capex'!J294,'Escalators '!$M$178:$S$178,0))/12+1)^((K294-J294)*12)-1,0)</f>
        <v>0</v>
      </c>
      <c r="Z294" s="257">
        <f t="shared" si="71"/>
        <v>0</v>
      </c>
      <c r="AA294" s="257">
        <f t="shared" si="72"/>
        <v>0</v>
      </c>
      <c r="AB294" s="269">
        <f t="shared" si="73"/>
        <v>0</v>
      </c>
      <c r="AC294" s="269">
        <f t="shared" si="74"/>
        <v>0</v>
      </c>
      <c r="AD294" s="271" t="str">
        <f>INDEX('Global inputs'!$C$134:$C$171,MATCH(F294,'Global inputs'!$B$134:$B$171,0))</f>
        <v>Consumer connection</v>
      </c>
      <c r="AE294" s="272">
        <f>IF(OR(H294='Operating leases'!$B$32,H294='Operating leases'!$B$33),"",INDEX('Global inputs'!$C$186:$C$243,MATCH(E294,'Global inputs'!$B$186:$B$243,0)))</f>
        <v>0.08</v>
      </c>
    </row>
    <row r="295" spans="1:31" s="27" customFormat="1" x14ac:dyDescent="0.2">
      <c r="A295" s="250"/>
      <c r="B295" s="210" t="s">
        <v>714</v>
      </c>
      <c r="C295" s="210" t="s">
        <v>287</v>
      </c>
      <c r="D295" s="210" t="s">
        <v>715</v>
      </c>
      <c r="E295" s="210" t="s">
        <v>154</v>
      </c>
      <c r="F295" s="210" t="s">
        <v>94</v>
      </c>
      <c r="G295" s="210" t="s">
        <v>716</v>
      </c>
      <c r="H295" s="197">
        <v>0</v>
      </c>
      <c r="I295" s="210" t="s">
        <v>229</v>
      </c>
      <c r="J295" s="210">
        <v>2021</v>
      </c>
      <c r="K295" s="210">
        <v>2021</v>
      </c>
      <c r="L295" s="268" t="str">
        <f t="shared" si="62"/>
        <v>Simple</v>
      </c>
      <c r="M295" s="197">
        <v>7126.2583351183275</v>
      </c>
      <c r="N295" s="197">
        <v>10689.387502677491</v>
      </c>
      <c r="O295" s="257">
        <f>IF(ISNA(MATCH(H295,'Operating leases'!$B$32:$B$43,0)),0,INDEX('Operating leases'!$M$32:$S$43,MATCH(H295,'Operating leases'!$B$32:$B$43,0),MATCH(J295,'Operating leases'!$M$11:$S$11,0)))</f>
        <v>0</v>
      </c>
      <c r="P295" s="257">
        <f t="shared" si="63"/>
        <v>7126.2583351183275</v>
      </c>
      <c r="Q295" s="257">
        <f t="shared" si="64"/>
        <v>17815.645837795819</v>
      </c>
      <c r="R295" s="258">
        <f>INDEX('Escalators '!$M$124:$S$129,MATCH(I295,'Escalators '!$B$124:$B$129,0),MATCH(J295,'Escalators '!$M$113:$S$113,0))</f>
        <v>1.0206154571717865</v>
      </c>
      <c r="S295" s="257">
        <f t="shared" si="65"/>
        <v>0</v>
      </c>
      <c r="T295" s="257">
        <f t="shared" si="66"/>
        <v>10909.754112931569</v>
      </c>
      <c r="U295" s="269">
        <f t="shared" si="67"/>
        <v>7273.1694086210446</v>
      </c>
      <c r="V295" s="269">
        <f t="shared" si="68"/>
        <v>18182.923521552613</v>
      </c>
      <c r="W295" s="269">
        <f t="shared" si="69"/>
        <v>7273.1694086210446</v>
      </c>
      <c r="X295" s="257">
        <f t="shared" si="70"/>
        <v>18182.923521552613</v>
      </c>
      <c r="Y295" s="270">
        <f>IF(L295="Complex",(INDEX('Escalators '!$M$176:$S$176,MATCH('Forecast capex'!J295,'Escalators '!$M$178:$S$178,0))/12+1)^((K295-J295)*12)-1,0)</f>
        <v>0</v>
      </c>
      <c r="Z295" s="257">
        <f t="shared" si="71"/>
        <v>0</v>
      </c>
      <c r="AA295" s="257">
        <f t="shared" si="72"/>
        <v>0</v>
      </c>
      <c r="AB295" s="269">
        <f t="shared" si="73"/>
        <v>0</v>
      </c>
      <c r="AC295" s="269">
        <f t="shared" si="74"/>
        <v>0</v>
      </c>
      <c r="AD295" s="271" t="str">
        <f>INDEX('Global inputs'!$C$134:$C$171,MATCH(F295,'Global inputs'!$B$134:$B$171,0))</f>
        <v>Consumer connection</v>
      </c>
      <c r="AE295" s="272">
        <f>IF(OR(H295='Operating leases'!$B$32,H295='Operating leases'!$B$33),"",INDEX('Global inputs'!$C$186:$C$243,MATCH(E295,'Global inputs'!$B$186:$B$243,0)))</f>
        <v>0.1</v>
      </c>
    </row>
    <row r="296" spans="1:31" s="27" customFormat="1" x14ac:dyDescent="0.2">
      <c r="A296" s="250"/>
      <c r="B296" s="210" t="s">
        <v>714</v>
      </c>
      <c r="C296" s="210" t="s">
        <v>287</v>
      </c>
      <c r="D296" s="210" t="s">
        <v>715</v>
      </c>
      <c r="E296" s="210" t="s">
        <v>154</v>
      </c>
      <c r="F296" s="210" t="s">
        <v>94</v>
      </c>
      <c r="G296" s="210" t="s">
        <v>716</v>
      </c>
      <c r="H296" s="197">
        <v>0</v>
      </c>
      <c r="I296" s="210" t="s">
        <v>221</v>
      </c>
      <c r="J296" s="210">
        <v>2021</v>
      </c>
      <c r="K296" s="210">
        <v>2021</v>
      </c>
      <c r="L296" s="268" t="str">
        <f t="shared" si="62"/>
        <v>Simple</v>
      </c>
      <c r="M296" s="197">
        <v>7126.2583351183275</v>
      </c>
      <c r="N296" s="197">
        <v>10689.387502677491</v>
      </c>
      <c r="O296" s="257">
        <f>IF(ISNA(MATCH(H296,'Operating leases'!$B$32:$B$43,0)),0,INDEX('Operating leases'!$M$32:$S$43,MATCH(H296,'Operating leases'!$B$32:$B$43,0),MATCH(J296,'Operating leases'!$M$11:$S$11,0)))</f>
        <v>0</v>
      </c>
      <c r="P296" s="257">
        <f t="shared" si="63"/>
        <v>7126.2583351183275</v>
      </c>
      <c r="Q296" s="257">
        <f t="shared" si="64"/>
        <v>17815.645837795819</v>
      </c>
      <c r="R296" s="258">
        <f>INDEX('Escalators '!$M$124:$S$129,MATCH(I296,'Escalators '!$B$124:$B$129,0),MATCH(J296,'Escalators '!$M$113:$S$113,0))</f>
        <v>1.0120900655357943</v>
      </c>
      <c r="S296" s="257">
        <f t="shared" si="65"/>
        <v>0</v>
      </c>
      <c r="T296" s="257">
        <f t="shared" si="66"/>
        <v>10818.622898122363</v>
      </c>
      <c r="U296" s="269">
        <f t="shared" si="67"/>
        <v>7212.4152654149093</v>
      </c>
      <c r="V296" s="269">
        <f t="shared" si="68"/>
        <v>18031.038163537272</v>
      </c>
      <c r="W296" s="269">
        <f t="shared" si="69"/>
        <v>7212.4152654149093</v>
      </c>
      <c r="X296" s="257">
        <f t="shared" si="70"/>
        <v>18031.038163537272</v>
      </c>
      <c r="Y296" s="270">
        <f>IF(L296="Complex",(INDEX('Escalators '!$M$176:$S$176,MATCH('Forecast capex'!J296,'Escalators '!$M$178:$S$178,0))/12+1)^((K296-J296)*12)-1,0)</f>
        <v>0</v>
      </c>
      <c r="Z296" s="257">
        <f t="shared" si="71"/>
        <v>0</v>
      </c>
      <c r="AA296" s="257">
        <f t="shared" si="72"/>
        <v>0</v>
      </c>
      <c r="AB296" s="269">
        <f t="shared" si="73"/>
        <v>0</v>
      </c>
      <c r="AC296" s="269">
        <f t="shared" si="74"/>
        <v>0</v>
      </c>
      <c r="AD296" s="271" t="str">
        <f>INDEX('Global inputs'!$C$134:$C$171,MATCH(F296,'Global inputs'!$B$134:$B$171,0))</f>
        <v>Consumer connection</v>
      </c>
      <c r="AE296" s="272">
        <f>IF(OR(H296='Operating leases'!$B$32,H296='Operating leases'!$B$33),"",INDEX('Global inputs'!$C$186:$C$243,MATCH(E296,'Global inputs'!$B$186:$B$243,0)))</f>
        <v>0.1</v>
      </c>
    </row>
    <row r="297" spans="1:31" s="27" customFormat="1" x14ac:dyDescent="0.2">
      <c r="A297" s="250"/>
      <c r="B297" s="210" t="s">
        <v>714</v>
      </c>
      <c r="C297" s="210" t="s">
        <v>284</v>
      </c>
      <c r="D297" s="210" t="s">
        <v>715</v>
      </c>
      <c r="E297" s="210" t="s">
        <v>127</v>
      </c>
      <c r="F297" s="210" t="s">
        <v>94</v>
      </c>
      <c r="G297" s="210" t="s">
        <v>717</v>
      </c>
      <c r="H297" s="197">
        <v>0</v>
      </c>
      <c r="I297" s="210" t="s">
        <v>229</v>
      </c>
      <c r="J297" s="210">
        <v>2021</v>
      </c>
      <c r="K297" s="210">
        <v>2021</v>
      </c>
      <c r="L297" s="268" t="str">
        <f t="shared" si="62"/>
        <v>Simple</v>
      </c>
      <c r="M297" s="197">
        <v>182.72457269534172</v>
      </c>
      <c r="N297" s="197">
        <v>274.08685904301257</v>
      </c>
      <c r="O297" s="257">
        <f>IF(ISNA(MATCH(H297,'Operating leases'!$B$32:$B$43,0)),0,INDEX('Operating leases'!$M$32:$S$43,MATCH(H297,'Operating leases'!$B$32:$B$43,0),MATCH(J297,'Operating leases'!$M$11:$S$11,0)))</f>
        <v>0</v>
      </c>
      <c r="P297" s="257">
        <f t="shared" si="63"/>
        <v>182.72457269534172</v>
      </c>
      <c r="Q297" s="257">
        <f t="shared" si="64"/>
        <v>456.81143173835426</v>
      </c>
      <c r="R297" s="258">
        <f>INDEX('Escalators '!$M$124:$S$129,MATCH(I297,'Escalators '!$B$124:$B$129,0),MATCH(J297,'Escalators '!$M$113:$S$113,0))</f>
        <v>1.0206154571717865</v>
      </c>
      <c r="S297" s="257">
        <f t="shared" si="65"/>
        <v>0</v>
      </c>
      <c r="T297" s="257">
        <f t="shared" si="66"/>
        <v>279.73728494696326</v>
      </c>
      <c r="U297" s="269">
        <f t="shared" si="67"/>
        <v>186.4915232979755</v>
      </c>
      <c r="V297" s="269">
        <f t="shared" si="68"/>
        <v>466.22880824493876</v>
      </c>
      <c r="W297" s="269">
        <f t="shared" si="69"/>
        <v>186.4915232979755</v>
      </c>
      <c r="X297" s="257">
        <f t="shared" si="70"/>
        <v>466.22880824493876</v>
      </c>
      <c r="Y297" s="270">
        <f>IF(L297="Complex",(INDEX('Escalators '!$M$176:$S$176,MATCH('Forecast capex'!J297,'Escalators '!$M$178:$S$178,0))/12+1)^((K297-J297)*12)-1,0)</f>
        <v>0</v>
      </c>
      <c r="Z297" s="257">
        <f t="shared" si="71"/>
        <v>0</v>
      </c>
      <c r="AA297" s="257">
        <f t="shared" si="72"/>
        <v>0</v>
      </c>
      <c r="AB297" s="269">
        <f t="shared" si="73"/>
        <v>0</v>
      </c>
      <c r="AC297" s="269">
        <f t="shared" si="74"/>
        <v>0</v>
      </c>
      <c r="AD297" s="271" t="str">
        <f>INDEX('Global inputs'!$C$134:$C$171,MATCH(F297,'Global inputs'!$B$134:$B$171,0))</f>
        <v>Consumer connection</v>
      </c>
      <c r="AE297" s="272">
        <f>IF(OR(H297='Operating leases'!$B$32,H297='Operating leases'!$B$33),"",INDEX('Global inputs'!$C$186:$C$243,MATCH(E297,'Global inputs'!$B$186:$B$243,0)))</f>
        <v>0.08</v>
      </c>
    </row>
    <row r="298" spans="1:31" s="27" customFormat="1" x14ac:dyDescent="0.2">
      <c r="A298" s="250"/>
      <c r="B298" s="210" t="s">
        <v>714</v>
      </c>
      <c r="C298" s="210" t="s">
        <v>284</v>
      </c>
      <c r="D298" s="210" t="s">
        <v>715</v>
      </c>
      <c r="E298" s="210" t="s">
        <v>127</v>
      </c>
      <c r="F298" s="210" t="s">
        <v>94</v>
      </c>
      <c r="G298" s="210" t="s">
        <v>717</v>
      </c>
      <c r="H298" s="197">
        <v>0</v>
      </c>
      <c r="I298" s="210" t="s">
        <v>221</v>
      </c>
      <c r="J298" s="210">
        <v>2021</v>
      </c>
      <c r="K298" s="210">
        <v>2021</v>
      </c>
      <c r="L298" s="268" t="str">
        <f t="shared" si="62"/>
        <v>Simple</v>
      </c>
      <c r="M298" s="197">
        <v>182.72457269534172</v>
      </c>
      <c r="N298" s="197">
        <v>274.08685904301257</v>
      </c>
      <c r="O298" s="257">
        <f>IF(ISNA(MATCH(H298,'Operating leases'!$B$32:$B$43,0)),0,INDEX('Operating leases'!$M$32:$S$43,MATCH(H298,'Operating leases'!$B$32:$B$43,0),MATCH(J298,'Operating leases'!$M$11:$S$11,0)))</f>
        <v>0</v>
      </c>
      <c r="P298" s="257">
        <f t="shared" si="63"/>
        <v>182.72457269534172</v>
      </c>
      <c r="Q298" s="257">
        <f t="shared" si="64"/>
        <v>456.81143173835426</v>
      </c>
      <c r="R298" s="258">
        <f>INDEX('Escalators '!$M$124:$S$129,MATCH(I298,'Escalators '!$B$124:$B$129,0),MATCH(J298,'Escalators '!$M$113:$S$113,0))</f>
        <v>1.0120900655357943</v>
      </c>
      <c r="S298" s="257">
        <f t="shared" si="65"/>
        <v>0</v>
      </c>
      <c r="T298" s="257">
        <f t="shared" si="66"/>
        <v>277.4005871313426</v>
      </c>
      <c r="U298" s="269">
        <f t="shared" si="67"/>
        <v>184.93372475422836</v>
      </c>
      <c r="V298" s="269">
        <f t="shared" si="68"/>
        <v>462.33431188557097</v>
      </c>
      <c r="W298" s="269">
        <f t="shared" si="69"/>
        <v>184.93372475422836</v>
      </c>
      <c r="X298" s="257">
        <f t="shared" si="70"/>
        <v>462.33431188557097</v>
      </c>
      <c r="Y298" s="270">
        <f>IF(L298="Complex",(INDEX('Escalators '!$M$176:$S$176,MATCH('Forecast capex'!J298,'Escalators '!$M$178:$S$178,0))/12+1)^((K298-J298)*12)-1,0)</f>
        <v>0</v>
      </c>
      <c r="Z298" s="257">
        <f t="shared" si="71"/>
        <v>0</v>
      </c>
      <c r="AA298" s="257">
        <f t="shared" si="72"/>
        <v>0</v>
      </c>
      <c r="AB298" s="269">
        <f t="shared" si="73"/>
        <v>0</v>
      </c>
      <c r="AC298" s="269">
        <f t="shared" si="74"/>
        <v>0</v>
      </c>
      <c r="AD298" s="271" t="str">
        <f>INDEX('Global inputs'!$C$134:$C$171,MATCH(F298,'Global inputs'!$B$134:$B$171,0))</f>
        <v>Consumer connection</v>
      </c>
      <c r="AE298" s="272">
        <f>IF(OR(H298='Operating leases'!$B$32,H298='Operating leases'!$B$33),"",INDEX('Global inputs'!$C$186:$C$243,MATCH(E298,'Global inputs'!$B$186:$B$243,0)))</f>
        <v>0.08</v>
      </c>
    </row>
    <row r="299" spans="1:31" s="27" customFormat="1" x14ac:dyDescent="0.2">
      <c r="A299" s="250"/>
      <c r="B299" s="210" t="s">
        <v>714</v>
      </c>
      <c r="C299" s="210" t="s">
        <v>284</v>
      </c>
      <c r="D299" s="210" t="s">
        <v>715</v>
      </c>
      <c r="E299" s="210" t="s">
        <v>129</v>
      </c>
      <c r="F299" s="210" t="s">
        <v>94</v>
      </c>
      <c r="G299" s="210" t="s">
        <v>717</v>
      </c>
      <c r="H299" s="197">
        <v>0</v>
      </c>
      <c r="I299" s="210" t="s">
        <v>229</v>
      </c>
      <c r="J299" s="210">
        <v>2021</v>
      </c>
      <c r="K299" s="210">
        <v>2021</v>
      </c>
      <c r="L299" s="268" t="str">
        <f t="shared" si="62"/>
        <v>Simple</v>
      </c>
      <c r="M299" s="197">
        <v>182.72457269534172</v>
      </c>
      <c r="N299" s="197">
        <v>274.08685904301257</v>
      </c>
      <c r="O299" s="257">
        <f>IF(ISNA(MATCH(H299,'Operating leases'!$B$32:$B$43,0)),0,INDEX('Operating leases'!$M$32:$S$43,MATCH(H299,'Operating leases'!$B$32:$B$43,0),MATCH(J299,'Operating leases'!$M$11:$S$11,0)))</f>
        <v>0</v>
      </c>
      <c r="P299" s="257">
        <f t="shared" si="63"/>
        <v>182.72457269534172</v>
      </c>
      <c r="Q299" s="257">
        <f t="shared" si="64"/>
        <v>456.81143173835426</v>
      </c>
      <c r="R299" s="258">
        <f>INDEX('Escalators '!$M$124:$S$129,MATCH(I299,'Escalators '!$B$124:$B$129,0),MATCH(J299,'Escalators '!$M$113:$S$113,0))</f>
        <v>1.0206154571717865</v>
      </c>
      <c r="S299" s="257">
        <f t="shared" si="65"/>
        <v>0</v>
      </c>
      <c r="T299" s="257">
        <f t="shared" si="66"/>
        <v>279.73728494696326</v>
      </c>
      <c r="U299" s="269">
        <f t="shared" si="67"/>
        <v>186.4915232979755</v>
      </c>
      <c r="V299" s="269">
        <f t="shared" si="68"/>
        <v>466.22880824493876</v>
      </c>
      <c r="W299" s="269">
        <f t="shared" si="69"/>
        <v>186.4915232979755</v>
      </c>
      <c r="X299" s="257">
        <f t="shared" si="70"/>
        <v>466.22880824493876</v>
      </c>
      <c r="Y299" s="270">
        <f>IF(L299="Complex",(INDEX('Escalators '!$M$176:$S$176,MATCH('Forecast capex'!J299,'Escalators '!$M$178:$S$178,0))/12+1)^((K299-J299)*12)-1,0)</f>
        <v>0</v>
      </c>
      <c r="Z299" s="257">
        <f t="shared" si="71"/>
        <v>0</v>
      </c>
      <c r="AA299" s="257">
        <f t="shared" si="72"/>
        <v>0</v>
      </c>
      <c r="AB299" s="269">
        <f t="shared" si="73"/>
        <v>0</v>
      </c>
      <c r="AC299" s="269">
        <f t="shared" si="74"/>
        <v>0</v>
      </c>
      <c r="AD299" s="271" t="str">
        <f>INDEX('Global inputs'!$C$134:$C$171,MATCH(F299,'Global inputs'!$B$134:$B$171,0))</f>
        <v>Consumer connection</v>
      </c>
      <c r="AE299" s="272">
        <f>IF(OR(H299='Operating leases'!$B$32,H299='Operating leases'!$B$33),"",INDEX('Global inputs'!$C$186:$C$243,MATCH(E299,'Global inputs'!$B$186:$B$243,0)))</f>
        <v>0.1</v>
      </c>
    </row>
    <row r="300" spans="1:31" s="27" customFormat="1" x14ac:dyDescent="0.2">
      <c r="A300" s="250"/>
      <c r="B300" s="210" t="s">
        <v>714</v>
      </c>
      <c r="C300" s="210" t="s">
        <v>284</v>
      </c>
      <c r="D300" s="210" t="s">
        <v>715</v>
      </c>
      <c r="E300" s="210" t="s">
        <v>129</v>
      </c>
      <c r="F300" s="210" t="s">
        <v>94</v>
      </c>
      <c r="G300" s="210" t="s">
        <v>717</v>
      </c>
      <c r="H300" s="197">
        <v>0</v>
      </c>
      <c r="I300" s="210" t="s">
        <v>221</v>
      </c>
      <c r="J300" s="210">
        <v>2021</v>
      </c>
      <c r="K300" s="210">
        <v>2021</v>
      </c>
      <c r="L300" s="268" t="str">
        <f t="shared" si="62"/>
        <v>Simple</v>
      </c>
      <c r="M300" s="197">
        <v>182.72457269534172</v>
      </c>
      <c r="N300" s="197">
        <v>274.08685904301257</v>
      </c>
      <c r="O300" s="257">
        <f>IF(ISNA(MATCH(H300,'Operating leases'!$B$32:$B$43,0)),0,INDEX('Operating leases'!$M$32:$S$43,MATCH(H300,'Operating leases'!$B$32:$B$43,0),MATCH(J300,'Operating leases'!$M$11:$S$11,0)))</f>
        <v>0</v>
      </c>
      <c r="P300" s="257">
        <f t="shared" si="63"/>
        <v>182.72457269534172</v>
      </c>
      <c r="Q300" s="257">
        <f t="shared" si="64"/>
        <v>456.81143173835426</v>
      </c>
      <c r="R300" s="258">
        <f>INDEX('Escalators '!$M$124:$S$129,MATCH(I300,'Escalators '!$B$124:$B$129,0),MATCH(J300,'Escalators '!$M$113:$S$113,0))</f>
        <v>1.0120900655357943</v>
      </c>
      <c r="S300" s="257">
        <f t="shared" si="65"/>
        <v>0</v>
      </c>
      <c r="T300" s="257">
        <f t="shared" si="66"/>
        <v>277.4005871313426</v>
      </c>
      <c r="U300" s="269">
        <f t="shared" si="67"/>
        <v>184.93372475422836</v>
      </c>
      <c r="V300" s="269">
        <f t="shared" si="68"/>
        <v>462.33431188557097</v>
      </c>
      <c r="W300" s="269">
        <f t="shared" si="69"/>
        <v>184.93372475422836</v>
      </c>
      <c r="X300" s="257">
        <f t="shared" si="70"/>
        <v>462.33431188557097</v>
      </c>
      <c r="Y300" s="270">
        <f>IF(L300="Complex",(INDEX('Escalators '!$M$176:$S$176,MATCH('Forecast capex'!J300,'Escalators '!$M$178:$S$178,0))/12+1)^((K300-J300)*12)-1,0)</f>
        <v>0</v>
      </c>
      <c r="Z300" s="257">
        <f t="shared" si="71"/>
        <v>0</v>
      </c>
      <c r="AA300" s="257">
        <f t="shared" si="72"/>
        <v>0</v>
      </c>
      <c r="AB300" s="269">
        <f t="shared" si="73"/>
        <v>0</v>
      </c>
      <c r="AC300" s="269">
        <f t="shared" si="74"/>
        <v>0</v>
      </c>
      <c r="AD300" s="271" t="str">
        <f>INDEX('Global inputs'!$C$134:$C$171,MATCH(F300,'Global inputs'!$B$134:$B$171,0))</f>
        <v>Consumer connection</v>
      </c>
      <c r="AE300" s="272">
        <f>IF(OR(H300='Operating leases'!$B$32,H300='Operating leases'!$B$33),"",INDEX('Global inputs'!$C$186:$C$243,MATCH(E300,'Global inputs'!$B$186:$B$243,0)))</f>
        <v>0.1</v>
      </c>
    </row>
    <row r="301" spans="1:31" s="27" customFormat="1" x14ac:dyDescent="0.2">
      <c r="A301" s="250"/>
      <c r="B301" s="210" t="s">
        <v>714</v>
      </c>
      <c r="C301" s="210" t="s">
        <v>287</v>
      </c>
      <c r="D301" s="210" t="s">
        <v>715</v>
      </c>
      <c r="E301" s="210" t="s">
        <v>150</v>
      </c>
      <c r="F301" s="210" t="s">
        <v>94</v>
      </c>
      <c r="G301" s="210" t="s">
        <v>717</v>
      </c>
      <c r="H301" s="197">
        <v>0</v>
      </c>
      <c r="I301" s="210" t="s">
        <v>229</v>
      </c>
      <c r="J301" s="210">
        <v>2021</v>
      </c>
      <c r="K301" s="210">
        <v>2021</v>
      </c>
      <c r="L301" s="268" t="str">
        <f t="shared" si="62"/>
        <v>Simple</v>
      </c>
      <c r="M301" s="197">
        <v>10963.474361720504</v>
      </c>
      <c r="N301" s="197">
        <v>16445.211542580753</v>
      </c>
      <c r="O301" s="257">
        <f>IF(ISNA(MATCH(H301,'Operating leases'!$B$32:$B$43,0)),0,INDEX('Operating leases'!$M$32:$S$43,MATCH(H301,'Operating leases'!$B$32:$B$43,0),MATCH(J301,'Operating leases'!$M$11:$S$11,0)))</f>
        <v>0</v>
      </c>
      <c r="P301" s="257">
        <f t="shared" si="63"/>
        <v>10963.474361720504</v>
      </c>
      <c r="Q301" s="257">
        <f t="shared" si="64"/>
        <v>27408.685904301259</v>
      </c>
      <c r="R301" s="258">
        <f>INDEX('Escalators '!$M$124:$S$129,MATCH(I301,'Escalators '!$B$124:$B$129,0),MATCH(J301,'Escalators '!$M$113:$S$113,0))</f>
        <v>1.0206154571717865</v>
      </c>
      <c r="S301" s="257">
        <f t="shared" si="65"/>
        <v>0</v>
      </c>
      <c r="T301" s="257">
        <f t="shared" si="66"/>
        <v>16784.237096817797</v>
      </c>
      <c r="U301" s="269">
        <f t="shared" si="67"/>
        <v>11189.491397878533</v>
      </c>
      <c r="V301" s="269">
        <f t="shared" si="68"/>
        <v>27973.72849469633</v>
      </c>
      <c r="W301" s="269">
        <f t="shared" si="69"/>
        <v>11189.491397878533</v>
      </c>
      <c r="X301" s="257">
        <f t="shared" si="70"/>
        <v>27973.72849469633</v>
      </c>
      <c r="Y301" s="270">
        <f>IF(L301="Complex",(INDEX('Escalators '!$M$176:$S$176,MATCH('Forecast capex'!J301,'Escalators '!$M$178:$S$178,0))/12+1)^((K301-J301)*12)-1,0)</f>
        <v>0</v>
      </c>
      <c r="Z301" s="257">
        <f t="shared" si="71"/>
        <v>0</v>
      </c>
      <c r="AA301" s="257">
        <f t="shared" si="72"/>
        <v>0</v>
      </c>
      <c r="AB301" s="269">
        <f t="shared" si="73"/>
        <v>0</v>
      </c>
      <c r="AC301" s="269">
        <f t="shared" si="74"/>
        <v>0</v>
      </c>
      <c r="AD301" s="271" t="str">
        <f>INDEX('Global inputs'!$C$134:$C$171,MATCH(F301,'Global inputs'!$B$134:$B$171,0))</f>
        <v>Consumer connection</v>
      </c>
      <c r="AE301" s="272">
        <f>IF(OR(H301='Operating leases'!$B$32,H301='Operating leases'!$B$33),"",INDEX('Global inputs'!$C$186:$C$243,MATCH(E301,'Global inputs'!$B$186:$B$243,0)))</f>
        <v>0.08</v>
      </c>
    </row>
    <row r="302" spans="1:31" s="27" customFormat="1" x14ac:dyDescent="0.2">
      <c r="A302" s="250"/>
      <c r="B302" s="210" t="s">
        <v>714</v>
      </c>
      <c r="C302" s="210" t="s">
        <v>287</v>
      </c>
      <c r="D302" s="210" t="s">
        <v>715</v>
      </c>
      <c r="E302" s="210" t="s">
        <v>150</v>
      </c>
      <c r="F302" s="210" t="s">
        <v>94</v>
      </c>
      <c r="G302" s="210" t="s">
        <v>717</v>
      </c>
      <c r="H302" s="197">
        <v>0</v>
      </c>
      <c r="I302" s="210" t="s">
        <v>221</v>
      </c>
      <c r="J302" s="210">
        <v>2021</v>
      </c>
      <c r="K302" s="210">
        <v>2021</v>
      </c>
      <c r="L302" s="268" t="str">
        <f t="shared" si="62"/>
        <v>Simple</v>
      </c>
      <c r="M302" s="197">
        <v>10963.474361720504</v>
      </c>
      <c r="N302" s="197">
        <v>16445.211542580753</v>
      </c>
      <c r="O302" s="257">
        <f>IF(ISNA(MATCH(H302,'Operating leases'!$B$32:$B$43,0)),0,INDEX('Operating leases'!$M$32:$S$43,MATCH(H302,'Operating leases'!$B$32:$B$43,0),MATCH(J302,'Operating leases'!$M$11:$S$11,0)))</f>
        <v>0</v>
      </c>
      <c r="P302" s="257">
        <f t="shared" si="63"/>
        <v>10963.474361720504</v>
      </c>
      <c r="Q302" s="257">
        <f t="shared" si="64"/>
        <v>27408.685904301259</v>
      </c>
      <c r="R302" s="258">
        <f>INDEX('Escalators '!$M$124:$S$129,MATCH(I302,'Escalators '!$B$124:$B$129,0),MATCH(J302,'Escalators '!$M$113:$S$113,0))</f>
        <v>1.0120900655357943</v>
      </c>
      <c r="S302" s="257">
        <f t="shared" si="65"/>
        <v>0</v>
      </c>
      <c r="T302" s="257">
        <f t="shared" si="66"/>
        <v>16644.035227880555</v>
      </c>
      <c r="U302" s="269">
        <f t="shared" si="67"/>
        <v>11096.023485253707</v>
      </c>
      <c r="V302" s="269">
        <f t="shared" si="68"/>
        <v>27740.058713134262</v>
      </c>
      <c r="W302" s="269">
        <f t="shared" si="69"/>
        <v>11096.023485253707</v>
      </c>
      <c r="X302" s="257">
        <f t="shared" si="70"/>
        <v>27740.058713134262</v>
      </c>
      <c r="Y302" s="270">
        <f>IF(L302="Complex",(INDEX('Escalators '!$M$176:$S$176,MATCH('Forecast capex'!J302,'Escalators '!$M$178:$S$178,0))/12+1)^((K302-J302)*12)-1,0)</f>
        <v>0</v>
      </c>
      <c r="Z302" s="257">
        <f t="shared" si="71"/>
        <v>0</v>
      </c>
      <c r="AA302" s="257">
        <f t="shared" si="72"/>
        <v>0</v>
      </c>
      <c r="AB302" s="269">
        <f t="shared" si="73"/>
        <v>0</v>
      </c>
      <c r="AC302" s="269">
        <f t="shared" si="74"/>
        <v>0</v>
      </c>
      <c r="AD302" s="271" t="str">
        <f>INDEX('Global inputs'!$C$134:$C$171,MATCH(F302,'Global inputs'!$B$134:$B$171,0))</f>
        <v>Consumer connection</v>
      </c>
      <c r="AE302" s="272">
        <f>IF(OR(H302='Operating leases'!$B$32,H302='Operating leases'!$B$33),"",INDEX('Global inputs'!$C$186:$C$243,MATCH(E302,'Global inputs'!$B$186:$B$243,0)))</f>
        <v>0.08</v>
      </c>
    </row>
    <row r="303" spans="1:31" s="27" customFormat="1" x14ac:dyDescent="0.2">
      <c r="A303" s="250"/>
      <c r="B303" s="210" t="s">
        <v>714</v>
      </c>
      <c r="C303" s="210" t="s">
        <v>287</v>
      </c>
      <c r="D303" s="210" t="s">
        <v>715</v>
      </c>
      <c r="E303" s="210" t="s">
        <v>151</v>
      </c>
      <c r="F303" s="210" t="s">
        <v>94</v>
      </c>
      <c r="G303" s="210" t="s">
        <v>717</v>
      </c>
      <c r="H303" s="197">
        <v>0</v>
      </c>
      <c r="I303" s="210" t="s">
        <v>229</v>
      </c>
      <c r="J303" s="210">
        <v>2021</v>
      </c>
      <c r="K303" s="210">
        <v>2021</v>
      </c>
      <c r="L303" s="268" t="str">
        <f t="shared" si="62"/>
        <v>Simple</v>
      </c>
      <c r="M303" s="197">
        <v>10963.474361720504</v>
      </c>
      <c r="N303" s="197">
        <v>16445.211542580753</v>
      </c>
      <c r="O303" s="257">
        <f>IF(ISNA(MATCH(H303,'Operating leases'!$B$32:$B$43,0)),0,INDEX('Operating leases'!$M$32:$S$43,MATCH(H303,'Operating leases'!$B$32:$B$43,0),MATCH(J303,'Operating leases'!$M$11:$S$11,0)))</f>
        <v>0</v>
      </c>
      <c r="P303" s="257">
        <f t="shared" si="63"/>
        <v>10963.474361720504</v>
      </c>
      <c r="Q303" s="257">
        <f t="shared" si="64"/>
        <v>27408.685904301259</v>
      </c>
      <c r="R303" s="258">
        <f>INDEX('Escalators '!$M$124:$S$129,MATCH(I303,'Escalators '!$B$124:$B$129,0),MATCH(J303,'Escalators '!$M$113:$S$113,0))</f>
        <v>1.0206154571717865</v>
      </c>
      <c r="S303" s="257">
        <f t="shared" si="65"/>
        <v>0</v>
      </c>
      <c r="T303" s="257">
        <f t="shared" si="66"/>
        <v>16784.237096817797</v>
      </c>
      <c r="U303" s="269">
        <f t="shared" si="67"/>
        <v>11189.491397878533</v>
      </c>
      <c r="V303" s="269">
        <f t="shared" si="68"/>
        <v>27973.72849469633</v>
      </c>
      <c r="W303" s="269">
        <f t="shared" si="69"/>
        <v>11189.491397878533</v>
      </c>
      <c r="X303" s="257">
        <f t="shared" si="70"/>
        <v>27973.72849469633</v>
      </c>
      <c r="Y303" s="270">
        <f>IF(L303="Complex",(INDEX('Escalators '!$M$176:$S$176,MATCH('Forecast capex'!J303,'Escalators '!$M$178:$S$178,0))/12+1)^((K303-J303)*12)-1,0)</f>
        <v>0</v>
      </c>
      <c r="Z303" s="257">
        <f t="shared" si="71"/>
        <v>0</v>
      </c>
      <c r="AA303" s="257">
        <f t="shared" si="72"/>
        <v>0</v>
      </c>
      <c r="AB303" s="269">
        <f t="shared" si="73"/>
        <v>0</v>
      </c>
      <c r="AC303" s="269">
        <f t="shared" si="74"/>
        <v>0</v>
      </c>
      <c r="AD303" s="271" t="str">
        <f>INDEX('Global inputs'!$C$134:$C$171,MATCH(F303,'Global inputs'!$B$134:$B$171,0))</f>
        <v>Consumer connection</v>
      </c>
      <c r="AE303" s="272">
        <f>IF(OR(H303='Operating leases'!$B$32,H303='Operating leases'!$B$33),"",INDEX('Global inputs'!$C$186:$C$243,MATCH(E303,'Global inputs'!$B$186:$B$243,0)))</f>
        <v>0.1</v>
      </c>
    </row>
    <row r="304" spans="1:31" s="27" customFormat="1" x14ac:dyDescent="0.2">
      <c r="A304" s="250"/>
      <c r="B304" s="210" t="s">
        <v>714</v>
      </c>
      <c r="C304" s="210" t="s">
        <v>287</v>
      </c>
      <c r="D304" s="210" t="s">
        <v>715</v>
      </c>
      <c r="E304" s="210" t="s">
        <v>151</v>
      </c>
      <c r="F304" s="210" t="s">
        <v>94</v>
      </c>
      <c r="G304" s="210" t="s">
        <v>717</v>
      </c>
      <c r="H304" s="197">
        <v>0</v>
      </c>
      <c r="I304" s="210" t="s">
        <v>221</v>
      </c>
      <c r="J304" s="210">
        <v>2021</v>
      </c>
      <c r="K304" s="210">
        <v>2021</v>
      </c>
      <c r="L304" s="268" t="str">
        <f t="shared" si="62"/>
        <v>Simple</v>
      </c>
      <c r="M304" s="197">
        <v>10963.474361720504</v>
      </c>
      <c r="N304" s="197">
        <v>16445.211542580753</v>
      </c>
      <c r="O304" s="257">
        <f>IF(ISNA(MATCH(H304,'Operating leases'!$B$32:$B$43,0)),0,INDEX('Operating leases'!$M$32:$S$43,MATCH(H304,'Operating leases'!$B$32:$B$43,0),MATCH(J304,'Operating leases'!$M$11:$S$11,0)))</f>
        <v>0</v>
      </c>
      <c r="P304" s="257">
        <f t="shared" si="63"/>
        <v>10963.474361720504</v>
      </c>
      <c r="Q304" s="257">
        <f t="shared" si="64"/>
        <v>27408.685904301259</v>
      </c>
      <c r="R304" s="258">
        <f>INDEX('Escalators '!$M$124:$S$129,MATCH(I304,'Escalators '!$B$124:$B$129,0),MATCH(J304,'Escalators '!$M$113:$S$113,0))</f>
        <v>1.0120900655357943</v>
      </c>
      <c r="S304" s="257">
        <f t="shared" si="65"/>
        <v>0</v>
      </c>
      <c r="T304" s="257">
        <f t="shared" si="66"/>
        <v>16644.035227880555</v>
      </c>
      <c r="U304" s="269">
        <f t="shared" si="67"/>
        <v>11096.023485253707</v>
      </c>
      <c r="V304" s="269">
        <f t="shared" si="68"/>
        <v>27740.058713134262</v>
      </c>
      <c r="W304" s="269">
        <f t="shared" si="69"/>
        <v>11096.023485253707</v>
      </c>
      <c r="X304" s="257">
        <f t="shared" si="70"/>
        <v>27740.058713134262</v>
      </c>
      <c r="Y304" s="270">
        <f>IF(L304="Complex",(INDEX('Escalators '!$M$176:$S$176,MATCH('Forecast capex'!J304,'Escalators '!$M$178:$S$178,0))/12+1)^((K304-J304)*12)-1,0)</f>
        <v>0</v>
      </c>
      <c r="Z304" s="257">
        <f t="shared" si="71"/>
        <v>0</v>
      </c>
      <c r="AA304" s="257">
        <f t="shared" si="72"/>
        <v>0</v>
      </c>
      <c r="AB304" s="269">
        <f t="shared" si="73"/>
        <v>0</v>
      </c>
      <c r="AC304" s="269">
        <f t="shared" si="74"/>
        <v>0</v>
      </c>
      <c r="AD304" s="271" t="str">
        <f>INDEX('Global inputs'!$C$134:$C$171,MATCH(F304,'Global inputs'!$B$134:$B$171,0))</f>
        <v>Consumer connection</v>
      </c>
      <c r="AE304" s="272">
        <f>IF(OR(H304='Operating leases'!$B$32,H304='Operating leases'!$B$33),"",INDEX('Global inputs'!$C$186:$C$243,MATCH(E304,'Global inputs'!$B$186:$B$243,0)))</f>
        <v>0.1</v>
      </c>
    </row>
    <row r="305" spans="1:31" s="27" customFormat="1" x14ac:dyDescent="0.2">
      <c r="A305" s="250"/>
      <c r="B305" s="210" t="s">
        <v>714</v>
      </c>
      <c r="C305" s="210" t="s">
        <v>287</v>
      </c>
      <c r="D305" s="210" t="s">
        <v>715</v>
      </c>
      <c r="E305" s="210" t="s">
        <v>153</v>
      </c>
      <c r="F305" s="210" t="s">
        <v>94</v>
      </c>
      <c r="G305" s="210" t="s">
        <v>717</v>
      </c>
      <c r="H305" s="197">
        <v>0</v>
      </c>
      <c r="I305" s="210" t="s">
        <v>229</v>
      </c>
      <c r="J305" s="210">
        <v>2021</v>
      </c>
      <c r="K305" s="210">
        <v>2021</v>
      </c>
      <c r="L305" s="268" t="str">
        <f t="shared" si="62"/>
        <v>Simple</v>
      </c>
      <c r="M305" s="197">
        <v>9501.67778015777</v>
      </c>
      <c r="N305" s="197">
        <v>14252.516670236655</v>
      </c>
      <c r="O305" s="257">
        <f>IF(ISNA(MATCH(H305,'Operating leases'!$B$32:$B$43,0)),0,INDEX('Operating leases'!$M$32:$S$43,MATCH(H305,'Operating leases'!$B$32:$B$43,0),MATCH(J305,'Operating leases'!$M$11:$S$11,0)))</f>
        <v>0</v>
      </c>
      <c r="P305" s="257">
        <f t="shared" si="63"/>
        <v>9501.67778015777</v>
      </c>
      <c r="Q305" s="257">
        <f t="shared" si="64"/>
        <v>23754.194450394425</v>
      </c>
      <c r="R305" s="258">
        <f>INDEX('Escalators '!$M$124:$S$129,MATCH(I305,'Escalators '!$B$124:$B$129,0),MATCH(J305,'Escalators '!$M$113:$S$113,0))</f>
        <v>1.0206154571717865</v>
      </c>
      <c r="S305" s="257">
        <f t="shared" si="65"/>
        <v>0</v>
      </c>
      <c r="T305" s="257">
        <f t="shared" si="66"/>
        <v>14546.338817242091</v>
      </c>
      <c r="U305" s="269">
        <f t="shared" si="67"/>
        <v>9697.5592114947267</v>
      </c>
      <c r="V305" s="269">
        <f t="shared" si="68"/>
        <v>24243.898028736818</v>
      </c>
      <c r="W305" s="269">
        <f t="shared" si="69"/>
        <v>9697.5592114947267</v>
      </c>
      <c r="X305" s="257">
        <f t="shared" si="70"/>
        <v>24243.898028736818</v>
      </c>
      <c r="Y305" s="270">
        <f>IF(L305="Complex",(INDEX('Escalators '!$M$176:$S$176,MATCH('Forecast capex'!J305,'Escalators '!$M$178:$S$178,0))/12+1)^((K305-J305)*12)-1,0)</f>
        <v>0</v>
      </c>
      <c r="Z305" s="257">
        <f t="shared" si="71"/>
        <v>0</v>
      </c>
      <c r="AA305" s="257">
        <f t="shared" si="72"/>
        <v>0</v>
      </c>
      <c r="AB305" s="269">
        <f t="shared" si="73"/>
        <v>0</v>
      </c>
      <c r="AC305" s="269">
        <f t="shared" si="74"/>
        <v>0</v>
      </c>
      <c r="AD305" s="271" t="str">
        <f>INDEX('Global inputs'!$C$134:$C$171,MATCH(F305,'Global inputs'!$B$134:$B$171,0))</f>
        <v>Consumer connection</v>
      </c>
      <c r="AE305" s="272">
        <f>IF(OR(H305='Operating leases'!$B$32,H305='Operating leases'!$B$33),"",INDEX('Global inputs'!$C$186:$C$243,MATCH(E305,'Global inputs'!$B$186:$B$243,0)))</f>
        <v>0.08</v>
      </c>
    </row>
    <row r="306" spans="1:31" s="27" customFormat="1" x14ac:dyDescent="0.2">
      <c r="A306" s="250"/>
      <c r="B306" s="210" t="s">
        <v>714</v>
      </c>
      <c r="C306" s="210" t="s">
        <v>287</v>
      </c>
      <c r="D306" s="210" t="s">
        <v>715</v>
      </c>
      <c r="E306" s="210" t="s">
        <v>153</v>
      </c>
      <c r="F306" s="210" t="s">
        <v>94</v>
      </c>
      <c r="G306" s="210" t="s">
        <v>717</v>
      </c>
      <c r="H306" s="197">
        <v>0</v>
      </c>
      <c r="I306" s="210" t="s">
        <v>221</v>
      </c>
      <c r="J306" s="210">
        <v>2021</v>
      </c>
      <c r="K306" s="210">
        <v>2021</v>
      </c>
      <c r="L306" s="268" t="str">
        <f t="shared" si="62"/>
        <v>Simple</v>
      </c>
      <c r="M306" s="197">
        <v>9501.67778015777</v>
      </c>
      <c r="N306" s="197">
        <v>14252.516670236655</v>
      </c>
      <c r="O306" s="257">
        <f>IF(ISNA(MATCH(H306,'Operating leases'!$B$32:$B$43,0)),0,INDEX('Operating leases'!$M$32:$S$43,MATCH(H306,'Operating leases'!$B$32:$B$43,0),MATCH(J306,'Operating leases'!$M$11:$S$11,0)))</f>
        <v>0</v>
      </c>
      <c r="P306" s="257">
        <f t="shared" si="63"/>
        <v>9501.67778015777</v>
      </c>
      <c r="Q306" s="257">
        <f t="shared" si="64"/>
        <v>23754.194450394425</v>
      </c>
      <c r="R306" s="258">
        <f>INDEX('Escalators '!$M$124:$S$129,MATCH(I306,'Escalators '!$B$124:$B$129,0),MATCH(J306,'Escalators '!$M$113:$S$113,0))</f>
        <v>1.0120900655357943</v>
      </c>
      <c r="S306" s="257">
        <f t="shared" si="65"/>
        <v>0</v>
      </c>
      <c r="T306" s="257">
        <f t="shared" si="66"/>
        <v>14424.830530829817</v>
      </c>
      <c r="U306" s="269">
        <f t="shared" si="67"/>
        <v>9616.5536872198772</v>
      </c>
      <c r="V306" s="269">
        <f t="shared" si="68"/>
        <v>24041.384218049694</v>
      </c>
      <c r="W306" s="269">
        <f t="shared" si="69"/>
        <v>9616.5536872198772</v>
      </c>
      <c r="X306" s="257">
        <f t="shared" si="70"/>
        <v>24041.384218049694</v>
      </c>
      <c r="Y306" s="270">
        <f>IF(L306="Complex",(INDEX('Escalators '!$M$176:$S$176,MATCH('Forecast capex'!J306,'Escalators '!$M$178:$S$178,0))/12+1)^((K306-J306)*12)-1,0)</f>
        <v>0</v>
      </c>
      <c r="Z306" s="257">
        <f t="shared" si="71"/>
        <v>0</v>
      </c>
      <c r="AA306" s="257">
        <f t="shared" si="72"/>
        <v>0</v>
      </c>
      <c r="AB306" s="269">
        <f t="shared" si="73"/>
        <v>0</v>
      </c>
      <c r="AC306" s="269">
        <f t="shared" si="74"/>
        <v>0</v>
      </c>
      <c r="AD306" s="271" t="str">
        <f>INDEX('Global inputs'!$C$134:$C$171,MATCH(F306,'Global inputs'!$B$134:$B$171,0))</f>
        <v>Consumer connection</v>
      </c>
      <c r="AE306" s="272">
        <f>IF(OR(H306='Operating leases'!$B$32,H306='Operating leases'!$B$33),"",INDEX('Global inputs'!$C$186:$C$243,MATCH(E306,'Global inputs'!$B$186:$B$243,0)))</f>
        <v>0.08</v>
      </c>
    </row>
    <row r="307" spans="1:31" s="27" customFormat="1" x14ac:dyDescent="0.2">
      <c r="A307" s="250"/>
      <c r="B307" s="210" t="s">
        <v>714</v>
      </c>
      <c r="C307" s="210" t="s">
        <v>287</v>
      </c>
      <c r="D307" s="210" t="s">
        <v>715</v>
      </c>
      <c r="E307" s="210" t="s">
        <v>154</v>
      </c>
      <c r="F307" s="210" t="s">
        <v>94</v>
      </c>
      <c r="G307" s="210" t="s">
        <v>717</v>
      </c>
      <c r="H307" s="197">
        <v>0</v>
      </c>
      <c r="I307" s="210" t="s">
        <v>229</v>
      </c>
      <c r="J307" s="210">
        <v>2021</v>
      </c>
      <c r="K307" s="210">
        <v>2021</v>
      </c>
      <c r="L307" s="268" t="str">
        <f t="shared" si="62"/>
        <v>Simple</v>
      </c>
      <c r="M307" s="197">
        <v>9501.67778015777</v>
      </c>
      <c r="N307" s="197">
        <v>14252.516670236655</v>
      </c>
      <c r="O307" s="257">
        <f>IF(ISNA(MATCH(H307,'Operating leases'!$B$32:$B$43,0)),0,INDEX('Operating leases'!$M$32:$S$43,MATCH(H307,'Operating leases'!$B$32:$B$43,0),MATCH(J307,'Operating leases'!$M$11:$S$11,0)))</f>
        <v>0</v>
      </c>
      <c r="P307" s="257">
        <f t="shared" si="63"/>
        <v>9501.67778015777</v>
      </c>
      <c r="Q307" s="257">
        <f t="shared" si="64"/>
        <v>23754.194450394425</v>
      </c>
      <c r="R307" s="258">
        <f>INDEX('Escalators '!$M$124:$S$129,MATCH(I307,'Escalators '!$B$124:$B$129,0),MATCH(J307,'Escalators '!$M$113:$S$113,0))</f>
        <v>1.0206154571717865</v>
      </c>
      <c r="S307" s="257">
        <f t="shared" si="65"/>
        <v>0</v>
      </c>
      <c r="T307" s="257">
        <f t="shared" si="66"/>
        <v>14546.338817242091</v>
      </c>
      <c r="U307" s="269">
        <f t="shared" si="67"/>
        <v>9697.5592114947267</v>
      </c>
      <c r="V307" s="269">
        <f t="shared" si="68"/>
        <v>24243.898028736818</v>
      </c>
      <c r="W307" s="269">
        <f t="shared" si="69"/>
        <v>9697.5592114947267</v>
      </c>
      <c r="X307" s="257">
        <f t="shared" si="70"/>
        <v>24243.898028736818</v>
      </c>
      <c r="Y307" s="270">
        <f>IF(L307="Complex",(INDEX('Escalators '!$M$176:$S$176,MATCH('Forecast capex'!J307,'Escalators '!$M$178:$S$178,0))/12+1)^((K307-J307)*12)-1,0)</f>
        <v>0</v>
      </c>
      <c r="Z307" s="257">
        <f t="shared" si="71"/>
        <v>0</v>
      </c>
      <c r="AA307" s="257">
        <f t="shared" si="72"/>
        <v>0</v>
      </c>
      <c r="AB307" s="269">
        <f t="shared" si="73"/>
        <v>0</v>
      </c>
      <c r="AC307" s="269">
        <f t="shared" si="74"/>
        <v>0</v>
      </c>
      <c r="AD307" s="271" t="str">
        <f>INDEX('Global inputs'!$C$134:$C$171,MATCH(F307,'Global inputs'!$B$134:$B$171,0))</f>
        <v>Consumer connection</v>
      </c>
      <c r="AE307" s="272">
        <f>IF(OR(H307='Operating leases'!$B$32,H307='Operating leases'!$B$33),"",INDEX('Global inputs'!$C$186:$C$243,MATCH(E307,'Global inputs'!$B$186:$B$243,0)))</f>
        <v>0.1</v>
      </c>
    </row>
    <row r="308" spans="1:31" s="27" customFormat="1" x14ac:dyDescent="0.2">
      <c r="A308" s="250"/>
      <c r="B308" s="210" t="s">
        <v>714</v>
      </c>
      <c r="C308" s="210" t="s">
        <v>287</v>
      </c>
      <c r="D308" s="210" t="s">
        <v>715</v>
      </c>
      <c r="E308" s="210" t="s">
        <v>154</v>
      </c>
      <c r="F308" s="210" t="s">
        <v>94</v>
      </c>
      <c r="G308" s="210" t="s">
        <v>717</v>
      </c>
      <c r="H308" s="197">
        <v>0</v>
      </c>
      <c r="I308" s="210" t="s">
        <v>221</v>
      </c>
      <c r="J308" s="210">
        <v>2021</v>
      </c>
      <c r="K308" s="210">
        <v>2021</v>
      </c>
      <c r="L308" s="268" t="str">
        <f t="shared" si="62"/>
        <v>Simple</v>
      </c>
      <c r="M308" s="197">
        <v>9501.67778015777</v>
      </c>
      <c r="N308" s="197">
        <v>14252.516670236655</v>
      </c>
      <c r="O308" s="257">
        <f>IF(ISNA(MATCH(H308,'Operating leases'!$B$32:$B$43,0)),0,INDEX('Operating leases'!$M$32:$S$43,MATCH(H308,'Operating leases'!$B$32:$B$43,0),MATCH(J308,'Operating leases'!$M$11:$S$11,0)))</f>
        <v>0</v>
      </c>
      <c r="P308" s="257">
        <f t="shared" si="63"/>
        <v>9501.67778015777</v>
      </c>
      <c r="Q308" s="257">
        <f t="shared" si="64"/>
        <v>23754.194450394425</v>
      </c>
      <c r="R308" s="258">
        <f>INDEX('Escalators '!$M$124:$S$129,MATCH(I308,'Escalators '!$B$124:$B$129,0),MATCH(J308,'Escalators '!$M$113:$S$113,0))</f>
        <v>1.0120900655357943</v>
      </c>
      <c r="S308" s="257">
        <f t="shared" si="65"/>
        <v>0</v>
      </c>
      <c r="T308" s="257">
        <f t="shared" si="66"/>
        <v>14424.830530829817</v>
      </c>
      <c r="U308" s="269">
        <f t="shared" si="67"/>
        <v>9616.5536872198772</v>
      </c>
      <c r="V308" s="269">
        <f t="shared" si="68"/>
        <v>24041.384218049694</v>
      </c>
      <c r="W308" s="269">
        <f t="shared" si="69"/>
        <v>9616.5536872198772</v>
      </c>
      <c r="X308" s="257">
        <f t="shared" si="70"/>
        <v>24041.384218049694</v>
      </c>
      <c r="Y308" s="270">
        <f>IF(L308="Complex",(INDEX('Escalators '!$M$176:$S$176,MATCH('Forecast capex'!J308,'Escalators '!$M$178:$S$178,0))/12+1)^((K308-J308)*12)-1,0)</f>
        <v>0</v>
      </c>
      <c r="Z308" s="257">
        <f t="shared" si="71"/>
        <v>0</v>
      </c>
      <c r="AA308" s="257">
        <f t="shared" si="72"/>
        <v>0</v>
      </c>
      <c r="AB308" s="269">
        <f t="shared" si="73"/>
        <v>0</v>
      </c>
      <c r="AC308" s="269">
        <f t="shared" si="74"/>
        <v>0</v>
      </c>
      <c r="AD308" s="271" t="str">
        <f>INDEX('Global inputs'!$C$134:$C$171,MATCH(F308,'Global inputs'!$B$134:$B$171,0))</f>
        <v>Consumer connection</v>
      </c>
      <c r="AE308" s="272">
        <f>IF(OR(H308='Operating leases'!$B$32,H308='Operating leases'!$B$33),"",INDEX('Global inputs'!$C$186:$C$243,MATCH(E308,'Global inputs'!$B$186:$B$243,0)))</f>
        <v>0.1</v>
      </c>
    </row>
    <row r="309" spans="1:31" s="27" customFormat="1" x14ac:dyDescent="0.2">
      <c r="A309" s="250"/>
      <c r="B309" s="210" t="s">
        <v>714</v>
      </c>
      <c r="C309" s="210" t="s">
        <v>286</v>
      </c>
      <c r="D309" s="210" t="s">
        <v>732</v>
      </c>
      <c r="E309" s="210" t="s">
        <v>140</v>
      </c>
      <c r="F309" s="210" t="s">
        <v>94</v>
      </c>
      <c r="G309" s="210" t="s">
        <v>733</v>
      </c>
      <c r="H309" s="197">
        <v>0</v>
      </c>
      <c r="I309" s="210" t="s">
        <v>142</v>
      </c>
      <c r="J309" s="210">
        <v>2021</v>
      </c>
      <c r="K309" s="210">
        <v>2021</v>
      </c>
      <c r="L309" s="268" t="str">
        <f t="shared" si="62"/>
        <v>Simple</v>
      </c>
      <c r="M309" s="197">
        <v>16225.942055346346</v>
      </c>
      <c r="N309" s="197">
        <v>24338.913083019517</v>
      </c>
      <c r="O309" s="257">
        <f>IF(ISNA(MATCH(H309,'Operating leases'!$B$32:$B$43,0)),0,INDEX('Operating leases'!$M$32:$S$43,MATCH(H309,'Operating leases'!$B$32:$B$43,0),MATCH(J309,'Operating leases'!$M$11:$S$11,0)))</f>
        <v>0</v>
      </c>
      <c r="P309" s="257">
        <f t="shared" si="63"/>
        <v>16225.942055346346</v>
      </c>
      <c r="Q309" s="257">
        <f t="shared" si="64"/>
        <v>40564.855138365863</v>
      </c>
      <c r="R309" s="258">
        <f>INDEX('Escalators '!$M$124:$S$129,MATCH(I309,'Escalators '!$B$124:$B$129,0),MATCH(J309,'Escalators '!$M$113:$S$113,0))</f>
        <v>1.0199504944721745</v>
      </c>
      <c r="S309" s="257">
        <f t="shared" si="65"/>
        <v>0</v>
      </c>
      <c r="T309" s="257">
        <f t="shared" si="66"/>
        <v>24824.486433941034</v>
      </c>
      <c r="U309" s="269">
        <f t="shared" si="67"/>
        <v>16549.657622627354</v>
      </c>
      <c r="V309" s="269">
        <f t="shared" si="68"/>
        <v>41374.144056568388</v>
      </c>
      <c r="W309" s="269">
        <f t="shared" si="69"/>
        <v>16549.657622627354</v>
      </c>
      <c r="X309" s="257">
        <f t="shared" si="70"/>
        <v>41374.144056568388</v>
      </c>
      <c r="Y309" s="270">
        <f>IF(L309="Complex",(INDEX('Escalators '!$M$176:$S$176,MATCH('Forecast capex'!J309,'Escalators '!$M$178:$S$178,0))/12+1)^((K309-J309)*12)-1,0)</f>
        <v>0</v>
      </c>
      <c r="Z309" s="257">
        <f t="shared" si="71"/>
        <v>0</v>
      </c>
      <c r="AA309" s="257">
        <f t="shared" si="72"/>
        <v>0</v>
      </c>
      <c r="AB309" s="269">
        <f t="shared" si="73"/>
        <v>0</v>
      </c>
      <c r="AC309" s="269">
        <f t="shared" si="74"/>
        <v>0</v>
      </c>
      <c r="AD309" s="271" t="str">
        <f>INDEX('Global inputs'!$C$134:$C$171,MATCH(F309,'Global inputs'!$B$134:$B$171,0))</f>
        <v>Consumer connection</v>
      </c>
      <c r="AE309" s="272">
        <f>IF(OR(H309='Operating leases'!$B$32,H309='Operating leases'!$B$33),"",INDEX('Global inputs'!$C$186:$C$243,MATCH(E309,'Global inputs'!$B$186:$B$243,0)))</f>
        <v>0.08</v>
      </c>
    </row>
    <row r="310" spans="1:31" s="27" customFormat="1" x14ac:dyDescent="0.2">
      <c r="A310" s="250"/>
      <c r="B310" s="210" t="s">
        <v>714</v>
      </c>
      <c r="C310" s="210" t="s">
        <v>286</v>
      </c>
      <c r="D310" s="210" t="s">
        <v>732</v>
      </c>
      <c r="E310" s="210" t="s">
        <v>140</v>
      </c>
      <c r="F310" s="210" t="s">
        <v>94</v>
      </c>
      <c r="G310" s="210" t="s">
        <v>733</v>
      </c>
      <c r="H310" s="197">
        <v>0</v>
      </c>
      <c r="I310" s="210" t="s">
        <v>221</v>
      </c>
      <c r="J310" s="210">
        <v>2021</v>
      </c>
      <c r="K310" s="210">
        <v>2021</v>
      </c>
      <c r="L310" s="268" t="str">
        <f t="shared" si="62"/>
        <v>Simple</v>
      </c>
      <c r="M310" s="197">
        <v>10817.294703564232</v>
      </c>
      <c r="N310" s="197">
        <v>16225.942055346346</v>
      </c>
      <c r="O310" s="257">
        <f>IF(ISNA(MATCH(H310,'Operating leases'!$B$32:$B$43,0)),0,INDEX('Operating leases'!$M$32:$S$43,MATCH(H310,'Operating leases'!$B$32:$B$43,0),MATCH(J310,'Operating leases'!$M$11:$S$11,0)))</f>
        <v>0</v>
      </c>
      <c r="P310" s="257">
        <f t="shared" si="63"/>
        <v>10817.294703564232</v>
      </c>
      <c r="Q310" s="257">
        <f t="shared" si="64"/>
        <v>27043.236758910578</v>
      </c>
      <c r="R310" s="258">
        <f>INDEX('Escalators '!$M$124:$S$129,MATCH(I310,'Escalators '!$B$124:$B$129,0),MATCH(J310,'Escalators '!$M$113:$S$113,0))</f>
        <v>1.0120900655357943</v>
      </c>
      <c r="S310" s="257">
        <f t="shared" si="65"/>
        <v>0</v>
      </c>
      <c r="T310" s="257">
        <f t="shared" si="66"/>
        <v>16422.114758175485</v>
      </c>
      <c r="U310" s="269">
        <f t="shared" si="67"/>
        <v>10948.076505450324</v>
      </c>
      <c r="V310" s="269">
        <f t="shared" si="68"/>
        <v>27370.191263625809</v>
      </c>
      <c r="W310" s="269">
        <f t="shared" si="69"/>
        <v>10948.076505450324</v>
      </c>
      <c r="X310" s="257">
        <f t="shared" si="70"/>
        <v>27370.191263625809</v>
      </c>
      <c r="Y310" s="270">
        <f>IF(L310="Complex",(INDEX('Escalators '!$M$176:$S$176,MATCH('Forecast capex'!J310,'Escalators '!$M$178:$S$178,0))/12+1)^((K310-J310)*12)-1,0)</f>
        <v>0</v>
      </c>
      <c r="Z310" s="257">
        <f t="shared" si="71"/>
        <v>0</v>
      </c>
      <c r="AA310" s="257">
        <f t="shared" si="72"/>
        <v>0</v>
      </c>
      <c r="AB310" s="269">
        <f t="shared" si="73"/>
        <v>0</v>
      </c>
      <c r="AC310" s="269">
        <f t="shared" si="74"/>
        <v>0</v>
      </c>
      <c r="AD310" s="271" t="str">
        <f>INDEX('Global inputs'!$C$134:$C$171,MATCH(F310,'Global inputs'!$B$134:$B$171,0))</f>
        <v>Consumer connection</v>
      </c>
      <c r="AE310" s="272">
        <f>IF(OR(H310='Operating leases'!$B$32,H310='Operating leases'!$B$33),"",INDEX('Global inputs'!$C$186:$C$243,MATCH(E310,'Global inputs'!$B$186:$B$243,0)))</f>
        <v>0.08</v>
      </c>
    </row>
    <row r="311" spans="1:31" s="27" customFormat="1" x14ac:dyDescent="0.2">
      <c r="A311" s="250"/>
      <c r="B311" s="210" t="s">
        <v>714</v>
      </c>
      <c r="C311" s="210" t="s">
        <v>286</v>
      </c>
      <c r="D311" s="210" t="s">
        <v>732</v>
      </c>
      <c r="E311" s="210" t="s">
        <v>141</v>
      </c>
      <c r="F311" s="210" t="s">
        <v>94</v>
      </c>
      <c r="G311" s="210" t="s">
        <v>734</v>
      </c>
      <c r="H311" s="197">
        <v>0</v>
      </c>
      <c r="I311" s="210" t="s">
        <v>142</v>
      </c>
      <c r="J311" s="210">
        <v>2021</v>
      </c>
      <c r="K311" s="210">
        <v>2021</v>
      </c>
      <c r="L311" s="268" t="str">
        <f t="shared" si="62"/>
        <v>Simple</v>
      </c>
      <c r="M311" s="197">
        <v>34498.39932488052</v>
      </c>
      <c r="N311" s="197">
        <v>51747.59898732078</v>
      </c>
      <c r="O311" s="257">
        <f>IF(ISNA(MATCH(H311,'Operating leases'!$B$32:$B$43,0)),0,INDEX('Operating leases'!$M$32:$S$43,MATCH(H311,'Operating leases'!$B$32:$B$43,0),MATCH(J311,'Operating leases'!$M$11:$S$11,0)))</f>
        <v>0</v>
      </c>
      <c r="P311" s="257">
        <f t="shared" si="63"/>
        <v>34498.39932488052</v>
      </c>
      <c r="Q311" s="257">
        <f t="shared" si="64"/>
        <v>86245.998312201293</v>
      </c>
      <c r="R311" s="258">
        <f>INDEX('Escalators '!$M$124:$S$129,MATCH(I311,'Escalators '!$B$124:$B$129,0),MATCH(J311,'Escalators '!$M$113:$S$113,0))</f>
        <v>1.0199504944721745</v>
      </c>
      <c r="S311" s="257">
        <f t="shared" si="65"/>
        <v>0</v>
      </c>
      <c r="T311" s="257">
        <f t="shared" si="66"/>
        <v>52779.989174865623</v>
      </c>
      <c r="U311" s="269">
        <f t="shared" si="67"/>
        <v>35186.65944991041</v>
      </c>
      <c r="V311" s="269">
        <f t="shared" si="68"/>
        <v>87966.648624776033</v>
      </c>
      <c r="W311" s="269">
        <f t="shared" si="69"/>
        <v>35186.65944991041</v>
      </c>
      <c r="X311" s="257">
        <f t="shared" si="70"/>
        <v>87966.648624776033</v>
      </c>
      <c r="Y311" s="270">
        <f>IF(L311="Complex",(INDEX('Escalators '!$M$176:$S$176,MATCH('Forecast capex'!J311,'Escalators '!$M$178:$S$178,0))/12+1)^((K311-J311)*12)-1,0)</f>
        <v>0</v>
      </c>
      <c r="Z311" s="257">
        <f t="shared" si="71"/>
        <v>0</v>
      </c>
      <c r="AA311" s="257">
        <f t="shared" si="72"/>
        <v>0</v>
      </c>
      <c r="AB311" s="269">
        <f t="shared" si="73"/>
        <v>0</v>
      </c>
      <c r="AC311" s="269">
        <f t="shared" si="74"/>
        <v>0</v>
      </c>
      <c r="AD311" s="271" t="str">
        <f>INDEX('Global inputs'!$C$134:$C$171,MATCH(F311,'Global inputs'!$B$134:$B$171,0))</f>
        <v>Consumer connection</v>
      </c>
      <c r="AE311" s="272">
        <f>IF(OR(H311='Operating leases'!$B$32,H311='Operating leases'!$B$33),"",INDEX('Global inputs'!$C$186:$C$243,MATCH(E311,'Global inputs'!$B$186:$B$243,0)))</f>
        <v>0.08</v>
      </c>
    </row>
    <row r="312" spans="1:31" s="27" customFormat="1" x14ac:dyDescent="0.2">
      <c r="A312" s="250"/>
      <c r="B312" s="210" t="s">
        <v>714</v>
      </c>
      <c r="C312" s="210" t="s">
        <v>286</v>
      </c>
      <c r="D312" s="210" t="s">
        <v>732</v>
      </c>
      <c r="E312" s="210" t="s">
        <v>141</v>
      </c>
      <c r="F312" s="210" t="s">
        <v>94</v>
      </c>
      <c r="G312" s="210" t="s">
        <v>734</v>
      </c>
      <c r="H312" s="197">
        <v>0</v>
      </c>
      <c r="I312" s="210" t="s">
        <v>221</v>
      </c>
      <c r="J312" s="210">
        <v>2021</v>
      </c>
      <c r="K312" s="210">
        <v>2021</v>
      </c>
      <c r="L312" s="268" t="str">
        <f t="shared" si="62"/>
        <v>Simple</v>
      </c>
      <c r="M312" s="197">
        <v>8624.59983122013</v>
      </c>
      <c r="N312" s="197">
        <v>12936.899746830195</v>
      </c>
      <c r="O312" s="257">
        <f>IF(ISNA(MATCH(H312,'Operating leases'!$B$32:$B$43,0)),0,INDEX('Operating leases'!$M$32:$S$43,MATCH(H312,'Operating leases'!$B$32:$B$43,0),MATCH(J312,'Operating leases'!$M$11:$S$11,0)))</f>
        <v>0</v>
      </c>
      <c r="P312" s="257">
        <f t="shared" si="63"/>
        <v>8624.59983122013</v>
      </c>
      <c r="Q312" s="257">
        <f t="shared" si="64"/>
        <v>21561.499578050323</v>
      </c>
      <c r="R312" s="258">
        <f>INDEX('Escalators '!$M$124:$S$129,MATCH(I312,'Escalators '!$B$124:$B$129,0),MATCH(J312,'Escalators '!$M$113:$S$113,0))</f>
        <v>1.0120900655357943</v>
      </c>
      <c r="S312" s="257">
        <f t="shared" si="65"/>
        <v>0</v>
      </c>
      <c r="T312" s="257">
        <f t="shared" si="66"/>
        <v>13093.307712599373</v>
      </c>
      <c r="U312" s="269">
        <f t="shared" si="67"/>
        <v>8728.8718083995809</v>
      </c>
      <c r="V312" s="269">
        <f t="shared" si="68"/>
        <v>21822.179520998954</v>
      </c>
      <c r="W312" s="269">
        <f t="shared" si="69"/>
        <v>8728.8718083995809</v>
      </c>
      <c r="X312" s="257">
        <f t="shared" si="70"/>
        <v>21822.179520998954</v>
      </c>
      <c r="Y312" s="270">
        <f>IF(L312="Complex",(INDEX('Escalators '!$M$176:$S$176,MATCH('Forecast capex'!J312,'Escalators '!$M$178:$S$178,0))/12+1)^((K312-J312)*12)-1,0)</f>
        <v>0</v>
      </c>
      <c r="Z312" s="257">
        <f t="shared" si="71"/>
        <v>0</v>
      </c>
      <c r="AA312" s="257">
        <f t="shared" si="72"/>
        <v>0</v>
      </c>
      <c r="AB312" s="269">
        <f t="shared" si="73"/>
        <v>0</v>
      </c>
      <c r="AC312" s="269">
        <f t="shared" si="74"/>
        <v>0</v>
      </c>
      <c r="AD312" s="271" t="str">
        <f>INDEX('Global inputs'!$C$134:$C$171,MATCH(F312,'Global inputs'!$B$134:$B$171,0))</f>
        <v>Consumer connection</v>
      </c>
      <c r="AE312" s="272">
        <f>IF(OR(H312='Operating leases'!$B$32,H312='Operating leases'!$B$33),"",INDEX('Global inputs'!$C$186:$C$243,MATCH(E312,'Global inputs'!$B$186:$B$243,0)))</f>
        <v>0.08</v>
      </c>
    </row>
    <row r="313" spans="1:31" s="27" customFormat="1" x14ac:dyDescent="0.2">
      <c r="A313" s="250"/>
      <c r="B313" s="210" t="s">
        <v>714</v>
      </c>
      <c r="C313" s="210" t="s">
        <v>290</v>
      </c>
      <c r="D313" s="210" t="s">
        <v>718</v>
      </c>
      <c r="E313" s="210" t="s">
        <v>173</v>
      </c>
      <c r="F313" s="210" t="s">
        <v>94</v>
      </c>
      <c r="G313" s="210" t="s">
        <v>719</v>
      </c>
      <c r="H313" s="197">
        <v>0</v>
      </c>
      <c r="I313" s="210" t="s">
        <v>142</v>
      </c>
      <c r="J313" s="210">
        <v>2021</v>
      </c>
      <c r="K313" s="210">
        <v>2021</v>
      </c>
      <c r="L313" s="268" t="str">
        <f t="shared" si="62"/>
        <v>Simple</v>
      </c>
      <c r="M313" s="197">
        <v>205236.24005140786</v>
      </c>
      <c r="N313" s="197">
        <v>307854.36007711175</v>
      </c>
      <c r="O313" s="257">
        <f>IF(ISNA(MATCH(H313,'Operating leases'!$B$32:$B$43,0)),0,INDEX('Operating leases'!$M$32:$S$43,MATCH(H313,'Operating leases'!$B$32:$B$43,0),MATCH(J313,'Operating leases'!$M$11:$S$11,0)))</f>
        <v>0</v>
      </c>
      <c r="P313" s="257">
        <f t="shared" si="63"/>
        <v>205236.24005140786</v>
      </c>
      <c r="Q313" s="257">
        <f t="shared" si="64"/>
        <v>513090.60012851958</v>
      </c>
      <c r="R313" s="258">
        <f>INDEX('Escalators '!$M$124:$S$129,MATCH(I313,'Escalators '!$B$124:$B$129,0),MATCH(J313,'Escalators '!$M$113:$S$113,0))</f>
        <v>1.0199504944721745</v>
      </c>
      <c r="S313" s="257">
        <f t="shared" si="65"/>
        <v>0</v>
      </c>
      <c r="T313" s="257">
        <f t="shared" si="66"/>
        <v>313996.20678606495</v>
      </c>
      <c r="U313" s="269">
        <f t="shared" si="67"/>
        <v>209330.80452404334</v>
      </c>
      <c r="V313" s="269">
        <f t="shared" si="68"/>
        <v>523327.0113101083</v>
      </c>
      <c r="W313" s="269">
        <f t="shared" si="69"/>
        <v>209330.80452404334</v>
      </c>
      <c r="X313" s="257">
        <f t="shared" si="70"/>
        <v>523327.0113101083</v>
      </c>
      <c r="Y313" s="270">
        <f>IF(L313="Complex",(INDEX('Escalators '!$M$176:$S$176,MATCH('Forecast capex'!J313,'Escalators '!$M$178:$S$178,0))/12+1)^((K313-J313)*12)-1,0)</f>
        <v>0</v>
      </c>
      <c r="Z313" s="257">
        <f t="shared" si="71"/>
        <v>0</v>
      </c>
      <c r="AA313" s="257">
        <f t="shared" si="72"/>
        <v>0</v>
      </c>
      <c r="AB313" s="269">
        <f t="shared" si="73"/>
        <v>0</v>
      </c>
      <c r="AC313" s="269">
        <f t="shared" si="74"/>
        <v>0</v>
      </c>
      <c r="AD313" s="271" t="str">
        <f>INDEX('Global inputs'!$C$134:$C$171,MATCH(F313,'Global inputs'!$B$134:$B$171,0))</f>
        <v>Consumer connection</v>
      </c>
      <c r="AE313" s="272">
        <f>IF(OR(H313='Operating leases'!$B$32,H313='Operating leases'!$B$33),"",INDEX('Global inputs'!$C$186:$C$243,MATCH(E313,'Global inputs'!$B$186:$B$243,0)))</f>
        <v>0.08</v>
      </c>
    </row>
    <row r="314" spans="1:31" s="27" customFormat="1" x14ac:dyDescent="0.2">
      <c r="A314" s="250"/>
      <c r="B314" s="210" t="s">
        <v>714</v>
      </c>
      <c r="C314" s="210" t="s">
        <v>290</v>
      </c>
      <c r="D314" s="210" t="s">
        <v>718</v>
      </c>
      <c r="E314" s="210" t="s">
        <v>173</v>
      </c>
      <c r="F314" s="210" t="s">
        <v>94</v>
      </c>
      <c r="G314" s="210" t="s">
        <v>719</v>
      </c>
      <c r="H314" s="197">
        <v>0</v>
      </c>
      <c r="I314" s="210" t="s">
        <v>221</v>
      </c>
      <c r="J314" s="210">
        <v>2021</v>
      </c>
      <c r="K314" s="210">
        <v>2021</v>
      </c>
      <c r="L314" s="268" t="str">
        <f t="shared" si="62"/>
        <v>Simple</v>
      </c>
      <c r="M314" s="197">
        <v>51309.060012851965</v>
      </c>
      <c r="N314" s="197">
        <v>76963.590019277937</v>
      </c>
      <c r="O314" s="257">
        <f>IF(ISNA(MATCH(H314,'Operating leases'!$B$32:$B$43,0)),0,INDEX('Operating leases'!$M$32:$S$43,MATCH(H314,'Operating leases'!$B$32:$B$43,0),MATCH(J314,'Operating leases'!$M$11:$S$11,0)))</f>
        <v>0</v>
      </c>
      <c r="P314" s="257">
        <f t="shared" si="63"/>
        <v>51309.060012851965</v>
      </c>
      <c r="Q314" s="257">
        <f t="shared" si="64"/>
        <v>128272.6500321299</v>
      </c>
      <c r="R314" s="258">
        <f>INDEX('Escalators '!$M$124:$S$129,MATCH(I314,'Escalators '!$B$124:$B$129,0),MATCH(J314,'Escalators '!$M$113:$S$113,0))</f>
        <v>1.0120900655357943</v>
      </c>
      <c r="S314" s="257">
        <f t="shared" si="65"/>
        <v>0</v>
      </c>
      <c r="T314" s="257">
        <f t="shared" si="66"/>
        <v>77894.084866481004</v>
      </c>
      <c r="U314" s="269">
        <f t="shared" si="67"/>
        <v>51929.389910987346</v>
      </c>
      <c r="V314" s="269">
        <f t="shared" si="68"/>
        <v>129823.47477746835</v>
      </c>
      <c r="W314" s="269">
        <f t="shared" si="69"/>
        <v>51929.389910987346</v>
      </c>
      <c r="X314" s="257">
        <f t="shared" si="70"/>
        <v>129823.47477746835</v>
      </c>
      <c r="Y314" s="270">
        <f>IF(L314="Complex",(INDEX('Escalators '!$M$176:$S$176,MATCH('Forecast capex'!J314,'Escalators '!$M$178:$S$178,0))/12+1)^((K314-J314)*12)-1,0)</f>
        <v>0</v>
      </c>
      <c r="Z314" s="257">
        <f t="shared" si="71"/>
        <v>0</v>
      </c>
      <c r="AA314" s="257">
        <f t="shared" si="72"/>
        <v>0</v>
      </c>
      <c r="AB314" s="269">
        <f t="shared" si="73"/>
        <v>0</v>
      </c>
      <c r="AC314" s="269">
        <f t="shared" si="74"/>
        <v>0</v>
      </c>
      <c r="AD314" s="271" t="str">
        <f>INDEX('Global inputs'!$C$134:$C$171,MATCH(F314,'Global inputs'!$B$134:$B$171,0))</f>
        <v>Consumer connection</v>
      </c>
      <c r="AE314" s="272">
        <f>IF(OR(H314='Operating leases'!$B$32,H314='Operating leases'!$B$33),"",INDEX('Global inputs'!$C$186:$C$243,MATCH(E314,'Global inputs'!$B$186:$B$243,0)))</f>
        <v>0.08</v>
      </c>
    </row>
    <row r="315" spans="1:31" s="27" customFormat="1" x14ac:dyDescent="0.2">
      <c r="A315" s="250"/>
      <c r="B315" s="210" t="s">
        <v>714</v>
      </c>
      <c r="C315" s="210" t="s">
        <v>290</v>
      </c>
      <c r="D315" s="210" t="s">
        <v>718</v>
      </c>
      <c r="E315" s="210" t="s">
        <v>168</v>
      </c>
      <c r="F315" s="210" t="s">
        <v>94</v>
      </c>
      <c r="G315" s="210" t="s">
        <v>720</v>
      </c>
      <c r="H315" s="197">
        <v>0</v>
      </c>
      <c r="I315" s="210" t="s">
        <v>229</v>
      </c>
      <c r="J315" s="210">
        <v>2021</v>
      </c>
      <c r="K315" s="210">
        <v>2021</v>
      </c>
      <c r="L315" s="268" t="str">
        <f t="shared" si="62"/>
        <v>Simple</v>
      </c>
      <c r="M315" s="197">
        <v>60810.737793009728</v>
      </c>
      <c r="N315" s="197">
        <v>91216.106689514578</v>
      </c>
      <c r="O315" s="257">
        <f>IF(ISNA(MATCH(H315,'Operating leases'!$B$32:$B$43,0)),0,INDEX('Operating leases'!$M$32:$S$43,MATCH(H315,'Operating leases'!$B$32:$B$43,0),MATCH(J315,'Operating leases'!$M$11:$S$11,0)))</f>
        <v>0</v>
      </c>
      <c r="P315" s="257">
        <f t="shared" si="63"/>
        <v>60810.737793009728</v>
      </c>
      <c r="Q315" s="257">
        <f t="shared" si="64"/>
        <v>152026.84448252432</v>
      </c>
      <c r="R315" s="258">
        <f>INDEX('Escalators '!$M$124:$S$129,MATCH(I315,'Escalators '!$B$124:$B$129,0),MATCH(J315,'Escalators '!$M$113:$S$113,0))</f>
        <v>1.0206154571717865</v>
      </c>
      <c r="S315" s="257">
        <f t="shared" si="65"/>
        <v>0</v>
      </c>
      <c r="T315" s="257">
        <f t="shared" si="66"/>
        <v>93096.568430349376</v>
      </c>
      <c r="U315" s="269">
        <f t="shared" si="67"/>
        <v>62064.37895356628</v>
      </c>
      <c r="V315" s="269">
        <f t="shared" si="68"/>
        <v>155160.94738391566</v>
      </c>
      <c r="W315" s="269">
        <f t="shared" si="69"/>
        <v>62064.37895356628</v>
      </c>
      <c r="X315" s="257">
        <f t="shared" si="70"/>
        <v>155160.94738391566</v>
      </c>
      <c r="Y315" s="270">
        <f>IF(L315="Complex",(INDEX('Escalators '!$M$176:$S$176,MATCH('Forecast capex'!J315,'Escalators '!$M$178:$S$178,0))/12+1)^((K315-J315)*12)-1,0)</f>
        <v>0</v>
      </c>
      <c r="Z315" s="257">
        <f t="shared" si="71"/>
        <v>0</v>
      </c>
      <c r="AA315" s="257">
        <f t="shared" si="72"/>
        <v>0</v>
      </c>
      <c r="AB315" s="269">
        <f t="shared" si="73"/>
        <v>0</v>
      </c>
      <c r="AC315" s="269">
        <f t="shared" si="74"/>
        <v>0</v>
      </c>
      <c r="AD315" s="271" t="str">
        <f>INDEX('Global inputs'!$C$134:$C$171,MATCH(F315,'Global inputs'!$B$134:$B$171,0))</f>
        <v>Consumer connection</v>
      </c>
      <c r="AE315" s="272">
        <f>IF(OR(H315='Operating leases'!$B$32,H315='Operating leases'!$B$33),"",INDEX('Global inputs'!$C$186:$C$243,MATCH(E315,'Global inputs'!$B$186:$B$243,0)))</f>
        <v>0.08</v>
      </c>
    </row>
    <row r="316" spans="1:31" s="27" customFormat="1" x14ac:dyDescent="0.2">
      <c r="A316" s="250"/>
      <c r="B316" s="210" t="s">
        <v>714</v>
      </c>
      <c r="C316" s="210" t="s">
        <v>290</v>
      </c>
      <c r="D316" s="210" t="s">
        <v>718</v>
      </c>
      <c r="E316" s="210" t="s">
        <v>168</v>
      </c>
      <c r="F316" s="210" t="s">
        <v>94</v>
      </c>
      <c r="G316" s="210" t="s">
        <v>720</v>
      </c>
      <c r="H316" s="197">
        <v>0</v>
      </c>
      <c r="I316" s="210" t="s">
        <v>221</v>
      </c>
      <c r="J316" s="210">
        <v>2021</v>
      </c>
      <c r="K316" s="210">
        <v>2021</v>
      </c>
      <c r="L316" s="268" t="str">
        <f t="shared" si="62"/>
        <v>Simple</v>
      </c>
      <c r="M316" s="197">
        <v>15202.684448252432</v>
      </c>
      <c r="N316" s="197">
        <v>22804.026672378644</v>
      </c>
      <c r="O316" s="257">
        <f>IF(ISNA(MATCH(H316,'Operating leases'!$B$32:$B$43,0)),0,INDEX('Operating leases'!$M$32:$S$43,MATCH(H316,'Operating leases'!$B$32:$B$43,0),MATCH(J316,'Operating leases'!$M$11:$S$11,0)))</f>
        <v>0</v>
      </c>
      <c r="P316" s="257">
        <f t="shared" si="63"/>
        <v>15202.684448252432</v>
      </c>
      <c r="Q316" s="257">
        <f t="shared" si="64"/>
        <v>38006.71112063108</v>
      </c>
      <c r="R316" s="258">
        <f>INDEX('Escalators '!$M$124:$S$129,MATCH(I316,'Escalators '!$B$124:$B$129,0),MATCH(J316,'Escalators '!$M$113:$S$113,0))</f>
        <v>1.0120900655357943</v>
      </c>
      <c r="S316" s="257">
        <f t="shared" si="65"/>
        <v>0</v>
      </c>
      <c r="T316" s="257">
        <f t="shared" si="66"/>
        <v>23079.728849327705</v>
      </c>
      <c r="U316" s="269">
        <f t="shared" si="67"/>
        <v>15386.485899551804</v>
      </c>
      <c r="V316" s="269">
        <f t="shared" si="68"/>
        <v>38466.214748879509</v>
      </c>
      <c r="W316" s="269">
        <f t="shared" si="69"/>
        <v>15386.485899551804</v>
      </c>
      <c r="X316" s="257">
        <f t="shared" si="70"/>
        <v>38466.214748879509</v>
      </c>
      <c r="Y316" s="270">
        <f>IF(L316="Complex",(INDEX('Escalators '!$M$176:$S$176,MATCH('Forecast capex'!J316,'Escalators '!$M$178:$S$178,0))/12+1)^((K316-J316)*12)-1,0)</f>
        <v>0</v>
      </c>
      <c r="Z316" s="257">
        <f t="shared" si="71"/>
        <v>0</v>
      </c>
      <c r="AA316" s="257">
        <f t="shared" si="72"/>
        <v>0</v>
      </c>
      <c r="AB316" s="269">
        <f t="shared" si="73"/>
        <v>0</v>
      </c>
      <c r="AC316" s="269">
        <f t="shared" si="74"/>
        <v>0</v>
      </c>
      <c r="AD316" s="271" t="str">
        <f>INDEX('Global inputs'!$C$134:$C$171,MATCH(F316,'Global inputs'!$B$134:$B$171,0))</f>
        <v>Consumer connection</v>
      </c>
      <c r="AE316" s="272">
        <f>IF(OR(H316='Operating leases'!$B$32,H316='Operating leases'!$B$33),"",INDEX('Global inputs'!$C$186:$C$243,MATCH(E316,'Global inputs'!$B$186:$B$243,0)))</f>
        <v>0.08</v>
      </c>
    </row>
    <row r="317" spans="1:31" s="27" customFormat="1" x14ac:dyDescent="0.2">
      <c r="A317" s="250"/>
      <c r="B317" s="210" t="s">
        <v>714</v>
      </c>
      <c r="C317" s="210" t="s">
        <v>290</v>
      </c>
      <c r="D317" s="210" t="s">
        <v>718</v>
      </c>
      <c r="E317" s="210" t="s">
        <v>170</v>
      </c>
      <c r="F317" s="210" t="s">
        <v>94</v>
      </c>
      <c r="G317" s="210" t="s">
        <v>721</v>
      </c>
      <c r="H317" s="197">
        <v>0</v>
      </c>
      <c r="I317" s="210" t="s">
        <v>229</v>
      </c>
      <c r="J317" s="210">
        <v>2021</v>
      </c>
      <c r="K317" s="210">
        <v>2021</v>
      </c>
      <c r="L317" s="268" t="str">
        <f t="shared" si="62"/>
        <v>Simple</v>
      </c>
      <c r="M317" s="197">
        <v>101229.41327321932</v>
      </c>
      <c r="N317" s="197">
        <v>151844.11990982897</v>
      </c>
      <c r="O317" s="257">
        <f>IF(ISNA(MATCH(H317,'Operating leases'!$B$32:$B$43,0)),0,INDEX('Operating leases'!$M$32:$S$43,MATCH(H317,'Operating leases'!$B$32:$B$43,0),MATCH(J317,'Operating leases'!$M$11:$S$11,0)))</f>
        <v>0</v>
      </c>
      <c r="P317" s="257">
        <f t="shared" si="63"/>
        <v>101229.41327321932</v>
      </c>
      <c r="Q317" s="257">
        <f t="shared" si="64"/>
        <v>253073.5331830483</v>
      </c>
      <c r="R317" s="258">
        <f>INDEX('Escalators '!$M$124:$S$129,MATCH(I317,'Escalators '!$B$124:$B$129,0),MATCH(J317,'Escalators '!$M$113:$S$113,0))</f>
        <v>1.0206154571717865</v>
      </c>
      <c r="S317" s="257">
        <f t="shared" si="65"/>
        <v>0</v>
      </c>
      <c r="T317" s="257">
        <f t="shared" si="66"/>
        <v>154974.45586061766</v>
      </c>
      <c r="U317" s="269">
        <f t="shared" si="67"/>
        <v>103316.30390707846</v>
      </c>
      <c r="V317" s="269">
        <f t="shared" si="68"/>
        <v>258290.75976769612</v>
      </c>
      <c r="W317" s="269">
        <f t="shared" si="69"/>
        <v>103316.30390707846</v>
      </c>
      <c r="X317" s="257">
        <f t="shared" si="70"/>
        <v>258290.75976769612</v>
      </c>
      <c r="Y317" s="270">
        <f>IF(L317="Complex",(INDEX('Escalators '!$M$176:$S$176,MATCH('Forecast capex'!J317,'Escalators '!$M$178:$S$178,0))/12+1)^((K317-J317)*12)-1,0)</f>
        <v>0</v>
      </c>
      <c r="Z317" s="257">
        <f t="shared" si="71"/>
        <v>0</v>
      </c>
      <c r="AA317" s="257">
        <f t="shared" si="72"/>
        <v>0</v>
      </c>
      <c r="AB317" s="269">
        <f t="shared" si="73"/>
        <v>0</v>
      </c>
      <c r="AC317" s="269">
        <f t="shared" si="74"/>
        <v>0</v>
      </c>
      <c r="AD317" s="271" t="str">
        <f>INDEX('Global inputs'!$C$134:$C$171,MATCH(F317,'Global inputs'!$B$134:$B$171,0))</f>
        <v>Consumer connection</v>
      </c>
      <c r="AE317" s="272">
        <f>IF(OR(H317='Operating leases'!$B$32,H317='Operating leases'!$B$33),"",INDEX('Global inputs'!$C$186:$C$243,MATCH(E317,'Global inputs'!$B$186:$B$243,0)))</f>
        <v>0.08</v>
      </c>
    </row>
    <row r="318" spans="1:31" s="27" customFormat="1" x14ac:dyDescent="0.2">
      <c r="A318" s="250"/>
      <c r="B318" s="210" t="s">
        <v>714</v>
      </c>
      <c r="C318" s="210" t="s">
        <v>290</v>
      </c>
      <c r="D318" s="210" t="s">
        <v>718</v>
      </c>
      <c r="E318" s="210" t="s">
        <v>170</v>
      </c>
      <c r="F318" s="210" t="s">
        <v>94</v>
      </c>
      <c r="G318" s="210" t="s">
        <v>721</v>
      </c>
      <c r="H318" s="197">
        <v>0</v>
      </c>
      <c r="I318" s="210" t="s">
        <v>221</v>
      </c>
      <c r="J318" s="210">
        <v>2021</v>
      </c>
      <c r="K318" s="210">
        <v>2021</v>
      </c>
      <c r="L318" s="268" t="str">
        <f t="shared" si="62"/>
        <v>Simple</v>
      </c>
      <c r="M318" s="197">
        <v>101229.41327321932</v>
      </c>
      <c r="N318" s="197">
        <v>151844.11990982897</v>
      </c>
      <c r="O318" s="257">
        <f>IF(ISNA(MATCH(H318,'Operating leases'!$B$32:$B$43,0)),0,INDEX('Operating leases'!$M$32:$S$43,MATCH(H318,'Operating leases'!$B$32:$B$43,0),MATCH(J318,'Operating leases'!$M$11:$S$11,0)))</f>
        <v>0</v>
      </c>
      <c r="P318" s="257">
        <f t="shared" si="63"/>
        <v>101229.41327321932</v>
      </c>
      <c r="Q318" s="257">
        <f t="shared" si="64"/>
        <v>253073.5331830483</v>
      </c>
      <c r="R318" s="258">
        <f>INDEX('Escalators '!$M$124:$S$129,MATCH(I318,'Escalators '!$B$124:$B$129,0),MATCH(J318,'Escalators '!$M$113:$S$113,0))</f>
        <v>1.0120900655357943</v>
      </c>
      <c r="S318" s="257">
        <f t="shared" si="65"/>
        <v>0</v>
      </c>
      <c r="T318" s="257">
        <f t="shared" si="66"/>
        <v>153679.92527076381</v>
      </c>
      <c r="U318" s="269">
        <f t="shared" si="67"/>
        <v>102453.28351384256</v>
      </c>
      <c r="V318" s="269">
        <f t="shared" si="68"/>
        <v>256133.20878460637</v>
      </c>
      <c r="W318" s="269">
        <f t="shared" si="69"/>
        <v>102453.28351384256</v>
      </c>
      <c r="X318" s="257">
        <f t="shared" si="70"/>
        <v>256133.20878460637</v>
      </c>
      <c r="Y318" s="270">
        <f>IF(L318="Complex",(INDEX('Escalators '!$M$176:$S$176,MATCH('Forecast capex'!J318,'Escalators '!$M$178:$S$178,0))/12+1)^((K318-J318)*12)-1,0)</f>
        <v>0</v>
      </c>
      <c r="Z318" s="257">
        <f t="shared" si="71"/>
        <v>0</v>
      </c>
      <c r="AA318" s="257">
        <f t="shared" si="72"/>
        <v>0</v>
      </c>
      <c r="AB318" s="269">
        <f t="shared" si="73"/>
        <v>0</v>
      </c>
      <c r="AC318" s="269">
        <f t="shared" si="74"/>
        <v>0</v>
      </c>
      <c r="AD318" s="271" t="str">
        <f>INDEX('Global inputs'!$C$134:$C$171,MATCH(F318,'Global inputs'!$B$134:$B$171,0))</f>
        <v>Consumer connection</v>
      </c>
      <c r="AE318" s="272">
        <f>IF(OR(H318='Operating leases'!$B$32,H318='Operating leases'!$B$33),"",INDEX('Global inputs'!$C$186:$C$243,MATCH(E318,'Global inputs'!$B$186:$B$243,0)))</f>
        <v>0.08</v>
      </c>
    </row>
    <row r="319" spans="1:31" s="27" customFormat="1" x14ac:dyDescent="0.2">
      <c r="A319" s="250"/>
      <c r="B319" s="210" t="s">
        <v>714</v>
      </c>
      <c r="C319" s="210" t="s">
        <v>288</v>
      </c>
      <c r="D319" s="210" t="s">
        <v>718</v>
      </c>
      <c r="E319" s="210" t="s">
        <v>160</v>
      </c>
      <c r="F319" s="210" t="s">
        <v>94</v>
      </c>
      <c r="G319" s="210" t="s">
        <v>722</v>
      </c>
      <c r="H319" s="197">
        <v>0</v>
      </c>
      <c r="I319" s="210" t="s">
        <v>229</v>
      </c>
      <c r="J319" s="210">
        <v>2021</v>
      </c>
      <c r="K319" s="210">
        <v>2021</v>
      </c>
      <c r="L319" s="268" t="str">
        <f t="shared" si="62"/>
        <v>Simple</v>
      </c>
      <c r="M319" s="197">
        <v>86976.89660298267</v>
      </c>
      <c r="N319" s="197">
        <v>130465.344904474</v>
      </c>
      <c r="O319" s="257">
        <f>IF(ISNA(MATCH(H319,'Operating leases'!$B$32:$B$43,0)),0,INDEX('Operating leases'!$M$32:$S$43,MATCH(H319,'Operating leases'!$B$32:$B$43,0),MATCH(J319,'Operating leases'!$M$11:$S$11,0)))</f>
        <v>0</v>
      </c>
      <c r="P319" s="257">
        <f t="shared" si="63"/>
        <v>86976.89660298267</v>
      </c>
      <c r="Q319" s="257">
        <f t="shared" si="64"/>
        <v>217442.24150745667</v>
      </c>
      <c r="R319" s="258">
        <f>INDEX('Escalators '!$M$124:$S$129,MATCH(I319,'Escalators '!$B$124:$B$129,0),MATCH(J319,'Escalators '!$M$113:$S$113,0))</f>
        <v>1.0206154571717865</v>
      </c>
      <c r="S319" s="257">
        <f t="shared" si="65"/>
        <v>0</v>
      </c>
      <c r="T319" s="257">
        <f t="shared" si="66"/>
        <v>133154.94763475453</v>
      </c>
      <c r="U319" s="269">
        <f t="shared" si="67"/>
        <v>88769.965089836362</v>
      </c>
      <c r="V319" s="269">
        <f t="shared" si="68"/>
        <v>221924.91272459089</v>
      </c>
      <c r="W319" s="269">
        <f t="shared" si="69"/>
        <v>88769.965089836362</v>
      </c>
      <c r="X319" s="257">
        <f t="shared" si="70"/>
        <v>221924.91272459089</v>
      </c>
      <c r="Y319" s="270">
        <f>IF(L319="Complex",(INDEX('Escalators '!$M$176:$S$176,MATCH('Forecast capex'!J319,'Escalators '!$M$178:$S$178,0))/12+1)^((K319-J319)*12)-1,0)</f>
        <v>0</v>
      </c>
      <c r="Z319" s="257">
        <f t="shared" si="71"/>
        <v>0</v>
      </c>
      <c r="AA319" s="257">
        <f t="shared" si="72"/>
        <v>0</v>
      </c>
      <c r="AB319" s="269">
        <f t="shared" si="73"/>
        <v>0</v>
      </c>
      <c r="AC319" s="269">
        <f t="shared" si="74"/>
        <v>0</v>
      </c>
      <c r="AD319" s="271" t="str">
        <f>INDEX('Global inputs'!$C$134:$C$171,MATCH(F319,'Global inputs'!$B$134:$B$171,0))</f>
        <v>Consumer connection</v>
      </c>
      <c r="AE319" s="272">
        <f>IF(OR(H319='Operating leases'!$B$32,H319='Operating leases'!$B$33),"",INDEX('Global inputs'!$C$186:$C$243,MATCH(E319,'Global inputs'!$B$186:$B$243,0)))</f>
        <v>0.08</v>
      </c>
    </row>
    <row r="320" spans="1:31" s="27" customFormat="1" x14ac:dyDescent="0.2">
      <c r="A320" s="250"/>
      <c r="B320" s="210" t="s">
        <v>714</v>
      </c>
      <c r="C320" s="210" t="s">
        <v>288</v>
      </c>
      <c r="D320" s="210" t="s">
        <v>718</v>
      </c>
      <c r="E320" s="210" t="s">
        <v>160</v>
      </c>
      <c r="F320" s="210" t="s">
        <v>94</v>
      </c>
      <c r="G320" s="210" t="s">
        <v>722</v>
      </c>
      <c r="H320" s="197">
        <v>0</v>
      </c>
      <c r="I320" s="210" t="s">
        <v>221</v>
      </c>
      <c r="J320" s="210">
        <v>2021</v>
      </c>
      <c r="K320" s="210">
        <v>2021</v>
      </c>
      <c r="L320" s="268" t="str">
        <f t="shared" si="62"/>
        <v>Simple</v>
      </c>
      <c r="M320" s="197">
        <v>86976.89660298267</v>
      </c>
      <c r="N320" s="197">
        <v>130465.344904474</v>
      </c>
      <c r="O320" s="257">
        <f>IF(ISNA(MATCH(H320,'Operating leases'!$B$32:$B$43,0)),0,INDEX('Operating leases'!$M$32:$S$43,MATCH(H320,'Operating leases'!$B$32:$B$43,0),MATCH(J320,'Operating leases'!$M$11:$S$11,0)))</f>
        <v>0</v>
      </c>
      <c r="P320" s="257">
        <f t="shared" si="63"/>
        <v>86976.89660298267</v>
      </c>
      <c r="Q320" s="257">
        <f t="shared" si="64"/>
        <v>217442.24150745667</v>
      </c>
      <c r="R320" s="258">
        <f>INDEX('Escalators '!$M$124:$S$129,MATCH(I320,'Escalators '!$B$124:$B$129,0),MATCH(J320,'Escalators '!$M$113:$S$113,0))</f>
        <v>1.0120900655357943</v>
      </c>
      <c r="S320" s="257">
        <f t="shared" si="65"/>
        <v>0</v>
      </c>
      <c r="T320" s="257">
        <f t="shared" si="66"/>
        <v>132042.6794745191</v>
      </c>
      <c r="U320" s="269">
        <f t="shared" si="67"/>
        <v>88028.452983012714</v>
      </c>
      <c r="V320" s="269">
        <f t="shared" si="68"/>
        <v>220071.13245753181</v>
      </c>
      <c r="W320" s="269">
        <f t="shared" si="69"/>
        <v>88028.452983012714</v>
      </c>
      <c r="X320" s="257">
        <f t="shared" si="70"/>
        <v>220071.13245753181</v>
      </c>
      <c r="Y320" s="270">
        <f>IF(L320="Complex",(INDEX('Escalators '!$M$176:$S$176,MATCH('Forecast capex'!J320,'Escalators '!$M$178:$S$178,0))/12+1)^((K320-J320)*12)-1,0)</f>
        <v>0</v>
      </c>
      <c r="Z320" s="257">
        <f t="shared" si="71"/>
        <v>0</v>
      </c>
      <c r="AA320" s="257">
        <f t="shared" si="72"/>
        <v>0</v>
      </c>
      <c r="AB320" s="269">
        <f t="shared" si="73"/>
        <v>0</v>
      </c>
      <c r="AC320" s="269">
        <f t="shared" si="74"/>
        <v>0</v>
      </c>
      <c r="AD320" s="271" t="str">
        <f>INDEX('Global inputs'!$C$134:$C$171,MATCH(F320,'Global inputs'!$B$134:$B$171,0))</f>
        <v>Consumer connection</v>
      </c>
      <c r="AE320" s="272">
        <f>IF(OR(H320='Operating leases'!$B$32,H320='Operating leases'!$B$33),"",INDEX('Global inputs'!$C$186:$C$243,MATCH(E320,'Global inputs'!$B$186:$B$243,0)))</f>
        <v>0.08</v>
      </c>
    </row>
    <row r="321" spans="1:31" s="27" customFormat="1" x14ac:dyDescent="0.2">
      <c r="A321" s="250"/>
      <c r="B321" s="210" t="s">
        <v>714</v>
      </c>
      <c r="C321" s="210" t="s">
        <v>289</v>
      </c>
      <c r="D321" s="210" t="s">
        <v>723</v>
      </c>
      <c r="E321" s="210" t="s">
        <v>164</v>
      </c>
      <c r="F321" s="210" t="s">
        <v>94</v>
      </c>
      <c r="G321" s="210" t="s">
        <v>724</v>
      </c>
      <c r="H321" s="197">
        <v>0</v>
      </c>
      <c r="I321" s="210" t="s">
        <v>139</v>
      </c>
      <c r="J321" s="210">
        <v>2021</v>
      </c>
      <c r="K321" s="210">
        <v>2021</v>
      </c>
      <c r="L321" s="268" t="str">
        <f t="shared" si="62"/>
        <v>Simple</v>
      </c>
      <c r="M321" s="197">
        <v>651961.27537697926</v>
      </c>
      <c r="N321" s="197">
        <v>977941.91306546878</v>
      </c>
      <c r="O321" s="257">
        <f>IF(ISNA(MATCH(H321,'Operating leases'!$B$32:$B$43,0)),0,INDEX('Operating leases'!$M$32:$S$43,MATCH(H321,'Operating leases'!$B$32:$B$43,0),MATCH(J321,'Operating leases'!$M$11:$S$11,0)))</f>
        <v>0</v>
      </c>
      <c r="P321" s="257">
        <f t="shared" si="63"/>
        <v>651961.27537697926</v>
      </c>
      <c r="Q321" s="257">
        <f t="shared" si="64"/>
        <v>1629903.1884424482</v>
      </c>
      <c r="R321" s="258">
        <f>INDEX('Escalators '!$M$124:$S$129,MATCH(I321,'Escalators '!$B$124:$B$129,0),MATCH(J321,'Escalators '!$M$113:$S$113,0))</f>
        <v>1.005513233090898</v>
      </c>
      <c r="S321" s="257">
        <f t="shared" si="65"/>
        <v>0</v>
      </c>
      <c r="T321" s="257">
        <f t="shared" si="66"/>
        <v>983333.53478155739</v>
      </c>
      <c r="U321" s="269">
        <f t="shared" si="67"/>
        <v>655555.68985437194</v>
      </c>
      <c r="V321" s="269">
        <f t="shared" si="68"/>
        <v>1638889.2246359293</v>
      </c>
      <c r="W321" s="269">
        <f t="shared" si="69"/>
        <v>655555.68985437194</v>
      </c>
      <c r="X321" s="257">
        <f t="shared" si="70"/>
        <v>1638889.2246359293</v>
      </c>
      <c r="Y321" s="270">
        <f>IF(L321="Complex",(INDEX('Escalators '!$M$176:$S$176,MATCH('Forecast capex'!J321,'Escalators '!$M$178:$S$178,0))/12+1)^((K321-J321)*12)-1,0)</f>
        <v>0</v>
      </c>
      <c r="Z321" s="257">
        <f t="shared" si="71"/>
        <v>0</v>
      </c>
      <c r="AA321" s="257">
        <f t="shared" si="72"/>
        <v>0</v>
      </c>
      <c r="AB321" s="269">
        <f t="shared" si="73"/>
        <v>0</v>
      </c>
      <c r="AC321" s="269">
        <f t="shared" si="74"/>
        <v>0</v>
      </c>
      <c r="AD321" s="271" t="str">
        <f>INDEX('Global inputs'!$C$134:$C$171,MATCH(F321,'Global inputs'!$B$134:$B$171,0))</f>
        <v>Consumer connection</v>
      </c>
      <c r="AE321" s="272">
        <f>IF(OR(H321='Operating leases'!$B$32,H321='Operating leases'!$B$33),"",INDEX('Global inputs'!$C$186:$C$243,MATCH(E321,'Global inputs'!$B$186:$B$243,0)))</f>
        <v>0.08</v>
      </c>
    </row>
    <row r="322" spans="1:31" s="27" customFormat="1" x14ac:dyDescent="0.2">
      <c r="A322" s="250"/>
      <c r="B322" s="210" t="s">
        <v>714</v>
      </c>
      <c r="C322" s="210" t="s">
        <v>289</v>
      </c>
      <c r="D322" s="210" t="s">
        <v>723</v>
      </c>
      <c r="E322" s="210" t="s">
        <v>164</v>
      </c>
      <c r="F322" s="210" t="s">
        <v>94</v>
      </c>
      <c r="G322" s="210" t="s">
        <v>724</v>
      </c>
      <c r="H322" s="197">
        <v>0</v>
      </c>
      <c r="I322" s="210" t="s">
        <v>221</v>
      </c>
      <c r="J322" s="210">
        <v>2021</v>
      </c>
      <c r="K322" s="210">
        <v>2021</v>
      </c>
      <c r="L322" s="268" t="str">
        <f t="shared" si="62"/>
        <v>Simple</v>
      </c>
      <c r="M322" s="197">
        <v>162990.31884424482</v>
      </c>
      <c r="N322" s="197">
        <v>244485.47826636719</v>
      </c>
      <c r="O322" s="257">
        <f>IF(ISNA(MATCH(H322,'Operating leases'!$B$32:$B$43,0)),0,INDEX('Operating leases'!$M$32:$S$43,MATCH(H322,'Operating leases'!$B$32:$B$43,0),MATCH(J322,'Operating leases'!$M$11:$S$11,0)))</f>
        <v>0</v>
      </c>
      <c r="P322" s="257">
        <f t="shared" si="63"/>
        <v>162990.31884424482</v>
      </c>
      <c r="Q322" s="257">
        <f t="shared" si="64"/>
        <v>407475.79711061204</v>
      </c>
      <c r="R322" s="258">
        <f>INDEX('Escalators '!$M$124:$S$129,MATCH(I322,'Escalators '!$B$124:$B$129,0),MATCH(J322,'Escalators '!$M$113:$S$113,0))</f>
        <v>1.0120900655357943</v>
      </c>
      <c r="S322" s="257">
        <f t="shared" si="65"/>
        <v>0</v>
      </c>
      <c r="T322" s="257">
        <f t="shared" si="66"/>
        <v>247441.32372115759</v>
      </c>
      <c r="U322" s="269">
        <f t="shared" si="67"/>
        <v>164960.88248077178</v>
      </c>
      <c r="V322" s="269">
        <f t="shared" si="68"/>
        <v>412402.20620192937</v>
      </c>
      <c r="W322" s="269">
        <f t="shared" si="69"/>
        <v>164960.88248077178</v>
      </c>
      <c r="X322" s="257">
        <f t="shared" si="70"/>
        <v>412402.20620192937</v>
      </c>
      <c r="Y322" s="270">
        <f>IF(L322="Complex",(INDEX('Escalators '!$M$176:$S$176,MATCH('Forecast capex'!J322,'Escalators '!$M$178:$S$178,0))/12+1)^((K322-J322)*12)-1,0)</f>
        <v>0</v>
      </c>
      <c r="Z322" s="257">
        <f t="shared" si="71"/>
        <v>0</v>
      </c>
      <c r="AA322" s="257">
        <f t="shared" si="72"/>
        <v>0</v>
      </c>
      <c r="AB322" s="269">
        <f t="shared" si="73"/>
        <v>0</v>
      </c>
      <c r="AC322" s="269">
        <f t="shared" si="74"/>
        <v>0</v>
      </c>
      <c r="AD322" s="271" t="str">
        <f>INDEX('Global inputs'!$C$134:$C$171,MATCH(F322,'Global inputs'!$B$134:$B$171,0))</f>
        <v>Consumer connection</v>
      </c>
      <c r="AE322" s="272">
        <f>IF(OR(H322='Operating leases'!$B$32,H322='Operating leases'!$B$33),"",INDEX('Global inputs'!$C$186:$C$243,MATCH(E322,'Global inputs'!$B$186:$B$243,0)))</f>
        <v>0.08</v>
      </c>
    </row>
    <row r="323" spans="1:31" s="27" customFormat="1" x14ac:dyDescent="0.2">
      <c r="A323" s="250"/>
      <c r="B323" s="210" t="s">
        <v>714</v>
      </c>
      <c r="C323" s="210" t="s">
        <v>289</v>
      </c>
      <c r="D323" s="210" t="s">
        <v>723</v>
      </c>
      <c r="E323" s="210" t="s">
        <v>163</v>
      </c>
      <c r="F323" s="210" t="s">
        <v>94</v>
      </c>
      <c r="G323" s="210" t="s">
        <v>725</v>
      </c>
      <c r="H323" s="197">
        <v>0</v>
      </c>
      <c r="I323" s="210" t="s">
        <v>139</v>
      </c>
      <c r="J323" s="210">
        <v>2021</v>
      </c>
      <c r="K323" s="210">
        <v>2021</v>
      </c>
      <c r="L323" s="268" t="str">
        <f t="shared" si="62"/>
        <v>Simple</v>
      </c>
      <c r="M323" s="197">
        <v>423921.0086531929</v>
      </c>
      <c r="N323" s="197">
        <v>635881.51297978929</v>
      </c>
      <c r="O323" s="257">
        <f>IF(ISNA(MATCH(H323,'Operating leases'!$B$32:$B$43,0)),0,INDEX('Operating leases'!$M$32:$S$43,MATCH(H323,'Operating leases'!$B$32:$B$43,0),MATCH(J323,'Operating leases'!$M$11:$S$11,0)))</f>
        <v>0</v>
      </c>
      <c r="P323" s="257">
        <f t="shared" si="63"/>
        <v>423921.0086531929</v>
      </c>
      <c r="Q323" s="257">
        <f t="shared" si="64"/>
        <v>1059802.5216329822</v>
      </c>
      <c r="R323" s="258">
        <f>INDEX('Escalators '!$M$124:$S$129,MATCH(I323,'Escalators '!$B$124:$B$129,0),MATCH(J323,'Escalators '!$M$113:$S$113,0))</f>
        <v>1.005513233090898</v>
      </c>
      <c r="S323" s="257">
        <f t="shared" si="65"/>
        <v>0</v>
      </c>
      <c r="T323" s="257">
        <f t="shared" si="66"/>
        <v>639387.27597903972</v>
      </c>
      <c r="U323" s="269">
        <f t="shared" si="67"/>
        <v>426258.18398602656</v>
      </c>
      <c r="V323" s="269">
        <f t="shared" si="68"/>
        <v>1065645.4599650663</v>
      </c>
      <c r="W323" s="269">
        <f t="shared" si="69"/>
        <v>426258.18398602656</v>
      </c>
      <c r="X323" s="257">
        <f t="shared" si="70"/>
        <v>1065645.4599650663</v>
      </c>
      <c r="Y323" s="270">
        <f>IF(L323="Complex",(INDEX('Escalators '!$M$176:$S$176,MATCH('Forecast capex'!J323,'Escalators '!$M$178:$S$178,0))/12+1)^((K323-J323)*12)-1,0)</f>
        <v>0</v>
      </c>
      <c r="Z323" s="257">
        <f t="shared" si="71"/>
        <v>0</v>
      </c>
      <c r="AA323" s="257">
        <f t="shared" si="72"/>
        <v>0</v>
      </c>
      <c r="AB323" s="269">
        <f t="shared" si="73"/>
        <v>0</v>
      </c>
      <c r="AC323" s="269">
        <f t="shared" si="74"/>
        <v>0</v>
      </c>
      <c r="AD323" s="271" t="str">
        <f>INDEX('Global inputs'!$C$134:$C$171,MATCH(F323,'Global inputs'!$B$134:$B$171,0))</f>
        <v>Consumer connection</v>
      </c>
      <c r="AE323" s="272">
        <f>IF(OR(H323='Operating leases'!$B$32,H323='Operating leases'!$B$33),"",INDEX('Global inputs'!$C$186:$C$243,MATCH(E323,'Global inputs'!$B$186:$B$243,0)))</f>
        <v>0.08</v>
      </c>
    </row>
    <row r="324" spans="1:31" s="27" customFormat="1" x14ac:dyDescent="0.2">
      <c r="A324" s="250"/>
      <c r="B324" s="210" t="s">
        <v>714</v>
      </c>
      <c r="C324" s="210" t="s">
        <v>289</v>
      </c>
      <c r="D324" s="210" t="s">
        <v>723</v>
      </c>
      <c r="E324" s="210" t="s">
        <v>163</v>
      </c>
      <c r="F324" s="210" t="s">
        <v>94</v>
      </c>
      <c r="G324" s="210" t="s">
        <v>725</v>
      </c>
      <c r="H324" s="197">
        <v>0</v>
      </c>
      <c r="I324" s="210" t="s">
        <v>221</v>
      </c>
      <c r="J324" s="210">
        <v>2021</v>
      </c>
      <c r="K324" s="210">
        <v>2021</v>
      </c>
      <c r="L324" s="268" t="str">
        <f t="shared" si="62"/>
        <v>Simple</v>
      </c>
      <c r="M324" s="197">
        <v>105980.25216329822</v>
      </c>
      <c r="N324" s="197">
        <v>158970.37824494732</v>
      </c>
      <c r="O324" s="257">
        <f>IF(ISNA(MATCH(H324,'Operating leases'!$B$32:$B$43,0)),0,INDEX('Operating leases'!$M$32:$S$43,MATCH(H324,'Operating leases'!$B$32:$B$43,0),MATCH(J324,'Operating leases'!$M$11:$S$11,0)))</f>
        <v>0</v>
      </c>
      <c r="P324" s="257">
        <f t="shared" si="63"/>
        <v>105980.25216329822</v>
      </c>
      <c r="Q324" s="257">
        <f t="shared" si="64"/>
        <v>264950.63040824555</v>
      </c>
      <c r="R324" s="258">
        <f>INDEX('Escalators '!$M$124:$S$129,MATCH(I324,'Escalators '!$B$124:$B$129,0),MATCH(J324,'Escalators '!$M$113:$S$113,0))</f>
        <v>1.0120900655357943</v>
      </c>
      <c r="S324" s="257">
        <f t="shared" si="65"/>
        <v>0</v>
      </c>
      <c r="T324" s="257">
        <f t="shared" si="66"/>
        <v>160892.34053617873</v>
      </c>
      <c r="U324" s="269">
        <f t="shared" si="67"/>
        <v>107261.56035745249</v>
      </c>
      <c r="V324" s="269">
        <f t="shared" si="68"/>
        <v>268153.90089363122</v>
      </c>
      <c r="W324" s="269">
        <f t="shared" si="69"/>
        <v>107261.56035745249</v>
      </c>
      <c r="X324" s="257">
        <f t="shared" si="70"/>
        <v>268153.90089363122</v>
      </c>
      <c r="Y324" s="270">
        <f>IF(L324="Complex",(INDEX('Escalators '!$M$176:$S$176,MATCH('Forecast capex'!J324,'Escalators '!$M$178:$S$178,0))/12+1)^((K324-J324)*12)-1,0)</f>
        <v>0</v>
      </c>
      <c r="Z324" s="257">
        <f t="shared" si="71"/>
        <v>0</v>
      </c>
      <c r="AA324" s="257">
        <f t="shared" si="72"/>
        <v>0</v>
      </c>
      <c r="AB324" s="269">
        <f t="shared" si="73"/>
        <v>0</v>
      </c>
      <c r="AC324" s="269">
        <f t="shared" si="74"/>
        <v>0</v>
      </c>
      <c r="AD324" s="271" t="str">
        <f>INDEX('Global inputs'!$C$134:$C$171,MATCH(F324,'Global inputs'!$B$134:$B$171,0))</f>
        <v>Consumer connection</v>
      </c>
      <c r="AE324" s="272">
        <f>IF(OR(H324='Operating leases'!$B$32,H324='Operating leases'!$B$33),"",INDEX('Global inputs'!$C$186:$C$243,MATCH(E324,'Global inputs'!$B$186:$B$243,0)))</f>
        <v>0.08</v>
      </c>
    </row>
    <row r="325" spans="1:31" s="27" customFormat="1" x14ac:dyDescent="0.2">
      <c r="A325" s="250"/>
      <c r="B325" s="210" t="s">
        <v>714</v>
      </c>
      <c r="C325" s="210" t="s">
        <v>286</v>
      </c>
      <c r="D325" s="210" t="s">
        <v>735</v>
      </c>
      <c r="E325" s="210" t="s">
        <v>144</v>
      </c>
      <c r="F325" s="210" t="s">
        <v>94</v>
      </c>
      <c r="G325" s="210" t="s">
        <v>736</v>
      </c>
      <c r="H325" s="197">
        <v>0</v>
      </c>
      <c r="I325" s="210" t="s">
        <v>229</v>
      </c>
      <c r="J325" s="210">
        <v>2021</v>
      </c>
      <c r="K325" s="210">
        <v>2021</v>
      </c>
      <c r="L325" s="268" t="str">
        <f t="shared" si="62"/>
        <v>Simple</v>
      </c>
      <c r="M325" s="197">
        <v>4385.389744688202</v>
      </c>
      <c r="N325" s="197">
        <v>6578.084617032302</v>
      </c>
      <c r="O325" s="257">
        <f>IF(ISNA(MATCH(H325,'Operating leases'!$B$32:$B$43,0)),0,INDEX('Operating leases'!$M$32:$S$43,MATCH(H325,'Operating leases'!$B$32:$B$43,0),MATCH(J325,'Operating leases'!$M$11:$S$11,0)))</f>
        <v>0</v>
      </c>
      <c r="P325" s="257">
        <f t="shared" si="63"/>
        <v>4385.389744688202</v>
      </c>
      <c r="Q325" s="257">
        <f t="shared" si="64"/>
        <v>10963.474361720504</v>
      </c>
      <c r="R325" s="258">
        <f>INDEX('Escalators '!$M$124:$S$129,MATCH(I325,'Escalators '!$B$124:$B$129,0),MATCH(J325,'Escalators '!$M$113:$S$113,0))</f>
        <v>1.0206154571717865</v>
      </c>
      <c r="S325" s="257">
        <f t="shared" si="65"/>
        <v>0</v>
      </c>
      <c r="T325" s="257">
        <f t="shared" si="66"/>
        <v>6713.6948387271186</v>
      </c>
      <c r="U325" s="269">
        <f t="shared" si="67"/>
        <v>4475.796559151413</v>
      </c>
      <c r="V325" s="269">
        <f t="shared" si="68"/>
        <v>11189.491397878532</v>
      </c>
      <c r="W325" s="269">
        <f t="shared" si="69"/>
        <v>4475.796559151413</v>
      </c>
      <c r="X325" s="257">
        <f t="shared" si="70"/>
        <v>11189.491397878532</v>
      </c>
      <c r="Y325" s="270">
        <f>IF(L325="Complex",(INDEX('Escalators '!$M$176:$S$176,MATCH('Forecast capex'!J325,'Escalators '!$M$178:$S$178,0))/12+1)^((K325-J325)*12)-1,0)</f>
        <v>0</v>
      </c>
      <c r="Z325" s="257">
        <f t="shared" si="71"/>
        <v>0</v>
      </c>
      <c r="AA325" s="257">
        <f t="shared" si="72"/>
        <v>0</v>
      </c>
      <c r="AB325" s="269">
        <f t="shared" si="73"/>
        <v>0</v>
      </c>
      <c r="AC325" s="269">
        <f t="shared" si="74"/>
        <v>0</v>
      </c>
      <c r="AD325" s="271" t="str">
        <f>INDEX('Global inputs'!$C$134:$C$171,MATCH(F325,'Global inputs'!$B$134:$B$171,0))</f>
        <v>Consumer connection</v>
      </c>
      <c r="AE325" s="272">
        <f>IF(OR(H325='Operating leases'!$B$32,H325='Operating leases'!$B$33),"",INDEX('Global inputs'!$C$186:$C$243,MATCH(E325,'Global inputs'!$B$186:$B$243,0)))</f>
        <v>0.08</v>
      </c>
    </row>
    <row r="326" spans="1:31" s="27" customFormat="1" x14ac:dyDescent="0.2">
      <c r="A326" s="250"/>
      <c r="B326" s="210" t="s">
        <v>714</v>
      </c>
      <c r="C326" s="210" t="s">
        <v>286</v>
      </c>
      <c r="D326" s="210" t="s">
        <v>735</v>
      </c>
      <c r="E326" s="210" t="s">
        <v>144</v>
      </c>
      <c r="F326" s="210" t="s">
        <v>94</v>
      </c>
      <c r="G326" s="210" t="s">
        <v>736</v>
      </c>
      <c r="H326" s="197">
        <v>0</v>
      </c>
      <c r="I326" s="210" t="s">
        <v>221</v>
      </c>
      <c r="J326" s="210">
        <v>2021</v>
      </c>
      <c r="K326" s="210">
        <v>2021</v>
      </c>
      <c r="L326" s="268" t="str">
        <f t="shared" si="62"/>
        <v>Simple</v>
      </c>
      <c r="M326" s="197">
        <v>17541.558978752808</v>
      </c>
      <c r="N326" s="197">
        <v>26312.338468129208</v>
      </c>
      <c r="O326" s="257">
        <f>IF(ISNA(MATCH(H326,'Operating leases'!$B$32:$B$43,0)),0,INDEX('Operating leases'!$M$32:$S$43,MATCH(H326,'Operating leases'!$B$32:$B$43,0),MATCH(J326,'Operating leases'!$M$11:$S$11,0)))</f>
        <v>0</v>
      </c>
      <c r="P326" s="257">
        <f t="shared" si="63"/>
        <v>17541.558978752808</v>
      </c>
      <c r="Q326" s="257">
        <f t="shared" si="64"/>
        <v>43853.897446882016</v>
      </c>
      <c r="R326" s="258">
        <f>INDEX('Escalators '!$M$124:$S$129,MATCH(I326,'Escalators '!$B$124:$B$129,0),MATCH(J326,'Escalators '!$M$113:$S$113,0))</f>
        <v>1.0120900655357943</v>
      </c>
      <c r="S326" s="257">
        <f t="shared" si="65"/>
        <v>0</v>
      </c>
      <c r="T326" s="257">
        <f t="shared" si="66"/>
        <v>26630.45636460889</v>
      </c>
      <c r="U326" s="269">
        <f t="shared" si="67"/>
        <v>17753.63757640593</v>
      </c>
      <c r="V326" s="269">
        <f t="shared" si="68"/>
        <v>44384.09394101482</v>
      </c>
      <c r="W326" s="269">
        <f t="shared" si="69"/>
        <v>17753.63757640593</v>
      </c>
      <c r="X326" s="257">
        <f t="shared" si="70"/>
        <v>44384.09394101482</v>
      </c>
      <c r="Y326" s="270">
        <f>IF(L326="Complex",(INDEX('Escalators '!$M$176:$S$176,MATCH('Forecast capex'!J326,'Escalators '!$M$178:$S$178,0))/12+1)^((K326-J326)*12)-1,0)</f>
        <v>0</v>
      </c>
      <c r="Z326" s="257">
        <f t="shared" si="71"/>
        <v>0</v>
      </c>
      <c r="AA326" s="257">
        <f t="shared" si="72"/>
        <v>0</v>
      </c>
      <c r="AB326" s="269">
        <f t="shared" si="73"/>
        <v>0</v>
      </c>
      <c r="AC326" s="269">
        <f t="shared" si="74"/>
        <v>0</v>
      </c>
      <c r="AD326" s="271" t="str">
        <f>INDEX('Global inputs'!$C$134:$C$171,MATCH(F326,'Global inputs'!$B$134:$B$171,0))</f>
        <v>Consumer connection</v>
      </c>
      <c r="AE326" s="272">
        <f>IF(OR(H326='Operating leases'!$B$32,H326='Operating leases'!$B$33),"",INDEX('Global inputs'!$C$186:$C$243,MATCH(E326,'Global inputs'!$B$186:$B$243,0)))</f>
        <v>0.08</v>
      </c>
    </row>
    <row r="327" spans="1:31" s="27" customFormat="1" x14ac:dyDescent="0.2">
      <c r="A327" s="250"/>
      <c r="B327" s="210" t="s">
        <v>714</v>
      </c>
      <c r="C327" s="210" t="s">
        <v>285</v>
      </c>
      <c r="D327" s="210" t="s">
        <v>223</v>
      </c>
      <c r="E327" s="210" t="s">
        <v>134</v>
      </c>
      <c r="F327" s="210" t="s">
        <v>94</v>
      </c>
      <c r="G327" s="210" t="s">
        <v>726</v>
      </c>
      <c r="H327" s="197">
        <v>0</v>
      </c>
      <c r="I327" s="210" t="s">
        <v>223</v>
      </c>
      <c r="J327" s="210">
        <v>2021</v>
      </c>
      <c r="K327" s="210">
        <v>2021</v>
      </c>
      <c r="L327" s="268" t="str">
        <f t="shared" si="62"/>
        <v>Simple</v>
      </c>
      <c r="M327" s="197">
        <v>6358.815129797892</v>
      </c>
      <c r="N327" s="197">
        <v>9538.2226946968367</v>
      </c>
      <c r="O327" s="257">
        <f>IF(ISNA(MATCH(H327,'Operating leases'!$B$32:$B$43,0)),0,INDEX('Operating leases'!$M$32:$S$43,MATCH(H327,'Operating leases'!$B$32:$B$43,0),MATCH(J327,'Operating leases'!$M$11:$S$11,0)))</f>
        <v>0</v>
      </c>
      <c r="P327" s="257">
        <f t="shared" si="63"/>
        <v>6358.815129797892</v>
      </c>
      <c r="Q327" s="257">
        <f t="shared" si="64"/>
        <v>15897.037824494728</v>
      </c>
      <c r="R327" s="258">
        <f>INDEX('Escalators '!$M$124:$S$129,MATCH(I327,'Escalators '!$B$124:$B$129,0),MATCH(J327,'Escalators '!$M$113:$S$113,0))</f>
        <v>1.0239888729183189</v>
      </c>
      <c r="S327" s="257">
        <f t="shared" si="65"/>
        <v>0</v>
      </c>
      <c r="T327" s="257">
        <f t="shared" si="66"/>
        <v>9767.0339067865443</v>
      </c>
      <c r="U327" s="269">
        <f t="shared" si="67"/>
        <v>6511.3559378576956</v>
      </c>
      <c r="V327" s="269">
        <f t="shared" si="68"/>
        <v>16278.38984464424</v>
      </c>
      <c r="W327" s="269">
        <f t="shared" si="69"/>
        <v>6511.3559378576956</v>
      </c>
      <c r="X327" s="257">
        <f t="shared" si="70"/>
        <v>16278.38984464424</v>
      </c>
      <c r="Y327" s="270">
        <f>IF(L327="Complex",(INDEX('Escalators '!$M$176:$S$176,MATCH('Forecast capex'!J327,'Escalators '!$M$178:$S$178,0))/12+1)^((K327-J327)*12)-1,0)</f>
        <v>0</v>
      </c>
      <c r="Z327" s="257">
        <f t="shared" si="71"/>
        <v>0</v>
      </c>
      <c r="AA327" s="257">
        <f t="shared" si="72"/>
        <v>0</v>
      </c>
      <c r="AB327" s="269">
        <f t="shared" si="73"/>
        <v>0</v>
      </c>
      <c r="AC327" s="269">
        <f t="shared" si="74"/>
        <v>0</v>
      </c>
      <c r="AD327" s="271" t="str">
        <f>INDEX('Global inputs'!$C$134:$C$171,MATCH(F327,'Global inputs'!$B$134:$B$171,0))</f>
        <v>Consumer connection</v>
      </c>
      <c r="AE327" s="272">
        <f>IF(OR(H327='Operating leases'!$B$32,H327='Operating leases'!$B$33),"",INDEX('Global inputs'!$C$186:$C$243,MATCH(E327,'Global inputs'!$B$186:$B$243,0)))</f>
        <v>0.08</v>
      </c>
    </row>
    <row r="328" spans="1:31" s="27" customFormat="1" x14ac:dyDescent="0.2">
      <c r="A328" s="250"/>
      <c r="B328" s="210" t="s">
        <v>714</v>
      </c>
      <c r="C328" s="210" t="s">
        <v>285</v>
      </c>
      <c r="D328" s="210" t="s">
        <v>223</v>
      </c>
      <c r="E328" s="210" t="s">
        <v>134</v>
      </c>
      <c r="F328" s="210" t="s">
        <v>94</v>
      </c>
      <c r="G328" s="210" t="s">
        <v>726</v>
      </c>
      <c r="H328" s="197">
        <v>0</v>
      </c>
      <c r="I328" s="210" t="s">
        <v>221</v>
      </c>
      <c r="J328" s="210">
        <v>2021</v>
      </c>
      <c r="K328" s="210">
        <v>2021</v>
      </c>
      <c r="L328" s="268" t="str">
        <f t="shared" si="62"/>
        <v>Simple</v>
      </c>
      <c r="M328" s="197">
        <v>14837.235302861749</v>
      </c>
      <c r="N328" s="197">
        <v>22255.852954292623</v>
      </c>
      <c r="O328" s="257">
        <f>IF(ISNA(MATCH(H328,'Operating leases'!$B$32:$B$43,0)),0,INDEX('Operating leases'!$M$32:$S$43,MATCH(H328,'Operating leases'!$B$32:$B$43,0),MATCH(J328,'Operating leases'!$M$11:$S$11,0)))</f>
        <v>0</v>
      </c>
      <c r="P328" s="257">
        <f t="shared" si="63"/>
        <v>14837.235302861749</v>
      </c>
      <c r="Q328" s="257">
        <f t="shared" si="64"/>
        <v>37093.08825715437</v>
      </c>
      <c r="R328" s="258">
        <f>INDEX('Escalators '!$M$124:$S$129,MATCH(I328,'Escalators '!$B$124:$B$129,0),MATCH(J328,'Escalators '!$M$113:$S$113,0))</f>
        <v>1.0120900655357943</v>
      </c>
      <c r="S328" s="257">
        <f t="shared" si="65"/>
        <v>0</v>
      </c>
      <c r="T328" s="257">
        <f t="shared" si="66"/>
        <v>22524.927675065021</v>
      </c>
      <c r="U328" s="269">
        <f t="shared" si="67"/>
        <v>15016.618450043348</v>
      </c>
      <c r="V328" s="269">
        <f t="shared" si="68"/>
        <v>37541.546125108369</v>
      </c>
      <c r="W328" s="269">
        <f t="shared" si="69"/>
        <v>15016.618450043348</v>
      </c>
      <c r="X328" s="257">
        <f t="shared" si="70"/>
        <v>37541.546125108369</v>
      </c>
      <c r="Y328" s="270">
        <f>IF(L328="Complex",(INDEX('Escalators '!$M$176:$S$176,MATCH('Forecast capex'!J328,'Escalators '!$M$178:$S$178,0))/12+1)^((K328-J328)*12)-1,0)</f>
        <v>0</v>
      </c>
      <c r="Z328" s="257">
        <f t="shared" si="71"/>
        <v>0</v>
      </c>
      <c r="AA328" s="257">
        <f t="shared" si="72"/>
        <v>0</v>
      </c>
      <c r="AB328" s="269">
        <f t="shared" si="73"/>
        <v>0</v>
      </c>
      <c r="AC328" s="269">
        <f t="shared" si="74"/>
        <v>0</v>
      </c>
      <c r="AD328" s="271" t="str">
        <f>INDEX('Global inputs'!$C$134:$C$171,MATCH(F328,'Global inputs'!$B$134:$B$171,0))</f>
        <v>Consumer connection</v>
      </c>
      <c r="AE328" s="272">
        <f>IF(OR(H328='Operating leases'!$B$32,H328='Operating leases'!$B$33),"",INDEX('Global inputs'!$C$186:$C$243,MATCH(E328,'Global inputs'!$B$186:$B$243,0)))</f>
        <v>0.08</v>
      </c>
    </row>
    <row r="329" spans="1:31" s="27" customFormat="1" x14ac:dyDescent="0.2">
      <c r="A329" s="250"/>
      <c r="B329" s="210" t="s">
        <v>714</v>
      </c>
      <c r="C329" s="210" t="s">
        <v>288</v>
      </c>
      <c r="D329" s="210" t="s">
        <v>223</v>
      </c>
      <c r="E329" s="210" t="s">
        <v>157</v>
      </c>
      <c r="F329" s="210" t="s">
        <v>94</v>
      </c>
      <c r="G329" s="210" t="s">
        <v>727</v>
      </c>
      <c r="H329" s="197">
        <v>0</v>
      </c>
      <c r="I329" s="210" t="s">
        <v>223</v>
      </c>
      <c r="J329" s="210">
        <v>2021</v>
      </c>
      <c r="K329" s="210">
        <v>2021</v>
      </c>
      <c r="L329" s="268" t="str">
        <f t="shared" si="62"/>
        <v>Simple</v>
      </c>
      <c r="M329" s="197">
        <v>115774.28925976851</v>
      </c>
      <c r="N329" s="197">
        <v>173661.43388965275</v>
      </c>
      <c r="O329" s="257">
        <f>IF(ISNA(MATCH(H329,'Operating leases'!$B$32:$B$43,0)),0,INDEX('Operating leases'!$M$32:$S$43,MATCH(H329,'Operating leases'!$B$32:$B$43,0),MATCH(J329,'Operating leases'!$M$11:$S$11,0)))</f>
        <v>0</v>
      </c>
      <c r="P329" s="257">
        <f t="shared" si="63"/>
        <v>115774.28925976851</v>
      </c>
      <c r="Q329" s="257">
        <f t="shared" si="64"/>
        <v>289435.72314942128</v>
      </c>
      <c r="R329" s="258">
        <f>INDEX('Escalators '!$M$124:$S$129,MATCH(I329,'Escalators '!$B$124:$B$129,0),MATCH(J329,'Escalators '!$M$113:$S$113,0))</f>
        <v>1.0239888729183189</v>
      </c>
      <c r="S329" s="257">
        <f t="shared" si="65"/>
        <v>0</v>
      </c>
      <c r="T329" s="257">
        <f t="shared" si="66"/>
        <v>177827.37595804466</v>
      </c>
      <c r="U329" s="269">
        <f t="shared" si="67"/>
        <v>118551.5839720298</v>
      </c>
      <c r="V329" s="269">
        <f t="shared" si="68"/>
        <v>296378.95993007446</v>
      </c>
      <c r="W329" s="269">
        <f t="shared" si="69"/>
        <v>118551.5839720298</v>
      </c>
      <c r="X329" s="257">
        <f t="shared" si="70"/>
        <v>296378.95993007446</v>
      </c>
      <c r="Y329" s="270">
        <f>IF(L329="Complex",(INDEX('Escalators '!$M$176:$S$176,MATCH('Forecast capex'!J329,'Escalators '!$M$178:$S$178,0))/12+1)^((K329-J329)*12)-1,0)</f>
        <v>0</v>
      </c>
      <c r="Z329" s="257">
        <f t="shared" si="71"/>
        <v>0</v>
      </c>
      <c r="AA329" s="257">
        <f t="shared" si="72"/>
        <v>0</v>
      </c>
      <c r="AB329" s="269">
        <f t="shared" si="73"/>
        <v>0</v>
      </c>
      <c r="AC329" s="269">
        <f t="shared" si="74"/>
        <v>0</v>
      </c>
      <c r="AD329" s="271" t="str">
        <f>INDEX('Global inputs'!$C$134:$C$171,MATCH(F329,'Global inputs'!$B$134:$B$171,0))</f>
        <v>Consumer connection</v>
      </c>
      <c r="AE329" s="272">
        <f>IF(OR(H329='Operating leases'!$B$32,H329='Operating leases'!$B$33),"",INDEX('Global inputs'!$C$186:$C$243,MATCH(E329,'Global inputs'!$B$186:$B$243,0)))</f>
        <v>0.08</v>
      </c>
    </row>
    <row r="330" spans="1:31" s="27" customFormat="1" x14ac:dyDescent="0.2">
      <c r="A330" s="250"/>
      <c r="B330" s="210" t="s">
        <v>714</v>
      </c>
      <c r="C330" s="210" t="s">
        <v>288</v>
      </c>
      <c r="D330" s="210" t="s">
        <v>223</v>
      </c>
      <c r="E330" s="210" t="s">
        <v>157</v>
      </c>
      <c r="F330" s="210" t="s">
        <v>94</v>
      </c>
      <c r="G330" s="210" t="s">
        <v>727</v>
      </c>
      <c r="H330" s="197">
        <v>0</v>
      </c>
      <c r="I330" s="210" t="s">
        <v>221</v>
      </c>
      <c r="J330" s="210">
        <v>2021</v>
      </c>
      <c r="K330" s="210">
        <v>2021</v>
      </c>
      <c r="L330" s="268" t="str">
        <f t="shared" ref="L330:L393" si="75">IF(J330=K330,"Simple","Complex")</f>
        <v>Simple</v>
      </c>
      <c r="M330" s="197">
        <v>270140.0082727932</v>
      </c>
      <c r="N330" s="197">
        <v>405210.01240918977</v>
      </c>
      <c r="O330" s="257">
        <f>IF(ISNA(MATCH(H330,'Operating leases'!$B$32:$B$43,0)),0,INDEX('Operating leases'!$M$32:$S$43,MATCH(H330,'Operating leases'!$B$32:$B$43,0),MATCH(J330,'Operating leases'!$M$11:$S$11,0)))</f>
        <v>0</v>
      </c>
      <c r="P330" s="257">
        <f t="shared" ref="P330:P393" si="76">O330+M330</f>
        <v>270140.0082727932</v>
      </c>
      <c r="Q330" s="257">
        <f t="shared" ref="Q330:Q393" si="77">M330+N330+O330</f>
        <v>675350.02068198298</v>
      </c>
      <c r="R330" s="258">
        <f>INDEX('Escalators '!$M$124:$S$129,MATCH(I330,'Escalators '!$B$124:$B$129,0),MATCH(J330,'Escalators '!$M$113:$S$113,0))</f>
        <v>1.0120900655357943</v>
      </c>
      <c r="S330" s="257">
        <f t="shared" ref="S330:S393" si="78">O330*R330</f>
        <v>0</v>
      </c>
      <c r="T330" s="257">
        <f t="shared" ref="T330:T393" si="79">N330*R330</f>
        <v>410109.02801497688</v>
      </c>
      <c r="U330" s="269">
        <f t="shared" ref="U330:U393" si="80">W330-S330</f>
        <v>273406.01867665129</v>
      </c>
      <c r="V330" s="269">
        <f t="shared" ref="V330:V393" si="81">U330+T330</f>
        <v>683515.04669162817</v>
      </c>
      <c r="W330" s="269">
        <f t="shared" ref="W330:W393" si="82">X330-T330</f>
        <v>273406.01867665129</v>
      </c>
      <c r="X330" s="257">
        <f t="shared" ref="X330:X393" si="83">Q330*R330</f>
        <v>683515.04669162817</v>
      </c>
      <c r="Y330" s="270">
        <f>IF(L330="Complex",(INDEX('Escalators '!$M$176:$S$176,MATCH('Forecast capex'!J330,'Escalators '!$M$178:$S$178,0))/12+1)^((K330-J330)*12)-1,0)</f>
        <v>0</v>
      </c>
      <c r="Z330" s="257">
        <f t="shared" ref="Z330:Z393" si="84">P330*Y330</f>
        <v>0</v>
      </c>
      <c r="AA330" s="257">
        <f t="shared" ref="AA330:AA393" si="85">W330*Y330</f>
        <v>0</v>
      </c>
      <c r="AB330" s="269">
        <f t="shared" ref="AB330:AB393" si="86">IF(L330="Complex",AC330-T330,0)</f>
        <v>0</v>
      </c>
      <c r="AC330" s="269">
        <f t="shared" ref="AC330:AC393" si="87">IF(L330="Complex",V330+AA330,0)</f>
        <v>0</v>
      </c>
      <c r="AD330" s="271" t="str">
        <f>INDEX('Global inputs'!$C$134:$C$171,MATCH(F330,'Global inputs'!$B$134:$B$171,0))</f>
        <v>Consumer connection</v>
      </c>
      <c r="AE330" s="272">
        <f>IF(OR(H330='Operating leases'!$B$32,H330='Operating leases'!$B$33),"",INDEX('Global inputs'!$C$186:$C$243,MATCH(E330,'Global inputs'!$B$186:$B$243,0)))</f>
        <v>0.08</v>
      </c>
    </row>
    <row r="331" spans="1:31" s="27" customFormat="1" x14ac:dyDescent="0.2">
      <c r="A331" s="250"/>
      <c r="B331" s="210" t="s">
        <v>714</v>
      </c>
      <c r="C331" s="210" t="s">
        <v>288</v>
      </c>
      <c r="D331" s="210" t="s">
        <v>223</v>
      </c>
      <c r="E331" s="210" t="s">
        <v>159</v>
      </c>
      <c r="F331" s="210" t="s">
        <v>94</v>
      </c>
      <c r="G331" s="210" t="s">
        <v>728</v>
      </c>
      <c r="H331" s="197">
        <v>0</v>
      </c>
      <c r="I331" s="210" t="s">
        <v>223</v>
      </c>
      <c r="J331" s="210">
        <v>2021</v>
      </c>
      <c r="K331" s="210">
        <v>2021</v>
      </c>
      <c r="L331" s="268" t="str">
        <f t="shared" si="75"/>
        <v>Simple</v>
      </c>
      <c r="M331" s="197">
        <v>329488.94948424026</v>
      </c>
      <c r="N331" s="197">
        <v>494233.42422636034</v>
      </c>
      <c r="O331" s="257">
        <f>IF(ISNA(MATCH(H331,'Operating leases'!$B$32:$B$43,0)),0,INDEX('Operating leases'!$M$32:$S$43,MATCH(H331,'Operating leases'!$B$32:$B$43,0),MATCH(J331,'Operating leases'!$M$11:$S$11,0)))</f>
        <v>0</v>
      </c>
      <c r="P331" s="257">
        <f t="shared" si="76"/>
        <v>329488.94948424026</v>
      </c>
      <c r="Q331" s="257">
        <f t="shared" si="77"/>
        <v>823722.37371060066</v>
      </c>
      <c r="R331" s="258">
        <f>INDEX('Escalators '!$M$124:$S$129,MATCH(I331,'Escalators '!$B$124:$B$129,0),MATCH(J331,'Escalators '!$M$113:$S$113,0))</f>
        <v>1.0239888729183189</v>
      </c>
      <c r="S331" s="257">
        <f t="shared" si="78"/>
        <v>0</v>
      </c>
      <c r="T331" s="257">
        <f t="shared" si="79"/>
        <v>506089.52703211206</v>
      </c>
      <c r="U331" s="269">
        <f t="shared" si="80"/>
        <v>337393.01802140818</v>
      </c>
      <c r="V331" s="269">
        <f t="shared" si="81"/>
        <v>843482.54505352024</v>
      </c>
      <c r="W331" s="269">
        <f t="shared" si="82"/>
        <v>337393.01802140818</v>
      </c>
      <c r="X331" s="257">
        <f t="shared" si="83"/>
        <v>843482.54505352024</v>
      </c>
      <c r="Y331" s="270">
        <f>IF(L331="Complex",(INDEX('Escalators '!$M$176:$S$176,MATCH('Forecast capex'!J331,'Escalators '!$M$178:$S$178,0))/12+1)^((K331-J331)*12)-1,0)</f>
        <v>0</v>
      </c>
      <c r="Z331" s="257">
        <f t="shared" si="84"/>
        <v>0</v>
      </c>
      <c r="AA331" s="257">
        <f t="shared" si="85"/>
        <v>0</v>
      </c>
      <c r="AB331" s="269">
        <f t="shared" si="86"/>
        <v>0</v>
      </c>
      <c r="AC331" s="269">
        <f t="shared" si="87"/>
        <v>0</v>
      </c>
      <c r="AD331" s="271" t="str">
        <f>INDEX('Global inputs'!$C$134:$C$171,MATCH(F331,'Global inputs'!$B$134:$B$171,0))</f>
        <v>Consumer connection</v>
      </c>
      <c r="AE331" s="272">
        <f>IF(OR(H331='Operating leases'!$B$32,H331='Operating leases'!$B$33),"",INDEX('Global inputs'!$C$186:$C$243,MATCH(E331,'Global inputs'!$B$186:$B$243,0)))</f>
        <v>0.08</v>
      </c>
    </row>
    <row r="332" spans="1:31" s="27" customFormat="1" x14ac:dyDescent="0.2">
      <c r="A332" s="250"/>
      <c r="B332" s="210" t="s">
        <v>714</v>
      </c>
      <c r="C332" s="210" t="s">
        <v>288</v>
      </c>
      <c r="D332" s="210" t="s">
        <v>223</v>
      </c>
      <c r="E332" s="210" t="s">
        <v>159</v>
      </c>
      <c r="F332" s="210" t="s">
        <v>94</v>
      </c>
      <c r="G332" s="210" t="s">
        <v>728</v>
      </c>
      <c r="H332" s="197">
        <v>0</v>
      </c>
      <c r="I332" s="210" t="s">
        <v>221</v>
      </c>
      <c r="J332" s="210">
        <v>2021</v>
      </c>
      <c r="K332" s="210">
        <v>2021</v>
      </c>
      <c r="L332" s="268" t="str">
        <f t="shared" si="75"/>
        <v>Simple</v>
      </c>
      <c r="M332" s="197">
        <v>494233.42422636028</v>
      </c>
      <c r="N332" s="197">
        <v>741350.13633954024</v>
      </c>
      <c r="O332" s="257">
        <f>IF(ISNA(MATCH(H332,'Operating leases'!$B$32:$B$43,0)),0,INDEX('Operating leases'!$M$32:$S$43,MATCH(H332,'Operating leases'!$B$32:$B$43,0),MATCH(J332,'Operating leases'!$M$11:$S$11,0)))</f>
        <v>0</v>
      </c>
      <c r="P332" s="257">
        <f t="shared" si="76"/>
        <v>494233.42422636028</v>
      </c>
      <c r="Q332" s="257">
        <f t="shared" si="77"/>
        <v>1235583.5605659005</v>
      </c>
      <c r="R332" s="258">
        <f>INDEX('Escalators '!$M$124:$S$129,MATCH(I332,'Escalators '!$B$124:$B$129,0),MATCH(J332,'Escalators '!$M$113:$S$113,0))</f>
        <v>1.0120900655357943</v>
      </c>
      <c r="S332" s="257">
        <f t="shared" si="78"/>
        <v>0</v>
      </c>
      <c r="T332" s="257">
        <f t="shared" si="79"/>
        <v>750313.10807285528</v>
      </c>
      <c r="U332" s="269">
        <f t="shared" si="80"/>
        <v>500208.73871523701</v>
      </c>
      <c r="V332" s="269">
        <f t="shared" si="81"/>
        <v>1250521.8467880923</v>
      </c>
      <c r="W332" s="269">
        <f t="shared" si="82"/>
        <v>500208.73871523701</v>
      </c>
      <c r="X332" s="257">
        <f t="shared" si="83"/>
        <v>1250521.8467880923</v>
      </c>
      <c r="Y332" s="270">
        <f>IF(L332="Complex",(INDEX('Escalators '!$M$176:$S$176,MATCH('Forecast capex'!J332,'Escalators '!$M$178:$S$178,0))/12+1)^((K332-J332)*12)-1,0)</f>
        <v>0</v>
      </c>
      <c r="Z332" s="257">
        <f t="shared" si="84"/>
        <v>0</v>
      </c>
      <c r="AA332" s="257">
        <f t="shared" si="85"/>
        <v>0</v>
      </c>
      <c r="AB332" s="269">
        <f t="shared" si="86"/>
        <v>0</v>
      </c>
      <c r="AC332" s="269">
        <f t="shared" si="87"/>
        <v>0</v>
      </c>
      <c r="AD332" s="271" t="str">
        <f>INDEX('Global inputs'!$C$134:$C$171,MATCH(F332,'Global inputs'!$B$134:$B$171,0))</f>
        <v>Consumer connection</v>
      </c>
      <c r="AE332" s="272">
        <f>IF(OR(H332='Operating leases'!$B$32,H332='Operating leases'!$B$33),"",INDEX('Global inputs'!$C$186:$C$243,MATCH(E332,'Global inputs'!$B$186:$B$243,0)))</f>
        <v>0.08</v>
      </c>
    </row>
    <row r="333" spans="1:31" s="27" customFormat="1" x14ac:dyDescent="0.2">
      <c r="A333" s="250"/>
      <c r="B333" s="210" t="s">
        <v>714</v>
      </c>
      <c r="C333" s="210" t="s">
        <v>287</v>
      </c>
      <c r="D333" s="210" t="s">
        <v>729</v>
      </c>
      <c r="E333" s="210" t="s">
        <v>150</v>
      </c>
      <c r="F333" s="210" t="s">
        <v>94</v>
      </c>
      <c r="G333" s="210" t="s">
        <v>731</v>
      </c>
      <c r="H333" s="197">
        <v>0</v>
      </c>
      <c r="I333" s="210" t="s">
        <v>225</v>
      </c>
      <c r="J333" s="210">
        <v>2021</v>
      </c>
      <c r="K333" s="210">
        <v>2021</v>
      </c>
      <c r="L333" s="268" t="str">
        <f t="shared" si="75"/>
        <v>Simple</v>
      </c>
      <c r="M333" s="197">
        <v>3727.581282984971</v>
      </c>
      <c r="N333" s="197">
        <v>5591.3719244774557</v>
      </c>
      <c r="O333" s="257">
        <f>IF(ISNA(MATCH(H333,'Operating leases'!$B$32:$B$43,0)),0,INDEX('Operating leases'!$M$32:$S$43,MATCH(H333,'Operating leases'!$B$32:$B$43,0),MATCH(J333,'Operating leases'!$M$11:$S$11,0)))</f>
        <v>0</v>
      </c>
      <c r="P333" s="257">
        <f t="shared" si="76"/>
        <v>3727.581282984971</v>
      </c>
      <c r="Q333" s="257">
        <f t="shared" si="77"/>
        <v>9318.9532074624258</v>
      </c>
      <c r="R333" s="258">
        <f>INDEX('Escalators '!$M$124:$S$129,MATCH(I333,'Escalators '!$B$124:$B$129,0),MATCH(J333,'Escalators '!$M$113:$S$113,0))</f>
        <v>1.023305412371134</v>
      </c>
      <c r="S333" s="257">
        <f t="shared" si="78"/>
        <v>0</v>
      </c>
      <c r="T333" s="257">
        <f t="shared" si="79"/>
        <v>5721.6811528977842</v>
      </c>
      <c r="U333" s="269">
        <f t="shared" si="80"/>
        <v>3814.4541019318558</v>
      </c>
      <c r="V333" s="269">
        <f t="shared" si="81"/>
        <v>9536.13525482964</v>
      </c>
      <c r="W333" s="269">
        <f t="shared" si="82"/>
        <v>3814.4541019318558</v>
      </c>
      <c r="X333" s="257">
        <f t="shared" si="83"/>
        <v>9536.13525482964</v>
      </c>
      <c r="Y333" s="270">
        <f>IF(L333="Complex",(INDEX('Escalators '!$M$176:$S$176,MATCH('Forecast capex'!J333,'Escalators '!$M$178:$S$178,0))/12+1)^((K333-J333)*12)-1,0)</f>
        <v>0</v>
      </c>
      <c r="Z333" s="257">
        <f t="shared" si="84"/>
        <v>0</v>
      </c>
      <c r="AA333" s="257">
        <f t="shared" si="85"/>
        <v>0</v>
      </c>
      <c r="AB333" s="269">
        <f t="shared" si="86"/>
        <v>0</v>
      </c>
      <c r="AC333" s="269">
        <f t="shared" si="87"/>
        <v>0</v>
      </c>
      <c r="AD333" s="271" t="str">
        <f>INDEX('Global inputs'!$C$134:$C$171,MATCH(F333,'Global inputs'!$B$134:$B$171,0))</f>
        <v>Consumer connection</v>
      </c>
      <c r="AE333" s="272">
        <f>IF(OR(H333='Operating leases'!$B$32,H333='Operating leases'!$B$33),"",INDEX('Global inputs'!$C$186:$C$243,MATCH(E333,'Global inputs'!$B$186:$B$243,0)))</f>
        <v>0.08</v>
      </c>
    </row>
    <row r="334" spans="1:31" s="27" customFormat="1" x14ac:dyDescent="0.2">
      <c r="A334" s="250"/>
      <c r="B334" s="210" t="s">
        <v>714</v>
      </c>
      <c r="C334" s="210" t="s">
        <v>287</v>
      </c>
      <c r="D334" s="210" t="s">
        <v>729</v>
      </c>
      <c r="E334" s="210" t="s">
        <v>150</v>
      </c>
      <c r="F334" s="210" t="s">
        <v>94</v>
      </c>
      <c r="G334" s="210" t="s">
        <v>731</v>
      </c>
      <c r="H334" s="197">
        <v>0</v>
      </c>
      <c r="I334" s="210" t="s">
        <v>221</v>
      </c>
      <c r="J334" s="210">
        <v>2021</v>
      </c>
      <c r="K334" s="210">
        <v>2021</v>
      </c>
      <c r="L334" s="268" t="str">
        <f t="shared" si="75"/>
        <v>Simple</v>
      </c>
      <c r="M334" s="197">
        <v>14910.325131939884</v>
      </c>
      <c r="N334" s="197">
        <v>22365.487697909823</v>
      </c>
      <c r="O334" s="257">
        <f>IF(ISNA(MATCH(H334,'Operating leases'!$B$32:$B$43,0)),0,INDEX('Operating leases'!$M$32:$S$43,MATCH(H334,'Operating leases'!$B$32:$B$43,0),MATCH(J334,'Operating leases'!$M$11:$S$11,0)))</f>
        <v>0</v>
      </c>
      <c r="P334" s="257">
        <f t="shared" si="76"/>
        <v>14910.325131939884</v>
      </c>
      <c r="Q334" s="257">
        <f t="shared" si="77"/>
        <v>37275.812829849703</v>
      </c>
      <c r="R334" s="258">
        <f>INDEX('Escalators '!$M$124:$S$129,MATCH(I334,'Escalators '!$B$124:$B$129,0),MATCH(J334,'Escalators '!$M$113:$S$113,0))</f>
        <v>1.0120900655357943</v>
      </c>
      <c r="S334" s="257">
        <f t="shared" si="78"/>
        <v>0</v>
      </c>
      <c r="T334" s="257">
        <f t="shared" si="79"/>
        <v>22635.887909917554</v>
      </c>
      <c r="U334" s="269">
        <f t="shared" si="80"/>
        <v>15090.591939945036</v>
      </c>
      <c r="V334" s="269">
        <f t="shared" si="81"/>
        <v>37726.47984986259</v>
      </c>
      <c r="W334" s="269">
        <f t="shared" si="82"/>
        <v>15090.591939945036</v>
      </c>
      <c r="X334" s="257">
        <f t="shared" si="83"/>
        <v>37726.47984986259</v>
      </c>
      <c r="Y334" s="270">
        <f>IF(L334="Complex",(INDEX('Escalators '!$M$176:$S$176,MATCH('Forecast capex'!J334,'Escalators '!$M$178:$S$178,0))/12+1)^((K334-J334)*12)-1,0)</f>
        <v>0</v>
      </c>
      <c r="Z334" s="257">
        <f t="shared" si="84"/>
        <v>0</v>
      </c>
      <c r="AA334" s="257">
        <f t="shared" si="85"/>
        <v>0</v>
      </c>
      <c r="AB334" s="269">
        <f t="shared" si="86"/>
        <v>0</v>
      </c>
      <c r="AC334" s="269">
        <f t="shared" si="87"/>
        <v>0</v>
      </c>
      <c r="AD334" s="271" t="str">
        <f>INDEX('Global inputs'!$C$134:$C$171,MATCH(F334,'Global inputs'!$B$134:$B$171,0))</f>
        <v>Consumer connection</v>
      </c>
      <c r="AE334" s="272">
        <f>IF(OR(H334='Operating leases'!$B$32,H334='Operating leases'!$B$33),"",INDEX('Global inputs'!$C$186:$C$243,MATCH(E334,'Global inputs'!$B$186:$B$243,0)))</f>
        <v>0.08</v>
      </c>
    </row>
    <row r="335" spans="1:31" s="27" customFormat="1" x14ac:dyDescent="0.2">
      <c r="A335" s="250"/>
      <c r="B335" s="210" t="s">
        <v>714</v>
      </c>
      <c r="C335" s="210" t="s">
        <v>287</v>
      </c>
      <c r="D335" s="210" t="s">
        <v>729</v>
      </c>
      <c r="E335" s="210" t="s">
        <v>151</v>
      </c>
      <c r="F335" s="210" t="s">
        <v>94</v>
      </c>
      <c r="G335" s="210" t="s">
        <v>731</v>
      </c>
      <c r="H335" s="197">
        <v>0</v>
      </c>
      <c r="I335" s="210" t="s">
        <v>225</v>
      </c>
      <c r="J335" s="210">
        <v>2021</v>
      </c>
      <c r="K335" s="210">
        <v>2021</v>
      </c>
      <c r="L335" s="268" t="str">
        <f t="shared" si="75"/>
        <v>Simple</v>
      </c>
      <c r="M335" s="197">
        <v>3727.581282984971</v>
      </c>
      <c r="N335" s="197">
        <v>5591.3719244774557</v>
      </c>
      <c r="O335" s="257">
        <f>IF(ISNA(MATCH(H335,'Operating leases'!$B$32:$B$43,0)),0,INDEX('Operating leases'!$M$32:$S$43,MATCH(H335,'Operating leases'!$B$32:$B$43,0),MATCH(J335,'Operating leases'!$M$11:$S$11,0)))</f>
        <v>0</v>
      </c>
      <c r="P335" s="257">
        <f t="shared" si="76"/>
        <v>3727.581282984971</v>
      </c>
      <c r="Q335" s="257">
        <f t="shared" si="77"/>
        <v>9318.9532074624258</v>
      </c>
      <c r="R335" s="258">
        <f>INDEX('Escalators '!$M$124:$S$129,MATCH(I335,'Escalators '!$B$124:$B$129,0),MATCH(J335,'Escalators '!$M$113:$S$113,0))</f>
        <v>1.023305412371134</v>
      </c>
      <c r="S335" s="257">
        <f t="shared" si="78"/>
        <v>0</v>
      </c>
      <c r="T335" s="257">
        <f t="shared" si="79"/>
        <v>5721.6811528977842</v>
      </c>
      <c r="U335" s="269">
        <f t="shared" si="80"/>
        <v>3814.4541019318558</v>
      </c>
      <c r="V335" s="269">
        <f t="shared" si="81"/>
        <v>9536.13525482964</v>
      </c>
      <c r="W335" s="269">
        <f t="shared" si="82"/>
        <v>3814.4541019318558</v>
      </c>
      <c r="X335" s="257">
        <f t="shared" si="83"/>
        <v>9536.13525482964</v>
      </c>
      <c r="Y335" s="270">
        <f>IF(L335="Complex",(INDEX('Escalators '!$M$176:$S$176,MATCH('Forecast capex'!J335,'Escalators '!$M$178:$S$178,0))/12+1)^((K335-J335)*12)-1,0)</f>
        <v>0</v>
      </c>
      <c r="Z335" s="257">
        <f t="shared" si="84"/>
        <v>0</v>
      </c>
      <c r="AA335" s="257">
        <f t="shared" si="85"/>
        <v>0</v>
      </c>
      <c r="AB335" s="269">
        <f t="shared" si="86"/>
        <v>0</v>
      </c>
      <c r="AC335" s="269">
        <f t="shared" si="87"/>
        <v>0</v>
      </c>
      <c r="AD335" s="271" t="str">
        <f>INDEX('Global inputs'!$C$134:$C$171,MATCH(F335,'Global inputs'!$B$134:$B$171,0))</f>
        <v>Consumer connection</v>
      </c>
      <c r="AE335" s="272">
        <f>IF(OR(H335='Operating leases'!$B$32,H335='Operating leases'!$B$33),"",INDEX('Global inputs'!$C$186:$C$243,MATCH(E335,'Global inputs'!$B$186:$B$243,0)))</f>
        <v>0.1</v>
      </c>
    </row>
    <row r="336" spans="1:31" s="27" customFormat="1" x14ac:dyDescent="0.2">
      <c r="A336" s="250"/>
      <c r="B336" s="210" t="s">
        <v>714</v>
      </c>
      <c r="C336" s="210" t="s">
        <v>287</v>
      </c>
      <c r="D336" s="210" t="s">
        <v>729</v>
      </c>
      <c r="E336" s="210" t="s">
        <v>151</v>
      </c>
      <c r="F336" s="210" t="s">
        <v>94</v>
      </c>
      <c r="G336" s="210" t="s">
        <v>731</v>
      </c>
      <c r="H336" s="197">
        <v>0</v>
      </c>
      <c r="I336" s="210" t="s">
        <v>221</v>
      </c>
      <c r="J336" s="210">
        <v>2021</v>
      </c>
      <c r="K336" s="210">
        <v>2021</v>
      </c>
      <c r="L336" s="268" t="str">
        <f t="shared" si="75"/>
        <v>Simple</v>
      </c>
      <c r="M336" s="197">
        <v>14910.325131939884</v>
      </c>
      <c r="N336" s="197">
        <v>22365.487697909823</v>
      </c>
      <c r="O336" s="257">
        <f>IF(ISNA(MATCH(H336,'Operating leases'!$B$32:$B$43,0)),0,INDEX('Operating leases'!$M$32:$S$43,MATCH(H336,'Operating leases'!$B$32:$B$43,0),MATCH(J336,'Operating leases'!$M$11:$S$11,0)))</f>
        <v>0</v>
      </c>
      <c r="P336" s="257">
        <f t="shared" si="76"/>
        <v>14910.325131939884</v>
      </c>
      <c r="Q336" s="257">
        <f t="shared" si="77"/>
        <v>37275.812829849703</v>
      </c>
      <c r="R336" s="258">
        <f>INDEX('Escalators '!$M$124:$S$129,MATCH(I336,'Escalators '!$B$124:$B$129,0),MATCH(J336,'Escalators '!$M$113:$S$113,0))</f>
        <v>1.0120900655357943</v>
      </c>
      <c r="S336" s="257">
        <f t="shared" si="78"/>
        <v>0</v>
      </c>
      <c r="T336" s="257">
        <f t="shared" si="79"/>
        <v>22635.887909917554</v>
      </c>
      <c r="U336" s="269">
        <f t="shared" si="80"/>
        <v>15090.591939945036</v>
      </c>
      <c r="V336" s="269">
        <f t="shared" si="81"/>
        <v>37726.47984986259</v>
      </c>
      <c r="W336" s="269">
        <f t="shared" si="82"/>
        <v>15090.591939945036</v>
      </c>
      <c r="X336" s="257">
        <f t="shared" si="83"/>
        <v>37726.47984986259</v>
      </c>
      <c r="Y336" s="270">
        <f>IF(L336="Complex",(INDEX('Escalators '!$M$176:$S$176,MATCH('Forecast capex'!J336,'Escalators '!$M$178:$S$178,0))/12+1)^((K336-J336)*12)-1,0)</f>
        <v>0</v>
      </c>
      <c r="Z336" s="257">
        <f t="shared" si="84"/>
        <v>0</v>
      </c>
      <c r="AA336" s="257">
        <f t="shared" si="85"/>
        <v>0</v>
      </c>
      <c r="AB336" s="269">
        <f t="shared" si="86"/>
        <v>0</v>
      </c>
      <c r="AC336" s="269">
        <f t="shared" si="87"/>
        <v>0</v>
      </c>
      <c r="AD336" s="271" t="str">
        <f>INDEX('Global inputs'!$C$134:$C$171,MATCH(F336,'Global inputs'!$B$134:$B$171,0))</f>
        <v>Consumer connection</v>
      </c>
      <c r="AE336" s="272">
        <f>IF(OR(H336='Operating leases'!$B$32,H336='Operating leases'!$B$33),"",INDEX('Global inputs'!$C$186:$C$243,MATCH(E336,'Global inputs'!$B$186:$B$243,0)))</f>
        <v>0.1</v>
      </c>
    </row>
    <row r="337" spans="1:31" s="27" customFormat="1" x14ac:dyDescent="0.2">
      <c r="A337" s="250"/>
      <c r="B337" s="210" t="s">
        <v>714</v>
      </c>
      <c r="C337" s="210" t="s">
        <v>287</v>
      </c>
      <c r="D337" s="210" t="s">
        <v>729</v>
      </c>
      <c r="E337" s="210" t="s">
        <v>153</v>
      </c>
      <c r="F337" s="210" t="s">
        <v>94</v>
      </c>
      <c r="G337" s="210" t="s">
        <v>737</v>
      </c>
      <c r="H337" s="197">
        <v>0</v>
      </c>
      <c r="I337" s="210" t="s">
        <v>225</v>
      </c>
      <c r="J337" s="210">
        <v>2021</v>
      </c>
      <c r="K337" s="210">
        <v>2021</v>
      </c>
      <c r="L337" s="268" t="str">
        <f t="shared" si="75"/>
        <v>Simple</v>
      </c>
      <c r="M337" s="197">
        <v>3508.3117957505619</v>
      </c>
      <c r="N337" s="197">
        <v>5262.467693625842</v>
      </c>
      <c r="O337" s="257">
        <f>IF(ISNA(MATCH(H337,'Operating leases'!$B$32:$B$43,0)),0,INDEX('Operating leases'!$M$32:$S$43,MATCH(H337,'Operating leases'!$B$32:$B$43,0),MATCH(J337,'Operating leases'!$M$11:$S$11,0)))</f>
        <v>0</v>
      </c>
      <c r="P337" s="257">
        <f t="shared" si="76"/>
        <v>3508.3117957505619</v>
      </c>
      <c r="Q337" s="257">
        <f t="shared" si="77"/>
        <v>8770.7794893764039</v>
      </c>
      <c r="R337" s="258">
        <f>INDEX('Escalators '!$M$124:$S$129,MATCH(I337,'Escalators '!$B$124:$B$129,0),MATCH(J337,'Escalators '!$M$113:$S$113,0))</f>
        <v>1.023305412371134</v>
      </c>
      <c r="S337" s="257">
        <f t="shared" si="78"/>
        <v>0</v>
      </c>
      <c r="T337" s="257">
        <f t="shared" si="79"/>
        <v>5385.1116733155632</v>
      </c>
      <c r="U337" s="269">
        <f t="shared" si="80"/>
        <v>3590.0744488770415</v>
      </c>
      <c r="V337" s="269">
        <f t="shared" si="81"/>
        <v>8975.1861221926047</v>
      </c>
      <c r="W337" s="269">
        <f t="shared" si="82"/>
        <v>3590.0744488770415</v>
      </c>
      <c r="X337" s="257">
        <f t="shared" si="83"/>
        <v>8975.1861221926047</v>
      </c>
      <c r="Y337" s="270">
        <f>IF(L337="Complex",(INDEX('Escalators '!$M$176:$S$176,MATCH('Forecast capex'!J337,'Escalators '!$M$178:$S$178,0))/12+1)^((K337-J337)*12)-1,0)</f>
        <v>0</v>
      </c>
      <c r="Z337" s="257">
        <f t="shared" si="84"/>
        <v>0</v>
      </c>
      <c r="AA337" s="257">
        <f t="shared" si="85"/>
        <v>0</v>
      </c>
      <c r="AB337" s="269">
        <f t="shared" si="86"/>
        <v>0</v>
      </c>
      <c r="AC337" s="269">
        <f t="shared" si="87"/>
        <v>0</v>
      </c>
      <c r="AD337" s="271" t="str">
        <f>INDEX('Global inputs'!$C$134:$C$171,MATCH(F337,'Global inputs'!$B$134:$B$171,0))</f>
        <v>Consumer connection</v>
      </c>
      <c r="AE337" s="272">
        <f>IF(OR(H337='Operating leases'!$B$32,H337='Operating leases'!$B$33),"",INDEX('Global inputs'!$C$186:$C$243,MATCH(E337,'Global inputs'!$B$186:$B$243,0)))</f>
        <v>0.08</v>
      </c>
    </row>
    <row r="338" spans="1:31" s="27" customFormat="1" x14ac:dyDescent="0.2">
      <c r="A338" s="250"/>
      <c r="B338" s="210" t="s">
        <v>714</v>
      </c>
      <c r="C338" s="210" t="s">
        <v>287</v>
      </c>
      <c r="D338" s="210" t="s">
        <v>729</v>
      </c>
      <c r="E338" s="210" t="s">
        <v>153</v>
      </c>
      <c r="F338" s="210" t="s">
        <v>94</v>
      </c>
      <c r="G338" s="210" t="s">
        <v>737</v>
      </c>
      <c r="H338" s="197">
        <v>0</v>
      </c>
      <c r="I338" s="210" t="s">
        <v>221</v>
      </c>
      <c r="J338" s="210">
        <v>2021</v>
      </c>
      <c r="K338" s="210">
        <v>2021</v>
      </c>
      <c r="L338" s="268" t="str">
        <f t="shared" si="75"/>
        <v>Simple</v>
      </c>
      <c r="M338" s="197">
        <v>14033.247183002248</v>
      </c>
      <c r="N338" s="197">
        <v>21049.870774503368</v>
      </c>
      <c r="O338" s="257">
        <f>IF(ISNA(MATCH(H338,'Operating leases'!$B$32:$B$43,0)),0,INDEX('Operating leases'!$M$32:$S$43,MATCH(H338,'Operating leases'!$B$32:$B$43,0),MATCH(J338,'Operating leases'!$M$11:$S$11,0)))</f>
        <v>0</v>
      </c>
      <c r="P338" s="257">
        <f t="shared" si="76"/>
        <v>14033.247183002248</v>
      </c>
      <c r="Q338" s="257">
        <f t="shared" si="77"/>
        <v>35083.117957505616</v>
      </c>
      <c r="R338" s="258">
        <f>INDEX('Escalators '!$M$124:$S$129,MATCH(I338,'Escalators '!$B$124:$B$129,0),MATCH(J338,'Escalators '!$M$113:$S$113,0))</f>
        <v>1.0120900655357943</v>
      </c>
      <c r="S338" s="257">
        <f t="shared" si="78"/>
        <v>0</v>
      </c>
      <c r="T338" s="257">
        <f t="shared" si="79"/>
        <v>21304.365091687116</v>
      </c>
      <c r="U338" s="269">
        <f t="shared" si="80"/>
        <v>14202.910061124745</v>
      </c>
      <c r="V338" s="269">
        <f t="shared" si="81"/>
        <v>35507.275152811861</v>
      </c>
      <c r="W338" s="269">
        <f t="shared" si="82"/>
        <v>14202.910061124745</v>
      </c>
      <c r="X338" s="257">
        <f t="shared" si="83"/>
        <v>35507.275152811861</v>
      </c>
      <c r="Y338" s="270">
        <f>IF(L338="Complex",(INDEX('Escalators '!$M$176:$S$176,MATCH('Forecast capex'!J338,'Escalators '!$M$178:$S$178,0))/12+1)^((K338-J338)*12)-1,0)</f>
        <v>0</v>
      </c>
      <c r="Z338" s="257">
        <f t="shared" si="84"/>
        <v>0</v>
      </c>
      <c r="AA338" s="257">
        <f t="shared" si="85"/>
        <v>0</v>
      </c>
      <c r="AB338" s="269">
        <f t="shared" si="86"/>
        <v>0</v>
      </c>
      <c r="AC338" s="269">
        <f t="shared" si="87"/>
        <v>0</v>
      </c>
      <c r="AD338" s="271" t="str">
        <f>INDEX('Global inputs'!$C$134:$C$171,MATCH(F338,'Global inputs'!$B$134:$B$171,0))</f>
        <v>Consumer connection</v>
      </c>
      <c r="AE338" s="272">
        <f>IF(OR(H338='Operating leases'!$B$32,H338='Operating leases'!$B$33),"",INDEX('Global inputs'!$C$186:$C$243,MATCH(E338,'Global inputs'!$B$186:$B$243,0)))</f>
        <v>0.08</v>
      </c>
    </row>
    <row r="339" spans="1:31" s="27" customFormat="1" x14ac:dyDescent="0.2">
      <c r="A339" s="250"/>
      <c r="B339" s="210" t="s">
        <v>714</v>
      </c>
      <c r="C339" s="210" t="s">
        <v>287</v>
      </c>
      <c r="D339" s="210" t="s">
        <v>729</v>
      </c>
      <c r="E339" s="210" t="s">
        <v>154</v>
      </c>
      <c r="F339" s="210" t="s">
        <v>94</v>
      </c>
      <c r="G339" s="210" t="s">
        <v>737</v>
      </c>
      <c r="H339" s="197">
        <v>0</v>
      </c>
      <c r="I339" s="210" t="s">
        <v>225</v>
      </c>
      <c r="J339" s="210">
        <v>2021</v>
      </c>
      <c r="K339" s="210">
        <v>2021</v>
      </c>
      <c r="L339" s="268" t="str">
        <f t="shared" si="75"/>
        <v>Simple</v>
      </c>
      <c r="M339" s="197">
        <v>3508.3117957505619</v>
      </c>
      <c r="N339" s="197">
        <v>5262.467693625842</v>
      </c>
      <c r="O339" s="257">
        <f>IF(ISNA(MATCH(H339,'Operating leases'!$B$32:$B$43,0)),0,INDEX('Operating leases'!$M$32:$S$43,MATCH(H339,'Operating leases'!$B$32:$B$43,0),MATCH(J339,'Operating leases'!$M$11:$S$11,0)))</f>
        <v>0</v>
      </c>
      <c r="P339" s="257">
        <f t="shared" si="76"/>
        <v>3508.3117957505619</v>
      </c>
      <c r="Q339" s="257">
        <f t="shared" si="77"/>
        <v>8770.7794893764039</v>
      </c>
      <c r="R339" s="258">
        <f>INDEX('Escalators '!$M$124:$S$129,MATCH(I339,'Escalators '!$B$124:$B$129,0),MATCH(J339,'Escalators '!$M$113:$S$113,0))</f>
        <v>1.023305412371134</v>
      </c>
      <c r="S339" s="257">
        <f t="shared" si="78"/>
        <v>0</v>
      </c>
      <c r="T339" s="257">
        <f t="shared" si="79"/>
        <v>5385.1116733155632</v>
      </c>
      <c r="U339" s="269">
        <f t="shared" si="80"/>
        <v>3590.0744488770415</v>
      </c>
      <c r="V339" s="269">
        <f t="shared" si="81"/>
        <v>8975.1861221926047</v>
      </c>
      <c r="W339" s="269">
        <f t="shared" si="82"/>
        <v>3590.0744488770415</v>
      </c>
      <c r="X339" s="257">
        <f t="shared" si="83"/>
        <v>8975.1861221926047</v>
      </c>
      <c r="Y339" s="270">
        <f>IF(L339="Complex",(INDEX('Escalators '!$M$176:$S$176,MATCH('Forecast capex'!J339,'Escalators '!$M$178:$S$178,0))/12+1)^((K339-J339)*12)-1,0)</f>
        <v>0</v>
      </c>
      <c r="Z339" s="257">
        <f t="shared" si="84"/>
        <v>0</v>
      </c>
      <c r="AA339" s="257">
        <f t="shared" si="85"/>
        <v>0</v>
      </c>
      <c r="AB339" s="269">
        <f t="shared" si="86"/>
        <v>0</v>
      </c>
      <c r="AC339" s="269">
        <f t="shared" si="87"/>
        <v>0</v>
      </c>
      <c r="AD339" s="271" t="str">
        <f>INDEX('Global inputs'!$C$134:$C$171,MATCH(F339,'Global inputs'!$B$134:$B$171,0))</f>
        <v>Consumer connection</v>
      </c>
      <c r="AE339" s="272">
        <f>IF(OR(H339='Operating leases'!$B$32,H339='Operating leases'!$B$33),"",INDEX('Global inputs'!$C$186:$C$243,MATCH(E339,'Global inputs'!$B$186:$B$243,0)))</f>
        <v>0.1</v>
      </c>
    </row>
    <row r="340" spans="1:31" s="27" customFormat="1" x14ac:dyDescent="0.2">
      <c r="A340" s="250"/>
      <c r="B340" s="210" t="s">
        <v>714</v>
      </c>
      <c r="C340" s="210" t="s">
        <v>287</v>
      </c>
      <c r="D340" s="210" t="s">
        <v>729</v>
      </c>
      <c r="E340" s="210" t="s">
        <v>154</v>
      </c>
      <c r="F340" s="210" t="s">
        <v>94</v>
      </c>
      <c r="G340" s="210" t="s">
        <v>737</v>
      </c>
      <c r="H340" s="197">
        <v>0</v>
      </c>
      <c r="I340" s="210" t="s">
        <v>221</v>
      </c>
      <c r="J340" s="210">
        <v>2021</v>
      </c>
      <c r="K340" s="210">
        <v>2021</v>
      </c>
      <c r="L340" s="268" t="str">
        <f t="shared" si="75"/>
        <v>Simple</v>
      </c>
      <c r="M340" s="197">
        <v>14033.247183002248</v>
      </c>
      <c r="N340" s="197">
        <v>21049.870774503368</v>
      </c>
      <c r="O340" s="257">
        <f>IF(ISNA(MATCH(H340,'Operating leases'!$B$32:$B$43,0)),0,INDEX('Operating leases'!$M$32:$S$43,MATCH(H340,'Operating leases'!$B$32:$B$43,0),MATCH(J340,'Operating leases'!$M$11:$S$11,0)))</f>
        <v>0</v>
      </c>
      <c r="P340" s="257">
        <f t="shared" si="76"/>
        <v>14033.247183002248</v>
      </c>
      <c r="Q340" s="257">
        <f t="shared" si="77"/>
        <v>35083.117957505616</v>
      </c>
      <c r="R340" s="258">
        <f>INDEX('Escalators '!$M$124:$S$129,MATCH(I340,'Escalators '!$B$124:$B$129,0),MATCH(J340,'Escalators '!$M$113:$S$113,0))</f>
        <v>1.0120900655357943</v>
      </c>
      <c r="S340" s="257">
        <f t="shared" si="78"/>
        <v>0</v>
      </c>
      <c r="T340" s="257">
        <f t="shared" si="79"/>
        <v>21304.365091687116</v>
      </c>
      <c r="U340" s="269">
        <f t="shared" si="80"/>
        <v>14202.910061124745</v>
      </c>
      <c r="V340" s="269">
        <f t="shared" si="81"/>
        <v>35507.275152811861</v>
      </c>
      <c r="W340" s="269">
        <f t="shared" si="82"/>
        <v>14202.910061124745</v>
      </c>
      <c r="X340" s="257">
        <f t="shared" si="83"/>
        <v>35507.275152811861</v>
      </c>
      <c r="Y340" s="270">
        <f>IF(L340="Complex",(INDEX('Escalators '!$M$176:$S$176,MATCH('Forecast capex'!J340,'Escalators '!$M$178:$S$178,0))/12+1)^((K340-J340)*12)-1,0)</f>
        <v>0</v>
      </c>
      <c r="Z340" s="257">
        <f t="shared" si="84"/>
        <v>0</v>
      </c>
      <c r="AA340" s="257">
        <f t="shared" si="85"/>
        <v>0</v>
      </c>
      <c r="AB340" s="269">
        <f t="shared" si="86"/>
        <v>0</v>
      </c>
      <c r="AC340" s="269">
        <f t="shared" si="87"/>
        <v>0</v>
      </c>
      <c r="AD340" s="271" t="str">
        <f>INDEX('Global inputs'!$C$134:$C$171,MATCH(F340,'Global inputs'!$B$134:$B$171,0))</f>
        <v>Consumer connection</v>
      </c>
      <c r="AE340" s="272">
        <f>IF(OR(H340='Operating leases'!$B$32,H340='Operating leases'!$B$33),"",INDEX('Global inputs'!$C$186:$C$243,MATCH(E340,'Global inputs'!$B$186:$B$243,0)))</f>
        <v>0.1</v>
      </c>
    </row>
    <row r="341" spans="1:31" s="27" customFormat="1" x14ac:dyDescent="0.2">
      <c r="A341" s="250"/>
      <c r="B341" s="210" t="s">
        <v>714</v>
      </c>
      <c r="C341" s="210" t="s">
        <v>291</v>
      </c>
      <c r="D341" s="210">
        <v>0</v>
      </c>
      <c r="E341" s="210" t="s">
        <v>176</v>
      </c>
      <c r="F341" s="210" t="s">
        <v>94</v>
      </c>
      <c r="G341" s="210" t="s">
        <v>229</v>
      </c>
      <c r="H341" s="197">
        <v>0</v>
      </c>
      <c r="I341" s="210" t="s">
        <v>229</v>
      </c>
      <c r="J341" s="210">
        <v>2021</v>
      </c>
      <c r="K341" s="210">
        <v>2021</v>
      </c>
      <c r="L341" s="268" t="str">
        <f t="shared" si="75"/>
        <v>Simple</v>
      </c>
      <c r="M341" s="197">
        <v>2192.694872344101</v>
      </c>
      <c r="N341" s="197">
        <v>3289.042308516151</v>
      </c>
      <c r="O341" s="257">
        <f>IF(ISNA(MATCH(H341,'Operating leases'!$B$32:$B$43,0)),0,INDEX('Operating leases'!$M$32:$S$43,MATCH(H341,'Operating leases'!$B$32:$B$43,0),MATCH(J341,'Operating leases'!$M$11:$S$11,0)))</f>
        <v>0</v>
      </c>
      <c r="P341" s="257">
        <f t="shared" si="76"/>
        <v>2192.694872344101</v>
      </c>
      <c r="Q341" s="257">
        <f t="shared" si="77"/>
        <v>5481.737180860252</v>
      </c>
      <c r="R341" s="258">
        <f>INDEX('Escalators '!$M$124:$S$129,MATCH(I341,'Escalators '!$B$124:$B$129,0),MATCH(J341,'Escalators '!$M$113:$S$113,0))</f>
        <v>1.0206154571717865</v>
      </c>
      <c r="S341" s="257">
        <f t="shared" si="78"/>
        <v>0</v>
      </c>
      <c r="T341" s="257">
        <f t="shared" si="79"/>
        <v>3356.8474193635593</v>
      </c>
      <c r="U341" s="269">
        <f t="shared" si="80"/>
        <v>2237.8982795757065</v>
      </c>
      <c r="V341" s="269">
        <f t="shared" si="81"/>
        <v>5594.7456989392658</v>
      </c>
      <c r="W341" s="269">
        <f t="shared" si="82"/>
        <v>2237.8982795757065</v>
      </c>
      <c r="X341" s="257">
        <f t="shared" si="83"/>
        <v>5594.7456989392658</v>
      </c>
      <c r="Y341" s="270">
        <f>IF(L341="Complex",(INDEX('Escalators '!$M$176:$S$176,MATCH('Forecast capex'!J341,'Escalators '!$M$178:$S$178,0))/12+1)^((K341-J341)*12)-1,0)</f>
        <v>0</v>
      </c>
      <c r="Z341" s="257">
        <f t="shared" si="84"/>
        <v>0</v>
      </c>
      <c r="AA341" s="257">
        <f t="shared" si="85"/>
        <v>0</v>
      </c>
      <c r="AB341" s="269">
        <f t="shared" si="86"/>
        <v>0</v>
      </c>
      <c r="AC341" s="269">
        <f t="shared" si="87"/>
        <v>0</v>
      </c>
      <c r="AD341" s="271" t="str">
        <f>INDEX('Global inputs'!$C$134:$C$171,MATCH(F341,'Global inputs'!$B$134:$B$171,0))</f>
        <v>Consumer connection</v>
      </c>
      <c r="AE341" s="272">
        <f>IF(OR(H341='Operating leases'!$B$32,H341='Operating leases'!$B$33),"",INDEX('Global inputs'!$C$186:$C$243,MATCH(E341,'Global inputs'!$B$186:$B$243,0)))</f>
        <v>0.1</v>
      </c>
    </row>
    <row r="342" spans="1:31" s="27" customFormat="1" x14ac:dyDescent="0.2">
      <c r="A342" s="250"/>
      <c r="B342" s="210" t="s">
        <v>738</v>
      </c>
      <c r="C342" s="210" t="s">
        <v>292</v>
      </c>
      <c r="D342" s="210" t="s">
        <v>739</v>
      </c>
      <c r="E342" s="210" t="s">
        <v>178</v>
      </c>
      <c r="F342" s="210" t="s">
        <v>91</v>
      </c>
      <c r="G342" s="210" t="s">
        <v>137</v>
      </c>
      <c r="H342" s="197">
        <v>0</v>
      </c>
      <c r="I342" s="210" t="s">
        <v>229</v>
      </c>
      <c r="J342" s="210">
        <v>2021</v>
      </c>
      <c r="K342" s="210">
        <v>2021</v>
      </c>
      <c r="L342" s="268" t="str">
        <f t="shared" si="75"/>
        <v>Simple</v>
      </c>
      <c r="M342" s="197">
        <v>108930.56036997354</v>
      </c>
      <c r="N342" s="197">
        <v>0</v>
      </c>
      <c r="O342" s="257">
        <f>IF(ISNA(MATCH(H342,'Operating leases'!$B$32:$B$43,0)),0,INDEX('Operating leases'!$M$32:$S$43,MATCH(H342,'Operating leases'!$B$32:$B$43,0),MATCH(J342,'Operating leases'!$M$11:$S$11,0)))</f>
        <v>0</v>
      </c>
      <c r="P342" s="257">
        <f t="shared" si="76"/>
        <v>108930.56036997354</v>
      </c>
      <c r="Q342" s="257">
        <f t="shared" si="77"/>
        <v>108930.56036997354</v>
      </c>
      <c r="R342" s="258">
        <f>INDEX('Escalators '!$M$124:$S$129,MATCH(I342,'Escalators '!$B$124:$B$129,0),MATCH(J342,'Escalators '!$M$113:$S$113,0))</f>
        <v>1.0206154571717865</v>
      </c>
      <c r="S342" s="257">
        <f t="shared" si="78"/>
        <v>0</v>
      </c>
      <c r="T342" s="257">
        <f t="shared" si="79"/>
        <v>0</v>
      </c>
      <c r="U342" s="269">
        <f t="shared" si="80"/>
        <v>111176.21367197942</v>
      </c>
      <c r="V342" s="269">
        <f t="shared" si="81"/>
        <v>111176.21367197942</v>
      </c>
      <c r="W342" s="269">
        <f t="shared" si="82"/>
        <v>111176.21367197942</v>
      </c>
      <c r="X342" s="257">
        <f t="shared" si="83"/>
        <v>111176.21367197942</v>
      </c>
      <c r="Y342" s="270">
        <f>IF(L342="Complex",(INDEX('Escalators '!$M$176:$S$176,MATCH('Forecast capex'!J342,'Escalators '!$M$178:$S$178,0))/12+1)^((K342-J342)*12)-1,0)</f>
        <v>0</v>
      </c>
      <c r="Z342" s="257">
        <f t="shared" si="84"/>
        <v>0</v>
      </c>
      <c r="AA342" s="257">
        <f t="shared" si="85"/>
        <v>0</v>
      </c>
      <c r="AB342" s="269">
        <f t="shared" si="86"/>
        <v>0</v>
      </c>
      <c r="AC342" s="269">
        <f t="shared" si="87"/>
        <v>0</v>
      </c>
      <c r="AD342" s="271" t="str">
        <f>INDEX('Global inputs'!$C$134:$C$171,MATCH(F342,'Global inputs'!$B$134:$B$171,0))</f>
        <v>Non-network CAPEX</v>
      </c>
      <c r="AE342" s="272">
        <f>IF(OR(H342='Operating leases'!$B$32,H342='Operating leases'!$B$33),"",INDEX('Global inputs'!$C$186:$C$243,MATCH(E342,'Global inputs'!$B$186:$B$243,0)))</f>
        <v>0</v>
      </c>
    </row>
    <row r="343" spans="1:31" s="27" customFormat="1" x14ac:dyDescent="0.2">
      <c r="A343" s="250"/>
      <c r="B343" s="210" t="s">
        <v>738</v>
      </c>
      <c r="C343" s="210" t="s">
        <v>292</v>
      </c>
      <c r="D343" s="210" t="s">
        <v>739</v>
      </c>
      <c r="E343" s="210" t="s">
        <v>179</v>
      </c>
      <c r="F343" s="210" t="s">
        <v>91</v>
      </c>
      <c r="G343" s="210" t="s">
        <v>740</v>
      </c>
      <c r="H343" s="197">
        <v>0</v>
      </c>
      <c r="I343" s="210" t="s">
        <v>229</v>
      </c>
      <c r="J343" s="210">
        <v>2021</v>
      </c>
      <c r="K343" s="210">
        <v>2021</v>
      </c>
      <c r="L343" s="268" t="str">
        <f t="shared" si="75"/>
        <v>Simple</v>
      </c>
      <c r="M343" s="197">
        <v>544652.80184986768</v>
      </c>
      <c r="N343" s="197">
        <v>0</v>
      </c>
      <c r="O343" s="257">
        <f>IF(ISNA(MATCH(H343,'Operating leases'!$B$32:$B$43,0)),0,INDEX('Operating leases'!$M$32:$S$43,MATCH(H343,'Operating leases'!$B$32:$B$43,0),MATCH(J343,'Operating leases'!$M$11:$S$11,0)))</f>
        <v>0</v>
      </c>
      <c r="P343" s="257">
        <f t="shared" si="76"/>
        <v>544652.80184986768</v>
      </c>
      <c r="Q343" s="257">
        <f t="shared" si="77"/>
        <v>544652.80184986768</v>
      </c>
      <c r="R343" s="258">
        <f>INDEX('Escalators '!$M$124:$S$129,MATCH(I343,'Escalators '!$B$124:$B$129,0),MATCH(J343,'Escalators '!$M$113:$S$113,0))</f>
        <v>1.0206154571717865</v>
      </c>
      <c r="S343" s="257">
        <f t="shared" si="78"/>
        <v>0</v>
      </c>
      <c r="T343" s="257">
        <f t="shared" si="79"/>
        <v>0</v>
      </c>
      <c r="U343" s="269">
        <f t="shared" si="80"/>
        <v>555881.06835989712</v>
      </c>
      <c r="V343" s="269">
        <f t="shared" si="81"/>
        <v>555881.06835989712</v>
      </c>
      <c r="W343" s="269">
        <f t="shared" si="82"/>
        <v>555881.06835989712</v>
      </c>
      <c r="X343" s="257">
        <f t="shared" si="83"/>
        <v>555881.06835989712</v>
      </c>
      <c r="Y343" s="270">
        <f>IF(L343="Complex",(INDEX('Escalators '!$M$176:$S$176,MATCH('Forecast capex'!J343,'Escalators '!$M$178:$S$178,0))/12+1)^((K343-J343)*12)-1,0)</f>
        <v>0</v>
      </c>
      <c r="Z343" s="257">
        <f t="shared" si="84"/>
        <v>0</v>
      </c>
      <c r="AA343" s="257">
        <f t="shared" si="85"/>
        <v>0</v>
      </c>
      <c r="AB343" s="269">
        <f t="shared" si="86"/>
        <v>0</v>
      </c>
      <c r="AC343" s="269">
        <f t="shared" si="87"/>
        <v>0</v>
      </c>
      <c r="AD343" s="271" t="str">
        <f>INDEX('Global inputs'!$C$134:$C$171,MATCH(F343,'Global inputs'!$B$134:$B$171,0))</f>
        <v>Non-network CAPEX</v>
      </c>
      <c r="AE343" s="272">
        <f>IF(OR(H343='Operating leases'!$B$32,H343='Operating leases'!$B$33),"",INDEX('Global inputs'!$C$186:$C$243,MATCH(E343,'Global inputs'!$B$186:$B$243,0)))</f>
        <v>0.13</v>
      </c>
    </row>
    <row r="344" spans="1:31" s="27" customFormat="1" x14ac:dyDescent="0.2">
      <c r="A344" s="250"/>
      <c r="B344" s="210" t="s">
        <v>738</v>
      </c>
      <c r="C344" s="210" t="s">
        <v>292</v>
      </c>
      <c r="D344" s="210" t="s">
        <v>739</v>
      </c>
      <c r="E344" s="210" t="s">
        <v>185</v>
      </c>
      <c r="F344" s="210" t="s">
        <v>91</v>
      </c>
      <c r="G344" s="210" t="s">
        <v>741</v>
      </c>
      <c r="H344" s="197">
        <v>0</v>
      </c>
      <c r="I344" s="210" t="s">
        <v>229</v>
      </c>
      <c r="J344" s="210">
        <v>2021</v>
      </c>
      <c r="K344" s="210">
        <v>2021</v>
      </c>
      <c r="L344" s="268" t="str">
        <f t="shared" si="75"/>
        <v>Simple</v>
      </c>
      <c r="M344" s="197">
        <v>435722.24147989415</v>
      </c>
      <c r="N344" s="197">
        <v>0</v>
      </c>
      <c r="O344" s="257">
        <f>IF(ISNA(MATCH(H344,'Operating leases'!$B$32:$B$43,0)),0,INDEX('Operating leases'!$M$32:$S$43,MATCH(H344,'Operating leases'!$B$32:$B$43,0),MATCH(J344,'Operating leases'!$M$11:$S$11,0)))</f>
        <v>0</v>
      </c>
      <c r="P344" s="257">
        <f t="shared" si="76"/>
        <v>435722.24147989415</v>
      </c>
      <c r="Q344" s="257">
        <f t="shared" si="77"/>
        <v>435722.24147989415</v>
      </c>
      <c r="R344" s="258">
        <f>INDEX('Escalators '!$M$124:$S$129,MATCH(I344,'Escalators '!$B$124:$B$129,0),MATCH(J344,'Escalators '!$M$113:$S$113,0))</f>
        <v>1.0206154571717865</v>
      </c>
      <c r="S344" s="257">
        <f t="shared" si="78"/>
        <v>0</v>
      </c>
      <c r="T344" s="257">
        <f t="shared" si="79"/>
        <v>0</v>
      </c>
      <c r="U344" s="269">
        <f t="shared" si="80"/>
        <v>444704.85468791769</v>
      </c>
      <c r="V344" s="269">
        <f t="shared" si="81"/>
        <v>444704.85468791769</v>
      </c>
      <c r="W344" s="269">
        <f t="shared" si="82"/>
        <v>444704.85468791769</v>
      </c>
      <c r="X344" s="257">
        <f t="shared" si="83"/>
        <v>444704.85468791769</v>
      </c>
      <c r="Y344" s="270">
        <f>IF(L344="Complex",(INDEX('Escalators '!$M$176:$S$176,MATCH('Forecast capex'!J344,'Escalators '!$M$178:$S$178,0))/12+1)^((K344-J344)*12)-1,0)</f>
        <v>0</v>
      </c>
      <c r="Z344" s="257">
        <f t="shared" si="84"/>
        <v>0</v>
      </c>
      <c r="AA344" s="257">
        <f t="shared" si="85"/>
        <v>0</v>
      </c>
      <c r="AB344" s="269">
        <f t="shared" si="86"/>
        <v>0</v>
      </c>
      <c r="AC344" s="269">
        <f t="shared" si="87"/>
        <v>0</v>
      </c>
      <c r="AD344" s="271" t="str">
        <f>INDEX('Global inputs'!$C$134:$C$171,MATCH(F344,'Global inputs'!$B$134:$B$171,0))</f>
        <v>Non-network CAPEX</v>
      </c>
      <c r="AE344" s="272">
        <f>IF(OR(H344='Operating leases'!$B$32,H344='Operating leases'!$B$33),"",INDEX('Global inputs'!$C$186:$C$243,MATCH(E344,'Global inputs'!$B$186:$B$243,0)))</f>
        <v>0.2</v>
      </c>
    </row>
    <row r="345" spans="1:31" s="27" customFormat="1" x14ac:dyDescent="0.2">
      <c r="A345" s="250"/>
      <c r="B345" s="210" t="s">
        <v>714</v>
      </c>
      <c r="C345" s="210" t="s">
        <v>291</v>
      </c>
      <c r="D345" s="210">
        <v>0</v>
      </c>
      <c r="E345" s="210" t="s">
        <v>176</v>
      </c>
      <c r="F345" s="210" t="s">
        <v>96</v>
      </c>
      <c r="G345" s="210" t="s">
        <v>229</v>
      </c>
      <c r="H345" s="197">
        <v>0</v>
      </c>
      <c r="I345" s="210" t="s">
        <v>229</v>
      </c>
      <c r="J345" s="210">
        <v>2021</v>
      </c>
      <c r="K345" s="210">
        <v>2021</v>
      </c>
      <c r="L345" s="268" t="str">
        <f t="shared" si="75"/>
        <v>Simple</v>
      </c>
      <c r="M345" s="197">
        <v>236453.33333333331</v>
      </c>
      <c r="N345" s="197">
        <v>0</v>
      </c>
      <c r="O345" s="257">
        <f>IF(ISNA(MATCH(H345,'Operating leases'!$B$32:$B$43,0)),0,INDEX('Operating leases'!$M$32:$S$43,MATCH(H345,'Operating leases'!$B$32:$B$43,0),MATCH(J345,'Operating leases'!$M$11:$S$11,0)))</f>
        <v>0</v>
      </c>
      <c r="P345" s="257">
        <f t="shared" si="76"/>
        <v>236453.33333333331</v>
      </c>
      <c r="Q345" s="257">
        <f t="shared" si="77"/>
        <v>236453.33333333331</v>
      </c>
      <c r="R345" s="258">
        <f>INDEX('Escalators '!$M$124:$S$129,MATCH(I345,'Escalators '!$B$124:$B$129,0),MATCH(J345,'Escalators '!$M$113:$S$113,0))</f>
        <v>1.0206154571717865</v>
      </c>
      <c r="S345" s="257">
        <f t="shared" si="78"/>
        <v>0</v>
      </c>
      <c r="T345" s="257">
        <f t="shared" si="79"/>
        <v>0</v>
      </c>
      <c r="U345" s="269">
        <f t="shared" si="80"/>
        <v>241327.9268997928</v>
      </c>
      <c r="V345" s="269">
        <f t="shared" si="81"/>
        <v>241327.9268997928</v>
      </c>
      <c r="W345" s="269">
        <f t="shared" si="82"/>
        <v>241327.9268997928</v>
      </c>
      <c r="X345" s="257">
        <f t="shared" si="83"/>
        <v>241327.9268997928</v>
      </c>
      <c r="Y345" s="270">
        <f>IF(L345="Complex",(INDEX('Escalators '!$M$176:$S$176,MATCH('Forecast capex'!J345,'Escalators '!$M$178:$S$178,0))/12+1)^((K345-J345)*12)-1,0)</f>
        <v>0</v>
      </c>
      <c r="Z345" s="257">
        <f t="shared" si="84"/>
        <v>0</v>
      </c>
      <c r="AA345" s="257">
        <f t="shared" si="85"/>
        <v>0</v>
      </c>
      <c r="AB345" s="269">
        <f t="shared" si="86"/>
        <v>0</v>
      </c>
      <c r="AC345" s="269">
        <f t="shared" si="87"/>
        <v>0</v>
      </c>
      <c r="AD345" s="271" t="str">
        <f>INDEX('Global inputs'!$C$134:$C$171,MATCH(F345,'Global inputs'!$B$134:$B$171,0))</f>
        <v>Quality of supply</v>
      </c>
      <c r="AE345" s="272">
        <f>IF(OR(H345='Operating leases'!$B$32,H345='Operating leases'!$B$33),"",INDEX('Global inputs'!$C$186:$C$243,MATCH(E345,'Global inputs'!$B$186:$B$243,0)))</f>
        <v>0.1</v>
      </c>
    </row>
    <row r="346" spans="1:31" s="27" customFormat="1" x14ac:dyDescent="0.2">
      <c r="A346" s="250"/>
      <c r="B346" s="210" t="s">
        <v>742</v>
      </c>
      <c r="C346" s="210" t="s">
        <v>289</v>
      </c>
      <c r="D346" s="210" t="s">
        <v>723</v>
      </c>
      <c r="E346" s="210" t="s">
        <v>163</v>
      </c>
      <c r="F346" s="210" t="s">
        <v>115</v>
      </c>
      <c r="G346" s="210" t="s">
        <v>725</v>
      </c>
      <c r="H346" s="197">
        <v>0</v>
      </c>
      <c r="I346" s="210" t="s">
        <v>139</v>
      </c>
      <c r="J346" s="210">
        <v>2021</v>
      </c>
      <c r="K346" s="210">
        <v>2021</v>
      </c>
      <c r="L346" s="268" t="str">
        <f t="shared" si="75"/>
        <v>Simple</v>
      </c>
      <c r="M346" s="197">
        <v>1177160</v>
      </c>
      <c r="N346" s="197">
        <v>0</v>
      </c>
      <c r="O346" s="257">
        <f>IF(ISNA(MATCH(H346,'Operating leases'!$B$32:$B$43,0)),0,INDEX('Operating leases'!$M$32:$S$43,MATCH(H346,'Operating leases'!$B$32:$B$43,0),MATCH(J346,'Operating leases'!$M$11:$S$11,0)))</f>
        <v>0</v>
      </c>
      <c r="P346" s="257">
        <f t="shared" si="76"/>
        <v>1177160</v>
      </c>
      <c r="Q346" s="257">
        <f t="shared" si="77"/>
        <v>1177160</v>
      </c>
      <c r="R346" s="258">
        <f>INDEX('Escalators '!$M$124:$S$129,MATCH(I346,'Escalators '!$B$124:$B$129,0),MATCH(J346,'Escalators '!$M$113:$S$113,0))</f>
        <v>1.005513233090898</v>
      </c>
      <c r="S346" s="257">
        <f t="shared" si="78"/>
        <v>0</v>
      </c>
      <c r="T346" s="257">
        <f t="shared" si="79"/>
        <v>0</v>
      </c>
      <c r="U346" s="269">
        <f t="shared" si="80"/>
        <v>1183649.9574652815</v>
      </c>
      <c r="V346" s="269">
        <f t="shared" si="81"/>
        <v>1183649.9574652815</v>
      </c>
      <c r="W346" s="269">
        <f t="shared" si="82"/>
        <v>1183649.9574652815</v>
      </c>
      <c r="X346" s="257">
        <f t="shared" si="83"/>
        <v>1183649.9574652815</v>
      </c>
      <c r="Y346" s="270">
        <f>IF(L346="Complex",(INDEX('Escalators '!$M$176:$S$176,MATCH('Forecast capex'!J346,'Escalators '!$M$178:$S$178,0))/12+1)^((K346-J346)*12)-1,0)</f>
        <v>0</v>
      </c>
      <c r="Z346" s="257">
        <f t="shared" si="84"/>
        <v>0</v>
      </c>
      <c r="AA346" s="257">
        <f t="shared" si="85"/>
        <v>0</v>
      </c>
      <c r="AB346" s="269">
        <f t="shared" si="86"/>
        <v>0</v>
      </c>
      <c r="AC346" s="269">
        <f t="shared" si="87"/>
        <v>0</v>
      </c>
      <c r="AD346" s="271" t="str">
        <f>INDEX('Global inputs'!$C$134:$C$171,MATCH(F346,'Global inputs'!$B$134:$B$171,0))</f>
        <v>Asset replacement and renewal</v>
      </c>
      <c r="AE346" s="272">
        <f>IF(OR(H346='Operating leases'!$B$32,H346='Operating leases'!$B$33),"",INDEX('Global inputs'!$C$186:$C$243,MATCH(E346,'Global inputs'!$B$186:$B$243,0)))</f>
        <v>0.08</v>
      </c>
    </row>
    <row r="347" spans="1:31" s="27" customFormat="1" x14ac:dyDescent="0.2">
      <c r="A347" s="250"/>
      <c r="B347" s="210" t="s">
        <v>742</v>
      </c>
      <c r="C347" s="210" t="s">
        <v>289</v>
      </c>
      <c r="D347" s="210" t="s">
        <v>723</v>
      </c>
      <c r="E347" s="210" t="s">
        <v>163</v>
      </c>
      <c r="F347" s="210" t="s">
        <v>115</v>
      </c>
      <c r="G347" s="210" t="s">
        <v>725</v>
      </c>
      <c r="H347" s="197">
        <v>0</v>
      </c>
      <c r="I347" s="210" t="s">
        <v>221</v>
      </c>
      <c r="J347" s="210">
        <v>2021</v>
      </c>
      <c r="K347" s="210">
        <v>2021</v>
      </c>
      <c r="L347" s="268" t="str">
        <f t="shared" si="75"/>
        <v>Simple</v>
      </c>
      <c r="M347" s="197">
        <v>294290</v>
      </c>
      <c r="N347" s="197">
        <v>0</v>
      </c>
      <c r="O347" s="257">
        <f>IF(ISNA(MATCH(H347,'Operating leases'!$B$32:$B$43,0)),0,INDEX('Operating leases'!$M$32:$S$43,MATCH(H347,'Operating leases'!$B$32:$B$43,0),MATCH(J347,'Operating leases'!$M$11:$S$11,0)))</f>
        <v>0</v>
      </c>
      <c r="P347" s="257">
        <f t="shared" si="76"/>
        <v>294290</v>
      </c>
      <c r="Q347" s="257">
        <f t="shared" si="77"/>
        <v>294290</v>
      </c>
      <c r="R347" s="258">
        <f>INDEX('Escalators '!$M$124:$S$129,MATCH(I347,'Escalators '!$B$124:$B$129,0),MATCH(J347,'Escalators '!$M$113:$S$113,0))</f>
        <v>1.0120900655357943</v>
      </c>
      <c r="S347" s="257">
        <f t="shared" si="78"/>
        <v>0</v>
      </c>
      <c r="T347" s="257">
        <f t="shared" si="79"/>
        <v>0</v>
      </c>
      <c r="U347" s="269">
        <f t="shared" si="80"/>
        <v>297847.98538652889</v>
      </c>
      <c r="V347" s="269">
        <f t="shared" si="81"/>
        <v>297847.98538652889</v>
      </c>
      <c r="W347" s="269">
        <f t="shared" si="82"/>
        <v>297847.98538652889</v>
      </c>
      <c r="X347" s="257">
        <f t="shared" si="83"/>
        <v>297847.98538652889</v>
      </c>
      <c r="Y347" s="270">
        <f>IF(L347="Complex",(INDEX('Escalators '!$M$176:$S$176,MATCH('Forecast capex'!J347,'Escalators '!$M$178:$S$178,0))/12+1)^((K347-J347)*12)-1,0)</f>
        <v>0</v>
      </c>
      <c r="Z347" s="257">
        <f t="shared" si="84"/>
        <v>0</v>
      </c>
      <c r="AA347" s="257">
        <f t="shared" si="85"/>
        <v>0</v>
      </c>
      <c r="AB347" s="269">
        <f t="shared" si="86"/>
        <v>0</v>
      </c>
      <c r="AC347" s="269">
        <f t="shared" si="87"/>
        <v>0</v>
      </c>
      <c r="AD347" s="271" t="str">
        <f>INDEX('Global inputs'!$C$134:$C$171,MATCH(F347,'Global inputs'!$B$134:$B$171,0))</f>
        <v>Asset replacement and renewal</v>
      </c>
      <c r="AE347" s="272">
        <f>IF(OR(H347='Operating leases'!$B$32,H347='Operating leases'!$B$33),"",INDEX('Global inputs'!$C$186:$C$243,MATCH(E347,'Global inputs'!$B$186:$B$243,0)))</f>
        <v>0.08</v>
      </c>
    </row>
    <row r="348" spans="1:31" s="27" customFormat="1" x14ac:dyDescent="0.2">
      <c r="A348" s="250"/>
      <c r="B348" s="210" t="s">
        <v>742</v>
      </c>
      <c r="C348" s="210" t="s">
        <v>284</v>
      </c>
      <c r="D348" s="210" t="s">
        <v>729</v>
      </c>
      <c r="E348" s="210" t="s">
        <v>127</v>
      </c>
      <c r="F348" s="210" t="s">
        <v>102</v>
      </c>
      <c r="G348" s="210" t="s">
        <v>730</v>
      </c>
      <c r="H348" s="197">
        <v>0</v>
      </c>
      <c r="I348" s="210" t="s">
        <v>225</v>
      </c>
      <c r="J348" s="210">
        <v>2021</v>
      </c>
      <c r="K348" s="210">
        <v>2021</v>
      </c>
      <c r="L348" s="268" t="str">
        <f t="shared" si="75"/>
        <v>Simple</v>
      </c>
      <c r="M348" s="197">
        <v>1354009.6000000001</v>
      </c>
      <c r="N348" s="197">
        <v>0</v>
      </c>
      <c r="O348" s="257">
        <f>IF(ISNA(MATCH(H348,'Operating leases'!$B$32:$B$43,0)),0,INDEX('Operating leases'!$M$32:$S$43,MATCH(H348,'Operating leases'!$B$32:$B$43,0),MATCH(J348,'Operating leases'!$M$11:$S$11,0)))</f>
        <v>0</v>
      </c>
      <c r="P348" s="257">
        <f t="shared" si="76"/>
        <v>1354009.6000000001</v>
      </c>
      <c r="Q348" s="257">
        <f t="shared" si="77"/>
        <v>1354009.6000000001</v>
      </c>
      <c r="R348" s="258">
        <f>INDEX('Escalators '!$M$124:$S$129,MATCH(I348,'Escalators '!$B$124:$B$129,0),MATCH(J348,'Escalators '!$M$113:$S$113,0))</f>
        <v>1.023305412371134</v>
      </c>
      <c r="S348" s="257">
        <f t="shared" si="78"/>
        <v>0</v>
      </c>
      <c r="T348" s="257">
        <f t="shared" si="79"/>
        <v>0</v>
      </c>
      <c r="U348" s="269">
        <f t="shared" si="80"/>
        <v>1385565.3520824744</v>
      </c>
      <c r="V348" s="269">
        <f t="shared" si="81"/>
        <v>1385565.3520824744</v>
      </c>
      <c r="W348" s="269">
        <f t="shared" si="82"/>
        <v>1385565.3520824744</v>
      </c>
      <c r="X348" s="257">
        <f t="shared" si="83"/>
        <v>1385565.3520824744</v>
      </c>
      <c r="Y348" s="270">
        <f>IF(L348="Complex",(INDEX('Escalators '!$M$176:$S$176,MATCH('Forecast capex'!J348,'Escalators '!$M$178:$S$178,0))/12+1)^((K348-J348)*12)-1,0)</f>
        <v>0</v>
      </c>
      <c r="Z348" s="257">
        <f t="shared" si="84"/>
        <v>0</v>
      </c>
      <c r="AA348" s="257">
        <f t="shared" si="85"/>
        <v>0</v>
      </c>
      <c r="AB348" s="269">
        <f t="shared" si="86"/>
        <v>0</v>
      </c>
      <c r="AC348" s="269">
        <f t="shared" si="87"/>
        <v>0</v>
      </c>
      <c r="AD348" s="271" t="str">
        <f>INDEX('Global inputs'!$C$134:$C$171,MATCH(F348,'Global inputs'!$B$134:$B$171,0))</f>
        <v>Asset replacement and renewal</v>
      </c>
      <c r="AE348" s="272">
        <f>IF(OR(H348='Operating leases'!$B$32,H348='Operating leases'!$B$33),"",INDEX('Global inputs'!$C$186:$C$243,MATCH(E348,'Global inputs'!$B$186:$B$243,0)))</f>
        <v>0.08</v>
      </c>
    </row>
    <row r="349" spans="1:31" s="27" customFormat="1" x14ac:dyDescent="0.2">
      <c r="A349" s="250"/>
      <c r="B349" s="210" t="s">
        <v>742</v>
      </c>
      <c r="C349" s="210" t="s">
        <v>284</v>
      </c>
      <c r="D349" s="210" t="s">
        <v>729</v>
      </c>
      <c r="E349" s="210" t="s">
        <v>127</v>
      </c>
      <c r="F349" s="210" t="s">
        <v>102</v>
      </c>
      <c r="G349" s="210" t="s">
        <v>730</v>
      </c>
      <c r="H349" s="197">
        <v>0</v>
      </c>
      <c r="I349" s="210" t="s">
        <v>221</v>
      </c>
      <c r="J349" s="210">
        <v>2021</v>
      </c>
      <c r="K349" s="210">
        <v>2021</v>
      </c>
      <c r="L349" s="268" t="str">
        <f t="shared" si="75"/>
        <v>Simple</v>
      </c>
      <c r="M349" s="197">
        <v>5416038.4000000004</v>
      </c>
      <c r="N349" s="197">
        <v>0</v>
      </c>
      <c r="O349" s="257">
        <f>IF(ISNA(MATCH(H349,'Operating leases'!$B$32:$B$43,0)),0,INDEX('Operating leases'!$M$32:$S$43,MATCH(H349,'Operating leases'!$B$32:$B$43,0),MATCH(J349,'Operating leases'!$M$11:$S$11,0)))</f>
        <v>0</v>
      </c>
      <c r="P349" s="257">
        <f t="shared" si="76"/>
        <v>5416038.4000000004</v>
      </c>
      <c r="Q349" s="257">
        <f t="shared" si="77"/>
        <v>5416038.4000000004</v>
      </c>
      <c r="R349" s="258">
        <f>INDEX('Escalators '!$M$124:$S$129,MATCH(I349,'Escalators '!$B$124:$B$129,0),MATCH(J349,'Escalators '!$M$113:$S$113,0))</f>
        <v>1.0120900655357943</v>
      </c>
      <c r="S349" s="257">
        <f t="shared" si="78"/>
        <v>0</v>
      </c>
      <c r="T349" s="257">
        <f t="shared" si="79"/>
        <v>0</v>
      </c>
      <c r="U349" s="269">
        <f t="shared" si="80"/>
        <v>5481518.6592003787</v>
      </c>
      <c r="V349" s="269">
        <f t="shared" si="81"/>
        <v>5481518.6592003787</v>
      </c>
      <c r="W349" s="269">
        <f t="shared" si="82"/>
        <v>5481518.6592003787</v>
      </c>
      <c r="X349" s="257">
        <f t="shared" si="83"/>
        <v>5481518.6592003787</v>
      </c>
      <c r="Y349" s="270">
        <f>IF(L349="Complex",(INDEX('Escalators '!$M$176:$S$176,MATCH('Forecast capex'!J349,'Escalators '!$M$178:$S$178,0))/12+1)^((K349-J349)*12)-1,0)</f>
        <v>0</v>
      </c>
      <c r="Z349" s="257">
        <f t="shared" si="84"/>
        <v>0</v>
      </c>
      <c r="AA349" s="257">
        <f t="shared" si="85"/>
        <v>0</v>
      </c>
      <c r="AB349" s="269">
        <f t="shared" si="86"/>
        <v>0</v>
      </c>
      <c r="AC349" s="269">
        <f t="shared" si="87"/>
        <v>0</v>
      </c>
      <c r="AD349" s="271" t="str">
        <f>INDEX('Global inputs'!$C$134:$C$171,MATCH(F349,'Global inputs'!$B$134:$B$171,0))</f>
        <v>Asset replacement and renewal</v>
      </c>
      <c r="AE349" s="272">
        <f>IF(OR(H349='Operating leases'!$B$32,H349='Operating leases'!$B$33),"",INDEX('Global inputs'!$C$186:$C$243,MATCH(E349,'Global inputs'!$B$186:$B$243,0)))</f>
        <v>0.08</v>
      </c>
    </row>
    <row r="350" spans="1:31" s="27" customFormat="1" x14ac:dyDescent="0.2">
      <c r="A350" s="250"/>
      <c r="B350" s="210" t="s">
        <v>742</v>
      </c>
      <c r="C350" s="210" t="s">
        <v>286</v>
      </c>
      <c r="D350" s="210" t="s">
        <v>735</v>
      </c>
      <c r="E350" s="210" t="s">
        <v>147</v>
      </c>
      <c r="F350" s="210" t="s">
        <v>118</v>
      </c>
      <c r="G350" s="210" t="s">
        <v>744</v>
      </c>
      <c r="H350" s="197">
        <v>0</v>
      </c>
      <c r="I350" s="210" t="s">
        <v>229</v>
      </c>
      <c r="J350" s="210">
        <v>2021</v>
      </c>
      <c r="K350" s="210">
        <v>2021</v>
      </c>
      <c r="L350" s="268" t="str">
        <f t="shared" si="75"/>
        <v>Simple</v>
      </c>
      <c r="M350" s="197">
        <v>135765.6</v>
      </c>
      <c r="N350" s="197">
        <v>0</v>
      </c>
      <c r="O350" s="257">
        <f>IF(ISNA(MATCH(H350,'Operating leases'!$B$32:$B$43,0)),0,INDEX('Operating leases'!$M$32:$S$43,MATCH(H350,'Operating leases'!$B$32:$B$43,0),MATCH(J350,'Operating leases'!$M$11:$S$11,0)))</f>
        <v>0</v>
      </c>
      <c r="P350" s="257">
        <f t="shared" si="76"/>
        <v>135765.6</v>
      </c>
      <c r="Q350" s="257">
        <f t="shared" si="77"/>
        <v>135765.6</v>
      </c>
      <c r="R350" s="258">
        <f>INDEX('Escalators '!$M$124:$S$129,MATCH(I350,'Escalators '!$B$124:$B$129,0),MATCH(J350,'Escalators '!$M$113:$S$113,0))</f>
        <v>1.0206154571717865</v>
      </c>
      <c r="S350" s="257">
        <f t="shared" si="78"/>
        <v>0</v>
      </c>
      <c r="T350" s="257">
        <f t="shared" si="79"/>
        <v>0</v>
      </c>
      <c r="U350" s="269">
        <f t="shared" si="80"/>
        <v>138564.46991220189</v>
      </c>
      <c r="V350" s="269">
        <f t="shared" si="81"/>
        <v>138564.46991220189</v>
      </c>
      <c r="W350" s="269">
        <f t="shared" si="82"/>
        <v>138564.46991220189</v>
      </c>
      <c r="X350" s="257">
        <f t="shared" si="83"/>
        <v>138564.46991220189</v>
      </c>
      <c r="Y350" s="270">
        <f>IF(L350="Complex",(INDEX('Escalators '!$M$176:$S$176,MATCH('Forecast capex'!J350,'Escalators '!$M$178:$S$178,0))/12+1)^((K350-J350)*12)-1,0)</f>
        <v>0</v>
      </c>
      <c r="Z350" s="257">
        <f t="shared" si="84"/>
        <v>0</v>
      </c>
      <c r="AA350" s="257">
        <f t="shared" si="85"/>
        <v>0</v>
      </c>
      <c r="AB350" s="269">
        <f t="shared" si="86"/>
        <v>0</v>
      </c>
      <c r="AC350" s="269">
        <f t="shared" si="87"/>
        <v>0</v>
      </c>
      <c r="AD350" s="271" t="str">
        <f>INDEX('Global inputs'!$C$134:$C$171,MATCH(F350,'Global inputs'!$B$134:$B$171,0))</f>
        <v>Asset replacement and renewal</v>
      </c>
      <c r="AE350" s="272">
        <f>IF(OR(H350='Operating leases'!$B$32,H350='Operating leases'!$B$33),"",INDEX('Global inputs'!$C$186:$C$243,MATCH(E350,'Global inputs'!$B$186:$B$243,0)))</f>
        <v>0.08</v>
      </c>
    </row>
    <row r="351" spans="1:31" s="27" customFormat="1" x14ac:dyDescent="0.2">
      <c r="A351" s="250"/>
      <c r="B351" s="210" t="s">
        <v>742</v>
      </c>
      <c r="C351" s="210" t="s">
        <v>286</v>
      </c>
      <c r="D351" s="210" t="s">
        <v>735</v>
      </c>
      <c r="E351" s="210" t="s">
        <v>147</v>
      </c>
      <c r="F351" s="210" t="s">
        <v>118</v>
      </c>
      <c r="G351" s="210" t="s">
        <v>744</v>
      </c>
      <c r="H351" s="197">
        <v>0</v>
      </c>
      <c r="I351" s="210" t="s">
        <v>221</v>
      </c>
      <c r="J351" s="210">
        <v>2021</v>
      </c>
      <c r="K351" s="210">
        <v>2021</v>
      </c>
      <c r="L351" s="268" t="str">
        <f t="shared" si="75"/>
        <v>Simple</v>
      </c>
      <c r="M351" s="197">
        <v>543062.4</v>
      </c>
      <c r="N351" s="197">
        <v>0</v>
      </c>
      <c r="O351" s="257">
        <f>IF(ISNA(MATCH(H351,'Operating leases'!$B$32:$B$43,0)),0,INDEX('Operating leases'!$M$32:$S$43,MATCH(H351,'Operating leases'!$B$32:$B$43,0),MATCH(J351,'Operating leases'!$M$11:$S$11,0)))</f>
        <v>0</v>
      </c>
      <c r="P351" s="257">
        <f t="shared" si="76"/>
        <v>543062.4</v>
      </c>
      <c r="Q351" s="257">
        <f t="shared" si="77"/>
        <v>543062.4</v>
      </c>
      <c r="R351" s="258">
        <f>INDEX('Escalators '!$M$124:$S$129,MATCH(I351,'Escalators '!$B$124:$B$129,0),MATCH(J351,'Escalators '!$M$113:$S$113,0))</f>
        <v>1.0120900655357943</v>
      </c>
      <c r="S351" s="257">
        <f t="shared" si="78"/>
        <v>0</v>
      </c>
      <c r="T351" s="257">
        <f t="shared" si="79"/>
        <v>0</v>
      </c>
      <c r="U351" s="269">
        <f t="shared" si="80"/>
        <v>549628.06000602571</v>
      </c>
      <c r="V351" s="269">
        <f t="shared" si="81"/>
        <v>549628.06000602571</v>
      </c>
      <c r="W351" s="269">
        <f t="shared" si="82"/>
        <v>549628.06000602571</v>
      </c>
      <c r="X351" s="257">
        <f t="shared" si="83"/>
        <v>549628.06000602571</v>
      </c>
      <c r="Y351" s="270">
        <f>IF(L351="Complex",(INDEX('Escalators '!$M$176:$S$176,MATCH('Forecast capex'!J351,'Escalators '!$M$178:$S$178,0))/12+1)^((K351-J351)*12)-1,0)</f>
        <v>0</v>
      </c>
      <c r="Z351" s="257">
        <f t="shared" si="84"/>
        <v>0</v>
      </c>
      <c r="AA351" s="257">
        <f t="shared" si="85"/>
        <v>0</v>
      </c>
      <c r="AB351" s="269">
        <f t="shared" si="86"/>
        <v>0</v>
      </c>
      <c r="AC351" s="269">
        <f t="shared" si="87"/>
        <v>0</v>
      </c>
      <c r="AD351" s="271" t="str">
        <f>INDEX('Global inputs'!$C$134:$C$171,MATCH(F351,'Global inputs'!$B$134:$B$171,0))</f>
        <v>Asset replacement and renewal</v>
      </c>
      <c r="AE351" s="272">
        <f>IF(OR(H351='Operating leases'!$B$32,H351='Operating leases'!$B$33),"",INDEX('Global inputs'!$C$186:$C$243,MATCH(E351,'Global inputs'!$B$186:$B$243,0)))</f>
        <v>0.08</v>
      </c>
    </row>
    <row r="352" spans="1:31" s="27" customFormat="1" x14ac:dyDescent="0.2">
      <c r="A352" s="250"/>
      <c r="B352" s="210" t="s">
        <v>742</v>
      </c>
      <c r="C352" s="210" t="s">
        <v>289</v>
      </c>
      <c r="D352" s="210" t="s">
        <v>723</v>
      </c>
      <c r="E352" s="210" t="s">
        <v>163</v>
      </c>
      <c r="F352" s="210" t="s">
        <v>106</v>
      </c>
      <c r="G352" s="210" t="s">
        <v>725</v>
      </c>
      <c r="H352" s="197">
        <v>0</v>
      </c>
      <c r="I352" s="210" t="s">
        <v>139</v>
      </c>
      <c r="J352" s="210">
        <v>2021</v>
      </c>
      <c r="K352" s="210">
        <v>2021</v>
      </c>
      <c r="L352" s="268" t="str">
        <f t="shared" si="75"/>
        <v>Simple</v>
      </c>
      <c r="M352" s="197">
        <v>680400</v>
      </c>
      <c r="N352" s="197">
        <v>0</v>
      </c>
      <c r="O352" s="257">
        <f>IF(ISNA(MATCH(H352,'Operating leases'!$B$32:$B$43,0)),0,INDEX('Operating leases'!$M$32:$S$43,MATCH(H352,'Operating leases'!$B$32:$B$43,0),MATCH(J352,'Operating leases'!$M$11:$S$11,0)))</f>
        <v>0</v>
      </c>
      <c r="P352" s="257">
        <f t="shared" si="76"/>
        <v>680400</v>
      </c>
      <c r="Q352" s="257">
        <f t="shared" si="77"/>
        <v>680400</v>
      </c>
      <c r="R352" s="258">
        <f>INDEX('Escalators '!$M$124:$S$129,MATCH(I352,'Escalators '!$B$124:$B$129,0),MATCH(J352,'Escalators '!$M$113:$S$113,0))</f>
        <v>1.005513233090898</v>
      </c>
      <c r="S352" s="257">
        <f t="shared" si="78"/>
        <v>0</v>
      </c>
      <c r="T352" s="257">
        <f t="shared" si="79"/>
        <v>0</v>
      </c>
      <c r="U352" s="269">
        <f t="shared" si="80"/>
        <v>684151.20379504701</v>
      </c>
      <c r="V352" s="269">
        <f t="shared" si="81"/>
        <v>684151.20379504701</v>
      </c>
      <c r="W352" s="269">
        <f t="shared" si="82"/>
        <v>684151.20379504701</v>
      </c>
      <c r="X352" s="257">
        <f t="shared" si="83"/>
        <v>684151.20379504701</v>
      </c>
      <c r="Y352" s="270">
        <f>IF(L352="Complex",(INDEX('Escalators '!$M$176:$S$176,MATCH('Forecast capex'!J352,'Escalators '!$M$178:$S$178,0))/12+1)^((K352-J352)*12)-1,0)</f>
        <v>0</v>
      </c>
      <c r="Z352" s="257">
        <f t="shared" si="84"/>
        <v>0</v>
      </c>
      <c r="AA352" s="257">
        <f t="shared" si="85"/>
        <v>0</v>
      </c>
      <c r="AB352" s="269">
        <f t="shared" si="86"/>
        <v>0</v>
      </c>
      <c r="AC352" s="269">
        <f t="shared" si="87"/>
        <v>0</v>
      </c>
      <c r="AD352" s="271" t="str">
        <f>INDEX('Global inputs'!$C$134:$C$171,MATCH(F352,'Global inputs'!$B$134:$B$171,0))</f>
        <v>Asset replacement and renewal</v>
      </c>
      <c r="AE352" s="272">
        <f>IF(OR(H352='Operating leases'!$B$32,H352='Operating leases'!$B$33),"",INDEX('Global inputs'!$C$186:$C$243,MATCH(E352,'Global inputs'!$B$186:$B$243,0)))</f>
        <v>0.08</v>
      </c>
    </row>
    <row r="353" spans="1:31" s="27" customFormat="1" x14ac:dyDescent="0.2">
      <c r="A353" s="250"/>
      <c r="B353" s="210" t="s">
        <v>742</v>
      </c>
      <c r="C353" s="210" t="s">
        <v>289</v>
      </c>
      <c r="D353" s="210" t="s">
        <v>723</v>
      </c>
      <c r="E353" s="210" t="s">
        <v>163</v>
      </c>
      <c r="F353" s="210" t="s">
        <v>106</v>
      </c>
      <c r="G353" s="210" t="s">
        <v>725</v>
      </c>
      <c r="H353" s="197">
        <v>0</v>
      </c>
      <c r="I353" s="210" t="s">
        <v>221</v>
      </c>
      <c r="J353" s="210">
        <v>2021</v>
      </c>
      <c r="K353" s="210">
        <v>2021</v>
      </c>
      <c r="L353" s="268" t="str">
        <f t="shared" si="75"/>
        <v>Simple</v>
      </c>
      <c r="M353" s="197">
        <v>170100</v>
      </c>
      <c r="N353" s="197">
        <v>0</v>
      </c>
      <c r="O353" s="257">
        <f>IF(ISNA(MATCH(H353,'Operating leases'!$B$32:$B$43,0)),0,INDEX('Operating leases'!$M$32:$S$43,MATCH(H353,'Operating leases'!$B$32:$B$43,0),MATCH(J353,'Operating leases'!$M$11:$S$11,0)))</f>
        <v>0</v>
      </c>
      <c r="P353" s="257">
        <f t="shared" si="76"/>
        <v>170100</v>
      </c>
      <c r="Q353" s="257">
        <f t="shared" si="77"/>
        <v>170100</v>
      </c>
      <c r="R353" s="258">
        <f>INDEX('Escalators '!$M$124:$S$129,MATCH(I353,'Escalators '!$B$124:$B$129,0),MATCH(J353,'Escalators '!$M$113:$S$113,0))</f>
        <v>1.0120900655357943</v>
      </c>
      <c r="S353" s="257">
        <f t="shared" si="78"/>
        <v>0</v>
      </c>
      <c r="T353" s="257">
        <f t="shared" si="79"/>
        <v>0</v>
      </c>
      <c r="U353" s="269">
        <f t="shared" si="80"/>
        <v>172156.5201476386</v>
      </c>
      <c r="V353" s="269">
        <f t="shared" si="81"/>
        <v>172156.5201476386</v>
      </c>
      <c r="W353" s="269">
        <f t="shared" si="82"/>
        <v>172156.5201476386</v>
      </c>
      <c r="X353" s="257">
        <f t="shared" si="83"/>
        <v>172156.5201476386</v>
      </c>
      <c r="Y353" s="270">
        <f>IF(L353="Complex",(INDEX('Escalators '!$M$176:$S$176,MATCH('Forecast capex'!J353,'Escalators '!$M$178:$S$178,0))/12+1)^((K353-J353)*12)-1,0)</f>
        <v>0</v>
      </c>
      <c r="Z353" s="257">
        <f t="shared" si="84"/>
        <v>0</v>
      </c>
      <c r="AA353" s="257">
        <f t="shared" si="85"/>
        <v>0</v>
      </c>
      <c r="AB353" s="269">
        <f t="shared" si="86"/>
        <v>0</v>
      </c>
      <c r="AC353" s="269">
        <f t="shared" si="87"/>
        <v>0</v>
      </c>
      <c r="AD353" s="271" t="str">
        <f>INDEX('Global inputs'!$C$134:$C$171,MATCH(F353,'Global inputs'!$B$134:$B$171,0))</f>
        <v>Asset replacement and renewal</v>
      </c>
      <c r="AE353" s="272">
        <f>IF(OR(H353='Operating leases'!$B$32,H353='Operating leases'!$B$33),"",INDEX('Global inputs'!$C$186:$C$243,MATCH(E353,'Global inputs'!$B$186:$B$243,0)))</f>
        <v>0.08</v>
      </c>
    </row>
    <row r="354" spans="1:31" s="27" customFormat="1" x14ac:dyDescent="0.2">
      <c r="A354" s="250"/>
      <c r="B354" s="210" t="s">
        <v>742</v>
      </c>
      <c r="C354" s="210" t="s">
        <v>289</v>
      </c>
      <c r="D354" s="210" t="s">
        <v>723</v>
      </c>
      <c r="E354" s="210" t="s">
        <v>164</v>
      </c>
      <c r="F354" s="210" t="s">
        <v>114</v>
      </c>
      <c r="G354" s="210" t="s">
        <v>724</v>
      </c>
      <c r="H354" s="197">
        <v>0</v>
      </c>
      <c r="I354" s="210" t="s">
        <v>139</v>
      </c>
      <c r="J354" s="210">
        <v>2021</v>
      </c>
      <c r="K354" s="210">
        <v>2021</v>
      </c>
      <c r="L354" s="268" t="str">
        <f t="shared" si="75"/>
        <v>Simple</v>
      </c>
      <c r="M354" s="197">
        <v>174080</v>
      </c>
      <c r="N354" s="197">
        <v>0</v>
      </c>
      <c r="O354" s="257">
        <f>IF(ISNA(MATCH(H354,'Operating leases'!$B$32:$B$43,0)),0,INDEX('Operating leases'!$M$32:$S$43,MATCH(H354,'Operating leases'!$B$32:$B$43,0),MATCH(J354,'Operating leases'!$M$11:$S$11,0)))</f>
        <v>0</v>
      </c>
      <c r="P354" s="257">
        <f t="shared" si="76"/>
        <v>174080</v>
      </c>
      <c r="Q354" s="257">
        <f t="shared" si="77"/>
        <v>174080</v>
      </c>
      <c r="R354" s="258">
        <f>INDEX('Escalators '!$M$124:$S$129,MATCH(I354,'Escalators '!$B$124:$B$129,0),MATCH(J354,'Escalators '!$M$113:$S$113,0))</f>
        <v>1.005513233090898</v>
      </c>
      <c r="S354" s="257">
        <f t="shared" si="78"/>
        <v>0</v>
      </c>
      <c r="T354" s="257">
        <f t="shared" si="79"/>
        <v>0</v>
      </c>
      <c r="U354" s="269">
        <f t="shared" si="80"/>
        <v>175039.74361646353</v>
      </c>
      <c r="V354" s="269">
        <f t="shared" si="81"/>
        <v>175039.74361646353</v>
      </c>
      <c r="W354" s="269">
        <f t="shared" si="82"/>
        <v>175039.74361646353</v>
      </c>
      <c r="X354" s="257">
        <f t="shared" si="83"/>
        <v>175039.74361646353</v>
      </c>
      <c r="Y354" s="270">
        <f>IF(L354="Complex",(INDEX('Escalators '!$M$176:$S$176,MATCH('Forecast capex'!J354,'Escalators '!$M$178:$S$178,0))/12+1)^((K354-J354)*12)-1,0)</f>
        <v>0</v>
      </c>
      <c r="Z354" s="257">
        <f t="shared" si="84"/>
        <v>0</v>
      </c>
      <c r="AA354" s="257">
        <f t="shared" si="85"/>
        <v>0</v>
      </c>
      <c r="AB354" s="269">
        <f t="shared" si="86"/>
        <v>0</v>
      </c>
      <c r="AC354" s="269">
        <f t="shared" si="87"/>
        <v>0</v>
      </c>
      <c r="AD354" s="271" t="str">
        <f>INDEX('Global inputs'!$C$134:$C$171,MATCH(F354,'Global inputs'!$B$134:$B$171,0))</f>
        <v>Asset replacement and renewal</v>
      </c>
      <c r="AE354" s="272">
        <f>IF(OR(H354='Operating leases'!$B$32,H354='Operating leases'!$B$33),"",INDEX('Global inputs'!$C$186:$C$243,MATCH(E354,'Global inputs'!$B$186:$B$243,0)))</f>
        <v>0.08</v>
      </c>
    </row>
    <row r="355" spans="1:31" s="27" customFormat="1" x14ac:dyDescent="0.2">
      <c r="A355" s="250"/>
      <c r="B355" s="210" t="s">
        <v>742</v>
      </c>
      <c r="C355" s="210" t="s">
        <v>289</v>
      </c>
      <c r="D355" s="210" t="s">
        <v>723</v>
      </c>
      <c r="E355" s="210" t="s">
        <v>164</v>
      </c>
      <c r="F355" s="210" t="s">
        <v>114</v>
      </c>
      <c r="G355" s="210" t="s">
        <v>724</v>
      </c>
      <c r="H355" s="197">
        <v>0</v>
      </c>
      <c r="I355" s="210" t="s">
        <v>221</v>
      </c>
      <c r="J355" s="210">
        <v>2021</v>
      </c>
      <c r="K355" s="210">
        <v>2021</v>
      </c>
      <c r="L355" s="268" t="str">
        <f t="shared" si="75"/>
        <v>Simple</v>
      </c>
      <c r="M355" s="197">
        <v>43520</v>
      </c>
      <c r="N355" s="197">
        <v>0</v>
      </c>
      <c r="O355" s="257">
        <f>IF(ISNA(MATCH(H355,'Operating leases'!$B$32:$B$43,0)),0,INDEX('Operating leases'!$M$32:$S$43,MATCH(H355,'Operating leases'!$B$32:$B$43,0),MATCH(J355,'Operating leases'!$M$11:$S$11,0)))</f>
        <v>0</v>
      </c>
      <c r="P355" s="257">
        <f t="shared" si="76"/>
        <v>43520</v>
      </c>
      <c r="Q355" s="257">
        <f t="shared" si="77"/>
        <v>43520</v>
      </c>
      <c r="R355" s="258">
        <f>INDEX('Escalators '!$M$124:$S$129,MATCH(I355,'Escalators '!$B$124:$B$129,0),MATCH(J355,'Escalators '!$M$113:$S$113,0))</f>
        <v>1.0120900655357943</v>
      </c>
      <c r="S355" s="257">
        <f t="shared" si="78"/>
        <v>0</v>
      </c>
      <c r="T355" s="257">
        <f t="shared" si="79"/>
        <v>0</v>
      </c>
      <c r="U355" s="269">
        <f t="shared" si="80"/>
        <v>44046.159652117771</v>
      </c>
      <c r="V355" s="269">
        <f t="shared" si="81"/>
        <v>44046.159652117771</v>
      </c>
      <c r="W355" s="269">
        <f t="shared" si="82"/>
        <v>44046.159652117771</v>
      </c>
      <c r="X355" s="257">
        <f t="shared" si="83"/>
        <v>44046.159652117771</v>
      </c>
      <c r="Y355" s="270">
        <f>IF(L355="Complex",(INDEX('Escalators '!$M$176:$S$176,MATCH('Forecast capex'!J355,'Escalators '!$M$178:$S$178,0))/12+1)^((K355-J355)*12)-1,0)</f>
        <v>0</v>
      </c>
      <c r="Z355" s="257">
        <f t="shared" si="84"/>
        <v>0</v>
      </c>
      <c r="AA355" s="257">
        <f t="shared" si="85"/>
        <v>0</v>
      </c>
      <c r="AB355" s="269">
        <f t="shared" si="86"/>
        <v>0</v>
      </c>
      <c r="AC355" s="269">
        <f t="shared" si="87"/>
        <v>0</v>
      </c>
      <c r="AD355" s="271" t="str">
        <f>INDEX('Global inputs'!$C$134:$C$171,MATCH(F355,'Global inputs'!$B$134:$B$171,0))</f>
        <v>Asset replacement and renewal</v>
      </c>
      <c r="AE355" s="272">
        <f>IF(OR(H355='Operating leases'!$B$32,H355='Operating leases'!$B$33),"",INDEX('Global inputs'!$C$186:$C$243,MATCH(E355,'Global inputs'!$B$186:$B$243,0)))</f>
        <v>0.08</v>
      </c>
    </row>
    <row r="356" spans="1:31" s="27" customFormat="1" x14ac:dyDescent="0.2">
      <c r="A356" s="250"/>
      <c r="B356" s="210" t="s">
        <v>742</v>
      </c>
      <c r="C356" s="210" t="s">
        <v>290</v>
      </c>
      <c r="D356" s="210" t="s">
        <v>718</v>
      </c>
      <c r="E356" s="210" t="s">
        <v>170</v>
      </c>
      <c r="F356" s="210" t="s">
        <v>110</v>
      </c>
      <c r="G356" s="210" t="s">
        <v>721</v>
      </c>
      <c r="H356" s="197">
        <v>0</v>
      </c>
      <c r="I356" s="210" t="s">
        <v>229</v>
      </c>
      <c r="J356" s="210">
        <v>2021</v>
      </c>
      <c r="K356" s="210">
        <v>2021</v>
      </c>
      <c r="L356" s="268" t="str">
        <f t="shared" si="75"/>
        <v>Simple</v>
      </c>
      <c r="M356" s="197">
        <v>107500</v>
      </c>
      <c r="N356" s="197">
        <v>0</v>
      </c>
      <c r="O356" s="257">
        <f>IF(ISNA(MATCH(H356,'Operating leases'!$B$32:$B$43,0)),0,INDEX('Operating leases'!$M$32:$S$43,MATCH(H356,'Operating leases'!$B$32:$B$43,0),MATCH(J356,'Operating leases'!$M$11:$S$11,0)))</f>
        <v>0</v>
      </c>
      <c r="P356" s="257">
        <f t="shared" si="76"/>
        <v>107500</v>
      </c>
      <c r="Q356" s="257">
        <f t="shared" si="77"/>
        <v>107500</v>
      </c>
      <c r="R356" s="258">
        <f>INDEX('Escalators '!$M$124:$S$129,MATCH(I356,'Escalators '!$B$124:$B$129,0),MATCH(J356,'Escalators '!$M$113:$S$113,0))</f>
        <v>1.0206154571717865</v>
      </c>
      <c r="S356" s="257">
        <f t="shared" si="78"/>
        <v>0</v>
      </c>
      <c r="T356" s="257">
        <f t="shared" si="79"/>
        <v>0</v>
      </c>
      <c r="U356" s="269">
        <f t="shared" si="80"/>
        <v>109716.16164596705</v>
      </c>
      <c r="V356" s="269">
        <f t="shared" si="81"/>
        <v>109716.16164596705</v>
      </c>
      <c r="W356" s="269">
        <f t="shared" si="82"/>
        <v>109716.16164596705</v>
      </c>
      <c r="X356" s="257">
        <f t="shared" si="83"/>
        <v>109716.16164596705</v>
      </c>
      <c r="Y356" s="270">
        <f>IF(L356="Complex",(INDEX('Escalators '!$M$176:$S$176,MATCH('Forecast capex'!J356,'Escalators '!$M$178:$S$178,0))/12+1)^((K356-J356)*12)-1,0)</f>
        <v>0</v>
      </c>
      <c r="Z356" s="257">
        <f t="shared" si="84"/>
        <v>0</v>
      </c>
      <c r="AA356" s="257">
        <f t="shared" si="85"/>
        <v>0</v>
      </c>
      <c r="AB356" s="269">
        <f t="shared" si="86"/>
        <v>0</v>
      </c>
      <c r="AC356" s="269">
        <f t="shared" si="87"/>
        <v>0</v>
      </c>
      <c r="AD356" s="271" t="str">
        <f>INDEX('Global inputs'!$C$134:$C$171,MATCH(F356,'Global inputs'!$B$134:$B$171,0))</f>
        <v>Asset replacement and renewal</v>
      </c>
      <c r="AE356" s="272">
        <f>IF(OR(H356='Operating leases'!$B$32,H356='Operating leases'!$B$33),"",INDEX('Global inputs'!$C$186:$C$243,MATCH(E356,'Global inputs'!$B$186:$B$243,0)))</f>
        <v>0.08</v>
      </c>
    </row>
    <row r="357" spans="1:31" s="27" customFormat="1" x14ac:dyDescent="0.2">
      <c r="A357" s="250"/>
      <c r="B357" s="210" t="s">
        <v>742</v>
      </c>
      <c r="C357" s="210" t="s">
        <v>290</v>
      </c>
      <c r="D357" s="210" t="s">
        <v>718</v>
      </c>
      <c r="E357" s="210" t="s">
        <v>170</v>
      </c>
      <c r="F357" s="210" t="s">
        <v>110</v>
      </c>
      <c r="G357" s="210" t="s">
        <v>721</v>
      </c>
      <c r="H357" s="197">
        <v>0</v>
      </c>
      <c r="I357" s="210" t="s">
        <v>221</v>
      </c>
      <c r="J357" s="210">
        <v>2021</v>
      </c>
      <c r="K357" s="210">
        <v>2021</v>
      </c>
      <c r="L357" s="268" t="str">
        <f t="shared" si="75"/>
        <v>Simple</v>
      </c>
      <c r="M357" s="197">
        <v>107500</v>
      </c>
      <c r="N357" s="197">
        <v>0</v>
      </c>
      <c r="O357" s="257">
        <f>IF(ISNA(MATCH(H357,'Operating leases'!$B$32:$B$43,0)),0,INDEX('Operating leases'!$M$32:$S$43,MATCH(H357,'Operating leases'!$B$32:$B$43,0),MATCH(J357,'Operating leases'!$M$11:$S$11,0)))</f>
        <v>0</v>
      </c>
      <c r="P357" s="257">
        <f t="shared" si="76"/>
        <v>107500</v>
      </c>
      <c r="Q357" s="257">
        <f t="shared" si="77"/>
        <v>107500</v>
      </c>
      <c r="R357" s="258">
        <f>INDEX('Escalators '!$M$124:$S$129,MATCH(I357,'Escalators '!$B$124:$B$129,0),MATCH(J357,'Escalators '!$M$113:$S$113,0))</f>
        <v>1.0120900655357943</v>
      </c>
      <c r="S357" s="257">
        <f t="shared" si="78"/>
        <v>0</v>
      </c>
      <c r="T357" s="257">
        <f t="shared" si="79"/>
        <v>0</v>
      </c>
      <c r="U357" s="269">
        <f t="shared" si="80"/>
        <v>108799.68204509788</v>
      </c>
      <c r="V357" s="269">
        <f t="shared" si="81"/>
        <v>108799.68204509788</v>
      </c>
      <c r="W357" s="269">
        <f t="shared" si="82"/>
        <v>108799.68204509788</v>
      </c>
      <c r="X357" s="257">
        <f t="shared" si="83"/>
        <v>108799.68204509788</v>
      </c>
      <c r="Y357" s="270">
        <f>IF(L357="Complex",(INDEX('Escalators '!$M$176:$S$176,MATCH('Forecast capex'!J357,'Escalators '!$M$178:$S$178,0))/12+1)^((K357-J357)*12)-1,0)</f>
        <v>0</v>
      </c>
      <c r="Z357" s="257">
        <f t="shared" si="84"/>
        <v>0</v>
      </c>
      <c r="AA357" s="257">
        <f t="shared" si="85"/>
        <v>0</v>
      </c>
      <c r="AB357" s="269">
        <f t="shared" si="86"/>
        <v>0</v>
      </c>
      <c r="AC357" s="269">
        <f t="shared" si="87"/>
        <v>0</v>
      </c>
      <c r="AD357" s="271" t="str">
        <f>INDEX('Global inputs'!$C$134:$C$171,MATCH(F357,'Global inputs'!$B$134:$B$171,0))</f>
        <v>Asset replacement and renewal</v>
      </c>
      <c r="AE357" s="272">
        <f>IF(OR(H357='Operating leases'!$B$32,H357='Operating leases'!$B$33),"",INDEX('Global inputs'!$C$186:$C$243,MATCH(E357,'Global inputs'!$B$186:$B$243,0)))</f>
        <v>0.08</v>
      </c>
    </row>
    <row r="358" spans="1:31" s="27" customFormat="1" x14ac:dyDescent="0.2">
      <c r="A358" s="250"/>
      <c r="B358" s="210" t="s">
        <v>742</v>
      </c>
      <c r="C358" s="210" t="s">
        <v>288</v>
      </c>
      <c r="D358" s="210" t="s">
        <v>223</v>
      </c>
      <c r="E358" s="210" t="s">
        <v>158</v>
      </c>
      <c r="F358" s="210" t="s">
        <v>107</v>
      </c>
      <c r="G358" s="210" t="s">
        <v>728</v>
      </c>
      <c r="H358" s="197">
        <v>0</v>
      </c>
      <c r="I358" s="210" t="s">
        <v>223</v>
      </c>
      <c r="J358" s="210">
        <v>2021</v>
      </c>
      <c r="K358" s="210">
        <v>2021</v>
      </c>
      <c r="L358" s="268" t="str">
        <f t="shared" si="75"/>
        <v>Simple</v>
      </c>
      <c r="M358" s="197">
        <v>158792.04067236089</v>
      </c>
      <c r="N358" s="197">
        <v>0</v>
      </c>
      <c r="O358" s="257">
        <f>IF(ISNA(MATCH(H358,'Operating leases'!$B$32:$B$43,0)),0,INDEX('Operating leases'!$M$32:$S$43,MATCH(H358,'Operating leases'!$B$32:$B$43,0),MATCH(J358,'Operating leases'!$M$11:$S$11,0)))</f>
        <v>0</v>
      </c>
      <c r="P358" s="257">
        <f t="shared" si="76"/>
        <v>158792.04067236089</v>
      </c>
      <c r="Q358" s="257">
        <f t="shared" si="77"/>
        <v>158792.04067236089</v>
      </c>
      <c r="R358" s="258">
        <f>INDEX('Escalators '!$M$124:$S$129,MATCH(I358,'Escalators '!$B$124:$B$129,0),MATCH(J358,'Escalators '!$M$113:$S$113,0))</f>
        <v>1.0239888729183189</v>
      </c>
      <c r="S358" s="257">
        <f t="shared" si="78"/>
        <v>0</v>
      </c>
      <c r="T358" s="257">
        <f t="shared" si="79"/>
        <v>0</v>
      </c>
      <c r="U358" s="269">
        <f t="shared" si="80"/>
        <v>162601.28275649066</v>
      </c>
      <c r="V358" s="269">
        <f t="shared" si="81"/>
        <v>162601.28275649066</v>
      </c>
      <c r="W358" s="269">
        <f t="shared" si="82"/>
        <v>162601.28275649066</v>
      </c>
      <c r="X358" s="257">
        <f t="shared" si="83"/>
        <v>162601.28275649066</v>
      </c>
      <c r="Y358" s="270">
        <f>IF(L358="Complex",(INDEX('Escalators '!$M$176:$S$176,MATCH('Forecast capex'!J358,'Escalators '!$M$178:$S$178,0))/12+1)^((K358-J358)*12)-1,0)</f>
        <v>0</v>
      </c>
      <c r="Z358" s="257">
        <f t="shared" si="84"/>
        <v>0</v>
      </c>
      <c r="AA358" s="257">
        <f t="shared" si="85"/>
        <v>0</v>
      </c>
      <c r="AB358" s="269">
        <f t="shared" si="86"/>
        <v>0</v>
      </c>
      <c r="AC358" s="269">
        <f t="shared" si="87"/>
        <v>0</v>
      </c>
      <c r="AD358" s="271" t="str">
        <f>INDEX('Global inputs'!$C$134:$C$171,MATCH(F358,'Global inputs'!$B$134:$B$171,0))</f>
        <v>Asset replacement and renewal</v>
      </c>
      <c r="AE358" s="272">
        <f>IF(OR(H358='Operating leases'!$B$32,H358='Operating leases'!$B$33),"",INDEX('Global inputs'!$C$186:$C$243,MATCH(E358,'Global inputs'!$B$186:$B$243,0)))</f>
        <v>0.08</v>
      </c>
    </row>
    <row r="359" spans="1:31" s="27" customFormat="1" x14ac:dyDescent="0.2">
      <c r="A359" s="250"/>
      <c r="B359" s="210" t="s">
        <v>742</v>
      </c>
      <c r="C359" s="210" t="s">
        <v>288</v>
      </c>
      <c r="D359" s="210" t="s">
        <v>223</v>
      </c>
      <c r="E359" s="210" t="s">
        <v>158</v>
      </c>
      <c r="F359" s="210" t="s">
        <v>107</v>
      </c>
      <c r="G359" s="210" t="s">
        <v>728</v>
      </c>
      <c r="H359" s="197">
        <v>0</v>
      </c>
      <c r="I359" s="210" t="s">
        <v>221</v>
      </c>
      <c r="J359" s="210">
        <v>2021</v>
      </c>
      <c r="K359" s="210">
        <v>2021</v>
      </c>
      <c r="L359" s="268" t="str">
        <f t="shared" si="75"/>
        <v>Simple</v>
      </c>
      <c r="M359" s="197">
        <v>238188.06100854129</v>
      </c>
      <c r="N359" s="197">
        <v>0</v>
      </c>
      <c r="O359" s="257">
        <f>IF(ISNA(MATCH(H359,'Operating leases'!$B$32:$B$43,0)),0,INDEX('Operating leases'!$M$32:$S$43,MATCH(H359,'Operating leases'!$B$32:$B$43,0),MATCH(J359,'Operating leases'!$M$11:$S$11,0)))</f>
        <v>0</v>
      </c>
      <c r="P359" s="257">
        <f t="shared" si="76"/>
        <v>238188.06100854129</v>
      </c>
      <c r="Q359" s="257">
        <f t="shared" si="77"/>
        <v>238188.06100854129</v>
      </c>
      <c r="R359" s="258">
        <f>INDEX('Escalators '!$M$124:$S$129,MATCH(I359,'Escalators '!$B$124:$B$129,0),MATCH(J359,'Escalators '!$M$113:$S$113,0))</f>
        <v>1.0120900655357943</v>
      </c>
      <c r="S359" s="257">
        <f t="shared" si="78"/>
        <v>0</v>
      </c>
      <c r="T359" s="257">
        <f t="shared" si="79"/>
        <v>0</v>
      </c>
      <c r="U359" s="269">
        <f t="shared" si="80"/>
        <v>241067.77027597831</v>
      </c>
      <c r="V359" s="269">
        <f t="shared" si="81"/>
        <v>241067.77027597831</v>
      </c>
      <c r="W359" s="269">
        <f t="shared" si="82"/>
        <v>241067.77027597831</v>
      </c>
      <c r="X359" s="257">
        <f t="shared" si="83"/>
        <v>241067.77027597831</v>
      </c>
      <c r="Y359" s="270">
        <f>IF(L359="Complex",(INDEX('Escalators '!$M$176:$S$176,MATCH('Forecast capex'!J359,'Escalators '!$M$178:$S$178,0))/12+1)^((K359-J359)*12)-1,0)</f>
        <v>0</v>
      </c>
      <c r="Z359" s="257">
        <f t="shared" si="84"/>
        <v>0</v>
      </c>
      <c r="AA359" s="257">
        <f t="shared" si="85"/>
        <v>0</v>
      </c>
      <c r="AB359" s="269">
        <f t="shared" si="86"/>
        <v>0</v>
      </c>
      <c r="AC359" s="269">
        <f t="shared" si="87"/>
        <v>0</v>
      </c>
      <c r="AD359" s="271" t="str">
        <f>INDEX('Global inputs'!$C$134:$C$171,MATCH(F359,'Global inputs'!$B$134:$B$171,0))</f>
        <v>Asset replacement and renewal</v>
      </c>
      <c r="AE359" s="272">
        <f>IF(OR(H359='Operating leases'!$B$32,H359='Operating leases'!$B$33),"",INDEX('Global inputs'!$C$186:$C$243,MATCH(E359,'Global inputs'!$B$186:$B$243,0)))</f>
        <v>0.08</v>
      </c>
    </row>
    <row r="360" spans="1:31" s="27" customFormat="1" x14ac:dyDescent="0.2">
      <c r="A360" s="250"/>
      <c r="B360" s="210" t="s">
        <v>742</v>
      </c>
      <c r="C360" s="210" t="s">
        <v>290</v>
      </c>
      <c r="D360" s="210" t="s">
        <v>718</v>
      </c>
      <c r="E360" s="210" t="s">
        <v>168</v>
      </c>
      <c r="F360" s="210" t="s">
        <v>111</v>
      </c>
      <c r="G360" s="210" t="s">
        <v>720</v>
      </c>
      <c r="H360" s="197">
        <v>0</v>
      </c>
      <c r="I360" s="210" t="s">
        <v>229</v>
      </c>
      <c r="J360" s="210">
        <v>2021</v>
      </c>
      <c r="K360" s="210">
        <v>2021</v>
      </c>
      <c r="L360" s="268" t="str">
        <f t="shared" si="75"/>
        <v>Simple</v>
      </c>
      <c r="M360" s="197">
        <v>305760</v>
      </c>
      <c r="N360" s="197">
        <v>0</v>
      </c>
      <c r="O360" s="257">
        <f>IF(ISNA(MATCH(H360,'Operating leases'!$B$32:$B$43,0)),0,INDEX('Operating leases'!$M$32:$S$43,MATCH(H360,'Operating leases'!$B$32:$B$43,0),MATCH(J360,'Operating leases'!$M$11:$S$11,0)))</f>
        <v>0</v>
      </c>
      <c r="P360" s="257">
        <f t="shared" si="76"/>
        <v>305760</v>
      </c>
      <c r="Q360" s="257">
        <f t="shared" si="77"/>
        <v>305760</v>
      </c>
      <c r="R360" s="258">
        <f>INDEX('Escalators '!$M$124:$S$129,MATCH(I360,'Escalators '!$B$124:$B$129,0),MATCH(J360,'Escalators '!$M$113:$S$113,0))</f>
        <v>1.0206154571717865</v>
      </c>
      <c r="S360" s="257">
        <f t="shared" si="78"/>
        <v>0</v>
      </c>
      <c r="T360" s="257">
        <f t="shared" si="79"/>
        <v>0</v>
      </c>
      <c r="U360" s="269">
        <f t="shared" si="80"/>
        <v>312063.38218484545</v>
      </c>
      <c r="V360" s="269">
        <f t="shared" si="81"/>
        <v>312063.38218484545</v>
      </c>
      <c r="W360" s="269">
        <f t="shared" si="82"/>
        <v>312063.38218484545</v>
      </c>
      <c r="X360" s="257">
        <f t="shared" si="83"/>
        <v>312063.38218484545</v>
      </c>
      <c r="Y360" s="270">
        <f>IF(L360="Complex",(INDEX('Escalators '!$M$176:$S$176,MATCH('Forecast capex'!J360,'Escalators '!$M$178:$S$178,0))/12+1)^((K360-J360)*12)-1,0)</f>
        <v>0</v>
      </c>
      <c r="Z360" s="257">
        <f t="shared" si="84"/>
        <v>0</v>
      </c>
      <c r="AA360" s="257">
        <f t="shared" si="85"/>
        <v>0</v>
      </c>
      <c r="AB360" s="269">
        <f t="shared" si="86"/>
        <v>0</v>
      </c>
      <c r="AC360" s="269">
        <f t="shared" si="87"/>
        <v>0</v>
      </c>
      <c r="AD360" s="271" t="str">
        <f>INDEX('Global inputs'!$C$134:$C$171,MATCH(F360,'Global inputs'!$B$134:$B$171,0))</f>
        <v>Asset replacement and renewal</v>
      </c>
      <c r="AE360" s="272">
        <f>IF(OR(H360='Operating leases'!$B$32,H360='Operating leases'!$B$33),"",INDEX('Global inputs'!$C$186:$C$243,MATCH(E360,'Global inputs'!$B$186:$B$243,0)))</f>
        <v>0.08</v>
      </c>
    </row>
    <row r="361" spans="1:31" s="27" customFormat="1" x14ac:dyDescent="0.2">
      <c r="A361" s="250"/>
      <c r="B361" s="210" t="s">
        <v>742</v>
      </c>
      <c r="C361" s="210" t="s">
        <v>290</v>
      </c>
      <c r="D361" s="210" t="s">
        <v>718</v>
      </c>
      <c r="E361" s="210" t="s">
        <v>168</v>
      </c>
      <c r="F361" s="210" t="s">
        <v>111</v>
      </c>
      <c r="G361" s="210" t="s">
        <v>720</v>
      </c>
      <c r="H361" s="197">
        <v>0</v>
      </c>
      <c r="I361" s="210" t="s">
        <v>221</v>
      </c>
      <c r="J361" s="210">
        <v>2021</v>
      </c>
      <c r="K361" s="210">
        <v>2021</v>
      </c>
      <c r="L361" s="268" t="str">
        <f t="shared" si="75"/>
        <v>Simple</v>
      </c>
      <c r="M361" s="197">
        <v>76440</v>
      </c>
      <c r="N361" s="197">
        <v>0</v>
      </c>
      <c r="O361" s="257">
        <f>IF(ISNA(MATCH(H361,'Operating leases'!$B$32:$B$43,0)),0,INDEX('Operating leases'!$M$32:$S$43,MATCH(H361,'Operating leases'!$B$32:$B$43,0),MATCH(J361,'Operating leases'!$M$11:$S$11,0)))</f>
        <v>0</v>
      </c>
      <c r="P361" s="257">
        <f t="shared" si="76"/>
        <v>76440</v>
      </c>
      <c r="Q361" s="257">
        <f t="shared" si="77"/>
        <v>76440</v>
      </c>
      <c r="R361" s="258">
        <f>INDEX('Escalators '!$M$124:$S$129,MATCH(I361,'Escalators '!$B$124:$B$129,0),MATCH(J361,'Escalators '!$M$113:$S$113,0))</f>
        <v>1.0120900655357943</v>
      </c>
      <c r="S361" s="257">
        <f t="shared" si="78"/>
        <v>0</v>
      </c>
      <c r="T361" s="257">
        <f t="shared" si="79"/>
        <v>0</v>
      </c>
      <c r="U361" s="269">
        <f t="shared" si="80"/>
        <v>77364.164609556115</v>
      </c>
      <c r="V361" s="269">
        <f t="shared" si="81"/>
        <v>77364.164609556115</v>
      </c>
      <c r="W361" s="269">
        <f t="shared" si="82"/>
        <v>77364.164609556115</v>
      </c>
      <c r="X361" s="257">
        <f t="shared" si="83"/>
        <v>77364.164609556115</v>
      </c>
      <c r="Y361" s="270">
        <f>IF(L361="Complex",(INDEX('Escalators '!$M$176:$S$176,MATCH('Forecast capex'!J361,'Escalators '!$M$178:$S$178,0))/12+1)^((K361-J361)*12)-1,0)</f>
        <v>0</v>
      </c>
      <c r="Z361" s="257">
        <f t="shared" si="84"/>
        <v>0</v>
      </c>
      <c r="AA361" s="257">
        <f t="shared" si="85"/>
        <v>0</v>
      </c>
      <c r="AB361" s="269">
        <f t="shared" si="86"/>
        <v>0</v>
      </c>
      <c r="AC361" s="269">
        <f t="shared" si="87"/>
        <v>0</v>
      </c>
      <c r="AD361" s="271" t="str">
        <f>INDEX('Global inputs'!$C$134:$C$171,MATCH(F361,'Global inputs'!$B$134:$B$171,0))</f>
        <v>Asset replacement and renewal</v>
      </c>
      <c r="AE361" s="272">
        <f>IF(OR(H361='Operating leases'!$B$32,H361='Operating leases'!$B$33),"",INDEX('Global inputs'!$C$186:$C$243,MATCH(E361,'Global inputs'!$B$186:$B$243,0)))</f>
        <v>0.08</v>
      </c>
    </row>
    <row r="362" spans="1:31" s="27" customFormat="1" x14ac:dyDescent="0.2">
      <c r="A362" s="250"/>
      <c r="B362" s="210" t="s">
        <v>742</v>
      </c>
      <c r="C362" s="210" t="s">
        <v>289</v>
      </c>
      <c r="D362" s="210" t="s">
        <v>718</v>
      </c>
      <c r="E362" s="210" t="s">
        <v>165</v>
      </c>
      <c r="F362" s="210" t="s">
        <v>113</v>
      </c>
      <c r="G362" s="210" t="s">
        <v>745</v>
      </c>
      <c r="H362" s="197">
        <v>0</v>
      </c>
      <c r="I362" s="210" t="s">
        <v>229</v>
      </c>
      <c r="J362" s="210">
        <v>2021</v>
      </c>
      <c r="K362" s="210">
        <v>2021</v>
      </c>
      <c r="L362" s="268" t="str">
        <f t="shared" si="75"/>
        <v>Simple</v>
      </c>
      <c r="M362" s="197">
        <v>236113.5</v>
      </c>
      <c r="N362" s="197">
        <v>0</v>
      </c>
      <c r="O362" s="257">
        <f>IF(ISNA(MATCH(H362,'Operating leases'!$B$32:$B$43,0)),0,INDEX('Operating leases'!$M$32:$S$43,MATCH(H362,'Operating leases'!$B$32:$B$43,0),MATCH(J362,'Operating leases'!$M$11:$S$11,0)))</f>
        <v>0</v>
      </c>
      <c r="P362" s="257">
        <f t="shared" si="76"/>
        <v>236113.5</v>
      </c>
      <c r="Q362" s="257">
        <f t="shared" si="77"/>
        <v>236113.5</v>
      </c>
      <c r="R362" s="258">
        <f>INDEX('Escalators '!$M$124:$S$129,MATCH(I362,'Escalators '!$B$124:$B$129,0),MATCH(J362,'Escalators '!$M$113:$S$113,0))</f>
        <v>1.0206154571717865</v>
      </c>
      <c r="S362" s="257">
        <f t="shared" si="78"/>
        <v>0</v>
      </c>
      <c r="T362" s="257">
        <f t="shared" si="79"/>
        <v>0</v>
      </c>
      <c r="U362" s="269">
        <f t="shared" si="80"/>
        <v>240981.0877469306</v>
      </c>
      <c r="V362" s="269">
        <f t="shared" si="81"/>
        <v>240981.0877469306</v>
      </c>
      <c r="W362" s="269">
        <f t="shared" si="82"/>
        <v>240981.0877469306</v>
      </c>
      <c r="X362" s="257">
        <f t="shared" si="83"/>
        <v>240981.0877469306</v>
      </c>
      <c r="Y362" s="270">
        <f>IF(L362="Complex",(INDEX('Escalators '!$M$176:$S$176,MATCH('Forecast capex'!J362,'Escalators '!$M$178:$S$178,0))/12+1)^((K362-J362)*12)-1,0)</f>
        <v>0</v>
      </c>
      <c r="Z362" s="257">
        <f t="shared" si="84"/>
        <v>0</v>
      </c>
      <c r="AA362" s="257">
        <f t="shared" si="85"/>
        <v>0</v>
      </c>
      <c r="AB362" s="269">
        <f t="shared" si="86"/>
        <v>0</v>
      </c>
      <c r="AC362" s="269">
        <f t="shared" si="87"/>
        <v>0</v>
      </c>
      <c r="AD362" s="271" t="str">
        <f>INDEX('Global inputs'!$C$134:$C$171,MATCH(F362,'Global inputs'!$B$134:$B$171,0))</f>
        <v>Asset replacement and renewal</v>
      </c>
      <c r="AE362" s="272">
        <f>IF(OR(H362='Operating leases'!$B$32,H362='Operating leases'!$B$33),"",INDEX('Global inputs'!$C$186:$C$243,MATCH(E362,'Global inputs'!$B$186:$B$243,0)))</f>
        <v>0.1</v>
      </c>
    </row>
    <row r="363" spans="1:31" s="27" customFormat="1" x14ac:dyDescent="0.2">
      <c r="A363" s="250"/>
      <c r="B363" s="210" t="s">
        <v>742</v>
      </c>
      <c r="C363" s="210" t="s">
        <v>289</v>
      </c>
      <c r="D363" s="210" t="s">
        <v>718</v>
      </c>
      <c r="E363" s="210" t="s">
        <v>165</v>
      </c>
      <c r="F363" s="210" t="s">
        <v>113</v>
      </c>
      <c r="G363" s="210" t="s">
        <v>745</v>
      </c>
      <c r="H363" s="197">
        <v>0</v>
      </c>
      <c r="I363" s="210" t="s">
        <v>221</v>
      </c>
      <c r="J363" s="210">
        <v>2021</v>
      </c>
      <c r="K363" s="210">
        <v>2021</v>
      </c>
      <c r="L363" s="268" t="str">
        <f t="shared" si="75"/>
        <v>Simple</v>
      </c>
      <c r="M363" s="197">
        <v>236113.5</v>
      </c>
      <c r="N363" s="197">
        <v>0</v>
      </c>
      <c r="O363" s="257">
        <f>IF(ISNA(MATCH(H363,'Operating leases'!$B$32:$B$43,0)),0,INDEX('Operating leases'!$M$32:$S$43,MATCH(H363,'Operating leases'!$B$32:$B$43,0),MATCH(J363,'Operating leases'!$M$11:$S$11,0)))</f>
        <v>0</v>
      </c>
      <c r="P363" s="257">
        <f t="shared" si="76"/>
        <v>236113.5</v>
      </c>
      <c r="Q363" s="257">
        <f t="shared" si="77"/>
        <v>236113.5</v>
      </c>
      <c r="R363" s="258">
        <f>INDEX('Escalators '!$M$124:$S$129,MATCH(I363,'Escalators '!$B$124:$B$129,0),MATCH(J363,'Escalators '!$M$113:$S$113,0))</f>
        <v>1.0120900655357943</v>
      </c>
      <c r="S363" s="257">
        <f t="shared" si="78"/>
        <v>0</v>
      </c>
      <c r="T363" s="257">
        <f t="shared" si="79"/>
        <v>0</v>
      </c>
      <c r="U363" s="269">
        <f t="shared" si="80"/>
        <v>238968.12768888575</v>
      </c>
      <c r="V363" s="269">
        <f t="shared" si="81"/>
        <v>238968.12768888575</v>
      </c>
      <c r="W363" s="269">
        <f t="shared" si="82"/>
        <v>238968.12768888575</v>
      </c>
      <c r="X363" s="257">
        <f t="shared" si="83"/>
        <v>238968.12768888575</v>
      </c>
      <c r="Y363" s="270">
        <f>IF(L363="Complex",(INDEX('Escalators '!$M$176:$S$176,MATCH('Forecast capex'!J363,'Escalators '!$M$178:$S$178,0))/12+1)^((K363-J363)*12)-1,0)</f>
        <v>0</v>
      </c>
      <c r="Z363" s="257">
        <f t="shared" si="84"/>
        <v>0</v>
      </c>
      <c r="AA363" s="257">
        <f t="shared" si="85"/>
        <v>0</v>
      </c>
      <c r="AB363" s="269">
        <f t="shared" si="86"/>
        <v>0</v>
      </c>
      <c r="AC363" s="269">
        <f t="shared" si="87"/>
        <v>0</v>
      </c>
      <c r="AD363" s="271" t="str">
        <f>INDEX('Global inputs'!$C$134:$C$171,MATCH(F363,'Global inputs'!$B$134:$B$171,0))</f>
        <v>Asset replacement and renewal</v>
      </c>
      <c r="AE363" s="272">
        <f>IF(OR(H363='Operating leases'!$B$32,H363='Operating leases'!$B$33),"",INDEX('Global inputs'!$C$186:$C$243,MATCH(E363,'Global inputs'!$B$186:$B$243,0)))</f>
        <v>0.1</v>
      </c>
    </row>
    <row r="364" spans="1:31" s="27" customFormat="1" x14ac:dyDescent="0.2">
      <c r="A364" s="250"/>
      <c r="B364" s="210" t="s">
        <v>742</v>
      </c>
      <c r="C364" s="210" t="s">
        <v>285</v>
      </c>
      <c r="D364" s="210" t="s">
        <v>718</v>
      </c>
      <c r="E364" s="210" t="s">
        <v>132</v>
      </c>
      <c r="F364" s="210" t="s">
        <v>113</v>
      </c>
      <c r="G364" s="210" t="s">
        <v>745</v>
      </c>
      <c r="H364" s="197">
        <v>0</v>
      </c>
      <c r="I364" s="210" t="s">
        <v>229</v>
      </c>
      <c r="J364" s="210">
        <v>2021</v>
      </c>
      <c r="K364" s="210">
        <v>2021</v>
      </c>
      <c r="L364" s="268" t="str">
        <f t="shared" si="75"/>
        <v>Simple</v>
      </c>
      <c r="M364" s="197">
        <v>150000</v>
      </c>
      <c r="N364" s="197">
        <v>0</v>
      </c>
      <c r="O364" s="257">
        <f>IF(ISNA(MATCH(H364,'Operating leases'!$B$32:$B$43,0)),0,INDEX('Operating leases'!$M$32:$S$43,MATCH(H364,'Operating leases'!$B$32:$B$43,0),MATCH(J364,'Operating leases'!$M$11:$S$11,0)))</f>
        <v>0</v>
      </c>
      <c r="P364" s="257">
        <f t="shared" si="76"/>
        <v>150000</v>
      </c>
      <c r="Q364" s="257">
        <f t="shared" si="77"/>
        <v>150000</v>
      </c>
      <c r="R364" s="258">
        <f>INDEX('Escalators '!$M$124:$S$129,MATCH(I364,'Escalators '!$B$124:$B$129,0),MATCH(J364,'Escalators '!$M$113:$S$113,0))</f>
        <v>1.0206154571717865</v>
      </c>
      <c r="S364" s="257">
        <f t="shared" si="78"/>
        <v>0</v>
      </c>
      <c r="T364" s="257">
        <f t="shared" si="79"/>
        <v>0</v>
      </c>
      <c r="U364" s="269">
        <f t="shared" si="80"/>
        <v>153092.31857576797</v>
      </c>
      <c r="V364" s="269">
        <f t="shared" si="81"/>
        <v>153092.31857576797</v>
      </c>
      <c r="W364" s="269">
        <f t="shared" si="82"/>
        <v>153092.31857576797</v>
      </c>
      <c r="X364" s="257">
        <f t="shared" si="83"/>
        <v>153092.31857576797</v>
      </c>
      <c r="Y364" s="270">
        <f>IF(L364="Complex",(INDEX('Escalators '!$M$176:$S$176,MATCH('Forecast capex'!J364,'Escalators '!$M$178:$S$178,0))/12+1)^((K364-J364)*12)-1,0)</f>
        <v>0</v>
      </c>
      <c r="Z364" s="257">
        <f t="shared" si="84"/>
        <v>0</v>
      </c>
      <c r="AA364" s="257">
        <f t="shared" si="85"/>
        <v>0</v>
      </c>
      <c r="AB364" s="269">
        <f t="shared" si="86"/>
        <v>0</v>
      </c>
      <c r="AC364" s="269">
        <f t="shared" si="87"/>
        <v>0</v>
      </c>
      <c r="AD364" s="271" t="str">
        <f>INDEX('Global inputs'!$C$134:$C$171,MATCH(F364,'Global inputs'!$B$134:$B$171,0))</f>
        <v>Asset replacement and renewal</v>
      </c>
      <c r="AE364" s="272">
        <f>IF(OR(H364='Operating leases'!$B$32,H364='Operating leases'!$B$33),"",INDEX('Global inputs'!$C$186:$C$243,MATCH(E364,'Global inputs'!$B$186:$B$243,0)))</f>
        <v>0.08</v>
      </c>
    </row>
    <row r="365" spans="1:31" s="27" customFormat="1" x14ac:dyDescent="0.2">
      <c r="A365" s="250"/>
      <c r="B365" s="210" t="s">
        <v>742</v>
      </c>
      <c r="C365" s="210" t="s">
        <v>285</v>
      </c>
      <c r="D365" s="210" t="s">
        <v>718</v>
      </c>
      <c r="E365" s="210" t="s">
        <v>132</v>
      </c>
      <c r="F365" s="210" t="s">
        <v>113</v>
      </c>
      <c r="G365" s="210" t="s">
        <v>745</v>
      </c>
      <c r="H365" s="197">
        <v>0</v>
      </c>
      <c r="I365" s="210" t="s">
        <v>221</v>
      </c>
      <c r="J365" s="210">
        <v>2021</v>
      </c>
      <c r="K365" s="210">
        <v>2021</v>
      </c>
      <c r="L365" s="268" t="str">
        <f t="shared" si="75"/>
        <v>Simple</v>
      </c>
      <c r="M365" s="197">
        <v>150000</v>
      </c>
      <c r="N365" s="197">
        <v>0</v>
      </c>
      <c r="O365" s="257">
        <f>IF(ISNA(MATCH(H365,'Operating leases'!$B$32:$B$43,0)),0,INDEX('Operating leases'!$M$32:$S$43,MATCH(H365,'Operating leases'!$B$32:$B$43,0),MATCH(J365,'Operating leases'!$M$11:$S$11,0)))</f>
        <v>0</v>
      </c>
      <c r="P365" s="257">
        <f t="shared" si="76"/>
        <v>150000</v>
      </c>
      <c r="Q365" s="257">
        <f t="shared" si="77"/>
        <v>150000</v>
      </c>
      <c r="R365" s="258">
        <f>INDEX('Escalators '!$M$124:$S$129,MATCH(I365,'Escalators '!$B$124:$B$129,0),MATCH(J365,'Escalators '!$M$113:$S$113,0))</f>
        <v>1.0120900655357943</v>
      </c>
      <c r="S365" s="257">
        <f t="shared" si="78"/>
        <v>0</v>
      </c>
      <c r="T365" s="257">
        <f t="shared" si="79"/>
        <v>0</v>
      </c>
      <c r="U365" s="269">
        <f t="shared" si="80"/>
        <v>151813.50983036915</v>
      </c>
      <c r="V365" s="269">
        <f t="shared" si="81"/>
        <v>151813.50983036915</v>
      </c>
      <c r="W365" s="269">
        <f t="shared" si="82"/>
        <v>151813.50983036915</v>
      </c>
      <c r="X365" s="257">
        <f t="shared" si="83"/>
        <v>151813.50983036915</v>
      </c>
      <c r="Y365" s="270">
        <f>IF(L365="Complex",(INDEX('Escalators '!$M$176:$S$176,MATCH('Forecast capex'!J365,'Escalators '!$M$178:$S$178,0))/12+1)^((K365-J365)*12)-1,0)</f>
        <v>0</v>
      </c>
      <c r="Z365" s="257">
        <f t="shared" si="84"/>
        <v>0</v>
      </c>
      <c r="AA365" s="257">
        <f t="shared" si="85"/>
        <v>0</v>
      </c>
      <c r="AB365" s="269">
        <f t="shared" si="86"/>
        <v>0</v>
      </c>
      <c r="AC365" s="269">
        <f t="shared" si="87"/>
        <v>0</v>
      </c>
      <c r="AD365" s="271" t="str">
        <f>INDEX('Global inputs'!$C$134:$C$171,MATCH(F365,'Global inputs'!$B$134:$B$171,0))</f>
        <v>Asset replacement and renewal</v>
      </c>
      <c r="AE365" s="272">
        <f>IF(OR(H365='Operating leases'!$B$32,H365='Operating leases'!$B$33),"",INDEX('Global inputs'!$C$186:$C$243,MATCH(E365,'Global inputs'!$B$186:$B$243,0)))</f>
        <v>0.08</v>
      </c>
    </row>
    <row r="366" spans="1:31" s="27" customFormat="1" x14ac:dyDescent="0.2">
      <c r="A366" s="250"/>
      <c r="B366" s="210" t="s">
        <v>746</v>
      </c>
      <c r="C366" s="210" t="s">
        <v>287</v>
      </c>
      <c r="D366" s="210" t="s">
        <v>715</v>
      </c>
      <c r="E366" s="210" t="s">
        <v>150</v>
      </c>
      <c r="F366" s="210" t="s">
        <v>86</v>
      </c>
      <c r="G366" s="210" t="s">
        <v>716</v>
      </c>
      <c r="H366" s="197">
        <v>0</v>
      </c>
      <c r="I366" s="210" t="s">
        <v>229</v>
      </c>
      <c r="J366" s="210">
        <v>2021</v>
      </c>
      <c r="K366" s="210">
        <v>2021</v>
      </c>
      <c r="L366" s="268" t="str">
        <f t="shared" si="75"/>
        <v>Simple</v>
      </c>
      <c r="M366" s="197">
        <v>65379.824999999997</v>
      </c>
      <c r="N366" s="197">
        <v>0</v>
      </c>
      <c r="O366" s="257">
        <f>IF(ISNA(MATCH(H366,'Operating leases'!$B$32:$B$43,0)),0,INDEX('Operating leases'!$M$32:$S$43,MATCH(H366,'Operating leases'!$B$32:$B$43,0),MATCH(J366,'Operating leases'!$M$11:$S$11,0)))</f>
        <v>0</v>
      </c>
      <c r="P366" s="257">
        <f t="shared" si="76"/>
        <v>65379.824999999997</v>
      </c>
      <c r="Q366" s="257">
        <f t="shared" si="77"/>
        <v>65379.824999999997</v>
      </c>
      <c r="R366" s="258">
        <f>INDEX('Escalators '!$M$124:$S$129,MATCH(I366,'Escalators '!$B$124:$B$129,0),MATCH(J366,'Escalators '!$M$113:$S$113,0))</f>
        <v>1.0206154571717865</v>
      </c>
      <c r="S366" s="257">
        <f t="shared" si="78"/>
        <v>0</v>
      </c>
      <c r="T366" s="257">
        <f t="shared" si="79"/>
        <v>0</v>
      </c>
      <c r="U366" s="269">
        <f t="shared" si="80"/>
        <v>66727.659982186393</v>
      </c>
      <c r="V366" s="269">
        <f t="shared" si="81"/>
        <v>66727.659982186393</v>
      </c>
      <c r="W366" s="269">
        <f t="shared" si="82"/>
        <v>66727.659982186393</v>
      </c>
      <c r="X366" s="257">
        <f t="shared" si="83"/>
        <v>66727.659982186393</v>
      </c>
      <c r="Y366" s="270">
        <f>IF(L366="Complex",(INDEX('Escalators '!$M$176:$S$176,MATCH('Forecast capex'!J366,'Escalators '!$M$178:$S$178,0))/12+1)^((K366-J366)*12)-1,0)</f>
        <v>0</v>
      </c>
      <c r="Z366" s="257">
        <f t="shared" si="84"/>
        <v>0</v>
      </c>
      <c r="AA366" s="257">
        <f t="shared" si="85"/>
        <v>0</v>
      </c>
      <c r="AB366" s="269">
        <f t="shared" si="86"/>
        <v>0</v>
      </c>
      <c r="AC366" s="269">
        <f t="shared" si="87"/>
        <v>0</v>
      </c>
      <c r="AD366" s="271" t="str">
        <f>INDEX('Global inputs'!$C$134:$C$171,MATCH(F366,'Global inputs'!$B$134:$B$171,0))</f>
        <v xml:space="preserve">System growth </v>
      </c>
      <c r="AE366" s="272">
        <f>IF(OR(H366='Operating leases'!$B$32,H366='Operating leases'!$B$33),"",INDEX('Global inputs'!$C$186:$C$243,MATCH(E366,'Global inputs'!$B$186:$B$243,0)))</f>
        <v>0.08</v>
      </c>
    </row>
    <row r="367" spans="1:31" s="27" customFormat="1" x14ac:dyDescent="0.2">
      <c r="A367" s="250"/>
      <c r="B367" s="210" t="s">
        <v>746</v>
      </c>
      <c r="C367" s="210" t="s">
        <v>287</v>
      </c>
      <c r="D367" s="210" t="s">
        <v>715</v>
      </c>
      <c r="E367" s="210" t="s">
        <v>150</v>
      </c>
      <c r="F367" s="210" t="s">
        <v>86</v>
      </c>
      <c r="G367" s="210" t="s">
        <v>716</v>
      </c>
      <c r="H367" s="197">
        <v>0</v>
      </c>
      <c r="I367" s="210" t="s">
        <v>221</v>
      </c>
      <c r="J367" s="210">
        <v>2021</v>
      </c>
      <c r="K367" s="210">
        <v>2021</v>
      </c>
      <c r="L367" s="268" t="str">
        <f t="shared" si="75"/>
        <v>Simple</v>
      </c>
      <c r="M367" s="197">
        <v>65379.824999999997</v>
      </c>
      <c r="N367" s="197">
        <v>0</v>
      </c>
      <c r="O367" s="257">
        <f>IF(ISNA(MATCH(H367,'Operating leases'!$B$32:$B$43,0)),0,INDEX('Operating leases'!$M$32:$S$43,MATCH(H367,'Operating leases'!$B$32:$B$43,0),MATCH(J367,'Operating leases'!$M$11:$S$11,0)))</f>
        <v>0</v>
      </c>
      <c r="P367" s="257">
        <f t="shared" si="76"/>
        <v>65379.824999999997</v>
      </c>
      <c r="Q367" s="257">
        <f t="shared" si="77"/>
        <v>65379.824999999997</v>
      </c>
      <c r="R367" s="258">
        <f>INDEX('Escalators '!$M$124:$S$129,MATCH(I367,'Escalators '!$B$124:$B$129,0),MATCH(J367,'Escalators '!$M$113:$S$113,0))</f>
        <v>1.0120900655357943</v>
      </c>
      <c r="S367" s="257">
        <f t="shared" si="78"/>
        <v>0</v>
      </c>
      <c r="T367" s="257">
        <f t="shared" si="79"/>
        <v>0</v>
      </c>
      <c r="U367" s="269">
        <f t="shared" si="80"/>
        <v>66170.271368968752</v>
      </c>
      <c r="V367" s="269">
        <f t="shared" si="81"/>
        <v>66170.271368968752</v>
      </c>
      <c r="W367" s="269">
        <f t="shared" si="82"/>
        <v>66170.271368968752</v>
      </c>
      <c r="X367" s="257">
        <f t="shared" si="83"/>
        <v>66170.271368968752</v>
      </c>
      <c r="Y367" s="270">
        <f>IF(L367="Complex",(INDEX('Escalators '!$M$176:$S$176,MATCH('Forecast capex'!J367,'Escalators '!$M$178:$S$178,0))/12+1)^((K367-J367)*12)-1,0)</f>
        <v>0</v>
      </c>
      <c r="Z367" s="257">
        <f t="shared" si="84"/>
        <v>0</v>
      </c>
      <c r="AA367" s="257">
        <f t="shared" si="85"/>
        <v>0</v>
      </c>
      <c r="AB367" s="269">
        <f t="shared" si="86"/>
        <v>0</v>
      </c>
      <c r="AC367" s="269">
        <f t="shared" si="87"/>
        <v>0</v>
      </c>
      <c r="AD367" s="271" t="str">
        <f>INDEX('Global inputs'!$C$134:$C$171,MATCH(F367,'Global inputs'!$B$134:$B$171,0))</f>
        <v xml:space="preserve">System growth </v>
      </c>
      <c r="AE367" s="272">
        <f>IF(OR(H367='Operating leases'!$B$32,H367='Operating leases'!$B$33),"",INDEX('Global inputs'!$C$186:$C$243,MATCH(E367,'Global inputs'!$B$186:$B$243,0)))</f>
        <v>0.08</v>
      </c>
    </row>
    <row r="368" spans="1:31" s="27" customFormat="1" x14ac:dyDescent="0.2">
      <c r="A368" s="250"/>
      <c r="B368" s="210" t="s">
        <v>746</v>
      </c>
      <c r="C368" s="210" t="s">
        <v>287</v>
      </c>
      <c r="D368" s="210" t="s">
        <v>715</v>
      </c>
      <c r="E368" s="210" t="s">
        <v>151</v>
      </c>
      <c r="F368" s="210" t="s">
        <v>86</v>
      </c>
      <c r="G368" s="210" t="s">
        <v>716</v>
      </c>
      <c r="H368" s="197">
        <v>0</v>
      </c>
      <c r="I368" s="210" t="s">
        <v>229</v>
      </c>
      <c r="J368" s="210">
        <v>2021</v>
      </c>
      <c r="K368" s="210">
        <v>2021</v>
      </c>
      <c r="L368" s="268" t="str">
        <f t="shared" si="75"/>
        <v>Simple</v>
      </c>
      <c r="M368" s="197">
        <v>65379.824999999997</v>
      </c>
      <c r="N368" s="197">
        <v>0</v>
      </c>
      <c r="O368" s="257">
        <f>IF(ISNA(MATCH(H368,'Operating leases'!$B$32:$B$43,0)),0,INDEX('Operating leases'!$M$32:$S$43,MATCH(H368,'Operating leases'!$B$32:$B$43,0),MATCH(J368,'Operating leases'!$M$11:$S$11,0)))</f>
        <v>0</v>
      </c>
      <c r="P368" s="257">
        <f t="shared" si="76"/>
        <v>65379.824999999997</v>
      </c>
      <c r="Q368" s="257">
        <f t="shared" si="77"/>
        <v>65379.824999999997</v>
      </c>
      <c r="R368" s="258">
        <f>INDEX('Escalators '!$M$124:$S$129,MATCH(I368,'Escalators '!$B$124:$B$129,0),MATCH(J368,'Escalators '!$M$113:$S$113,0))</f>
        <v>1.0206154571717865</v>
      </c>
      <c r="S368" s="257">
        <f t="shared" si="78"/>
        <v>0</v>
      </c>
      <c r="T368" s="257">
        <f t="shared" si="79"/>
        <v>0</v>
      </c>
      <c r="U368" s="269">
        <f t="shared" si="80"/>
        <v>66727.659982186393</v>
      </c>
      <c r="V368" s="269">
        <f t="shared" si="81"/>
        <v>66727.659982186393</v>
      </c>
      <c r="W368" s="269">
        <f t="shared" si="82"/>
        <v>66727.659982186393</v>
      </c>
      <c r="X368" s="257">
        <f t="shared" si="83"/>
        <v>66727.659982186393</v>
      </c>
      <c r="Y368" s="270">
        <f>IF(L368="Complex",(INDEX('Escalators '!$M$176:$S$176,MATCH('Forecast capex'!J368,'Escalators '!$M$178:$S$178,0))/12+1)^((K368-J368)*12)-1,0)</f>
        <v>0</v>
      </c>
      <c r="Z368" s="257">
        <f t="shared" si="84"/>
        <v>0</v>
      </c>
      <c r="AA368" s="257">
        <f t="shared" si="85"/>
        <v>0</v>
      </c>
      <c r="AB368" s="269">
        <f t="shared" si="86"/>
        <v>0</v>
      </c>
      <c r="AC368" s="269">
        <f t="shared" si="87"/>
        <v>0</v>
      </c>
      <c r="AD368" s="271" t="str">
        <f>INDEX('Global inputs'!$C$134:$C$171,MATCH(F368,'Global inputs'!$B$134:$B$171,0))</f>
        <v xml:space="preserve">System growth </v>
      </c>
      <c r="AE368" s="272">
        <f>IF(OR(H368='Operating leases'!$B$32,H368='Operating leases'!$B$33),"",INDEX('Global inputs'!$C$186:$C$243,MATCH(E368,'Global inputs'!$B$186:$B$243,0)))</f>
        <v>0.1</v>
      </c>
    </row>
    <row r="369" spans="1:31" s="27" customFormat="1" x14ac:dyDescent="0.2">
      <c r="A369" s="250"/>
      <c r="B369" s="210" t="s">
        <v>746</v>
      </c>
      <c r="C369" s="210" t="s">
        <v>287</v>
      </c>
      <c r="D369" s="210" t="s">
        <v>715</v>
      </c>
      <c r="E369" s="210" t="s">
        <v>151</v>
      </c>
      <c r="F369" s="210" t="s">
        <v>86</v>
      </c>
      <c r="G369" s="210" t="s">
        <v>716</v>
      </c>
      <c r="H369" s="197">
        <v>0</v>
      </c>
      <c r="I369" s="210" t="s">
        <v>221</v>
      </c>
      <c r="J369" s="210">
        <v>2021</v>
      </c>
      <c r="K369" s="210">
        <v>2021</v>
      </c>
      <c r="L369" s="268" t="str">
        <f t="shared" si="75"/>
        <v>Simple</v>
      </c>
      <c r="M369" s="197">
        <v>65379.824999999997</v>
      </c>
      <c r="N369" s="197">
        <v>0</v>
      </c>
      <c r="O369" s="257">
        <f>IF(ISNA(MATCH(H369,'Operating leases'!$B$32:$B$43,0)),0,INDEX('Operating leases'!$M$32:$S$43,MATCH(H369,'Operating leases'!$B$32:$B$43,0),MATCH(J369,'Operating leases'!$M$11:$S$11,0)))</f>
        <v>0</v>
      </c>
      <c r="P369" s="257">
        <f t="shared" si="76"/>
        <v>65379.824999999997</v>
      </c>
      <c r="Q369" s="257">
        <f t="shared" si="77"/>
        <v>65379.824999999997</v>
      </c>
      <c r="R369" s="258">
        <f>INDEX('Escalators '!$M$124:$S$129,MATCH(I369,'Escalators '!$B$124:$B$129,0),MATCH(J369,'Escalators '!$M$113:$S$113,0))</f>
        <v>1.0120900655357943</v>
      </c>
      <c r="S369" s="257">
        <f t="shared" si="78"/>
        <v>0</v>
      </c>
      <c r="T369" s="257">
        <f t="shared" si="79"/>
        <v>0</v>
      </c>
      <c r="U369" s="269">
        <f t="shared" si="80"/>
        <v>66170.271368968752</v>
      </c>
      <c r="V369" s="269">
        <f t="shared" si="81"/>
        <v>66170.271368968752</v>
      </c>
      <c r="W369" s="269">
        <f t="shared" si="82"/>
        <v>66170.271368968752</v>
      </c>
      <c r="X369" s="257">
        <f t="shared" si="83"/>
        <v>66170.271368968752</v>
      </c>
      <c r="Y369" s="270">
        <f>IF(L369="Complex",(INDEX('Escalators '!$M$176:$S$176,MATCH('Forecast capex'!J369,'Escalators '!$M$178:$S$178,0))/12+1)^((K369-J369)*12)-1,0)</f>
        <v>0</v>
      </c>
      <c r="Z369" s="257">
        <f t="shared" si="84"/>
        <v>0</v>
      </c>
      <c r="AA369" s="257">
        <f t="shared" si="85"/>
        <v>0</v>
      </c>
      <c r="AB369" s="269">
        <f t="shared" si="86"/>
        <v>0</v>
      </c>
      <c r="AC369" s="269">
        <f t="shared" si="87"/>
        <v>0</v>
      </c>
      <c r="AD369" s="271" t="str">
        <f>INDEX('Global inputs'!$C$134:$C$171,MATCH(F369,'Global inputs'!$B$134:$B$171,0))</f>
        <v xml:space="preserve">System growth </v>
      </c>
      <c r="AE369" s="272">
        <f>IF(OR(H369='Operating leases'!$B$32,H369='Operating leases'!$B$33),"",INDEX('Global inputs'!$C$186:$C$243,MATCH(E369,'Global inputs'!$B$186:$B$243,0)))</f>
        <v>0.1</v>
      </c>
    </row>
    <row r="370" spans="1:31" s="27" customFormat="1" x14ac:dyDescent="0.2">
      <c r="A370" s="250"/>
      <c r="B370" s="210" t="s">
        <v>746</v>
      </c>
      <c r="C370" s="210" t="s">
        <v>287</v>
      </c>
      <c r="D370" s="210" t="s">
        <v>715</v>
      </c>
      <c r="E370" s="210" t="s">
        <v>153</v>
      </c>
      <c r="F370" s="210" t="s">
        <v>86</v>
      </c>
      <c r="G370" s="210" t="s">
        <v>716</v>
      </c>
      <c r="H370" s="197">
        <v>0</v>
      </c>
      <c r="I370" s="210" t="s">
        <v>229</v>
      </c>
      <c r="J370" s="210">
        <v>2021</v>
      </c>
      <c r="K370" s="210">
        <v>2021</v>
      </c>
      <c r="L370" s="268" t="str">
        <f t="shared" si="75"/>
        <v>Simple</v>
      </c>
      <c r="M370" s="197">
        <v>29057.7</v>
      </c>
      <c r="N370" s="197">
        <v>0</v>
      </c>
      <c r="O370" s="257">
        <f>IF(ISNA(MATCH(H370,'Operating leases'!$B$32:$B$43,0)),0,INDEX('Operating leases'!$M$32:$S$43,MATCH(H370,'Operating leases'!$B$32:$B$43,0),MATCH(J370,'Operating leases'!$M$11:$S$11,0)))</f>
        <v>0</v>
      </c>
      <c r="P370" s="257">
        <f t="shared" si="76"/>
        <v>29057.7</v>
      </c>
      <c r="Q370" s="257">
        <f t="shared" si="77"/>
        <v>29057.7</v>
      </c>
      <c r="R370" s="258">
        <f>INDEX('Escalators '!$M$124:$S$129,MATCH(I370,'Escalators '!$B$124:$B$129,0),MATCH(J370,'Escalators '!$M$113:$S$113,0))</f>
        <v>1.0206154571717865</v>
      </c>
      <c r="S370" s="257">
        <f t="shared" si="78"/>
        <v>0</v>
      </c>
      <c r="T370" s="257">
        <f t="shared" si="79"/>
        <v>0</v>
      </c>
      <c r="U370" s="269">
        <f t="shared" si="80"/>
        <v>29656.737769860621</v>
      </c>
      <c r="V370" s="269">
        <f t="shared" si="81"/>
        <v>29656.737769860621</v>
      </c>
      <c r="W370" s="269">
        <f t="shared" si="82"/>
        <v>29656.737769860621</v>
      </c>
      <c r="X370" s="257">
        <f t="shared" si="83"/>
        <v>29656.737769860621</v>
      </c>
      <c r="Y370" s="270">
        <f>IF(L370="Complex",(INDEX('Escalators '!$M$176:$S$176,MATCH('Forecast capex'!J370,'Escalators '!$M$178:$S$178,0))/12+1)^((K370-J370)*12)-1,0)</f>
        <v>0</v>
      </c>
      <c r="Z370" s="257">
        <f t="shared" si="84"/>
        <v>0</v>
      </c>
      <c r="AA370" s="257">
        <f t="shared" si="85"/>
        <v>0</v>
      </c>
      <c r="AB370" s="269">
        <f t="shared" si="86"/>
        <v>0</v>
      </c>
      <c r="AC370" s="269">
        <f t="shared" si="87"/>
        <v>0</v>
      </c>
      <c r="AD370" s="271" t="str">
        <f>INDEX('Global inputs'!$C$134:$C$171,MATCH(F370,'Global inputs'!$B$134:$B$171,0))</f>
        <v xml:space="preserve">System growth </v>
      </c>
      <c r="AE370" s="272">
        <f>IF(OR(H370='Operating leases'!$B$32,H370='Operating leases'!$B$33),"",INDEX('Global inputs'!$C$186:$C$243,MATCH(E370,'Global inputs'!$B$186:$B$243,0)))</f>
        <v>0.08</v>
      </c>
    </row>
    <row r="371" spans="1:31" s="27" customFormat="1" x14ac:dyDescent="0.2">
      <c r="A371" s="250"/>
      <c r="B371" s="210" t="s">
        <v>746</v>
      </c>
      <c r="C371" s="210" t="s">
        <v>287</v>
      </c>
      <c r="D371" s="210" t="s">
        <v>715</v>
      </c>
      <c r="E371" s="210" t="s">
        <v>153</v>
      </c>
      <c r="F371" s="210" t="s">
        <v>86</v>
      </c>
      <c r="G371" s="210" t="s">
        <v>716</v>
      </c>
      <c r="H371" s="197">
        <v>0</v>
      </c>
      <c r="I371" s="210" t="s">
        <v>221</v>
      </c>
      <c r="J371" s="210">
        <v>2021</v>
      </c>
      <c r="K371" s="210">
        <v>2021</v>
      </c>
      <c r="L371" s="268" t="str">
        <f t="shared" si="75"/>
        <v>Simple</v>
      </c>
      <c r="M371" s="197">
        <v>29057.7</v>
      </c>
      <c r="N371" s="197">
        <v>0</v>
      </c>
      <c r="O371" s="257">
        <f>IF(ISNA(MATCH(H371,'Operating leases'!$B$32:$B$43,0)),0,INDEX('Operating leases'!$M$32:$S$43,MATCH(H371,'Operating leases'!$B$32:$B$43,0),MATCH(J371,'Operating leases'!$M$11:$S$11,0)))</f>
        <v>0</v>
      </c>
      <c r="P371" s="257">
        <f t="shared" si="76"/>
        <v>29057.7</v>
      </c>
      <c r="Q371" s="257">
        <f t="shared" si="77"/>
        <v>29057.7</v>
      </c>
      <c r="R371" s="258">
        <f>INDEX('Escalators '!$M$124:$S$129,MATCH(I371,'Escalators '!$B$124:$B$129,0),MATCH(J371,'Escalators '!$M$113:$S$113,0))</f>
        <v>1.0120900655357943</v>
      </c>
      <c r="S371" s="257">
        <f t="shared" si="78"/>
        <v>0</v>
      </c>
      <c r="T371" s="257">
        <f t="shared" si="79"/>
        <v>0</v>
      </c>
      <c r="U371" s="269">
        <f t="shared" si="80"/>
        <v>29409.00949731945</v>
      </c>
      <c r="V371" s="269">
        <f t="shared" si="81"/>
        <v>29409.00949731945</v>
      </c>
      <c r="W371" s="269">
        <f t="shared" si="82"/>
        <v>29409.00949731945</v>
      </c>
      <c r="X371" s="257">
        <f t="shared" si="83"/>
        <v>29409.00949731945</v>
      </c>
      <c r="Y371" s="270">
        <f>IF(L371="Complex",(INDEX('Escalators '!$M$176:$S$176,MATCH('Forecast capex'!J371,'Escalators '!$M$178:$S$178,0))/12+1)^((K371-J371)*12)-1,0)</f>
        <v>0</v>
      </c>
      <c r="Z371" s="257">
        <f t="shared" si="84"/>
        <v>0</v>
      </c>
      <c r="AA371" s="257">
        <f t="shared" si="85"/>
        <v>0</v>
      </c>
      <c r="AB371" s="269">
        <f t="shared" si="86"/>
        <v>0</v>
      </c>
      <c r="AC371" s="269">
        <f t="shared" si="87"/>
        <v>0</v>
      </c>
      <c r="AD371" s="271" t="str">
        <f>INDEX('Global inputs'!$C$134:$C$171,MATCH(F371,'Global inputs'!$B$134:$B$171,0))</f>
        <v xml:space="preserve">System growth </v>
      </c>
      <c r="AE371" s="272">
        <f>IF(OR(H371='Operating leases'!$B$32,H371='Operating leases'!$B$33),"",INDEX('Global inputs'!$C$186:$C$243,MATCH(E371,'Global inputs'!$B$186:$B$243,0)))</f>
        <v>0.08</v>
      </c>
    </row>
    <row r="372" spans="1:31" s="27" customFormat="1" x14ac:dyDescent="0.2">
      <c r="A372" s="250"/>
      <c r="B372" s="210" t="s">
        <v>746</v>
      </c>
      <c r="C372" s="210" t="s">
        <v>287</v>
      </c>
      <c r="D372" s="210" t="s">
        <v>715</v>
      </c>
      <c r="E372" s="210" t="s">
        <v>154</v>
      </c>
      <c r="F372" s="210" t="s">
        <v>86</v>
      </c>
      <c r="G372" s="210" t="s">
        <v>716</v>
      </c>
      <c r="H372" s="197">
        <v>0</v>
      </c>
      <c r="I372" s="210" t="s">
        <v>229</v>
      </c>
      <c r="J372" s="210">
        <v>2021</v>
      </c>
      <c r="K372" s="210">
        <v>2021</v>
      </c>
      <c r="L372" s="268" t="str">
        <f t="shared" si="75"/>
        <v>Simple</v>
      </c>
      <c r="M372" s="197">
        <v>29057.7</v>
      </c>
      <c r="N372" s="197">
        <v>0</v>
      </c>
      <c r="O372" s="257">
        <f>IF(ISNA(MATCH(H372,'Operating leases'!$B$32:$B$43,0)),0,INDEX('Operating leases'!$M$32:$S$43,MATCH(H372,'Operating leases'!$B$32:$B$43,0),MATCH(J372,'Operating leases'!$M$11:$S$11,0)))</f>
        <v>0</v>
      </c>
      <c r="P372" s="257">
        <f t="shared" si="76"/>
        <v>29057.7</v>
      </c>
      <c r="Q372" s="257">
        <f t="shared" si="77"/>
        <v>29057.7</v>
      </c>
      <c r="R372" s="258">
        <f>INDEX('Escalators '!$M$124:$S$129,MATCH(I372,'Escalators '!$B$124:$B$129,0),MATCH(J372,'Escalators '!$M$113:$S$113,0))</f>
        <v>1.0206154571717865</v>
      </c>
      <c r="S372" s="257">
        <f t="shared" si="78"/>
        <v>0</v>
      </c>
      <c r="T372" s="257">
        <f t="shared" si="79"/>
        <v>0</v>
      </c>
      <c r="U372" s="269">
        <f t="shared" si="80"/>
        <v>29656.737769860621</v>
      </c>
      <c r="V372" s="269">
        <f t="shared" si="81"/>
        <v>29656.737769860621</v>
      </c>
      <c r="W372" s="269">
        <f t="shared" si="82"/>
        <v>29656.737769860621</v>
      </c>
      <c r="X372" s="257">
        <f t="shared" si="83"/>
        <v>29656.737769860621</v>
      </c>
      <c r="Y372" s="270">
        <f>IF(L372="Complex",(INDEX('Escalators '!$M$176:$S$176,MATCH('Forecast capex'!J372,'Escalators '!$M$178:$S$178,0))/12+1)^((K372-J372)*12)-1,0)</f>
        <v>0</v>
      </c>
      <c r="Z372" s="257">
        <f t="shared" si="84"/>
        <v>0</v>
      </c>
      <c r="AA372" s="257">
        <f t="shared" si="85"/>
        <v>0</v>
      </c>
      <c r="AB372" s="269">
        <f t="shared" si="86"/>
        <v>0</v>
      </c>
      <c r="AC372" s="269">
        <f t="shared" si="87"/>
        <v>0</v>
      </c>
      <c r="AD372" s="271" t="str">
        <f>INDEX('Global inputs'!$C$134:$C$171,MATCH(F372,'Global inputs'!$B$134:$B$171,0))</f>
        <v xml:space="preserve">System growth </v>
      </c>
      <c r="AE372" s="272">
        <f>IF(OR(H372='Operating leases'!$B$32,H372='Operating leases'!$B$33),"",INDEX('Global inputs'!$C$186:$C$243,MATCH(E372,'Global inputs'!$B$186:$B$243,0)))</f>
        <v>0.1</v>
      </c>
    </row>
    <row r="373" spans="1:31" s="27" customFormat="1" x14ac:dyDescent="0.2">
      <c r="A373" s="250"/>
      <c r="B373" s="210" t="s">
        <v>746</v>
      </c>
      <c r="C373" s="210" t="s">
        <v>287</v>
      </c>
      <c r="D373" s="210" t="s">
        <v>715</v>
      </c>
      <c r="E373" s="210" t="s">
        <v>154</v>
      </c>
      <c r="F373" s="210" t="s">
        <v>86</v>
      </c>
      <c r="G373" s="210" t="s">
        <v>716</v>
      </c>
      <c r="H373" s="197">
        <v>0</v>
      </c>
      <c r="I373" s="210" t="s">
        <v>221</v>
      </c>
      <c r="J373" s="210">
        <v>2021</v>
      </c>
      <c r="K373" s="210">
        <v>2021</v>
      </c>
      <c r="L373" s="268" t="str">
        <f t="shared" si="75"/>
        <v>Simple</v>
      </c>
      <c r="M373" s="197">
        <v>29057.7</v>
      </c>
      <c r="N373" s="197">
        <v>0</v>
      </c>
      <c r="O373" s="257">
        <f>IF(ISNA(MATCH(H373,'Operating leases'!$B$32:$B$43,0)),0,INDEX('Operating leases'!$M$32:$S$43,MATCH(H373,'Operating leases'!$B$32:$B$43,0),MATCH(J373,'Operating leases'!$M$11:$S$11,0)))</f>
        <v>0</v>
      </c>
      <c r="P373" s="257">
        <f t="shared" si="76"/>
        <v>29057.7</v>
      </c>
      <c r="Q373" s="257">
        <f t="shared" si="77"/>
        <v>29057.7</v>
      </c>
      <c r="R373" s="258">
        <f>INDEX('Escalators '!$M$124:$S$129,MATCH(I373,'Escalators '!$B$124:$B$129,0),MATCH(J373,'Escalators '!$M$113:$S$113,0))</f>
        <v>1.0120900655357943</v>
      </c>
      <c r="S373" s="257">
        <f t="shared" si="78"/>
        <v>0</v>
      </c>
      <c r="T373" s="257">
        <f t="shared" si="79"/>
        <v>0</v>
      </c>
      <c r="U373" s="269">
        <f t="shared" si="80"/>
        <v>29409.00949731945</v>
      </c>
      <c r="V373" s="269">
        <f t="shared" si="81"/>
        <v>29409.00949731945</v>
      </c>
      <c r="W373" s="269">
        <f t="shared" si="82"/>
        <v>29409.00949731945</v>
      </c>
      <c r="X373" s="257">
        <f t="shared" si="83"/>
        <v>29409.00949731945</v>
      </c>
      <c r="Y373" s="270">
        <f>IF(L373="Complex",(INDEX('Escalators '!$M$176:$S$176,MATCH('Forecast capex'!J373,'Escalators '!$M$178:$S$178,0))/12+1)^((K373-J373)*12)-1,0)</f>
        <v>0</v>
      </c>
      <c r="Z373" s="257">
        <f t="shared" si="84"/>
        <v>0</v>
      </c>
      <c r="AA373" s="257">
        <f t="shared" si="85"/>
        <v>0</v>
      </c>
      <c r="AB373" s="269">
        <f t="shared" si="86"/>
        <v>0</v>
      </c>
      <c r="AC373" s="269">
        <f t="shared" si="87"/>
        <v>0</v>
      </c>
      <c r="AD373" s="271" t="str">
        <f>INDEX('Global inputs'!$C$134:$C$171,MATCH(F373,'Global inputs'!$B$134:$B$171,0))</f>
        <v xml:space="preserve">System growth </v>
      </c>
      <c r="AE373" s="272">
        <f>IF(OR(H373='Operating leases'!$B$32,H373='Operating leases'!$B$33),"",INDEX('Global inputs'!$C$186:$C$243,MATCH(E373,'Global inputs'!$B$186:$B$243,0)))</f>
        <v>0.1</v>
      </c>
    </row>
    <row r="374" spans="1:31" s="27" customFormat="1" x14ac:dyDescent="0.2">
      <c r="A374" s="250"/>
      <c r="B374" s="210" t="s">
        <v>746</v>
      </c>
      <c r="C374" s="210" t="s">
        <v>287</v>
      </c>
      <c r="D374" s="210" t="s">
        <v>715</v>
      </c>
      <c r="E374" s="210" t="s">
        <v>150</v>
      </c>
      <c r="F374" s="210" t="s">
        <v>86</v>
      </c>
      <c r="G374" s="210" t="s">
        <v>717</v>
      </c>
      <c r="H374" s="197">
        <v>0</v>
      </c>
      <c r="I374" s="210" t="s">
        <v>229</v>
      </c>
      <c r="J374" s="210">
        <v>2021</v>
      </c>
      <c r="K374" s="210">
        <v>2021</v>
      </c>
      <c r="L374" s="268" t="str">
        <f t="shared" si="75"/>
        <v>Simple</v>
      </c>
      <c r="M374" s="197">
        <v>43586.549999999996</v>
      </c>
      <c r="N374" s="197">
        <v>0</v>
      </c>
      <c r="O374" s="257">
        <f>IF(ISNA(MATCH(H374,'Operating leases'!$B$32:$B$43,0)),0,INDEX('Operating leases'!$M$32:$S$43,MATCH(H374,'Operating leases'!$B$32:$B$43,0),MATCH(J374,'Operating leases'!$M$11:$S$11,0)))</f>
        <v>0</v>
      </c>
      <c r="P374" s="257">
        <f t="shared" si="76"/>
        <v>43586.549999999996</v>
      </c>
      <c r="Q374" s="257">
        <f t="shared" si="77"/>
        <v>43586.549999999996</v>
      </c>
      <c r="R374" s="258">
        <f>INDEX('Escalators '!$M$124:$S$129,MATCH(I374,'Escalators '!$B$124:$B$129,0),MATCH(J374,'Escalators '!$M$113:$S$113,0))</f>
        <v>1.0206154571717865</v>
      </c>
      <c r="S374" s="257">
        <f t="shared" si="78"/>
        <v>0</v>
      </c>
      <c r="T374" s="257">
        <f t="shared" si="79"/>
        <v>0</v>
      </c>
      <c r="U374" s="269">
        <f t="shared" si="80"/>
        <v>44485.106654790929</v>
      </c>
      <c r="V374" s="269">
        <f t="shared" si="81"/>
        <v>44485.106654790929</v>
      </c>
      <c r="W374" s="269">
        <f t="shared" si="82"/>
        <v>44485.106654790929</v>
      </c>
      <c r="X374" s="257">
        <f t="shared" si="83"/>
        <v>44485.106654790929</v>
      </c>
      <c r="Y374" s="270">
        <f>IF(L374="Complex",(INDEX('Escalators '!$M$176:$S$176,MATCH('Forecast capex'!J374,'Escalators '!$M$178:$S$178,0))/12+1)^((K374-J374)*12)-1,0)</f>
        <v>0</v>
      </c>
      <c r="Z374" s="257">
        <f t="shared" si="84"/>
        <v>0</v>
      </c>
      <c r="AA374" s="257">
        <f t="shared" si="85"/>
        <v>0</v>
      </c>
      <c r="AB374" s="269">
        <f t="shared" si="86"/>
        <v>0</v>
      </c>
      <c r="AC374" s="269">
        <f t="shared" si="87"/>
        <v>0</v>
      </c>
      <c r="AD374" s="271" t="str">
        <f>INDEX('Global inputs'!$C$134:$C$171,MATCH(F374,'Global inputs'!$B$134:$B$171,0))</f>
        <v xml:space="preserve">System growth </v>
      </c>
      <c r="AE374" s="272">
        <f>IF(OR(H374='Operating leases'!$B$32,H374='Operating leases'!$B$33),"",INDEX('Global inputs'!$C$186:$C$243,MATCH(E374,'Global inputs'!$B$186:$B$243,0)))</f>
        <v>0.08</v>
      </c>
    </row>
    <row r="375" spans="1:31" s="27" customFormat="1" x14ac:dyDescent="0.2">
      <c r="A375" s="250"/>
      <c r="B375" s="210" t="s">
        <v>746</v>
      </c>
      <c r="C375" s="210" t="s">
        <v>287</v>
      </c>
      <c r="D375" s="210" t="s">
        <v>715</v>
      </c>
      <c r="E375" s="210" t="s">
        <v>150</v>
      </c>
      <c r="F375" s="210" t="s">
        <v>86</v>
      </c>
      <c r="G375" s="210" t="s">
        <v>717</v>
      </c>
      <c r="H375" s="197">
        <v>0</v>
      </c>
      <c r="I375" s="210" t="s">
        <v>221</v>
      </c>
      <c r="J375" s="210">
        <v>2021</v>
      </c>
      <c r="K375" s="210">
        <v>2021</v>
      </c>
      <c r="L375" s="268" t="str">
        <f t="shared" si="75"/>
        <v>Simple</v>
      </c>
      <c r="M375" s="197">
        <v>43586.549999999996</v>
      </c>
      <c r="N375" s="197">
        <v>0</v>
      </c>
      <c r="O375" s="257">
        <f>IF(ISNA(MATCH(H375,'Operating leases'!$B$32:$B$43,0)),0,INDEX('Operating leases'!$M$32:$S$43,MATCH(H375,'Operating leases'!$B$32:$B$43,0),MATCH(J375,'Operating leases'!$M$11:$S$11,0)))</f>
        <v>0</v>
      </c>
      <c r="P375" s="257">
        <f t="shared" si="76"/>
        <v>43586.549999999996</v>
      </c>
      <c r="Q375" s="257">
        <f t="shared" si="77"/>
        <v>43586.549999999996</v>
      </c>
      <c r="R375" s="258">
        <f>INDEX('Escalators '!$M$124:$S$129,MATCH(I375,'Escalators '!$B$124:$B$129,0),MATCH(J375,'Escalators '!$M$113:$S$113,0))</f>
        <v>1.0120900655357943</v>
      </c>
      <c r="S375" s="257">
        <f t="shared" si="78"/>
        <v>0</v>
      </c>
      <c r="T375" s="257">
        <f t="shared" si="79"/>
        <v>0</v>
      </c>
      <c r="U375" s="269">
        <f t="shared" si="80"/>
        <v>44113.514245979168</v>
      </c>
      <c r="V375" s="269">
        <f t="shared" si="81"/>
        <v>44113.514245979168</v>
      </c>
      <c r="W375" s="269">
        <f t="shared" si="82"/>
        <v>44113.514245979168</v>
      </c>
      <c r="X375" s="257">
        <f t="shared" si="83"/>
        <v>44113.514245979168</v>
      </c>
      <c r="Y375" s="270">
        <f>IF(L375="Complex",(INDEX('Escalators '!$M$176:$S$176,MATCH('Forecast capex'!J375,'Escalators '!$M$178:$S$178,0))/12+1)^((K375-J375)*12)-1,0)</f>
        <v>0</v>
      </c>
      <c r="Z375" s="257">
        <f t="shared" si="84"/>
        <v>0</v>
      </c>
      <c r="AA375" s="257">
        <f t="shared" si="85"/>
        <v>0</v>
      </c>
      <c r="AB375" s="269">
        <f t="shared" si="86"/>
        <v>0</v>
      </c>
      <c r="AC375" s="269">
        <f t="shared" si="87"/>
        <v>0</v>
      </c>
      <c r="AD375" s="271" t="str">
        <f>INDEX('Global inputs'!$C$134:$C$171,MATCH(F375,'Global inputs'!$B$134:$B$171,0))</f>
        <v xml:space="preserve">System growth </v>
      </c>
      <c r="AE375" s="272">
        <f>IF(OR(H375='Operating leases'!$B$32,H375='Operating leases'!$B$33),"",INDEX('Global inputs'!$C$186:$C$243,MATCH(E375,'Global inputs'!$B$186:$B$243,0)))</f>
        <v>0.08</v>
      </c>
    </row>
    <row r="376" spans="1:31" s="27" customFormat="1" x14ac:dyDescent="0.2">
      <c r="A376" s="250"/>
      <c r="B376" s="210" t="s">
        <v>746</v>
      </c>
      <c r="C376" s="210" t="s">
        <v>287</v>
      </c>
      <c r="D376" s="210" t="s">
        <v>715</v>
      </c>
      <c r="E376" s="210" t="s">
        <v>151</v>
      </c>
      <c r="F376" s="210" t="s">
        <v>86</v>
      </c>
      <c r="G376" s="210" t="s">
        <v>717</v>
      </c>
      <c r="H376" s="197">
        <v>0</v>
      </c>
      <c r="I376" s="210" t="s">
        <v>229</v>
      </c>
      <c r="J376" s="210">
        <v>2021</v>
      </c>
      <c r="K376" s="210">
        <v>2021</v>
      </c>
      <c r="L376" s="268" t="str">
        <f t="shared" si="75"/>
        <v>Simple</v>
      </c>
      <c r="M376" s="197">
        <v>43586.549999999996</v>
      </c>
      <c r="N376" s="197">
        <v>0</v>
      </c>
      <c r="O376" s="257">
        <f>IF(ISNA(MATCH(H376,'Operating leases'!$B$32:$B$43,0)),0,INDEX('Operating leases'!$M$32:$S$43,MATCH(H376,'Operating leases'!$B$32:$B$43,0),MATCH(J376,'Operating leases'!$M$11:$S$11,0)))</f>
        <v>0</v>
      </c>
      <c r="P376" s="257">
        <f t="shared" si="76"/>
        <v>43586.549999999996</v>
      </c>
      <c r="Q376" s="257">
        <f t="shared" si="77"/>
        <v>43586.549999999996</v>
      </c>
      <c r="R376" s="258">
        <f>INDEX('Escalators '!$M$124:$S$129,MATCH(I376,'Escalators '!$B$124:$B$129,0),MATCH(J376,'Escalators '!$M$113:$S$113,0))</f>
        <v>1.0206154571717865</v>
      </c>
      <c r="S376" s="257">
        <f t="shared" si="78"/>
        <v>0</v>
      </c>
      <c r="T376" s="257">
        <f t="shared" si="79"/>
        <v>0</v>
      </c>
      <c r="U376" s="269">
        <f t="shared" si="80"/>
        <v>44485.106654790929</v>
      </c>
      <c r="V376" s="269">
        <f t="shared" si="81"/>
        <v>44485.106654790929</v>
      </c>
      <c r="W376" s="269">
        <f t="shared" si="82"/>
        <v>44485.106654790929</v>
      </c>
      <c r="X376" s="257">
        <f t="shared" si="83"/>
        <v>44485.106654790929</v>
      </c>
      <c r="Y376" s="270">
        <f>IF(L376="Complex",(INDEX('Escalators '!$M$176:$S$176,MATCH('Forecast capex'!J376,'Escalators '!$M$178:$S$178,0))/12+1)^((K376-J376)*12)-1,0)</f>
        <v>0</v>
      </c>
      <c r="Z376" s="257">
        <f t="shared" si="84"/>
        <v>0</v>
      </c>
      <c r="AA376" s="257">
        <f t="shared" si="85"/>
        <v>0</v>
      </c>
      <c r="AB376" s="269">
        <f t="shared" si="86"/>
        <v>0</v>
      </c>
      <c r="AC376" s="269">
        <f t="shared" si="87"/>
        <v>0</v>
      </c>
      <c r="AD376" s="271" t="str">
        <f>INDEX('Global inputs'!$C$134:$C$171,MATCH(F376,'Global inputs'!$B$134:$B$171,0))</f>
        <v xml:space="preserve">System growth </v>
      </c>
      <c r="AE376" s="272">
        <f>IF(OR(H376='Operating leases'!$B$32,H376='Operating leases'!$B$33),"",INDEX('Global inputs'!$C$186:$C$243,MATCH(E376,'Global inputs'!$B$186:$B$243,0)))</f>
        <v>0.1</v>
      </c>
    </row>
    <row r="377" spans="1:31" s="27" customFormat="1" x14ac:dyDescent="0.2">
      <c r="A377" s="250"/>
      <c r="B377" s="210" t="s">
        <v>746</v>
      </c>
      <c r="C377" s="210" t="s">
        <v>287</v>
      </c>
      <c r="D377" s="210" t="s">
        <v>715</v>
      </c>
      <c r="E377" s="210" t="s">
        <v>151</v>
      </c>
      <c r="F377" s="210" t="s">
        <v>86</v>
      </c>
      <c r="G377" s="210" t="s">
        <v>717</v>
      </c>
      <c r="H377" s="197">
        <v>0</v>
      </c>
      <c r="I377" s="210" t="s">
        <v>221</v>
      </c>
      <c r="J377" s="210">
        <v>2021</v>
      </c>
      <c r="K377" s="210">
        <v>2021</v>
      </c>
      <c r="L377" s="268" t="str">
        <f t="shared" si="75"/>
        <v>Simple</v>
      </c>
      <c r="M377" s="197">
        <v>43586.549999999996</v>
      </c>
      <c r="N377" s="197">
        <v>0</v>
      </c>
      <c r="O377" s="257">
        <f>IF(ISNA(MATCH(H377,'Operating leases'!$B$32:$B$43,0)),0,INDEX('Operating leases'!$M$32:$S$43,MATCH(H377,'Operating leases'!$B$32:$B$43,0),MATCH(J377,'Operating leases'!$M$11:$S$11,0)))</f>
        <v>0</v>
      </c>
      <c r="P377" s="257">
        <f t="shared" si="76"/>
        <v>43586.549999999996</v>
      </c>
      <c r="Q377" s="257">
        <f t="shared" si="77"/>
        <v>43586.549999999996</v>
      </c>
      <c r="R377" s="258">
        <f>INDEX('Escalators '!$M$124:$S$129,MATCH(I377,'Escalators '!$B$124:$B$129,0),MATCH(J377,'Escalators '!$M$113:$S$113,0))</f>
        <v>1.0120900655357943</v>
      </c>
      <c r="S377" s="257">
        <f t="shared" si="78"/>
        <v>0</v>
      </c>
      <c r="T377" s="257">
        <f t="shared" si="79"/>
        <v>0</v>
      </c>
      <c r="U377" s="269">
        <f t="shared" si="80"/>
        <v>44113.514245979168</v>
      </c>
      <c r="V377" s="269">
        <f t="shared" si="81"/>
        <v>44113.514245979168</v>
      </c>
      <c r="W377" s="269">
        <f t="shared" si="82"/>
        <v>44113.514245979168</v>
      </c>
      <c r="X377" s="257">
        <f t="shared" si="83"/>
        <v>44113.514245979168</v>
      </c>
      <c r="Y377" s="270">
        <f>IF(L377="Complex",(INDEX('Escalators '!$M$176:$S$176,MATCH('Forecast capex'!J377,'Escalators '!$M$178:$S$178,0))/12+1)^((K377-J377)*12)-1,0)</f>
        <v>0</v>
      </c>
      <c r="Z377" s="257">
        <f t="shared" si="84"/>
        <v>0</v>
      </c>
      <c r="AA377" s="257">
        <f t="shared" si="85"/>
        <v>0</v>
      </c>
      <c r="AB377" s="269">
        <f t="shared" si="86"/>
        <v>0</v>
      </c>
      <c r="AC377" s="269">
        <f t="shared" si="87"/>
        <v>0</v>
      </c>
      <c r="AD377" s="271" t="str">
        <f>INDEX('Global inputs'!$C$134:$C$171,MATCH(F377,'Global inputs'!$B$134:$B$171,0))</f>
        <v xml:space="preserve">System growth </v>
      </c>
      <c r="AE377" s="272">
        <f>IF(OR(H377='Operating leases'!$B$32,H377='Operating leases'!$B$33),"",INDEX('Global inputs'!$C$186:$C$243,MATCH(E377,'Global inputs'!$B$186:$B$243,0)))</f>
        <v>0.1</v>
      </c>
    </row>
    <row r="378" spans="1:31" s="27" customFormat="1" x14ac:dyDescent="0.2">
      <c r="A378" s="250"/>
      <c r="B378" s="210" t="s">
        <v>746</v>
      </c>
      <c r="C378" s="210" t="s">
        <v>287</v>
      </c>
      <c r="D378" s="210" t="s">
        <v>715</v>
      </c>
      <c r="E378" s="210" t="s">
        <v>153</v>
      </c>
      <c r="F378" s="210" t="s">
        <v>86</v>
      </c>
      <c r="G378" s="210" t="s">
        <v>717</v>
      </c>
      <c r="H378" s="197">
        <v>0</v>
      </c>
      <c r="I378" s="210" t="s">
        <v>229</v>
      </c>
      <c r="J378" s="210">
        <v>2021</v>
      </c>
      <c r="K378" s="210">
        <v>2021</v>
      </c>
      <c r="L378" s="268" t="str">
        <f t="shared" si="75"/>
        <v>Simple</v>
      </c>
      <c r="M378" s="197">
        <v>21793.274999999998</v>
      </c>
      <c r="N378" s="197">
        <v>0</v>
      </c>
      <c r="O378" s="257">
        <f>IF(ISNA(MATCH(H378,'Operating leases'!$B$32:$B$43,0)),0,INDEX('Operating leases'!$M$32:$S$43,MATCH(H378,'Operating leases'!$B$32:$B$43,0),MATCH(J378,'Operating leases'!$M$11:$S$11,0)))</f>
        <v>0</v>
      </c>
      <c r="P378" s="257">
        <f t="shared" si="76"/>
        <v>21793.274999999998</v>
      </c>
      <c r="Q378" s="257">
        <f t="shared" si="77"/>
        <v>21793.274999999998</v>
      </c>
      <c r="R378" s="258">
        <f>INDEX('Escalators '!$M$124:$S$129,MATCH(I378,'Escalators '!$B$124:$B$129,0),MATCH(J378,'Escalators '!$M$113:$S$113,0))</f>
        <v>1.0206154571717865</v>
      </c>
      <c r="S378" s="257">
        <f t="shared" si="78"/>
        <v>0</v>
      </c>
      <c r="T378" s="257">
        <f t="shared" si="79"/>
        <v>0</v>
      </c>
      <c r="U378" s="269">
        <f t="shared" si="80"/>
        <v>22242.553327395464</v>
      </c>
      <c r="V378" s="269">
        <f t="shared" si="81"/>
        <v>22242.553327395464</v>
      </c>
      <c r="W378" s="269">
        <f t="shared" si="82"/>
        <v>22242.553327395464</v>
      </c>
      <c r="X378" s="257">
        <f t="shared" si="83"/>
        <v>22242.553327395464</v>
      </c>
      <c r="Y378" s="270">
        <f>IF(L378="Complex",(INDEX('Escalators '!$M$176:$S$176,MATCH('Forecast capex'!J378,'Escalators '!$M$178:$S$178,0))/12+1)^((K378-J378)*12)-1,0)</f>
        <v>0</v>
      </c>
      <c r="Z378" s="257">
        <f t="shared" si="84"/>
        <v>0</v>
      </c>
      <c r="AA378" s="257">
        <f t="shared" si="85"/>
        <v>0</v>
      </c>
      <c r="AB378" s="269">
        <f t="shared" si="86"/>
        <v>0</v>
      </c>
      <c r="AC378" s="269">
        <f t="shared" si="87"/>
        <v>0</v>
      </c>
      <c r="AD378" s="271" t="str">
        <f>INDEX('Global inputs'!$C$134:$C$171,MATCH(F378,'Global inputs'!$B$134:$B$171,0))</f>
        <v xml:space="preserve">System growth </v>
      </c>
      <c r="AE378" s="272">
        <f>IF(OR(H378='Operating leases'!$B$32,H378='Operating leases'!$B$33),"",INDEX('Global inputs'!$C$186:$C$243,MATCH(E378,'Global inputs'!$B$186:$B$243,0)))</f>
        <v>0.08</v>
      </c>
    </row>
    <row r="379" spans="1:31" s="27" customFormat="1" x14ac:dyDescent="0.2">
      <c r="A379" s="250"/>
      <c r="B379" s="210" t="s">
        <v>746</v>
      </c>
      <c r="C379" s="210" t="s">
        <v>287</v>
      </c>
      <c r="D379" s="210" t="s">
        <v>715</v>
      </c>
      <c r="E379" s="210" t="s">
        <v>153</v>
      </c>
      <c r="F379" s="210" t="s">
        <v>86</v>
      </c>
      <c r="G379" s="210" t="s">
        <v>717</v>
      </c>
      <c r="H379" s="197">
        <v>0</v>
      </c>
      <c r="I379" s="210" t="s">
        <v>221</v>
      </c>
      <c r="J379" s="210">
        <v>2021</v>
      </c>
      <c r="K379" s="210">
        <v>2021</v>
      </c>
      <c r="L379" s="268" t="str">
        <f t="shared" si="75"/>
        <v>Simple</v>
      </c>
      <c r="M379" s="197">
        <v>21793.274999999998</v>
      </c>
      <c r="N379" s="197">
        <v>0</v>
      </c>
      <c r="O379" s="257">
        <f>IF(ISNA(MATCH(H379,'Operating leases'!$B$32:$B$43,0)),0,INDEX('Operating leases'!$M$32:$S$43,MATCH(H379,'Operating leases'!$B$32:$B$43,0),MATCH(J379,'Operating leases'!$M$11:$S$11,0)))</f>
        <v>0</v>
      </c>
      <c r="P379" s="257">
        <f t="shared" si="76"/>
        <v>21793.274999999998</v>
      </c>
      <c r="Q379" s="257">
        <f t="shared" si="77"/>
        <v>21793.274999999998</v>
      </c>
      <c r="R379" s="258">
        <f>INDEX('Escalators '!$M$124:$S$129,MATCH(I379,'Escalators '!$B$124:$B$129,0),MATCH(J379,'Escalators '!$M$113:$S$113,0))</f>
        <v>1.0120900655357943</v>
      </c>
      <c r="S379" s="257">
        <f t="shared" si="78"/>
        <v>0</v>
      </c>
      <c r="T379" s="257">
        <f t="shared" si="79"/>
        <v>0</v>
      </c>
      <c r="U379" s="269">
        <f t="shared" si="80"/>
        <v>22056.757122989584</v>
      </c>
      <c r="V379" s="269">
        <f t="shared" si="81"/>
        <v>22056.757122989584</v>
      </c>
      <c r="W379" s="269">
        <f t="shared" si="82"/>
        <v>22056.757122989584</v>
      </c>
      <c r="X379" s="257">
        <f t="shared" si="83"/>
        <v>22056.757122989584</v>
      </c>
      <c r="Y379" s="270">
        <f>IF(L379="Complex",(INDEX('Escalators '!$M$176:$S$176,MATCH('Forecast capex'!J379,'Escalators '!$M$178:$S$178,0))/12+1)^((K379-J379)*12)-1,0)</f>
        <v>0</v>
      </c>
      <c r="Z379" s="257">
        <f t="shared" si="84"/>
        <v>0</v>
      </c>
      <c r="AA379" s="257">
        <f t="shared" si="85"/>
        <v>0</v>
      </c>
      <c r="AB379" s="269">
        <f t="shared" si="86"/>
        <v>0</v>
      </c>
      <c r="AC379" s="269">
        <f t="shared" si="87"/>
        <v>0</v>
      </c>
      <c r="AD379" s="271" t="str">
        <f>INDEX('Global inputs'!$C$134:$C$171,MATCH(F379,'Global inputs'!$B$134:$B$171,0))</f>
        <v xml:space="preserve">System growth </v>
      </c>
      <c r="AE379" s="272">
        <f>IF(OR(H379='Operating leases'!$B$32,H379='Operating leases'!$B$33),"",INDEX('Global inputs'!$C$186:$C$243,MATCH(E379,'Global inputs'!$B$186:$B$243,0)))</f>
        <v>0.08</v>
      </c>
    </row>
    <row r="380" spans="1:31" s="27" customFormat="1" x14ac:dyDescent="0.2">
      <c r="A380" s="250"/>
      <c r="B380" s="210" t="s">
        <v>746</v>
      </c>
      <c r="C380" s="210" t="s">
        <v>287</v>
      </c>
      <c r="D380" s="210" t="s">
        <v>715</v>
      </c>
      <c r="E380" s="210" t="s">
        <v>154</v>
      </c>
      <c r="F380" s="210" t="s">
        <v>86</v>
      </c>
      <c r="G380" s="210" t="s">
        <v>717</v>
      </c>
      <c r="H380" s="197">
        <v>0</v>
      </c>
      <c r="I380" s="210" t="s">
        <v>229</v>
      </c>
      <c r="J380" s="210">
        <v>2021</v>
      </c>
      <c r="K380" s="210">
        <v>2021</v>
      </c>
      <c r="L380" s="268" t="str">
        <f t="shared" si="75"/>
        <v>Simple</v>
      </c>
      <c r="M380" s="197">
        <v>21793.274999999998</v>
      </c>
      <c r="N380" s="197">
        <v>0</v>
      </c>
      <c r="O380" s="257">
        <f>IF(ISNA(MATCH(H380,'Operating leases'!$B$32:$B$43,0)),0,INDEX('Operating leases'!$M$32:$S$43,MATCH(H380,'Operating leases'!$B$32:$B$43,0),MATCH(J380,'Operating leases'!$M$11:$S$11,0)))</f>
        <v>0</v>
      </c>
      <c r="P380" s="257">
        <f t="shared" si="76"/>
        <v>21793.274999999998</v>
      </c>
      <c r="Q380" s="257">
        <f t="shared" si="77"/>
        <v>21793.274999999998</v>
      </c>
      <c r="R380" s="258">
        <f>INDEX('Escalators '!$M$124:$S$129,MATCH(I380,'Escalators '!$B$124:$B$129,0),MATCH(J380,'Escalators '!$M$113:$S$113,0))</f>
        <v>1.0206154571717865</v>
      </c>
      <c r="S380" s="257">
        <f t="shared" si="78"/>
        <v>0</v>
      </c>
      <c r="T380" s="257">
        <f t="shared" si="79"/>
        <v>0</v>
      </c>
      <c r="U380" s="269">
        <f t="shared" si="80"/>
        <v>22242.553327395464</v>
      </c>
      <c r="V380" s="269">
        <f t="shared" si="81"/>
        <v>22242.553327395464</v>
      </c>
      <c r="W380" s="269">
        <f t="shared" si="82"/>
        <v>22242.553327395464</v>
      </c>
      <c r="X380" s="257">
        <f t="shared" si="83"/>
        <v>22242.553327395464</v>
      </c>
      <c r="Y380" s="270">
        <f>IF(L380="Complex",(INDEX('Escalators '!$M$176:$S$176,MATCH('Forecast capex'!J380,'Escalators '!$M$178:$S$178,0))/12+1)^((K380-J380)*12)-1,0)</f>
        <v>0</v>
      </c>
      <c r="Z380" s="257">
        <f t="shared" si="84"/>
        <v>0</v>
      </c>
      <c r="AA380" s="257">
        <f t="shared" si="85"/>
        <v>0</v>
      </c>
      <c r="AB380" s="269">
        <f t="shared" si="86"/>
        <v>0</v>
      </c>
      <c r="AC380" s="269">
        <f t="shared" si="87"/>
        <v>0</v>
      </c>
      <c r="AD380" s="271" t="str">
        <f>INDEX('Global inputs'!$C$134:$C$171,MATCH(F380,'Global inputs'!$B$134:$B$171,0))</f>
        <v xml:space="preserve">System growth </v>
      </c>
      <c r="AE380" s="272">
        <f>IF(OR(H380='Operating leases'!$B$32,H380='Operating leases'!$B$33),"",INDEX('Global inputs'!$C$186:$C$243,MATCH(E380,'Global inputs'!$B$186:$B$243,0)))</f>
        <v>0.1</v>
      </c>
    </row>
    <row r="381" spans="1:31" s="27" customFormat="1" x14ac:dyDescent="0.2">
      <c r="A381" s="250"/>
      <c r="B381" s="210" t="s">
        <v>746</v>
      </c>
      <c r="C381" s="210" t="s">
        <v>287</v>
      </c>
      <c r="D381" s="210" t="s">
        <v>715</v>
      </c>
      <c r="E381" s="210" t="s">
        <v>154</v>
      </c>
      <c r="F381" s="210" t="s">
        <v>86</v>
      </c>
      <c r="G381" s="210" t="s">
        <v>717</v>
      </c>
      <c r="H381" s="197">
        <v>0</v>
      </c>
      <c r="I381" s="210" t="s">
        <v>221</v>
      </c>
      <c r="J381" s="210">
        <v>2021</v>
      </c>
      <c r="K381" s="210">
        <v>2021</v>
      </c>
      <c r="L381" s="268" t="str">
        <f t="shared" si="75"/>
        <v>Simple</v>
      </c>
      <c r="M381" s="197">
        <v>21793.274999999998</v>
      </c>
      <c r="N381" s="197">
        <v>0</v>
      </c>
      <c r="O381" s="257">
        <f>IF(ISNA(MATCH(H381,'Operating leases'!$B$32:$B$43,0)),0,INDEX('Operating leases'!$M$32:$S$43,MATCH(H381,'Operating leases'!$B$32:$B$43,0),MATCH(J381,'Operating leases'!$M$11:$S$11,0)))</f>
        <v>0</v>
      </c>
      <c r="P381" s="257">
        <f t="shared" si="76"/>
        <v>21793.274999999998</v>
      </c>
      <c r="Q381" s="257">
        <f t="shared" si="77"/>
        <v>21793.274999999998</v>
      </c>
      <c r="R381" s="258">
        <f>INDEX('Escalators '!$M$124:$S$129,MATCH(I381,'Escalators '!$B$124:$B$129,0),MATCH(J381,'Escalators '!$M$113:$S$113,0))</f>
        <v>1.0120900655357943</v>
      </c>
      <c r="S381" s="257">
        <f t="shared" si="78"/>
        <v>0</v>
      </c>
      <c r="T381" s="257">
        <f t="shared" si="79"/>
        <v>0</v>
      </c>
      <c r="U381" s="269">
        <f t="shared" si="80"/>
        <v>22056.757122989584</v>
      </c>
      <c r="V381" s="269">
        <f t="shared" si="81"/>
        <v>22056.757122989584</v>
      </c>
      <c r="W381" s="269">
        <f t="shared" si="82"/>
        <v>22056.757122989584</v>
      </c>
      <c r="X381" s="257">
        <f t="shared" si="83"/>
        <v>22056.757122989584</v>
      </c>
      <c r="Y381" s="270">
        <f>IF(L381="Complex",(INDEX('Escalators '!$M$176:$S$176,MATCH('Forecast capex'!J381,'Escalators '!$M$178:$S$178,0))/12+1)^((K381-J381)*12)-1,0)</f>
        <v>0</v>
      </c>
      <c r="Z381" s="257">
        <f t="shared" si="84"/>
        <v>0</v>
      </c>
      <c r="AA381" s="257">
        <f t="shared" si="85"/>
        <v>0</v>
      </c>
      <c r="AB381" s="269">
        <f t="shared" si="86"/>
        <v>0</v>
      </c>
      <c r="AC381" s="269">
        <f t="shared" si="87"/>
        <v>0</v>
      </c>
      <c r="AD381" s="271" t="str">
        <f>INDEX('Global inputs'!$C$134:$C$171,MATCH(F381,'Global inputs'!$B$134:$B$171,0))</f>
        <v xml:space="preserve">System growth </v>
      </c>
      <c r="AE381" s="272">
        <f>IF(OR(H381='Operating leases'!$B$32,H381='Operating leases'!$B$33),"",INDEX('Global inputs'!$C$186:$C$243,MATCH(E381,'Global inputs'!$B$186:$B$243,0)))</f>
        <v>0.1</v>
      </c>
    </row>
    <row r="382" spans="1:31" s="27" customFormat="1" x14ac:dyDescent="0.2">
      <c r="A382" s="250"/>
      <c r="B382" s="210" t="s">
        <v>746</v>
      </c>
      <c r="C382" s="210" t="s">
        <v>290</v>
      </c>
      <c r="D382" s="210" t="s">
        <v>718</v>
      </c>
      <c r="E382" s="210" t="s">
        <v>169</v>
      </c>
      <c r="F382" s="210" t="s">
        <v>86</v>
      </c>
      <c r="G382" s="210" t="s">
        <v>720</v>
      </c>
      <c r="H382" s="197">
        <v>0</v>
      </c>
      <c r="I382" s="210" t="s">
        <v>229</v>
      </c>
      <c r="J382" s="210">
        <v>2021</v>
      </c>
      <c r="K382" s="210">
        <v>2021</v>
      </c>
      <c r="L382" s="268" t="str">
        <f t="shared" si="75"/>
        <v>Simple</v>
      </c>
      <c r="M382" s="197">
        <v>69738.48</v>
      </c>
      <c r="N382" s="197">
        <v>0</v>
      </c>
      <c r="O382" s="257">
        <f>IF(ISNA(MATCH(H382,'Operating leases'!$B$32:$B$43,0)),0,INDEX('Operating leases'!$M$32:$S$43,MATCH(H382,'Operating leases'!$B$32:$B$43,0),MATCH(J382,'Operating leases'!$M$11:$S$11,0)))</f>
        <v>0</v>
      </c>
      <c r="P382" s="257">
        <f t="shared" si="76"/>
        <v>69738.48</v>
      </c>
      <c r="Q382" s="257">
        <f t="shared" si="77"/>
        <v>69738.48</v>
      </c>
      <c r="R382" s="258">
        <f>INDEX('Escalators '!$M$124:$S$129,MATCH(I382,'Escalators '!$B$124:$B$129,0),MATCH(J382,'Escalators '!$M$113:$S$113,0))</f>
        <v>1.0206154571717865</v>
      </c>
      <c r="S382" s="257">
        <f t="shared" si="78"/>
        <v>0</v>
      </c>
      <c r="T382" s="257">
        <f t="shared" si="79"/>
        <v>0</v>
      </c>
      <c r="U382" s="269">
        <f t="shared" si="80"/>
        <v>71176.17064766548</v>
      </c>
      <c r="V382" s="269">
        <f t="shared" si="81"/>
        <v>71176.17064766548</v>
      </c>
      <c r="W382" s="269">
        <f t="shared" si="82"/>
        <v>71176.17064766548</v>
      </c>
      <c r="X382" s="257">
        <f t="shared" si="83"/>
        <v>71176.17064766548</v>
      </c>
      <c r="Y382" s="270">
        <f>IF(L382="Complex",(INDEX('Escalators '!$M$176:$S$176,MATCH('Forecast capex'!J382,'Escalators '!$M$178:$S$178,0))/12+1)^((K382-J382)*12)-1,0)</f>
        <v>0</v>
      </c>
      <c r="Z382" s="257">
        <f t="shared" si="84"/>
        <v>0</v>
      </c>
      <c r="AA382" s="257">
        <f t="shared" si="85"/>
        <v>0</v>
      </c>
      <c r="AB382" s="269">
        <f t="shared" si="86"/>
        <v>0</v>
      </c>
      <c r="AC382" s="269">
        <f t="shared" si="87"/>
        <v>0</v>
      </c>
      <c r="AD382" s="271" t="str">
        <f>INDEX('Global inputs'!$C$134:$C$171,MATCH(F382,'Global inputs'!$B$134:$B$171,0))</f>
        <v xml:space="preserve">System growth </v>
      </c>
      <c r="AE382" s="272">
        <f>IF(OR(H382='Operating leases'!$B$32,H382='Operating leases'!$B$33),"",INDEX('Global inputs'!$C$186:$C$243,MATCH(E382,'Global inputs'!$B$186:$B$243,0)))</f>
        <v>0.08</v>
      </c>
    </row>
    <row r="383" spans="1:31" s="27" customFormat="1" x14ac:dyDescent="0.2">
      <c r="A383" s="250"/>
      <c r="B383" s="210" t="s">
        <v>746</v>
      </c>
      <c r="C383" s="210" t="s">
        <v>290</v>
      </c>
      <c r="D383" s="210" t="s">
        <v>718</v>
      </c>
      <c r="E383" s="210" t="s">
        <v>169</v>
      </c>
      <c r="F383" s="210" t="s">
        <v>86</v>
      </c>
      <c r="G383" s="210" t="s">
        <v>720</v>
      </c>
      <c r="H383" s="197">
        <v>0</v>
      </c>
      <c r="I383" s="210" t="s">
        <v>221</v>
      </c>
      <c r="J383" s="210">
        <v>2021</v>
      </c>
      <c r="K383" s="210">
        <v>2021</v>
      </c>
      <c r="L383" s="268" t="str">
        <f t="shared" si="75"/>
        <v>Simple</v>
      </c>
      <c r="M383" s="197">
        <v>46492.320000000007</v>
      </c>
      <c r="N383" s="197">
        <v>0</v>
      </c>
      <c r="O383" s="257">
        <f>IF(ISNA(MATCH(H383,'Operating leases'!$B$32:$B$43,0)),0,INDEX('Operating leases'!$M$32:$S$43,MATCH(H383,'Operating leases'!$B$32:$B$43,0),MATCH(J383,'Operating leases'!$M$11:$S$11,0)))</f>
        <v>0</v>
      </c>
      <c r="P383" s="257">
        <f t="shared" si="76"/>
        <v>46492.320000000007</v>
      </c>
      <c r="Q383" s="257">
        <f t="shared" si="77"/>
        <v>46492.320000000007</v>
      </c>
      <c r="R383" s="258">
        <f>INDEX('Escalators '!$M$124:$S$129,MATCH(I383,'Escalators '!$B$124:$B$129,0),MATCH(J383,'Escalators '!$M$113:$S$113,0))</f>
        <v>1.0120900655357943</v>
      </c>
      <c r="S383" s="257">
        <f t="shared" si="78"/>
        <v>0</v>
      </c>
      <c r="T383" s="257">
        <f t="shared" si="79"/>
        <v>0</v>
      </c>
      <c r="U383" s="269">
        <f t="shared" si="80"/>
        <v>47054.415195711124</v>
      </c>
      <c r="V383" s="269">
        <f t="shared" si="81"/>
        <v>47054.415195711124</v>
      </c>
      <c r="W383" s="269">
        <f t="shared" si="82"/>
        <v>47054.415195711124</v>
      </c>
      <c r="X383" s="257">
        <f t="shared" si="83"/>
        <v>47054.415195711124</v>
      </c>
      <c r="Y383" s="270">
        <f>IF(L383="Complex",(INDEX('Escalators '!$M$176:$S$176,MATCH('Forecast capex'!J383,'Escalators '!$M$178:$S$178,0))/12+1)^((K383-J383)*12)-1,0)</f>
        <v>0</v>
      </c>
      <c r="Z383" s="257">
        <f t="shared" si="84"/>
        <v>0</v>
      </c>
      <c r="AA383" s="257">
        <f t="shared" si="85"/>
        <v>0</v>
      </c>
      <c r="AB383" s="269">
        <f t="shared" si="86"/>
        <v>0</v>
      </c>
      <c r="AC383" s="269">
        <f t="shared" si="87"/>
        <v>0</v>
      </c>
      <c r="AD383" s="271" t="str">
        <f>INDEX('Global inputs'!$C$134:$C$171,MATCH(F383,'Global inputs'!$B$134:$B$171,0))</f>
        <v xml:space="preserve">System growth </v>
      </c>
      <c r="AE383" s="272">
        <f>IF(OR(H383='Operating leases'!$B$32,H383='Operating leases'!$B$33),"",INDEX('Global inputs'!$C$186:$C$243,MATCH(E383,'Global inputs'!$B$186:$B$243,0)))</f>
        <v>0.08</v>
      </c>
    </row>
    <row r="384" spans="1:31" s="27" customFormat="1" x14ac:dyDescent="0.2">
      <c r="A384" s="250"/>
      <c r="B384" s="210" t="s">
        <v>746</v>
      </c>
      <c r="C384" s="210" t="s">
        <v>290</v>
      </c>
      <c r="D384" s="210" t="s">
        <v>718</v>
      </c>
      <c r="E384" s="210" t="s">
        <v>171</v>
      </c>
      <c r="F384" s="210" t="s">
        <v>86</v>
      </c>
      <c r="G384" s="210" t="s">
        <v>743</v>
      </c>
      <c r="H384" s="197">
        <v>0</v>
      </c>
      <c r="I384" s="210" t="s">
        <v>229</v>
      </c>
      <c r="J384" s="210">
        <v>2021</v>
      </c>
      <c r="K384" s="210">
        <v>2021</v>
      </c>
      <c r="L384" s="268" t="str">
        <f t="shared" si="75"/>
        <v>Simple</v>
      </c>
      <c r="M384" s="197">
        <v>52303.859999999993</v>
      </c>
      <c r="N384" s="197">
        <v>0</v>
      </c>
      <c r="O384" s="257">
        <f>IF(ISNA(MATCH(H384,'Operating leases'!$B$32:$B$43,0)),0,INDEX('Operating leases'!$M$32:$S$43,MATCH(H384,'Operating leases'!$B$32:$B$43,0),MATCH(J384,'Operating leases'!$M$11:$S$11,0)))</f>
        <v>0</v>
      </c>
      <c r="P384" s="257">
        <f t="shared" si="76"/>
        <v>52303.859999999993</v>
      </c>
      <c r="Q384" s="257">
        <f t="shared" si="77"/>
        <v>52303.859999999993</v>
      </c>
      <c r="R384" s="258">
        <f>INDEX('Escalators '!$M$124:$S$129,MATCH(I384,'Escalators '!$B$124:$B$129,0),MATCH(J384,'Escalators '!$M$113:$S$113,0))</f>
        <v>1.0206154571717865</v>
      </c>
      <c r="S384" s="257">
        <f t="shared" si="78"/>
        <v>0</v>
      </c>
      <c r="T384" s="257">
        <f t="shared" si="79"/>
        <v>0</v>
      </c>
      <c r="U384" s="269">
        <f t="shared" si="80"/>
        <v>53382.12798574911</v>
      </c>
      <c r="V384" s="269">
        <f t="shared" si="81"/>
        <v>53382.12798574911</v>
      </c>
      <c r="W384" s="269">
        <f t="shared" si="82"/>
        <v>53382.12798574911</v>
      </c>
      <c r="X384" s="257">
        <f t="shared" si="83"/>
        <v>53382.12798574911</v>
      </c>
      <c r="Y384" s="270">
        <f>IF(L384="Complex",(INDEX('Escalators '!$M$176:$S$176,MATCH('Forecast capex'!J384,'Escalators '!$M$178:$S$178,0))/12+1)^((K384-J384)*12)-1,0)</f>
        <v>0</v>
      </c>
      <c r="Z384" s="257">
        <f t="shared" si="84"/>
        <v>0</v>
      </c>
      <c r="AA384" s="257">
        <f t="shared" si="85"/>
        <v>0</v>
      </c>
      <c r="AB384" s="269">
        <f t="shared" si="86"/>
        <v>0</v>
      </c>
      <c r="AC384" s="269">
        <f t="shared" si="87"/>
        <v>0</v>
      </c>
      <c r="AD384" s="271" t="str">
        <f>INDEX('Global inputs'!$C$134:$C$171,MATCH(F384,'Global inputs'!$B$134:$B$171,0))</f>
        <v xml:space="preserve">System growth </v>
      </c>
      <c r="AE384" s="272">
        <f>IF(OR(H384='Operating leases'!$B$32,H384='Operating leases'!$B$33),"",INDEX('Global inputs'!$C$186:$C$243,MATCH(E384,'Global inputs'!$B$186:$B$243,0)))</f>
        <v>0.08</v>
      </c>
    </row>
    <row r="385" spans="1:31" s="27" customFormat="1" x14ac:dyDescent="0.2">
      <c r="A385" s="250"/>
      <c r="B385" s="210" t="s">
        <v>746</v>
      </c>
      <c r="C385" s="210" t="s">
        <v>290</v>
      </c>
      <c r="D385" s="210" t="s">
        <v>718</v>
      </c>
      <c r="E385" s="210" t="s">
        <v>171</v>
      </c>
      <c r="F385" s="210" t="s">
        <v>86</v>
      </c>
      <c r="G385" s="210" t="s">
        <v>743</v>
      </c>
      <c r="H385" s="197">
        <v>0</v>
      </c>
      <c r="I385" s="210" t="s">
        <v>221</v>
      </c>
      <c r="J385" s="210">
        <v>2021</v>
      </c>
      <c r="K385" s="210">
        <v>2021</v>
      </c>
      <c r="L385" s="268" t="str">
        <f t="shared" si="75"/>
        <v>Simple</v>
      </c>
      <c r="M385" s="197">
        <v>34869.24</v>
      </c>
      <c r="N385" s="197">
        <v>0</v>
      </c>
      <c r="O385" s="257">
        <f>IF(ISNA(MATCH(H385,'Operating leases'!$B$32:$B$43,0)),0,INDEX('Operating leases'!$M$32:$S$43,MATCH(H385,'Operating leases'!$B$32:$B$43,0),MATCH(J385,'Operating leases'!$M$11:$S$11,0)))</f>
        <v>0</v>
      </c>
      <c r="P385" s="257">
        <f t="shared" si="76"/>
        <v>34869.24</v>
      </c>
      <c r="Q385" s="257">
        <f t="shared" si="77"/>
        <v>34869.24</v>
      </c>
      <c r="R385" s="258">
        <f>INDEX('Escalators '!$M$124:$S$129,MATCH(I385,'Escalators '!$B$124:$B$129,0),MATCH(J385,'Escalators '!$M$113:$S$113,0))</f>
        <v>1.0120900655357943</v>
      </c>
      <c r="S385" s="257">
        <f t="shared" si="78"/>
        <v>0</v>
      </c>
      <c r="T385" s="257">
        <f t="shared" si="79"/>
        <v>0</v>
      </c>
      <c r="U385" s="269">
        <f t="shared" si="80"/>
        <v>35290.811396783334</v>
      </c>
      <c r="V385" s="269">
        <f t="shared" si="81"/>
        <v>35290.811396783334</v>
      </c>
      <c r="W385" s="269">
        <f t="shared" si="82"/>
        <v>35290.811396783334</v>
      </c>
      <c r="X385" s="257">
        <f t="shared" si="83"/>
        <v>35290.811396783334</v>
      </c>
      <c r="Y385" s="270">
        <f>IF(L385="Complex",(INDEX('Escalators '!$M$176:$S$176,MATCH('Forecast capex'!J385,'Escalators '!$M$178:$S$178,0))/12+1)^((K385-J385)*12)-1,0)</f>
        <v>0</v>
      </c>
      <c r="Z385" s="257">
        <f t="shared" si="84"/>
        <v>0</v>
      </c>
      <c r="AA385" s="257">
        <f t="shared" si="85"/>
        <v>0</v>
      </c>
      <c r="AB385" s="269">
        <f t="shared" si="86"/>
        <v>0</v>
      </c>
      <c r="AC385" s="269">
        <f t="shared" si="87"/>
        <v>0</v>
      </c>
      <c r="AD385" s="271" t="str">
        <f>INDEX('Global inputs'!$C$134:$C$171,MATCH(F385,'Global inputs'!$B$134:$B$171,0))</f>
        <v xml:space="preserve">System growth </v>
      </c>
      <c r="AE385" s="272">
        <f>IF(OR(H385='Operating leases'!$B$32,H385='Operating leases'!$B$33),"",INDEX('Global inputs'!$C$186:$C$243,MATCH(E385,'Global inputs'!$B$186:$B$243,0)))</f>
        <v>0.08</v>
      </c>
    </row>
    <row r="386" spans="1:31" s="27" customFormat="1" x14ac:dyDescent="0.2">
      <c r="A386" s="250"/>
      <c r="B386" s="210" t="s">
        <v>746</v>
      </c>
      <c r="C386" s="210" t="s">
        <v>290</v>
      </c>
      <c r="D386" s="210" t="s">
        <v>718</v>
      </c>
      <c r="E386" s="210" t="s">
        <v>170</v>
      </c>
      <c r="F386" s="210" t="s">
        <v>86</v>
      </c>
      <c r="G386" s="210" t="s">
        <v>721</v>
      </c>
      <c r="H386" s="197">
        <v>0</v>
      </c>
      <c r="I386" s="210" t="s">
        <v>229</v>
      </c>
      <c r="J386" s="210">
        <v>2021</v>
      </c>
      <c r="K386" s="210">
        <v>2021</v>
      </c>
      <c r="L386" s="268" t="str">
        <f t="shared" si="75"/>
        <v>Simple</v>
      </c>
      <c r="M386" s="197">
        <v>101701.95000000001</v>
      </c>
      <c r="N386" s="197">
        <v>0</v>
      </c>
      <c r="O386" s="257">
        <f>IF(ISNA(MATCH(H386,'Operating leases'!$B$32:$B$43,0)),0,INDEX('Operating leases'!$M$32:$S$43,MATCH(H386,'Operating leases'!$B$32:$B$43,0),MATCH(J386,'Operating leases'!$M$11:$S$11,0)))</f>
        <v>0</v>
      </c>
      <c r="P386" s="257">
        <f t="shared" si="76"/>
        <v>101701.95000000001</v>
      </c>
      <c r="Q386" s="257">
        <f t="shared" si="77"/>
        <v>101701.95000000001</v>
      </c>
      <c r="R386" s="258">
        <f>INDEX('Escalators '!$M$124:$S$129,MATCH(I386,'Escalators '!$B$124:$B$129,0),MATCH(J386,'Escalators '!$M$113:$S$113,0))</f>
        <v>1.0206154571717865</v>
      </c>
      <c r="S386" s="257">
        <f t="shared" si="78"/>
        <v>0</v>
      </c>
      <c r="T386" s="257">
        <f t="shared" si="79"/>
        <v>0</v>
      </c>
      <c r="U386" s="269">
        <f t="shared" si="80"/>
        <v>103798.58219451219</v>
      </c>
      <c r="V386" s="269">
        <f t="shared" si="81"/>
        <v>103798.58219451219</v>
      </c>
      <c r="W386" s="269">
        <f t="shared" si="82"/>
        <v>103798.58219451219</v>
      </c>
      <c r="X386" s="257">
        <f t="shared" si="83"/>
        <v>103798.58219451219</v>
      </c>
      <c r="Y386" s="270">
        <f>IF(L386="Complex",(INDEX('Escalators '!$M$176:$S$176,MATCH('Forecast capex'!J386,'Escalators '!$M$178:$S$178,0))/12+1)^((K386-J386)*12)-1,0)</f>
        <v>0</v>
      </c>
      <c r="Z386" s="257">
        <f t="shared" si="84"/>
        <v>0</v>
      </c>
      <c r="AA386" s="257">
        <f t="shared" si="85"/>
        <v>0</v>
      </c>
      <c r="AB386" s="269">
        <f t="shared" si="86"/>
        <v>0</v>
      </c>
      <c r="AC386" s="269">
        <f t="shared" si="87"/>
        <v>0</v>
      </c>
      <c r="AD386" s="271" t="str">
        <f>INDEX('Global inputs'!$C$134:$C$171,MATCH(F386,'Global inputs'!$B$134:$B$171,0))</f>
        <v xml:space="preserve">System growth </v>
      </c>
      <c r="AE386" s="272">
        <f>IF(OR(H386='Operating leases'!$B$32,H386='Operating leases'!$B$33),"",INDEX('Global inputs'!$C$186:$C$243,MATCH(E386,'Global inputs'!$B$186:$B$243,0)))</f>
        <v>0.08</v>
      </c>
    </row>
    <row r="387" spans="1:31" s="27" customFormat="1" x14ac:dyDescent="0.2">
      <c r="A387" s="250"/>
      <c r="B387" s="210" t="s">
        <v>746</v>
      </c>
      <c r="C387" s="210" t="s">
        <v>290</v>
      </c>
      <c r="D387" s="210" t="s">
        <v>718</v>
      </c>
      <c r="E387" s="210" t="s">
        <v>170</v>
      </c>
      <c r="F387" s="210" t="s">
        <v>86</v>
      </c>
      <c r="G387" s="210" t="s">
        <v>721</v>
      </c>
      <c r="H387" s="197">
        <v>0</v>
      </c>
      <c r="I387" s="210" t="s">
        <v>221</v>
      </c>
      <c r="J387" s="210">
        <v>2021</v>
      </c>
      <c r="K387" s="210">
        <v>2021</v>
      </c>
      <c r="L387" s="268" t="str">
        <f t="shared" si="75"/>
        <v>Simple</v>
      </c>
      <c r="M387" s="197">
        <v>101701.95000000001</v>
      </c>
      <c r="N387" s="197">
        <v>0</v>
      </c>
      <c r="O387" s="257">
        <f>IF(ISNA(MATCH(H387,'Operating leases'!$B$32:$B$43,0)),0,INDEX('Operating leases'!$M$32:$S$43,MATCH(H387,'Operating leases'!$B$32:$B$43,0),MATCH(J387,'Operating leases'!$M$11:$S$11,0)))</f>
        <v>0</v>
      </c>
      <c r="P387" s="257">
        <f t="shared" si="76"/>
        <v>101701.95000000001</v>
      </c>
      <c r="Q387" s="257">
        <f t="shared" si="77"/>
        <v>101701.95000000001</v>
      </c>
      <c r="R387" s="258">
        <f>INDEX('Escalators '!$M$124:$S$129,MATCH(I387,'Escalators '!$B$124:$B$129,0),MATCH(J387,'Escalators '!$M$113:$S$113,0))</f>
        <v>1.0120900655357943</v>
      </c>
      <c r="S387" s="257">
        <f t="shared" si="78"/>
        <v>0</v>
      </c>
      <c r="T387" s="257">
        <f t="shared" si="79"/>
        <v>0</v>
      </c>
      <c r="U387" s="269">
        <f t="shared" si="80"/>
        <v>102931.53324061808</v>
      </c>
      <c r="V387" s="269">
        <f t="shared" si="81"/>
        <v>102931.53324061808</v>
      </c>
      <c r="W387" s="269">
        <f t="shared" si="82"/>
        <v>102931.53324061808</v>
      </c>
      <c r="X387" s="257">
        <f t="shared" si="83"/>
        <v>102931.53324061808</v>
      </c>
      <c r="Y387" s="270">
        <f>IF(L387="Complex",(INDEX('Escalators '!$M$176:$S$176,MATCH('Forecast capex'!J387,'Escalators '!$M$178:$S$178,0))/12+1)^((K387-J387)*12)-1,0)</f>
        <v>0</v>
      </c>
      <c r="Z387" s="257">
        <f t="shared" si="84"/>
        <v>0</v>
      </c>
      <c r="AA387" s="257">
        <f t="shared" si="85"/>
        <v>0</v>
      </c>
      <c r="AB387" s="269">
        <f t="shared" si="86"/>
        <v>0</v>
      </c>
      <c r="AC387" s="269">
        <f t="shared" si="87"/>
        <v>0</v>
      </c>
      <c r="AD387" s="271" t="str">
        <f>INDEX('Global inputs'!$C$134:$C$171,MATCH(F387,'Global inputs'!$B$134:$B$171,0))</f>
        <v xml:space="preserve">System growth </v>
      </c>
      <c r="AE387" s="272">
        <f>IF(OR(H387='Operating leases'!$B$32,H387='Operating leases'!$B$33),"",INDEX('Global inputs'!$C$186:$C$243,MATCH(E387,'Global inputs'!$B$186:$B$243,0)))</f>
        <v>0.08</v>
      </c>
    </row>
    <row r="388" spans="1:31" s="27" customFormat="1" x14ac:dyDescent="0.2">
      <c r="A388" s="250"/>
      <c r="B388" s="210" t="s">
        <v>746</v>
      </c>
      <c r="C388" s="210" t="s">
        <v>288</v>
      </c>
      <c r="D388" s="210" t="s">
        <v>718</v>
      </c>
      <c r="E388" s="210" t="s">
        <v>160</v>
      </c>
      <c r="F388" s="210" t="s">
        <v>86</v>
      </c>
      <c r="G388" s="210" t="s">
        <v>722</v>
      </c>
      <c r="H388" s="197">
        <v>0</v>
      </c>
      <c r="I388" s="210" t="s">
        <v>229</v>
      </c>
      <c r="J388" s="210">
        <v>2021</v>
      </c>
      <c r="K388" s="210">
        <v>2021</v>
      </c>
      <c r="L388" s="268" t="str">
        <f t="shared" si="75"/>
        <v>Simple</v>
      </c>
      <c r="M388" s="197">
        <v>14528.85</v>
      </c>
      <c r="N388" s="197">
        <v>0</v>
      </c>
      <c r="O388" s="257">
        <f>IF(ISNA(MATCH(H388,'Operating leases'!$B$32:$B$43,0)),0,INDEX('Operating leases'!$M$32:$S$43,MATCH(H388,'Operating leases'!$B$32:$B$43,0),MATCH(J388,'Operating leases'!$M$11:$S$11,0)))</f>
        <v>0</v>
      </c>
      <c r="P388" s="257">
        <f t="shared" si="76"/>
        <v>14528.85</v>
      </c>
      <c r="Q388" s="257">
        <f t="shared" si="77"/>
        <v>14528.85</v>
      </c>
      <c r="R388" s="258">
        <f>INDEX('Escalators '!$M$124:$S$129,MATCH(I388,'Escalators '!$B$124:$B$129,0),MATCH(J388,'Escalators '!$M$113:$S$113,0))</f>
        <v>1.0206154571717865</v>
      </c>
      <c r="S388" s="257">
        <f t="shared" si="78"/>
        <v>0</v>
      </c>
      <c r="T388" s="257">
        <f t="shared" si="79"/>
        <v>0</v>
      </c>
      <c r="U388" s="269">
        <f t="shared" si="80"/>
        <v>14828.368884930311</v>
      </c>
      <c r="V388" s="269">
        <f t="shared" si="81"/>
        <v>14828.368884930311</v>
      </c>
      <c r="W388" s="269">
        <f t="shared" si="82"/>
        <v>14828.368884930311</v>
      </c>
      <c r="X388" s="257">
        <f t="shared" si="83"/>
        <v>14828.368884930311</v>
      </c>
      <c r="Y388" s="270">
        <f>IF(L388="Complex",(INDEX('Escalators '!$M$176:$S$176,MATCH('Forecast capex'!J388,'Escalators '!$M$178:$S$178,0))/12+1)^((K388-J388)*12)-1,0)</f>
        <v>0</v>
      </c>
      <c r="Z388" s="257">
        <f t="shared" si="84"/>
        <v>0</v>
      </c>
      <c r="AA388" s="257">
        <f t="shared" si="85"/>
        <v>0</v>
      </c>
      <c r="AB388" s="269">
        <f t="shared" si="86"/>
        <v>0</v>
      </c>
      <c r="AC388" s="269">
        <f t="shared" si="87"/>
        <v>0</v>
      </c>
      <c r="AD388" s="271" t="str">
        <f>INDEX('Global inputs'!$C$134:$C$171,MATCH(F388,'Global inputs'!$B$134:$B$171,0))</f>
        <v xml:space="preserve">System growth </v>
      </c>
      <c r="AE388" s="272">
        <f>IF(OR(H388='Operating leases'!$B$32,H388='Operating leases'!$B$33),"",INDEX('Global inputs'!$C$186:$C$243,MATCH(E388,'Global inputs'!$B$186:$B$243,0)))</f>
        <v>0.08</v>
      </c>
    </row>
    <row r="389" spans="1:31" s="27" customFormat="1" x14ac:dyDescent="0.2">
      <c r="A389" s="250"/>
      <c r="B389" s="210" t="s">
        <v>746</v>
      </c>
      <c r="C389" s="210" t="s">
        <v>288</v>
      </c>
      <c r="D389" s="210" t="s">
        <v>718</v>
      </c>
      <c r="E389" s="210" t="s">
        <v>160</v>
      </c>
      <c r="F389" s="210" t="s">
        <v>86</v>
      </c>
      <c r="G389" s="210" t="s">
        <v>722</v>
      </c>
      <c r="H389" s="197">
        <v>0</v>
      </c>
      <c r="I389" s="210" t="s">
        <v>221</v>
      </c>
      <c r="J389" s="210">
        <v>2021</v>
      </c>
      <c r="K389" s="210">
        <v>2021</v>
      </c>
      <c r="L389" s="268" t="str">
        <f t="shared" si="75"/>
        <v>Simple</v>
      </c>
      <c r="M389" s="197">
        <v>14528.85</v>
      </c>
      <c r="N389" s="197">
        <v>0</v>
      </c>
      <c r="O389" s="257">
        <f>IF(ISNA(MATCH(H389,'Operating leases'!$B$32:$B$43,0)),0,INDEX('Operating leases'!$M$32:$S$43,MATCH(H389,'Operating leases'!$B$32:$B$43,0),MATCH(J389,'Operating leases'!$M$11:$S$11,0)))</f>
        <v>0</v>
      </c>
      <c r="P389" s="257">
        <f t="shared" si="76"/>
        <v>14528.85</v>
      </c>
      <c r="Q389" s="257">
        <f t="shared" si="77"/>
        <v>14528.85</v>
      </c>
      <c r="R389" s="258">
        <f>INDEX('Escalators '!$M$124:$S$129,MATCH(I389,'Escalators '!$B$124:$B$129,0),MATCH(J389,'Escalators '!$M$113:$S$113,0))</f>
        <v>1.0120900655357943</v>
      </c>
      <c r="S389" s="257">
        <f t="shared" si="78"/>
        <v>0</v>
      </c>
      <c r="T389" s="257">
        <f t="shared" si="79"/>
        <v>0</v>
      </c>
      <c r="U389" s="269">
        <f t="shared" si="80"/>
        <v>14704.504748659725</v>
      </c>
      <c r="V389" s="269">
        <f t="shared" si="81"/>
        <v>14704.504748659725</v>
      </c>
      <c r="W389" s="269">
        <f t="shared" si="82"/>
        <v>14704.504748659725</v>
      </c>
      <c r="X389" s="257">
        <f t="shared" si="83"/>
        <v>14704.504748659725</v>
      </c>
      <c r="Y389" s="270">
        <f>IF(L389="Complex",(INDEX('Escalators '!$M$176:$S$176,MATCH('Forecast capex'!J389,'Escalators '!$M$178:$S$178,0))/12+1)^((K389-J389)*12)-1,0)</f>
        <v>0</v>
      </c>
      <c r="Z389" s="257">
        <f t="shared" si="84"/>
        <v>0</v>
      </c>
      <c r="AA389" s="257">
        <f t="shared" si="85"/>
        <v>0</v>
      </c>
      <c r="AB389" s="269">
        <f t="shared" si="86"/>
        <v>0</v>
      </c>
      <c r="AC389" s="269">
        <f t="shared" si="87"/>
        <v>0</v>
      </c>
      <c r="AD389" s="271" t="str">
        <f>INDEX('Global inputs'!$C$134:$C$171,MATCH(F389,'Global inputs'!$B$134:$B$171,0))</f>
        <v xml:space="preserve">System growth </v>
      </c>
      <c r="AE389" s="272">
        <f>IF(OR(H389='Operating leases'!$B$32,H389='Operating leases'!$B$33),"",INDEX('Global inputs'!$C$186:$C$243,MATCH(E389,'Global inputs'!$B$186:$B$243,0)))</f>
        <v>0.08</v>
      </c>
    </row>
    <row r="390" spans="1:31" s="27" customFormat="1" x14ac:dyDescent="0.2">
      <c r="A390" s="250"/>
      <c r="B390" s="210" t="s">
        <v>746</v>
      </c>
      <c r="C390" s="210" t="s">
        <v>289</v>
      </c>
      <c r="D390" s="210" t="s">
        <v>723</v>
      </c>
      <c r="E390" s="210" t="s">
        <v>164</v>
      </c>
      <c r="F390" s="210" t="s">
        <v>86</v>
      </c>
      <c r="G390" s="210" t="s">
        <v>724</v>
      </c>
      <c r="H390" s="197">
        <v>0</v>
      </c>
      <c r="I390" s="210" t="s">
        <v>139</v>
      </c>
      <c r="J390" s="210">
        <v>2021</v>
      </c>
      <c r="K390" s="210">
        <v>2021</v>
      </c>
      <c r="L390" s="268" t="str">
        <f t="shared" si="75"/>
        <v>Simple</v>
      </c>
      <c r="M390" s="197">
        <v>232461.6</v>
      </c>
      <c r="N390" s="197">
        <v>0</v>
      </c>
      <c r="O390" s="257">
        <f>IF(ISNA(MATCH(H390,'Operating leases'!$B$32:$B$43,0)),0,INDEX('Operating leases'!$M$32:$S$43,MATCH(H390,'Operating leases'!$B$32:$B$43,0),MATCH(J390,'Operating leases'!$M$11:$S$11,0)))</f>
        <v>0</v>
      </c>
      <c r="P390" s="257">
        <f t="shared" si="76"/>
        <v>232461.6</v>
      </c>
      <c r="Q390" s="257">
        <f t="shared" si="77"/>
        <v>232461.6</v>
      </c>
      <c r="R390" s="258">
        <f>INDEX('Escalators '!$M$124:$S$129,MATCH(I390,'Escalators '!$B$124:$B$129,0),MATCH(J390,'Escalators '!$M$113:$S$113,0))</f>
        <v>1.005513233090898</v>
      </c>
      <c r="S390" s="257">
        <f t="shared" si="78"/>
        <v>0</v>
      </c>
      <c r="T390" s="257">
        <f t="shared" si="79"/>
        <v>0</v>
      </c>
      <c r="U390" s="269">
        <f t="shared" si="80"/>
        <v>233743.21498548309</v>
      </c>
      <c r="V390" s="269">
        <f t="shared" si="81"/>
        <v>233743.21498548309</v>
      </c>
      <c r="W390" s="269">
        <f t="shared" si="82"/>
        <v>233743.21498548309</v>
      </c>
      <c r="X390" s="257">
        <f t="shared" si="83"/>
        <v>233743.21498548309</v>
      </c>
      <c r="Y390" s="270">
        <f>IF(L390="Complex",(INDEX('Escalators '!$M$176:$S$176,MATCH('Forecast capex'!J390,'Escalators '!$M$178:$S$178,0))/12+1)^((K390-J390)*12)-1,0)</f>
        <v>0</v>
      </c>
      <c r="Z390" s="257">
        <f t="shared" si="84"/>
        <v>0</v>
      </c>
      <c r="AA390" s="257">
        <f t="shared" si="85"/>
        <v>0</v>
      </c>
      <c r="AB390" s="269">
        <f t="shared" si="86"/>
        <v>0</v>
      </c>
      <c r="AC390" s="269">
        <f t="shared" si="87"/>
        <v>0</v>
      </c>
      <c r="AD390" s="271" t="str">
        <f>INDEX('Global inputs'!$C$134:$C$171,MATCH(F390,'Global inputs'!$B$134:$B$171,0))</f>
        <v xml:space="preserve">System growth </v>
      </c>
      <c r="AE390" s="272">
        <f>IF(OR(H390='Operating leases'!$B$32,H390='Operating leases'!$B$33),"",INDEX('Global inputs'!$C$186:$C$243,MATCH(E390,'Global inputs'!$B$186:$B$243,0)))</f>
        <v>0.08</v>
      </c>
    </row>
    <row r="391" spans="1:31" s="27" customFormat="1" x14ac:dyDescent="0.2">
      <c r="A391" s="250"/>
      <c r="B391" s="210" t="s">
        <v>746</v>
      </c>
      <c r="C391" s="210" t="s">
        <v>289</v>
      </c>
      <c r="D391" s="210" t="s">
        <v>723</v>
      </c>
      <c r="E391" s="210" t="s">
        <v>164</v>
      </c>
      <c r="F391" s="210" t="s">
        <v>86</v>
      </c>
      <c r="G391" s="210" t="s">
        <v>724</v>
      </c>
      <c r="H391" s="197">
        <v>0</v>
      </c>
      <c r="I391" s="210" t="s">
        <v>221</v>
      </c>
      <c r="J391" s="210">
        <v>2021</v>
      </c>
      <c r="K391" s="210">
        <v>2021</v>
      </c>
      <c r="L391" s="268" t="str">
        <f t="shared" si="75"/>
        <v>Simple</v>
      </c>
      <c r="M391" s="197">
        <v>58115.4</v>
      </c>
      <c r="N391" s="197">
        <v>0</v>
      </c>
      <c r="O391" s="257">
        <f>IF(ISNA(MATCH(H391,'Operating leases'!$B$32:$B$43,0)),0,INDEX('Operating leases'!$M$32:$S$43,MATCH(H391,'Operating leases'!$B$32:$B$43,0),MATCH(J391,'Operating leases'!$M$11:$S$11,0)))</f>
        <v>0</v>
      </c>
      <c r="P391" s="257">
        <f t="shared" si="76"/>
        <v>58115.4</v>
      </c>
      <c r="Q391" s="257">
        <f t="shared" si="77"/>
        <v>58115.4</v>
      </c>
      <c r="R391" s="258">
        <f>INDEX('Escalators '!$M$124:$S$129,MATCH(I391,'Escalators '!$B$124:$B$129,0),MATCH(J391,'Escalators '!$M$113:$S$113,0))</f>
        <v>1.0120900655357943</v>
      </c>
      <c r="S391" s="257">
        <f t="shared" si="78"/>
        <v>0</v>
      </c>
      <c r="T391" s="257">
        <f t="shared" si="79"/>
        <v>0</v>
      </c>
      <c r="U391" s="269">
        <f t="shared" si="80"/>
        <v>58818.0189946389</v>
      </c>
      <c r="V391" s="269">
        <f t="shared" si="81"/>
        <v>58818.0189946389</v>
      </c>
      <c r="W391" s="269">
        <f t="shared" si="82"/>
        <v>58818.0189946389</v>
      </c>
      <c r="X391" s="257">
        <f t="shared" si="83"/>
        <v>58818.0189946389</v>
      </c>
      <c r="Y391" s="270">
        <f>IF(L391="Complex",(INDEX('Escalators '!$M$176:$S$176,MATCH('Forecast capex'!J391,'Escalators '!$M$178:$S$178,0))/12+1)^((K391-J391)*12)-1,0)</f>
        <v>0</v>
      </c>
      <c r="Z391" s="257">
        <f t="shared" si="84"/>
        <v>0</v>
      </c>
      <c r="AA391" s="257">
        <f t="shared" si="85"/>
        <v>0</v>
      </c>
      <c r="AB391" s="269">
        <f t="shared" si="86"/>
        <v>0</v>
      </c>
      <c r="AC391" s="269">
        <f t="shared" si="87"/>
        <v>0</v>
      </c>
      <c r="AD391" s="271" t="str">
        <f>INDEX('Global inputs'!$C$134:$C$171,MATCH(F391,'Global inputs'!$B$134:$B$171,0))</f>
        <v xml:space="preserve">System growth </v>
      </c>
      <c r="AE391" s="272">
        <f>IF(OR(H391='Operating leases'!$B$32,H391='Operating leases'!$B$33),"",INDEX('Global inputs'!$C$186:$C$243,MATCH(E391,'Global inputs'!$B$186:$B$243,0)))</f>
        <v>0.08</v>
      </c>
    </row>
    <row r="392" spans="1:31" s="27" customFormat="1" x14ac:dyDescent="0.2">
      <c r="A392" s="250"/>
      <c r="B392" s="210" t="s">
        <v>746</v>
      </c>
      <c r="C392" s="210" t="s">
        <v>289</v>
      </c>
      <c r="D392" s="210" t="s">
        <v>723</v>
      </c>
      <c r="E392" s="210" t="s">
        <v>163</v>
      </c>
      <c r="F392" s="210" t="s">
        <v>86</v>
      </c>
      <c r="G392" s="210" t="s">
        <v>725</v>
      </c>
      <c r="H392" s="197">
        <v>0</v>
      </c>
      <c r="I392" s="210" t="s">
        <v>139</v>
      </c>
      <c r="J392" s="210">
        <v>2021</v>
      </c>
      <c r="K392" s="210">
        <v>2021</v>
      </c>
      <c r="L392" s="268" t="str">
        <f t="shared" si="75"/>
        <v>Simple</v>
      </c>
      <c r="M392" s="197">
        <v>69738.48</v>
      </c>
      <c r="N392" s="197">
        <v>0</v>
      </c>
      <c r="O392" s="257">
        <f>IF(ISNA(MATCH(H392,'Operating leases'!$B$32:$B$43,0)),0,INDEX('Operating leases'!$M$32:$S$43,MATCH(H392,'Operating leases'!$B$32:$B$43,0),MATCH(J392,'Operating leases'!$M$11:$S$11,0)))</f>
        <v>0</v>
      </c>
      <c r="P392" s="257">
        <f t="shared" si="76"/>
        <v>69738.48</v>
      </c>
      <c r="Q392" s="257">
        <f t="shared" si="77"/>
        <v>69738.48</v>
      </c>
      <c r="R392" s="258">
        <f>INDEX('Escalators '!$M$124:$S$129,MATCH(I392,'Escalators '!$B$124:$B$129,0),MATCH(J392,'Escalators '!$M$113:$S$113,0))</f>
        <v>1.005513233090898</v>
      </c>
      <c r="S392" s="257">
        <f t="shared" si="78"/>
        <v>0</v>
      </c>
      <c r="T392" s="257">
        <f t="shared" si="79"/>
        <v>0</v>
      </c>
      <c r="U392" s="269">
        <f t="shared" si="80"/>
        <v>70122.964495644919</v>
      </c>
      <c r="V392" s="269">
        <f t="shared" si="81"/>
        <v>70122.964495644919</v>
      </c>
      <c r="W392" s="269">
        <f t="shared" si="82"/>
        <v>70122.964495644919</v>
      </c>
      <c r="X392" s="257">
        <f t="shared" si="83"/>
        <v>70122.964495644919</v>
      </c>
      <c r="Y392" s="270">
        <f>IF(L392="Complex",(INDEX('Escalators '!$M$176:$S$176,MATCH('Forecast capex'!J392,'Escalators '!$M$178:$S$178,0))/12+1)^((K392-J392)*12)-1,0)</f>
        <v>0</v>
      </c>
      <c r="Z392" s="257">
        <f t="shared" si="84"/>
        <v>0</v>
      </c>
      <c r="AA392" s="257">
        <f t="shared" si="85"/>
        <v>0</v>
      </c>
      <c r="AB392" s="269">
        <f t="shared" si="86"/>
        <v>0</v>
      </c>
      <c r="AC392" s="269">
        <f t="shared" si="87"/>
        <v>0</v>
      </c>
      <c r="AD392" s="271" t="str">
        <f>INDEX('Global inputs'!$C$134:$C$171,MATCH(F392,'Global inputs'!$B$134:$B$171,0))</f>
        <v xml:space="preserve">System growth </v>
      </c>
      <c r="AE392" s="272">
        <f>IF(OR(H392='Operating leases'!$B$32,H392='Operating leases'!$B$33),"",INDEX('Global inputs'!$C$186:$C$243,MATCH(E392,'Global inputs'!$B$186:$B$243,0)))</f>
        <v>0.08</v>
      </c>
    </row>
    <row r="393" spans="1:31" s="27" customFormat="1" x14ac:dyDescent="0.2">
      <c r="A393" s="250"/>
      <c r="B393" s="210" t="s">
        <v>746</v>
      </c>
      <c r="C393" s="210" t="s">
        <v>289</v>
      </c>
      <c r="D393" s="210" t="s">
        <v>723</v>
      </c>
      <c r="E393" s="210" t="s">
        <v>163</v>
      </c>
      <c r="F393" s="210" t="s">
        <v>86</v>
      </c>
      <c r="G393" s="210" t="s">
        <v>725</v>
      </c>
      <c r="H393" s="197">
        <v>0</v>
      </c>
      <c r="I393" s="210" t="s">
        <v>221</v>
      </c>
      <c r="J393" s="210">
        <v>2021</v>
      </c>
      <c r="K393" s="210">
        <v>2021</v>
      </c>
      <c r="L393" s="268" t="str">
        <f t="shared" si="75"/>
        <v>Simple</v>
      </c>
      <c r="M393" s="197">
        <v>17434.62</v>
      </c>
      <c r="N393" s="197">
        <v>0</v>
      </c>
      <c r="O393" s="257">
        <f>IF(ISNA(MATCH(H393,'Operating leases'!$B$32:$B$43,0)),0,INDEX('Operating leases'!$M$32:$S$43,MATCH(H393,'Operating leases'!$B$32:$B$43,0),MATCH(J393,'Operating leases'!$M$11:$S$11,0)))</f>
        <v>0</v>
      </c>
      <c r="P393" s="257">
        <f t="shared" si="76"/>
        <v>17434.62</v>
      </c>
      <c r="Q393" s="257">
        <f t="shared" si="77"/>
        <v>17434.62</v>
      </c>
      <c r="R393" s="258">
        <f>INDEX('Escalators '!$M$124:$S$129,MATCH(I393,'Escalators '!$B$124:$B$129,0),MATCH(J393,'Escalators '!$M$113:$S$113,0))</f>
        <v>1.0120900655357943</v>
      </c>
      <c r="S393" s="257">
        <f t="shared" si="78"/>
        <v>0</v>
      </c>
      <c r="T393" s="257">
        <f t="shared" si="79"/>
        <v>0</v>
      </c>
      <c r="U393" s="269">
        <f t="shared" si="80"/>
        <v>17645.405698391667</v>
      </c>
      <c r="V393" s="269">
        <f t="shared" si="81"/>
        <v>17645.405698391667</v>
      </c>
      <c r="W393" s="269">
        <f t="shared" si="82"/>
        <v>17645.405698391667</v>
      </c>
      <c r="X393" s="257">
        <f t="shared" si="83"/>
        <v>17645.405698391667</v>
      </c>
      <c r="Y393" s="270">
        <f>IF(L393="Complex",(INDEX('Escalators '!$M$176:$S$176,MATCH('Forecast capex'!J393,'Escalators '!$M$178:$S$178,0))/12+1)^((K393-J393)*12)-1,0)</f>
        <v>0</v>
      </c>
      <c r="Z393" s="257">
        <f t="shared" si="84"/>
        <v>0</v>
      </c>
      <c r="AA393" s="257">
        <f t="shared" si="85"/>
        <v>0</v>
      </c>
      <c r="AB393" s="269">
        <f t="shared" si="86"/>
        <v>0</v>
      </c>
      <c r="AC393" s="269">
        <f t="shared" si="87"/>
        <v>0</v>
      </c>
      <c r="AD393" s="271" t="str">
        <f>INDEX('Global inputs'!$C$134:$C$171,MATCH(F393,'Global inputs'!$B$134:$B$171,0))</f>
        <v xml:space="preserve">System growth </v>
      </c>
      <c r="AE393" s="272">
        <f>IF(OR(H393='Operating leases'!$B$32,H393='Operating leases'!$B$33),"",INDEX('Global inputs'!$C$186:$C$243,MATCH(E393,'Global inputs'!$B$186:$B$243,0)))</f>
        <v>0.08</v>
      </c>
    </row>
    <row r="394" spans="1:31" s="27" customFormat="1" x14ac:dyDescent="0.2">
      <c r="A394" s="250"/>
      <c r="B394" s="210" t="s">
        <v>746</v>
      </c>
      <c r="C394" s="210" t="s">
        <v>290</v>
      </c>
      <c r="D394" s="210" t="s">
        <v>723</v>
      </c>
      <c r="E394" s="210" t="s">
        <v>172</v>
      </c>
      <c r="F394" s="210" t="s">
        <v>86</v>
      </c>
      <c r="G394" s="210" t="s">
        <v>747</v>
      </c>
      <c r="H394" s="197">
        <v>0</v>
      </c>
      <c r="I394" s="210" t="s">
        <v>139</v>
      </c>
      <c r="J394" s="210">
        <v>2021</v>
      </c>
      <c r="K394" s="210">
        <v>2021</v>
      </c>
      <c r="L394" s="268" t="str">
        <f t="shared" ref="L394:L457" si="88">IF(J394=K394,"Simple","Complex")</f>
        <v>Simple</v>
      </c>
      <c r="M394" s="197">
        <v>11623.080000000002</v>
      </c>
      <c r="N394" s="197">
        <v>0</v>
      </c>
      <c r="O394" s="257">
        <f>IF(ISNA(MATCH(H394,'Operating leases'!$B$32:$B$43,0)),0,INDEX('Operating leases'!$M$32:$S$43,MATCH(H394,'Operating leases'!$B$32:$B$43,0),MATCH(J394,'Operating leases'!$M$11:$S$11,0)))</f>
        <v>0</v>
      </c>
      <c r="P394" s="257">
        <f t="shared" ref="P394:P457" si="89">O394+M394</f>
        <v>11623.080000000002</v>
      </c>
      <c r="Q394" s="257">
        <f t="shared" ref="Q394:Q457" si="90">M394+N394+O394</f>
        <v>11623.080000000002</v>
      </c>
      <c r="R394" s="258">
        <f>INDEX('Escalators '!$M$124:$S$129,MATCH(I394,'Escalators '!$B$124:$B$129,0),MATCH(J394,'Escalators '!$M$113:$S$113,0))</f>
        <v>1.005513233090898</v>
      </c>
      <c r="S394" s="257">
        <f t="shared" ref="S394:S457" si="91">O394*R394</f>
        <v>0</v>
      </c>
      <c r="T394" s="257">
        <f t="shared" ref="T394:T457" si="92">N394*R394</f>
        <v>0</v>
      </c>
      <c r="U394" s="269">
        <f t="shared" ref="U394:U457" si="93">W394-S394</f>
        <v>11687.160749274157</v>
      </c>
      <c r="V394" s="269">
        <f t="shared" ref="V394:V457" si="94">U394+T394</f>
        <v>11687.160749274157</v>
      </c>
      <c r="W394" s="269">
        <f t="shared" ref="W394:W457" si="95">X394-T394</f>
        <v>11687.160749274157</v>
      </c>
      <c r="X394" s="257">
        <f t="shared" ref="X394:X457" si="96">Q394*R394</f>
        <v>11687.160749274157</v>
      </c>
      <c r="Y394" s="270">
        <f>IF(L394="Complex",(INDEX('Escalators '!$M$176:$S$176,MATCH('Forecast capex'!J394,'Escalators '!$M$178:$S$178,0))/12+1)^((K394-J394)*12)-1,0)</f>
        <v>0</v>
      </c>
      <c r="Z394" s="257">
        <f t="shared" ref="Z394:Z457" si="97">P394*Y394</f>
        <v>0</v>
      </c>
      <c r="AA394" s="257">
        <f t="shared" ref="AA394:AA457" si="98">W394*Y394</f>
        <v>0</v>
      </c>
      <c r="AB394" s="269">
        <f t="shared" ref="AB394:AB457" si="99">IF(L394="Complex",AC394-T394,0)</f>
        <v>0</v>
      </c>
      <c r="AC394" s="269">
        <f t="shared" ref="AC394:AC457" si="100">IF(L394="Complex",V394+AA394,0)</f>
        <v>0</v>
      </c>
      <c r="AD394" s="271" t="str">
        <f>INDEX('Global inputs'!$C$134:$C$171,MATCH(F394,'Global inputs'!$B$134:$B$171,0))</f>
        <v xml:space="preserve">System growth </v>
      </c>
      <c r="AE394" s="272">
        <f>IF(OR(H394='Operating leases'!$B$32,H394='Operating leases'!$B$33),"",INDEX('Global inputs'!$C$186:$C$243,MATCH(E394,'Global inputs'!$B$186:$B$243,0)))</f>
        <v>0.08</v>
      </c>
    </row>
    <row r="395" spans="1:31" s="27" customFormat="1" x14ac:dyDescent="0.2">
      <c r="A395" s="250"/>
      <c r="B395" s="210" t="s">
        <v>746</v>
      </c>
      <c r="C395" s="210" t="s">
        <v>290</v>
      </c>
      <c r="D395" s="210" t="s">
        <v>723</v>
      </c>
      <c r="E395" s="210" t="s">
        <v>172</v>
      </c>
      <c r="F395" s="210" t="s">
        <v>86</v>
      </c>
      <c r="G395" s="210" t="s">
        <v>747</v>
      </c>
      <c r="H395" s="197">
        <v>0</v>
      </c>
      <c r="I395" s="210" t="s">
        <v>221</v>
      </c>
      <c r="J395" s="210">
        <v>2021</v>
      </c>
      <c r="K395" s="210">
        <v>2021</v>
      </c>
      <c r="L395" s="268" t="str">
        <f t="shared" si="88"/>
        <v>Simple</v>
      </c>
      <c r="M395" s="197">
        <v>2905.7700000000004</v>
      </c>
      <c r="N395" s="197">
        <v>0</v>
      </c>
      <c r="O395" s="257">
        <f>IF(ISNA(MATCH(H395,'Operating leases'!$B$32:$B$43,0)),0,INDEX('Operating leases'!$M$32:$S$43,MATCH(H395,'Operating leases'!$B$32:$B$43,0),MATCH(J395,'Operating leases'!$M$11:$S$11,0)))</f>
        <v>0</v>
      </c>
      <c r="P395" s="257">
        <f t="shared" si="89"/>
        <v>2905.7700000000004</v>
      </c>
      <c r="Q395" s="257">
        <f t="shared" si="90"/>
        <v>2905.7700000000004</v>
      </c>
      <c r="R395" s="258">
        <f>INDEX('Escalators '!$M$124:$S$129,MATCH(I395,'Escalators '!$B$124:$B$129,0),MATCH(J395,'Escalators '!$M$113:$S$113,0))</f>
        <v>1.0120900655357943</v>
      </c>
      <c r="S395" s="257">
        <f t="shared" si="91"/>
        <v>0</v>
      </c>
      <c r="T395" s="257">
        <f t="shared" si="92"/>
        <v>0</v>
      </c>
      <c r="U395" s="269">
        <f t="shared" si="93"/>
        <v>2940.9009497319453</v>
      </c>
      <c r="V395" s="269">
        <f t="shared" si="94"/>
        <v>2940.9009497319453</v>
      </c>
      <c r="W395" s="269">
        <f t="shared" si="95"/>
        <v>2940.9009497319453</v>
      </c>
      <c r="X395" s="257">
        <f t="shared" si="96"/>
        <v>2940.9009497319453</v>
      </c>
      <c r="Y395" s="270">
        <f>IF(L395="Complex",(INDEX('Escalators '!$M$176:$S$176,MATCH('Forecast capex'!J395,'Escalators '!$M$178:$S$178,0))/12+1)^((K395-J395)*12)-1,0)</f>
        <v>0</v>
      </c>
      <c r="Z395" s="257">
        <f t="shared" si="97"/>
        <v>0</v>
      </c>
      <c r="AA395" s="257">
        <f t="shared" si="98"/>
        <v>0</v>
      </c>
      <c r="AB395" s="269">
        <f t="shared" si="99"/>
        <v>0</v>
      </c>
      <c r="AC395" s="269">
        <f t="shared" si="100"/>
        <v>0</v>
      </c>
      <c r="AD395" s="271" t="str">
        <f>INDEX('Global inputs'!$C$134:$C$171,MATCH(F395,'Global inputs'!$B$134:$B$171,0))</f>
        <v xml:space="preserve">System growth </v>
      </c>
      <c r="AE395" s="272">
        <f>IF(OR(H395='Operating leases'!$B$32,H395='Operating leases'!$B$33),"",INDEX('Global inputs'!$C$186:$C$243,MATCH(E395,'Global inputs'!$B$186:$B$243,0)))</f>
        <v>0.08</v>
      </c>
    </row>
    <row r="396" spans="1:31" s="27" customFormat="1" x14ac:dyDescent="0.2">
      <c r="A396" s="250"/>
      <c r="B396" s="210" t="s">
        <v>746</v>
      </c>
      <c r="C396" s="210" t="s">
        <v>286</v>
      </c>
      <c r="D396" s="210" t="s">
        <v>735</v>
      </c>
      <c r="E396" s="210" t="s">
        <v>144</v>
      </c>
      <c r="F396" s="210" t="s">
        <v>86</v>
      </c>
      <c r="G396" s="210" t="s">
        <v>736</v>
      </c>
      <c r="H396" s="197">
        <v>0</v>
      </c>
      <c r="I396" s="210" t="s">
        <v>229</v>
      </c>
      <c r="J396" s="210">
        <v>2021</v>
      </c>
      <c r="K396" s="210">
        <v>2021</v>
      </c>
      <c r="L396" s="268" t="str">
        <f t="shared" si="88"/>
        <v>Simple</v>
      </c>
      <c r="M396" s="197">
        <v>5811.5400000000009</v>
      </c>
      <c r="N396" s="197">
        <v>0</v>
      </c>
      <c r="O396" s="257">
        <f>IF(ISNA(MATCH(H396,'Operating leases'!$B$32:$B$43,0)),0,INDEX('Operating leases'!$M$32:$S$43,MATCH(H396,'Operating leases'!$B$32:$B$43,0),MATCH(J396,'Operating leases'!$M$11:$S$11,0)))</f>
        <v>0</v>
      </c>
      <c r="P396" s="257">
        <f t="shared" si="89"/>
        <v>5811.5400000000009</v>
      </c>
      <c r="Q396" s="257">
        <f t="shared" si="90"/>
        <v>5811.5400000000009</v>
      </c>
      <c r="R396" s="258">
        <f>INDEX('Escalators '!$M$124:$S$129,MATCH(I396,'Escalators '!$B$124:$B$129,0),MATCH(J396,'Escalators '!$M$113:$S$113,0))</f>
        <v>1.0206154571717865</v>
      </c>
      <c r="S396" s="257">
        <f t="shared" si="91"/>
        <v>0</v>
      </c>
      <c r="T396" s="257">
        <f t="shared" si="92"/>
        <v>0</v>
      </c>
      <c r="U396" s="269">
        <f t="shared" si="93"/>
        <v>5931.3475539721248</v>
      </c>
      <c r="V396" s="269">
        <f t="shared" si="94"/>
        <v>5931.3475539721248</v>
      </c>
      <c r="W396" s="269">
        <f t="shared" si="95"/>
        <v>5931.3475539721248</v>
      </c>
      <c r="X396" s="257">
        <f t="shared" si="96"/>
        <v>5931.3475539721248</v>
      </c>
      <c r="Y396" s="270">
        <f>IF(L396="Complex",(INDEX('Escalators '!$M$176:$S$176,MATCH('Forecast capex'!J396,'Escalators '!$M$178:$S$178,0))/12+1)^((K396-J396)*12)-1,0)</f>
        <v>0</v>
      </c>
      <c r="Z396" s="257">
        <f t="shared" si="97"/>
        <v>0</v>
      </c>
      <c r="AA396" s="257">
        <f t="shared" si="98"/>
        <v>0</v>
      </c>
      <c r="AB396" s="269">
        <f t="shared" si="99"/>
        <v>0</v>
      </c>
      <c r="AC396" s="269">
        <f t="shared" si="100"/>
        <v>0</v>
      </c>
      <c r="AD396" s="271" t="str">
        <f>INDEX('Global inputs'!$C$134:$C$171,MATCH(F396,'Global inputs'!$B$134:$B$171,0))</f>
        <v xml:space="preserve">System growth </v>
      </c>
      <c r="AE396" s="272">
        <f>IF(OR(H396='Operating leases'!$B$32,H396='Operating leases'!$B$33),"",INDEX('Global inputs'!$C$186:$C$243,MATCH(E396,'Global inputs'!$B$186:$B$243,0)))</f>
        <v>0.08</v>
      </c>
    </row>
    <row r="397" spans="1:31" s="27" customFormat="1" x14ac:dyDescent="0.2">
      <c r="A397" s="250"/>
      <c r="B397" s="210" t="s">
        <v>746</v>
      </c>
      <c r="C397" s="210" t="s">
        <v>286</v>
      </c>
      <c r="D397" s="210" t="s">
        <v>735</v>
      </c>
      <c r="E397" s="210" t="s">
        <v>144</v>
      </c>
      <c r="F397" s="210" t="s">
        <v>86</v>
      </c>
      <c r="G397" s="210" t="s">
        <v>736</v>
      </c>
      <c r="H397" s="197">
        <v>0</v>
      </c>
      <c r="I397" s="210" t="s">
        <v>221</v>
      </c>
      <c r="J397" s="210">
        <v>2021</v>
      </c>
      <c r="K397" s="210">
        <v>2021</v>
      </c>
      <c r="L397" s="268" t="str">
        <f t="shared" si="88"/>
        <v>Simple</v>
      </c>
      <c r="M397" s="197">
        <v>23246.160000000003</v>
      </c>
      <c r="N397" s="197">
        <v>0</v>
      </c>
      <c r="O397" s="257">
        <f>IF(ISNA(MATCH(H397,'Operating leases'!$B$32:$B$43,0)),0,INDEX('Operating leases'!$M$32:$S$43,MATCH(H397,'Operating leases'!$B$32:$B$43,0),MATCH(J397,'Operating leases'!$M$11:$S$11,0)))</f>
        <v>0</v>
      </c>
      <c r="P397" s="257">
        <f t="shared" si="89"/>
        <v>23246.160000000003</v>
      </c>
      <c r="Q397" s="257">
        <f t="shared" si="90"/>
        <v>23246.160000000003</v>
      </c>
      <c r="R397" s="258">
        <f>INDEX('Escalators '!$M$124:$S$129,MATCH(I397,'Escalators '!$B$124:$B$129,0),MATCH(J397,'Escalators '!$M$113:$S$113,0))</f>
        <v>1.0120900655357943</v>
      </c>
      <c r="S397" s="257">
        <f t="shared" si="91"/>
        <v>0</v>
      </c>
      <c r="T397" s="257">
        <f t="shared" si="92"/>
        <v>0</v>
      </c>
      <c r="U397" s="269">
        <f t="shared" si="93"/>
        <v>23527.207597855562</v>
      </c>
      <c r="V397" s="269">
        <f t="shared" si="94"/>
        <v>23527.207597855562</v>
      </c>
      <c r="W397" s="269">
        <f t="shared" si="95"/>
        <v>23527.207597855562</v>
      </c>
      <c r="X397" s="257">
        <f t="shared" si="96"/>
        <v>23527.207597855562</v>
      </c>
      <c r="Y397" s="270">
        <f>IF(L397="Complex",(INDEX('Escalators '!$M$176:$S$176,MATCH('Forecast capex'!J397,'Escalators '!$M$178:$S$178,0))/12+1)^((K397-J397)*12)-1,0)</f>
        <v>0</v>
      </c>
      <c r="Z397" s="257">
        <f t="shared" si="97"/>
        <v>0</v>
      </c>
      <c r="AA397" s="257">
        <f t="shared" si="98"/>
        <v>0</v>
      </c>
      <c r="AB397" s="269">
        <f t="shared" si="99"/>
        <v>0</v>
      </c>
      <c r="AC397" s="269">
        <f t="shared" si="100"/>
        <v>0</v>
      </c>
      <c r="AD397" s="271" t="str">
        <f>INDEX('Global inputs'!$C$134:$C$171,MATCH(F397,'Global inputs'!$B$134:$B$171,0))</f>
        <v xml:space="preserve">System growth </v>
      </c>
      <c r="AE397" s="272">
        <f>IF(OR(H397='Operating leases'!$B$32,H397='Operating leases'!$B$33),"",INDEX('Global inputs'!$C$186:$C$243,MATCH(E397,'Global inputs'!$B$186:$B$243,0)))</f>
        <v>0.08</v>
      </c>
    </row>
    <row r="398" spans="1:31" s="27" customFormat="1" x14ac:dyDescent="0.2">
      <c r="A398" s="250"/>
      <c r="B398" s="210" t="s">
        <v>746</v>
      </c>
      <c r="C398" s="210" t="s">
        <v>291</v>
      </c>
      <c r="D398" s="210" t="s">
        <v>735</v>
      </c>
      <c r="E398" s="210" t="s">
        <v>175</v>
      </c>
      <c r="F398" s="210" t="s">
        <v>86</v>
      </c>
      <c r="G398" s="210" t="s">
        <v>748</v>
      </c>
      <c r="H398" s="197">
        <v>0</v>
      </c>
      <c r="I398" s="210" t="s">
        <v>229</v>
      </c>
      <c r="J398" s="210">
        <v>2021</v>
      </c>
      <c r="K398" s="210">
        <v>2021</v>
      </c>
      <c r="L398" s="268" t="str">
        <f t="shared" si="88"/>
        <v>Simple</v>
      </c>
      <c r="M398" s="197">
        <v>2905.7700000000004</v>
      </c>
      <c r="N398" s="197">
        <v>0</v>
      </c>
      <c r="O398" s="257">
        <f>IF(ISNA(MATCH(H398,'Operating leases'!$B$32:$B$43,0)),0,INDEX('Operating leases'!$M$32:$S$43,MATCH(H398,'Operating leases'!$B$32:$B$43,0),MATCH(J398,'Operating leases'!$M$11:$S$11,0)))</f>
        <v>0</v>
      </c>
      <c r="P398" s="257">
        <f t="shared" si="89"/>
        <v>2905.7700000000004</v>
      </c>
      <c r="Q398" s="257">
        <f t="shared" si="90"/>
        <v>2905.7700000000004</v>
      </c>
      <c r="R398" s="258">
        <f>INDEX('Escalators '!$M$124:$S$129,MATCH(I398,'Escalators '!$B$124:$B$129,0),MATCH(J398,'Escalators '!$M$113:$S$113,0))</f>
        <v>1.0206154571717865</v>
      </c>
      <c r="S398" s="257">
        <f t="shared" si="91"/>
        <v>0</v>
      </c>
      <c r="T398" s="257">
        <f t="shared" si="92"/>
        <v>0</v>
      </c>
      <c r="U398" s="269">
        <f t="shared" si="93"/>
        <v>2965.6737769860624</v>
      </c>
      <c r="V398" s="269">
        <f t="shared" si="94"/>
        <v>2965.6737769860624</v>
      </c>
      <c r="W398" s="269">
        <f t="shared" si="95"/>
        <v>2965.6737769860624</v>
      </c>
      <c r="X398" s="257">
        <f t="shared" si="96"/>
        <v>2965.6737769860624</v>
      </c>
      <c r="Y398" s="270">
        <f>IF(L398="Complex",(INDEX('Escalators '!$M$176:$S$176,MATCH('Forecast capex'!J398,'Escalators '!$M$178:$S$178,0))/12+1)^((K398-J398)*12)-1,0)</f>
        <v>0</v>
      </c>
      <c r="Z398" s="257">
        <f t="shared" si="97"/>
        <v>0</v>
      </c>
      <c r="AA398" s="257">
        <f t="shared" si="98"/>
        <v>0</v>
      </c>
      <c r="AB398" s="269">
        <f t="shared" si="99"/>
        <v>0</v>
      </c>
      <c r="AC398" s="269">
        <f t="shared" si="100"/>
        <v>0</v>
      </c>
      <c r="AD398" s="271" t="str">
        <f>INDEX('Global inputs'!$C$134:$C$171,MATCH(F398,'Global inputs'!$B$134:$B$171,0))</f>
        <v xml:space="preserve">System growth </v>
      </c>
      <c r="AE398" s="272">
        <f>IF(OR(H398='Operating leases'!$B$32,H398='Operating leases'!$B$33),"",INDEX('Global inputs'!$C$186:$C$243,MATCH(E398,'Global inputs'!$B$186:$B$243,0)))</f>
        <v>0.1</v>
      </c>
    </row>
    <row r="399" spans="1:31" s="27" customFormat="1" x14ac:dyDescent="0.2">
      <c r="A399" s="250"/>
      <c r="B399" s="210" t="s">
        <v>746</v>
      </c>
      <c r="C399" s="210" t="s">
        <v>291</v>
      </c>
      <c r="D399" s="210" t="s">
        <v>735</v>
      </c>
      <c r="E399" s="210" t="s">
        <v>175</v>
      </c>
      <c r="F399" s="210" t="s">
        <v>86</v>
      </c>
      <c r="G399" s="210" t="s">
        <v>748</v>
      </c>
      <c r="H399" s="197">
        <v>0</v>
      </c>
      <c r="I399" s="210" t="s">
        <v>221</v>
      </c>
      <c r="J399" s="210">
        <v>2021</v>
      </c>
      <c r="K399" s="210">
        <v>2021</v>
      </c>
      <c r="L399" s="268" t="str">
        <f t="shared" si="88"/>
        <v>Simple</v>
      </c>
      <c r="M399" s="197">
        <v>11623.080000000002</v>
      </c>
      <c r="N399" s="197">
        <v>0</v>
      </c>
      <c r="O399" s="257">
        <f>IF(ISNA(MATCH(H399,'Operating leases'!$B$32:$B$43,0)),0,INDEX('Operating leases'!$M$32:$S$43,MATCH(H399,'Operating leases'!$B$32:$B$43,0),MATCH(J399,'Operating leases'!$M$11:$S$11,0)))</f>
        <v>0</v>
      </c>
      <c r="P399" s="257">
        <f t="shared" si="89"/>
        <v>11623.080000000002</v>
      </c>
      <c r="Q399" s="257">
        <f t="shared" si="90"/>
        <v>11623.080000000002</v>
      </c>
      <c r="R399" s="258">
        <f>INDEX('Escalators '!$M$124:$S$129,MATCH(I399,'Escalators '!$B$124:$B$129,0),MATCH(J399,'Escalators '!$M$113:$S$113,0))</f>
        <v>1.0120900655357943</v>
      </c>
      <c r="S399" s="257">
        <f t="shared" si="91"/>
        <v>0</v>
      </c>
      <c r="T399" s="257">
        <f t="shared" si="92"/>
        <v>0</v>
      </c>
      <c r="U399" s="269">
        <f t="shared" si="93"/>
        <v>11763.603798927781</v>
      </c>
      <c r="V399" s="269">
        <f t="shared" si="94"/>
        <v>11763.603798927781</v>
      </c>
      <c r="W399" s="269">
        <f t="shared" si="95"/>
        <v>11763.603798927781</v>
      </c>
      <c r="X399" s="257">
        <f t="shared" si="96"/>
        <v>11763.603798927781</v>
      </c>
      <c r="Y399" s="270">
        <f>IF(L399="Complex",(INDEX('Escalators '!$M$176:$S$176,MATCH('Forecast capex'!J399,'Escalators '!$M$178:$S$178,0))/12+1)^((K399-J399)*12)-1,0)</f>
        <v>0</v>
      </c>
      <c r="Z399" s="257">
        <f t="shared" si="97"/>
        <v>0</v>
      </c>
      <c r="AA399" s="257">
        <f t="shared" si="98"/>
        <v>0</v>
      </c>
      <c r="AB399" s="269">
        <f t="shared" si="99"/>
        <v>0</v>
      </c>
      <c r="AC399" s="269">
        <f t="shared" si="100"/>
        <v>0</v>
      </c>
      <c r="AD399" s="271" t="str">
        <f>INDEX('Global inputs'!$C$134:$C$171,MATCH(F399,'Global inputs'!$B$134:$B$171,0))</f>
        <v xml:space="preserve">System growth </v>
      </c>
      <c r="AE399" s="272">
        <f>IF(OR(H399='Operating leases'!$B$32,H399='Operating leases'!$B$33),"",INDEX('Global inputs'!$C$186:$C$243,MATCH(E399,'Global inputs'!$B$186:$B$243,0)))</f>
        <v>0.1</v>
      </c>
    </row>
    <row r="400" spans="1:31" s="27" customFormat="1" x14ac:dyDescent="0.2">
      <c r="A400" s="250"/>
      <c r="B400" s="210" t="s">
        <v>746</v>
      </c>
      <c r="C400" s="210" t="s">
        <v>288</v>
      </c>
      <c r="D400" s="210" t="s">
        <v>223</v>
      </c>
      <c r="E400" s="210" t="s">
        <v>156</v>
      </c>
      <c r="F400" s="210" t="s">
        <v>86</v>
      </c>
      <c r="G400" s="210" t="s">
        <v>727</v>
      </c>
      <c r="H400" s="197">
        <v>0</v>
      </c>
      <c r="I400" s="210" t="s">
        <v>223</v>
      </c>
      <c r="J400" s="210">
        <v>2021</v>
      </c>
      <c r="K400" s="210">
        <v>2021</v>
      </c>
      <c r="L400" s="268" t="str">
        <f t="shared" si="88"/>
        <v>Simple</v>
      </c>
      <c r="M400" s="197">
        <v>235367.37</v>
      </c>
      <c r="N400" s="197">
        <v>0</v>
      </c>
      <c r="O400" s="257">
        <f>IF(ISNA(MATCH(H400,'Operating leases'!$B$32:$B$43,0)),0,INDEX('Operating leases'!$M$32:$S$43,MATCH(H400,'Operating leases'!$B$32:$B$43,0),MATCH(J400,'Operating leases'!$M$11:$S$11,0)))</f>
        <v>0</v>
      </c>
      <c r="P400" s="257">
        <f t="shared" si="89"/>
        <v>235367.37</v>
      </c>
      <c r="Q400" s="257">
        <f t="shared" si="90"/>
        <v>235367.37</v>
      </c>
      <c r="R400" s="258">
        <f>INDEX('Escalators '!$M$124:$S$129,MATCH(I400,'Escalators '!$B$124:$B$129,0),MATCH(J400,'Escalators '!$M$113:$S$113,0))</f>
        <v>1.0239888729183189</v>
      </c>
      <c r="S400" s="257">
        <f t="shared" si="91"/>
        <v>0</v>
      </c>
      <c r="T400" s="257">
        <f t="shared" si="92"/>
        <v>0</v>
      </c>
      <c r="U400" s="269">
        <f t="shared" si="93"/>
        <v>241013.56792804893</v>
      </c>
      <c r="V400" s="269">
        <f t="shared" si="94"/>
        <v>241013.56792804893</v>
      </c>
      <c r="W400" s="269">
        <f t="shared" si="95"/>
        <v>241013.56792804893</v>
      </c>
      <c r="X400" s="257">
        <f t="shared" si="96"/>
        <v>241013.56792804893</v>
      </c>
      <c r="Y400" s="270">
        <f>IF(L400="Complex",(INDEX('Escalators '!$M$176:$S$176,MATCH('Forecast capex'!J400,'Escalators '!$M$178:$S$178,0))/12+1)^((K400-J400)*12)-1,0)</f>
        <v>0</v>
      </c>
      <c r="Z400" s="257">
        <f t="shared" si="97"/>
        <v>0</v>
      </c>
      <c r="AA400" s="257">
        <f t="shared" si="98"/>
        <v>0</v>
      </c>
      <c r="AB400" s="269">
        <f t="shared" si="99"/>
        <v>0</v>
      </c>
      <c r="AC400" s="269">
        <f t="shared" si="100"/>
        <v>0</v>
      </c>
      <c r="AD400" s="271" t="str">
        <f>INDEX('Global inputs'!$C$134:$C$171,MATCH(F400,'Global inputs'!$B$134:$B$171,0))</f>
        <v xml:space="preserve">System growth </v>
      </c>
      <c r="AE400" s="272">
        <f>IF(OR(H400='Operating leases'!$B$32,H400='Operating leases'!$B$33),"",INDEX('Global inputs'!$C$186:$C$243,MATCH(E400,'Global inputs'!$B$186:$B$243,0)))</f>
        <v>0.08</v>
      </c>
    </row>
    <row r="401" spans="1:31" s="27" customFormat="1" x14ac:dyDescent="0.2">
      <c r="A401" s="250"/>
      <c r="B401" s="210" t="s">
        <v>746</v>
      </c>
      <c r="C401" s="210" t="s">
        <v>288</v>
      </c>
      <c r="D401" s="210" t="s">
        <v>223</v>
      </c>
      <c r="E401" s="210" t="s">
        <v>156</v>
      </c>
      <c r="F401" s="210" t="s">
        <v>86</v>
      </c>
      <c r="G401" s="210" t="s">
        <v>727</v>
      </c>
      <c r="H401" s="197">
        <v>0</v>
      </c>
      <c r="I401" s="210" t="s">
        <v>221</v>
      </c>
      <c r="J401" s="210">
        <v>2021</v>
      </c>
      <c r="K401" s="210">
        <v>2021</v>
      </c>
      <c r="L401" s="268" t="str">
        <f t="shared" si="88"/>
        <v>Simple</v>
      </c>
      <c r="M401" s="197">
        <v>549190.53</v>
      </c>
      <c r="N401" s="197">
        <v>0</v>
      </c>
      <c r="O401" s="257">
        <f>IF(ISNA(MATCH(H401,'Operating leases'!$B$32:$B$43,0)),0,INDEX('Operating leases'!$M$32:$S$43,MATCH(H401,'Operating leases'!$B$32:$B$43,0),MATCH(J401,'Operating leases'!$M$11:$S$11,0)))</f>
        <v>0</v>
      </c>
      <c r="P401" s="257">
        <f t="shared" si="89"/>
        <v>549190.53</v>
      </c>
      <c r="Q401" s="257">
        <f t="shared" si="90"/>
        <v>549190.53</v>
      </c>
      <c r="R401" s="258">
        <f>INDEX('Escalators '!$M$124:$S$129,MATCH(I401,'Escalators '!$B$124:$B$129,0),MATCH(J401,'Escalators '!$M$113:$S$113,0))</f>
        <v>1.0120900655357943</v>
      </c>
      <c r="S401" s="257">
        <f t="shared" si="91"/>
        <v>0</v>
      </c>
      <c r="T401" s="257">
        <f t="shared" si="92"/>
        <v>0</v>
      </c>
      <c r="U401" s="269">
        <f t="shared" si="93"/>
        <v>555830.27949933766</v>
      </c>
      <c r="V401" s="269">
        <f t="shared" si="94"/>
        <v>555830.27949933766</v>
      </c>
      <c r="W401" s="269">
        <f t="shared" si="95"/>
        <v>555830.27949933766</v>
      </c>
      <c r="X401" s="257">
        <f t="shared" si="96"/>
        <v>555830.27949933766</v>
      </c>
      <c r="Y401" s="270">
        <f>IF(L401="Complex",(INDEX('Escalators '!$M$176:$S$176,MATCH('Forecast capex'!J401,'Escalators '!$M$178:$S$178,0))/12+1)^((K401-J401)*12)-1,0)</f>
        <v>0</v>
      </c>
      <c r="Z401" s="257">
        <f t="shared" si="97"/>
        <v>0</v>
      </c>
      <c r="AA401" s="257">
        <f t="shared" si="98"/>
        <v>0</v>
      </c>
      <c r="AB401" s="269">
        <f t="shared" si="99"/>
        <v>0</v>
      </c>
      <c r="AC401" s="269">
        <f t="shared" si="100"/>
        <v>0</v>
      </c>
      <c r="AD401" s="271" t="str">
        <f>INDEX('Global inputs'!$C$134:$C$171,MATCH(F401,'Global inputs'!$B$134:$B$171,0))</f>
        <v xml:space="preserve">System growth </v>
      </c>
      <c r="AE401" s="272">
        <f>IF(OR(H401='Operating leases'!$B$32,H401='Operating leases'!$B$33),"",INDEX('Global inputs'!$C$186:$C$243,MATCH(E401,'Global inputs'!$B$186:$B$243,0)))</f>
        <v>0.08</v>
      </c>
    </row>
    <row r="402" spans="1:31" s="27" customFormat="1" x14ac:dyDescent="0.2">
      <c r="A402" s="250"/>
      <c r="B402" s="210" t="s">
        <v>746</v>
      </c>
      <c r="C402" s="210" t="s">
        <v>288</v>
      </c>
      <c r="D402" s="210" t="s">
        <v>223</v>
      </c>
      <c r="E402" s="210" t="s">
        <v>158</v>
      </c>
      <c r="F402" s="210" t="s">
        <v>86</v>
      </c>
      <c r="G402" s="210" t="s">
        <v>728</v>
      </c>
      <c r="H402" s="197">
        <v>0</v>
      </c>
      <c r="I402" s="210" t="s">
        <v>223</v>
      </c>
      <c r="J402" s="210">
        <v>2021</v>
      </c>
      <c r="K402" s="210">
        <v>2021</v>
      </c>
      <c r="L402" s="268" t="str">
        <f t="shared" si="88"/>
        <v>Simple</v>
      </c>
      <c r="M402" s="197">
        <v>23246.160000000003</v>
      </c>
      <c r="N402" s="197">
        <v>0</v>
      </c>
      <c r="O402" s="257">
        <f>IF(ISNA(MATCH(H402,'Operating leases'!$B$32:$B$43,0)),0,INDEX('Operating leases'!$M$32:$S$43,MATCH(H402,'Operating leases'!$B$32:$B$43,0),MATCH(J402,'Operating leases'!$M$11:$S$11,0)))</f>
        <v>0</v>
      </c>
      <c r="P402" s="257">
        <f t="shared" si="89"/>
        <v>23246.160000000003</v>
      </c>
      <c r="Q402" s="257">
        <f t="shared" si="90"/>
        <v>23246.160000000003</v>
      </c>
      <c r="R402" s="258">
        <f>INDEX('Escalators '!$M$124:$S$129,MATCH(I402,'Escalators '!$B$124:$B$129,0),MATCH(J402,'Escalators '!$M$113:$S$113,0))</f>
        <v>1.0239888729183189</v>
      </c>
      <c r="S402" s="257">
        <f t="shared" si="91"/>
        <v>0</v>
      </c>
      <c r="T402" s="257">
        <f t="shared" si="92"/>
        <v>0</v>
      </c>
      <c r="U402" s="269">
        <f t="shared" si="93"/>
        <v>23803.809178078911</v>
      </c>
      <c r="V402" s="269">
        <f t="shared" si="94"/>
        <v>23803.809178078911</v>
      </c>
      <c r="W402" s="269">
        <f t="shared" si="95"/>
        <v>23803.809178078911</v>
      </c>
      <c r="X402" s="257">
        <f t="shared" si="96"/>
        <v>23803.809178078911</v>
      </c>
      <c r="Y402" s="270">
        <f>IF(L402="Complex",(INDEX('Escalators '!$M$176:$S$176,MATCH('Forecast capex'!J402,'Escalators '!$M$178:$S$178,0))/12+1)^((K402-J402)*12)-1,0)</f>
        <v>0</v>
      </c>
      <c r="Z402" s="257">
        <f t="shared" si="97"/>
        <v>0</v>
      </c>
      <c r="AA402" s="257">
        <f t="shared" si="98"/>
        <v>0</v>
      </c>
      <c r="AB402" s="269">
        <f t="shared" si="99"/>
        <v>0</v>
      </c>
      <c r="AC402" s="269">
        <f t="shared" si="100"/>
        <v>0</v>
      </c>
      <c r="AD402" s="271" t="str">
        <f>INDEX('Global inputs'!$C$134:$C$171,MATCH(F402,'Global inputs'!$B$134:$B$171,0))</f>
        <v xml:space="preserve">System growth </v>
      </c>
      <c r="AE402" s="272">
        <f>IF(OR(H402='Operating leases'!$B$32,H402='Operating leases'!$B$33),"",INDEX('Global inputs'!$C$186:$C$243,MATCH(E402,'Global inputs'!$B$186:$B$243,0)))</f>
        <v>0.08</v>
      </c>
    </row>
    <row r="403" spans="1:31" s="27" customFormat="1" x14ac:dyDescent="0.2">
      <c r="A403" s="250"/>
      <c r="B403" s="210" t="s">
        <v>746</v>
      </c>
      <c r="C403" s="210" t="s">
        <v>288</v>
      </c>
      <c r="D403" s="210" t="s">
        <v>223</v>
      </c>
      <c r="E403" s="210" t="s">
        <v>158</v>
      </c>
      <c r="F403" s="210" t="s">
        <v>86</v>
      </c>
      <c r="G403" s="210" t="s">
        <v>728</v>
      </c>
      <c r="H403" s="197">
        <v>0</v>
      </c>
      <c r="I403" s="210" t="s">
        <v>221</v>
      </c>
      <c r="J403" s="210">
        <v>2021</v>
      </c>
      <c r="K403" s="210">
        <v>2021</v>
      </c>
      <c r="L403" s="268" t="str">
        <f t="shared" si="88"/>
        <v>Simple</v>
      </c>
      <c r="M403" s="197">
        <v>34869.24</v>
      </c>
      <c r="N403" s="197">
        <v>0</v>
      </c>
      <c r="O403" s="257">
        <f>IF(ISNA(MATCH(H403,'Operating leases'!$B$32:$B$43,0)),0,INDEX('Operating leases'!$M$32:$S$43,MATCH(H403,'Operating leases'!$B$32:$B$43,0),MATCH(J403,'Operating leases'!$M$11:$S$11,0)))</f>
        <v>0</v>
      </c>
      <c r="P403" s="257">
        <f t="shared" si="89"/>
        <v>34869.24</v>
      </c>
      <c r="Q403" s="257">
        <f t="shared" si="90"/>
        <v>34869.24</v>
      </c>
      <c r="R403" s="258">
        <f>INDEX('Escalators '!$M$124:$S$129,MATCH(I403,'Escalators '!$B$124:$B$129,0),MATCH(J403,'Escalators '!$M$113:$S$113,0))</f>
        <v>1.0120900655357943</v>
      </c>
      <c r="S403" s="257">
        <f t="shared" si="91"/>
        <v>0</v>
      </c>
      <c r="T403" s="257">
        <f t="shared" si="92"/>
        <v>0</v>
      </c>
      <c r="U403" s="269">
        <f t="shared" si="93"/>
        <v>35290.811396783334</v>
      </c>
      <c r="V403" s="269">
        <f t="shared" si="94"/>
        <v>35290.811396783334</v>
      </c>
      <c r="W403" s="269">
        <f t="shared" si="95"/>
        <v>35290.811396783334</v>
      </c>
      <c r="X403" s="257">
        <f t="shared" si="96"/>
        <v>35290.811396783334</v>
      </c>
      <c r="Y403" s="270">
        <f>IF(L403="Complex",(INDEX('Escalators '!$M$176:$S$176,MATCH('Forecast capex'!J403,'Escalators '!$M$178:$S$178,0))/12+1)^((K403-J403)*12)-1,0)</f>
        <v>0</v>
      </c>
      <c r="Z403" s="257">
        <f t="shared" si="97"/>
        <v>0</v>
      </c>
      <c r="AA403" s="257">
        <f t="shared" si="98"/>
        <v>0</v>
      </c>
      <c r="AB403" s="269">
        <f t="shared" si="99"/>
        <v>0</v>
      </c>
      <c r="AC403" s="269">
        <f t="shared" si="100"/>
        <v>0</v>
      </c>
      <c r="AD403" s="271" t="str">
        <f>INDEX('Global inputs'!$C$134:$C$171,MATCH(F403,'Global inputs'!$B$134:$B$171,0))</f>
        <v xml:space="preserve">System growth </v>
      </c>
      <c r="AE403" s="272">
        <f>IF(OR(H403='Operating leases'!$B$32,H403='Operating leases'!$B$33),"",INDEX('Global inputs'!$C$186:$C$243,MATCH(E403,'Global inputs'!$B$186:$B$243,0)))</f>
        <v>0.08</v>
      </c>
    </row>
    <row r="404" spans="1:31" s="27" customFormat="1" x14ac:dyDescent="0.2">
      <c r="A404" s="250"/>
      <c r="B404" s="210" t="s">
        <v>746</v>
      </c>
      <c r="C404" s="210" t="s">
        <v>287</v>
      </c>
      <c r="D404" s="210" t="s">
        <v>729</v>
      </c>
      <c r="E404" s="210" t="s">
        <v>150</v>
      </c>
      <c r="F404" s="210" t="s">
        <v>86</v>
      </c>
      <c r="G404" s="210" t="s">
        <v>731</v>
      </c>
      <c r="H404" s="197">
        <v>0</v>
      </c>
      <c r="I404" s="210" t="s">
        <v>225</v>
      </c>
      <c r="J404" s="210">
        <v>2021</v>
      </c>
      <c r="K404" s="210">
        <v>2021</v>
      </c>
      <c r="L404" s="268" t="str">
        <f t="shared" si="88"/>
        <v>Simple</v>
      </c>
      <c r="M404" s="197">
        <v>46492.320000000007</v>
      </c>
      <c r="N404" s="197">
        <v>0</v>
      </c>
      <c r="O404" s="257">
        <f>IF(ISNA(MATCH(H404,'Operating leases'!$B$32:$B$43,0)),0,INDEX('Operating leases'!$M$32:$S$43,MATCH(H404,'Operating leases'!$B$32:$B$43,0),MATCH(J404,'Operating leases'!$M$11:$S$11,0)))</f>
        <v>0</v>
      </c>
      <c r="P404" s="257">
        <f t="shared" si="89"/>
        <v>46492.320000000007</v>
      </c>
      <c r="Q404" s="257">
        <f t="shared" si="90"/>
        <v>46492.320000000007</v>
      </c>
      <c r="R404" s="258">
        <f>INDEX('Escalators '!$M$124:$S$129,MATCH(I404,'Escalators '!$B$124:$B$129,0),MATCH(J404,'Escalators '!$M$113:$S$113,0))</f>
        <v>1.023305412371134</v>
      </c>
      <c r="S404" s="257">
        <f t="shared" si="91"/>
        <v>0</v>
      </c>
      <c r="T404" s="257">
        <f t="shared" si="92"/>
        <v>0</v>
      </c>
      <c r="U404" s="269">
        <f t="shared" si="93"/>
        <v>47575.842689690733</v>
      </c>
      <c r="V404" s="269">
        <f t="shared" si="94"/>
        <v>47575.842689690733</v>
      </c>
      <c r="W404" s="269">
        <f t="shared" si="95"/>
        <v>47575.842689690733</v>
      </c>
      <c r="X404" s="257">
        <f t="shared" si="96"/>
        <v>47575.842689690733</v>
      </c>
      <c r="Y404" s="270">
        <f>IF(L404="Complex",(INDEX('Escalators '!$M$176:$S$176,MATCH('Forecast capex'!J404,'Escalators '!$M$178:$S$178,0))/12+1)^((K404-J404)*12)-1,0)</f>
        <v>0</v>
      </c>
      <c r="Z404" s="257">
        <f t="shared" si="97"/>
        <v>0</v>
      </c>
      <c r="AA404" s="257">
        <f t="shared" si="98"/>
        <v>0</v>
      </c>
      <c r="AB404" s="269">
        <f t="shared" si="99"/>
        <v>0</v>
      </c>
      <c r="AC404" s="269">
        <f t="shared" si="100"/>
        <v>0</v>
      </c>
      <c r="AD404" s="271" t="str">
        <f>INDEX('Global inputs'!$C$134:$C$171,MATCH(F404,'Global inputs'!$B$134:$B$171,0))</f>
        <v xml:space="preserve">System growth </v>
      </c>
      <c r="AE404" s="272">
        <f>IF(OR(H404='Operating leases'!$B$32,H404='Operating leases'!$B$33),"",INDEX('Global inputs'!$C$186:$C$243,MATCH(E404,'Global inputs'!$B$186:$B$243,0)))</f>
        <v>0.08</v>
      </c>
    </row>
    <row r="405" spans="1:31" s="27" customFormat="1" x14ac:dyDescent="0.2">
      <c r="A405" s="250"/>
      <c r="B405" s="210" t="s">
        <v>746</v>
      </c>
      <c r="C405" s="210" t="s">
        <v>287</v>
      </c>
      <c r="D405" s="210" t="s">
        <v>729</v>
      </c>
      <c r="E405" s="210" t="s">
        <v>150</v>
      </c>
      <c r="F405" s="210" t="s">
        <v>86</v>
      </c>
      <c r="G405" s="210" t="s">
        <v>731</v>
      </c>
      <c r="H405" s="197">
        <v>0</v>
      </c>
      <c r="I405" s="210" t="s">
        <v>221</v>
      </c>
      <c r="J405" s="210">
        <v>2021</v>
      </c>
      <c r="K405" s="210">
        <v>2021</v>
      </c>
      <c r="L405" s="268" t="str">
        <f t="shared" si="88"/>
        <v>Simple</v>
      </c>
      <c r="M405" s="197">
        <v>185969.28000000003</v>
      </c>
      <c r="N405" s="197">
        <v>0</v>
      </c>
      <c r="O405" s="257">
        <f>IF(ISNA(MATCH(H405,'Operating leases'!$B$32:$B$43,0)),0,INDEX('Operating leases'!$M$32:$S$43,MATCH(H405,'Operating leases'!$B$32:$B$43,0),MATCH(J405,'Operating leases'!$M$11:$S$11,0)))</f>
        <v>0</v>
      </c>
      <c r="P405" s="257">
        <f t="shared" si="89"/>
        <v>185969.28000000003</v>
      </c>
      <c r="Q405" s="257">
        <f t="shared" si="90"/>
        <v>185969.28000000003</v>
      </c>
      <c r="R405" s="258">
        <f>INDEX('Escalators '!$M$124:$S$129,MATCH(I405,'Escalators '!$B$124:$B$129,0),MATCH(J405,'Escalators '!$M$113:$S$113,0))</f>
        <v>1.0120900655357943</v>
      </c>
      <c r="S405" s="257">
        <f t="shared" si="91"/>
        <v>0</v>
      </c>
      <c r="T405" s="257">
        <f t="shared" si="92"/>
        <v>0</v>
      </c>
      <c r="U405" s="269">
        <f t="shared" si="93"/>
        <v>188217.6607828445</v>
      </c>
      <c r="V405" s="269">
        <f t="shared" si="94"/>
        <v>188217.6607828445</v>
      </c>
      <c r="W405" s="269">
        <f t="shared" si="95"/>
        <v>188217.6607828445</v>
      </c>
      <c r="X405" s="257">
        <f t="shared" si="96"/>
        <v>188217.6607828445</v>
      </c>
      <c r="Y405" s="270">
        <f>IF(L405="Complex",(INDEX('Escalators '!$M$176:$S$176,MATCH('Forecast capex'!J405,'Escalators '!$M$178:$S$178,0))/12+1)^((K405-J405)*12)-1,0)</f>
        <v>0</v>
      </c>
      <c r="Z405" s="257">
        <f t="shared" si="97"/>
        <v>0</v>
      </c>
      <c r="AA405" s="257">
        <f t="shared" si="98"/>
        <v>0</v>
      </c>
      <c r="AB405" s="269">
        <f t="shared" si="99"/>
        <v>0</v>
      </c>
      <c r="AC405" s="269">
        <f t="shared" si="100"/>
        <v>0</v>
      </c>
      <c r="AD405" s="271" t="str">
        <f>INDEX('Global inputs'!$C$134:$C$171,MATCH(F405,'Global inputs'!$B$134:$B$171,0))</f>
        <v xml:space="preserve">System growth </v>
      </c>
      <c r="AE405" s="272">
        <f>IF(OR(H405='Operating leases'!$B$32,H405='Operating leases'!$B$33),"",INDEX('Global inputs'!$C$186:$C$243,MATCH(E405,'Global inputs'!$B$186:$B$243,0)))</f>
        <v>0.08</v>
      </c>
    </row>
    <row r="406" spans="1:31" s="27" customFormat="1" x14ac:dyDescent="0.2">
      <c r="A406" s="250"/>
      <c r="B406" s="210" t="s">
        <v>746</v>
      </c>
      <c r="C406" s="210" t="s">
        <v>287</v>
      </c>
      <c r="D406" s="210" t="s">
        <v>729</v>
      </c>
      <c r="E406" s="210" t="s">
        <v>151</v>
      </c>
      <c r="F406" s="210" t="s">
        <v>86</v>
      </c>
      <c r="G406" s="210" t="s">
        <v>731</v>
      </c>
      <c r="H406" s="197">
        <v>0</v>
      </c>
      <c r="I406" s="210" t="s">
        <v>225</v>
      </c>
      <c r="J406" s="210">
        <v>2021</v>
      </c>
      <c r="K406" s="210">
        <v>2021</v>
      </c>
      <c r="L406" s="268" t="str">
        <f t="shared" si="88"/>
        <v>Simple</v>
      </c>
      <c r="M406" s="197">
        <v>46492.320000000007</v>
      </c>
      <c r="N406" s="197">
        <v>0</v>
      </c>
      <c r="O406" s="257">
        <f>IF(ISNA(MATCH(H406,'Operating leases'!$B$32:$B$43,0)),0,INDEX('Operating leases'!$M$32:$S$43,MATCH(H406,'Operating leases'!$B$32:$B$43,0),MATCH(J406,'Operating leases'!$M$11:$S$11,0)))</f>
        <v>0</v>
      </c>
      <c r="P406" s="257">
        <f t="shared" si="89"/>
        <v>46492.320000000007</v>
      </c>
      <c r="Q406" s="257">
        <f t="shared" si="90"/>
        <v>46492.320000000007</v>
      </c>
      <c r="R406" s="258">
        <f>INDEX('Escalators '!$M$124:$S$129,MATCH(I406,'Escalators '!$B$124:$B$129,0),MATCH(J406,'Escalators '!$M$113:$S$113,0))</f>
        <v>1.023305412371134</v>
      </c>
      <c r="S406" s="257">
        <f t="shared" si="91"/>
        <v>0</v>
      </c>
      <c r="T406" s="257">
        <f t="shared" si="92"/>
        <v>0</v>
      </c>
      <c r="U406" s="269">
        <f t="shared" si="93"/>
        <v>47575.842689690733</v>
      </c>
      <c r="V406" s="269">
        <f t="shared" si="94"/>
        <v>47575.842689690733</v>
      </c>
      <c r="W406" s="269">
        <f t="shared" si="95"/>
        <v>47575.842689690733</v>
      </c>
      <c r="X406" s="257">
        <f t="shared" si="96"/>
        <v>47575.842689690733</v>
      </c>
      <c r="Y406" s="270">
        <f>IF(L406="Complex",(INDEX('Escalators '!$M$176:$S$176,MATCH('Forecast capex'!J406,'Escalators '!$M$178:$S$178,0))/12+1)^((K406-J406)*12)-1,0)</f>
        <v>0</v>
      </c>
      <c r="Z406" s="257">
        <f t="shared" si="97"/>
        <v>0</v>
      </c>
      <c r="AA406" s="257">
        <f t="shared" si="98"/>
        <v>0</v>
      </c>
      <c r="AB406" s="269">
        <f t="shared" si="99"/>
        <v>0</v>
      </c>
      <c r="AC406" s="269">
        <f t="shared" si="100"/>
        <v>0</v>
      </c>
      <c r="AD406" s="271" t="str">
        <f>INDEX('Global inputs'!$C$134:$C$171,MATCH(F406,'Global inputs'!$B$134:$B$171,0))</f>
        <v xml:space="preserve">System growth </v>
      </c>
      <c r="AE406" s="272">
        <f>IF(OR(H406='Operating leases'!$B$32,H406='Operating leases'!$B$33),"",INDEX('Global inputs'!$C$186:$C$243,MATCH(E406,'Global inputs'!$B$186:$B$243,0)))</f>
        <v>0.1</v>
      </c>
    </row>
    <row r="407" spans="1:31" s="27" customFormat="1" x14ac:dyDescent="0.2">
      <c r="A407" s="250"/>
      <c r="B407" s="210" t="s">
        <v>746</v>
      </c>
      <c r="C407" s="210" t="s">
        <v>287</v>
      </c>
      <c r="D407" s="210" t="s">
        <v>729</v>
      </c>
      <c r="E407" s="210" t="s">
        <v>151</v>
      </c>
      <c r="F407" s="210" t="s">
        <v>86</v>
      </c>
      <c r="G407" s="210" t="s">
        <v>731</v>
      </c>
      <c r="H407" s="197">
        <v>0</v>
      </c>
      <c r="I407" s="210" t="s">
        <v>221</v>
      </c>
      <c r="J407" s="210">
        <v>2021</v>
      </c>
      <c r="K407" s="210">
        <v>2021</v>
      </c>
      <c r="L407" s="268" t="str">
        <f t="shared" si="88"/>
        <v>Simple</v>
      </c>
      <c r="M407" s="197">
        <v>185969.28000000003</v>
      </c>
      <c r="N407" s="197">
        <v>0</v>
      </c>
      <c r="O407" s="257">
        <f>IF(ISNA(MATCH(H407,'Operating leases'!$B$32:$B$43,0)),0,INDEX('Operating leases'!$M$32:$S$43,MATCH(H407,'Operating leases'!$B$32:$B$43,0),MATCH(J407,'Operating leases'!$M$11:$S$11,0)))</f>
        <v>0</v>
      </c>
      <c r="P407" s="257">
        <f t="shared" si="89"/>
        <v>185969.28000000003</v>
      </c>
      <c r="Q407" s="257">
        <f t="shared" si="90"/>
        <v>185969.28000000003</v>
      </c>
      <c r="R407" s="258">
        <f>INDEX('Escalators '!$M$124:$S$129,MATCH(I407,'Escalators '!$B$124:$B$129,0),MATCH(J407,'Escalators '!$M$113:$S$113,0))</f>
        <v>1.0120900655357943</v>
      </c>
      <c r="S407" s="257">
        <f t="shared" si="91"/>
        <v>0</v>
      </c>
      <c r="T407" s="257">
        <f t="shared" si="92"/>
        <v>0</v>
      </c>
      <c r="U407" s="269">
        <f t="shared" si="93"/>
        <v>188217.6607828445</v>
      </c>
      <c r="V407" s="269">
        <f t="shared" si="94"/>
        <v>188217.6607828445</v>
      </c>
      <c r="W407" s="269">
        <f t="shared" si="95"/>
        <v>188217.6607828445</v>
      </c>
      <c r="X407" s="257">
        <f t="shared" si="96"/>
        <v>188217.6607828445</v>
      </c>
      <c r="Y407" s="270">
        <f>IF(L407="Complex",(INDEX('Escalators '!$M$176:$S$176,MATCH('Forecast capex'!J407,'Escalators '!$M$178:$S$178,0))/12+1)^((K407-J407)*12)-1,0)</f>
        <v>0</v>
      </c>
      <c r="Z407" s="257">
        <f t="shared" si="97"/>
        <v>0</v>
      </c>
      <c r="AA407" s="257">
        <f t="shared" si="98"/>
        <v>0</v>
      </c>
      <c r="AB407" s="269">
        <f t="shared" si="99"/>
        <v>0</v>
      </c>
      <c r="AC407" s="269">
        <f t="shared" si="100"/>
        <v>0</v>
      </c>
      <c r="AD407" s="271" t="str">
        <f>INDEX('Global inputs'!$C$134:$C$171,MATCH(F407,'Global inputs'!$B$134:$B$171,0))</f>
        <v xml:space="preserve">System growth </v>
      </c>
      <c r="AE407" s="272">
        <f>IF(OR(H407='Operating leases'!$B$32,H407='Operating leases'!$B$33),"",INDEX('Global inputs'!$C$186:$C$243,MATCH(E407,'Global inputs'!$B$186:$B$243,0)))</f>
        <v>0.1</v>
      </c>
    </row>
    <row r="408" spans="1:31" s="27" customFormat="1" x14ac:dyDescent="0.2">
      <c r="A408" s="250"/>
      <c r="B408" s="210" t="s">
        <v>746</v>
      </c>
      <c r="C408" s="210" t="s">
        <v>287</v>
      </c>
      <c r="D408" s="210" t="s">
        <v>729</v>
      </c>
      <c r="E408" s="210" t="s">
        <v>153</v>
      </c>
      <c r="F408" s="210" t="s">
        <v>86</v>
      </c>
      <c r="G408" s="210" t="s">
        <v>737</v>
      </c>
      <c r="H408" s="197">
        <v>0</v>
      </c>
      <c r="I408" s="210" t="s">
        <v>225</v>
      </c>
      <c r="J408" s="210">
        <v>2021</v>
      </c>
      <c r="K408" s="210">
        <v>2021</v>
      </c>
      <c r="L408" s="268" t="str">
        <f t="shared" si="88"/>
        <v>Simple</v>
      </c>
      <c r="M408" s="197">
        <v>8717.31</v>
      </c>
      <c r="N408" s="197">
        <v>0</v>
      </c>
      <c r="O408" s="257">
        <f>IF(ISNA(MATCH(H408,'Operating leases'!$B$32:$B$43,0)),0,INDEX('Operating leases'!$M$32:$S$43,MATCH(H408,'Operating leases'!$B$32:$B$43,0),MATCH(J408,'Operating leases'!$M$11:$S$11,0)))</f>
        <v>0</v>
      </c>
      <c r="P408" s="257">
        <f t="shared" si="89"/>
        <v>8717.31</v>
      </c>
      <c r="Q408" s="257">
        <f t="shared" si="90"/>
        <v>8717.31</v>
      </c>
      <c r="R408" s="258">
        <f>INDEX('Escalators '!$M$124:$S$129,MATCH(I408,'Escalators '!$B$124:$B$129,0),MATCH(J408,'Escalators '!$M$113:$S$113,0))</f>
        <v>1.023305412371134</v>
      </c>
      <c r="S408" s="257">
        <f t="shared" si="91"/>
        <v>0</v>
      </c>
      <c r="T408" s="257">
        <f t="shared" si="92"/>
        <v>0</v>
      </c>
      <c r="U408" s="269">
        <f t="shared" si="93"/>
        <v>8920.4705043170106</v>
      </c>
      <c r="V408" s="269">
        <f t="shared" si="94"/>
        <v>8920.4705043170106</v>
      </c>
      <c r="W408" s="269">
        <f t="shared" si="95"/>
        <v>8920.4705043170106</v>
      </c>
      <c r="X408" s="257">
        <f t="shared" si="96"/>
        <v>8920.4705043170106</v>
      </c>
      <c r="Y408" s="270">
        <f>IF(L408="Complex",(INDEX('Escalators '!$M$176:$S$176,MATCH('Forecast capex'!J408,'Escalators '!$M$178:$S$178,0))/12+1)^((K408-J408)*12)-1,0)</f>
        <v>0</v>
      </c>
      <c r="Z408" s="257">
        <f t="shared" si="97"/>
        <v>0</v>
      </c>
      <c r="AA408" s="257">
        <f t="shared" si="98"/>
        <v>0</v>
      </c>
      <c r="AB408" s="269">
        <f t="shared" si="99"/>
        <v>0</v>
      </c>
      <c r="AC408" s="269">
        <f t="shared" si="100"/>
        <v>0</v>
      </c>
      <c r="AD408" s="271" t="str">
        <f>INDEX('Global inputs'!$C$134:$C$171,MATCH(F408,'Global inputs'!$B$134:$B$171,0))</f>
        <v xml:space="preserve">System growth </v>
      </c>
      <c r="AE408" s="272">
        <f>IF(OR(H408='Operating leases'!$B$32,H408='Operating leases'!$B$33),"",INDEX('Global inputs'!$C$186:$C$243,MATCH(E408,'Global inputs'!$B$186:$B$243,0)))</f>
        <v>0.08</v>
      </c>
    </row>
    <row r="409" spans="1:31" s="27" customFormat="1" x14ac:dyDescent="0.2">
      <c r="A409" s="250"/>
      <c r="B409" s="210" t="s">
        <v>746</v>
      </c>
      <c r="C409" s="210" t="s">
        <v>287</v>
      </c>
      <c r="D409" s="210" t="s">
        <v>729</v>
      </c>
      <c r="E409" s="210" t="s">
        <v>153</v>
      </c>
      <c r="F409" s="210" t="s">
        <v>86</v>
      </c>
      <c r="G409" s="210" t="s">
        <v>737</v>
      </c>
      <c r="H409" s="197">
        <v>0</v>
      </c>
      <c r="I409" s="210" t="s">
        <v>221</v>
      </c>
      <c r="J409" s="210">
        <v>2021</v>
      </c>
      <c r="K409" s="210">
        <v>2021</v>
      </c>
      <c r="L409" s="268" t="str">
        <f t="shared" si="88"/>
        <v>Simple</v>
      </c>
      <c r="M409" s="197">
        <v>34869.24</v>
      </c>
      <c r="N409" s="197">
        <v>0</v>
      </c>
      <c r="O409" s="257">
        <f>IF(ISNA(MATCH(H409,'Operating leases'!$B$32:$B$43,0)),0,INDEX('Operating leases'!$M$32:$S$43,MATCH(H409,'Operating leases'!$B$32:$B$43,0),MATCH(J409,'Operating leases'!$M$11:$S$11,0)))</f>
        <v>0</v>
      </c>
      <c r="P409" s="257">
        <f t="shared" si="89"/>
        <v>34869.24</v>
      </c>
      <c r="Q409" s="257">
        <f t="shared" si="90"/>
        <v>34869.24</v>
      </c>
      <c r="R409" s="258">
        <f>INDEX('Escalators '!$M$124:$S$129,MATCH(I409,'Escalators '!$B$124:$B$129,0),MATCH(J409,'Escalators '!$M$113:$S$113,0))</f>
        <v>1.0120900655357943</v>
      </c>
      <c r="S409" s="257">
        <f t="shared" si="91"/>
        <v>0</v>
      </c>
      <c r="T409" s="257">
        <f t="shared" si="92"/>
        <v>0</v>
      </c>
      <c r="U409" s="269">
        <f t="shared" si="93"/>
        <v>35290.811396783334</v>
      </c>
      <c r="V409" s="269">
        <f t="shared" si="94"/>
        <v>35290.811396783334</v>
      </c>
      <c r="W409" s="269">
        <f t="shared" si="95"/>
        <v>35290.811396783334</v>
      </c>
      <c r="X409" s="257">
        <f t="shared" si="96"/>
        <v>35290.811396783334</v>
      </c>
      <c r="Y409" s="270">
        <f>IF(L409="Complex",(INDEX('Escalators '!$M$176:$S$176,MATCH('Forecast capex'!J409,'Escalators '!$M$178:$S$178,0))/12+1)^((K409-J409)*12)-1,0)</f>
        <v>0</v>
      </c>
      <c r="Z409" s="257">
        <f t="shared" si="97"/>
        <v>0</v>
      </c>
      <c r="AA409" s="257">
        <f t="shared" si="98"/>
        <v>0</v>
      </c>
      <c r="AB409" s="269">
        <f t="shared" si="99"/>
        <v>0</v>
      </c>
      <c r="AC409" s="269">
        <f t="shared" si="100"/>
        <v>0</v>
      </c>
      <c r="AD409" s="271" t="str">
        <f>INDEX('Global inputs'!$C$134:$C$171,MATCH(F409,'Global inputs'!$B$134:$B$171,0))</f>
        <v xml:space="preserve">System growth </v>
      </c>
      <c r="AE409" s="272">
        <f>IF(OR(H409='Operating leases'!$B$32,H409='Operating leases'!$B$33),"",INDEX('Global inputs'!$C$186:$C$243,MATCH(E409,'Global inputs'!$B$186:$B$243,0)))</f>
        <v>0.08</v>
      </c>
    </row>
    <row r="410" spans="1:31" s="27" customFormat="1" x14ac:dyDescent="0.2">
      <c r="A410" s="250"/>
      <c r="B410" s="210" t="s">
        <v>746</v>
      </c>
      <c r="C410" s="210" t="s">
        <v>287</v>
      </c>
      <c r="D410" s="210" t="s">
        <v>729</v>
      </c>
      <c r="E410" s="210" t="s">
        <v>154</v>
      </c>
      <c r="F410" s="210" t="s">
        <v>86</v>
      </c>
      <c r="G410" s="210" t="s">
        <v>737</v>
      </c>
      <c r="H410" s="197">
        <v>0</v>
      </c>
      <c r="I410" s="210" t="s">
        <v>225</v>
      </c>
      <c r="J410" s="210">
        <v>2021</v>
      </c>
      <c r="K410" s="210">
        <v>2021</v>
      </c>
      <c r="L410" s="268" t="str">
        <f t="shared" si="88"/>
        <v>Simple</v>
      </c>
      <c r="M410" s="197">
        <v>8717.31</v>
      </c>
      <c r="N410" s="197">
        <v>0</v>
      </c>
      <c r="O410" s="257">
        <f>IF(ISNA(MATCH(H410,'Operating leases'!$B$32:$B$43,0)),0,INDEX('Operating leases'!$M$32:$S$43,MATCH(H410,'Operating leases'!$B$32:$B$43,0),MATCH(J410,'Operating leases'!$M$11:$S$11,0)))</f>
        <v>0</v>
      </c>
      <c r="P410" s="257">
        <f t="shared" si="89"/>
        <v>8717.31</v>
      </c>
      <c r="Q410" s="257">
        <f t="shared" si="90"/>
        <v>8717.31</v>
      </c>
      <c r="R410" s="258">
        <f>INDEX('Escalators '!$M$124:$S$129,MATCH(I410,'Escalators '!$B$124:$B$129,0),MATCH(J410,'Escalators '!$M$113:$S$113,0))</f>
        <v>1.023305412371134</v>
      </c>
      <c r="S410" s="257">
        <f t="shared" si="91"/>
        <v>0</v>
      </c>
      <c r="T410" s="257">
        <f t="shared" si="92"/>
        <v>0</v>
      </c>
      <c r="U410" s="269">
        <f t="shared" si="93"/>
        <v>8920.4705043170106</v>
      </c>
      <c r="V410" s="269">
        <f t="shared" si="94"/>
        <v>8920.4705043170106</v>
      </c>
      <c r="W410" s="269">
        <f t="shared" si="95"/>
        <v>8920.4705043170106</v>
      </c>
      <c r="X410" s="257">
        <f t="shared" si="96"/>
        <v>8920.4705043170106</v>
      </c>
      <c r="Y410" s="270">
        <f>IF(L410="Complex",(INDEX('Escalators '!$M$176:$S$176,MATCH('Forecast capex'!J410,'Escalators '!$M$178:$S$178,0))/12+1)^((K410-J410)*12)-1,0)</f>
        <v>0</v>
      </c>
      <c r="Z410" s="257">
        <f t="shared" si="97"/>
        <v>0</v>
      </c>
      <c r="AA410" s="257">
        <f t="shared" si="98"/>
        <v>0</v>
      </c>
      <c r="AB410" s="269">
        <f t="shared" si="99"/>
        <v>0</v>
      </c>
      <c r="AC410" s="269">
        <f t="shared" si="100"/>
        <v>0</v>
      </c>
      <c r="AD410" s="271" t="str">
        <f>INDEX('Global inputs'!$C$134:$C$171,MATCH(F410,'Global inputs'!$B$134:$B$171,0))</f>
        <v xml:space="preserve">System growth </v>
      </c>
      <c r="AE410" s="272">
        <f>IF(OR(H410='Operating leases'!$B$32,H410='Operating leases'!$B$33),"",INDEX('Global inputs'!$C$186:$C$243,MATCH(E410,'Global inputs'!$B$186:$B$243,0)))</f>
        <v>0.1</v>
      </c>
    </row>
    <row r="411" spans="1:31" s="27" customFormat="1" x14ac:dyDescent="0.2">
      <c r="A411" s="250"/>
      <c r="B411" s="210" t="s">
        <v>746</v>
      </c>
      <c r="C411" s="210" t="s">
        <v>287</v>
      </c>
      <c r="D411" s="210" t="s">
        <v>729</v>
      </c>
      <c r="E411" s="210" t="s">
        <v>154</v>
      </c>
      <c r="F411" s="210" t="s">
        <v>86</v>
      </c>
      <c r="G411" s="210" t="s">
        <v>737</v>
      </c>
      <c r="H411" s="197">
        <v>0</v>
      </c>
      <c r="I411" s="210" t="s">
        <v>221</v>
      </c>
      <c r="J411" s="210">
        <v>2021</v>
      </c>
      <c r="K411" s="210">
        <v>2021</v>
      </c>
      <c r="L411" s="268" t="str">
        <f t="shared" si="88"/>
        <v>Simple</v>
      </c>
      <c r="M411" s="197">
        <v>34869.24</v>
      </c>
      <c r="N411" s="197">
        <v>0</v>
      </c>
      <c r="O411" s="257">
        <f>IF(ISNA(MATCH(H411,'Operating leases'!$B$32:$B$43,0)),0,INDEX('Operating leases'!$M$32:$S$43,MATCH(H411,'Operating leases'!$B$32:$B$43,0),MATCH(J411,'Operating leases'!$M$11:$S$11,0)))</f>
        <v>0</v>
      </c>
      <c r="P411" s="257">
        <f t="shared" si="89"/>
        <v>34869.24</v>
      </c>
      <c r="Q411" s="257">
        <f t="shared" si="90"/>
        <v>34869.24</v>
      </c>
      <c r="R411" s="258">
        <f>INDEX('Escalators '!$M$124:$S$129,MATCH(I411,'Escalators '!$B$124:$B$129,0),MATCH(J411,'Escalators '!$M$113:$S$113,0))</f>
        <v>1.0120900655357943</v>
      </c>
      <c r="S411" s="257">
        <f t="shared" si="91"/>
        <v>0</v>
      </c>
      <c r="T411" s="257">
        <f t="shared" si="92"/>
        <v>0</v>
      </c>
      <c r="U411" s="269">
        <f t="shared" si="93"/>
        <v>35290.811396783334</v>
      </c>
      <c r="V411" s="269">
        <f t="shared" si="94"/>
        <v>35290.811396783334</v>
      </c>
      <c r="W411" s="269">
        <f t="shared" si="95"/>
        <v>35290.811396783334</v>
      </c>
      <c r="X411" s="257">
        <f t="shared" si="96"/>
        <v>35290.811396783334</v>
      </c>
      <c r="Y411" s="270">
        <f>IF(L411="Complex",(INDEX('Escalators '!$M$176:$S$176,MATCH('Forecast capex'!J411,'Escalators '!$M$178:$S$178,0))/12+1)^((K411-J411)*12)-1,0)</f>
        <v>0</v>
      </c>
      <c r="Z411" s="257">
        <f t="shared" si="97"/>
        <v>0</v>
      </c>
      <c r="AA411" s="257">
        <f t="shared" si="98"/>
        <v>0</v>
      </c>
      <c r="AB411" s="269">
        <f t="shared" si="99"/>
        <v>0</v>
      </c>
      <c r="AC411" s="269">
        <f t="shared" si="100"/>
        <v>0</v>
      </c>
      <c r="AD411" s="271" t="str">
        <f>INDEX('Global inputs'!$C$134:$C$171,MATCH(F411,'Global inputs'!$B$134:$B$171,0))</f>
        <v xml:space="preserve">System growth </v>
      </c>
      <c r="AE411" s="272">
        <f>IF(OR(H411='Operating leases'!$B$32,H411='Operating leases'!$B$33),"",INDEX('Global inputs'!$C$186:$C$243,MATCH(E411,'Global inputs'!$B$186:$B$243,0)))</f>
        <v>0.1</v>
      </c>
    </row>
    <row r="412" spans="1:31" s="27" customFormat="1" x14ac:dyDescent="0.2">
      <c r="A412" s="250"/>
      <c r="B412" s="210" t="s">
        <v>742</v>
      </c>
      <c r="C412" s="210" t="s">
        <v>287</v>
      </c>
      <c r="D412" s="210" t="s">
        <v>715</v>
      </c>
      <c r="E412" s="210" t="s">
        <v>150</v>
      </c>
      <c r="F412" s="210" t="s">
        <v>99</v>
      </c>
      <c r="G412" s="210" t="s">
        <v>716</v>
      </c>
      <c r="H412" s="197">
        <v>0</v>
      </c>
      <c r="I412" s="210" t="s">
        <v>229</v>
      </c>
      <c r="J412" s="210">
        <v>2021</v>
      </c>
      <c r="K412" s="210">
        <v>2021</v>
      </c>
      <c r="L412" s="268" t="str">
        <f t="shared" si="88"/>
        <v>Simple</v>
      </c>
      <c r="M412" s="197">
        <v>7176000</v>
      </c>
      <c r="N412" s="197">
        <v>0</v>
      </c>
      <c r="O412" s="257">
        <f>IF(ISNA(MATCH(H412,'Operating leases'!$B$32:$B$43,0)),0,INDEX('Operating leases'!$M$32:$S$43,MATCH(H412,'Operating leases'!$B$32:$B$43,0),MATCH(J412,'Operating leases'!$M$11:$S$11,0)))</f>
        <v>0</v>
      </c>
      <c r="P412" s="257">
        <f t="shared" si="89"/>
        <v>7176000</v>
      </c>
      <c r="Q412" s="257">
        <f t="shared" si="90"/>
        <v>7176000</v>
      </c>
      <c r="R412" s="258">
        <f>INDEX('Escalators '!$M$124:$S$129,MATCH(I412,'Escalators '!$B$124:$B$129,0),MATCH(J412,'Escalators '!$M$113:$S$113,0))</f>
        <v>1.0206154571717865</v>
      </c>
      <c r="S412" s="257">
        <f t="shared" si="91"/>
        <v>0</v>
      </c>
      <c r="T412" s="257">
        <f t="shared" si="92"/>
        <v>0</v>
      </c>
      <c r="U412" s="269">
        <f t="shared" si="93"/>
        <v>7323936.5206647394</v>
      </c>
      <c r="V412" s="269">
        <f t="shared" si="94"/>
        <v>7323936.5206647394</v>
      </c>
      <c r="W412" s="269">
        <f t="shared" si="95"/>
        <v>7323936.5206647394</v>
      </c>
      <c r="X412" s="257">
        <f t="shared" si="96"/>
        <v>7323936.5206647394</v>
      </c>
      <c r="Y412" s="270">
        <f>IF(L412="Complex",(INDEX('Escalators '!$M$176:$S$176,MATCH('Forecast capex'!J412,'Escalators '!$M$178:$S$178,0))/12+1)^((K412-J412)*12)-1,0)</f>
        <v>0</v>
      </c>
      <c r="Z412" s="257">
        <f t="shared" si="97"/>
        <v>0</v>
      </c>
      <c r="AA412" s="257">
        <f t="shared" si="98"/>
        <v>0</v>
      </c>
      <c r="AB412" s="269">
        <f t="shared" si="99"/>
        <v>0</v>
      </c>
      <c r="AC412" s="269">
        <f t="shared" si="100"/>
        <v>0</v>
      </c>
      <c r="AD412" s="271" t="str">
        <f>INDEX('Global inputs'!$C$134:$C$171,MATCH(F412,'Global inputs'!$B$134:$B$171,0))</f>
        <v>Asset replacement and renewal</v>
      </c>
      <c r="AE412" s="272">
        <f>IF(OR(H412='Operating leases'!$B$32,H412='Operating leases'!$B$33),"",INDEX('Global inputs'!$C$186:$C$243,MATCH(E412,'Global inputs'!$B$186:$B$243,0)))</f>
        <v>0.08</v>
      </c>
    </row>
    <row r="413" spans="1:31" s="27" customFormat="1" x14ac:dyDescent="0.2">
      <c r="A413" s="250"/>
      <c r="B413" s="210" t="s">
        <v>742</v>
      </c>
      <c r="C413" s="210" t="s">
        <v>287</v>
      </c>
      <c r="D413" s="210" t="s">
        <v>715</v>
      </c>
      <c r="E413" s="210" t="s">
        <v>150</v>
      </c>
      <c r="F413" s="210" t="s">
        <v>99</v>
      </c>
      <c r="G413" s="210" t="s">
        <v>716</v>
      </c>
      <c r="H413" s="197">
        <v>0</v>
      </c>
      <c r="I413" s="210" t="s">
        <v>221</v>
      </c>
      <c r="J413" s="210">
        <v>2021</v>
      </c>
      <c r="K413" s="210">
        <v>2021</v>
      </c>
      <c r="L413" s="268" t="str">
        <f t="shared" si="88"/>
        <v>Simple</v>
      </c>
      <c r="M413" s="197">
        <v>7176000</v>
      </c>
      <c r="N413" s="197">
        <v>0</v>
      </c>
      <c r="O413" s="257">
        <f>IF(ISNA(MATCH(H413,'Operating leases'!$B$32:$B$43,0)),0,INDEX('Operating leases'!$M$32:$S$43,MATCH(H413,'Operating leases'!$B$32:$B$43,0),MATCH(J413,'Operating leases'!$M$11:$S$11,0)))</f>
        <v>0</v>
      </c>
      <c r="P413" s="257">
        <f t="shared" si="89"/>
        <v>7176000</v>
      </c>
      <c r="Q413" s="257">
        <f t="shared" si="90"/>
        <v>7176000</v>
      </c>
      <c r="R413" s="258">
        <f>INDEX('Escalators '!$M$124:$S$129,MATCH(I413,'Escalators '!$B$124:$B$129,0),MATCH(J413,'Escalators '!$M$113:$S$113,0))</f>
        <v>1.0120900655357943</v>
      </c>
      <c r="S413" s="257">
        <f t="shared" si="91"/>
        <v>0</v>
      </c>
      <c r="T413" s="257">
        <f t="shared" si="92"/>
        <v>0</v>
      </c>
      <c r="U413" s="269">
        <f t="shared" si="93"/>
        <v>7262758.3102848595</v>
      </c>
      <c r="V413" s="269">
        <f t="shared" si="94"/>
        <v>7262758.3102848595</v>
      </c>
      <c r="W413" s="269">
        <f t="shared" si="95"/>
        <v>7262758.3102848595</v>
      </c>
      <c r="X413" s="257">
        <f t="shared" si="96"/>
        <v>7262758.3102848595</v>
      </c>
      <c r="Y413" s="270">
        <f>IF(L413="Complex",(INDEX('Escalators '!$M$176:$S$176,MATCH('Forecast capex'!J413,'Escalators '!$M$178:$S$178,0))/12+1)^((K413-J413)*12)-1,0)</f>
        <v>0</v>
      </c>
      <c r="Z413" s="257">
        <f t="shared" si="97"/>
        <v>0</v>
      </c>
      <c r="AA413" s="257">
        <f t="shared" si="98"/>
        <v>0</v>
      </c>
      <c r="AB413" s="269">
        <f t="shared" si="99"/>
        <v>0</v>
      </c>
      <c r="AC413" s="269">
        <f t="shared" si="100"/>
        <v>0</v>
      </c>
      <c r="AD413" s="271" t="str">
        <f>INDEX('Global inputs'!$C$134:$C$171,MATCH(F413,'Global inputs'!$B$134:$B$171,0))</f>
        <v>Asset replacement and renewal</v>
      </c>
      <c r="AE413" s="272">
        <f>IF(OR(H413='Operating leases'!$B$32,H413='Operating leases'!$B$33),"",INDEX('Global inputs'!$C$186:$C$243,MATCH(E413,'Global inputs'!$B$186:$B$243,0)))</f>
        <v>0.08</v>
      </c>
    </row>
    <row r="414" spans="1:31" s="27" customFormat="1" x14ac:dyDescent="0.2">
      <c r="A414" s="250"/>
      <c r="B414" s="210" t="s">
        <v>742</v>
      </c>
      <c r="C414" s="210" t="s">
        <v>287</v>
      </c>
      <c r="D414" s="210" t="s">
        <v>715</v>
      </c>
      <c r="E414" s="210" t="s">
        <v>150</v>
      </c>
      <c r="F414" s="210" t="s">
        <v>101</v>
      </c>
      <c r="G414" s="210" t="s">
        <v>717</v>
      </c>
      <c r="H414" s="197">
        <v>0</v>
      </c>
      <c r="I414" s="210" t="s">
        <v>229</v>
      </c>
      <c r="J414" s="210">
        <v>2021</v>
      </c>
      <c r="K414" s="210">
        <v>2021</v>
      </c>
      <c r="L414" s="268" t="str">
        <f t="shared" si="88"/>
        <v>Simple</v>
      </c>
      <c r="M414" s="197">
        <v>1830400</v>
      </c>
      <c r="N414" s="197">
        <v>0</v>
      </c>
      <c r="O414" s="257">
        <f>IF(ISNA(MATCH(H414,'Operating leases'!$B$32:$B$43,0)),0,INDEX('Operating leases'!$M$32:$S$43,MATCH(H414,'Operating leases'!$B$32:$B$43,0),MATCH(J414,'Operating leases'!$M$11:$S$11,0)))</f>
        <v>0</v>
      </c>
      <c r="P414" s="257">
        <f t="shared" si="89"/>
        <v>1830400</v>
      </c>
      <c r="Q414" s="257">
        <f t="shared" si="90"/>
        <v>1830400</v>
      </c>
      <c r="R414" s="258">
        <f>INDEX('Escalators '!$M$124:$S$129,MATCH(I414,'Escalators '!$B$124:$B$129,0),MATCH(J414,'Escalators '!$M$113:$S$113,0))</f>
        <v>1.0206154571717865</v>
      </c>
      <c r="S414" s="257">
        <f t="shared" si="91"/>
        <v>0</v>
      </c>
      <c r="T414" s="257">
        <f t="shared" si="92"/>
        <v>0</v>
      </c>
      <c r="U414" s="269">
        <f t="shared" si="93"/>
        <v>1868134.5328072379</v>
      </c>
      <c r="V414" s="269">
        <f t="shared" si="94"/>
        <v>1868134.5328072379</v>
      </c>
      <c r="W414" s="269">
        <f t="shared" si="95"/>
        <v>1868134.5328072379</v>
      </c>
      <c r="X414" s="257">
        <f t="shared" si="96"/>
        <v>1868134.5328072379</v>
      </c>
      <c r="Y414" s="270">
        <f>IF(L414="Complex",(INDEX('Escalators '!$M$176:$S$176,MATCH('Forecast capex'!J414,'Escalators '!$M$178:$S$178,0))/12+1)^((K414-J414)*12)-1,0)</f>
        <v>0</v>
      </c>
      <c r="Z414" s="257">
        <f t="shared" si="97"/>
        <v>0</v>
      </c>
      <c r="AA414" s="257">
        <f t="shared" si="98"/>
        <v>0</v>
      </c>
      <c r="AB414" s="269">
        <f t="shared" si="99"/>
        <v>0</v>
      </c>
      <c r="AC414" s="269">
        <f t="shared" si="100"/>
        <v>0</v>
      </c>
      <c r="AD414" s="271" t="str">
        <f>INDEX('Global inputs'!$C$134:$C$171,MATCH(F414,'Global inputs'!$B$134:$B$171,0))</f>
        <v>Asset replacement and renewal</v>
      </c>
      <c r="AE414" s="272">
        <f>IF(OR(H414='Operating leases'!$B$32,H414='Operating leases'!$B$33),"",INDEX('Global inputs'!$C$186:$C$243,MATCH(E414,'Global inputs'!$B$186:$B$243,0)))</f>
        <v>0.08</v>
      </c>
    </row>
    <row r="415" spans="1:31" s="27" customFormat="1" x14ac:dyDescent="0.2">
      <c r="A415" s="250"/>
      <c r="B415" s="210" t="s">
        <v>742</v>
      </c>
      <c r="C415" s="210" t="s">
        <v>287</v>
      </c>
      <c r="D415" s="210" t="s">
        <v>715</v>
      </c>
      <c r="E415" s="210" t="s">
        <v>150</v>
      </c>
      <c r="F415" s="210" t="s">
        <v>101</v>
      </c>
      <c r="G415" s="210" t="s">
        <v>717</v>
      </c>
      <c r="H415" s="197">
        <v>0</v>
      </c>
      <c r="I415" s="210" t="s">
        <v>221</v>
      </c>
      <c r="J415" s="210">
        <v>2021</v>
      </c>
      <c r="K415" s="210">
        <v>2021</v>
      </c>
      <c r="L415" s="268" t="str">
        <f t="shared" si="88"/>
        <v>Simple</v>
      </c>
      <c r="M415" s="197">
        <v>1830400</v>
      </c>
      <c r="N415" s="197">
        <v>0</v>
      </c>
      <c r="O415" s="257">
        <f>IF(ISNA(MATCH(H415,'Operating leases'!$B$32:$B$43,0)),0,INDEX('Operating leases'!$M$32:$S$43,MATCH(H415,'Operating leases'!$B$32:$B$43,0),MATCH(J415,'Operating leases'!$M$11:$S$11,0)))</f>
        <v>0</v>
      </c>
      <c r="P415" s="257">
        <f t="shared" si="89"/>
        <v>1830400</v>
      </c>
      <c r="Q415" s="257">
        <f t="shared" si="90"/>
        <v>1830400</v>
      </c>
      <c r="R415" s="258">
        <f>INDEX('Escalators '!$M$124:$S$129,MATCH(I415,'Escalators '!$B$124:$B$129,0),MATCH(J415,'Escalators '!$M$113:$S$113,0))</f>
        <v>1.0120900655357943</v>
      </c>
      <c r="S415" s="257">
        <f t="shared" si="91"/>
        <v>0</v>
      </c>
      <c r="T415" s="257">
        <f t="shared" si="92"/>
        <v>0</v>
      </c>
      <c r="U415" s="269">
        <f t="shared" si="93"/>
        <v>1852529.6559567179</v>
      </c>
      <c r="V415" s="269">
        <f t="shared" si="94"/>
        <v>1852529.6559567179</v>
      </c>
      <c r="W415" s="269">
        <f t="shared" si="95"/>
        <v>1852529.6559567179</v>
      </c>
      <c r="X415" s="257">
        <f t="shared" si="96"/>
        <v>1852529.6559567179</v>
      </c>
      <c r="Y415" s="270">
        <f>IF(L415="Complex",(INDEX('Escalators '!$M$176:$S$176,MATCH('Forecast capex'!J415,'Escalators '!$M$178:$S$178,0))/12+1)^((K415-J415)*12)-1,0)</f>
        <v>0</v>
      </c>
      <c r="Z415" s="257">
        <f t="shared" si="97"/>
        <v>0</v>
      </c>
      <c r="AA415" s="257">
        <f t="shared" si="98"/>
        <v>0</v>
      </c>
      <c r="AB415" s="269">
        <f t="shared" si="99"/>
        <v>0</v>
      </c>
      <c r="AC415" s="269">
        <f t="shared" si="100"/>
        <v>0</v>
      </c>
      <c r="AD415" s="271" t="str">
        <f>INDEX('Global inputs'!$C$134:$C$171,MATCH(F415,'Global inputs'!$B$134:$B$171,0))</f>
        <v>Asset replacement and renewal</v>
      </c>
      <c r="AE415" s="272">
        <f>IF(OR(H415='Operating leases'!$B$32,H415='Operating leases'!$B$33),"",INDEX('Global inputs'!$C$186:$C$243,MATCH(E415,'Global inputs'!$B$186:$B$243,0)))</f>
        <v>0.08</v>
      </c>
    </row>
    <row r="416" spans="1:31" s="27" customFormat="1" x14ac:dyDescent="0.2">
      <c r="A416" s="250"/>
      <c r="B416" s="210" t="s">
        <v>742</v>
      </c>
      <c r="C416" s="210" t="s">
        <v>287</v>
      </c>
      <c r="D416" s="210" t="s">
        <v>729</v>
      </c>
      <c r="E416" s="210" t="s">
        <v>150</v>
      </c>
      <c r="F416" s="210" t="s">
        <v>103</v>
      </c>
      <c r="G416" s="210" t="s">
        <v>731</v>
      </c>
      <c r="H416" s="197">
        <v>0</v>
      </c>
      <c r="I416" s="210" t="s">
        <v>225</v>
      </c>
      <c r="J416" s="210">
        <v>2021</v>
      </c>
      <c r="K416" s="210">
        <v>2021</v>
      </c>
      <c r="L416" s="268" t="str">
        <f t="shared" si="88"/>
        <v>Simple</v>
      </c>
      <c r="M416" s="197">
        <v>836700</v>
      </c>
      <c r="N416" s="197">
        <v>0</v>
      </c>
      <c r="O416" s="257">
        <f>IF(ISNA(MATCH(H416,'Operating leases'!$B$32:$B$43,0)),0,INDEX('Operating leases'!$M$32:$S$43,MATCH(H416,'Operating leases'!$B$32:$B$43,0),MATCH(J416,'Operating leases'!$M$11:$S$11,0)))</f>
        <v>0</v>
      </c>
      <c r="P416" s="257">
        <f t="shared" si="89"/>
        <v>836700</v>
      </c>
      <c r="Q416" s="257">
        <f t="shared" si="90"/>
        <v>836700</v>
      </c>
      <c r="R416" s="258">
        <f>INDEX('Escalators '!$M$124:$S$129,MATCH(I416,'Escalators '!$B$124:$B$129,0),MATCH(J416,'Escalators '!$M$113:$S$113,0))</f>
        <v>1.023305412371134</v>
      </c>
      <c r="S416" s="257">
        <f t="shared" si="91"/>
        <v>0</v>
      </c>
      <c r="T416" s="257">
        <f t="shared" si="92"/>
        <v>0</v>
      </c>
      <c r="U416" s="269">
        <f t="shared" si="93"/>
        <v>856199.63853092783</v>
      </c>
      <c r="V416" s="269">
        <f t="shared" si="94"/>
        <v>856199.63853092783</v>
      </c>
      <c r="W416" s="269">
        <f t="shared" si="95"/>
        <v>856199.63853092783</v>
      </c>
      <c r="X416" s="257">
        <f t="shared" si="96"/>
        <v>856199.63853092783</v>
      </c>
      <c r="Y416" s="270">
        <f>IF(L416="Complex",(INDEX('Escalators '!$M$176:$S$176,MATCH('Forecast capex'!J416,'Escalators '!$M$178:$S$178,0))/12+1)^((K416-J416)*12)-1,0)</f>
        <v>0</v>
      </c>
      <c r="Z416" s="257">
        <f t="shared" si="97"/>
        <v>0</v>
      </c>
      <c r="AA416" s="257">
        <f t="shared" si="98"/>
        <v>0</v>
      </c>
      <c r="AB416" s="269">
        <f t="shared" si="99"/>
        <v>0</v>
      </c>
      <c r="AC416" s="269">
        <f t="shared" si="100"/>
        <v>0</v>
      </c>
      <c r="AD416" s="271" t="str">
        <f>INDEX('Global inputs'!$C$134:$C$171,MATCH(F416,'Global inputs'!$B$134:$B$171,0))</f>
        <v>Asset replacement and renewal</v>
      </c>
      <c r="AE416" s="272">
        <f>IF(OR(H416='Operating leases'!$B$32,H416='Operating leases'!$B$33),"",INDEX('Global inputs'!$C$186:$C$243,MATCH(E416,'Global inputs'!$B$186:$B$243,0)))</f>
        <v>0.08</v>
      </c>
    </row>
    <row r="417" spans="1:31" s="27" customFormat="1" x14ac:dyDescent="0.2">
      <c r="A417" s="250"/>
      <c r="B417" s="210" t="s">
        <v>742</v>
      </c>
      <c r="C417" s="210" t="s">
        <v>287</v>
      </c>
      <c r="D417" s="210" t="s">
        <v>729</v>
      </c>
      <c r="E417" s="210" t="s">
        <v>150</v>
      </c>
      <c r="F417" s="210" t="s">
        <v>103</v>
      </c>
      <c r="G417" s="210" t="s">
        <v>731</v>
      </c>
      <c r="H417" s="197">
        <v>0</v>
      </c>
      <c r="I417" s="210" t="s">
        <v>221</v>
      </c>
      <c r="J417" s="210">
        <v>2021</v>
      </c>
      <c r="K417" s="210">
        <v>2021</v>
      </c>
      <c r="L417" s="268" t="str">
        <f t="shared" si="88"/>
        <v>Simple</v>
      </c>
      <c r="M417" s="197">
        <v>3346800</v>
      </c>
      <c r="N417" s="197">
        <v>0</v>
      </c>
      <c r="O417" s="257">
        <f>IF(ISNA(MATCH(H417,'Operating leases'!$B$32:$B$43,0)),0,INDEX('Operating leases'!$M$32:$S$43,MATCH(H417,'Operating leases'!$B$32:$B$43,0),MATCH(J417,'Operating leases'!$M$11:$S$11,0)))</f>
        <v>0</v>
      </c>
      <c r="P417" s="257">
        <f t="shared" si="89"/>
        <v>3346800</v>
      </c>
      <c r="Q417" s="257">
        <f t="shared" si="90"/>
        <v>3346800</v>
      </c>
      <c r="R417" s="258">
        <f>INDEX('Escalators '!$M$124:$S$129,MATCH(I417,'Escalators '!$B$124:$B$129,0),MATCH(J417,'Escalators '!$M$113:$S$113,0))</f>
        <v>1.0120900655357943</v>
      </c>
      <c r="S417" s="257">
        <f t="shared" si="91"/>
        <v>0</v>
      </c>
      <c r="T417" s="257">
        <f t="shared" si="92"/>
        <v>0</v>
      </c>
      <c r="U417" s="269">
        <f t="shared" si="93"/>
        <v>3387263.0313351965</v>
      </c>
      <c r="V417" s="269">
        <f t="shared" si="94"/>
        <v>3387263.0313351965</v>
      </c>
      <c r="W417" s="269">
        <f t="shared" si="95"/>
        <v>3387263.0313351965</v>
      </c>
      <c r="X417" s="257">
        <f t="shared" si="96"/>
        <v>3387263.0313351965</v>
      </c>
      <c r="Y417" s="270">
        <f>IF(L417="Complex",(INDEX('Escalators '!$M$176:$S$176,MATCH('Forecast capex'!J417,'Escalators '!$M$178:$S$178,0))/12+1)^((K417-J417)*12)-1,0)</f>
        <v>0</v>
      </c>
      <c r="Z417" s="257">
        <f t="shared" si="97"/>
        <v>0</v>
      </c>
      <c r="AA417" s="257">
        <f t="shared" si="98"/>
        <v>0</v>
      </c>
      <c r="AB417" s="269">
        <f t="shared" si="99"/>
        <v>0</v>
      </c>
      <c r="AC417" s="269">
        <f t="shared" si="100"/>
        <v>0</v>
      </c>
      <c r="AD417" s="271" t="str">
        <f>INDEX('Global inputs'!$C$134:$C$171,MATCH(F417,'Global inputs'!$B$134:$B$171,0))</f>
        <v>Asset replacement and renewal</v>
      </c>
      <c r="AE417" s="272">
        <f>IF(OR(H417='Operating leases'!$B$32,H417='Operating leases'!$B$33),"",INDEX('Global inputs'!$C$186:$C$243,MATCH(E417,'Global inputs'!$B$186:$B$243,0)))</f>
        <v>0.08</v>
      </c>
    </row>
    <row r="418" spans="1:31" s="27" customFormat="1" x14ac:dyDescent="0.2">
      <c r="A418" s="250"/>
      <c r="B418" s="210" t="s">
        <v>742</v>
      </c>
      <c r="C418" s="210" t="s">
        <v>290</v>
      </c>
      <c r="D418" s="210" t="s">
        <v>718</v>
      </c>
      <c r="E418" s="210" t="s">
        <v>173</v>
      </c>
      <c r="F418" s="210" t="s">
        <v>109</v>
      </c>
      <c r="G418" s="210" t="s">
        <v>719</v>
      </c>
      <c r="H418" s="197">
        <v>0</v>
      </c>
      <c r="I418" s="210" t="s">
        <v>142</v>
      </c>
      <c r="J418" s="210">
        <v>2021</v>
      </c>
      <c r="K418" s="210">
        <v>2021</v>
      </c>
      <c r="L418" s="268" t="str">
        <f t="shared" si="88"/>
        <v>Simple</v>
      </c>
      <c r="M418" s="197">
        <v>2478060</v>
      </c>
      <c r="N418" s="197">
        <v>0</v>
      </c>
      <c r="O418" s="257">
        <f>IF(ISNA(MATCH(H418,'Operating leases'!$B$32:$B$43,0)),0,INDEX('Operating leases'!$M$32:$S$43,MATCH(H418,'Operating leases'!$B$32:$B$43,0),MATCH(J418,'Operating leases'!$M$11:$S$11,0)))</f>
        <v>0</v>
      </c>
      <c r="P418" s="257">
        <f t="shared" si="89"/>
        <v>2478060</v>
      </c>
      <c r="Q418" s="257">
        <f t="shared" si="90"/>
        <v>2478060</v>
      </c>
      <c r="R418" s="258">
        <f>INDEX('Escalators '!$M$124:$S$129,MATCH(I418,'Escalators '!$B$124:$B$129,0),MATCH(J418,'Escalators '!$M$113:$S$113,0))</f>
        <v>1.0199504944721745</v>
      </c>
      <c r="S418" s="257">
        <f t="shared" si="91"/>
        <v>0</v>
      </c>
      <c r="T418" s="257">
        <f t="shared" si="92"/>
        <v>0</v>
      </c>
      <c r="U418" s="269">
        <f t="shared" si="93"/>
        <v>2527498.5223317165</v>
      </c>
      <c r="V418" s="269">
        <f t="shared" si="94"/>
        <v>2527498.5223317165</v>
      </c>
      <c r="W418" s="269">
        <f t="shared" si="95"/>
        <v>2527498.5223317165</v>
      </c>
      <c r="X418" s="257">
        <f t="shared" si="96"/>
        <v>2527498.5223317165</v>
      </c>
      <c r="Y418" s="270">
        <f>IF(L418="Complex",(INDEX('Escalators '!$M$176:$S$176,MATCH('Forecast capex'!J418,'Escalators '!$M$178:$S$178,0))/12+1)^((K418-J418)*12)-1,0)</f>
        <v>0</v>
      </c>
      <c r="Z418" s="257">
        <f t="shared" si="97"/>
        <v>0</v>
      </c>
      <c r="AA418" s="257">
        <f t="shared" si="98"/>
        <v>0</v>
      </c>
      <c r="AB418" s="269">
        <f t="shared" si="99"/>
        <v>0</v>
      </c>
      <c r="AC418" s="269">
        <f t="shared" si="100"/>
        <v>0</v>
      </c>
      <c r="AD418" s="271" t="str">
        <f>INDEX('Global inputs'!$C$134:$C$171,MATCH(F418,'Global inputs'!$B$134:$B$171,0))</f>
        <v>Asset replacement and renewal</v>
      </c>
      <c r="AE418" s="272">
        <f>IF(OR(H418='Operating leases'!$B$32,H418='Operating leases'!$B$33),"",INDEX('Global inputs'!$C$186:$C$243,MATCH(E418,'Global inputs'!$B$186:$B$243,0)))</f>
        <v>0.08</v>
      </c>
    </row>
    <row r="419" spans="1:31" s="27" customFormat="1" x14ac:dyDescent="0.2">
      <c r="A419" s="250"/>
      <c r="B419" s="210" t="s">
        <v>742</v>
      </c>
      <c r="C419" s="210" t="s">
        <v>290</v>
      </c>
      <c r="D419" s="210" t="s">
        <v>718</v>
      </c>
      <c r="E419" s="210" t="s">
        <v>173</v>
      </c>
      <c r="F419" s="210" t="s">
        <v>109</v>
      </c>
      <c r="G419" s="210" t="s">
        <v>719</v>
      </c>
      <c r="H419" s="197">
        <v>0</v>
      </c>
      <c r="I419" s="210" t="s">
        <v>221</v>
      </c>
      <c r="J419" s="210">
        <v>2021</v>
      </c>
      <c r="K419" s="210">
        <v>2021</v>
      </c>
      <c r="L419" s="268" t="str">
        <f t="shared" si="88"/>
        <v>Simple</v>
      </c>
      <c r="M419" s="197">
        <v>619515</v>
      </c>
      <c r="N419" s="197">
        <v>0</v>
      </c>
      <c r="O419" s="257">
        <f>IF(ISNA(MATCH(H419,'Operating leases'!$B$32:$B$43,0)),0,INDEX('Operating leases'!$M$32:$S$43,MATCH(H419,'Operating leases'!$B$32:$B$43,0),MATCH(J419,'Operating leases'!$M$11:$S$11,0)))</f>
        <v>0</v>
      </c>
      <c r="P419" s="257">
        <f t="shared" si="89"/>
        <v>619515</v>
      </c>
      <c r="Q419" s="257">
        <f t="shared" si="90"/>
        <v>619515</v>
      </c>
      <c r="R419" s="258">
        <f>INDEX('Escalators '!$M$124:$S$129,MATCH(I419,'Escalators '!$B$124:$B$129,0),MATCH(J419,'Escalators '!$M$113:$S$113,0))</f>
        <v>1.0120900655357943</v>
      </c>
      <c r="S419" s="257">
        <f t="shared" si="91"/>
        <v>0</v>
      </c>
      <c r="T419" s="257">
        <f t="shared" si="92"/>
        <v>0</v>
      </c>
      <c r="U419" s="269">
        <f t="shared" si="93"/>
        <v>627004.97695040761</v>
      </c>
      <c r="V419" s="269">
        <f t="shared" si="94"/>
        <v>627004.97695040761</v>
      </c>
      <c r="W419" s="269">
        <f t="shared" si="95"/>
        <v>627004.97695040761</v>
      </c>
      <c r="X419" s="257">
        <f t="shared" si="96"/>
        <v>627004.97695040761</v>
      </c>
      <c r="Y419" s="270">
        <f>IF(L419="Complex",(INDEX('Escalators '!$M$176:$S$176,MATCH('Forecast capex'!J419,'Escalators '!$M$178:$S$178,0))/12+1)^((K419-J419)*12)-1,0)</f>
        <v>0</v>
      </c>
      <c r="Z419" s="257">
        <f t="shared" si="97"/>
        <v>0</v>
      </c>
      <c r="AA419" s="257">
        <f t="shared" si="98"/>
        <v>0</v>
      </c>
      <c r="AB419" s="269">
        <f t="shared" si="99"/>
        <v>0</v>
      </c>
      <c r="AC419" s="269">
        <f t="shared" si="100"/>
        <v>0</v>
      </c>
      <c r="AD419" s="271" t="str">
        <f>INDEX('Global inputs'!$C$134:$C$171,MATCH(F419,'Global inputs'!$B$134:$B$171,0))</f>
        <v>Asset replacement and renewal</v>
      </c>
      <c r="AE419" s="272">
        <f>IF(OR(H419='Operating leases'!$B$32,H419='Operating leases'!$B$33),"",INDEX('Global inputs'!$C$186:$C$243,MATCH(E419,'Global inputs'!$B$186:$B$243,0)))</f>
        <v>0.08</v>
      </c>
    </row>
    <row r="420" spans="1:31" s="27" customFormat="1" x14ac:dyDescent="0.2">
      <c r="A420" s="250"/>
      <c r="B420" s="210" t="s">
        <v>742</v>
      </c>
      <c r="C420" s="210" t="s">
        <v>288</v>
      </c>
      <c r="D420" s="210" t="s">
        <v>718</v>
      </c>
      <c r="E420" s="210" t="s">
        <v>160</v>
      </c>
      <c r="F420" s="210" t="s">
        <v>112</v>
      </c>
      <c r="G420" s="210" t="s">
        <v>722</v>
      </c>
      <c r="H420" s="197">
        <v>0</v>
      </c>
      <c r="I420" s="210" t="s">
        <v>229</v>
      </c>
      <c r="J420" s="210">
        <v>2021</v>
      </c>
      <c r="K420" s="210">
        <v>2021</v>
      </c>
      <c r="L420" s="268" t="str">
        <f t="shared" si="88"/>
        <v>Simple</v>
      </c>
      <c r="M420" s="197">
        <v>362500</v>
      </c>
      <c r="N420" s="197">
        <v>0</v>
      </c>
      <c r="O420" s="257">
        <f>IF(ISNA(MATCH(H420,'Operating leases'!$B$32:$B$43,0)),0,INDEX('Operating leases'!$M$32:$S$43,MATCH(H420,'Operating leases'!$B$32:$B$43,0),MATCH(J420,'Operating leases'!$M$11:$S$11,0)))</f>
        <v>0</v>
      </c>
      <c r="P420" s="257">
        <f t="shared" si="89"/>
        <v>362500</v>
      </c>
      <c r="Q420" s="257">
        <f t="shared" si="90"/>
        <v>362500</v>
      </c>
      <c r="R420" s="258">
        <f>INDEX('Escalators '!$M$124:$S$129,MATCH(I420,'Escalators '!$B$124:$B$129,0),MATCH(J420,'Escalators '!$M$113:$S$113,0))</f>
        <v>1.0206154571717865</v>
      </c>
      <c r="S420" s="257">
        <f t="shared" si="91"/>
        <v>0</v>
      </c>
      <c r="T420" s="257">
        <f t="shared" si="92"/>
        <v>0</v>
      </c>
      <c r="U420" s="269">
        <f t="shared" si="93"/>
        <v>369973.10322477261</v>
      </c>
      <c r="V420" s="269">
        <f t="shared" si="94"/>
        <v>369973.10322477261</v>
      </c>
      <c r="W420" s="269">
        <f t="shared" si="95"/>
        <v>369973.10322477261</v>
      </c>
      <c r="X420" s="257">
        <f t="shared" si="96"/>
        <v>369973.10322477261</v>
      </c>
      <c r="Y420" s="270">
        <f>IF(L420="Complex",(INDEX('Escalators '!$M$176:$S$176,MATCH('Forecast capex'!J420,'Escalators '!$M$178:$S$178,0))/12+1)^((K420-J420)*12)-1,0)</f>
        <v>0</v>
      </c>
      <c r="Z420" s="257">
        <f t="shared" si="97"/>
        <v>0</v>
      </c>
      <c r="AA420" s="257">
        <f t="shared" si="98"/>
        <v>0</v>
      </c>
      <c r="AB420" s="269">
        <f t="shared" si="99"/>
        <v>0</v>
      </c>
      <c r="AC420" s="269">
        <f t="shared" si="100"/>
        <v>0</v>
      </c>
      <c r="AD420" s="271" t="str">
        <f>INDEX('Global inputs'!$C$134:$C$171,MATCH(F420,'Global inputs'!$B$134:$B$171,0))</f>
        <v>Asset replacement and renewal</v>
      </c>
      <c r="AE420" s="272">
        <f>IF(OR(H420='Operating leases'!$B$32,H420='Operating leases'!$B$33),"",INDEX('Global inputs'!$C$186:$C$243,MATCH(E420,'Global inputs'!$B$186:$B$243,0)))</f>
        <v>0.08</v>
      </c>
    </row>
    <row r="421" spans="1:31" s="27" customFormat="1" x14ac:dyDescent="0.2">
      <c r="A421" s="250"/>
      <c r="B421" s="210" t="s">
        <v>742</v>
      </c>
      <c r="C421" s="210" t="s">
        <v>288</v>
      </c>
      <c r="D421" s="210" t="s">
        <v>718</v>
      </c>
      <c r="E421" s="210" t="s">
        <v>160</v>
      </c>
      <c r="F421" s="210" t="s">
        <v>112</v>
      </c>
      <c r="G421" s="210" t="s">
        <v>722</v>
      </c>
      <c r="H421" s="197">
        <v>0</v>
      </c>
      <c r="I421" s="210" t="s">
        <v>221</v>
      </c>
      <c r="J421" s="210">
        <v>2021</v>
      </c>
      <c r="K421" s="210">
        <v>2021</v>
      </c>
      <c r="L421" s="268" t="str">
        <f t="shared" si="88"/>
        <v>Simple</v>
      </c>
      <c r="M421" s="197">
        <v>362500</v>
      </c>
      <c r="N421" s="197">
        <v>0</v>
      </c>
      <c r="O421" s="257">
        <f>IF(ISNA(MATCH(H421,'Operating leases'!$B$32:$B$43,0)),0,INDEX('Operating leases'!$M$32:$S$43,MATCH(H421,'Operating leases'!$B$32:$B$43,0),MATCH(J421,'Operating leases'!$M$11:$S$11,0)))</f>
        <v>0</v>
      </c>
      <c r="P421" s="257">
        <f t="shared" si="89"/>
        <v>362500</v>
      </c>
      <c r="Q421" s="257">
        <f t="shared" si="90"/>
        <v>362500</v>
      </c>
      <c r="R421" s="258">
        <f>INDEX('Escalators '!$M$124:$S$129,MATCH(I421,'Escalators '!$B$124:$B$129,0),MATCH(J421,'Escalators '!$M$113:$S$113,0))</f>
        <v>1.0120900655357943</v>
      </c>
      <c r="S421" s="257">
        <f t="shared" si="91"/>
        <v>0</v>
      </c>
      <c r="T421" s="257">
        <f t="shared" si="92"/>
        <v>0</v>
      </c>
      <c r="U421" s="269">
        <f t="shared" si="93"/>
        <v>366882.64875672542</v>
      </c>
      <c r="V421" s="269">
        <f t="shared" si="94"/>
        <v>366882.64875672542</v>
      </c>
      <c r="W421" s="269">
        <f t="shared" si="95"/>
        <v>366882.64875672542</v>
      </c>
      <c r="X421" s="257">
        <f t="shared" si="96"/>
        <v>366882.64875672542</v>
      </c>
      <c r="Y421" s="270">
        <f>IF(L421="Complex",(INDEX('Escalators '!$M$176:$S$176,MATCH('Forecast capex'!J421,'Escalators '!$M$178:$S$178,0))/12+1)^((K421-J421)*12)-1,0)</f>
        <v>0</v>
      </c>
      <c r="Z421" s="257">
        <f t="shared" si="97"/>
        <v>0</v>
      </c>
      <c r="AA421" s="257">
        <f t="shared" si="98"/>
        <v>0</v>
      </c>
      <c r="AB421" s="269">
        <f t="shared" si="99"/>
        <v>0</v>
      </c>
      <c r="AC421" s="269">
        <f t="shared" si="100"/>
        <v>0</v>
      </c>
      <c r="AD421" s="271" t="str">
        <f>INDEX('Global inputs'!$C$134:$C$171,MATCH(F421,'Global inputs'!$B$134:$B$171,0))</f>
        <v>Asset replacement and renewal</v>
      </c>
      <c r="AE421" s="272">
        <f>IF(OR(H421='Operating leases'!$B$32,H421='Operating leases'!$B$33),"",INDEX('Global inputs'!$C$186:$C$243,MATCH(E421,'Global inputs'!$B$186:$B$243,0)))</f>
        <v>0.08</v>
      </c>
    </row>
    <row r="422" spans="1:31" s="27" customFormat="1" x14ac:dyDescent="0.2">
      <c r="A422" s="250"/>
      <c r="B422" s="210" t="s">
        <v>742</v>
      </c>
      <c r="C422" s="210" t="s">
        <v>288</v>
      </c>
      <c r="D422" s="210" t="s">
        <v>718</v>
      </c>
      <c r="E422" s="210" t="s">
        <v>161</v>
      </c>
      <c r="F422" s="210" t="s">
        <v>112</v>
      </c>
      <c r="G422" s="210" t="s">
        <v>722</v>
      </c>
      <c r="H422" s="197">
        <v>0</v>
      </c>
      <c r="I422" s="210" t="s">
        <v>229</v>
      </c>
      <c r="J422" s="210">
        <v>2021</v>
      </c>
      <c r="K422" s="210">
        <v>2021</v>
      </c>
      <c r="L422" s="268" t="str">
        <f t="shared" si="88"/>
        <v>Simple</v>
      </c>
      <c r="M422" s="197">
        <v>345000</v>
      </c>
      <c r="N422" s="197">
        <v>0</v>
      </c>
      <c r="O422" s="257">
        <f>IF(ISNA(MATCH(H422,'Operating leases'!$B$32:$B$43,0)),0,INDEX('Operating leases'!$M$32:$S$43,MATCH(H422,'Operating leases'!$B$32:$B$43,0),MATCH(J422,'Operating leases'!$M$11:$S$11,0)))</f>
        <v>0</v>
      </c>
      <c r="P422" s="257">
        <f t="shared" si="89"/>
        <v>345000</v>
      </c>
      <c r="Q422" s="257">
        <f t="shared" si="90"/>
        <v>345000</v>
      </c>
      <c r="R422" s="258">
        <f>INDEX('Escalators '!$M$124:$S$129,MATCH(I422,'Escalators '!$B$124:$B$129,0),MATCH(J422,'Escalators '!$M$113:$S$113,0))</f>
        <v>1.0206154571717865</v>
      </c>
      <c r="S422" s="257">
        <f t="shared" si="91"/>
        <v>0</v>
      </c>
      <c r="T422" s="257">
        <f t="shared" si="92"/>
        <v>0</v>
      </c>
      <c r="U422" s="269">
        <f t="shared" si="93"/>
        <v>352112.33272426634</v>
      </c>
      <c r="V422" s="269">
        <f t="shared" si="94"/>
        <v>352112.33272426634</v>
      </c>
      <c r="W422" s="269">
        <f t="shared" si="95"/>
        <v>352112.33272426634</v>
      </c>
      <c r="X422" s="257">
        <f t="shared" si="96"/>
        <v>352112.33272426634</v>
      </c>
      <c r="Y422" s="270">
        <f>IF(L422="Complex",(INDEX('Escalators '!$M$176:$S$176,MATCH('Forecast capex'!J422,'Escalators '!$M$178:$S$178,0))/12+1)^((K422-J422)*12)-1,0)</f>
        <v>0</v>
      </c>
      <c r="Z422" s="257">
        <f t="shared" si="97"/>
        <v>0</v>
      </c>
      <c r="AA422" s="257">
        <f t="shared" si="98"/>
        <v>0</v>
      </c>
      <c r="AB422" s="269">
        <f t="shared" si="99"/>
        <v>0</v>
      </c>
      <c r="AC422" s="269">
        <f t="shared" si="100"/>
        <v>0</v>
      </c>
      <c r="AD422" s="271" t="str">
        <f>INDEX('Global inputs'!$C$134:$C$171,MATCH(F422,'Global inputs'!$B$134:$B$171,0))</f>
        <v>Asset replacement and renewal</v>
      </c>
      <c r="AE422" s="272">
        <f>IF(OR(H422='Operating leases'!$B$32,H422='Operating leases'!$B$33),"",INDEX('Global inputs'!$C$186:$C$243,MATCH(E422,'Global inputs'!$B$186:$B$243,0)))</f>
        <v>0.08</v>
      </c>
    </row>
    <row r="423" spans="1:31" s="27" customFormat="1" x14ac:dyDescent="0.2">
      <c r="A423" s="250"/>
      <c r="B423" s="210" t="s">
        <v>742</v>
      </c>
      <c r="C423" s="210" t="s">
        <v>288</v>
      </c>
      <c r="D423" s="210" t="s">
        <v>718</v>
      </c>
      <c r="E423" s="210" t="s">
        <v>161</v>
      </c>
      <c r="F423" s="210" t="s">
        <v>112</v>
      </c>
      <c r="G423" s="210" t="s">
        <v>722</v>
      </c>
      <c r="H423" s="197">
        <v>0</v>
      </c>
      <c r="I423" s="210" t="s">
        <v>221</v>
      </c>
      <c r="J423" s="210">
        <v>2021</v>
      </c>
      <c r="K423" s="210">
        <v>2021</v>
      </c>
      <c r="L423" s="268" t="str">
        <f t="shared" si="88"/>
        <v>Simple</v>
      </c>
      <c r="M423" s="197">
        <v>345000</v>
      </c>
      <c r="N423" s="197">
        <v>0</v>
      </c>
      <c r="O423" s="257">
        <f>IF(ISNA(MATCH(H423,'Operating leases'!$B$32:$B$43,0)),0,INDEX('Operating leases'!$M$32:$S$43,MATCH(H423,'Operating leases'!$B$32:$B$43,0),MATCH(J423,'Operating leases'!$M$11:$S$11,0)))</f>
        <v>0</v>
      </c>
      <c r="P423" s="257">
        <f t="shared" si="89"/>
        <v>345000</v>
      </c>
      <c r="Q423" s="257">
        <f t="shared" si="90"/>
        <v>345000</v>
      </c>
      <c r="R423" s="258">
        <f>INDEX('Escalators '!$M$124:$S$129,MATCH(I423,'Escalators '!$B$124:$B$129,0),MATCH(J423,'Escalators '!$M$113:$S$113,0))</f>
        <v>1.0120900655357943</v>
      </c>
      <c r="S423" s="257">
        <f t="shared" si="91"/>
        <v>0</v>
      </c>
      <c r="T423" s="257">
        <f t="shared" si="92"/>
        <v>0</v>
      </c>
      <c r="U423" s="269">
        <f t="shared" si="93"/>
        <v>349171.07260984904</v>
      </c>
      <c r="V423" s="269">
        <f t="shared" si="94"/>
        <v>349171.07260984904</v>
      </c>
      <c r="W423" s="269">
        <f t="shared" si="95"/>
        <v>349171.07260984904</v>
      </c>
      <c r="X423" s="257">
        <f t="shared" si="96"/>
        <v>349171.07260984904</v>
      </c>
      <c r="Y423" s="270">
        <f>IF(L423="Complex",(INDEX('Escalators '!$M$176:$S$176,MATCH('Forecast capex'!J423,'Escalators '!$M$178:$S$178,0))/12+1)^((K423-J423)*12)-1,0)</f>
        <v>0</v>
      </c>
      <c r="Z423" s="257">
        <f t="shared" si="97"/>
        <v>0</v>
      </c>
      <c r="AA423" s="257">
        <f t="shared" si="98"/>
        <v>0</v>
      </c>
      <c r="AB423" s="269">
        <f t="shared" si="99"/>
        <v>0</v>
      </c>
      <c r="AC423" s="269">
        <f t="shared" si="100"/>
        <v>0</v>
      </c>
      <c r="AD423" s="271" t="str">
        <f>INDEX('Global inputs'!$C$134:$C$171,MATCH(F423,'Global inputs'!$B$134:$B$171,0))</f>
        <v>Asset replacement and renewal</v>
      </c>
      <c r="AE423" s="272">
        <f>IF(OR(H423='Operating leases'!$B$32,H423='Operating leases'!$B$33),"",INDEX('Global inputs'!$C$186:$C$243,MATCH(E423,'Global inputs'!$B$186:$B$243,0)))</f>
        <v>0.08</v>
      </c>
    </row>
    <row r="424" spans="1:31" s="27" customFormat="1" x14ac:dyDescent="0.2">
      <c r="A424" s="250"/>
      <c r="B424" s="210" t="s">
        <v>742</v>
      </c>
      <c r="C424" s="210" t="s">
        <v>286</v>
      </c>
      <c r="D424" s="210" t="s">
        <v>735</v>
      </c>
      <c r="E424" s="210" t="s">
        <v>144</v>
      </c>
      <c r="F424" s="210" t="s">
        <v>117</v>
      </c>
      <c r="G424" s="210" t="s">
        <v>736</v>
      </c>
      <c r="H424" s="197">
        <v>0</v>
      </c>
      <c r="I424" s="210" t="s">
        <v>229</v>
      </c>
      <c r="J424" s="210">
        <v>2021</v>
      </c>
      <c r="K424" s="210">
        <v>2021</v>
      </c>
      <c r="L424" s="268" t="str">
        <f t="shared" si="88"/>
        <v>Simple</v>
      </c>
      <c r="M424" s="197">
        <v>472000</v>
      </c>
      <c r="N424" s="197">
        <v>0</v>
      </c>
      <c r="O424" s="257">
        <f>IF(ISNA(MATCH(H424,'Operating leases'!$B$32:$B$43,0)),0,INDEX('Operating leases'!$M$32:$S$43,MATCH(H424,'Operating leases'!$B$32:$B$43,0),MATCH(J424,'Operating leases'!$M$11:$S$11,0)))</f>
        <v>0</v>
      </c>
      <c r="P424" s="257">
        <f t="shared" si="89"/>
        <v>472000</v>
      </c>
      <c r="Q424" s="257">
        <f t="shared" si="90"/>
        <v>472000</v>
      </c>
      <c r="R424" s="258">
        <f>INDEX('Escalators '!$M$124:$S$129,MATCH(I424,'Escalators '!$B$124:$B$129,0),MATCH(J424,'Escalators '!$M$113:$S$113,0))</f>
        <v>1.0206154571717865</v>
      </c>
      <c r="S424" s="257">
        <f t="shared" si="91"/>
        <v>0</v>
      </c>
      <c r="T424" s="257">
        <f t="shared" si="92"/>
        <v>0</v>
      </c>
      <c r="U424" s="269">
        <f t="shared" si="93"/>
        <v>481730.49578508321</v>
      </c>
      <c r="V424" s="269">
        <f t="shared" si="94"/>
        <v>481730.49578508321</v>
      </c>
      <c r="W424" s="269">
        <f t="shared" si="95"/>
        <v>481730.49578508321</v>
      </c>
      <c r="X424" s="257">
        <f t="shared" si="96"/>
        <v>481730.49578508321</v>
      </c>
      <c r="Y424" s="270">
        <f>IF(L424="Complex",(INDEX('Escalators '!$M$176:$S$176,MATCH('Forecast capex'!J424,'Escalators '!$M$178:$S$178,0))/12+1)^((K424-J424)*12)-1,0)</f>
        <v>0</v>
      </c>
      <c r="Z424" s="257">
        <f t="shared" si="97"/>
        <v>0</v>
      </c>
      <c r="AA424" s="257">
        <f t="shared" si="98"/>
        <v>0</v>
      </c>
      <c r="AB424" s="269">
        <f t="shared" si="99"/>
        <v>0</v>
      </c>
      <c r="AC424" s="269">
        <f t="shared" si="100"/>
        <v>0</v>
      </c>
      <c r="AD424" s="271" t="str">
        <f>INDEX('Global inputs'!$C$134:$C$171,MATCH(F424,'Global inputs'!$B$134:$B$171,0))</f>
        <v>Asset replacement and renewal</v>
      </c>
      <c r="AE424" s="272">
        <f>IF(OR(H424='Operating leases'!$B$32,H424='Operating leases'!$B$33),"",INDEX('Global inputs'!$C$186:$C$243,MATCH(E424,'Global inputs'!$B$186:$B$243,0)))</f>
        <v>0.08</v>
      </c>
    </row>
    <row r="425" spans="1:31" s="27" customFormat="1" x14ac:dyDescent="0.2">
      <c r="A425" s="250"/>
      <c r="B425" s="210" t="s">
        <v>742</v>
      </c>
      <c r="C425" s="210" t="s">
        <v>286</v>
      </c>
      <c r="D425" s="210" t="s">
        <v>735</v>
      </c>
      <c r="E425" s="210" t="s">
        <v>144</v>
      </c>
      <c r="F425" s="210" t="s">
        <v>117</v>
      </c>
      <c r="G425" s="210" t="s">
        <v>736</v>
      </c>
      <c r="H425" s="197">
        <v>0</v>
      </c>
      <c r="I425" s="210" t="s">
        <v>221</v>
      </c>
      <c r="J425" s="210">
        <v>2021</v>
      </c>
      <c r="K425" s="210">
        <v>2021</v>
      </c>
      <c r="L425" s="268" t="str">
        <f t="shared" si="88"/>
        <v>Simple</v>
      </c>
      <c r="M425" s="197">
        <v>1888000</v>
      </c>
      <c r="N425" s="197">
        <v>0</v>
      </c>
      <c r="O425" s="257">
        <f>IF(ISNA(MATCH(H425,'Operating leases'!$B$32:$B$43,0)),0,INDEX('Operating leases'!$M$32:$S$43,MATCH(H425,'Operating leases'!$B$32:$B$43,0),MATCH(J425,'Operating leases'!$M$11:$S$11,0)))</f>
        <v>0</v>
      </c>
      <c r="P425" s="257">
        <f t="shared" si="89"/>
        <v>1888000</v>
      </c>
      <c r="Q425" s="257">
        <f t="shared" si="90"/>
        <v>1888000</v>
      </c>
      <c r="R425" s="258">
        <f>INDEX('Escalators '!$M$124:$S$129,MATCH(I425,'Escalators '!$B$124:$B$129,0),MATCH(J425,'Escalators '!$M$113:$S$113,0))</f>
        <v>1.0120900655357943</v>
      </c>
      <c r="S425" s="257">
        <f t="shared" si="91"/>
        <v>0</v>
      </c>
      <c r="T425" s="257">
        <f t="shared" si="92"/>
        <v>0</v>
      </c>
      <c r="U425" s="269">
        <f t="shared" si="93"/>
        <v>1910826.0437315796</v>
      </c>
      <c r="V425" s="269">
        <f t="shared" si="94"/>
        <v>1910826.0437315796</v>
      </c>
      <c r="W425" s="269">
        <f t="shared" si="95"/>
        <v>1910826.0437315796</v>
      </c>
      <c r="X425" s="257">
        <f t="shared" si="96"/>
        <v>1910826.0437315796</v>
      </c>
      <c r="Y425" s="270">
        <f>IF(L425="Complex",(INDEX('Escalators '!$M$176:$S$176,MATCH('Forecast capex'!J425,'Escalators '!$M$178:$S$178,0))/12+1)^((K425-J425)*12)-1,0)</f>
        <v>0</v>
      </c>
      <c r="Z425" s="257">
        <f t="shared" si="97"/>
        <v>0</v>
      </c>
      <c r="AA425" s="257">
        <f t="shared" si="98"/>
        <v>0</v>
      </c>
      <c r="AB425" s="269">
        <f t="shared" si="99"/>
        <v>0</v>
      </c>
      <c r="AC425" s="269">
        <f t="shared" si="100"/>
        <v>0</v>
      </c>
      <c r="AD425" s="271" t="str">
        <f>INDEX('Global inputs'!$C$134:$C$171,MATCH(F425,'Global inputs'!$B$134:$B$171,0))</f>
        <v>Asset replacement and renewal</v>
      </c>
      <c r="AE425" s="272">
        <f>IF(OR(H425='Operating leases'!$B$32,H425='Operating leases'!$B$33),"",INDEX('Global inputs'!$C$186:$C$243,MATCH(E425,'Global inputs'!$B$186:$B$243,0)))</f>
        <v>0.08</v>
      </c>
    </row>
    <row r="426" spans="1:31" s="27" customFormat="1" x14ac:dyDescent="0.2">
      <c r="A426" s="250"/>
      <c r="B426" s="210" t="s">
        <v>738</v>
      </c>
      <c r="C426" s="210" t="s">
        <v>292</v>
      </c>
      <c r="D426" s="210" t="s">
        <v>739</v>
      </c>
      <c r="E426" s="210" t="s">
        <v>181</v>
      </c>
      <c r="F426" s="210" t="s">
        <v>89</v>
      </c>
      <c r="G426" s="210" t="s">
        <v>749</v>
      </c>
      <c r="H426" s="197">
        <v>0</v>
      </c>
      <c r="I426" s="210" t="s">
        <v>229</v>
      </c>
      <c r="J426" s="210">
        <v>2021</v>
      </c>
      <c r="K426" s="210">
        <v>2021</v>
      </c>
      <c r="L426" s="268" t="str">
        <f t="shared" si="88"/>
        <v>Simple</v>
      </c>
      <c r="M426" s="197">
        <v>160250</v>
      </c>
      <c r="N426" s="197">
        <v>0</v>
      </c>
      <c r="O426" s="257">
        <f>IF(ISNA(MATCH(H426,'Operating leases'!$B$32:$B$43,0)),0,INDEX('Operating leases'!$M$32:$S$43,MATCH(H426,'Operating leases'!$B$32:$B$43,0),MATCH(J426,'Operating leases'!$M$11:$S$11,0)))</f>
        <v>0</v>
      </c>
      <c r="P426" s="257">
        <f t="shared" si="89"/>
        <v>160250</v>
      </c>
      <c r="Q426" s="257">
        <f t="shared" si="90"/>
        <v>160250</v>
      </c>
      <c r="R426" s="258">
        <f>INDEX('Escalators '!$M$124:$S$129,MATCH(I426,'Escalators '!$B$124:$B$129,0),MATCH(J426,'Escalators '!$M$113:$S$113,0))</f>
        <v>1.0206154571717865</v>
      </c>
      <c r="S426" s="257">
        <f t="shared" si="91"/>
        <v>0</v>
      </c>
      <c r="T426" s="257">
        <f t="shared" si="92"/>
        <v>0</v>
      </c>
      <c r="U426" s="269">
        <f t="shared" si="93"/>
        <v>163553.62701177879</v>
      </c>
      <c r="V426" s="269">
        <f t="shared" si="94"/>
        <v>163553.62701177879</v>
      </c>
      <c r="W426" s="269">
        <f t="shared" si="95"/>
        <v>163553.62701177879</v>
      </c>
      <c r="X426" s="257">
        <f t="shared" si="96"/>
        <v>163553.62701177879</v>
      </c>
      <c r="Y426" s="270">
        <f>IF(L426="Complex",(INDEX('Escalators '!$M$176:$S$176,MATCH('Forecast capex'!J426,'Escalators '!$M$178:$S$178,0))/12+1)^((K426-J426)*12)-1,0)</f>
        <v>0</v>
      </c>
      <c r="Z426" s="257">
        <f t="shared" si="97"/>
        <v>0</v>
      </c>
      <c r="AA426" s="257">
        <f t="shared" si="98"/>
        <v>0</v>
      </c>
      <c r="AB426" s="269">
        <f t="shared" si="99"/>
        <v>0</v>
      </c>
      <c r="AC426" s="269">
        <f t="shared" si="100"/>
        <v>0</v>
      </c>
      <c r="AD426" s="271" t="str">
        <f>INDEX('Global inputs'!$C$134:$C$171,MATCH(F426,'Global inputs'!$B$134:$B$171,0))</f>
        <v>Non-network CAPEX</v>
      </c>
      <c r="AE426" s="272">
        <f>IF(OR(H426='Operating leases'!$B$32,H426='Operating leases'!$B$33),"",INDEX('Global inputs'!$C$186:$C$243,MATCH(E426,'Global inputs'!$B$186:$B$243,0)))</f>
        <v>0.5</v>
      </c>
    </row>
    <row r="427" spans="1:31" s="27" customFormat="1" x14ac:dyDescent="0.2">
      <c r="A427" s="250"/>
      <c r="B427" s="210" t="s">
        <v>738</v>
      </c>
      <c r="C427" s="210" t="s">
        <v>292</v>
      </c>
      <c r="D427" s="210" t="s">
        <v>739</v>
      </c>
      <c r="E427" s="210" t="s">
        <v>183</v>
      </c>
      <c r="F427" s="210" t="s">
        <v>89</v>
      </c>
      <c r="G427" s="210" t="s">
        <v>750</v>
      </c>
      <c r="H427" s="197">
        <v>0</v>
      </c>
      <c r="I427" s="210" t="s">
        <v>229</v>
      </c>
      <c r="J427" s="210">
        <v>2021</v>
      </c>
      <c r="K427" s="210">
        <v>2021</v>
      </c>
      <c r="L427" s="268" t="str">
        <f t="shared" si="88"/>
        <v>Simple</v>
      </c>
      <c r="M427" s="197">
        <v>3044750</v>
      </c>
      <c r="N427" s="197">
        <v>0</v>
      </c>
      <c r="O427" s="257">
        <f>IF(ISNA(MATCH(H427,'Operating leases'!$B$32:$B$43,0)),0,INDEX('Operating leases'!$M$32:$S$43,MATCH(H427,'Operating leases'!$B$32:$B$43,0),MATCH(J427,'Operating leases'!$M$11:$S$11,0)))</f>
        <v>0</v>
      </c>
      <c r="P427" s="257">
        <f t="shared" si="89"/>
        <v>3044750</v>
      </c>
      <c r="Q427" s="257">
        <f t="shared" si="90"/>
        <v>3044750</v>
      </c>
      <c r="R427" s="258">
        <f>INDEX('Escalators '!$M$124:$S$129,MATCH(I427,'Escalators '!$B$124:$B$129,0),MATCH(J427,'Escalators '!$M$113:$S$113,0))</f>
        <v>1.0206154571717865</v>
      </c>
      <c r="S427" s="257">
        <f t="shared" si="91"/>
        <v>0</v>
      </c>
      <c r="T427" s="257">
        <f t="shared" si="92"/>
        <v>0</v>
      </c>
      <c r="U427" s="269">
        <f t="shared" si="93"/>
        <v>3107518.913223797</v>
      </c>
      <c r="V427" s="269">
        <f t="shared" si="94"/>
        <v>3107518.913223797</v>
      </c>
      <c r="W427" s="269">
        <f t="shared" si="95"/>
        <v>3107518.913223797</v>
      </c>
      <c r="X427" s="257">
        <f t="shared" si="96"/>
        <v>3107518.913223797</v>
      </c>
      <c r="Y427" s="270">
        <f>IF(L427="Complex",(INDEX('Escalators '!$M$176:$S$176,MATCH('Forecast capex'!J427,'Escalators '!$M$178:$S$178,0))/12+1)^((K427-J427)*12)-1,0)</f>
        <v>0</v>
      </c>
      <c r="Z427" s="257">
        <f t="shared" si="97"/>
        <v>0</v>
      </c>
      <c r="AA427" s="257">
        <f t="shared" si="98"/>
        <v>0</v>
      </c>
      <c r="AB427" s="269">
        <f t="shared" si="99"/>
        <v>0</v>
      </c>
      <c r="AC427" s="269">
        <f t="shared" si="100"/>
        <v>0</v>
      </c>
      <c r="AD427" s="271" t="str">
        <f>INDEX('Global inputs'!$C$134:$C$171,MATCH(F427,'Global inputs'!$B$134:$B$171,0))</f>
        <v>Non-network CAPEX</v>
      </c>
      <c r="AE427" s="272">
        <f>IF(OR(H427='Operating leases'!$B$32,H427='Operating leases'!$B$33),"",INDEX('Global inputs'!$C$186:$C$243,MATCH(E427,'Global inputs'!$B$186:$B$243,0)))</f>
        <v>0.5</v>
      </c>
    </row>
    <row r="428" spans="1:31" s="27" customFormat="1" x14ac:dyDescent="0.2">
      <c r="A428" s="250"/>
      <c r="B428" s="210" t="s">
        <v>738</v>
      </c>
      <c r="C428" s="210" t="s">
        <v>292</v>
      </c>
      <c r="D428" s="210" t="s">
        <v>739</v>
      </c>
      <c r="E428" s="210" t="s">
        <v>186</v>
      </c>
      <c r="F428" s="210" t="s">
        <v>89</v>
      </c>
      <c r="G428" s="210">
        <v>0</v>
      </c>
      <c r="H428" s="197" t="s">
        <v>89</v>
      </c>
      <c r="I428" s="210" t="s">
        <v>229</v>
      </c>
      <c r="J428" s="210">
        <v>2021</v>
      </c>
      <c r="K428" s="210">
        <v>2021</v>
      </c>
      <c r="L428" s="268" t="str">
        <f t="shared" si="88"/>
        <v>Simple</v>
      </c>
      <c r="M428" s="197">
        <v>0</v>
      </c>
      <c r="N428" s="197">
        <v>0</v>
      </c>
      <c r="O428" s="257">
        <f>IF(ISNA(MATCH(H428,'Operating leases'!$B$32:$B$43,0)),0,INDEX('Operating leases'!$M$32:$S$43,MATCH(H428,'Operating leases'!$B$32:$B$43,0),MATCH(J428,'Operating leases'!$M$11:$S$11,0)))</f>
        <v>0</v>
      </c>
      <c r="P428" s="257">
        <f t="shared" si="89"/>
        <v>0</v>
      </c>
      <c r="Q428" s="257">
        <f t="shared" si="90"/>
        <v>0</v>
      </c>
      <c r="R428" s="258">
        <f>INDEX('Escalators '!$M$124:$S$129,MATCH(I428,'Escalators '!$B$124:$B$129,0),MATCH(J428,'Escalators '!$M$113:$S$113,0))</f>
        <v>1.0206154571717865</v>
      </c>
      <c r="S428" s="257">
        <f t="shared" si="91"/>
        <v>0</v>
      </c>
      <c r="T428" s="257">
        <f t="shared" si="92"/>
        <v>0</v>
      </c>
      <c r="U428" s="269">
        <f t="shared" si="93"/>
        <v>0</v>
      </c>
      <c r="V428" s="269">
        <f t="shared" si="94"/>
        <v>0</v>
      </c>
      <c r="W428" s="269">
        <f t="shared" si="95"/>
        <v>0</v>
      </c>
      <c r="X428" s="257">
        <f t="shared" si="96"/>
        <v>0</v>
      </c>
      <c r="Y428" s="270">
        <f>IF(L428="Complex",(INDEX('Escalators '!$M$176:$S$176,MATCH('Forecast capex'!J428,'Escalators '!$M$178:$S$178,0))/12+1)^((K428-J428)*12)-1,0)</f>
        <v>0</v>
      </c>
      <c r="Z428" s="257">
        <f t="shared" si="97"/>
        <v>0</v>
      </c>
      <c r="AA428" s="257">
        <f t="shared" si="98"/>
        <v>0</v>
      </c>
      <c r="AB428" s="269">
        <f t="shared" si="99"/>
        <v>0</v>
      </c>
      <c r="AC428" s="269">
        <f t="shared" si="100"/>
        <v>0</v>
      </c>
      <c r="AD428" s="271" t="str">
        <f>INDEX('Global inputs'!$C$134:$C$171,MATCH(F428,'Global inputs'!$B$134:$B$171,0))</f>
        <v>Non-network CAPEX</v>
      </c>
      <c r="AE428" s="272" t="str">
        <f>IF(OR(H428='Operating leases'!$B$32,H428='Operating leases'!$B$33),"",INDEX('Global inputs'!$C$186:$C$243,MATCH(E428,'Global inputs'!$B$186:$B$243,0)))</f>
        <v/>
      </c>
    </row>
    <row r="429" spans="1:31" s="27" customFormat="1" x14ac:dyDescent="0.2">
      <c r="A429" s="250"/>
      <c r="B429" s="210" t="s">
        <v>738</v>
      </c>
      <c r="C429" s="210" t="s">
        <v>292</v>
      </c>
      <c r="D429" s="210" t="s">
        <v>739</v>
      </c>
      <c r="E429" s="210" t="s">
        <v>185</v>
      </c>
      <c r="F429" s="210" t="s">
        <v>91</v>
      </c>
      <c r="G429" s="210">
        <v>0</v>
      </c>
      <c r="H429" s="197" t="s">
        <v>91</v>
      </c>
      <c r="I429" s="210" t="s">
        <v>229</v>
      </c>
      <c r="J429" s="210">
        <v>2021</v>
      </c>
      <c r="K429" s="210">
        <v>2021</v>
      </c>
      <c r="L429" s="268" t="str">
        <f t="shared" si="88"/>
        <v>Simple</v>
      </c>
      <c r="M429" s="197">
        <v>0</v>
      </c>
      <c r="N429" s="197">
        <v>0</v>
      </c>
      <c r="O429" s="257">
        <f>IF(ISNA(MATCH(H429,'Operating leases'!$B$32:$B$43,0)),0,INDEX('Operating leases'!$M$32:$S$43,MATCH(H429,'Operating leases'!$B$32:$B$43,0),MATCH(J429,'Operating leases'!$M$11:$S$11,0)))</f>
        <v>142644.78090744404</v>
      </c>
      <c r="P429" s="257">
        <f t="shared" si="89"/>
        <v>142644.78090744404</v>
      </c>
      <c r="Q429" s="257">
        <f t="shared" si="90"/>
        <v>142644.78090744404</v>
      </c>
      <c r="R429" s="258">
        <f>INDEX('Escalators '!$M$124:$S$129,MATCH(I429,'Escalators '!$B$124:$B$129,0),MATCH(J429,'Escalators '!$M$113:$S$113,0))</f>
        <v>1.0206154571717865</v>
      </c>
      <c r="S429" s="257">
        <f t="shared" si="91"/>
        <v>145585.46827902034</v>
      </c>
      <c r="T429" s="257">
        <f t="shared" si="92"/>
        <v>0</v>
      </c>
      <c r="U429" s="269">
        <f t="shared" si="93"/>
        <v>0</v>
      </c>
      <c r="V429" s="269">
        <f t="shared" si="94"/>
        <v>0</v>
      </c>
      <c r="W429" s="269">
        <f t="shared" si="95"/>
        <v>145585.46827902034</v>
      </c>
      <c r="X429" s="257">
        <f t="shared" si="96"/>
        <v>145585.46827902034</v>
      </c>
      <c r="Y429" s="270">
        <f>IF(L429="Complex",(INDEX('Escalators '!$M$176:$S$176,MATCH('Forecast capex'!J429,'Escalators '!$M$178:$S$178,0))/12+1)^((K429-J429)*12)-1,0)</f>
        <v>0</v>
      </c>
      <c r="Z429" s="257">
        <f t="shared" si="97"/>
        <v>0</v>
      </c>
      <c r="AA429" s="257">
        <f t="shared" si="98"/>
        <v>0</v>
      </c>
      <c r="AB429" s="269">
        <f t="shared" si="99"/>
        <v>0</v>
      </c>
      <c r="AC429" s="269">
        <f t="shared" si="100"/>
        <v>0</v>
      </c>
      <c r="AD429" s="271" t="str">
        <f>INDEX('Global inputs'!$C$134:$C$171,MATCH(F429,'Global inputs'!$B$134:$B$171,0))</f>
        <v>Non-network CAPEX</v>
      </c>
      <c r="AE429" s="272" t="str">
        <f>IF(OR(H429='Operating leases'!$B$32,H429='Operating leases'!$B$33),"",INDEX('Global inputs'!$C$186:$C$243,MATCH(E429,'Global inputs'!$B$186:$B$243,0)))</f>
        <v/>
      </c>
    </row>
    <row r="430" spans="1:31" s="27" customFormat="1" x14ac:dyDescent="0.2">
      <c r="A430" s="250"/>
      <c r="B430" s="210" t="s">
        <v>742</v>
      </c>
      <c r="C430" s="210" t="s">
        <v>285</v>
      </c>
      <c r="D430" s="210" t="s">
        <v>223</v>
      </c>
      <c r="E430" s="210" t="s">
        <v>134</v>
      </c>
      <c r="F430" s="210" t="s">
        <v>105</v>
      </c>
      <c r="G430" s="210" t="s">
        <v>726</v>
      </c>
      <c r="H430" s="197">
        <v>0</v>
      </c>
      <c r="I430" s="210" t="s">
        <v>223</v>
      </c>
      <c r="J430" s="210">
        <v>2021</v>
      </c>
      <c r="K430" s="210">
        <v>2021</v>
      </c>
      <c r="L430" s="268" t="str">
        <f t="shared" si="88"/>
        <v>Simple</v>
      </c>
      <c r="M430" s="197">
        <v>60000</v>
      </c>
      <c r="N430" s="197">
        <v>0</v>
      </c>
      <c r="O430" s="257">
        <f>IF(ISNA(MATCH(H430,'Operating leases'!$B$32:$B$43,0)),0,INDEX('Operating leases'!$M$32:$S$43,MATCH(H430,'Operating leases'!$B$32:$B$43,0),MATCH(J430,'Operating leases'!$M$11:$S$11,0)))</f>
        <v>0</v>
      </c>
      <c r="P430" s="257">
        <f t="shared" si="89"/>
        <v>60000</v>
      </c>
      <c r="Q430" s="257">
        <f t="shared" si="90"/>
        <v>60000</v>
      </c>
      <c r="R430" s="258">
        <f>INDEX('Escalators '!$M$124:$S$129,MATCH(I430,'Escalators '!$B$124:$B$129,0),MATCH(J430,'Escalators '!$M$113:$S$113,0))</f>
        <v>1.0239888729183189</v>
      </c>
      <c r="S430" s="257">
        <f t="shared" si="91"/>
        <v>0</v>
      </c>
      <c r="T430" s="257">
        <f t="shared" si="92"/>
        <v>0</v>
      </c>
      <c r="U430" s="269">
        <f t="shared" si="93"/>
        <v>61439.332375099133</v>
      </c>
      <c r="V430" s="269">
        <f t="shared" si="94"/>
        <v>61439.332375099133</v>
      </c>
      <c r="W430" s="269">
        <f t="shared" si="95"/>
        <v>61439.332375099133</v>
      </c>
      <c r="X430" s="257">
        <f t="shared" si="96"/>
        <v>61439.332375099133</v>
      </c>
      <c r="Y430" s="270">
        <f>IF(L430="Complex",(INDEX('Escalators '!$M$176:$S$176,MATCH('Forecast capex'!J430,'Escalators '!$M$178:$S$178,0))/12+1)^((K430-J430)*12)-1,0)</f>
        <v>0</v>
      </c>
      <c r="Z430" s="257">
        <f t="shared" si="97"/>
        <v>0</v>
      </c>
      <c r="AA430" s="257">
        <f t="shared" si="98"/>
        <v>0</v>
      </c>
      <c r="AB430" s="269">
        <f t="shared" si="99"/>
        <v>0</v>
      </c>
      <c r="AC430" s="269">
        <f t="shared" si="100"/>
        <v>0</v>
      </c>
      <c r="AD430" s="271" t="str">
        <f>INDEX('Global inputs'!$C$134:$C$171,MATCH(F430,'Global inputs'!$B$134:$B$171,0))</f>
        <v>Asset replacement and renewal</v>
      </c>
      <c r="AE430" s="272">
        <f>IF(OR(H430='Operating leases'!$B$32,H430='Operating leases'!$B$33),"",INDEX('Global inputs'!$C$186:$C$243,MATCH(E430,'Global inputs'!$B$186:$B$243,0)))</f>
        <v>0.08</v>
      </c>
    </row>
    <row r="431" spans="1:31" s="27" customFormat="1" x14ac:dyDescent="0.2">
      <c r="A431" s="250"/>
      <c r="B431" s="210" t="s">
        <v>742</v>
      </c>
      <c r="C431" s="210" t="s">
        <v>285</v>
      </c>
      <c r="D431" s="210" t="s">
        <v>223</v>
      </c>
      <c r="E431" s="210" t="s">
        <v>134</v>
      </c>
      <c r="F431" s="210" t="s">
        <v>105</v>
      </c>
      <c r="G431" s="210" t="s">
        <v>726</v>
      </c>
      <c r="H431" s="197">
        <v>0</v>
      </c>
      <c r="I431" s="210" t="s">
        <v>221</v>
      </c>
      <c r="J431" s="210">
        <v>2021</v>
      </c>
      <c r="K431" s="210">
        <v>2021</v>
      </c>
      <c r="L431" s="268" t="str">
        <f t="shared" si="88"/>
        <v>Simple</v>
      </c>
      <c r="M431" s="197">
        <v>140000</v>
      </c>
      <c r="N431" s="197">
        <v>0</v>
      </c>
      <c r="O431" s="257">
        <f>IF(ISNA(MATCH(H431,'Operating leases'!$B$32:$B$43,0)),0,INDEX('Operating leases'!$M$32:$S$43,MATCH(H431,'Operating leases'!$B$32:$B$43,0),MATCH(J431,'Operating leases'!$M$11:$S$11,0)))</f>
        <v>0</v>
      </c>
      <c r="P431" s="257">
        <f t="shared" si="89"/>
        <v>140000</v>
      </c>
      <c r="Q431" s="257">
        <f t="shared" si="90"/>
        <v>140000</v>
      </c>
      <c r="R431" s="258">
        <f>INDEX('Escalators '!$M$124:$S$129,MATCH(I431,'Escalators '!$B$124:$B$129,0),MATCH(J431,'Escalators '!$M$113:$S$113,0))</f>
        <v>1.0120900655357943</v>
      </c>
      <c r="S431" s="257">
        <f t="shared" si="91"/>
        <v>0</v>
      </c>
      <c r="T431" s="257">
        <f t="shared" si="92"/>
        <v>0</v>
      </c>
      <c r="U431" s="269">
        <f t="shared" si="93"/>
        <v>141692.6091750112</v>
      </c>
      <c r="V431" s="269">
        <f t="shared" si="94"/>
        <v>141692.6091750112</v>
      </c>
      <c r="W431" s="269">
        <f t="shared" si="95"/>
        <v>141692.6091750112</v>
      </c>
      <c r="X431" s="257">
        <f t="shared" si="96"/>
        <v>141692.6091750112</v>
      </c>
      <c r="Y431" s="270">
        <f>IF(L431="Complex",(INDEX('Escalators '!$M$176:$S$176,MATCH('Forecast capex'!J431,'Escalators '!$M$178:$S$178,0))/12+1)^((K431-J431)*12)-1,0)</f>
        <v>0</v>
      </c>
      <c r="Z431" s="257">
        <f t="shared" si="97"/>
        <v>0</v>
      </c>
      <c r="AA431" s="257">
        <f t="shared" si="98"/>
        <v>0</v>
      </c>
      <c r="AB431" s="269">
        <f t="shared" si="99"/>
        <v>0</v>
      </c>
      <c r="AC431" s="269">
        <f t="shared" si="100"/>
        <v>0</v>
      </c>
      <c r="AD431" s="271" t="str">
        <f>INDEX('Global inputs'!$C$134:$C$171,MATCH(F431,'Global inputs'!$B$134:$B$171,0))</f>
        <v>Asset replacement and renewal</v>
      </c>
      <c r="AE431" s="272">
        <f>IF(OR(H431='Operating leases'!$B$32,H431='Operating leases'!$B$33),"",INDEX('Global inputs'!$C$186:$C$243,MATCH(E431,'Global inputs'!$B$186:$B$243,0)))</f>
        <v>0.08</v>
      </c>
    </row>
    <row r="432" spans="1:31" s="27" customFormat="1" x14ac:dyDescent="0.2">
      <c r="A432" s="250"/>
      <c r="B432" s="210" t="s">
        <v>746</v>
      </c>
      <c r="C432" s="210" t="s">
        <v>286</v>
      </c>
      <c r="D432" s="210" t="s">
        <v>732</v>
      </c>
      <c r="E432" s="210" t="s">
        <v>148</v>
      </c>
      <c r="F432" s="210" t="s">
        <v>82</v>
      </c>
      <c r="G432" s="210" t="s">
        <v>753</v>
      </c>
      <c r="H432" s="197">
        <v>0</v>
      </c>
      <c r="I432" s="210" t="s">
        <v>229</v>
      </c>
      <c r="J432" s="210">
        <v>2021</v>
      </c>
      <c r="K432" s="210">
        <v>2021</v>
      </c>
      <c r="L432" s="268" t="str">
        <f t="shared" si="88"/>
        <v>Simple</v>
      </c>
      <c r="M432" s="197">
        <v>461000</v>
      </c>
      <c r="N432" s="197">
        <v>0</v>
      </c>
      <c r="O432" s="257">
        <f>IF(ISNA(MATCH(H432,'Operating leases'!$B$32:$B$43,0)),0,INDEX('Operating leases'!$M$32:$S$43,MATCH(H432,'Operating leases'!$B$32:$B$43,0),MATCH(J432,'Operating leases'!$M$11:$S$11,0)))</f>
        <v>0</v>
      </c>
      <c r="P432" s="257">
        <f t="shared" si="89"/>
        <v>461000</v>
      </c>
      <c r="Q432" s="257">
        <f t="shared" si="90"/>
        <v>461000</v>
      </c>
      <c r="R432" s="258">
        <f>INDEX('Escalators '!$M$124:$S$129,MATCH(I432,'Escalators '!$B$124:$B$129,0),MATCH(J432,'Escalators '!$M$113:$S$113,0))</f>
        <v>1.0206154571717865</v>
      </c>
      <c r="S432" s="257">
        <f t="shared" si="91"/>
        <v>0</v>
      </c>
      <c r="T432" s="257">
        <f t="shared" si="92"/>
        <v>0</v>
      </c>
      <c r="U432" s="269">
        <f t="shared" si="93"/>
        <v>470503.72575619357</v>
      </c>
      <c r="V432" s="269">
        <f t="shared" si="94"/>
        <v>470503.72575619357</v>
      </c>
      <c r="W432" s="269">
        <f t="shared" si="95"/>
        <v>470503.72575619357</v>
      </c>
      <c r="X432" s="257">
        <f t="shared" si="96"/>
        <v>470503.72575619357</v>
      </c>
      <c r="Y432" s="270">
        <f>IF(L432="Complex",(INDEX('Escalators '!$M$176:$S$176,MATCH('Forecast capex'!J432,'Escalators '!$M$178:$S$178,0))/12+1)^((K432-J432)*12)-1,0)</f>
        <v>0</v>
      </c>
      <c r="Z432" s="257">
        <f t="shared" si="97"/>
        <v>0</v>
      </c>
      <c r="AA432" s="257">
        <f t="shared" si="98"/>
        <v>0</v>
      </c>
      <c r="AB432" s="269">
        <f t="shared" si="99"/>
        <v>0</v>
      </c>
      <c r="AC432" s="269">
        <f t="shared" si="100"/>
        <v>0</v>
      </c>
      <c r="AD432" s="271" t="str">
        <f>INDEX('Global inputs'!$C$134:$C$171,MATCH(F432,'Global inputs'!$B$134:$B$171,0))</f>
        <v xml:space="preserve">System growth </v>
      </c>
      <c r="AE432" s="272">
        <f>IF(OR(H432='Operating leases'!$B$32,H432='Operating leases'!$B$33),"",INDEX('Global inputs'!$C$186:$C$243,MATCH(E432,'Global inputs'!$B$186:$B$243,0)))</f>
        <v>0.08</v>
      </c>
    </row>
    <row r="433" spans="1:31" s="27" customFormat="1" x14ac:dyDescent="0.2">
      <c r="A433" s="250"/>
      <c r="B433" s="210" t="s">
        <v>746</v>
      </c>
      <c r="C433" s="210" t="s">
        <v>286</v>
      </c>
      <c r="D433" s="210" t="s">
        <v>732</v>
      </c>
      <c r="E433" s="210" t="s">
        <v>148</v>
      </c>
      <c r="F433" s="210" t="s">
        <v>82</v>
      </c>
      <c r="G433" s="210" t="s">
        <v>753</v>
      </c>
      <c r="H433" s="197">
        <v>0</v>
      </c>
      <c r="I433" s="210" t="s">
        <v>221</v>
      </c>
      <c r="J433" s="210">
        <v>2021</v>
      </c>
      <c r="K433" s="210">
        <v>2021</v>
      </c>
      <c r="L433" s="268" t="str">
        <f t="shared" si="88"/>
        <v>Simple</v>
      </c>
      <c r="M433" s="197">
        <v>461000</v>
      </c>
      <c r="N433" s="197">
        <v>0</v>
      </c>
      <c r="O433" s="257">
        <f>IF(ISNA(MATCH(H433,'Operating leases'!$B$32:$B$43,0)),0,INDEX('Operating leases'!$M$32:$S$43,MATCH(H433,'Operating leases'!$B$32:$B$43,0),MATCH(J433,'Operating leases'!$M$11:$S$11,0)))</f>
        <v>0</v>
      </c>
      <c r="P433" s="257">
        <f t="shared" si="89"/>
        <v>461000</v>
      </c>
      <c r="Q433" s="257">
        <f t="shared" si="90"/>
        <v>461000</v>
      </c>
      <c r="R433" s="258">
        <f>INDEX('Escalators '!$M$124:$S$129,MATCH(I433,'Escalators '!$B$124:$B$129,0),MATCH(J433,'Escalators '!$M$113:$S$113,0))</f>
        <v>1.0120900655357943</v>
      </c>
      <c r="S433" s="257">
        <f t="shared" si="91"/>
        <v>0</v>
      </c>
      <c r="T433" s="257">
        <f t="shared" si="92"/>
        <v>0</v>
      </c>
      <c r="U433" s="269">
        <f t="shared" si="93"/>
        <v>466573.52021200117</v>
      </c>
      <c r="V433" s="269">
        <f t="shared" si="94"/>
        <v>466573.52021200117</v>
      </c>
      <c r="W433" s="269">
        <f t="shared" si="95"/>
        <v>466573.52021200117</v>
      </c>
      <c r="X433" s="257">
        <f t="shared" si="96"/>
        <v>466573.52021200117</v>
      </c>
      <c r="Y433" s="270">
        <f>IF(L433="Complex",(INDEX('Escalators '!$M$176:$S$176,MATCH('Forecast capex'!J433,'Escalators '!$M$178:$S$178,0))/12+1)^((K433-J433)*12)-1,0)</f>
        <v>0</v>
      </c>
      <c r="Z433" s="257">
        <f t="shared" si="97"/>
        <v>0</v>
      </c>
      <c r="AA433" s="257">
        <f t="shared" si="98"/>
        <v>0</v>
      </c>
      <c r="AB433" s="269">
        <f t="shared" si="99"/>
        <v>0</v>
      </c>
      <c r="AC433" s="269">
        <f t="shared" si="100"/>
        <v>0</v>
      </c>
      <c r="AD433" s="271" t="str">
        <f>INDEX('Global inputs'!$C$134:$C$171,MATCH(F433,'Global inputs'!$B$134:$B$171,0))</f>
        <v xml:space="preserve">System growth </v>
      </c>
      <c r="AE433" s="272">
        <f>IF(OR(H433='Operating leases'!$B$32,H433='Operating leases'!$B$33),"",INDEX('Global inputs'!$C$186:$C$243,MATCH(E433,'Global inputs'!$B$186:$B$243,0)))</f>
        <v>0.08</v>
      </c>
    </row>
    <row r="434" spans="1:31" s="27" customFormat="1" x14ac:dyDescent="0.2">
      <c r="A434" s="250"/>
      <c r="B434" s="210" t="s">
        <v>746</v>
      </c>
      <c r="C434" s="210" t="s">
        <v>286</v>
      </c>
      <c r="D434" s="210" t="s">
        <v>732</v>
      </c>
      <c r="E434" s="210" t="s">
        <v>138</v>
      </c>
      <c r="F434" s="210" t="s">
        <v>87</v>
      </c>
      <c r="G434" s="210" t="s">
        <v>752</v>
      </c>
      <c r="H434" s="197">
        <v>0</v>
      </c>
      <c r="I434" s="210" t="s">
        <v>139</v>
      </c>
      <c r="J434" s="210">
        <v>2021</v>
      </c>
      <c r="K434" s="210">
        <v>2021</v>
      </c>
      <c r="L434" s="268" t="str">
        <f t="shared" si="88"/>
        <v>Simple</v>
      </c>
      <c r="M434" s="197">
        <v>114000</v>
      </c>
      <c r="N434" s="197">
        <v>0</v>
      </c>
      <c r="O434" s="257">
        <f>IF(ISNA(MATCH(H434,'Operating leases'!$B$32:$B$43,0)),0,INDEX('Operating leases'!$M$32:$S$43,MATCH(H434,'Operating leases'!$B$32:$B$43,0),MATCH(J434,'Operating leases'!$M$11:$S$11,0)))</f>
        <v>0</v>
      </c>
      <c r="P434" s="257">
        <f t="shared" si="89"/>
        <v>114000</v>
      </c>
      <c r="Q434" s="257">
        <f t="shared" si="90"/>
        <v>114000</v>
      </c>
      <c r="R434" s="258">
        <f>INDEX('Escalators '!$M$124:$S$129,MATCH(I434,'Escalators '!$B$124:$B$129,0),MATCH(J434,'Escalators '!$M$113:$S$113,0))</f>
        <v>1.005513233090898</v>
      </c>
      <c r="S434" s="257">
        <f t="shared" si="91"/>
        <v>0</v>
      </c>
      <c r="T434" s="257">
        <f t="shared" si="92"/>
        <v>0</v>
      </c>
      <c r="U434" s="269">
        <f t="shared" si="93"/>
        <v>114628.50857236238</v>
      </c>
      <c r="V434" s="269">
        <f t="shared" si="94"/>
        <v>114628.50857236238</v>
      </c>
      <c r="W434" s="269">
        <f t="shared" si="95"/>
        <v>114628.50857236238</v>
      </c>
      <c r="X434" s="257">
        <f t="shared" si="96"/>
        <v>114628.50857236238</v>
      </c>
      <c r="Y434" s="270">
        <f>IF(L434="Complex",(INDEX('Escalators '!$M$176:$S$176,MATCH('Forecast capex'!J434,'Escalators '!$M$178:$S$178,0))/12+1)^((K434-J434)*12)-1,0)</f>
        <v>0</v>
      </c>
      <c r="Z434" s="257">
        <f t="shared" si="97"/>
        <v>0</v>
      </c>
      <c r="AA434" s="257">
        <f t="shared" si="98"/>
        <v>0</v>
      </c>
      <c r="AB434" s="269">
        <f t="shared" si="99"/>
        <v>0</v>
      </c>
      <c r="AC434" s="269">
        <f t="shared" si="100"/>
        <v>0</v>
      </c>
      <c r="AD434" s="271" t="str">
        <f>INDEX('Global inputs'!$C$134:$C$171,MATCH(F434,'Global inputs'!$B$134:$B$171,0))</f>
        <v xml:space="preserve">System growth </v>
      </c>
      <c r="AE434" s="272">
        <f>IF(OR(H434='Operating leases'!$B$32,H434='Operating leases'!$B$33),"",INDEX('Global inputs'!$C$186:$C$243,MATCH(E434,'Global inputs'!$B$186:$B$243,0)))</f>
        <v>0.08</v>
      </c>
    </row>
    <row r="435" spans="1:31" s="27" customFormat="1" x14ac:dyDescent="0.2">
      <c r="A435" s="250"/>
      <c r="B435" s="210" t="s">
        <v>746</v>
      </c>
      <c r="C435" s="210" t="s">
        <v>286</v>
      </c>
      <c r="D435" s="210" t="s">
        <v>732</v>
      </c>
      <c r="E435" s="210" t="s">
        <v>138</v>
      </c>
      <c r="F435" s="210" t="s">
        <v>87</v>
      </c>
      <c r="G435" s="210" t="s">
        <v>752</v>
      </c>
      <c r="H435" s="197">
        <v>0</v>
      </c>
      <c r="I435" s="210" t="s">
        <v>221</v>
      </c>
      <c r="J435" s="210">
        <v>2021</v>
      </c>
      <c r="K435" s="210">
        <v>2021</v>
      </c>
      <c r="L435" s="268" t="str">
        <f t="shared" si="88"/>
        <v>Simple</v>
      </c>
      <c r="M435" s="197">
        <v>76000</v>
      </c>
      <c r="N435" s="197">
        <v>0</v>
      </c>
      <c r="O435" s="257">
        <f>IF(ISNA(MATCH(H435,'Operating leases'!$B$32:$B$43,0)),0,INDEX('Operating leases'!$M$32:$S$43,MATCH(H435,'Operating leases'!$B$32:$B$43,0),MATCH(J435,'Operating leases'!$M$11:$S$11,0)))</f>
        <v>0</v>
      </c>
      <c r="P435" s="257">
        <f t="shared" si="89"/>
        <v>76000</v>
      </c>
      <c r="Q435" s="257">
        <f t="shared" si="90"/>
        <v>76000</v>
      </c>
      <c r="R435" s="258">
        <f>INDEX('Escalators '!$M$124:$S$129,MATCH(I435,'Escalators '!$B$124:$B$129,0),MATCH(J435,'Escalators '!$M$113:$S$113,0))</f>
        <v>1.0120900655357943</v>
      </c>
      <c r="S435" s="257">
        <f t="shared" si="91"/>
        <v>0</v>
      </c>
      <c r="T435" s="257">
        <f t="shared" si="92"/>
        <v>0</v>
      </c>
      <c r="U435" s="269">
        <f t="shared" si="93"/>
        <v>76918.844980720372</v>
      </c>
      <c r="V435" s="269">
        <f t="shared" si="94"/>
        <v>76918.844980720372</v>
      </c>
      <c r="W435" s="269">
        <f t="shared" si="95"/>
        <v>76918.844980720372</v>
      </c>
      <c r="X435" s="257">
        <f t="shared" si="96"/>
        <v>76918.844980720372</v>
      </c>
      <c r="Y435" s="270">
        <f>IF(L435="Complex",(INDEX('Escalators '!$M$176:$S$176,MATCH('Forecast capex'!J435,'Escalators '!$M$178:$S$178,0))/12+1)^((K435-J435)*12)-1,0)</f>
        <v>0</v>
      </c>
      <c r="Z435" s="257">
        <f t="shared" si="97"/>
        <v>0</v>
      </c>
      <c r="AA435" s="257">
        <f t="shared" si="98"/>
        <v>0</v>
      </c>
      <c r="AB435" s="269">
        <f t="shared" si="99"/>
        <v>0</v>
      </c>
      <c r="AC435" s="269">
        <f t="shared" si="100"/>
        <v>0</v>
      </c>
      <c r="AD435" s="271" t="str">
        <f>INDEX('Global inputs'!$C$134:$C$171,MATCH(F435,'Global inputs'!$B$134:$B$171,0))</f>
        <v xml:space="preserve">System growth </v>
      </c>
      <c r="AE435" s="272">
        <f>IF(OR(H435='Operating leases'!$B$32,H435='Operating leases'!$B$33),"",INDEX('Global inputs'!$C$186:$C$243,MATCH(E435,'Global inputs'!$B$186:$B$243,0)))</f>
        <v>0.08</v>
      </c>
    </row>
    <row r="436" spans="1:31" s="27" customFormat="1" x14ac:dyDescent="0.2">
      <c r="A436" s="250"/>
      <c r="B436" s="210" t="s">
        <v>746</v>
      </c>
      <c r="C436" s="210" t="s">
        <v>286</v>
      </c>
      <c r="D436" s="210" t="s">
        <v>732</v>
      </c>
      <c r="E436" s="210" t="s">
        <v>143</v>
      </c>
      <c r="F436" s="210" t="s">
        <v>87</v>
      </c>
      <c r="G436" s="210" t="s">
        <v>734</v>
      </c>
      <c r="H436" s="197">
        <v>0</v>
      </c>
      <c r="I436" s="210" t="s">
        <v>142</v>
      </c>
      <c r="J436" s="210">
        <v>2021</v>
      </c>
      <c r="K436" s="210">
        <v>2021</v>
      </c>
      <c r="L436" s="268" t="str">
        <f t="shared" si="88"/>
        <v>Simple</v>
      </c>
      <c r="M436" s="197">
        <v>8000</v>
      </c>
      <c r="N436" s="197">
        <v>0</v>
      </c>
      <c r="O436" s="257">
        <f>IF(ISNA(MATCH(H436,'Operating leases'!$B$32:$B$43,0)),0,INDEX('Operating leases'!$M$32:$S$43,MATCH(H436,'Operating leases'!$B$32:$B$43,0),MATCH(J436,'Operating leases'!$M$11:$S$11,0)))</f>
        <v>0</v>
      </c>
      <c r="P436" s="257">
        <f t="shared" si="89"/>
        <v>8000</v>
      </c>
      <c r="Q436" s="257">
        <f t="shared" si="90"/>
        <v>8000</v>
      </c>
      <c r="R436" s="258">
        <f>INDEX('Escalators '!$M$124:$S$129,MATCH(I436,'Escalators '!$B$124:$B$129,0),MATCH(J436,'Escalators '!$M$113:$S$113,0))</f>
        <v>1.0199504944721745</v>
      </c>
      <c r="S436" s="257">
        <f t="shared" si="91"/>
        <v>0</v>
      </c>
      <c r="T436" s="257">
        <f t="shared" si="92"/>
        <v>0</v>
      </c>
      <c r="U436" s="269">
        <f t="shared" si="93"/>
        <v>8159.6039557773956</v>
      </c>
      <c r="V436" s="269">
        <f t="shared" si="94"/>
        <v>8159.6039557773956</v>
      </c>
      <c r="W436" s="269">
        <f t="shared" si="95"/>
        <v>8159.6039557773956</v>
      </c>
      <c r="X436" s="257">
        <f t="shared" si="96"/>
        <v>8159.6039557773956</v>
      </c>
      <c r="Y436" s="270">
        <f>IF(L436="Complex",(INDEX('Escalators '!$M$176:$S$176,MATCH('Forecast capex'!J436,'Escalators '!$M$178:$S$178,0))/12+1)^((K436-J436)*12)-1,0)</f>
        <v>0</v>
      </c>
      <c r="Z436" s="257">
        <f t="shared" si="97"/>
        <v>0</v>
      </c>
      <c r="AA436" s="257">
        <f t="shared" si="98"/>
        <v>0</v>
      </c>
      <c r="AB436" s="269">
        <f t="shared" si="99"/>
        <v>0</v>
      </c>
      <c r="AC436" s="269">
        <f t="shared" si="100"/>
        <v>0</v>
      </c>
      <c r="AD436" s="271" t="str">
        <f>INDEX('Global inputs'!$C$134:$C$171,MATCH(F436,'Global inputs'!$B$134:$B$171,0))</f>
        <v xml:space="preserve">System growth </v>
      </c>
      <c r="AE436" s="272">
        <f>IF(OR(H436='Operating leases'!$B$32,H436='Operating leases'!$B$33),"",INDEX('Global inputs'!$C$186:$C$243,MATCH(E436,'Global inputs'!$B$186:$B$243,0)))</f>
        <v>0.08</v>
      </c>
    </row>
    <row r="437" spans="1:31" s="27" customFormat="1" x14ac:dyDescent="0.2">
      <c r="A437" s="250"/>
      <c r="B437" s="210" t="s">
        <v>746</v>
      </c>
      <c r="C437" s="210" t="s">
        <v>286</v>
      </c>
      <c r="D437" s="210" t="s">
        <v>732</v>
      </c>
      <c r="E437" s="210" t="s">
        <v>143</v>
      </c>
      <c r="F437" s="210" t="s">
        <v>87</v>
      </c>
      <c r="G437" s="210" t="s">
        <v>734</v>
      </c>
      <c r="H437" s="197">
        <v>0</v>
      </c>
      <c r="I437" s="210" t="s">
        <v>221</v>
      </c>
      <c r="J437" s="210">
        <v>2021</v>
      </c>
      <c r="K437" s="210">
        <v>2021</v>
      </c>
      <c r="L437" s="268" t="str">
        <f t="shared" si="88"/>
        <v>Simple</v>
      </c>
      <c r="M437" s="197">
        <v>2000</v>
      </c>
      <c r="N437" s="197">
        <v>0</v>
      </c>
      <c r="O437" s="257">
        <f>IF(ISNA(MATCH(H437,'Operating leases'!$B$32:$B$43,0)),0,INDEX('Operating leases'!$M$32:$S$43,MATCH(H437,'Operating leases'!$B$32:$B$43,0),MATCH(J437,'Operating leases'!$M$11:$S$11,0)))</f>
        <v>0</v>
      </c>
      <c r="P437" s="257">
        <f t="shared" si="89"/>
        <v>2000</v>
      </c>
      <c r="Q437" s="257">
        <f t="shared" si="90"/>
        <v>2000</v>
      </c>
      <c r="R437" s="258">
        <f>INDEX('Escalators '!$M$124:$S$129,MATCH(I437,'Escalators '!$B$124:$B$129,0),MATCH(J437,'Escalators '!$M$113:$S$113,0))</f>
        <v>1.0120900655357943</v>
      </c>
      <c r="S437" s="257">
        <f t="shared" si="91"/>
        <v>0</v>
      </c>
      <c r="T437" s="257">
        <f t="shared" si="92"/>
        <v>0</v>
      </c>
      <c r="U437" s="269">
        <f t="shared" si="93"/>
        <v>2024.1801310715887</v>
      </c>
      <c r="V437" s="269">
        <f t="shared" si="94"/>
        <v>2024.1801310715887</v>
      </c>
      <c r="W437" s="269">
        <f t="shared" si="95"/>
        <v>2024.1801310715887</v>
      </c>
      <c r="X437" s="257">
        <f t="shared" si="96"/>
        <v>2024.1801310715887</v>
      </c>
      <c r="Y437" s="270">
        <f>IF(L437="Complex",(INDEX('Escalators '!$M$176:$S$176,MATCH('Forecast capex'!J437,'Escalators '!$M$178:$S$178,0))/12+1)^((K437-J437)*12)-1,0)</f>
        <v>0</v>
      </c>
      <c r="Z437" s="257">
        <f t="shared" si="97"/>
        <v>0</v>
      </c>
      <c r="AA437" s="257">
        <f t="shared" si="98"/>
        <v>0</v>
      </c>
      <c r="AB437" s="269">
        <f t="shared" si="99"/>
        <v>0</v>
      </c>
      <c r="AC437" s="269">
        <f t="shared" si="100"/>
        <v>0</v>
      </c>
      <c r="AD437" s="271" t="str">
        <f>INDEX('Global inputs'!$C$134:$C$171,MATCH(F437,'Global inputs'!$B$134:$B$171,0))</f>
        <v xml:space="preserve">System growth </v>
      </c>
      <c r="AE437" s="272">
        <f>IF(OR(H437='Operating leases'!$B$32,H437='Operating leases'!$B$33),"",INDEX('Global inputs'!$C$186:$C$243,MATCH(E437,'Global inputs'!$B$186:$B$243,0)))</f>
        <v>0.08</v>
      </c>
    </row>
    <row r="438" spans="1:31" s="27" customFormat="1" x14ac:dyDescent="0.2">
      <c r="A438" s="250"/>
      <c r="B438" s="210" t="s">
        <v>742</v>
      </c>
      <c r="C438" s="210" t="s">
        <v>286</v>
      </c>
      <c r="D438" s="210" t="s">
        <v>732</v>
      </c>
      <c r="E438" s="210" t="s">
        <v>136</v>
      </c>
      <c r="F438" s="210" t="s">
        <v>108</v>
      </c>
      <c r="G438" s="210" t="s">
        <v>751</v>
      </c>
      <c r="H438" s="197">
        <v>0</v>
      </c>
      <c r="I438" s="210" t="s">
        <v>221</v>
      </c>
      <c r="J438" s="210">
        <v>2021</v>
      </c>
      <c r="K438" s="210">
        <v>2021</v>
      </c>
      <c r="L438" s="268" t="str">
        <f t="shared" si="88"/>
        <v>Simple</v>
      </c>
      <c r="M438" s="197">
        <v>250250</v>
      </c>
      <c r="N438" s="197">
        <v>0</v>
      </c>
      <c r="O438" s="257">
        <f>IF(ISNA(MATCH(H438,'Operating leases'!$B$32:$B$43,0)),0,INDEX('Operating leases'!$M$32:$S$43,MATCH(H438,'Operating leases'!$B$32:$B$43,0),MATCH(J438,'Operating leases'!$M$11:$S$11,0)))</f>
        <v>0</v>
      </c>
      <c r="P438" s="257">
        <f t="shared" si="89"/>
        <v>250250</v>
      </c>
      <c r="Q438" s="257">
        <f t="shared" si="90"/>
        <v>250250</v>
      </c>
      <c r="R438" s="258">
        <f>INDEX('Escalators '!$M$124:$S$129,MATCH(I438,'Escalators '!$B$124:$B$129,0),MATCH(J438,'Escalators '!$M$113:$S$113,0))</f>
        <v>1.0120900655357943</v>
      </c>
      <c r="S438" s="257">
        <f t="shared" si="91"/>
        <v>0</v>
      </c>
      <c r="T438" s="257">
        <f t="shared" si="92"/>
        <v>0</v>
      </c>
      <c r="U438" s="269">
        <f t="shared" si="93"/>
        <v>253275.53890033253</v>
      </c>
      <c r="V438" s="269">
        <f t="shared" si="94"/>
        <v>253275.53890033253</v>
      </c>
      <c r="W438" s="269">
        <f t="shared" si="95"/>
        <v>253275.53890033253</v>
      </c>
      <c r="X438" s="257">
        <f t="shared" si="96"/>
        <v>253275.53890033253</v>
      </c>
      <c r="Y438" s="270">
        <f>IF(L438="Complex",(INDEX('Escalators '!$M$176:$S$176,MATCH('Forecast capex'!J438,'Escalators '!$M$178:$S$178,0))/12+1)^((K438-J438)*12)-1,0)</f>
        <v>0</v>
      </c>
      <c r="Z438" s="257">
        <f t="shared" si="97"/>
        <v>0</v>
      </c>
      <c r="AA438" s="257">
        <f t="shared" si="98"/>
        <v>0</v>
      </c>
      <c r="AB438" s="269">
        <f t="shared" si="99"/>
        <v>0</v>
      </c>
      <c r="AC438" s="269">
        <f t="shared" si="100"/>
        <v>0</v>
      </c>
      <c r="AD438" s="271" t="str">
        <f>INDEX('Global inputs'!$C$134:$C$171,MATCH(F438,'Global inputs'!$B$134:$B$171,0))</f>
        <v>Asset replacement and renewal</v>
      </c>
      <c r="AE438" s="272">
        <f>IF(OR(H438='Operating leases'!$B$32,H438='Operating leases'!$B$33),"",INDEX('Global inputs'!$C$186:$C$243,MATCH(E438,'Global inputs'!$B$186:$B$243,0)))</f>
        <v>0</v>
      </c>
    </row>
    <row r="439" spans="1:31" s="27" customFormat="1" x14ac:dyDescent="0.2">
      <c r="A439" s="250"/>
      <c r="B439" s="210" t="s">
        <v>742</v>
      </c>
      <c r="C439" s="210" t="s">
        <v>286</v>
      </c>
      <c r="D439" s="210" t="s">
        <v>732</v>
      </c>
      <c r="E439" s="210" t="s">
        <v>136</v>
      </c>
      <c r="F439" s="210" t="s">
        <v>108</v>
      </c>
      <c r="G439" s="210" t="s">
        <v>751</v>
      </c>
      <c r="H439" s="197">
        <v>0</v>
      </c>
      <c r="I439" s="210" t="s">
        <v>229</v>
      </c>
      <c r="J439" s="210">
        <v>2021</v>
      </c>
      <c r="K439" s="210">
        <v>2021</v>
      </c>
      <c r="L439" s="268" t="str">
        <f t="shared" si="88"/>
        <v>Simple</v>
      </c>
      <c r="M439" s="197">
        <v>250250</v>
      </c>
      <c r="N439" s="197">
        <v>0</v>
      </c>
      <c r="O439" s="257">
        <f>IF(ISNA(MATCH(H439,'Operating leases'!$B$32:$B$43,0)),0,INDEX('Operating leases'!$M$32:$S$43,MATCH(H439,'Operating leases'!$B$32:$B$43,0),MATCH(J439,'Operating leases'!$M$11:$S$11,0)))</f>
        <v>0</v>
      </c>
      <c r="P439" s="257">
        <f t="shared" si="89"/>
        <v>250250</v>
      </c>
      <c r="Q439" s="257">
        <f t="shared" si="90"/>
        <v>250250</v>
      </c>
      <c r="R439" s="258">
        <f>INDEX('Escalators '!$M$124:$S$129,MATCH(I439,'Escalators '!$B$124:$B$129,0),MATCH(J439,'Escalators '!$M$113:$S$113,0))</f>
        <v>1.0206154571717865</v>
      </c>
      <c r="S439" s="257">
        <f t="shared" si="91"/>
        <v>0</v>
      </c>
      <c r="T439" s="257">
        <f t="shared" si="92"/>
        <v>0</v>
      </c>
      <c r="U439" s="269">
        <f t="shared" si="93"/>
        <v>255409.01815723957</v>
      </c>
      <c r="V439" s="269">
        <f t="shared" si="94"/>
        <v>255409.01815723957</v>
      </c>
      <c r="W439" s="269">
        <f t="shared" si="95"/>
        <v>255409.01815723957</v>
      </c>
      <c r="X439" s="257">
        <f t="shared" si="96"/>
        <v>255409.01815723957</v>
      </c>
      <c r="Y439" s="270">
        <f>IF(L439="Complex",(INDEX('Escalators '!$M$176:$S$176,MATCH('Forecast capex'!J439,'Escalators '!$M$178:$S$178,0))/12+1)^((K439-J439)*12)-1,0)</f>
        <v>0</v>
      </c>
      <c r="Z439" s="257">
        <f t="shared" si="97"/>
        <v>0</v>
      </c>
      <c r="AA439" s="257">
        <f t="shared" si="98"/>
        <v>0</v>
      </c>
      <c r="AB439" s="269">
        <f t="shared" si="99"/>
        <v>0</v>
      </c>
      <c r="AC439" s="269">
        <f t="shared" si="100"/>
        <v>0</v>
      </c>
      <c r="AD439" s="271" t="str">
        <f>INDEX('Global inputs'!$C$134:$C$171,MATCH(F439,'Global inputs'!$B$134:$B$171,0))</f>
        <v>Asset replacement and renewal</v>
      </c>
      <c r="AE439" s="272">
        <f>IF(OR(H439='Operating leases'!$B$32,H439='Operating leases'!$B$33),"",INDEX('Global inputs'!$C$186:$C$243,MATCH(E439,'Global inputs'!$B$186:$B$243,0)))</f>
        <v>0</v>
      </c>
    </row>
    <row r="440" spans="1:31" s="27" customFormat="1" x14ac:dyDescent="0.2">
      <c r="A440" s="250"/>
      <c r="B440" s="210" t="s">
        <v>742</v>
      </c>
      <c r="C440" s="210" t="s">
        <v>286</v>
      </c>
      <c r="D440" s="210" t="s">
        <v>732</v>
      </c>
      <c r="E440" s="210" t="s">
        <v>138</v>
      </c>
      <c r="F440" s="210" t="s">
        <v>108</v>
      </c>
      <c r="G440" s="210" t="s">
        <v>752</v>
      </c>
      <c r="H440" s="197">
        <v>0</v>
      </c>
      <c r="I440" s="210" t="s">
        <v>221</v>
      </c>
      <c r="J440" s="210">
        <v>2021</v>
      </c>
      <c r="K440" s="210">
        <v>2021</v>
      </c>
      <c r="L440" s="268" t="str">
        <f t="shared" si="88"/>
        <v>Simple</v>
      </c>
      <c r="M440" s="197">
        <v>610792</v>
      </c>
      <c r="N440" s="197">
        <v>0</v>
      </c>
      <c r="O440" s="257">
        <f>IF(ISNA(MATCH(H440,'Operating leases'!$B$32:$B$43,0)),0,INDEX('Operating leases'!$M$32:$S$43,MATCH(H440,'Operating leases'!$B$32:$B$43,0),MATCH(J440,'Operating leases'!$M$11:$S$11,0)))</f>
        <v>0</v>
      </c>
      <c r="P440" s="257">
        <f t="shared" si="89"/>
        <v>610792</v>
      </c>
      <c r="Q440" s="257">
        <f t="shared" si="90"/>
        <v>610792</v>
      </c>
      <c r="R440" s="258">
        <f>INDEX('Escalators '!$M$124:$S$129,MATCH(I440,'Escalators '!$B$124:$B$129,0),MATCH(J440,'Escalators '!$M$113:$S$113,0))</f>
        <v>1.0120900655357943</v>
      </c>
      <c r="S440" s="257">
        <f t="shared" si="91"/>
        <v>0</v>
      </c>
      <c r="T440" s="257">
        <f t="shared" si="92"/>
        <v>0</v>
      </c>
      <c r="U440" s="269">
        <f t="shared" si="93"/>
        <v>618176.5153087388</v>
      </c>
      <c r="V440" s="269">
        <f t="shared" si="94"/>
        <v>618176.5153087388</v>
      </c>
      <c r="W440" s="269">
        <f t="shared" si="95"/>
        <v>618176.5153087388</v>
      </c>
      <c r="X440" s="257">
        <f t="shared" si="96"/>
        <v>618176.5153087388</v>
      </c>
      <c r="Y440" s="270">
        <f>IF(L440="Complex",(INDEX('Escalators '!$M$176:$S$176,MATCH('Forecast capex'!J440,'Escalators '!$M$178:$S$178,0))/12+1)^((K440-J440)*12)-1,0)</f>
        <v>0</v>
      </c>
      <c r="Z440" s="257">
        <f t="shared" si="97"/>
        <v>0</v>
      </c>
      <c r="AA440" s="257">
        <f t="shared" si="98"/>
        <v>0</v>
      </c>
      <c r="AB440" s="269">
        <f t="shared" si="99"/>
        <v>0</v>
      </c>
      <c r="AC440" s="269">
        <f t="shared" si="100"/>
        <v>0</v>
      </c>
      <c r="AD440" s="271" t="str">
        <f>INDEX('Global inputs'!$C$134:$C$171,MATCH(F440,'Global inputs'!$B$134:$B$171,0))</f>
        <v>Asset replacement and renewal</v>
      </c>
      <c r="AE440" s="272">
        <f>IF(OR(H440='Operating leases'!$B$32,H440='Operating leases'!$B$33),"",INDEX('Global inputs'!$C$186:$C$243,MATCH(E440,'Global inputs'!$B$186:$B$243,0)))</f>
        <v>0.08</v>
      </c>
    </row>
    <row r="441" spans="1:31" s="27" customFormat="1" x14ac:dyDescent="0.2">
      <c r="A441" s="250"/>
      <c r="B441" s="210" t="s">
        <v>742</v>
      </c>
      <c r="C441" s="210" t="s">
        <v>286</v>
      </c>
      <c r="D441" s="210" t="s">
        <v>732</v>
      </c>
      <c r="E441" s="210" t="s">
        <v>138</v>
      </c>
      <c r="F441" s="210" t="s">
        <v>108</v>
      </c>
      <c r="G441" s="210" t="s">
        <v>752</v>
      </c>
      <c r="H441" s="197">
        <v>0</v>
      </c>
      <c r="I441" s="210" t="s">
        <v>139</v>
      </c>
      <c r="J441" s="210">
        <v>2021</v>
      </c>
      <c r="K441" s="210">
        <v>2021</v>
      </c>
      <c r="L441" s="268" t="str">
        <f t="shared" si="88"/>
        <v>Simple</v>
      </c>
      <c r="M441" s="197">
        <v>916188</v>
      </c>
      <c r="N441" s="197">
        <v>0</v>
      </c>
      <c r="O441" s="257">
        <f>IF(ISNA(MATCH(H441,'Operating leases'!$B$32:$B$43,0)),0,INDEX('Operating leases'!$M$32:$S$43,MATCH(H441,'Operating leases'!$B$32:$B$43,0),MATCH(J441,'Operating leases'!$M$11:$S$11,0)))</f>
        <v>0</v>
      </c>
      <c r="P441" s="257">
        <f t="shared" si="89"/>
        <v>916188</v>
      </c>
      <c r="Q441" s="257">
        <f t="shared" si="90"/>
        <v>916188</v>
      </c>
      <c r="R441" s="258">
        <f>INDEX('Escalators '!$M$124:$S$129,MATCH(I441,'Escalators '!$B$124:$B$129,0),MATCH(J441,'Escalators '!$M$113:$S$113,0))</f>
        <v>1.005513233090898</v>
      </c>
      <c r="S441" s="257">
        <f t="shared" si="91"/>
        <v>0</v>
      </c>
      <c r="T441" s="257">
        <f t="shared" si="92"/>
        <v>0</v>
      </c>
      <c r="U441" s="269">
        <f t="shared" si="93"/>
        <v>921239.15799908363</v>
      </c>
      <c r="V441" s="269">
        <f t="shared" si="94"/>
        <v>921239.15799908363</v>
      </c>
      <c r="W441" s="269">
        <f t="shared" si="95"/>
        <v>921239.15799908363</v>
      </c>
      <c r="X441" s="257">
        <f t="shared" si="96"/>
        <v>921239.15799908363</v>
      </c>
      <c r="Y441" s="270">
        <f>IF(L441="Complex",(INDEX('Escalators '!$M$176:$S$176,MATCH('Forecast capex'!J441,'Escalators '!$M$178:$S$178,0))/12+1)^((K441-J441)*12)-1,0)</f>
        <v>0</v>
      </c>
      <c r="Z441" s="257">
        <f t="shared" si="97"/>
        <v>0</v>
      </c>
      <c r="AA441" s="257">
        <f t="shared" si="98"/>
        <v>0</v>
      </c>
      <c r="AB441" s="269">
        <f t="shared" si="99"/>
        <v>0</v>
      </c>
      <c r="AC441" s="269">
        <f t="shared" si="100"/>
        <v>0</v>
      </c>
      <c r="AD441" s="271" t="str">
        <f>INDEX('Global inputs'!$C$134:$C$171,MATCH(F441,'Global inputs'!$B$134:$B$171,0))</f>
        <v>Asset replacement and renewal</v>
      </c>
      <c r="AE441" s="272">
        <f>IF(OR(H441='Operating leases'!$B$32,H441='Operating leases'!$B$33),"",INDEX('Global inputs'!$C$186:$C$243,MATCH(E441,'Global inputs'!$B$186:$B$243,0)))</f>
        <v>0.08</v>
      </c>
    </row>
    <row r="442" spans="1:31" s="27" customFormat="1" x14ac:dyDescent="0.2">
      <c r="A442" s="250"/>
      <c r="B442" s="210" t="s">
        <v>742</v>
      </c>
      <c r="C442" s="210" t="s">
        <v>286</v>
      </c>
      <c r="D442" s="210" t="s">
        <v>732</v>
      </c>
      <c r="E442" s="210" t="s">
        <v>140</v>
      </c>
      <c r="F442" s="210" t="s">
        <v>108</v>
      </c>
      <c r="G442" s="210" t="s">
        <v>733</v>
      </c>
      <c r="H442" s="197">
        <v>0</v>
      </c>
      <c r="I442" s="210" t="s">
        <v>221</v>
      </c>
      <c r="J442" s="210">
        <v>2021</v>
      </c>
      <c r="K442" s="210">
        <v>2021</v>
      </c>
      <c r="L442" s="268" t="str">
        <f t="shared" si="88"/>
        <v>Simple</v>
      </c>
      <c r="M442" s="197">
        <v>201600</v>
      </c>
      <c r="N442" s="197">
        <v>0</v>
      </c>
      <c r="O442" s="257">
        <f>IF(ISNA(MATCH(H442,'Operating leases'!$B$32:$B$43,0)),0,INDEX('Operating leases'!$M$32:$S$43,MATCH(H442,'Operating leases'!$B$32:$B$43,0),MATCH(J442,'Operating leases'!$M$11:$S$11,0)))</f>
        <v>0</v>
      </c>
      <c r="P442" s="257">
        <f t="shared" si="89"/>
        <v>201600</v>
      </c>
      <c r="Q442" s="257">
        <f t="shared" si="90"/>
        <v>201600</v>
      </c>
      <c r="R442" s="258">
        <f>INDEX('Escalators '!$M$124:$S$129,MATCH(I442,'Escalators '!$B$124:$B$129,0),MATCH(J442,'Escalators '!$M$113:$S$113,0))</f>
        <v>1.0120900655357943</v>
      </c>
      <c r="S442" s="257">
        <f t="shared" si="91"/>
        <v>0</v>
      </c>
      <c r="T442" s="257">
        <f t="shared" si="92"/>
        <v>0</v>
      </c>
      <c r="U442" s="269">
        <f t="shared" si="93"/>
        <v>204037.35721201613</v>
      </c>
      <c r="V442" s="269">
        <f t="shared" si="94"/>
        <v>204037.35721201613</v>
      </c>
      <c r="W442" s="269">
        <f t="shared" si="95"/>
        <v>204037.35721201613</v>
      </c>
      <c r="X442" s="257">
        <f t="shared" si="96"/>
        <v>204037.35721201613</v>
      </c>
      <c r="Y442" s="270">
        <f>IF(L442="Complex",(INDEX('Escalators '!$M$176:$S$176,MATCH('Forecast capex'!J442,'Escalators '!$M$178:$S$178,0))/12+1)^((K442-J442)*12)-1,0)</f>
        <v>0</v>
      </c>
      <c r="Z442" s="257">
        <f t="shared" si="97"/>
        <v>0</v>
      </c>
      <c r="AA442" s="257">
        <f t="shared" si="98"/>
        <v>0</v>
      </c>
      <c r="AB442" s="269">
        <f t="shared" si="99"/>
        <v>0</v>
      </c>
      <c r="AC442" s="269">
        <f t="shared" si="100"/>
        <v>0</v>
      </c>
      <c r="AD442" s="271" t="str">
        <f>INDEX('Global inputs'!$C$134:$C$171,MATCH(F442,'Global inputs'!$B$134:$B$171,0))</f>
        <v>Asset replacement and renewal</v>
      </c>
      <c r="AE442" s="272">
        <f>IF(OR(H442='Operating leases'!$B$32,H442='Operating leases'!$B$33),"",INDEX('Global inputs'!$C$186:$C$243,MATCH(E442,'Global inputs'!$B$186:$B$243,0)))</f>
        <v>0.08</v>
      </c>
    </row>
    <row r="443" spans="1:31" s="27" customFormat="1" x14ac:dyDescent="0.2">
      <c r="A443" s="250"/>
      <c r="B443" s="210" t="s">
        <v>742</v>
      </c>
      <c r="C443" s="210" t="s">
        <v>286</v>
      </c>
      <c r="D443" s="210" t="s">
        <v>732</v>
      </c>
      <c r="E443" s="210" t="s">
        <v>140</v>
      </c>
      <c r="F443" s="210" t="s">
        <v>108</v>
      </c>
      <c r="G443" s="210" t="s">
        <v>733</v>
      </c>
      <c r="H443" s="197">
        <v>0</v>
      </c>
      <c r="I443" s="210" t="s">
        <v>142</v>
      </c>
      <c r="J443" s="210">
        <v>2021</v>
      </c>
      <c r="K443" s="210">
        <v>2021</v>
      </c>
      <c r="L443" s="268" t="str">
        <f t="shared" si="88"/>
        <v>Simple</v>
      </c>
      <c r="M443" s="197">
        <v>302400</v>
      </c>
      <c r="N443" s="197">
        <v>0</v>
      </c>
      <c r="O443" s="257">
        <f>IF(ISNA(MATCH(H443,'Operating leases'!$B$32:$B$43,0)),0,INDEX('Operating leases'!$M$32:$S$43,MATCH(H443,'Operating leases'!$B$32:$B$43,0),MATCH(J443,'Operating leases'!$M$11:$S$11,0)))</f>
        <v>0</v>
      </c>
      <c r="P443" s="257">
        <f t="shared" si="89"/>
        <v>302400</v>
      </c>
      <c r="Q443" s="257">
        <f t="shared" si="90"/>
        <v>302400</v>
      </c>
      <c r="R443" s="258">
        <f>INDEX('Escalators '!$M$124:$S$129,MATCH(I443,'Escalators '!$B$124:$B$129,0),MATCH(J443,'Escalators '!$M$113:$S$113,0))</f>
        <v>1.0199504944721745</v>
      </c>
      <c r="S443" s="257">
        <f t="shared" si="91"/>
        <v>0</v>
      </c>
      <c r="T443" s="257">
        <f t="shared" si="92"/>
        <v>0</v>
      </c>
      <c r="U443" s="269">
        <f t="shared" si="93"/>
        <v>308433.02952838555</v>
      </c>
      <c r="V443" s="269">
        <f t="shared" si="94"/>
        <v>308433.02952838555</v>
      </c>
      <c r="W443" s="269">
        <f t="shared" si="95"/>
        <v>308433.02952838555</v>
      </c>
      <c r="X443" s="257">
        <f t="shared" si="96"/>
        <v>308433.02952838555</v>
      </c>
      <c r="Y443" s="270">
        <f>IF(L443="Complex",(INDEX('Escalators '!$M$176:$S$176,MATCH('Forecast capex'!J443,'Escalators '!$M$178:$S$178,0))/12+1)^((K443-J443)*12)-1,0)</f>
        <v>0</v>
      </c>
      <c r="Z443" s="257">
        <f t="shared" si="97"/>
        <v>0</v>
      </c>
      <c r="AA443" s="257">
        <f t="shared" si="98"/>
        <v>0</v>
      </c>
      <c r="AB443" s="269">
        <f t="shared" si="99"/>
        <v>0</v>
      </c>
      <c r="AC443" s="269">
        <f t="shared" si="100"/>
        <v>0</v>
      </c>
      <c r="AD443" s="271" t="str">
        <f>INDEX('Global inputs'!$C$134:$C$171,MATCH(F443,'Global inputs'!$B$134:$B$171,0))</f>
        <v>Asset replacement and renewal</v>
      </c>
      <c r="AE443" s="272">
        <f>IF(OR(H443='Operating leases'!$B$32,H443='Operating leases'!$B$33),"",INDEX('Global inputs'!$C$186:$C$243,MATCH(E443,'Global inputs'!$B$186:$B$243,0)))</f>
        <v>0.08</v>
      </c>
    </row>
    <row r="444" spans="1:31" s="27" customFormat="1" x14ac:dyDescent="0.2">
      <c r="A444" s="250"/>
      <c r="B444" s="210" t="s">
        <v>742</v>
      </c>
      <c r="C444" s="210" t="s">
        <v>286</v>
      </c>
      <c r="D444" s="210" t="s">
        <v>732</v>
      </c>
      <c r="E444" s="210" t="s">
        <v>141</v>
      </c>
      <c r="F444" s="210" t="s">
        <v>108</v>
      </c>
      <c r="G444" s="210" t="s">
        <v>734</v>
      </c>
      <c r="H444" s="197">
        <v>0</v>
      </c>
      <c r="I444" s="210" t="s">
        <v>221</v>
      </c>
      <c r="J444" s="210">
        <v>2021</v>
      </c>
      <c r="K444" s="210">
        <v>2021</v>
      </c>
      <c r="L444" s="268" t="str">
        <f t="shared" si="88"/>
        <v>Simple</v>
      </c>
      <c r="M444" s="197">
        <v>47040</v>
      </c>
      <c r="N444" s="197">
        <v>0</v>
      </c>
      <c r="O444" s="257">
        <f>IF(ISNA(MATCH(H444,'Operating leases'!$B$32:$B$43,0)),0,INDEX('Operating leases'!$M$32:$S$43,MATCH(H444,'Operating leases'!$B$32:$B$43,0),MATCH(J444,'Operating leases'!$M$11:$S$11,0)))</f>
        <v>0</v>
      </c>
      <c r="P444" s="257">
        <f t="shared" si="89"/>
        <v>47040</v>
      </c>
      <c r="Q444" s="257">
        <f t="shared" si="90"/>
        <v>47040</v>
      </c>
      <c r="R444" s="258">
        <f>INDEX('Escalators '!$M$124:$S$129,MATCH(I444,'Escalators '!$B$124:$B$129,0),MATCH(J444,'Escalators '!$M$113:$S$113,0))</f>
        <v>1.0120900655357943</v>
      </c>
      <c r="S444" s="257">
        <f t="shared" si="91"/>
        <v>0</v>
      </c>
      <c r="T444" s="257">
        <f t="shared" si="92"/>
        <v>0</v>
      </c>
      <c r="U444" s="269">
        <f t="shared" si="93"/>
        <v>47608.716682803766</v>
      </c>
      <c r="V444" s="269">
        <f t="shared" si="94"/>
        <v>47608.716682803766</v>
      </c>
      <c r="W444" s="269">
        <f t="shared" si="95"/>
        <v>47608.716682803766</v>
      </c>
      <c r="X444" s="257">
        <f t="shared" si="96"/>
        <v>47608.716682803766</v>
      </c>
      <c r="Y444" s="270">
        <f>IF(L444="Complex",(INDEX('Escalators '!$M$176:$S$176,MATCH('Forecast capex'!J444,'Escalators '!$M$178:$S$178,0))/12+1)^((K444-J444)*12)-1,0)</f>
        <v>0</v>
      </c>
      <c r="Z444" s="257">
        <f t="shared" si="97"/>
        <v>0</v>
      </c>
      <c r="AA444" s="257">
        <f t="shared" si="98"/>
        <v>0</v>
      </c>
      <c r="AB444" s="269">
        <f t="shared" si="99"/>
        <v>0</v>
      </c>
      <c r="AC444" s="269">
        <f t="shared" si="100"/>
        <v>0</v>
      </c>
      <c r="AD444" s="271" t="str">
        <f>INDEX('Global inputs'!$C$134:$C$171,MATCH(F444,'Global inputs'!$B$134:$B$171,0))</f>
        <v>Asset replacement and renewal</v>
      </c>
      <c r="AE444" s="272">
        <f>IF(OR(H444='Operating leases'!$B$32,H444='Operating leases'!$B$33),"",INDEX('Global inputs'!$C$186:$C$243,MATCH(E444,'Global inputs'!$B$186:$B$243,0)))</f>
        <v>0.08</v>
      </c>
    </row>
    <row r="445" spans="1:31" s="27" customFormat="1" x14ac:dyDescent="0.2">
      <c r="A445" s="250"/>
      <c r="B445" s="210" t="s">
        <v>742</v>
      </c>
      <c r="C445" s="210" t="s">
        <v>286</v>
      </c>
      <c r="D445" s="210" t="s">
        <v>732</v>
      </c>
      <c r="E445" s="210" t="s">
        <v>141</v>
      </c>
      <c r="F445" s="210" t="s">
        <v>108</v>
      </c>
      <c r="G445" s="210" t="s">
        <v>734</v>
      </c>
      <c r="H445" s="197">
        <v>0</v>
      </c>
      <c r="I445" s="210" t="s">
        <v>142</v>
      </c>
      <c r="J445" s="210">
        <v>2021</v>
      </c>
      <c r="K445" s="210">
        <v>2021</v>
      </c>
      <c r="L445" s="268" t="str">
        <f t="shared" si="88"/>
        <v>Simple</v>
      </c>
      <c r="M445" s="197">
        <v>188160</v>
      </c>
      <c r="N445" s="197">
        <v>0</v>
      </c>
      <c r="O445" s="257">
        <f>IF(ISNA(MATCH(H445,'Operating leases'!$B$32:$B$43,0)),0,INDEX('Operating leases'!$M$32:$S$43,MATCH(H445,'Operating leases'!$B$32:$B$43,0),MATCH(J445,'Operating leases'!$M$11:$S$11,0)))</f>
        <v>0</v>
      </c>
      <c r="P445" s="257">
        <f t="shared" si="89"/>
        <v>188160</v>
      </c>
      <c r="Q445" s="257">
        <f t="shared" si="90"/>
        <v>188160</v>
      </c>
      <c r="R445" s="258">
        <f>INDEX('Escalators '!$M$124:$S$129,MATCH(I445,'Escalators '!$B$124:$B$129,0),MATCH(J445,'Escalators '!$M$113:$S$113,0))</f>
        <v>1.0199504944721745</v>
      </c>
      <c r="S445" s="257">
        <f t="shared" si="91"/>
        <v>0</v>
      </c>
      <c r="T445" s="257">
        <f t="shared" si="92"/>
        <v>0</v>
      </c>
      <c r="U445" s="269">
        <f t="shared" si="93"/>
        <v>191913.88503988434</v>
      </c>
      <c r="V445" s="269">
        <f t="shared" si="94"/>
        <v>191913.88503988434</v>
      </c>
      <c r="W445" s="269">
        <f t="shared" si="95"/>
        <v>191913.88503988434</v>
      </c>
      <c r="X445" s="257">
        <f t="shared" si="96"/>
        <v>191913.88503988434</v>
      </c>
      <c r="Y445" s="270">
        <f>IF(L445="Complex",(INDEX('Escalators '!$M$176:$S$176,MATCH('Forecast capex'!J445,'Escalators '!$M$178:$S$178,0))/12+1)^((K445-J445)*12)-1,0)</f>
        <v>0</v>
      </c>
      <c r="Z445" s="257">
        <f t="shared" si="97"/>
        <v>0</v>
      </c>
      <c r="AA445" s="257">
        <f t="shared" si="98"/>
        <v>0</v>
      </c>
      <c r="AB445" s="269">
        <f t="shared" si="99"/>
        <v>0</v>
      </c>
      <c r="AC445" s="269">
        <f t="shared" si="100"/>
        <v>0</v>
      </c>
      <c r="AD445" s="271" t="str">
        <f>INDEX('Global inputs'!$C$134:$C$171,MATCH(F445,'Global inputs'!$B$134:$B$171,0))</f>
        <v>Asset replacement and renewal</v>
      </c>
      <c r="AE445" s="272">
        <f>IF(OR(H445='Operating leases'!$B$32,H445='Operating leases'!$B$33),"",INDEX('Global inputs'!$C$186:$C$243,MATCH(E445,'Global inputs'!$B$186:$B$243,0)))</f>
        <v>0.08</v>
      </c>
    </row>
    <row r="446" spans="1:31" s="27" customFormat="1" x14ac:dyDescent="0.2">
      <c r="A446" s="250"/>
      <c r="B446" s="210" t="s">
        <v>742</v>
      </c>
      <c r="C446" s="210" t="s">
        <v>286</v>
      </c>
      <c r="D446" s="210" t="s">
        <v>735</v>
      </c>
      <c r="E446" s="210" t="s">
        <v>144</v>
      </c>
      <c r="F446" s="210" t="s">
        <v>108</v>
      </c>
      <c r="G446" s="210" t="s">
        <v>736</v>
      </c>
      <c r="H446" s="197">
        <v>0</v>
      </c>
      <c r="I446" s="210" t="s">
        <v>221</v>
      </c>
      <c r="J446" s="210">
        <v>2021</v>
      </c>
      <c r="K446" s="210">
        <v>2021</v>
      </c>
      <c r="L446" s="268" t="str">
        <f t="shared" si="88"/>
        <v>Simple</v>
      </c>
      <c r="M446" s="197">
        <v>117600</v>
      </c>
      <c r="N446" s="197">
        <v>0</v>
      </c>
      <c r="O446" s="257">
        <f>IF(ISNA(MATCH(H446,'Operating leases'!$B$32:$B$43,0)),0,INDEX('Operating leases'!$M$32:$S$43,MATCH(H446,'Operating leases'!$B$32:$B$43,0),MATCH(J446,'Operating leases'!$M$11:$S$11,0)))</f>
        <v>0</v>
      </c>
      <c r="P446" s="257">
        <f t="shared" si="89"/>
        <v>117600</v>
      </c>
      <c r="Q446" s="257">
        <f t="shared" si="90"/>
        <v>117600</v>
      </c>
      <c r="R446" s="258">
        <f>INDEX('Escalators '!$M$124:$S$129,MATCH(I446,'Escalators '!$B$124:$B$129,0),MATCH(J446,'Escalators '!$M$113:$S$113,0))</f>
        <v>1.0120900655357943</v>
      </c>
      <c r="S446" s="257">
        <f t="shared" si="91"/>
        <v>0</v>
      </c>
      <c r="T446" s="257">
        <f t="shared" si="92"/>
        <v>0</v>
      </c>
      <c r="U446" s="269">
        <f t="shared" si="93"/>
        <v>119021.79170700941</v>
      </c>
      <c r="V446" s="269">
        <f t="shared" si="94"/>
        <v>119021.79170700941</v>
      </c>
      <c r="W446" s="269">
        <f t="shared" si="95"/>
        <v>119021.79170700941</v>
      </c>
      <c r="X446" s="257">
        <f t="shared" si="96"/>
        <v>119021.79170700941</v>
      </c>
      <c r="Y446" s="270">
        <f>IF(L446="Complex",(INDEX('Escalators '!$M$176:$S$176,MATCH('Forecast capex'!J446,'Escalators '!$M$178:$S$178,0))/12+1)^((K446-J446)*12)-1,0)</f>
        <v>0</v>
      </c>
      <c r="Z446" s="257">
        <f t="shared" si="97"/>
        <v>0</v>
      </c>
      <c r="AA446" s="257">
        <f t="shared" si="98"/>
        <v>0</v>
      </c>
      <c r="AB446" s="269">
        <f t="shared" si="99"/>
        <v>0</v>
      </c>
      <c r="AC446" s="269">
        <f t="shared" si="100"/>
        <v>0</v>
      </c>
      <c r="AD446" s="271" t="str">
        <f>INDEX('Global inputs'!$C$134:$C$171,MATCH(F446,'Global inputs'!$B$134:$B$171,0))</f>
        <v>Asset replacement and renewal</v>
      </c>
      <c r="AE446" s="272">
        <f>IF(OR(H446='Operating leases'!$B$32,H446='Operating leases'!$B$33),"",INDEX('Global inputs'!$C$186:$C$243,MATCH(E446,'Global inputs'!$B$186:$B$243,0)))</f>
        <v>0.08</v>
      </c>
    </row>
    <row r="447" spans="1:31" s="27" customFormat="1" x14ac:dyDescent="0.2">
      <c r="A447" s="250"/>
      <c r="B447" s="210" t="s">
        <v>742</v>
      </c>
      <c r="C447" s="210" t="s">
        <v>286</v>
      </c>
      <c r="D447" s="210" t="s">
        <v>735</v>
      </c>
      <c r="E447" s="210" t="s">
        <v>144</v>
      </c>
      <c r="F447" s="210" t="s">
        <v>108</v>
      </c>
      <c r="G447" s="210" t="s">
        <v>736</v>
      </c>
      <c r="H447" s="197">
        <v>0</v>
      </c>
      <c r="I447" s="210" t="s">
        <v>229</v>
      </c>
      <c r="J447" s="210">
        <v>2021</v>
      </c>
      <c r="K447" s="210">
        <v>2021</v>
      </c>
      <c r="L447" s="268" t="str">
        <f t="shared" si="88"/>
        <v>Simple</v>
      </c>
      <c r="M447" s="197">
        <v>29400</v>
      </c>
      <c r="N447" s="197">
        <v>0</v>
      </c>
      <c r="O447" s="257">
        <f>IF(ISNA(MATCH(H447,'Operating leases'!$B$32:$B$43,0)),0,INDEX('Operating leases'!$M$32:$S$43,MATCH(H447,'Operating leases'!$B$32:$B$43,0),MATCH(J447,'Operating leases'!$M$11:$S$11,0)))</f>
        <v>0</v>
      </c>
      <c r="P447" s="257">
        <f t="shared" si="89"/>
        <v>29400</v>
      </c>
      <c r="Q447" s="257">
        <f t="shared" si="90"/>
        <v>29400</v>
      </c>
      <c r="R447" s="258">
        <f>INDEX('Escalators '!$M$124:$S$129,MATCH(I447,'Escalators '!$B$124:$B$129,0),MATCH(J447,'Escalators '!$M$113:$S$113,0))</f>
        <v>1.0206154571717865</v>
      </c>
      <c r="S447" s="257">
        <f t="shared" si="91"/>
        <v>0</v>
      </c>
      <c r="T447" s="257">
        <f t="shared" si="92"/>
        <v>0</v>
      </c>
      <c r="U447" s="269">
        <f t="shared" si="93"/>
        <v>30006.094440850524</v>
      </c>
      <c r="V447" s="269">
        <f t="shared" si="94"/>
        <v>30006.094440850524</v>
      </c>
      <c r="W447" s="269">
        <f t="shared" si="95"/>
        <v>30006.094440850524</v>
      </c>
      <c r="X447" s="257">
        <f t="shared" si="96"/>
        <v>30006.094440850524</v>
      </c>
      <c r="Y447" s="270">
        <f>IF(L447="Complex",(INDEX('Escalators '!$M$176:$S$176,MATCH('Forecast capex'!J447,'Escalators '!$M$178:$S$178,0))/12+1)^((K447-J447)*12)-1,0)</f>
        <v>0</v>
      </c>
      <c r="Z447" s="257">
        <f t="shared" si="97"/>
        <v>0</v>
      </c>
      <c r="AA447" s="257">
        <f t="shared" si="98"/>
        <v>0</v>
      </c>
      <c r="AB447" s="269">
        <f t="shared" si="99"/>
        <v>0</v>
      </c>
      <c r="AC447" s="269">
        <f t="shared" si="100"/>
        <v>0</v>
      </c>
      <c r="AD447" s="271" t="str">
        <f>INDEX('Global inputs'!$C$134:$C$171,MATCH(F447,'Global inputs'!$B$134:$B$171,0))</f>
        <v>Asset replacement and renewal</v>
      </c>
      <c r="AE447" s="272">
        <f>IF(OR(H447='Operating leases'!$B$32,H447='Operating leases'!$B$33),"",INDEX('Global inputs'!$C$186:$C$243,MATCH(E447,'Global inputs'!$B$186:$B$243,0)))</f>
        <v>0.08</v>
      </c>
    </row>
    <row r="448" spans="1:31" s="27" customFormat="1" x14ac:dyDescent="0.2">
      <c r="A448" s="250"/>
      <c r="B448" s="210" t="s">
        <v>742</v>
      </c>
      <c r="C448" s="210" t="s">
        <v>286</v>
      </c>
      <c r="D448" s="210" t="s">
        <v>735</v>
      </c>
      <c r="E448" s="210" t="s">
        <v>147</v>
      </c>
      <c r="F448" s="210" t="s">
        <v>108</v>
      </c>
      <c r="G448" s="210" t="s">
        <v>744</v>
      </c>
      <c r="H448" s="197">
        <v>0</v>
      </c>
      <c r="I448" s="210" t="s">
        <v>221</v>
      </c>
      <c r="J448" s="210">
        <v>2021</v>
      </c>
      <c r="K448" s="210">
        <v>2021</v>
      </c>
      <c r="L448" s="268" t="str">
        <f t="shared" si="88"/>
        <v>Simple</v>
      </c>
      <c r="M448" s="197">
        <v>65855.411999999997</v>
      </c>
      <c r="N448" s="197">
        <v>0</v>
      </c>
      <c r="O448" s="257">
        <f>IF(ISNA(MATCH(H448,'Operating leases'!$B$32:$B$43,0)),0,INDEX('Operating leases'!$M$32:$S$43,MATCH(H448,'Operating leases'!$B$32:$B$43,0),MATCH(J448,'Operating leases'!$M$11:$S$11,0)))</f>
        <v>0</v>
      </c>
      <c r="P448" s="257">
        <f t="shared" si="89"/>
        <v>65855.411999999997</v>
      </c>
      <c r="Q448" s="257">
        <f t="shared" si="90"/>
        <v>65855.411999999997</v>
      </c>
      <c r="R448" s="258">
        <f>INDEX('Escalators '!$M$124:$S$129,MATCH(I448,'Escalators '!$B$124:$B$129,0),MATCH(J448,'Escalators '!$M$113:$S$113,0))</f>
        <v>1.0120900655357943</v>
      </c>
      <c r="S448" s="257">
        <f t="shared" si="91"/>
        <v>0</v>
      </c>
      <c r="T448" s="257">
        <f t="shared" si="92"/>
        <v>0</v>
      </c>
      <c r="U448" s="269">
        <f t="shared" si="93"/>
        <v>66651.608246966731</v>
      </c>
      <c r="V448" s="269">
        <f t="shared" si="94"/>
        <v>66651.608246966731</v>
      </c>
      <c r="W448" s="269">
        <f t="shared" si="95"/>
        <v>66651.608246966731</v>
      </c>
      <c r="X448" s="257">
        <f t="shared" si="96"/>
        <v>66651.608246966731</v>
      </c>
      <c r="Y448" s="270">
        <f>IF(L448="Complex",(INDEX('Escalators '!$M$176:$S$176,MATCH('Forecast capex'!J448,'Escalators '!$M$178:$S$178,0))/12+1)^((K448-J448)*12)-1,0)</f>
        <v>0</v>
      </c>
      <c r="Z448" s="257">
        <f t="shared" si="97"/>
        <v>0</v>
      </c>
      <c r="AA448" s="257">
        <f t="shared" si="98"/>
        <v>0</v>
      </c>
      <c r="AB448" s="269">
        <f t="shared" si="99"/>
        <v>0</v>
      </c>
      <c r="AC448" s="269">
        <f t="shared" si="100"/>
        <v>0</v>
      </c>
      <c r="AD448" s="271" t="str">
        <f>INDEX('Global inputs'!$C$134:$C$171,MATCH(F448,'Global inputs'!$B$134:$B$171,0))</f>
        <v>Asset replacement and renewal</v>
      </c>
      <c r="AE448" s="272">
        <f>IF(OR(H448='Operating leases'!$B$32,H448='Operating leases'!$B$33),"",INDEX('Global inputs'!$C$186:$C$243,MATCH(E448,'Global inputs'!$B$186:$B$243,0)))</f>
        <v>0.08</v>
      </c>
    </row>
    <row r="449" spans="1:31" s="27" customFormat="1" x14ac:dyDescent="0.2">
      <c r="A449" s="250"/>
      <c r="B449" s="210" t="s">
        <v>742</v>
      </c>
      <c r="C449" s="210" t="s">
        <v>286</v>
      </c>
      <c r="D449" s="210" t="s">
        <v>735</v>
      </c>
      <c r="E449" s="210" t="s">
        <v>147</v>
      </c>
      <c r="F449" s="210" t="s">
        <v>108</v>
      </c>
      <c r="G449" s="210" t="s">
        <v>744</v>
      </c>
      <c r="H449" s="197">
        <v>0</v>
      </c>
      <c r="I449" s="210" t="s">
        <v>229</v>
      </c>
      <c r="J449" s="210">
        <v>2021</v>
      </c>
      <c r="K449" s="210">
        <v>2021</v>
      </c>
      <c r="L449" s="268" t="str">
        <f t="shared" si="88"/>
        <v>Simple</v>
      </c>
      <c r="M449" s="197">
        <v>16463.852999999999</v>
      </c>
      <c r="N449" s="197">
        <v>0</v>
      </c>
      <c r="O449" s="257">
        <f>IF(ISNA(MATCH(H449,'Operating leases'!$B$32:$B$43,0)),0,INDEX('Operating leases'!$M$32:$S$43,MATCH(H449,'Operating leases'!$B$32:$B$43,0),MATCH(J449,'Operating leases'!$M$11:$S$11,0)))</f>
        <v>0</v>
      </c>
      <c r="P449" s="257">
        <f t="shared" si="89"/>
        <v>16463.852999999999</v>
      </c>
      <c r="Q449" s="257">
        <f t="shared" si="90"/>
        <v>16463.852999999999</v>
      </c>
      <c r="R449" s="258">
        <f>INDEX('Escalators '!$M$124:$S$129,MATCH(I449,'Escalators '!$B$124:$B$129,0),MATCH(J449,'Escalators '!$M$113:$S$113,0))</f>
        <v>1.0206154571717865</v>
      </c>
      <c r="S449" s="257">
        <f t="shared" si="91"/>
        <v>0</v>
      </c>
      <c r="T449" s="257">
        <f t="shared" si="92"/>
        <v>0</v>
      </c>
      <c r="U449" s="269">
        <f t="shared" si="93"/>
        <v>16803.262856404086</v>
      </c>
      <c r="V449" s="269">
        <f t="shared" si="94"/>
        <v>16803.262856404086</v>
      </c>
      <c r="W449" s="269">
        <f t="shared" si="95"/>
        <v>16803.262856404086</v>
      </c>
      <c r="X449" s="257">
        <f t="shared" si="96"/>
        <v>16803.262856404086</v>
      </c>
      <c r="Y449" s="270">
        <f>IF(L449="Complex",(INDEX('Escalators '!$M$176:$S$176,MATCH('Forecast capex'!J449,'Escalators '!$M$178:$S$178,0))/12+1)^((K449-J449)*12)-1,0)</f>
        <v>0</v>
      </c>
      <c r="Z449" s="257">
        <f t="shared" si="97"/>
        <v>0</v>
      </c>
      <c r="AA449" s="257">
        <f t="shared" si="98"/>
        <v>0</v>
      </c>
      <c r="AB449" s="269">
        <f t="shared" si="99"/>
        <v>0</v>
      </c>
      <c r="AC449" s="269">
        <f t="shared" si="100"/>
        <v>0</v>
      </c>
      <c r="AD449" s="271" t="str">
        <f>INDEX('Global inputs'!$C$134:$C$171,MATCH(F449,'Global inputs'!$B$134:$B$171,0))</f>
        <v>Asset replacement and renewal</v>
      </c>
      <c r="AE449" s="272">
        <f>IF(OR(H449='Operating leases'!$B$32,H449='Operating leases'!$B$33),"",INDEX('Global inputs'!$C$186:$C$243,MATCH(E449,'Global inputs'!$B$186:$B$243,0)))</f>
        <v>0.08</v>
      </c>
    </row>
    <row r="450" spans="1:31" s="27" customFormat="1" x14ac:dyDescent="0.2">
      <c r="A450" s="250"/>
      <c r="B450" s="210" t="s">
        <v>742</v>
      </c>
      <c r="C450" s="210" t="s">
        <v>288</v>
      </c>
      <c r="D450" s="210" t="s">
        <v>223</v>
      </c>
      <c r="E450" s="210" t="s">
        <v>156</v>
      </c>
      <c r="F450" s="210" t="s">
        <v>108</v>
      </c>
      <c r="G450" s="210" t="s">
        <v>727</v>
      </c>
      <c r="H450" s="197">
        <v>0</v>
      </c>
      <c r="I450" s="210" t="s">
        <v>221</v>
      </c>
      <c r="J450" s="210">
        <v>2021</v>
      </c>
      <c r="K450" s="210">
        <v>2021</v>
      </c>
      <c r="L450" s="268" t="str">
        <f t="shared" si="88"/>
        <v>Simple</v>
      </c>
      <c r="M450" s="197">
        <v>25725</v>
      </c>
      <c r="N450" s="197">
        <v>0</v>
      </c>
      <c r="O450" s="257">
        <f>IF(ISNA(MATCH(H450,'Operating leases'!$B$32:$B$43,0)),0,INDEX('Operating leases'!$M$32:$S$43,MATCH(H450,'Operating leases'!$B$32:$B$43,0),MATCH(J450,'Operating leases'!$M$11:$S$11,0)))</f>
        <v>0</v>
      </c>
      <c r="P450" s="257">
        <f t="shared" si="89"/>
        <v>25725</v>
      </c>
      <c r="Q450" s="257">
        <f t="shared" si="90"/>
        <v>25725</v>
      </c>
      <c r="R450" s="258">
        <f>INDEX('Escalators '!$M$124:$S$129,MATCH(I450,'Escalators '!$B$124:$B$129,0),MATCH(J450,'Escalators '!$M$113:$S$113,0))</f>
        <v>1.0120900655357943</v>
      </c>
      <c r="S450" s="257">
        <f t="shared" si="91"/>
        <v>0</v>
      </c>
      <c r="T450" s="257">
        <f t="shared" si="92"/>
        <v>0</v>
      </c>
      <c r="U450" s="269">
        <f t="shared" si="93"/>
        <v>26036.016935908308</v>
      </c>
      <c r="V450" s="269">
        <f t="shared" si="94"/>
        <v>26036.016935908308</v>
      </c>
      <c r="W450" s="269">
        <f t="shared" si="95"/>
        <v>26036.016935908308</v>
      </c>
      <c r="X450" s="257">
        <f t="shared" si="96"/>
        <v>26036.016935908308</v>
      </c>
      <c r="Y450" s="270">
        <f>IF(L450="Complex",(INDEX('Escalators '!$M$176:$S$176,MATCH('Forecast capex'!J450,'Escalators '!$M$178:$S$178,0))/12+1)^((K450-J450)*12)-1,0)</f>
        <v>0</v>
      </c>
      <c r="Z450" s="257">
        <f t="shared" si="97"/>
        <v>0</v>
      </c>
      <c r="AA450" s="257">
        <f t="shared" si="98"/>
        <v>0</v>
      </c>
      <c r="AB450" s="269">
        <f t="shared" si="99"/>
        <v>0</v>
      </c>
      <c r="AC450" s="269">
        <f t="shared" si="100"/>
        <v>0</v>
      </c>
      <c r="AD450" s="271" t="str">
        <f>INDEX('Global inputs'!$C$134:$C$171,MATCH(F450,'Global inputs'!$B$134:$B$171,0))</f>
        <v>Asset replacement and renewal</v>
      </c>
      <c r="AE450" s="272">
        <f>IF(OR(H450='Operating leases'!$B$32,H450='Operating leases'!$B$33),"",INDEX('Global inputs'!$C$186:$C$243,MATCH(E450,'Global inputs'!$B$186:$B$243,0)))</f>
        <v>0.08</v>
      </c>
    </row>
    <row r="451" spans="1:31" s="27" customFormat="1" x14ac:dyDescent="0.2">
      <c r="A451" s="250"/>
      <c r="B451" s="210" t="s">
        <v>742</v>
      </c>
      <c r="C451" s="210" t="s">
        <v>288</v>
      </c>
      <c r="D451" s="210" t="s">
        <v>223</v>
      </c>
      <c r="E451" s="210" t="s">
        <v>156</v>
      </c>
      <c r="F451" s="210" t="s">
        <v>108</v>
      </c>
      <c r="G451" s="210" t="s">
        <v>727</v>
      </c>
      <c r="H451" s="197">
        <v>0</v>
      </c>
      <c r="I451" s="210" t="s">
        <v>223</v>
      </c>
      <c r="J451" s="210">
        <v>2021</v>
      </c>
      <c r="K451" s="210">
        <v>2021</v>
      </c>
      <c r="L451" s="268" t="str">
        <f t="shared" si="88"/>
        <v>Simple</v>
      </c>
      <c r="M451" s="197">
        <v>11025</v>
      </c>
      <c r="N451" s="197">
        <v>0</v>
      </c>
      <c r="O451" s="257">
        <f>IF(ISNA(MATCH(H451,'Operating leases'!$B$32:$B$43,0)),0,INDEX('Operating leases'!$M$32:$S$43,MATCH(H451,'Operating leases'!$B$32:$B$43,0),MATCH(J451,'Operating leases'!$M$11:$S$11,0)))</f>
        <v>0</v>
      </c>
      <c r="P451" s="257">
        <f t="shared" si="89"/>
        <v>11025</v>
      </c>
      <c r="Q451" s="257">
        <f t="shared" si="90"/>
        <v>11025</v>
      </c>
      <c r="R451" s="258">
        <f>INDEX('Escalators '!$M$124:$S$129,MATCH(I451,'Escalators '!$B$124:$B$129,0),MATCH(J451,'Escalators '!$M$113:$S$113,0))</f>
        <v>1.0239888729183189</v>
      </c>
      <c r="S451" s="257">
        <f t="shared" si="91"/>
        <v>0</v>
      </c>
      <c r="T451" s="257">
        <f t="shared" si="92"/>
        <v>0</v>
      </c>
      <c r="U451" s="269">
        <f t="shared" si="93"/>
        <v>11289.477323924466</v>
      </c>
      <c r="V451" s="269">
        <f t="shared" si="94"/>
        <v>11289.477323924466</v>
      </c>
      <c r="W451" s="269">
        <f t="shared" si="95"/>
        <v>11289.477323924466</v>
      </c>
      <c r="X451" s="257">
        <f t="shared" si="96"/>
        <v>11289.477323924466</v>
      </c>
      <c r="Y451" s="270">
        <f>IF(L451="Complex",(INDEX('Escalators '!$M$176:$S$176,MATCH('Forecast capex'!J451,'Escalators '!$M$178:$S$178,0))/12+1)^((K451-J451)*12)-1,0)</f>
        <v>0</v>
      </c>
      <c r="Z451" s="257">
        <f t="shared" si="97"/>
        <v>0</v>
      </c>
      <c r="AA451" s="257">
        <f t="shared" si="98"/>
        <v>0</v>
      </c>
      <c r="AB451" s="269">
        <f t="shared" si="99"/>
        <v>0</v>
      </c>
      <c r="AC451" s="269">
        <f t="shared" si="100"/>
        <v>0</v>
      </c>
      <c r="AD451" s="271" t="str">
        <f>INDEX('Global inputs'!$C$134:$C$171,MATCH(F451,'Global inputs'!$B$134:$B$171,0))</f>
        <v>Asset replacement and renewal</v>
      </c>
      <c r="AE451" s="272">
        <f>IF(OR(H451='Operating leases'!$B$32,H451='Operating leases'!$B$33),"",INDEX('Global inputs'!$C$186:$C$243,MATCH(E451,'Global inputs'!$B$186:$B$243,0)))</f>
        <v>0.08</v>
      </c>
    </row>
    <row r="452" spans="1:31" s="27" customFormat="1" x14ac:dyDescent="0.2">
      <c r="A452" s="250"/>
      <c r="B452" s="210" t="s">
        <v>742</v>
      </c>
      <c r="C452" s="210" t="s">
        <v>290</v>
      </c>
      <c r="D452" s="210" t="s">
        <v>718</v>
      </c>
      <c r="E452" s="210" t="s">
        <v>173</v>
      </c>
      <c r="F452" s="210" t="s">
        <v>108</v>
      </c>
      <c r="G452" s="210" t="s">
        <v>719</v>
      </c>
      <c r="H452" s="197">
        <v>0</v>
      </c>
      <c r="I452" s="210" t="s">
        <v>221</v>
      </c>
      <c r="J452" s="210">
        <v>2021</v>
      </c>
      <c r="K452" s="210">
        <v>2021</v>
      </c>
      <c r="L452" s="268" t="str">
        <f t="shared" si="88"/>
        <v>Simple</v>
      </c>
      <c r="M452" s="197">
        <v>21000</v>
      </c>
      <c r="N452" s="197">
        <v>0</v>
      </c>
      <c r="O452" s="257">
        <f>IF(ISNA(MATCH(H452,'Operating leases'!$B$32:$B$43,0)),0,INDEX('Operating leases'!$M$32:$S$43,MATCH(H452,'Operating leases'!$B$32:$B$43,0),MATCH(J452,'Operating leases'!$M$11:$S$11,0)))</f>
        <v>0</v>
      </c>
      <c r="P452" s="257">
        <f t="shared" si="89"/>
        <v>21000</v>
      </c>
      <c r="Q452" s="257">
        <f t="shared" si="90"/>
        <v>21000</v>
      </c>
      <c r="R452" s="258">
        <f>INDEX('Escalators '!$M$124:$S$129,MATCH(I452,'Escalators '!$B$124:$B$129,0),MATCH(J452,'Escalators '!$M$113:$S$113,0))</f>
        <v>1.0120900655357943</v>
      </c>
      <c r="S452" s="257">
        <f t="shared" si="91"/>
        <v>0</v>
      </c>
      <c r="T452" s="257">
        <f t="shared" si="92"/>
        <v>0</v>
      </c>
      <c r="U452" s="269">
        <f t="shared" si="93"/>
        <v>21253.891376251679</v>
      </c>
      <c r="V452" s="269">
        <f t="shared" si="94"/>
        <v>21253.891376251679</v>
      </c>
      <c r="W452" s="269">
        <f t="shared" si="95"/>
        <v>21253.891376251679</v>
      </c>
      <c r="X452" s="257">
        <f t="shared" si="96"/>
        <v>21253.891376251679</v>
      </c>
      <c r="Y452" s="270">
        <f>IF(L452="Complex",(INDEX('Escalators '!$M$176:$S$176,MATCH('Forecast capex'!J452,'Escalators '!$M$178:$S$178,0))/12+1)^((K452-J452)*12)-1,0)</f>
        <v>0</v>
      </c>
      <c r="Z452" s="257">
        <f t="shared" si="97"/>
        <v>0</v>
      </c>
      <c r="AA452" s="257">
        <f t="shared" si="98"/>
        <v>0</v>
      </c>
      <c r="AB452" s="269">
        <f t="shared" si="99"/>
        <v>0</v>
      </c>
      <c r="AC452" s="269">
        <f t="shared" si="100"/>
        <v>0</v>
      </c>
      <c r="AD452" s="271" t="str">
        <f>INDEX('Global inputs'!$C$134:$C$171,MATCH(F452,'Global inputs'!$B$134:$B$171,0))</f>
        <v>Asset replacement and renewal</v>
      </c>
      <c r="AE452" s="272">
        <f>IF(OR(H452='Operating leases'!$B$32,H452='Operating leases'!$B$33),"",INDEX('Global inputs'!$C$186:$C$243,MATCH(E452,'Global inputs'!$B$186:$B$243,0)))</f>
        <v>0.08</v>
      </c>
    </row>
    <row r="453" spans="1:31" s="27" customFormat="1" x14ac:dyDescent="0.2">
      <c r="A453" s="250"/>
      <c r="B453" s="210" t="s">
        <v>742</v>
      </c>
      <c r="C453" s="210" t="s">
        <v>290</v>
      </c>
      <c r="D453" s="210" t="s">
        <v>718</v>
      </c>
      <c r="E453" s="210" t="s">
        <v>173</v>
      </c>
      <c r="F453" s="210" t="s">
        <v>108</v>
      </c>
      <c r="G453" s="210" t="s">
        <v>719</v>
      </c>
      <c r="H453" s="197">
        <v>0</v>
      </c>
      <c r="I453" s="210" t="s">
        <v>142</v>
      </c>
      <c r="J453" s="210">
        <v>2021</v>
      </c>
      <c r="K453" s="210">
        <v>2021</v>
      </c>
      <c r="L453" s="268" t="str">
        <f t="shared" si="88"/>
        <v>Simple</v>
      </c>
      <c r="M453" s="197">
        <v>84000</v>
      </c>
      <c r="N453" s="197">
        <v>0</v>
      </c>
      <c r="O453" s="257">
        <f>IF(ISNA(MATCH(H453,'Operating leases'!$B$32:$B$43,0)),0,INDEX('Operating leases'!$M$32:$S$43,MATCH(H453,'Operating leases'!$B$32:$B$43,0),MATCH(J453,'Operating leases'!$M$11:$S$11,0)))</f>
        <v>0</v>
      </c>
      <c r="P453" s="257">
        <f t="shared" si="89"/>
        <v>84000</v>
      </c>
      <c r="Q453" s="257">
        <f t="shared" si="90"/>
        <v>84000</v>
      </c>
      <c r="R453" s="258">
        <f>INDEX('Escalators '!$M$124:$S$129,MATCH(I453,'Escalators '!$B$124:$B$129,0),MATCH(J453,'Escalators '!$M$113:$S$113,0))</f>
        <v>1.0199504944721745</v>
      </c>
      <c r="S453" s="257">
        <f t="shared" si="91"/>
        <v>0</v>
      </c>
      <c r="T453" s="257">
        <f t="shared" si="92"/>
        <v>0</v>
      </c>
      <c r="U453" s="269">
        <f t="shared" si="93"/>
        <v>85675.84153566265</v>
      </c>
      <c r="V453" s="269">
        <f t="shared" si="94"/>
        <v>85675.84153566265</v>
      </c>
      <c r="W453" s="269">
        <f t="shared" si="95"/>
        <v>85675.84153566265</v>
      </c>
      <c r="X453" s="257">
        <f t="shared" si="96"/>
        <v>85675.84153566265</v>
      </c>
      <c r="Y453" s="270">
        <f>IF(L453="Complex",(INDEX('Escalators '!$M$176:$S$176,MATCH('Forecast capex'!J453,'Escalators '!$M$178:$S$178,0))/12+1)^((K453-J453)*12)-1,0)</f>
        <v>0</v>
      </c>
      <c r="Z453" s="257">
        <f t="shared" si="97"/>
        <v>0</v>
      </c>
      <c r="AA453" s="257">
        <f t="shared" si="98"/>
        <v>0</v>
      </c>
      <c r="AB453" s="269">
        <f t="shared" si="99"/>
        <v>0</v>
      </c>
      <c r="AC453" s="269">
        <f t="shared" si="100"/>
        <v>0</v>
      </c>
      <c r="AD453" s="271" t="str">
        <f>INDEX('Global inputs'!$C$134:$C$171,MATCH(F453,'Global inputs'!$B$134:$B$171,0))</f>
        <v>Asset replacement and renewal</v>
      </c>
      <c r="AE453" s="272">
        <f>IF(OR(H453='Operating leases'!$B$32,H453='Operating leases'!$B$33),"",INDEX('Global inputs'!$C$186:$C$243,MATCH(E453,'Global inputs'!$B$186:$B$243,0)))</f>
        <v>0.08</v>
      </c>
    </row>
    <row r="454" spans="1:31" s="27" customFormat="1" x14ac:dyDescent="0.2">
      <c r="A454" s="250"/>
      <c r="B454" s="210" t="s">
        <v>742</v>
      </c>
      <c r="C454" s="210" t="s">
        <v>289</v>
      </c>
      <c r="D454" s="210" t="s">
        <v>723</v>
      </c>
      <c r="E454" s="210" t="s">
        <v>164</v>
      </c>
      <c r="F454" s="210" t="s">
        <v>108</v>
      </c>
      <c r="G454" s="210" t="s">
        <v>724</v>
      </c>
      <c r="H454" s="197">
        <v>0</v>
      </c>
      <c r="I454" s="210" t="s">
        <v>221</v>
      </c>
      <c r="J454" s="210">
        <v>2021</v>
      </c>
      <c r="K454" s="210">
        <v>2021</v>
      </c>
      <c r="L454" s="268" t="str">
        <f t="shared" si="88"/>
        <v>Simple</v>
      </c>
      <c r="M454" s="197">
        <v>12768</v>
      </c>
      <c r="N454" s="197">
        <v>0</v>
      </c>
      <c r="O454" s="257">
        <f>IF(ISNA(MATCH(H454,'Operating leases'!$B$32:$B$43,0)),0,INDEX('Operating leases'!$M$32:$S$43,MATCH(H454,'Operating leases'!$B$32:$B$43,0),MATCH(J454,'Operating leases'!$M$11:$S$11,0)))</f>
        <v>0</v>
      </c>
      <c r="P454" s="257">
        <f t="shared" si="89"/>
        <v>12768</v>
      </c>
      <c r="Q454" s="257">
        <f t="shared" si="90"/>
        <v>12768</v>
      </c>
      <c r="R454" s="258">
        <f>INDEX('Escalators '!$M$124:$S$129,MATCH(I454,'Escalators '!$B$124:$B$129,0),MATCH(J454,'Escalators '!$M$113:$S$113,0))</f>
        <v>1.0120900655357943</v>
      </c>
      <c r="S454" s="257">
        <f t="shared" si="91"/>
        <v>0</v>
      </c>
      <c r="T454" s="257">
        <f t="shared" si="92"/>
        <v>0</v>
      </c>
      <c r="U454" s="269">
        <f t="shared" si="93"/>
        <v>12922.365956761021</v>
      </c>
      <c r="V454" s="269">
        <f t="shared" si="94"/>
        <v>12922.365956761021</v>
      </c>
      <c r="W454" s="269">
        <f t="shared" si="95"/>
        <v>12922.365956761021</v>
      </c>
      <c r="X454" s="257">
        <f t="shared" si="96"/>
        <v>12922.365956761021</v>
      </c>
      <c r="Y454" s="270">
        <f>IF(L454="Complex",(INDEX('Escalators '!$M$176:$S$176,MATCH('Forecast capex'!J454,'Escalators '!$M$178:$S$178,0))/12+1)^((K454-J454)*12)-1,0)</f>
        <v>0</v>
      </c>
      <c r="Z454" s="257">
        <f t="shared" si="97"/>
        <v>0</v>
      </c>
      <c r="AA454" s="257">
        <f t="shared" si="98"/>
        <v>0</v>
      </c>
      <c r="AB454" s="269">
        <f t="shared" si="99"/>
        <v>0</v>
      </c>
      <c r="AC454" s="269">
        <f t="shared" si="100"/>
        <v>0</v>
      </c>
      <c r="AD454" s="271" t="str">
        <f>INDEX('Global inputs'!$C$134:$C$171,MATCH(F454,'Global inputs'!$B$134:$B$171,0))</f>
        <v>Asset replacement and renewal</v>
      </c>
      <c r="AE454" s="272">
        <f>IF(OR(H454='Operating leases'!$B$32,H454='Operating leases'!$B$33),"",INDEX('Global inputs'!$C$186:$C$243,MATCH(E454,'Global inputs'!$B$186:$B$243,0)))</f>
        <v>0.08</v>
      </c>
    </row>
    <row r="455" spans="1:31" s="27" customFormat="1" x14ac:dyDescent="0.2">
      <c r="A455" s="250"/>
      <c r="B455" s="210" t="s">
        <v>742</v>
      </c>
      <c r="C455" s="210" t="s">
        <v>289</v>
      </c>
      <c r="D455" s="210" t="s">
        <v>723</v>
      </c>
      <c r="E455" s="210" t="s">
        <v>164</v>
      </c>
      <c r="F455" s="210" t="s">
        <v>108</v>
      </c>
      <c r="G455" s="210" t="s">
        <v>724</v>
      </c>
      <c r="H455" s="197">
        <v>0</v>
      </c>
      <c r="I455" s="210" t="s">
        <v>139</v>
      </c>
      <c r="J455" s="210">
        <v>2021</v>
      </c>
      <c r="K455" s="210">
        <v>2021</v>
      </c>
      <c r="L455" s="268" t="str">
        <f t="shared" si="88"/>
        <v>Simple</v>
      </c>
      <c r="M455" s="197">
        <v>51072</v>
      </c>
      <c r="N455" s="197">
        <v>0</v>
      </c>
      <c r="O455" s="257">
        <f>IF(ISNA(MATCH(H455,'Operating leases'!$B$32:$B$43,0)),0,INDEX('Operating leases'!$M$32:$S$43,MATCH(H455,'Operating leases'!$B$32:$B$43,0),MATCH(J455,'Operating leases'!$M$11:$S$11,0)))</f>
        <v>0</v>
      </c>
      <c r="P455" s="257">
        <f t="shared" si="89"/>
        <v>51072</v>
      </c>
      <c r="Q455" s="257">
        <f t="shared" si="90"/>
        <v>51072</v>
      </c>
      <c r="R455" s="258">
        <f>INDEX('Escalators '!$M$124:$S$129,MATCH(I455,'Escalators '!$B$124:$B$129,0),MATCH(J455,'Escalators '!$M$113:$S$113,0))</f>
        <v>1.005513233090898</v>
      </c>
      <c r="S455" s="257">
        <f t="shared" si="91"/>
        <v>0</v>
      </c>
      <c r="T455" s="257">
        <f t="shared" si="92"/>
        <v>0</v>
      </c>
      <c r="U455" s="269">
        <f t="shared" si="93"/>
        <v>51353.571840418343</v>
      </c>
      <c r="V455" s="269">
        <f t="shared" si="94"/>
        <v>51353.571840418343</v>
      </c>
      <c r="W455" s="269">
        <f t="shared" si="95"/>
        <v>51353.571840418343</v>
      </c>
      <c r="X455" s="257">
        <f t="shared" si="96"/>
        <v>51353.571840418343</v>
      </c>
      <c r="Y455" s="270">
        <f>IF(L455="Complex",(INDEX('Escalators '!$M$176:$S$176,MATCH('Forecast capex'!J455,'Escalators '!$M$178:$S$178,0))/12+1)^((K455-J455)*12)-1,0)</f>
        <v>0</v>
      </c>
      <c r="Z455" s="257">
        <f t="shared" si="97"/>
        <v>0</v>
      </c>
      <c r="AA455" s="257">
        <f t="shared" si="98"/>
        <v>0</v>
      </c>
      <c r="AB455" s="269">
        <f t="shared" si="99"/>
        <v>0</v>
      </c>
      <c r="AC455" s="269">
        <f t="shared" si="100"/>
        <v>0</v>
      </c>
      <c r="AD455" s="271" t="str">
        <f>INDEX('Global inputs'!$C$134:$C$171,MATCH(F455,'Global inputs'!$B$134:$B$171,0))</f>
        <v>Asset replacement and renewal</v>
      </c>
      <c r="AE455" s="272">
        <f>IF(OR(H455='Operating leases'!$B$32,H455='Operating leases'!$B$33),"",INDEX('Global inputs'!$C$186:$C$243,MATCH(E455,'Global inputs'!$B$186:$B$243,0)))</f>
        <v>0.08</v>
      </c>
    </row>
    <row r="456" spans="1:31" s="27" customFormat="1" x14ac:dyDescent="0.2">
      <c r="A456" s="250"/>
      <c r="B456" s="210" t="s">
        <v>742</v>
      </c>
      <c r="C456" s="210" t="s">
        <v>291</v>
      </c>
      <c r="D456" s="210" t="s">
        <v>735</v>
      </c>
      <c r="E456" s="210" t="s">
        <v>175</v>
      </c>
      <c r="F456" s="210" t="s">
        <v>108</v>
      </c>
      <c r="G456" s="210" t="s">
        <v>748</v>
      </c>
      <c r="H456" s="197">
        <v>0</v>
      </c>
      <c r="I456" s="210" t="s">
        <v>221</v>
      </c>
      <c r="J456" s="210">
        <v>2021</v>
      </c>
      <c r="K456" s="210">
        <v>2021</v>
      </c>
      <c r="L456" s="268" t="str">
        <f t="shared" si="88"/>
        <v>Simple</v>
      </c>
      <c r="M456" s="197">
        <v>82320</v>
      </c>
      <c r="N456" s="197">
        <v>0</v>
      </c>
      <c r="O456" s="257">
        <f>IF(ISNA(MATCH(H456,'Operating leases'!$B$32:$B$43,0)),0,INDEX('Operating leases'!$M$32:$S$43,MATCH(H456,'Operating leases'!$B$32:$B$43,0),MATCH(J456,'Operating leases'!$M$11:$S$11,0)))</f>
        <v>0</v>
      </c>
      <c r="P456" s="257">
        <f t="shared" si="89"/>
        <v>82320</v>
      </c>
      <c r="Q456" s="257">
        <f t="shared" si="90"/>
        <v>82320</v>
      </c>
      <c r="R456" s="258">
        <f>INDEX('Escalators '!$M$124:$S$129,MATCH(I456,'Escalators '!$B$124:$B$129,0),MATCH(J456,'Escalators '!$M$113:$S$113,0))</f>
        <v>1.0120900655357943</v>
      </c>
      <c r="S456" s="257">
        <f t="shared" si="91"/>
        <v>0</v>
      </c>
      <c r="T456" s="257">
        <f t="shared" si="92"/>
        <v>0</v>
      </c>
      <c r="U456" s="269">
        <f t="shared" si="93"/>
        <v>83315.254194906578</v>
      </c>
      <c r="V456" s="269">
        <f t="shared" si="94"/>
        <v>83315.254194906578</v>
      </c>
      <c r="W456" s="269">
        <f t="shared" si="95"/>
        <v>83315.254194906578</v>
      </c>
      <c r="X456" s="257">
        <f t="shared" si="96"/>
        <v>83315.254194906578</v>
      </c>
      <c r="Y456" s="270">
        <f>IF(L456="Complex",(INDEX('Escalators '!$M$176:$S$176,MATCH('Forecast capex'!J456,'Escalators '!$M$178:$S$178,0))/12+1)^((K456-J456)*12)-1,0)</f>
        <v>0</v>
      </c>
      <c r="Z456" s="257">
        <f t="shared" si="97"/>
        <v>0</v>
      </c>
      <c r="AA456" s="257">
        <f t="shared" si="98"/>
        <v>0</v>
      </c>
      <c r="AB456" s="269">
        <f t="shared" si="99"/>
        <v>0</v>
      </c>
      <c r="AC456" s="269">
        <f t="shared" si="100"/>
        <v>0</v>
      </c>
      <c r="AD456" s="271" t="str">
        <f>INDEX('Global inputs'!$C$134:$C$171,MATCH(F456,'Global inputs'!$B$134:$B$171,0))</f>
        <v>Asset replacement and renewal</v>
      </c>
      <c r="AE456" s="272">
        <f>IF(OR(H456='Operating leases'!$B$32,H456='Operating leases'!$B$33),"",INDEX('Global inputs'!$C$186:$C$243,MATCH(E456,'Global inputs'!$B$186:$B$243,0)))</f>
        <v>0.1</v>
      </c>
    </row>
    <row r="457" spans="1:31" s="27" customFormat="1" x14ac:dyDescent="0.2">
      <c r="A457" s="250"/>
      <c r="B457" s="210" t="s">
        <v>742</v>
      </c>
      <c r="C457" s="210" t="s">
        <v>291</v>
      </c>
      <c r="D457" s="210" t="s">
        <v>735</v>
      </c>
      <c r="E457" s="210" t="s">
        <v>175</v>
      </c>
      <c r="F457" s="210" t="s">
        <v>108</v>
      </c>
      <c r="G457" s="210" t="s">
        <v>748</v>
      </c>
      <c r="H457" s="197">
        <v>0</v>
      </c>
      <c r="I457" s="210" t="s">
        <v>229</v>
      </c>
      <c r="J457" s="210">
        <v>2021</v>
      </c>
      <c r="K457" s="210">
        <v>2021</v>
      </c>
      <c r="L457" s="268" t="str">
        <f t="shared" si="88"/>
        <v>Simple</v>
      </c>
      <c r="M457" s="197">
        <v>20580</v>
      </c>
      <c r="N457" s="197">
        <v>0</v>
      </c>
      <c r="O457" s="257">
        <f>IF(ISNA(MATCH(H457,'Operating leases'!$B$32:$B$43,0)),0,INDEX('Operating leases'!$M$32:$S$43,MATCH(H457,'Operating leases'!$B$32:$B$43,0),MATCH(J457,'Operating leases'!$M$11:$S$11,0)))</f>
        <v>0</v>
      </c>
      <c r="P457" s="257">
        <f t="shared" si="89"/>
        <v>20580</v>
      </c>
      <c r="Q457" s="257">
        <f t="shared" si="90"/>
        <v>20580</v>
      </c>
      <c r="R457" s="258">
        <f>INDEX('Escalators '!$M$124:$S$129,MATCH(I457,'Escalators '!$B$124:$B$129,0),MATCH(J457,'Escalators '!$M$113:$S$113,0))</f>
        <v>1.0206154571717865</v>
      </c>
      <c r="S457" s="257">
        <f t="shared" si="91"/>
        <v>0</v>
      </c>
      <c r="T457" s="257">
        <f t="shared" si="92"/>
        <v>0</v>
      </c>
      <c r="U457" s="269">
        <f t="shared" si="93"/>
        <v>21004.266108595366</v>
      </c>
      <c r="V457" s="269">
        <f t="shared" si="94"/>
        <v>21004.266108595366</v>
      </c>
      <c r="W457" s="269">
        <f t="shared" si="95"/>
        <v>21004.266108595366</v>
      </c>
      <c r="X457" s="257">
        <f t="shared" si="96"/>
        <v>21004.266108595366</v>
      </c>
      <c r="Y457" s="270">
        <f>IF(L457="Complex",(INDEX('Escalators '!$M$176:$S$176,MATCH('Forecast capex'!J457,'Escalators '!$M$178:$S$178,0))/12+1)^((K457-J457)*12)-1,0)</f>
        <v>0</v>
      </c>
      <c r="Z457" s="257">
        <f t="shared" si="97"/>
        <v>0</v>
      </c>
      <c r="AA457" s="257">
        <f t="shared" si="98"/>
        <v>0</v>
      </c>
      <c r="AB457" s="269">
        <f t="shared" si="99"/>
        <v>0</v>
      </c>
      <c r="AC457" s="269">
        <f t="shared" si="100"/>
        <v>0</v>
      </c>
      <c r="AD457" s="271" t="str">
        <f>INDEX('Global inputs'!$C$134:$C$171,MATCH(F457,'Global inputs'!$B$134:$B$171,0))</f>
        <v>Asset replacement and renewal</v>
      </c>
      <c r="AE457" s="272">
        <f>IF(OR(H457='Operating leases'!$B$32,H457='Operating leases'!$B$33),"",INDEX('Global inputs'!$C$186:$C$243,MATCH(E457,'Global inputs'!$B$186:$B$243,0)))</f>
        <v>0.1</v>
      </c>
    </row>
    <row r="458" spans="1:31" s="27" customFormat="1" x14ac:dyDescent="0.2">
      <c r="A458" s="250"/>
      <c r="B458" s="210" t="s">
        <v>742</v>
      </c>
      <c r="C458" s="210" t="s">
        <v>286</v>
      </c>
      <c r="D458" s="210" t="s">
        <v>732</v>
      </c>
      <c r="E458" s="210" t="s">
        <v>141</v>
      </c>
      <c r="F458" s="210" t="s">
        <v>108</v>
      </c>
      <c r="G458" s="210" t="s">
        <v>734</v>
      </c>
      <c r="H458" s="197">
        <v>0</v>
      </c>
      <c r="I458" s="210" t="s">
        <v>221</v>
      </c>
      <c r="J458" s="210">
        <v>2021</v>
      </c>
      <c r="K458" s="210">
        <v>2021</v>
      </c>
      <c r="L458" s="268" t="str">
        <f t="shared" ref="L458:L521" si="101">IF(J458=K458,"Simple","Complex")</f>
        <v>Simple</v>
      </c>
      <c r="M458" s="197">
        <v>11760</v>
      </c>
      <c r="N458" s="197">
        <v>0</v>
      </c>
      <c r="O458" s="257">
        <f>IF(ISNA(MATCH(H458,'Operating leases'!$B$32:$B$43,0)),0,INDEX('Operating leases'!$M$32:$S$43,MATCH(H458,'Operating leases'!$B$32:$B$43,0),MATCH(J458,'Operating leases'!$M$11:$S$11,0)))</f>
        <v>0</v>
      </c>
      <c r="P458" s="257">
        <f t="shared" ref="P458:P521" si="102">O458+M458</f>
        <v>11760</v>
      </c>
      <c r="Q458" s="257">
        <f t="shared" ref="Q458:Q521" si="103">M458+N458+O458</f>
        <v>11760</v>
      </c>
      <c r="R458" s="258">
        <f>INDEX('Escalators '!$M$124:$S$129,MATCH(I458,'Escalators '!$B$124:$B$129,0),MATCH(J458,'Escalators '!$M$113:$S$113,0))</f>
        <v>1.0120900655357943</v>
      </c>
      <c r="S458" s="257">
        <f t="shared" ref="S458:S521" si="104">O458*R458</f>
        <v>0</v>
      </c>
      <c r="T458" s="257">
        <f t="shared" ref="T458:T521" si="105">N458*R458</f>
        <v>0</v>
      </c>
      <c r="U458" s="269">
        <f t="shared" ref="U458:U521" si="106">W458-S458</f>
        <v>11902.179170700942</v>
      </c>
      <c r="V458" s="269">
        <f t="shared" ref="V458:V521" si="107">U458+T458</f>
        <v>11902.179170700942</v>
      </c>
      <c r="W458" s="269">
        <f t="shared" ref="W458:W521" si="108">X458-T458</f>
        <v>11902.179170700942</v>
      </c>
      <c r="X458" s="257">
        <f t="shared" ref="X458:X521" si="109">Q458*R458</f>
        <v>11902.179170700942</v>
      </c>
      <c r="Y458" s="270">
        <f>IF(L458="Complex",(INDEX('Escalators '!$M$176:$S$176,MATCH('Forecast capex'!J458,'Escalators '!$M$178:$S$178,0))/12+1)^((K458-J458)*12)-1,0)</f>
        <v>0</v>
      </c>
      <c r="Z458" s="257">
        <f t="shared" ref="Z458:Z521" si="110">P458*Y458</f>
        <v>0</v>
      </c>
      <c r="AA458" s="257">
        <f t="shared" ref="AA458:AA521" si="111">W458*Y458</f>
        <v>0</v>
      </c>
      <c r="AB458" s="269">
        <f t="shared" ref="AB458:AB521" si="112">IF(L458="Complex",AC458-T458,0)</f>
        <v>0</v>
      </c>
      <c r="AC458" s="269">
        <f t="shared" ref="AC458:AC521" si="113">IF(L458="Complex",V458+AA458,0)</f>
        <v>0</v>
      </c>
      <c r="AD458" s="271" t="str">
        <f>INDEX('Global inputs'!$C$134:$C$171,MATCH(F458,'Global inputs'!$B$134:$B$171,0))</f>
        <v>Asset replacement and renewal</v>
      </c>
      <c r="AE458" s="272">
        <f>IF(OR(H458='Operating leases'!$B$32,H458='Operating leases'!$B$33),"",INDEX('Global inputs'!$C$186:$C$243,MATCH(E458,'Global inputs'!$B$186:$B$243,0)))</f>
        <v>0.08</v>
      </c>
    </row>
    <row r="459" spans="1:31" s="27" customFormat="1" x14ac:dyDescent="0.2">
      <c r="A459" s="250"/>
      <c r="B459" s="210" t="s">
        <v>742</v>
      </c>
      <c r="C459" s="210" t="s">
        <v>286</v>
      </c>
      <c r="D459" s="210" t="s">
        <v>732</v>
      </c>
      <c r="E459" s="210" t="s">
        <v>141</v>
      </c>
      <c r="F459" s="210" t="s">
        <v>108</v>
      </c>
      <c r="G459" s="210" t="s">
        <v>734</v>
      </c>
      <c r="H459" s="197">
        <v>0</v>
      </c>
      <c r="I459" s="210" t="s">
        <v>142</v>
      </c>
      <c r="J459" s="210">
        <v>2021</v>
      </c>
      <c r="K459" s="210">
        <v>2021</v>
      </c>
      <c r="L459" s="268" t="str">
        <f t="shared" si="101"/>
        <v>Simple</v>
      </c>
      <c r="M459" s="197">
        <v>47040</v>
      </c>
      <c r="N459" s="197">
        <v>0</v>
      </c>
      <c r="O459" s="257">
        <f>IF(ISNA(MATCH(H459,'Operating leases'!$B$32:$B$43,0)),0,INDEX('Operating leases'!$M$32:$S$43,MATCH(H459,'Operating leases'!$B$32:$B$43,0),MATCH(J459,'Operating leases'!$M$11:$S$11,0)))</f>
        <v>0</v>
      </c>
      <c r="P459" s="257">
        <f t="shared" si="102"/>
        <v>47040</v>
      </c>
      <c r="Q459" s="257">
        <f t="shared" si="103"/>
        <v>47040</v>
      </c>
      <c r="R459" s="258">
        <f>INDEX('Escalators '!$M$124:$S$129,MATCH(I459,'Escalators '!$B$124:$B$129,0),MATCH(J459,'Escalators '!$M$113:$S$113,0))</f>
        <v>1.0199504944721745</v>
      </c>
      <c r="S459" s="257">
        <f t="shared" si="104"/>
        <v>0</v>
      </c>
      <c r="T459" s="257">
        <f t="shared" si="105"/>
        <v>0</v>
      </c>
      <c r="U459" s="269">
        <f t="shared" si="106"/>
        <v>47978.471259971084</v>
      </c>
      <c r="V459" s="269">
        <f t="shared" si="107"/>
        <v>47978.471259971084</v>
      </c>
      <c r="W459" s="269">
        <f t="shared" si="108"/>
        <v>47978.471259971084</v>
      </c>
      <c r="X459" s="257">
        <f t="shared" si="109"/>
        <v>47978.471259971084</v>
      </c>
      <c r="Y459" s="270">
        <f>IF(L459="Complex",(INDEX('Escalators '!$M$176:$S$176,MATCH('Forecast capex'!J459,'Escalators '!$M$178:$S$178,0))/12+1)^((K459-J459)*12)-1,0)</f>
        <v>0</v>
      </c>
      <c r="Z459" s="257">
        <f t="shared" si="110"/>
        <v>0</v>
      </c>
      <c r="AA459" s="257">
        <f t="shared" si="111"/>
        <v>0</v>
      </c>
      <c r="AB459" s="269">
        <f t="shared" si="112"/>
        <v>0</v>
      </c>
      <c r="AC459" s="269">
        <f t="shared" si="113"/>
        <v>0</v>
      </c>
      <c r="AD459" s="271" t="str">
        <f>INDEX('Global inputs'!$C$134:$C$171,MATCH(F459,'Global inputs'!$B$134:$B$171,0))</f>
        <v>Asset replacement and renewal</v>
      </c>
      <c r="AE459" s="272">
        <f>IF(OR(H459='Operating leases'!$B$32,H459='Operating leases'!$B$33),"",INDEX('Global inputs'!$C$186:$C$243,MATCH(E459,'Global inputs'!$B$186:$B$243,0)))</f>
        <v>0.08</v>
      </c>
    </row>
    <row r="460" spans="1:31" s="27" customFormat="1" x14ac:dyDescent="0.2">
      <c r="A460" s="250"/>
      <c r="B460" s="210" t="s">
        <v>742</v>
      </c>
      <c r="C460" s="210" t="s">
        <v>286</v>
      </c>
      <c r="D460" s="210" t="s">
        <v>735</v>
      </c>
      <c r="E460" s="210" t="s">
        <v>144</v>
      </c>
      <c r="F460" s="210" t="s">
        <v>108</v>
      </c>
      <c r="G460" s="210" t="s">
        <v>736</v>
      </c>
      <c r="H460" s="197">
        <v>0</v>
      </c>
      <c r="I460" s="210" t="s">
        <v>221</v>
      </c>
      <c r="J460" s="210">
        <v>2021</v>
      </c>
      <c r="K460" s="210">
        <v>2021</v>
      </c>
      <c r="L460" s="268" t="str">
        <f t="shared" si="101"/>
        <v>Simple</v>
      </c>
      <c r="M460" s="197">
        <v>44800</v>
      </c>
      <c r="N460" s="197">
        <v>0</v>
      </c>
      <c r="O460" s="257">
        <f>IF(ISNA(MATCH(H460,'Operating leases'!$B$32:$B$43,0)),0,INDEX('Operating leases'!$M$32:$S$43,MATCH(H460,'Operating leases'!$B$32:$B$43,0),MATCH(J460,'Operating leases'!$M$11:$S$11,0)))</f>
        <v>0</v>
      </c>
      <c r="P460" s="257">
        <f t="shared" si="102"/>
        <v>44800</v>
      </c>
      <c r="Q460" s="257">
        <f t="shared" si="103"/>
        <v>44800</v>
      </c>
      <c r="R460" s="258">
        <f>INDEX('Escalators '!$M$124:$S$129,MATCH(I460,'Escalators '!$B$124:$B$129,0),MATCH(J460,'Escalators '!$M$113:$S$113,0))</f>
        <v>1.0120900655357943</v>
      </c>
      <c r="S460" s="257">
        <f t="shared" si="104"/>
        <v>0</v>
      </c>
      <c r="T460" s="257">
        <f t="shared" si="105"/>
        <v>0</v>
      </c>
      <c r="U460" s="269">
        <f t="shared" si="106"/>
        <v>45341.634936003582</v>
      </c>
      <c r="V460" s="269">
        <f t="shared" si="107"/>
        <v>45341.634936003582</v>
      </c>
      <c r="W460" s="269">
        <f t="shared" si="108"/>
        <v>45341.634936003582</v>
      </c>
      <c r="X460" s="257">
        <f t="shared" si="109"/>
        <v>45341.634936003582</v>
      </c>
      <c r="Y460" s="270">
        <f>IF(L460="Complex",(INDEX('Escalators '!$M$176:$S$176,MATCH('Forecast capex'!J460,'Escalators '!$M$178:$S$178,0))/12+1)^((K460-J460)*12)-1,0)</f>
        <v>0</v>
      </c>
      <c r="Z460" s="257">
        <f t="shared" si="110"/>
        <v>0</v>
      </c>
      <c r="AA460" s="257">
        <f t="shared" si="111"/>
        <v>0</v>
      </c>
      <c r="AB460" s="269">
        <f t="shared" si="112"/>
        <v>0</v>
      </c>
      <c r="AC460" s="269">
        <f t="shared" si="113"/>
        <v>0</v>
      </c>
      <c r="AD460" s="271" t="str">
        <f>INDEX('Global inputs'!$C$134:$C$171,MATCH(F460,'Global inputs'!$B$134:$B$171,0))</f>
        <v>Asset replacement and renewal</v>
      </c>
      <c r="AE460" s="272">
        <f>IF(OR(H460='Operating leases'!$B$32,H460='Operating leases'!$B$33),"",INDEX('Global inputs'!$C$186:$C$243,MATCH(E460,'Global inputs'!$B$186:$B$243,0)))</f>
        <v>0.08</v>
      </c>
    </row>
    <row r="461" spans="1:31" s="27" customFormat="1" x14ac:dyDescent="0.2">
      <c r="A461" s="250"/>
      <c r="B461" s="210" t="s">
        <v>742</v>
      </c>
      <c r="C461" s="210" t="s">
        <v>286</v>
      </c>
      <c r="D461" s="210" t="s">
        <v>735</v>
      </c>
      <c r="E461" s="210" t="s">
        <v>144</v>
      </c>
      <c r="F461" s="210" t="s">
        <v>108</v>
      </c>
      <c r="G461" s="210" t="s">
        <v>736</v>
      </c>
      <c r="H461" s="197">
        <v>0</v>
      </c>
      <c r="I461" s="210" t="s">
        <v>229</v>
      </c>
      <c r="J461" s="210">
        <v>2021</v>
      </c>
      <c r="K461" s="210">
        <v>2021</v>
      </c>
      <c r="L461" s="268" t="str">
        <f t="shared" si="101"/>
        <v>Simple</v>
      </c>
      <c r="M461" s="197">
        <v>11200</v>
      </c>
      <c r="N461" s="197">
        <v>0</v>
      </c>
      <c r="O461" s="257">
        <f>IF(ISNA(MATCH(H461,'Operating leases'!$B$32:$B$43,0)),0,INDEX('Operating leases'!$M$32:$S$43,MATCH(H461,'Operating leases'!$B$32:$B$43,0),MATCH(J461,'Operating leases'!$M$11:$S$11,0)))</f>
        <v>0</v>
      </c>
      <c r="P461" s="257">
        <f t="shared" si="102"/>
        <v>11200</v>
      </c>
      <c r="Q461" s="257">
        <f t="shared" si="103"/>
        <v>11200</v>
      </c>
      <c r="R461" s="258">
        <f>INDEX('Escalators '!$M$124:$S$129,MATCH(I461,'Escalators '!$B$124:$B$129,0),MATCH(J461,'Escalators '!$M$113:$S$113,0))</f>
        <v>1.0206154571717865</v>
      </c>
      <c r="S461" s="257">
        <f t="shared" si="104"/>
        <v>0</v>
      </c>
      <c r="T461" s="257">
        <f t="shared" si="105"/>
        <v>0</v>
      </c>
      <c r="U461" s="269">
        <f t="shared" si="106"/>
        <v>11430.893120324008</v>
      </c>
      <c r="V461" s="269">
        <f t="shared" si="107"/>
        <v>11430.893120324008</v>
      </c>
      <c r="W461" s="269">
        <f t="shared" si="108"/>
        <v>11430.893120324008</v>
      </c>
      <c r="X461" s="257">
        <f t="shared" si="109"/>
        <v>11430.893120324008</v>
      </c>
      <c r="Y461" s="270">
        <f>IF(L461="Complex",(INDEX('Escalators '!$M$176:$S$176,MATCH('Forecast capex'!J461,'Escalators '!$M$178:$S$178,0))/12+1)^((K461-J461)*12)-1,0)</f>
        <v>0</v>
      </c>
      <c r="Z461" s="257">
        <f t="shared" si="110"/>
        <v>0</v>
      </c>
      <c r="AA461" s="257">
        <f t="shared" si="111"/>
        <v>0</v>
      </c>
      <c r="AB461" s="269">
        <f t="shared" si="112"/>
        <v>0</v>
      </c>
      <c r="AC461" s="269">
        <f t="shared" si="113"/>
        <v>0</v>
      </c>
      <c r="AD461" s="271" t="str">
        <f>INDEX('Global inputs'!$C$134:$C$171,MATCH(F461,'Global inputs'!$B$134:$B$171,0))</f>
        <v>Asset replacement and renewal</v>
      </c>
      <c r="AE461" s="272">
        <f>IF(OR(H461='Operating leases'!$B$32,H461='Operating leases'!$B$33),"",INDEX('Global inputs'!$C$186:$C$243,MATCH(E461,'Global inputs'!$B$186:$B$243,0)))</f>
        <v>0.08</v>
      </c>
    </row>
    <row r="462" spans="1:31" s="27" customFormat="1" x14ac:dyDescent="0.2">
      <c r="A462" s="250"/>
      <c r="B462" s="210" t="s">
        <v>742</v>
      </c>
      <c r="C462" s="210" t="s">
        <v>286</v>
      </c>
      <c r="D462" s="210" t="s">
        <v>732</v>
      </c>
      <c r="E462" s="210" t="s">
        <v>136</v>
      </c>
      <c r="F462" s="210" t="s">
        <v>108</v>
      </c>
      <c r="G462" s="210" t="s">
        <v>751</v>
      </c>
      <c r="H462" s="197">
        <v>0</v>
      </c>
      <c r="I462" s="210" t="s">
        <v>221</v>
      </c>
      <c r="J462" s="210">
        <v>2021</v>
      </c>
      <c r="K462" s="210">
        <v>2021</v>
      </c>
      <c r="L462" s="268" t="str">
        <f t="shared" si="101"/>
        <v>Simple</v>
      </c>
      <c r="M462" s="197">
        <v>700000</v>
      </c>
      <c r="N462" s="197">
        <v>0</v>
      </c>
      <c r="O462" s="257">
        <f>IF(ISNA(MATCH(H462,'Operating leases'!$B$32:$B$43,0)),0,INDEX('Operating leases'!$M$32:$S$43,MATCH(H462,'Operating leases'!$B$32:$B$43,0),MATCH(J462,'Operating leases'!$M$11:$S$11,0)))</f>
        <v>0</v>
      </c>
      <c r="P462" s="257">
        <f t="shared" si="102"/>
        <v>700000</v>
      </c>
      <c r="Q462" s="257">
        <f t="shared" si="103"/>
        <v>700000</v>
      </c>
      <c r="R462" s="258">
        <f>INDEX('Escalators '!$M$124:$S$129,MATCH(I462,'Escalators '!$B$124:$B$129,0),MATCH(J462,'Escalators '!$M$113:$S$113,0))</f>
        <v>1.0120900655357943</v>
      </c>
      <c r="S462" s="257">
        <f t="shared" si="104"/>
        <v>0</v>
      </c>
      <c r="T462" s="257">
        <f t="shared" si="105"/>
        <v>0</v>
      </c>
      <c r="U462" s="269">
        <f t="shared" si="106"/>
        <v>708463.04587505595</v>
      </c>
      <c r="V462" s="269">
        <f t="shared" si="107"/>
        <v>708463.04587505595</v>
      </c>
      <c r="W462" s="269">
        <f t="shared" si="108"/>
        <v>708463.04587505595</v>
      </c>
      <c r="X462" s="257">
        <f t="shared" si="109"/>
        <v>708463.04587505595</v>
      </c>
      <c r="Y462" s="270">
        <f>IF(L462="Complex",(INDEX('Escalators '!$M$176:$S$176,MATCH('Forecast capex'!J462,'Escalators '!$M$178:$S$178,0))/12+1)^((K462-J462)*12)-1,0)</f>
        <v>0</v>
      </c>
      <c r="Z462" s="257">
        <f t="shared" si="110"/>
        <v>0</v>
      </c>
      <c r="AA462" s="257">
        <f t="shared" si="111"/>
        <v>0</v>
      </c>
      <c r="AB462" s="269">
        <f t="shared" si="112"/>
        <v>0</v>
      </c>
      <c r="AC462" s="269">
        <f t="shared" si="113"/>
        <v>0</v>
      </c>
      <c r="AD462" s="271" t="str">
        <f>INDEX('Global inputs'!$C$134:$C$171,MATCH(F462,'Global inputs'!$B$134:$B$171,0))</f>
        <v>Asset replacement and renewal</v>
      </c>
      <c r="AE462" s="272">
        <f>IF(OR(H462='Operating leases'!$B$32,H462='Operating leases'!$B$33),"",INDEX('Global inputs'!$C$186:$C$243,MATCH(E462,'Global inputs'!$B$186:$B$243,0)))</f>
        <v>0</v>
      </c>
    </row>
    <row r="463" spans="1:31" s="27" customFormat="1" x14ac:dyDescent="0.2">
      <c r="A463" s="250"/>
      <c r="B463" s="210" t="s">
        <v>742</v>
      </c>
      <c r="C463" s="210" t="s">
        <v>286</v>
      </c>
      <c r="D463" s="210" t="s">
        <v>732</v>
      </c>
      <c r="E463" s="210" t="s">
        <v>136</v>
      </c>
      <c r="F463" s="210" t="s">
        <v>108</v>
      </c>
      <c r="G463" s="210" t="s">
        <v>751</v>
      </c>
      <c r="H463" s="197">
        <v>0</v>
      </c>
      <c r="I463" s="210" t="s">
        <v>229</v>
      </c>
      <c r="J463" s="210">
        <v>2021</v>
      </c>
      <c r="K463" s="210">
        <v>2021</v>
      </c>
      <c r="L463" s="268" t="str">
        <f t="shared" si="101"/>
        <v>Simple</v>
      </c>
      <c r="M463" s="197">
        <v>700000</v>
      </c>
      <c r="N463" s="197">
        <v>0</v>
      </c>
      <c r="O463" s="257">
        <f>IF(ISNA(MATCH(H463,'Operating leases'!$B$32:$B$43,0)),0,INDEX('Operating leases'!$M$32:$S$43,MATCH(H463,'Operating leases'!$B$32:$B$43,0),MATCH(J463,'Operating leases'!$M$11:$S$11,0)))</f>
        <v>0</v>
      </c>
      <c r="P463" s="257">
        <f t="shared" si="102"/>
        <v>700000</v>
      </c>
      <c r="Q463" s="257">
        <f t="shared" si="103"/>
        <v>700000</v>
      </c>
      <c r="R463" s="258">
        <f>INDEX('Escalators '!$M$124:$S$129,MATCH(I463,'Escalators '!$B$124:$B$129,0),MATCH(J463,'Escalators '!$M$113:$S$113,0))</f>
        <v>1.0206154571717865</v>
      </c>
      <c r="S463" s="257">
        <f t="shared" si="104"/>
        <v>0</v>
      </c>
      <c r="T463" s="257">
        <f t="shared" si="105"/>
        <v>0</v>
      </c>
      <c r="U463" s="269">
        <f t="shared" si="106"/>
        <v>714430.82002025051</v>
      </c>
      <c r="V463" s="269">
        <f t="shared" si="107"/>
        <v>714430.82002025051</v>
      </c>
      <c r="W463" s="269">
        <f t="shared" si="108"/>
        <v>714430.82002025051</v>
      </c>
      <c r="X463" s="257">
        <f t="shared" si="109"/>
        <v>714430.82002025051</v>
      </c>
      <c r="Y463" s="270">
        <f>IF(L463="Complex",(INDEX('Escalators '!$M$176:$S$176,MATCH('Forecast capex'!J463,'Escalators '!$M$178:$S$178,0))/12+1)^((K463-J463)*12)-1,0)</f>
        <v>0</v>
      </c>
      <c r="Z463" s="257">
        <f t="shared" si="110"/>
        <v>0</v>
      </c>
      <c r="AA463" s="257">
        <f t="shared" si="111"/>
        <v>0</v>
      </c>
      <c r="AB463" s="269">
        <f t="shared" si="112"/>
        <v>0</v>
      </c>
      <c r="AC463" s="269">
        <f t="shared" si="113"/>
        <v>0</v>
      </c>
      <c r="AD463" s="271" t="str">
        <f>INDEX('Global inputs'!$C$134:$C$171,MATCH(F463,'Global inputs'!$B$134:$B$171,0))</f>
        <v>Asset replacement and renewal</v>
      </c>
      <c r="AE463" s="272">
        <f>IF(OR(H463='Operating leases'!$B$32,H463='Operating leases'!$B$33),"",INDEX('Global inputs'!$C$186:$C$243,MATCH(E463,'Global inputs'!$B$186:$B$243,0)))</f>
        <v>0</v>
      </c>
    </row>
    <row r="464" spans="1:31" s="27" customFormat="1" x14ac:dyDescent="0.2">
      <c r="A464" s="250"/>
      <c r="B464" s="210" t="s">
        <v>738</v>
      </c>
      <c r="C464" s="210" t="s">
        <v>292</v>
      </c>
      <c r="D464" s="210" t="s">
        <v>739</v>
      </c>
      <c r="E464" s="210" t="s">
        <v>181</v>
      </c>
      <c r="F464" s="210" t="s">
        <v>89</v>
      </c>
      <c r="G464" s="210" t="s">
        <v>749</v>
      </c>
      <c r="H464" s="197">
        <v>0</v>
      </c>
      <c r="I464" s="210" t="s">
        <v>229</v>
      </c>
      <c r="J464" s="210">
        <v>2021</v>
      </c>
      <c r="K464" s="210">
        <v>2022</v>
      </c>
      <c r="L464" s="268" t="str">
        <f t="shared" si="101"/>
        <v>Complex</v>
      </c>
      <c r="M464" s="197">
        <v>90000</v>
      </c>
      <c r="N464" s="197">
        <v>0</v>
      </c>
      <c r="O464" s="257">
        <f>IF(ISNA(MATCH(H464,'Operating leases'!$B$32:$B$43,0)),0,INDEX('Operating leases'!$M$32:$S$43,MATCH(H464,'Operating leases'!$B$32:$B$43,0),MATCH(J464,'Operating leases'!$M$11:$S$11,0)))</f>
        <v>0</v>
      </c>
      <c r="P464" s="257">
        <f t="shared" si="102"/>
        <v>90000</v>
      </c>
      <c r="Q464" s="257">
        <f t="shared" si="103"/>
        <v>90000</v>
      </c>
      <c r="R464" s="258">
        <f>INDEX('Escalators '!$M$124:$S$129,MATCH(I464,'Escalators '!$B$124:$B$129,0),MATCH(J464,'Escalators '!$M$113:$S$113,0))</f>
        <v>1.0206154571717865</v>
      </c>
      <c r="S464" s="257">
        <f t="shared" si="104"/>
        <v>0</v>
      </c>
      <c r="T464" s="257">
        <f t="shared" si="105"/>
        <v>0</v>
      </c>
      <c r="U464" s="269">
        <f t="shared" si="106"/>
        <v>91855.391145460788</v>
      </c>
      <c r="V464" s="269">
        <f t="shared" si="107"/>
        <v>91855.391145460788</v>
      </c>
      <c r="W464" s="269">
        <f t="shared" si="108"/>
        <v>91855.391145460788</v>
      </c>
      <c r="X464" s="257">
        <f t="shared" si="109"/>
        <v>91855.391145460788</v>
      </c>
      <c r="Y464" s="270">
        <f>IF(L464="Complex",(INDEX('Escalators '!$M$176:$S$176,MATCH('Forecast capex'!J464,'Escalators '!$M$178:$S$178,0))/12+1)^((K464-J464)*12)-1,0)</f>
        <v>3.5566952945970565E-2</v>
      </c>
      <c r="Z464" s="257">
        <f t="shared" si="110"/>
        <v>3201.0257651373508</v>
      </c>
      <c r="AA464" s="257">
        <f t="shared" si="111"/>
        <v>3267.0163747043252</v>
      </c>
      <c r="AB464" s="269">
        <f t="shared" si="112"/>
        <v>95122.407520165114</v>
      </c>
      <c r="AC464" s="269">
        <f t="shared" si="113"/>
        <v>95122.407520165114</v>
      </c>
      <c r="AD464" s="271" t="str">
        <f>INDEX('Global inputs'!$C$134:$C$171,MATCH(F464,'Global inputs'!$B$134:$B$171,0))</f>
        <v>Non-network CAPEX</v>
      </c>
      <c r="AE464" s="272">
        <f>IF(OR(H464='Operating leases'!$B$32,H464='Operating leases'!$B$33),"",INDEX('Global inputs'!$C$186:$C$243,MATCH(E464,'Global inputs'!$B$186:$B$243,0)))</f>
        <v>0.5</v>
      </c>
    </row>
    <row r="465" spans="1:31" s="27" customFormat="1" x14ac:dyDescent="0.2">
      <c r="A465" s="250"/>
      <c r="B465" s="210" t="s">
        <v>738</v>
      </c>
      <c r="C465" s="210" t="s">
        <v>292</v>
      </c>
      <c r="D465" s="210" t="s">
        <v>739</v>
      </c>
      <c r="E465" s="210" t="s">
        <v>183</v>
      </c>
      <c r="F465" s="210" t="s">
        <v>89</v>
      </c>
      <c r="G465" s="210" t="s">
        <v>750</v>
      </c>
      <c r="H465" s="197">
        <v>0</v>
      </c>
      <c r="I465" s="210" t="s">
        <v>229</v>
      </c>
      <c r="J465" s="210">
        <v>2021</v>
      </c>
      <c r="K465" s="210">
        <v>2022</v>
      </c>
      <c r="L465" s="268" t="str">
        <f t="shared" si="101"/>
        <v>Complex</v>
      </c>
      <c r="M465" s="197">
        <v>1710000</v>
      </c>
      <c r="N465" s="197">
        <v>0</v>
      </c>
      <c r="O465" s="257">
        <f>IF(ISNA(MATCH(H465,'Operating leases'!$B$32:$B$43,0)),0,INDEX('Operating leases'!$M$32:$S$43,MATCH(H465,'Operating leases'!$B$32:$B$43,0),MATCH(J465,'Operating leases'!$M$11:$S$11,0)))</f>
        <v>0</v>
      </c>
      <c r="P465" s="257">
        <f t="shared" si="102"/>
        <v>1710000</v>
      </c>
      <c r="Q465" s="257">
        <f t="shared" si="103"/>
        <v>1710000</v>
      </c>
      <c r="R465" s="258">
        <f>INDEX('Escalators '!$M$124:$S$129,MATCH(I465,'Escalators '!$B$124:$B$129,0),MATCH(J465,'Escalators '!$M$113:$S$113,0))</f>
        <v>1.0206154571717865</v>
      </c>
      <c r="S465" s="257">
        <f t="shared" si="104"/>
        <v>0</v>
      </c>
      <c r="T465" s="257">
        <f t="shared" si="105"/>
        <v>0</v>
      </c>
      <c r="U465" s="269">
        <f t="shared" si="106"/>
        <v>1745252.4317637549</v>
      </c>
      <c r="V465" s="269">
        <f t="shared" si="107"/>
        <v>1745252.4317637549</v>
      </c>
      <c r="W465" s="269">
        <f t="shared" si="108"/>
        <v>1745252.4317637549</v>
      </c>
      <c r="X465" s="257">
        <f t="shared" si="109"/>
        <v>1745252.4317637549</v>
      </c>
      <c r="Y465" s="270">
        <f>IF(L465="Complex",(INDEX('Escalators '!$M$176:$S$176,MATCH('Forecast capex'!J465,'Escalators '!$M$178:$S$178,0))/12+1)^((K465-J465)*12)-1,0)</f>
        <v>3.5566952945970565E-2</v>
      </c>
      <c r="Z465" s="257">
        <f t="shared" si="110"/>
        <v>60819.489537609668</v>
      </c>
      <c r="AA465" s="257">
        <f t="shared" si="111"/>
        <v>62073.311119382175</v>
      </c>
      <c r="AB465" s="269">
        <f t="shared" si="112"/>
        <v>1807325.7428831372</v>
      </c>
      <c r="AC465" s="269">
        <f t="shared" si="113"/>
        <v>1807325.7428831372</v>
      </c>
      <c r="AD465" s="271" t="str">
        <f>INDEX('Global inputs'!$C$134:$C$171,MATCH(F465,'Global inputs'!$B$134:$B$171,0))</f>
        <v>Non-network CAPEX</v>
      </c>
      <c r="AE465" s="272">
        <f>IF(OR(H465='Operating leases'!$B$32,H465='Operating leases'!$B$33),"",INDEX('Global inputs'!$C$186:$C$243,MATCH(E465,'Global inputs'!$B$186:$B$243,0)))</f>
        <v>0.5</v>
      </c>
    </row>
    <row r="466" spans="1:31" s="27" customFormat="1" x14ac:dyDescent="0.2">
      <c r="A466" s="250"/>
      <c r="B466" s="210" t="s">
        <v>742</v>
      </c>
      <c r="C466" s="210" t="s">
        <v>286</v>
      </c>
      <c r="D466" s="210" t="s">
        <v>732</v>
      </c>
      <c r="E466" s="210" t="s">
        <v>136</v>
      </c>
      <c r="F466" s="210" t="s">
        <v>108</v>
      </c>
      <c r="G466" s="210" t="s">
        <v>751</v>
      </c>
      <c r="H466" s="197">
        <v>0</v>
      </c>
      <c r="I466" s="210" t="s">
        <v>221</v>
      </c>
      <c r="J466" s="210">
        <v>2021</v>
      </c>
      <c r="K466" s="210">
        <v>2022</v>
      </c>
      <c r="L466" s="268" t="str">
        <f t="shared" si="101"/>
        <v>Complex</v>
      </c>
      <c r="M466" s="197">
        <v>391500</v>
      </c>
      <c r="N466" s="197">
        <v>0</v>
      </c>
      <c r="O466" s="257">
        <f>IF(ISNA(MATCH(H466,'Operating leases'!$B$32:$B$43,0)),0,INDEX('Operating leases'!$M$32:$S$43,MATCH(H466,'Operating leases'!$B$32:$B$43,0),MATCH(J466,'Operating leases'!$M$11:$S$11,0)))</f>
        <v>0</v>
      </c>
      <c r="P466" s="257">
        <f t="shared" si="102"/>
        <v>391500</v>
      </c>
      <c r="Q466" s="257">
        <f t="shared" si="103"/>
        <v>391500</v>
      </c>
      <c r="R466" s="258">
        <f>INDEX('Escalators '!$M$124:$S$129,MATCH(I466,'Escalators '!$B$124:$B$129,0),MATCH(J466,'Escalators '!$M$113:$S$113,0))</f>
        <v>1.0120900655357943</v>
      </c>
      <c r="S466" s="257">
        <f t="shared" si="104"/>
        <v>0</v>
      </c>
      <c r="T466" s="257">
        <f t="shared" si="105"/>
        <v>0</v>
      </c>
      <c r="U466" s="269">
        <f t="shared" si="106"/>
        <v>396233.26065726345</v>
      </c>
      <c r="V466" s="269">
        <f t="shared" si="107"/>
        <v>396233.26065726345</v>
      </c>
      <c r="W466" s="269">
        <f t="shared" si="108"/>
        <v>396233.26065726345</v>
      </c>
      <c r="X466" s="257">
        <f t="shared" si="109"/>
        <v>396233.26065726345</v>
      </c>
      <c r="Y466" s="270">
        <f>IF(L466="Complex",(INDEX('Escalators '!$M$176:$S$176,MATCH('Forecast capex'!J466,'Escalators '!$M$178:$S$178,0))/12+1)^((K466-J466)*12)-1,0)</f>
        <v>3.5566952945970565E-2</v>
      </c>
      <c r="Z466" s="257">
        <f t="shared" si="110"/>
        <v>13924.462078347477</v>
      </c>
      <c r="AA466" s="257">
        <f t="shared" si="111"/>
        <v>14092.809737425379</v>
      </c>
      <c r="AB466" s="269">
        <f t="shared" si="112"/>
        <v>410326.07039468881</v>
      </c>
      <c r="AC466" s="269">
        <f t="shared" si="113"/>
        <v>410326.07039468881</v>
      </c>
      <c r="AD466" s="271" t="str">
        <f>INDEX('Global inputs'!$C$134:$C$171,MATCH(F466,'Global inputs'!$B$134:$B$171,0))</f>
        <v>Asset replacement and renewal</v>
      </c>
      <c r="AE466" s="272">
        <f>IF(OR(H466='Operating leases'!$B$32,H466='Operating leases'!$B$33),"",INDEX('Global inputs'!$C$186:$C$243,MATCH(E466,'Global inputs'!$B$186:$B$243,0)))</f>
        <v>0</v>
      </c>
    </row>
    <row r="467" spans="1:31" s="27" customFormat="1" x14ac:dyDescent="0.2">
      <c r="A467" s="250"/>
      <c r="B467" s="210" t="s">
        <v>742</v>
      </c>
      <c r="C467" s="210" t="s">
        <v>286</v>
      </c>
      <c r="D467" s="210" t="s">
        <v>732</v>
      </c>
      <c r="E467" s="210" t="s">
        <v>136</v>
      </c>
      <c r="F467" s="210" t="s">
        <v>108</v>
      </c>
      <c r="G467" s="210" t="s">
        <v>751</v>
      </c>
      <c r="H467" s="197">
        <v>0</v>
      </c>
      <c r="I467" s="210" t="s">
        <v>229</v>
      </c>
      <c r="J467" s="210">
        <v>2021</v>
      </c>
      <c r="K467" s="210">
        <v>2022</v>
      </c>
      <c r="L467" s="268" t="str">
        <f t="shared" si="101"/>
        <v>Complex</v>
      </c>
      <c r="M467" s="197">
        <v>391500</v>
      </c>
      <c r="N467" s="197">
        <v>0</v>
      </c>
      <c r="O467" s="257">
        <f>IF(ISNA(MATCH(H467,'Operating leases'!$B$32:$B$43,0)),0,INDEX('Operating leases'!$M$32:$S$43,MATCH(H467,'Operating leases'!$B$32:$B$43,0),MATCH(J467,'Operating leases'!$M$11:$S$11,0)))</f>
        <v>0</v>
      </c>
      <c r="P467" s="257">
        <f t="shared" si="102"/>
        <v>391500</v>
      </c>
      <c r="Q467" s="257">
        <f t="shared" si="103"/>
        <v>391500</v>
      </c>
      <c r="R467" s="258">
        <f>INDEX('Escalators '!$M$124:$S$129,MATCH(I467,'Escalators '!$B$124:$B$129,0),MATCH(J467,'Escalators '!$M$113:$S$113,0))</f>
        <v>1.0206154571717865</v>
      </c>
      <c r="S467" s="257">
        <f t="shared" si="104"/>
        <v>0</v>
      </c>
      <c r="T467" s="257">
        <f t="shared" si="105"/>
        <v>0</v>
      </c>
      <c r="U467" s="269">
        <f t="shared" si="106"/>
        <v>399570.95148275443</v>
      </c>
      <c r="V467" s="269">
        <f t="shared" si="107"/>
        <v>399570.95148275443</v>
      </c>
      <c r="W467" s="269">
        <f t="shared" si="108"/>
        <v>399570.95148275443</v>
      </c>
      <c r="X467" s="257">
        <f t="shared" si="109"/>
        <v>399570.95148275443</v>
      </c>
      <c r="Y467" s="270">
        <f>IF(L467="Complex",(INDEX('Escalators '!$M$176:$S$176,MATCH('Forecast capex'!J467,'Escalators '!$M$178:$S$178,0))/12+1)^((K467-J467)*12)-1,0)</f>
        <v>3.5566952945970565E-2</v>
      </c>
      <c r="Z467" s="257">
        <f t="shared" si="110"/>
        <v>13924.462078347477</v>
      </c>
      <c r="AA467" s="257">
        <f t="shared" si="111"/>
        <v>14211.521229963815</v>
      </c>
      <c r="AB467" s="269">
        <f t="shared" si="112"/>
        <v>413782.47271271824</v>
      </c>
      <c r="AC467" s="269">
        <f t="shared" si="113"/>
        <v>413782.47271271824</v>
      </c>
      <c r="AD467" s="271" t="str">
        <f>INDEX('Global inputs'!$C$134:$C$171,MATCH(F467,'Global inputs'!$B$134:$B$171,0))</f>
        <v>Asset replacement and renewal</v>
      </c>
      <c r="AE467" s="272">
        <f>IF(OR(H467='Operating leases'!$B$32,H467='Operating leases'!$B$33),"",INDEX('Global inputs'!$C$186:$C$243,MATCH(E467,'Global inputs'!$B$186:$B$243,0)))</f>
        <v>0</v>
      </c>
    </row>
    <row r="468" spans="1:31" s="27" customFormat="1" x14ac:dyDescent="0.2">
      <c r="A468" s="250"/>
      <c r="B468" s="210" t="s">
        <v>742</v>
      </c>
      <c r="C468" s="210" t="s">
        <v>286</v>
      </c>
      <c r="D468" s="210" t="s">
        <v>732</v>
      </c>
      <c r="E468" s="210" t="s">
        <v>136</v>
      </c>
      <c r="F468" s="210" t="s">
        <v>108</v>
      </c>
      <c r="G468" s="210" t="s">
        <v>751</v>
      </c>
      <c r="H468" s="197">
        <v>0</v>
      </c>
      <c r="I468" s="210" t="s">
        <v>221</v>
      </c>
      <c r="J468" s="210">
        <v>2021</v>
      </c>
      <c r="K468" s="210">
        <v>2022</v>
      </c>
      <c r="L468" s="268" t="str">
        <f t="shared" si="101"/>
        <v>Complex</v>
      </c>
      <c r="M468" s="197">
        <v>232950</v>
      </c>
      <c r="N468" s="197">
        <v>0</v>
      </c>
      <c r="O468" s="257">
        <f>IF(ISNA(MATCH(H468,'Operating leases'!$B$32:$B$43,0)),0,INDEX('Operating leases'!$M$32:$S$43,MATCH(H468,'Operating leases'!$B$32:$B$43,0),MATCH(J468,'Operating leases'!$M$11:$S$11,0)))</f>
        <v>0</v>
      </c>
      <c r="P468" s="257">
        <f t="shared" si="102"/>
        <v>232950</v>
      </c>
      <c r="Q468" s="257">
        <f t="shared" si="103"/>
        <v>232950</v>
      </c>
      <c r="R468" s="258">
        <f>INDEX('Escalators '!$M$124:$S$129,MATCH(I468,'Escalators '!$B$124:$B$129,0),MATCH(J468,'Escalators '!$M$113:$S$113,0))</f>
        <v>1.0120900655357943</v>
      </c>
      <c r="S468" s="257">
        <f t="shared" si="104"/>
        <v>0</v>
      </c>
      <c r="T468" s="257">
        <f t="shared" si="105"/>
        <v>0</v>
      </c>
      <c r="U468" s="269">
        <f t="shared" si="106"/>
        <v>235766.38076656329</v>
      </c>
      <c r="V468" s="269">
        <f t="shared" si="107"/>
        <v>235766.38076656329</v>
      </c>
      <c r="W468" s="269">
        <f t="shared" si="108"/>
        <v>235766.38076656329</v>
      </c>
      <c r="X468" s="257">
        <f t="shared" si="109"/>
        <v>235766.38076656329</v>
      </c>
      <c r="Y468" s="270">
        <f>IF(L468="Complex",(INDEX('Escalators '!$M$176:$S$176,MATCH('Forecast capex'!J468,'Escalators '!$M$178:$S$178,0))/12+1)^((K468-J468)*12)-1,0)</f>
        <v>3.5566952945970565E-2</v>
      </c>
      <c r="Z468" s="257">
        <f t="shared" si="110"/>
        <v>8285.3216887638428</v>
      </c>
      <c r="AA468" s="257">
        <f t="shared" si="111"/>
        <v>8385.4917709661368</v>
      </c>
      <c r="AB468" s="269">
        <f t="shared" si="112"/>
        <v>244151.87253752942</v>
      </c>
      <c r="AC468" s="269">
        <f t="shared" si="113"/>
        <v>244151.87253752942</v>
      </c>
      <c r="AD468" s="271" t="str">
        <f>INDEX('Global inputs'!$C$134:$C$171,MATCH(F468,'Global inputs'!$B$134:$B$171,0))</f>
        <v>Asset replacement and renewal</v>
      </c>
      <c r="AE468" s="272">
        <f>IF(OR(H468='Operating leases'!$B$32,H468='Operating leases'!$B$33),"",INDEX('Global inputs'!$C$186:$C$243,MATCH(E468,'Global inputs'!$B$186:$B$243,0)))</f>
        <v>0</v>
      </c>
    </row>
    <row r="469" spans="1:31" s="27" customFormat="1" x14ac:dyDescent="0.2">
      <c r="A469" s="250"/>
      <c r="B469" s="210" t="s">
        <v>742</v>
      </c>
      <c r="C469" s="210" t="s">
        <v>286</v>
      </c>
      <c r="D469" s="210" t="s">
        <v>732</v>
      </c>
      <c r="E469" s="210" t="s">
        <v>136</v>
      </c>
      <c r="F469" s="210" t="s">
        <v>108</v>
      </c>
      <c r="G469" s="210" t="s">
        <v>751</v>
      </c>
      <c r="H469" s="197">
        <v>0</v>
      </c>
      <c r="I469" s="210" t="s">
        <v>229</v>
      </c>
      <c r="J469" s="210">
        <v>2021</v>
      </c>
      <c r="K469" s="210">
        <v>2022</v>
      </c>
      <c r="L469" s="268" t="str">
        <f t="shared" si="101"/>
        <v>Complex</v>
      </c>
      <c r="M469" s="197">
        <v>232950</v>
      </c>
      <c r="N469" s="197">
        <v>0</v>
      </c>
      <c r="O469" s="257">
        <f>IF(ISNA(MATCH(H469,'Operating leases'!$B$32:$B$43,0)),0,INDEX('Operating leases'!$M$32:$S$43,MATCH(H469,'Operating leases'!$B$32:$B$43,0),MATCH(J469,'Operating leases'!$M$11:$S$11,0)))</f>
        <v>0</v>
      </c>
      <c r="P469" s="257">
        <f t="shared" si="102"/>
        <v>232950</v>
      </c>
      <c r="Q469" s="257">
        <f t="shared" si="103"/>
        <v>232950</v>
      </c>
      <c r="R469" s="258">
        <f>INDEX('Escalators '!$M$124:$S$129,MATCH(I469,'Escalators '!$B$124:$B$129,0),MATCH(J469,'Escalators '!$M$113:$S$113,0))</f>
        <v>1.0206154571717865</v>
      </c>
      <c r="S469" s="257">
        <f t="shared" si="104"/>
        <v>0</v>
      </c>
      <c r="T469" s="257">
        <f t="shared" si="105"/>
        <v>0</v>
      </c>
      <c r="U469" s="269">
        <f t="shared" si="106"/>
        <v>237752.37074816765</v>
      </c>
      <c r="V469" s="269">
        <f t="shared" si="107"/>
        <v>237752.37074816765</v>
      </c>
      <c r="W469" s="269">
        <f t="shared" si="108"/>
        <v>237752.37074816765</v>
      </c>
      <c r="X469" s="257">
        <f t="shared" si="109"/>
        <v>237752.37074816765</v>
      </c>
      <c r="Y469" s="270">
        <f>IF(L469="Complex",(INDEX('Escalators '!$M$176:$S$176,MATCH('Forecast capex'!J469,'Escalators '!$M$178:$S$178,0))/12+1)^((K469-J469)*12)-1,0)</f>
        <v>3.5566952945970565E-2</v>
      </c>
      <c r="Z469" s="257">
        <f t="shared" si="110"/>
        <v>8285.3216887638428</v>
      </c>
      <c r="AA469" s="257">
        <f t="shared" si="111"/>
        <v>8456.1273831930266</v>
      </c>
      <c r="AB469" s="269">
        <f t="shared" si="112"/>
        <v>246208.49813136068</v>
      </c>
      <c r="AC469" s="269">
        <f t="shared" si="113"/>
        <v>246208.49813136068</v>
      </c>
      <c r="AD469" s="271" t="str">
        <f>INDEX('Global inputs'!$C$134:$C$171,MATCH(F469,'Global inputs'!$B$134:$B$171,0))</f>
        <v>Asset replacement and renewal</v>
      </c>
      <c r="AE469" s="272">
        <f>IF(OR(H469='Operating leases'!$B$32,H469='Operating leases'!$B$33),"",INDEX('Global inputs'!$C$186:$C$243,MATCH(E469,'Global inputs'!$B$186:$B$243,0)))</f>
        <v>0</v>
      </c>
    </row>
    <row r="470" spans="1:31" s="27" customFormat="1" x14ac:dyDescent="0.2">
      <c r="A470" s="250"/>
      <c r="B470" s="210" t="s">
        <v>742</v>
      </c>
      <c r="C470" s="210" t="s">
        <v>285</v>
      </c>
      <c r="D470" s="210" t="s">
        <v>223</v>
      </c>
      <c r="E470" s="210" t="s">
        <v>134</v>
      </c>
      <c r="F470" s="210" t="s">
        <v>108</v>
      </c>
      <c r="G470" s="210" t="s">
        <v>726</v>
      </c>
      <c r="H470" s="197">
        <v>0</v>
      </c>
      <c r="I470" s="210" t="s">
        <v>221</v>
      </c>
      <c r="J470" s="210">
        <v>2021</v>
      </c>
      <c r="K470" s="210">
        <v>2022</v>
      </c>
      <c r="L470" s="268" t="str">
        <f t="shared" si="101"/>
        <v>Complex</v>
      </c>
      <c r="M470" s="197">
        <v>4485.5999999999995</v>
      </c>
      <c r="N470" s="197">
        <v>0</v>
      </c>
      <c r="O470" s="257">
        <f>IF(ISNA(MATCH(H470,'Operating leases'!$B$32:$B$43,0)),0,INDEX('Operating leases'!$M$32:$S$43,MATCH(H470,'Operating leases'!$B$32:$B$43,0),MATCH(J470,'Operating leases'!$M$11:$S$11,0)))</f>
        <v>0</v>
      </c>
      <c r="P470" s="257">
        <f t="shared" si="102"/>
        <v>4485.5999999999995</v>
      </c>
      <c r="Q470" s="257">
        <f t="shared" si="103"/>
        <v>4485.5999999999995</v>
      </c>
      <c r="R470" s="258">
        <f>INDEX('Escalators '!$M$124:$S$129,MATCH(I470,'Escalators '!$B$124:$B$129,0),MATCH(J470,'Escalators '!$M$113:$S$113,0))</f>
        <v>1.0120900655357943</v>
      </c>
      <c r="S470" s="257">
        <f t="shared" si="104"/>
        <v>0</v>
      </c>
      <c r="T470" s="257">
        <f t="shared" si="105"/>
        <v>0</v>
      </c>
      <c r="U470" s="269">
        <f t="shared" si="106"/>
        <v>4539.8311979673581</v>
      </c>
      <c r="V470" s="269">
        <f t="shared" si="107"/>
        <v>4539.8311979673581</v>
      </c>
      <c r="W470" s="269">
        <f t="shared" si="108"/>
        <v>4539.8311979673581</v>
      </c>
      <c r="X470" s="257">
        <f t="shared" si="109"/>
        <v>4539.8311979673581</v>
      </c>
      <c r="Y470" s="270">
        <f>IF(L470="Complex",(INDEX('Escalators '!$M$176:$S$176,MATCH('Forecast capex'!J470,'Escalators '!$M$178:$S$178,0))/12+1)^((K470-J470)*12)-1,0)</f>
        <v>3.5566952945970565E-2</v>
      </c>
      <c r="Z470" s="257">
        <f t="shared" si="110"/>
        <v>159.53912413444556</v>
      </c>
      <c r="AA470" s="257">
        <f t="shared" si="111"/>
        <v>161.46796260075419</v>
      </c>
      <c r="AB470" s="269">
        <f t="shared" si="112"/>
        <v>4701.2991605681127</v>
      </c>
      <c r="AC470" s="269">
        <f t="shared" si="113"/>
        <v>4701.2991605681127</v>
      </c>
      <c r="AD470" s="271" t="str">
        <f>INDEX('Global inputs'!$C$134:$C$171,MATCH(F470,'Global inputs'!$B$134:$B$171,0))</f>
        <v>Asset replacement and renewal</v>
      </c>
      <c r="AE470" s="272">
        <f>IF(OR(H470='Operating leases'!$B$32,H470='Operating leases'!$B$33),"",INDEX('Global inputs'!$C$186:$C$243,MATCH(E470,'Global inputs'!$B$186:$B$243,0)))</f>
        <v>0.08</v>
      </c>
    </row>
    <row r="471" spans="1:31" s="27" customFormat="1" x14ac:dyDescent="0.2">
      <c r="A471" s="250"/>
      <c r="B471" s="210" t="s">
        <v>742</v>
      </c>
      <c r="C471" s="210" t="s">
        <v>285</v>
      </c>
      <c r="D471" s="210" t="s">
        <v>223</v>
      </c>
      <c r="E471" s="210" t="s">
        <v>134</v>
      </c>
      <c r="F471" s="210" t="s">
        <v>108</v>
      </c>
      <c r="G471" s="210" t="s">
        <v>726</v>
      </c>
      <c r="H471" s="197">
        <v>0</v>
      </c>
      <c r="I471" s="210" t="s">
        <v>223</v>
      </c>
      <c r="J471" s="210">
        <v>2021</v>
      </c>
      <c r="K471" s="210">
        <v>2022</v>
      </c>
      <c r="L471" s="268" t="str">
        <f t="shared" si="101"/>
        <v>Complex</v>
      </c>
      <c r="M471" s="197">
        <v>1922.4</v>
      </c>
      <c r="N471" s="197">
        <v>0</v>
      </c>
      <c r="O471" s="257">
        <f>IF(ISNA(MATCH(H471,'Operating leases'!$B$32:$B$43,0)),0,INDEX('Operating leases'!$M$32:$S$43,MATCH(H471,'Operating leases'!$B$32:$B$43,0),MATCH(J471,'Operating leases'!$M$11:$S$11,0)))</f>
        <v>0</v>
      </c>
      <c r="P471" s="257">
        <f t="shared" si="102"/>
        <v>1922.4</v>
      </c>
      <c r="Q471" s="257">
        <f t="shared" si="103"/>
        <v>1922.4</v>
      </c>
      <c r="R471" s="258">
        <f>INDEX('Escalators '!$M$124:$S$129,MATCH(I471,'Escalators '!$B$124:$B$129,0),MATCH(J471,'Escalators '!$M$113:$S$113,0))</f>
        <v>1.0239888729183189</v>
      </c>
      <c r="S471" s="257">
        <f t="shared" si="104"/>
        <v>0</v>
      </c>
      <c r="T471" s="257">
        <f t="shared" si="105"/>
        <v>0</v>
      </c>
      <c r="U471" s="269">
        <f t="shared" si="106"/>
        <v>1968.5162092981764</v>
      </c>
      <c r="V471" s="269">
        <f t="shared" si="107"/>
        <v>1968.5162092981764</v>
      </c>
      <c r="W471" s="269">
        <f t="shared" si="108"/>
        <v>1968.5162092981764</v>
      </c>
      <c r="X471" s="257">
        <f t="shared" si="109"/>
        <v>1968.5162092981764</v>
      </c>
      <c r="Y471" s="270">
        <f>IF(L471="Complex",(INDEX('Escalators '!$M$176:$S$176,MATCH('Forecast capex'!J471,'Escalators '!$M$178:$S$178,0))/12+1)^((K471-J471)*12)-1,0)</f>
        <v>3.5566952945970565E-2</v>
      </c>
      <c r="Z471" s="257">
        <f t="shared" si="110"/>
        <v>68.373910343333819</v>
      </c>
      <c r="AA471" s="257">
        <f t="shared" si="111"/>
        <v>70.014123389488589</v>
      </c>
      <c r="AB471" s="269">
        <f t="shared" si="112"/>
        <v>2038.5303326876649</v>
      </c>
      <c r="AC471" s="269">
        <f t="shared" si="113"/>
        <v>2038.5303326876649</v>
      </c>
      <c r="AD471" s="271" t="str">
        <f>INDEX('Global inputs'!$C$134:$C$171,MATCH(F471,'Global inputs'!$B$134:$B$171,0))</f>
        <v>Asset replacement and renewal</v>
      </c>
      <c r="AE471" s="272">
        <f>IF(OR(H471='Operating leases'!$B$32,H471='Operating leases'!$B$33),"",INDEX('Global inputs'!$C$186:$C$243,MATCH(E471,'Global inputs'!$B$186:$B$243,0)))</f>
        <v>0.08</v>
      </c>
    </row>
    <row r="472" spans="1:31" s="27" customFormat="1" x14ac:dyDescent="0.2">
      <c r="A472" s="250"/>
      <c r="B472" s="210" t="s">
        <v>742</v>
      </c>
      <c r="C472" s="210" t="s">
        <v>286</v>
      </c>
      <c r="D472" s="210" t="s">
        <v>732</v>
      </c>
      <c r="E472" s="210" t="s">
        <v>138</v>
      </c>
      <c r="F472" s="210" t="s">
        <v>108</v>
      </c>
      <c r="G472" s="210" t="s">
        <v>752</v>
      </c>
      <c r="H472" s="197">
        <v>0</v>
      </c>
      <c r="I472" s="210" t="s">
        <v>221</v>
      </c>
      <c r="J472" s="210">
        <v>2021</v>
      </c>
      <c r="K472" s="210">
        <v>2022</v>
      </c>
      <c r="L472" s="268" t="str">
        <f t="shared" si="101"/>
        <v>Complex</v>
      </c>
      <c r="M472" s="197">
        <v>376488</v>
      </c>
      <c r="N472" s="197">
        <v>0</v>
      </c>
      <c r="O472" s="257">
        <f>IF(ISNA(MATCH(H472,'Operating leases'!$B$32:$B$43,0)),0,INDEX('Operating leases'!$M$32:$S$43,MATCH(H472,'Operating leases'!$B$32:$B$43,0),MATCH(J472,'Operating leases'!$M$11:$S$11,0)))</f>
        <v>0</v>
      </c>
      <c r="P472" s="257">
        <f t="shared" si="102"/>
        <v>376488</v>
      </c>
      <c r="Q472" s="257">
        <f t="shared" si="103"/>
        <v>376488</v>
      </c>
      <c r="R472" s="258">
        <f>INDEX('Escalators '!$M$124:$S$129,MATCH(I472,'Escalators '!$B$124:$B$129,0),MATCH(J472,'Escalators '!$M$113:$S$113,0))</f>
        <v>1.0120900655357943</v>
      </c>
      <c r="S472" s="257">
        <f t="shared" si="104"/>
        <v>0</v>
      </c>
      <c r="T472" s="257">
        <f t="shared" si="105"/>
        <v>0</v>
      </c>
      <c r="U472" s="269">
        <f t="shared" si="106"/>
        <v>381039.76459344011</v>
      </c>
      <c r="V472" s="269">
        <f t="shared" si="107"/>
        <v>381039.76459344011</v>
      </c>
      <c r="W472" s="269">
        <f t="shared" si="108"/>
        <v>381039.76459344011</v>
      </c>
      <c r="X472" s="257">
        <f t="shared" si="109"/>
        <v>381039.76459344011</v>
      </c>
      <c r="Y472" s="270">
        <f>IF(L472="Complex",(INDEX('Escalators '!$M$176:$S$176,MATCH('Forecast capex'!J472,'Escalators '!$M$178:$S$178,0))/12+1)^((K472-J472)*12)-1,0)</f>
        <v>3.5566952945970565E-2</v>
      </c>
      <c r="Z472" s="257">
        <f t="shared" si="110"/>
        <v>13390.530980722566</v>
      </c>
      <c r="AA472" s="257">
        <f t="shared" si="111"/>
        <v>13552.423377838584</v>
      </c>
      <c r="AB472" s="269">
        <f t="shared" si="112"/>
        <v>394592.18797127868</v>
      </c>
      <c r="AC472" s="269">
        <f t="shared" si="113"/>
        <v>394592.18797127868</v>
      </c>
      <c r="AD472" s="271" t="str">
        <f>INDEX('Global inputs'!$C$134:$C$171,MATCH(F472,'Global inputs'!$B$134:$B$171,0))</f>
        <v>Asset replacement and renewal</v>
      </c>
      <c r="AE472" s="272">
        <f>IF(OR(H472='Operating leases'!$B$32,H472='Operating leases'!$B$33),"",INDEX('Global inputs'!$C$186:$C$243,MATCH(E472,'Global inputs'!$B$186:$B$243,0)))</f>
        <v>0.08</v>
      </c>
    </row>
    <row r="473" spans="1:31" s="27" customFormat="1" x14ac:dyDescent="0.2">
      <c r="A473" s="250"/>
      <c r="B473" s="210" t="s">
        <v>742</v>
      </c>
      <c r="C473" s="210" t="s">
        <v>286</v>
      </c>
      <c r="D473" s="210" t="s">
        <v>732</v>
      </c>
      <c r="E473" s="210" t="s">
        <v>138</v>
      </c>
      <c r="F473" s="210" t="s">
        <v>108</v>
      </c>
      <c r="G473" s="210" t="s">
        <v>752</v>
      </c>
      <c r="H473" s="197">
        <v>0</v>
      </c>
      <c r="I473" s="210" t="s">
        <v>139</v>
      </c>
      <c r="J473" s="210">
        <v>2021</v>
      </c>
      <c r="K473" s="210">
        <v>2022</v>
      </c>
      <c r="L473" s="268" t="str">
        <f t="shared" si="101"/>
        <v>Complex</v>
      </c>
      <c r="M473" s="197">
        <v>564732</v>
      </c>
      <c r="N473" s="197">
        <v>0</v>
      </c>
      <c r="O473" s="257">
        <f>IF(ISNA(MATCH(H473,'Operating leases'!$B$32:$B$43,0)),0,INDEX('Operating leases'!$M$32:$S$43,MATCH(H473,'Operating leases'!$B$32:$B$43,0),MATCH(J473,'Operating leases'!$M$11:$S$11,0)))</f>
        <v>0</v>
      </c>
      <c r="P473" s="257">
        <f t="shared" si="102"/>
        <v>564732</v>
      </c>
      <c r="Q473" s="257">
        <f t="shared" si="103"/>
        <v>564732</v>
      </c>
      <c r="R473" s="258">
        <f>INDEX('Escalators '!$M$124:$S$129,MATCH(I473,'Escalators '!$B$124:$B$129,0),MATCH(J473,'Escalators '!$M$113:$S$113,0))</f>
        <v>1.005513233090898</v>
      </c>
      <c r="S473" s="257">
        <f t="shared" si="104"/>
        <v>0</v>
      </c>
      <c r="T473" s="257">
        <f t="shared" si="105"/>
        <v>0</v>
      </c>
      <c r="U473" s="269">
        <f t="shared" si="106"/>
        <v>567845.49914988899</v>
      </c>
      <c r="V473" s="269">
        <f t="shared" si="107"/>
        <v>567845.49914988899</v>
      </c>
      <c r="W473" s="269">
        <f t="shared" si="108"/>
        <v>567845.49914988899</v>
      </c>
      <c r="X473" s="257">
        <f t="shared" si="109"/>
        <v>567845.49914988899</v>
      </c>
      <c r="Y473" s="270">
        <f>IF(L473="Complex",(INDEX('Escalators '!$M$176:$S$176,MATCH('Forecast capex'!J473,'Escalators '!$M$178:$S$178,0))/12+1)^((K473-J473)*12)-1,0)</f>
        <v>3.5566952945970565E-2</v>
      </c>
      <c r="Z473" s="257">
        <f t="shared" si="110"/>
        <v>20085.79647108385</v>
      </c>
      <c r="AA473" s="257">
        <f t="shared" si="111"/>
        <v>20196.534148845269</v>
      </c>
      <c r="AB473" s="269">
        <f t="shared" si="112"/>
        <v>588042.03329873423</v>
      </c>
      <c r="AC473" s="269">
        <f t="shared" si="113"/>
        <v>588042.03329873423</v>
      </c>
      <c r="AD473" s="271" t="str">
        <f>INDEX('Global inputs'!$C$134:$C$171,MATCH(F473,'Global inputs'!$B$134:$B$171,0))</f>
        <v>Asset replacement and renewal</v>
      </c>
      <c r="AE473" s="272">
        <f>IF(OR(H473='Operating leases'!$B$32,H473='Operating leases'!$B$33),"",INDEX('Global inputs'!$C$186:$C$243,MATCH(E473,'Global inputs'!$B$186:$B$243,0)))</f>
        <v>0.08</v>
      </c>
    </row>
    <row r="474" spans="1:31" s="27" customFormat="1" x14ac:dyDescent="0.2">
      <c r="A474" s="250"/>
      <c r="B474" s="210" t="s">
        <v>742</v>
      </c>
      <c r="C474" s="210" t="s">
        <v>286</v>
      </c>
      <c r="D474" s="210" t="s">
        <v>732</v>
      </c>
      <c r="E474" s="210" t="s">
        <v>138</v>
      </c>
      <c r="F474" s="210" t="s">
        <v>108</v>
      </c>
      <c r="G474" s="210" t="s">
        <v>752</v>
      </c>
      <c r="H474" s="197">
        <v>0</v>
      </c>
      <c r="I474" s="210" t="s">
        <v>221</v>
      </c>
      <c r="J474" s="210">
        <v>2021</v>
      </c>
      <c r="K474" s="210">
        <v>2022</v>
      </c>
      <c r="L474" s="268" t="str">
        <f t="shared" si="101"/>
        <v>Complex</v>
      </c>
      <c r="M474" s="197">
        <v>49368</v>
      </c>
      <c r="N474" s="197">
        <v>0</v>
      </c>
      <c r="O474" s="257">
        <f>IF(ISNA(MATCH(H474,'Operating leases'!$B$32:$B$43,0)),0,INDEX('Operating leases'!$M$32:$S$43,MATCH(H474,'Operating leases'!$B$32:$B$43,0),MATCH(J474,'Operating leases'!$M$11:$S$11,0)))</f>
        <v>0</v>
      </c>
      <c r="P474" s="257">
        <f t="shared" si="102"/>
        <v>49368</v>
      </c>
      <c r="Q474" s="257">
        <f t="shared" si="103"/>
        <v>49368</v>
      </c>
      <c r="R474" s="258">
        <f>INDEX('Escalators '!$M$124:$S$129,MATCH(I474,'Escalators '!$B$124:$B$129,0),MATCH(J474,'Escalators '!$M$113:$S$113,0))</f>
        <v>1.0120900655357943</v>
      </c>
      <c r="S474" s="257">
        <f t="shared" si="104"/>
        <v>0</v>
      </c>
      <c r="T474" s="257">
        <f t="shared" si="105"/>
        <v>0</v>
      </c>
      <c r="U474" s="269">
        <f t="shared" si="106"/>
        <v>49964.862355371093</v>
      </c>
      <c r="V474" s="269">
        <f t="shared" si="107"/>
        <v>49964.862355371093</v>
      </c>
      <c r="W474" s="269">
        <f t="shared" si="108"/>
        <v>49964.862355371093</v>
      </c>
      <c r="X474" s="257">
        <f t="shared" si="109"/>
        <v>49964.862355371093</v>
      </c>
      <c r="Y474" s="270">
        <f>IF(L474="Complex",(INDEX('Escalators '!$M$176:$S$176,MATCH('Forecast capex'!J474,'Escalators '!$M$178:$S$178,0))/12+1)^((K474-J474)*12)-1,0)</f>
        <v>3.5566952945970565E-2</v>
      </c>
      <c r="Z474" s="257">
        <f t="shared" si="110"/>
        <v>1755.8693330366748</v>
      </c>
      <c r="AA474" s="257">
        <f t="shared" si="111"/>
        <v>1777.0979083453797</v>
      </c>
      <c r="AB474" s="269">
        <f t="shared" si="112"/>
        <v>51741.960263716472</v>
      </c>
      <c r="AC474" s="269">
        <f t="shared" si="113"/>
        <v>51741.960263716472</v>
      </c>
      <c r="AD474" s="271" t="str">
        <f>INDEX('Global inputs'!$C$134:$C$171,MATCH(F474,'Global inputs'!$B$134:$B$171,0))</f>
        <v>Asset replacement and renewal</v>
      </c>
      <c r="AE474" s="272">
        <f>IF(OR(H474='Operating leases'!$B$32,H474='Operating leases'!$B$33),"",INDEX('Global inputs'!$C$186:$C$243,MATCH(E474,'Global inputs'!$B$186:$B$243,0)))</f>
        <v>0.08</v>
      </c>
    </row>
    <row r="475" spans="1:31" s="27" customFormat="1" x14ac:dyDescent="0.2">
      <c r="A475" s="250"/>
      <c r="B475" s="210" t="s">
        <v>742</v>
      </c>
      <c r="C475" s="210" t="s">
        <v>286</v>
      </c>
      <c r="D475" s="210" t="s">
        <v>732</v>
      </c>
      <c r="E475" s="210" t="s">
        <v>138</v>
      </c>
      <c r="F475" s="210" t="s">
        <v>108</v>
      </c>
      <c r="G475" s="210" t="s">
        <v>752</v>
      </c>
      <c r="H475" s="197">
        <v>0</v>
      </c>
      <c r="I475" s="210" t="s">
        <v>139</v>
      </c>
      <c r="J475" s="210">
        <v>2021</v>
      </c>
      <c r="K475" s="210">
        <v>2022</v>
      </c>
      <c r="L475" s="268" t="str">
        <f t="shared" si="101"/>
        <v>Complex</v>
      </c>
      <c r="M475" s="197">
        <v>74052</v>
      </c>
      <c r="N475" s="197">
        <v>0</v>
      </c>
      <c r="O475" s="257">
        <f>IF(ISNA(MATCH(H475,'Operating leases'!$B$32:$B$43,0)),0,INDEX('Operating leases'!$M$32:$S$43,MATCH(H475,'Operating leases'!$B$32:$B$43,0),MATCH(J475,'Operating leases'!$M$11:$S$11,0)))</f>
        <v>0</v>
      </c>
      <c r="P475" s="257">
        <f t="shared" si="102"/>
        <v>74052</v>
      </c>
      <c r="Q475" s="257">
        <f t="shared" si="103"/>
        <v>74052</v>
      </c>
      <c r="R475" s="258">
        <f>INDEX('Escalators '!$M$124:$S$129,MATCH(I475,'Escalators '!$B$124:$B$129,0),MATCH(J475,'Escalators '!$M$113:$S$113,0))</f>
        <v>1.005513233090898</v>
      </c>
      <c r="S475" s="257">
        <f t="shared" si="104"/>
        <v>0</v>
      </c>
      <c r="T475" s="257">
        <f t="shared" si="105"/>
        <v>0</v>
      </c>
      <c r="U475" s="269">
        <f t="shared" si="106"/>
        <v>74460.26593684718</v>
      </c>
      <c r="V475" s="269">
        <f t="shared" si="107"/>
        <v>74460.26593684718</v>
      </c>
      <c r="W475" s="269">
        <f t="shared" si="108"/>
        <v>74460.26593684718</v>
      </c>
      <c r="X475" s="257">
        <f t="shared" si="109"/>
        <v>74460.26593684718</v>
      </c>
      <c r="Y475" s="270">
        <f>IF(L475="Complex",(INDEX('Escalators '!$M$176:$S$176,MATCH('Forecast capex'!J475,'Escalators '!$M$178:$S$178,0))/12+1)^((K475-J475)*12)-1,0)</f>
        <v>3.5566952945970565E-2</v>
      </c>
      <c r="Z475" s="257">
        <f t="shared" si="110"/>
        <v>2633.8039995550121</v>
      </c>
      <c r="AA475" s="257">
        <f t="shared" si="111"/>
        <v>2648.3247749202983</v>
      </c>
      <c r="AB475" s="269">
        <f t="shared" si="112"/>
        <v>77108.59071176748</v>
      </c>
      <c r="AC475" s="269">
        <f t="shared" si="113"/>
        <v>77108.59071176748</v>
      </c>
      <c r="AD475" s="271" t="str">
        <f>INDEX('Global inputs'!$C$134:$C$171,MATCH(F475,'Global inputs'!$B$134:$B$171,0))</f>
        <v>Asset replacement and renewal</v>
      </c>
      <c r="AE475" s="272">
        <f>IF(OR(H475='Operating leases'!$B$32,H475='Operating leases'!$B$33),"",INDEX('Global inputs'!$C$186:$C$243,MATCH(E475,'Global inputs'!$B$186:$B$243,0)))</f>
        <v>0.08</v>
      </c>
    </row>
    <row r="476" spans="1:31" s="27" customFormat="1" x14ac:dyDescent="0.2">
      <c r="A476" s="250"/>
      <c r="B476" s="210" t="s">
        <v>742</v>
      </c>
      <c r="C476" s="210" t="s">
        <v>286</v>
      </c>
      <c r="D476" s="210" t="s">
        <v>732</v>
      </c>
      <c r="E476" s="210" t="s">
        <v>140</v>
      </c>
      <c r="F476" s="210" t="s">
        <v>108</v>
      </c>
      <c r="G476" s="210" t="s">
        <v>733</v>
      </c>
      <c r="H476" s="197">
        <v>0</v>
      </c>
      <c r="I476" s="210" t="s">
        <v>221</v>
      </c>
      <c r="J476" s="210">
        <v>2021</v>
      </c>
      <c r="K476" s="210">
        <v>2022</v>
      </c>
      <c r="L476" s="268" t="str">
        <f t="shared" si="101"/>
        <v>Complex</v>
      </c>
      <c r="M476" s="197">
        <v>162000</v>
      </c>
      <c r="N476" s="197">
        <v>0</v>
      </c>
      <c r="O476" s="257">
        <f>IF(ISNA(MATCH(H476,'Operating leases'!$B$32:$B$43,0)),0,INDEX('Operating leases'!$M$32:$S$43,MATCH(H476,'Operating leases'!$B$32:$B$43,0),MATCH(J476,'Operating leases'!$M$11:$S$11,0)))</f>
        <v>0</v>
      </c>
      <c r="P476" s="257">
        <f t="shared" si="102"/>
        <v>162000</v>
      </c>
      <c r="Q476" s="257">
        <f t="shared" si="103"/>
        <v>162000</v>
      </c>
      <c r="R476" s="258">
        <f>INDEX('Escalators '!$M$124:$S$129,MATCH(I476,'Escalators '!$B$124:$B$129,0),MATCH(J476,'Escalators '!$M$113:$S$113,0))</f>
        <v>1.0120900655357943</v>
      </c>
      <c r="S476" s="257">
        <f t="shared" si="104"/>
        <v>0</v>
      </c>
      <c r="T476" s="257">
        <f t="shared" si="105"/>
        <v>0</v>
      </c>
      <c r="U476" s="269">
        <f t="shared" si="106"/>
        <v>163958.59061679867</v>
      </c>
      <c r="V476" s="269">
        <f t="shared" si="107"/>
        <v>163958.59061679867</v>
      </c>
      <c r="W476" s="269">
        <f t="shared" si="108"/>
        <v>163958.59061679867</v>
      </c>
      <c r="X476" s="257">
        <f t="shared" si="109"/>
        <v>163958.59061679867</v>
      </c>
      <c r="Y476" s="270">
        <f>IF(L476="Complex",(INDEX('Escalators '!$M$176:$S$176,MATCH('Forecast capex'!J476,'Escalators '!$M$178:$S$178,0))/12+1)^((K476-J476)*12)-1,0)</f>
        <v>3.5566952945970565E-2</v>
      </c>
      <c r="Z476" s="257">
        <f t="shared" si="110"/>
        <v>5761.8463772472314</v>
      </c>
      <c r="AA476" s="257">
        <f t="shared" si="111"/>
        <v>5831.5074775553294</v>
      </c>
      <c r="AB476" s="269">
        <f t="shared" si="112"/>
        <v>169790.09809435401</v>
      </c>
      <c r="AC476" s="269">
        <f t="shared" si="113"/>
        <v>169790.09809435401</v>
      </c>
      <c r="AD476" s="271" t="str">
        <f>INDEX('Global inputs'!$C$134:$C$171,MATCH(F476,'Global inputs'!$B$134:$B$171,0))</f>
        <v>Asset replacement and renewal</v>
      </c>
      <c r="AE476" s="272">
        <f>IF(OR(H476='Operating leases'!$B$32,H476='Operating leases'!$B$33),"",INDEX('Global inputs'!$C$186:$C$243,MATCH(E476,'Global inputs'!$B$186:$B$243,0)))</f>
        <v>0.08</v>
      </c>
    </row>
    <row r="477" spans="1:31" s="27" customFormat="1" x14ac:dyDescent="0.2">
      <c r="A477" s="250"/>
      <c r="B477" s="210" t="s">
        <v>742</v>
      </c>
      <c r="C477" s="210" t="s">
        <v>286</v>
      </c>
      <c r="D477" s="210" t="s">
        <v>732</v>
      </c>
      <c r="E477" s="210" t="s">
        <v>140</v>
      </c>
      <c r="F477" s="210" t="s">
        <v>108</v>
      </c>
      <c r="G477" s="210" t="s">
        <v>733</v>
      </c>
      <c r="H477" s="197">
        <v>0</v>
      </c>
      <c r="I477" s="210" t="s">
        <v>142</v>
      </c>
      <c r="J477" s="210">
        <v>2021</v>
      </c>
      <c r="K477" s="210">
        <v>2022</v>
      </c>
      <c r="L477" s="268" t="str">
        <f t="shared" si="101"/>
        <v>Complex</v>
      </c>
      <c r="M477" s="197">
        <v>243000</v>
      </c>
      <c r="N477" s="197">
        <v>0</v>
      </c>
      <c r="O477" s="257">
        <f>IF(ISNA(MATCH(H477,'Operating leases'!$B$32:$B$43,0)),0,INDEX('Operating leases'!$M$32:$S$43,MATCH(H477,'Operating leases'!$B$32:$B$43,0),MATCH(J477,'Operating leases'!$M$11:$S$11,0)))</f>
        <v>0</v>
      </c>
      <c r="P477" s="257">
        <f t="shared" si="102"/>
        <v>243000</v>
      </c>
      <c r="Q477" s="257">
        <f t="shared" si="103"/>
        <v>243000</v>
      </c>
      <c r="R477" s="258">
        <f>INDEX('Escalators '!$M$124:$S$129,MATCH(I477,'Escalators '!$B$124:$B$129,0),MATCH(J477,'Escalators '!$M$113:$S$113,0))</f>
        <v>1.0199504944721745</v>
      </c>
      <c r="S477" s="257">
        <f t="shared" si="104"/>
        <v>0</v>
      </c>
      <c r="T477" s="257">
        <f t="shared" si="105"/>
        <v>0</v>
      </c>
      <c r="U477" s="269">
        <f t="shared" si="106"/>
        <v>247847.97015673839</v>
      </c>
      <c r="V477" s="269">
        <f t="shared" si="107"/>
        <v>247847.97015673839</v>
      </c>
      <c r="W477" s="269">
        <f t="shared" si="108"/>
        <v>247847.97015673839</v>
      </c>
      <c r="X477" s="257">
        <f t="shared" si="109"/>
        <v>247847.97015673839</v>
      </c>
      <c r="Y477" s="270">
        <f>IF(L477="Complex",(INDEX('Escalators '!$M$176:$S$176,MATCH('Forecast capex'!J477,'Escalators '!$M$178:$S$178,0))/12+1)^((K477-J477)*12)-1,0)</f>
        <v>3.5566952945970565E-2</v>
      </c>
      <c r="Z477" s="257">
        <f t="shared" si="110"/>
        <v>8642.7695658708471</v>
      </c>
      <c r="AA477" s="257">
        <f t="shared" si="111"/>
        <v>8815.1970923190311</v>
      </c>
      <c r="AB477" s="269">
        <f t="shared" si="112"/>
        <v>256663.16724905741</v>
      </c>
      <c r="AC477" s="269">
        <f t="shared" si="113"/>
        <v>256663.16724905741</v>
      </c>
      <c r="AD477" s="271" t="str">
        <f>INDEX('Global inputs'!$C$134:$C$171,MATCH(F477,'Global inputs'!$B$134:$B$171,0))</f>
        <v>Asset replacement and renewal</v>
      </c>
      <c r="AE477" s="272">
        <f>IF(OR(H477='Operating leases'!$B$32,H477='Operating leases'!$B$33),"",INDEX('Global inputs'!$C$186:$C$243,MATCH(E477,'Global inputs'!$B$186:$B$243,0)))</f>
        <v>0.08</v>
      </c>
    </row>
    <row r="478" spans="1:31" s="27" customFormat="1" x14ac:dyDescent="0.2">
      <c r="A478" s="250"/>
      <c r="B478" s="210" t="s">
        <v>742</v>
      </c>
      <c r="C478" s="210" t="s">
        <v>286</v>
      </c>
      <c r="D478" s="210" t="s">
        <v>732</v>
      </c>
      <c r="E478" s="210" t="s">
        <v>140</v>
      </c>
      <c r="F478" s="210" t="s">
        <v>108</v>
      </c>
      <c r="G478" s="210" t="s">
        <v>733</v>
      </c>
      <c r="H478" s="197">
        <v>0</v>
      </c>
      <c r="I478" s="210" t="s">
        <v>221</v>
      </c>
      <c r="J478" s="210">
        <v>2021</v>
      </c>
      <c r="K478" s="210">
        <v>2022</v>
      </c>
      <c r="L478" s="268" t="str">
        <f t="shared" si="101"/>
        <v>Complex</v>
      </c>
      <c r="M478" s="197">
        <v>247680</v>
      </c>
      <c r="N478" s="197">
        <v>0</v>
      </c>
      <c r="O478" s="257">
        <f>IF(ISNA(MATCH(H478,'Operating leases'!$B$32:$B$43,0)),0,INDEX('Operating leases'!$M$32:$S$43,MATCH(H478,'Operating leases'!$B$32:$B$43,0),MATCH(J478,'Operating leases'!$M$11:$S$11,0)))</f>
        <v>0</v>
      </c>
      <c r="P478" s="257">
        <f t="shared" si="102"/>
        <v>247680</v>
      </c>
      <c r="Q478" s="257">
        <f t="shared" si="103"/>
        <v>247680</v>
      </c>
      <c r="R478" s="258">
        <f>INDEX('Escalators '!$M$124:$S$129,MATCH(I478,'Escalators '!$B$124:$B$129,0),MATCH(J478,'Escalators '!$M$113:$S$113,0))</f>
        <v>1.0120900655357943</v>
      </c>
      <c r="S478" s="257">
        <f t="shared" si="104"/>
        <v>0</v>
      </c>
      <c r="T478" s="257">
        <f t="shared" si="105"/>
        <v>0</v>
      </c>
      <c r="U478" s="269">
        <f t="shared" si="106"/>
        <v>250674.46743190553</v>
      </c>
      <c r="V478" s="269">
        <f t="shared" si="107"/>
        <v>250674.46743190553</v>
      </c>
      <c r="W478" s="269">
        <f t="shared" si="108"/>
        <v>250674.46743190553</v>
      </c>
      <c r="X478" s="257">
        <f t="shared" si="109"/>
        <v>250674.46743190553</v>
      </c>
      <c r="Y478" s="270">
        <f>IF(L478="Complex",(INDEX('Escalators '!$M$176:$S$176,MATCH('Forecast capex'!J478,'Escalators '!$M$178:$S$178,0))/12+1)^((K478-J478)*12)-1,0)</f>
        <v>3.5566952945970565E-2</v>
      </c>
      <c r="Z478" s="257">
        <f t="shared" si="110"/>
        <v>8809.222905657989</v>
      </c>
      <c r="AA478" s="257">
        <f t="shared" si="111"/>
        <v>8915.7269879068153</v>
      </c>
      <c r="AB478" s="269">
        <f t="shared" si="112"/>
        <v>259590.19441981235</v>
      </c>
      <c r="AC478" s="269">
        <f t="shared" si="113"/>
        <v>259590.19441981235</v>
      </c>
      <c r="AD478" s="271" t="str">
        <f>INDEX('Global inputs'!$C$134:$C$171,MATCH(F478,'Global inputs'!$B$134:$B$171,0))</f>
        <v>Asset replacement and renewal</v>
      </c>
      <c r="AE478" s="272">
        <f>IF(OR(H478='Operating leases'!$B$32,H478='Operating leases'!$B$33),"",INDEX('Global inputs'!$C$186:$C$243,MATCH(E478,'Global inputs'!$B$186:$B$243,0)))</f>
        <v>0.08</v>
      </c>
    </row>
    <row r="479" spans="1:31" s="27" customFormat="1" x14ac:dyDescent="0.2">
      <c r="A479" s="250"/>
      <c r="B479" s="210" t="s">
        <v>742</v>
      </c>
      <c r="C479" s="210" t="s">
        <v>286</v>
      </c>
      <c r="D479" s="210" t="s">
        <v>732</v>
      </c>
      <c r="E479" s="210" t="s">
        <v>140</v>
      </c>
      <c r="F479" s="210" t="s">
        <v>108</v>
      </c>
      <c r="G479" s="210" t="s">
        <v>733</v>
      </c>
      <c r="H479" s="197">
        <v>0</v>
      </c>
      <c r="I479" s="210" t="s">
        <v>142</v>
      </c>
      <c r="J479" s="210">
        <v>2021</v>
      </c>
      <c r="K479" s="210">
        <v>2022</v>
      </c>
      <c r="L479" s="268" t="str">
        <f t="shared" si="101"/>
        <v>Complex</v>
      </c>
      <c r="M479" s="197">
        <v>371520</v>
      </c>
      <c r="N479" s="197">
        <v>0</v>
      </c>
      <c r="O479" s="257">
        <f>IF(ISNA(MATCH(H479,'Operating leases'!$B$32:$B$43,0)),0,INDEX('Operating leases'!$M$32:$S$43,MATCH(H479,'Operating leases'!$B$32:$B$43,0),MATCH(J479,'Operating leases'!$M$11:$S$11,0)))</f>
        <v>0</v>
      </c>
      <c r="P479" s="257">
        <f t="shared" si="102"/>
        <v>371520</v>
      </c>
      <c r="Q479" s="257">
        <f t="shared" si="103"/>
        <v>371520</v>
      </c>
      <c r="R479" s="258">
        <f>INDEX('Escalators '!$M$124:$S$129,MATCH(I479,'Escalators '!$B$124:$B$129,0),MATCH(J479,'Escalators '!$M$113:$S$113,0))</f>
        <v>1.0199504944721745</v>
      </c>
      <c r="S479" s="257">
        <f t="shared" si="104"/>
        <v>0</v>
      </c>
      <c r="T479" s="257">
        <f t="shared" si="105"/>
        <v>0</v>
      </c>
      <c r="U479" s="269">
        <f t="shared" si="106"/>
        <v>378932.00770630228</v>
      </c>
      <c r="V479" s="269">
        <f t="shared" si="107"/>
        <v>378932.00770630228</v>
      </c>
      <c r="W479" s="269">
        <f t="shared" si="108"/>
        <v>378932.00770630228</v>
      </c>
      <c r="X479" s="257">
        <f t="shared" si="109"/>
        <v>378932.00770630228</v>
      </c>
      <c r="Y479" s="270">
        <f>IF(L479="Complex",(INDEX('Escalators '!$M$176:$S$176,MATCH('Forecast capex'!J479,'Escalators '!$M$178:$S$178,0))/12+1)^((K479-J479)*12)-1,0)</f>
        <v>3.5566952945970565E-2</v>
      </c>
      <c r="Z479" s="257">
        <f t="shared" si="110"/>
        <v>13213.834358486984</v>
      </c>
      <c r="AA479" s="257">
        <f t="shared" si="111"/>
        <v>13477.456887812208</v>
      </c>
      <c r="AB479" s="269">
        <f t="shared" si="112"/>
        <v>392409.46459411446</v>
      </c>
      <c r="AC479" s="269">
        <f t="shared" si="113"/>
        <v>392409.46459411446</v>
      </c>
      <c r="AD479" s="271" t="str">
        <f>INDEX('Global inputs'!$C$134:$C$171,MATCH(F479,'Global inputs'!$B$134:$B$171,0))</f>
        <v>Asset replacement and renewal</v>
      </c>
      <c r="AE479" s="272">
        <f>IF(OR(H479='Operating leases'!$B$32,H479='Operating leases'!$B$33),"",INDEX('Global inputs'!$C$186:$C$243,MATCH(E479,'Global inputs'!$B$186:$B$243,0)))</f>
        <v>0.08</v>
      </c>
    </row>
    <row r="480" spans="1:31" s="27" customFormat="1" x14ac:dyDescent="0.2">
      <c r="A480" s="250"/>
      <c r="B480" s="210" t="s">
        <v>742</v>
      </c>
      <c r="C480" s="210" t="s">
        <v>290</v>
      </c>
      <c r="D480" s="210" t="s">
        <v>718</v>
      </c>
      <c r="E480" s="210" t="s">
        <v>173</v>
      </c>
      <c r="F480" s="210" t="s">
        <v>108</v>
      </c>
      <c r="G480" s="210" t="s">
        <v>719</v>
      </c>
      <c r="H480" s="197">
        <v>0</v>
      </c>
      <c r="I480" s="210" t="s">
        <v>221</v>
      </c>
      <c r="J480" s="210">
        <v>2021</v>
      </c>
      <c r="K480" s="210">
        <v>2022</v>
      </c>
      <c r="L480" s="268" t="str">
        <f t="shared" si="101"/>
        <v>Complex</v>
      </c>
      <c r="M480" s="197">
        <v>4500</v>
      </c>
      <c r="N480" s="197">
        <v>0</v>
      </c>
      <c r="O480" s="257">
        <f>IF(ISNA(MATCH(H480,'Operating leases'!$B$32:$B$43,0)),0,INDEX('Operating leases'!$M$32:$S$43,MATCH(H480,'Operating leases'!$B$32:$B$43,0),MATCH(J480,'Operating leases'!$M$11:$S$11,0)))</f>
        <v>0</v>
      </c>
      <c r="P480" s="257">
        <f t="shared" si="102"/>
        <v>4500</v>
      </c>
      <c r="Q480" s="257">
        <f t="shared" si="103"/>
        <v>4500</v>
      </c>
      <c r="R480" s="258">
        <f>INDEX('Escalators '!$M$124:$S$129,MATCH(I480,'Escalators '!$B$124:$B$129,0),MATCH(J480,'Escalators '!$M$113:$S$113,0))</f>
        <v>1.0120900655357943</v>
      </c>
      <c r="S480" s="257">
        <f t="shared" si="104"/>
        <v>0</v>
      </c>
      <c r="T480" s="257">
        <f t="shared" si="105"/>
        <v>0</v>
      </c>
      <c r="U480" s="269">
        <f t="shared" si="106"/>
        <v>4554.4052949110746</v>
      </c>
      <c r="V480" s="269">
        <f t="shared" si="107"/>
        <v>4554.4052949110746</v>
      </c>
      <c r="W480" s="269">
        <f t="shared" si="108"/>
        <v>4554.4052949110746</v>
      </c>
      <c r="X480" s="257">
        <f t="shared" si="109"/>
        <v>4554.4052949110746</v>
      </c>
      <c r="Y480" s="270">
        <f>IF(L480="Complex",(INDEX('Escalators '!$M$176:$S$176,MATCH('Forecast capex'!J480,'Escalators '!$M$178:$S$178,0))/12+1)^((K480-J480)*12)-1,0)</f>
        <v>3.5566952945970565E-2</v>
      </c>
      <c r="Z480" s="257">
        <f t="shared" si="110"/>
        <v>160.05128825686754</v>
      </c>
      <c r="AA480" s="257">
        <f t="shared" si="111"/>
        <v>161.98631882098138</v>
      </c>
      <c r="AB480" s="269">
        <f t="shared" si="112"/>
        <v>4716.3916137320557</v>
      </c>
      <c r="AC480" s="269">
        <f t="shared" si="113"/>
        <v>4716.3916137320557</v>
      </c>
      <c r="AD480" s="271" t="str">
        <f>INDEX('Global inputs'!$C$134:$C$171,MATCH(F480,'Global inputs'!$B$134:$B$171,0))</f>
        <v>Asset replacement and renewal</v>
      </c>
      <c r="AE480" s="272">
        <f>IF(OR(H480='Operating leases'!$B$32,H480='Operating leases'!$B$33),"",INDEX('Global inputs'!$C$186:$C$243,MATCH(E480,'Global inputs'!$B$186:$B$243,0)))</f>
        <v>0.08</v>
      </c>
    </row>
    <row r="481" spans="1:31" s="27" customFormat="1" x14ac:dyDescent="0.2">
      <c r="A481" s="250"/>
      <c r="B481" s="210" t="s">
        <v>742</v>
      </c>
      <c r="C481" s="210" t="s">
        <v>290</v>
      </c>
      <c r="D481" s="210" t="s">
        <v>718</v>
      </c>
      <c r="E481" s="210" t="s">
        <v>173</v>
      </c>
      <c r="F481" s="210" t="s">
        <v>108</v>
      </c>
      <c r="G481" s="210" t="s">
        <v>719</v>
      </c>
      <c r="H481" s="197">
        <v>0</v>
      </c>
      <c r="I481" s="210" t="s">
        <v>142</v>
      </c>
      <c r="J481" s="210">
        <v>2021</v>
      </c>
      <c r="K481" s="210">
        <v>2022</v>
      </c>
      <c r="L481" s="268" t="str">
        <f t="shared" si="101"/>
        <v>Complex</v>
      </c>
      <c r="M481" s="197">
        <v>18000</v>
      </c>
      <c r="N481" s="197">
        <v>0</v>
      </c>
      <c r="O481" s="257">
        <f>IF(ISNA(MATCH(H481,'Operating leases'!$B$32:$B$43,0)),0,INDEX('Operating leases'!$M$32:$S$43,MATCH(H481,'Operating leases'!$B$32:$B$43,0),MATCH(J481,'Operating leases'!$M$11:$S$11,0)))</f>
        <v>0</v>
      </c>
      <c r="P481" s="257">
        <f t="shared" si="102"/>
        <v>18000</v>
      </c>
      <c r="Q481" s="257">
        <f t="shared" si="103"/>
        <v>18000</v>
      </c>
      <c r="R481" s="258">
        <f>INDEX('Escalators '!$M$124:$S$129,MATCH(I481,'Escalators '!$B$124:$B$129,0),MATCH(J481,'Escalators '!$M$113:$S$113,0))</f>
        <v>1.0199504944721745</v>
      </c>
      <c r="S481" s="257">
        <f t="shared" si="104"/>
        <v>0</v>
      </c>
      <c r="T481" s="257">
        <f t="shared" si="105"/>
        <v>0</v>
      </c>
      <c r="U481" s="269">
        <f t="shared" si="106"/>
        <v>18359.108900499141</v>
      </c>
      <c r="V481" s="269">
        <f t="shared" si="107"/>
        <v>18359.108900499141</v>
      </c>
      <c r="W481" s="269">
        <f t="shared" si="108"/>
        <v>18359.108900499141</v>
      </c>
      <c r="X481" s="257">
        <f t="shared" si="109"/>
        <v>18359.108900499141</v>
      </c>
      <c r="Y481" s="270">
        <f>IF(L481="Complex",(INDEX('Escalators '!$M$176:$S$176,MATCH('Forecast capex'!J481,'Escalators '!$M$178:$S$178,0))/12+1)^((K481-J481)*12)-1,0)</f>
        <v>3.5566952945970565E-2</v>
      </c>
      <c r="Z481" s="257">
        <f t="shared" si="110"/>
        <v>640.20515302747015</v>
      </c>
      <c r="AA481" s="257">
        <f t="shared" si="111"/>
        <v>652.97756239400235</v>
      </c>
      <c r="AB481" s="269">
        <f t="shared" si="112"/>
        <v>19012.086462893145</v>
      </c>
      <c r="AC481" s="269">
        <f t="shared" si="113"/>
        <v>19012.086462893145</v>
      </c>
      <c r="AD481" s="271" t="str">
        <f>INDEX('Global inputs'!$C$134:$C$171,MATCH(F481,'Global inputs'!$B$134:$B$171,0))</f>
        <v>Asset replacement and renewal</v>
      </c>
      <c r="AE481" s="272">
        <f>IF(OR(H481='Operating leases'!$B$32,H481='Operating leases'!$B$33),"",INDEX('Global inputs'!$C$186:$C$243,MATCH(E481,'Global inputs'!$B$186:$B$243,0)))</f>
        <v>0.08</v>
      </c>
    </row>
    <row r="482" spans="1:31" s="27" customFormat="1" x14ac:dyDescent="0.2">
      <c r="A482" s="250"/>
      <c r="B482" s="210" t="s">
        <v>742</v>
      </c>
      <c r="C482" s="210" t="s">
        <v>286</v>
      </c>
      <c r="D482" s="210" t="s">
        <v>735</v>
      </c>
      <c r="E482" s="210" t="s">
        <v>147</v>
      </c>
      <c r="F482" s="210" t="s">
        <v>108</v>
      </c>
      <c r="G482" s="210" t="s">
        <v>744</v>
      </c>
      <c r="H482" s="197">
        <v>0</v>
      </c>
      <c r="I482" s="210" t="s">
        <v>221</v>
      </c>
      <c r="J482" s="210">
        <v>2021</v>
      </c>
      <c r="K482" s="210">
        <v>2022</v>
      </c>
      <c r="L482" s="268" t="str">
        <f t="shared" si="101"/>
        <v>Complex</v>
      </c>
      <c r="M482" s="197">
        <v>28223.748</v>
      </c>
      <c r="N482" s="197">
        <v>0</v>
      </c>
      <c r="O482" s="257">
        <f>IF(ISNA(MATCH(H482,'Operating leases'!$B$32:$B$43,0)),0,INDEX('Operating leases'!$M$32:$S$43,MATCH(H482,'Operating leases'!$B$32:$B$43,0),MATCH(J482,'Operating leases'!$M$11:$S$11,0)))</f>
        <v>0</v>
      </c>
      <c r="P482" s="257">
        <f t="shared" si="102"/>
        <v>28223.748</v>
      </c>
      <c r="Q482" s="257">
        <f t="shared" si="103"/>
        <v>28223.748</v>
      </c>
      <c r="R482" s="258">
        <f>INDEX('Escalators '!$M$124:$S$129,MATCH(I482,'Escalators '!$B$124:$B$129,0),MATCH(J482,'Escalators '!$M$113:$S$113,0))</f>
        <v>1.0120900655357943</v>
      </c>
      <c r="S482" s="257">
        <f t="shared" si="104"/>
        <v>0</v>
      </c>
      <c r="T482" s="257">
        <f t="shared" si="105"/>
        <v>0</v>
      </c>
      <c r="U482" s="269">
        <f t="shared" si="106"/>
        <v>28564.974962985743</v>
      </c>
      <c r="V482" s="269">
        <f t="shared" si="107"/>
        <v>28564.974962985743</v>
      </c>
      <c r="W482" s="269">
        <f t="shared" si="108"/>
        <v>28564.974962985743</v>
      </c>
      <c r="X482" s="257">
        <f t="shared" si="109"/>
        <v>28564.974962985743</v>
      </c>
      <c r="Y482" s="270">
        <f>IF(L482="Complex",(INDEX('Escalators '!$M$176:$S$176,MATCH('Forecast capex'!J482,'Escalators '!$M$178:$S$178,0))/12+1)^((K482-J482)*12)-1,0)</f>
        <v>3.5566952945970565E-2</v>
      </c>
      <c r="Z482" s="257">
        <f t="shared" si="110"/>
        <v>1003.8327170749308</v>
      </c>
      <c r="AA482" s="257">
        <f t="shared" si="111"/>
        <v>1015.9691204113412</v>
      </c>
      <c r="AB482" s="269">
        <f t="shared" si="112"/>
        <v>29580.944083397084</v>
      </c>
      <c r="AC482" s="269">
        <f t="shared" si="113"/>
        <v>29580.944083397084</v>
      </c>
      <c r="AD482" s="271" t="str">
        <f>INDEX('Global inputs'!$C$134:$C$171,MATCH(F482,'Global inputs'!$B$134:$B$171,0))</f>
        <v>Asset replacement and renewal</v>
      </c>
      <c r="AE482" s="272">
        <f>IF(OR(H482='Operating leases'!$B$32,H482='Operating leases'!$B$33),"",INDEX('Global inputs'!$C$186:$C$243,MATCH(E482,'Global inputs'!$B$186:$B$243,0)))</f>
        <v>0.08</v>
      </c>
    </row>
    <row r="483" spans="1:31" s="27" customFormat="1" x14ac:dyDescent="0.2">
      <c r="A483" s="250"/>
      <c r="B483" s="210" t="s">
        <v>742</v>
      </c>
      <c r="C483" s="210" t="s">
        <v>286</v>
      </c>
      <c r="D483" s="210" t="s">
        <v>735</v>
      </c>
      <c r="E483" s="210" t="s">
        <v>147</v>
      </c>
      <c r="F483" s="210" t="s">
        <v>108</v>
      </c>
      <c r="G483" s="210" t="s">
        <v>744</v>
      </c>
      <c r="H483" s="197">
        <v>0</v>
      </c>
      <c r="I483" s="210" t="s">
        <v>229</v>
      </c>
      <c r="J483" s="210">
        <v>2021</v>
      </c>
      <c r="K483" s="210">
        <v>2022</v>
      </c>
      <c r="L483" s="268" t="str">
        <f t="shared" si="101"/>
        <v>Complex</v>
      </c>
      <c r="M483" s="197">
        <v>7055.9369999999999</v>
      </c>
      <c r="N483" s="197">
        <v>0</v>
      </c>
      <c r="O483" s="257">
        <f>IF(ISNA(MATCH(H483,'Operating leases'!$B$32:$B$43,0)),0,INDEX('Operating leases'!$M$32:$S$43,MATCH(H483,'Operating leases'!$B$32:$B$43,0),MATCH(J483,'Operating leases'!$M$11:$S$11,0)))</f>
        <v>0</v>
      </c>
      <c r="P483" s="257">
        <f t="shared" si="102"/>
        <v>7055.9369999999999</v>
      </c>
      <c r="Q483" s="257">
        <f t="shared" si="103"/>
        <v>7055.9369999999999</v>
      </c>
      <c r="R483" s="258">
        <f>INDEX('Escalators '!$M$124:$S$129,MATCH(I483,'Escalators '!$B$124:$B$129,0),MATCH(J483,'Escalators '!$M$113:$S$113,0))</f>
        <v>1.0206154571717865</v>
      </c>
      <c r="S483" s="257">
        <f t="shared" si="104"/>
        <v>0</v>
      </c>
      <c r="T483" s="257">
        <f t="shared" si="105"/>
        <v>0</v>
      </c>
      <c r="U483" s="269">
        <f t="shared" si="106"/>
        <v>7201.3983670303232</v>
      </c>
      <c r="V483" s="269">
        <f t="shared" si="107"/>
        <v>7201.3983670303232</v>
      </c>
      <c r="W483" s="269">
        <f t="shared" si="108"/>
        <v>7201.3983670303232</v>
      </c>
      <c r="X483" s="257">
        <f t="shared" si="109"/>
        <v>7201.3983670303232</v>
      </c>
      <c r="Y483" s="270">
        <f>IF(L483="Complex",(INDEX('Escalators '!$M$176:$S$176,MATCH('Forecast capex'!J483,'Escalators '!$M$178:$S$178,0))/12+1)^((K483-J483)*12)-1,0)</f>
        <v>3.5566952945970565E-2</v>
      </c>
      <c r="Z483" s="257">
        <f t="shared" si="110"/>
        <v>250.95817926873269</v>
      </c>
      <c r="AA483" s="257">
        <f t="shared" si="111"/>
        <v>256.13179686535676</v>
      </c>
      <c r="AB483" s="269">
        <f t="shared" si="112"/>
        <v>7457.5301638956798</v>
      </c>
      <c r="AC483" s="269">
        <f t="shared" si="113"/>
        <v>7457.5301638956798</v>
      </c>
      <c r="AD483" s="271" t="str">
        <f>INDEX('Global inputs'!$C$134:$C$171,MATCH(F483,'Global inputs'!$B$134:$B$171,0))</f>
        <v>Asset replacement and renewal</v>
      </c>
      <c r="AE483" s="272">
        <f>IF(OR(H483='Operating leases'!$B$32,H483='Operating leases'!$B$33),"",INDEX('Global inputs'!$C$186:$C$243,MATCH(E483,'Global inputs'!$B$186:$B$243,0)))</f>
        <v>0.08</v>
      </c>
    </row>
    <row r="484" spans="1:31" s="27" customFormat="1" x14ac:dyDescent="0.2">
      <c r="A484" s="250"/>
      <c r="B484" s="210" t="s">
        <v>742</v>
      </c>
      <c r="C484" s="210" t="s">
        <v>286</v>
      </c>
      <c r="D484" s="210" t="s">
        <v>735</v>
      </c>
      <c r="E484" s="210" t="s">
        <v>147</v>
      </c>
      <c r="F484" s="210" t="s">
        <v>108</v>
      </c>
      <c r="G484" s="210" t="s">
        <v>744</v>
      </c>
      <c r="H484" s="197">
        <v>0</v>
      </c>
      <c r="I484" s="210" t="s">
        <v>221</v>
      </c>
      <c r="J484" s="210">
        <v>2021</v>
      </c>
      <c r="K484" s="210">
        <v>2022</v>
      </c>
      <c r="L484" s="268" t="str">
        <f t="shared" si="101"/>
        <v>Complex</v>
      </c>
      <c r="M484" s="197">
        <v>28223.748</v>
      </c>
      <c r="N484" s="197">
        <v>0</v>
      </c>
      <c r="O484" s="257">
        <f>IF(ISNA(MATCH(H484,'Operating leases'!$B$32:$B$43,0)),0,INDEX('Operating leases'!$M$32:$S$43,MATCH(H484,'Operating leases'!$B$32:$B$43,0),MATCH(J484,'Operating leases'!$M$11:$S$11,0)))</f>
        <v>0</v>
      </c>
      <c r="P484" s="257">
        <f t="shared" si="102"/>
        <v>28223.748</v>
      </c>
      <c r="Q484" s="257">
        <f t="shared" si="103"/>
        <v>28223.748</v>
      </c>
      <c r="R484" s="258">
        <f>INDEX('Escalators '!$M$124:$S$129,MATCH(I484,'Escalators '!$B$124:$B$129,0),MATCH(J484,'Escalators '!$M$113:$S$113,0))</f>
        <v>1.0120900655357943</v>
      </c>
      <c r="S484" s="257">
        <f t="shared" si="104"/>
        <v>0</v>
      </c>
      <c r="T484" s="257">
        <f t="shared" si="105"/>
        <v>0</v>
      </c>
      <c r="U484" s="269">
        <f t="shared" si="106"/>
        <v>28564.974962985743</v>
      </c>
      <c r="V484" s="269">
        <f t="shared" si="107"/>
        <v>28564.974962985743</v>
      </c>
      <c r="W484" s="269">
        <f t="shared" si="108"/>
        <v>28564.974962985743</v>
      </c>
      <c r="X484" s="257">
        <f t="shared" si="109"/>
        <v>28564.974962985743</v>
      </c>
      <c r="Y484" s="270">
        <f>IF(L484="Complex",(INDEX('Escalators '!$M$176:$S$176,MATCH('Forecast capex'!J484,'Escalators '!$M$178:$S$178,0))/12+1)^((K484-J484)*12)-1,0)</f>
        <v>3.5566952945970565E-2</v>
      </c>
      <c r="Z484" s="257">
        <f t="shared" si="110"/>
        <v>1003.8327170749308</v>
      </c>
      <c r="AA484" s="257">
        <f t="shared" si="111"/>
        <v>1015.9691204113412</v>
      </c>
      <c r="AB484" s="269">
        <f t="shared" si="112"/>
        <v>29580.944083397084</v>
      </c>
      <c r="AC484" s="269">
        <f t="shared" si="113"/>
        <v>29580.944083397084</v>
      </c>
      <c r="AD484" s="271" t="str">
        <f>INDEX('Global inputs'!$C$134:$C$171,MATCH(F484,'Global inputs'!$B$134:$B$171,0))</f>
        <v>Asset replacement and renewal</v>
      </c>
      <c r="AE484" s="272">
        <f>IF(OR(H484='Operating leases'!$B$32,H484='Operating leases'!$B$33),"",INDEX('Global inputs'!$C$186:$C$243,MATCH(E484,'Global inputs'!$B$186:$B$243,0)))</f>
        <v>0.08</v>
      </c>
    </row>
    <row r="485" spans="1:31" s="27" customFormat="1" x14ac:dyDescent="0.2">
      <c r="A485" s="250"/>
      <c r="B485" s="210" t="s">
        <v>742</v>
      </c>
      <c r="C485" s="210" t="s">
        <v>286</v>
      </c>
      <c r="D485" s="210" t="s">
        <v>735</v>
      </c>
      <c r="E485" s="210" t="s">
        <v>147</v>
      </c>
      <c r="F485" s="210" t="s">
        <v>108</v>
      </c>
      <c r="G485" s="210" t="s">
        <v>744</v>
      </c>
      <c r="H485" s="197">
        <v>0</v>
      </c>
      <c r="I485" s="210" t="s">
        <v>229</v>
      </c>
      <c r="J485" s="210">
        <v>2021</v>
      </c>
      <c r="K485" s="210">
        <v>2022</v>
      </c>
      <c r="L485" s="268" t="str">
        <f t="shared" si="101"/>
        <v>Complex</v>
      </c>
      <c r="M485" s="197">
        <v>7055.9369999999999</v>
      </c>
      <c r="N485" s="197">
        <v>0</v>
      </c>
      <c r="O485" s="257">
        <f>IF(ISNA(MATCH(H485,'Operating leases'!$B$32:$B$43,0)),0,INDEX('Operating leases'!$M$32:$S$43,MATCH(H485,'Operating leases'!$B$32:$B$43,0),MATCH(J485,'Operating leases'!$M$11:$S$11,0)))</f>
        <v>0</v>
      </c>
      <c r="P485" s="257">
        <f t="shared" si="102"/>
        <v>7055.9369999999999</v>
      </c>
      <c r="Q485" s="257">
        <f t="shared" si="103"/>
        <v>7055.9369999999999</v>
      </c>
      <c r="R485" s="258">
        <f>INDEX('Escalators '!$M$124:$S$129,MATCH(I485,'Escalators '!$B$124:$B$129,0),MATCH(J485,'Escalators '!$M$113:$S$113,0))</f>
        <v>1.0206154571717865</v>
      </c>
      <c r="S485" s="257">
        <f t="shared" si="104"/>
        <v>0</v>
      </c>
      <c r="T485" s="257">
        <f t="shared" si="105"/>
        <v>0</v>
      </c>
      <c r="U485" s="269">
        <f t="shared" si="106"/>
        <v>7201.3983670303232</v>
      </c>
      <c r="V485" s="269">
        <f t="shared" si="107"/>
        <v>7201.3983670303232</v>
      </c>
      <c r="W485" s="269">
        <f t="shared" si="108"/>
        <v>7201.3983670303232</v>
      </c>
      <c r="X485" s="257">
        <f t="shared" si="109"/>
        <v>7201.3983670303232</v>
      </c>
      <c r="Y485" s="270">
        <f>IF(L485="Complex",(INDEX('Escalators '!$M$176:$S$176,MATCH('Forecast capex'!J485,'Escalators '!$M$178:$S$178,0))/12+1)^((K485-J485)*12)-1,0)</f>
        <v>3.5566952945970565E-2</v>
      </c>
      <c r="Z485" s="257">
        <f t="shared" si="110"/>
        <v>250.95817926873269</v>
      </c>
      <c r="AA485" s="257">
        <f t="shared" si="111"/>
        <v>256.13179686535676</v>
      </c>
      <c r="AB485" s="269">
        <f t="shared" si="112"/>
        <v>7457.5301638956798</v>
      </c>
      <c r="AC485" s="269">
        <f t="shared" si="113"/>
        <v>7457.5301638956798</v>
      </c>
      <c r="AD485" s="271" t="str">
        <f>INDEX('Global inputs'!$C$134:$C$171,MATCH(F485,'Global inputs'!$B$134:$B$171,0))</f>
        <v>Asset replacement and renewal</v>
      </c>
      <c r="AE485" s="272">
        <f>IF(OR(H485='Operating leases'!$B$32,H485='Operating leases'!$B$33),"",INDEX('Global inputs'!$C$186:$C$243,MATCH(E485,'Global inputs'!$B$186:$B$243,0)))</f>
        <v>0.08</v>
      </c>
    </row>
    <row r="486" spans="1:31" s="27" customFormat="1" x14ac:dyDescent="0.2">
      <c r="A486" s="250"/>
      <c r="B486" s="210" t="s">
        <v>742</v>
      </c>
      <c r="C486" s="210" t="s">
        <v>286</v>
      </c>
      <c r="D486" s="210" t="s">
        <v>732</v>
      </c>
      <c r="E486" s="210" t="s">
        <v>143</v>
      </c>
      <c r="F486" s="210" t="s">
        <v>108</v>
      </c>
      <c r="G486" s="210" t="s">
        <v>734</v>
      </c>
      <c r="H486" s="197">
        <v>0</v>
      </c>
      <c r="I486" s="210" t="s">
        <v>221</v>
      </c>
      <c r="J486" s="210">
        <v>2021</v>
      </c>
      <c r="K486" s="210">
        <v>2022</v>
      </c>
      <c r="L486" s="268" t="str">
        <f t="shared" si="101"/>
        <v>Complex</v>
      </c>
      <c r="M486" s="197">
        <v>2520</v>
      </c>
      <c r="N486" s="197">
        <v>0</v>
      </c>
      <c r="O486" s="257">
        <f>IF(ISNA(MATCH(H486,'Operating leases'!$B$32:$B$43,0)),0,INDEX('Operating leases'!$M$32:$S$43,MATCH(H486,'Operating leases'!$B$32:$B$43,0),MATCH(J486,'Operating leases'!$M$11:$S$11,0)))</f>
        <v>0</v>
      </c>
      <c r="P486" s="257">
        <f t="shared" si="102"/>
        <v>2520</v>
      </c>
      <c r="Q486" s="257">
        <f t="shared" si="103"/>
        <v>2520</v>
      </c>
      <c r="R486" s="258">
        <f>INDEX('Escalators '!$M$124:$S$129,MATCH(I486,'Escalators '!$B$124:$B$129,0),MATCH(J486,'Escalators '!$M$113:$S$113,0))</f>
        <v>1.0120900655357943</v>
      </c>
      <c r="S486" s="257">
        <f t="shared" si="104"/>
        <v>0</v>
      </c>
      <c r="T486" s="257">
        <f t="shared" si="105"/>
        <v>0</v>
      </c>
      <c r="U486" s="269">
        <f t="shared" si="106"/>
        <v>2550.4669651502018</v>
      </c>
      <c r="V486" s="269">
        <f t="shared" si="107"/>
        <v>2550.4669651502018</v>
      </c>
      <c r="W486" s="269">
        <f t="shared" si="108"/>
        <v>2550.4669651502018</v>
      </c>
      <c r="X486" s="257">
        <f t="shared" si="109"/>
        <v>2550.4669651502018</v>
      </c>
      <c r="Y486" s="270">
        <f>IF(L486="Complex",(INDEX('Escalators '!$M$176:$S$176,MATCH('Forecast capex'!J486,'Escalators '!$M$178:$S$178,0))/12+1)^((K486-J486)*12)-1,0)</f>
        <v>3.5566952945970565E-2</v>
      </c>
      <c r="Z486" s="257">
        <f t="shared" si="110"/>
        <v>89.628721423845818</v>
      </c>
      <c r="AA486" s="257">
        <f t="shared" si="111"/>
        <v>90.712338539749581</v>
      </c>
      <c r="AB486" s="269">
        <f t="shared" si="112"/>
        <v>2641.1793036899512</v>
      </c>
      <c r="AC486" s="269">
        <f t="shared" si="113"/>
        <v>2641.1793036899512</v>
      </c>
      <c r="AD486" s="271" t="str">
        <f>INDEX('Global inputs'!$C$134:$C$171,MATCH(F486,'Global inputs'!$B$134:$B$171,0))</f>
        <v>Asset replacement and renewal</v>
      </c>
      <c r="AE486" s="272">
        <f>IF(OR(H486='Operating leases'!$B$32,H486='Operating leases'!$B$33),"",INDEX('Global inputs'!$C$186:$C$243,MATCH(E486,'Global inputs'!$B$186:$B$243,0)))</f>
        <v>0.08</v>
      </c>
    </row>
    <row r="487" spans="1:31" s="27" customFormat="1" x14ac:dyDescent="0.2">
      <c r="A487" s="250"/>
      <c r="B487" s="210" t="s">
        <v>742</v>
      </c>
      <c r="C487" s="210" t="s">
        <v>286</v>
      </c>
      <c r="D487" s="210" t="s">
        <v>732</v>
      </c>
      <c r="E487" s="210" t="s">
        <v>143</v>
      </c>
      <c r="F487" s="210" t="s">
        <v>108</v>
      </c>
      <c r="G487" s="210" t="s">
        <v>734</v>
      </c>
      <c r="H487" s="197">
        <v>0</v>
      </c>
      <c r="I487" s="210" t="s">
        <v>142</v>
      </c>
      <c r="J487" s="210">
        <v>2021</v>
      </c>
      <c r="K487" s="210">
        <v>2022</v>
      </c>
      <c r="L487" s="268" t="str">
        <f t="shared" si="101"/>
        <v>Complex</v>
      </c>
      <c r="M487" s="197">
        <v>10080</v>
      </c>
      <c r="N487" s="197">
        <v>0</v>
      </c>
      <c r="O487" s="257">
        <f>IF(ISNA(MATCH(H487,'Operating leases'!$B$32:$B$43,0)),0,INDEX('Operating leases'!$M$32:$S$43,MATCH(H487,'Operating leases'!$B$32:$B$43,0),MATCH(J487,'Operating leases'!$M$11:$S$11,0)))</f>
        <v>0</v>
      </c>
      <c r="P487" s="257">
        <f t="shared" si="102"/>
        <v>10080</v>
      </c>
      <c r="Q487" s="257">
        <f t="shared" si="103"/>
        <v>10080</v>
      </c>
      <c r="R487" s="258">
        <f>INDEX('Escalators '!$M$124:$S$129,MATCH(I487,'Escalators '!$B$124:$B$129,0),MATCH(J487,'Escalators '!$M$113:$S$113,0))</f>
        <v>1.0199504944721745</v>
      </c>
      <c r="S487" s="257">
        <f t="shared" si="104"/>
        <v>0</v>
      </c>
      <c r="T487" s="257">
        <f t="shared" si="105"/>
        <v>0</v>
      </c>
      <c r="U487" s="269">
        <f t="shared" si="106"/>
        <v>10281.100984279519</v>
      </c>
      <c r="V487" s="269">
        <f t="shared" si="107"/>
        <v>10281.100984279519</v>
      </c>
      <c r="W487" s="269">
        <f t="shared" si="108"/>
        <v>10281.100984279519</v>
      </c>
      <c r="X487" s="257">
        <f t="shared" si="109"/>
        <v>10281.100984279519</v>
      </c>
      <c r="Y487" s="270">
        <f>IF(L487="Complex",(INDEX('Escalators '!$M$176:$S$176,MATCH('Forecast capex'!J487,'Escalators '!$M$178:$S$178,0))/12+1)^((K487-J487)*12)-1,0)</f>
        <v>3.5566952945970565E-2</v>
      </c>
      <c r="Z487" s="257">
        <f t="shared" si="110"/>
        <v>358.51488569538327</v>
      </c>
      <c r="AA487" s="257">
        <f t="shared" si="111"/>
        <v>365.66743494064133</v>
      </c>
      <c r="AB487" s="269">
        <f t="shared" si="112"/>
        <v>10646.768419220161</v>
      </c>
      <c r="AC487" s="269">
        <f t="shared" si="113"/>
        <v>10646.768419220161</v>
      </c>
      <c r="AD487" s="271" t="str">
        <f>INDEX('Global inputs'!$C$134:$C$171,MATCH(F487,'Global inputs'!$B$134:$B$171,0))</f>
        <v>Asset replacement and renewal</v>
      </c>
      <c r="AE487" s="272">
        <f>IF(OR(H487='Operating leases'!$B$32,H487='Operating leases'!$B$33),"",INDEX('Global inputs'!$C$186:$C$243,MATCH(E487,'Global inputs'!$B$186:$B$243,0)))</f>
        <v>0.08</v>
      </c>
    </row>
    <row r="488" spans="1:31" s="27" customFormat="1" x14ac:dyDescent="0.2">
      <c r="A488" s="250"/>
      <c r="B488" s="210" t="s">
        <v>742</v>
      </c>
      <c r="C488" s="210" t="s">
        <v>286</v>
      </c>
      <c r="D488" s="210" t="s">
        <v>735</v>
      </c>
      <c r="E488" s="210" t="s">
        <v>144</v>
      </c>
      <c r="F488" s="210" t="s">
        <v>108</v>
      </c>
      <c r="G488" s="210" t="s">
        <v>736</v>
      </c>
      <c r="H488" s="197">
        <v>0</v>
      </c>
      <c r="I488" s="210" t="s">
        <v>221</v>
      </c>
      <c r="J488" s="210">
        <v>2021</v>
      </c>
      <c r="K488" s="210">
        <v>2022</v>
      </c>
      <c r="L488" s="268" t="str">
        <f t="shared" si="101"/>
        <v>Complex</v>
      </c>
      <c r="M488" s="197">
        <v>137256</v>
      </c>
      <c r="N488" s="197">
        <v>0</v>
      </c>
      <c r="O488" s="257">
        <f>IF(ISNA(MATCH(H488,'Operating leases'!$B$32:$B$43,0)),0,INDEX('Operating leases'!$M$32:$S$43,MATCH(H488,'Operating leases'!$B$32:$B$43,0),MATCH(J488,'Operating leases'!$M$11:$S$11,0)))</f>
        <v>0</v>
      </c>
      <c r="P488" s="257">
        <f t="shared" si="102"/>
        <v>137256</v>
      </c>
      <c r="Q488" s="257">
        <f t="shared" si="103"/>
        <v>137256</v>
      </c>
      <c r="R488" s="258">
        <f>INDEX('Escalators '!$M$124:$S$129,MATCH(I488,'Escalators '!$B$124:$B$129,0),MATCH(J488,'Escalators '!$M$113:$S$113,0))</f>
        <v>1.0120900655357943</v>
      </c>
      <c r="S488" s="257">
        <f t="shared" si="104"/>
        <v>0</v>
      </c>
      <c r="T488" s="257">
        <f t="shared" si="105"/>
        <v>0</v>
      </c>
      <c r="U488" s="269">
        <f t="shared" si="106"/>
        <v>138915.43403518098</v>
      </c>
      <c r="V488" s="269">
        <f t="shared" si="107"/>
        <v>138915.43403518098</v>
      </c>
      <c r="W488" s="269">
        <f t="shared" si="108"/>
        <v>138915.43403518098</v>
      </c>
      <c r="X488" s="257">
        <f t="shared" si="109"/>
        <v>138915.43403518098</v>
      </c>
      <c r="Y488" s="270">
        <f>IF(L488="Complex",(INDEX('Escalators '!$M$176:$S$176,MATCH('Forecast capex'!J488,'Escalators '!$M$178:$S$178,0))/12+1)^((K488-J488)*12)-1,0)</f>
        <v>3.5566952945970565E-2</v>
      </c>
      <c r="Z488" s="257">
        <f t="shared" si="110"/>
        <v>4881.777693552136</v>
      </c>
      <c r="AA488" s="257">
        <f t="shared" si="111"/>
        <v>4940.7987057983601</v>
      </c>
      <c r="AB488" s="269">
        <f t="shared" si="112"/>
        <v>143856.23274097935</v>
      </c>
      <c r="AC488" s="269">
        <f t="shared" si="113"/>
        <v>143856.23274097935</v>
      </c>
      <c r="AD488" s="271" t="str">
        <f>INDEX('Global inputs'!$C$134:$C$171,MATCH(F488,'Global inputs'!$B$134:$B$171,0))</f>
        <v>Asset replacement and renewal</v>
      </c>
      <c r="AE488" s="272">
        <f>IF(OR(H488='Operating leases'!$B$32,H488='Operating leases'!$B$33),"",INDEX('Global inputs'!$C$186:$C$243,MATCH(E488,'Global inputs'!$B$186:$B$243,0)))</f>
        <v>0.08</v>
      </c>
    </row>
    <row r="489" spans="1:31" s="27" customFormat="1" x14ac:dyDescent="0.2">
      <c r="A489" s="250"/>
      <c r="B489" s="210" t="s">
        <v>742</v>
      </c>
      <c r="C489" s="210" t="s">
        <v>286</v>
      </c>
      <c r="D489" s="210" t="s">
        <v>735</v>
      </c>
      <c r="E489" s="210" t="s">
        <v>144</v>
      </c>
      <c r="F489" s="210" t="s">
        <v>108</v>
      </c>
      <c r="G489" s="210" t="s">
        <v>736</v>
      </c>
      <c r="H489" s="197">
        <v>0</v>
      </c>
      <c r="I489" s="210" t="s">
        <v>229</v>
      </c>
      <c r="J489" s="210">
        <v>2021</v>
      </c>
      <c r="K489" s="210">
        <v>2022</v>
      </c>
      <c r="L489" s="268" t="str">
        <f t="shared" si="101"/>
        <v>Complex</v>
      </c>
      <c r="M489" s="197">
        <v>34314</v>
      </c>
      <c r="N489" s="197">
        <v>0</v>
      </c>
      <c r="O489" s="257">
        <f>IF(ISNA(MATCH(H489,'Operating leases'!$B$32:$B$43,0)),0,INDEX('Operating leases'!$M$32:$S$43,MATCH(H489,'Operating leases'!$B$32:$B$43,0),MATCH(J489,'Operating leases'!$M$11:$S$11,0)))</f>
        <v>0</v>
      </c>
      <c r="P489" s="257">
        <f t="shared" si="102"/>
        <v>34314</v>
      </c>
      <c r="Q489" s="257">
        <f t="shared" si="103"/>
        <v>34314</v>
      </c>
      <c r="R489" s="258">
        <f>INDEX('Escalators '!$M$124:$S$129,MATCH(I489,'Escalators '!$B$124:$B$129,0),MATCH(J489,'Escalators '!$M$113:$S$113,0))</f>
        <v>1.0206154571717865</v>
      </c>
      <c r="S489" s="257">
        <f t="shared" si="104"/>
        <v>0</v>
      </c>
      <c r="T489" s="257">
        <f t="shared" si="105"/>
        <v>0</v>
      </c>
      <c r="U489" s="269">
        <f t="shared" si="106"/>
        <v>35021.398797392678</v>
      </c>
      <c r="V489" s="269">
        <f t="shared" si="107"/>
        <v>35021.398797392678</v>
      </c>
      <c r="W489" s="269">
        <f t="shared" si="108"/>
        <v>35021.398797392678</v>
      </c>
      <c r="X489" s="257">
        <f t="shared" si="109"/>
        <v>35021.398797392678</v>
      </c>
      <c r="Y489" s="270">
        <f>IF(L489="Complex",(INDEX('Escalators '!$M$176:$S$176,MATCH('Forecast capex'!J489,'Escalators '!$M$178:$S$178,0))/12+1)^((K489-J489)*12)-1,0)</f>
        <v>3.5566952945970565E-2</v>
      </c>
      <c r="Z489" s="257">
        <f t="shared" si="110"/>
        <v>1220.444423388034</v>
      </c>
      <c r="AA489" s="257">
        <f t="shared" si="111"/>
        <v>1245.6044431289356</v>
      </c>
      <c r="AB489" s="269">
        <f t="shared" si="112"/>
        <v>36267.003240521612</v>
      </c>
      <c r="AC489" s="269">
        <f t="shared" si="113"/>
        <v>36267.003240521612</v>
      </c>
      <c r="AD489" s="271" t="str">
        <f>INDEX('Global inputs'!$C$134:$C$171,MATCH(F489,'Global inputs'!$B$134:$B$171,0))</f>
        <v>Asset replacement and renewal</v>
      </c>
      <c r="AE489" s="272">
        <f>IF(OR(H489='Operating leases'!$B$32,H489='Operating leases'!$B$33),"",INDEX('Global inputs'!$C$186:$C$243,MATCH(E489,'Global inputs'!$B$186:$B$243,0)))</f>
        <v>0.08</v>
      </c>
    </row>
    <row r="490" spans="1:31" s="27" customFormat="1" x14ac:dyDescent="0.2">
      <c r="A490" s="250"/>
      <c r="B490" s="210" t="s">
        <v>742</v>
      </c>
      <c r="C490" s="210" t="s">
        <v>289</v>
      </c>
      <c r="D490" s="210" t="s">
        <v>723</v>
      </c>
      <c r="E490" s="210" t="s">
        <v>164</v>
      </c>
      <c r="F490" s="210" t="s">
        <v>108</v>
      </c>
      <c r="G490" s="210" t="s">
        <v>724</v>
      </c>
      <c r="H490" s="197">
        <v>0</v>
      </c>
      <c r="I490" s="210" t="s">
        <v>221</v>
      </c>
      <c r="J490" s="210">
        <v>2021</v>
      </c>
      <c r="K490" s="210">
        <v>2022</v>
      </c>
      <c r="L490" s="268" t="str">
        <f t="shared" si="101"/>
        <v>Complex</v>
      </c>
      <c r="M490" s="197">
        <v>3264</v>
      </c>
      <c r="N490" s="197">
        <v>0</v>
      </c>
      <c r="O490" s="257">
        <f>IF(ISNA(MATCH(H490,'Operating leases'!$B$32:$B$43,0)),0,INDEX('Operating leases'!$M$32:$S$43,MATCH(H490,'Operating leases'!$B$32:$B$43,0),MATCH(J490,'Operating leases'!$M$11:$S$11,0)))</f>
        <v>0</v>
      </c>
      <c r="P490" s="257">
        <f t="shared" si="102"/>
        <v>3264</v>
      </c>
      <c r="Q490" s="257">
        <f t="shared" si="103"/>
        <v>3264</v>
      </c>
      <c r="R490" s="258">
        <f>INDEX('Escalators '!$M$124:$S$129,MATCH(I490,'Escalators '!$B$124:$B$129,0),MATCH(J490,'Escalators '!$M$113:$S$113,0))</f>
        <v>1.0120900655357943</v>
      </c>
      <c r="S490" s="257">
        <f t="shared" si="104"/>
        <v>0</v>
      </c>
      <c r="T490" s="257">
        <f t="shared" si="105"/>
        <v>0</v>
      </c>
      <c r="U490" s="269">
        <f t="shared" si="106"/>
        <v>3303.4619739088325</v>
      </c>
      <c r="V490" s="269">
        <f t="shared" si="107"/>
        <v>3303.4619739088325</v>
      </c>
      <c r="W490" s="269">
        <f t="shared" si="108"/>
        <v>3303.4619739088325</v>
      </c>
      <c r="X490" s="257">
        <f t="shared" si="109"/>
        <v>3303.4619739088325</v>
      </c>
      <c r="Y490" s="270">
        <f>IF(L490="Complex",(INDEX('Escalators '!$M$176:$S$176,MATCH('Forecast capex'!J490,'Escalators '!$M$178:$S$178,0))/12+1)^((K490-J490)*12)-1,0)</f>
        <v>3.5566952945970565E-2</v>
      </c>
      <c r="Z490" s="257">
        <f t="shared" si="110"/>
        <v>116.09053441564792</v>
      </c>
      <c r="AA490" s="257">
        <f t="shared" si="111"/>
        <v>117.49407658481849</v>
      </c>
      <c r="AB490" s="269">
        <f t="shared" si="112"/>
        <v>3420.9560504936512</v>
      </c>
      <c r="AC490" s="269">
        <f t="shared" si="113"/>
        <v>3420.9560504936512</v>
      </c>
      <c r="AD490" s="271" t="str">
        <f>INDEX('Global inputs'!$C$134:$C$171,MATCH(F490,'Global inputs'!$B$134:$B$171,0))</f>
        <v>Asset replacement and renewal</v>
      </c>
      <c r="AE490" s="272">
        <f>IF(OR(H490='Operating leases'!$B$32,H490='Operating leases'!$B$33),"",INDEX('Global inputs'!$C$186:$C$243,MATCH(E490,'Global inputs'!$B$186:$B$243,0)))</f>
        <v>0.08</v>
      </c>
    </row>
    <row r="491" spans="1:31" s="27" customFormat="1" x14ac:dyDescent="0.2">
      <c r="A491" s="250"/>
      <c r="B491" s="210" t="s">
        <v>742</v>
      </c>
      <c r="C491" s="210" t="s">
        <v>289</v>
      </c>
      <c r="D491" s="210" t="s">
        <v>723</v>
      </c>
      <c r="E491" s="210" t="s">
        <v>164</v>
      </c>
      <c r="F491" s="210" t="s">
        <v>108</v>
      </c>
      <c r="G491" s="210" t="s">
        <v>724</v>
      </c>
      <c r="H491" s="197">
        <v>0</v>
      </c>
      <c r="I491" s="210" t="s">
        <v>139</v>
      </c>
      <c r="J491" s="210">
        <v>2021</v>
      </c>
      <c r="K491" s="210">
        <v>2022</v>
      </c>
      <c r="L491" s="268" t="str">
        <f t="shared" si="101"/>
        <v>Complex</v>
      </c>
      <c r="M491" s="197">
        <v>13056</v>
      </c>
      <c r="N491" s="197">
        <v>0</v>
      </c>
      <c r="O491" s="257">
        <f>IF(ISNA(MATCH(H491,'Operating leases'!$B$32:$B$43,0)),0,INDEX('Operating leases'!$M$32:$S$43,MATCH(H491,'Operating leases'!$B$32:$B$43,0),MATCH(J491,'Operating leases'!$M$11:$S$11,0)))</f>
        <v>0</v>
      </c>
      <c r="P491" s="257">
        <f t="shared" si="102"/>
        <v>13056</v>
      </c>
      <c r="Q491" s="257">
        <f t="shared" si="103"/>
        <v>13056</v>
      </c>
      <c r="R491" s="258">
        <f>INDEX('Escalators '!$M$124:$S$129,MATCH(I491,'Escalators '!$B$124:$B$129,0),MATCH(J491,'Escalators '!$M$113:$S$113,0))</f>
        <v>1.005513233090898</v>
      </c>
      <c r="S491" s="257">
        <f t="shared" si="104"/>
        <v>0</v>
      </c>
      <c r="T491" s="257">
        <f t="shared" si="105"/>
        <v>0</v>
      </c>
      <c r="U491" s="269">
        <f t="shared" si="106"/>
        <v>13127.980771234765</v>
      </c>
      <c r="V491" s="269">
        <f t="shared" si="107"/>
        <v>13127.980771234765</v>
      </c>
      <c r="W491" s="269">
        <f t="shared" si="108"/>
        <v>13127.980771234765</v>
      </c>
      <c r="X491" s="257">
        <f t="shared" si="109"/>
        <v>13127.980771234765</v>
      </c>
      <c r="Y491" s="270">
        <f>IF(L491="Complex",(INDEX('Escalators '!$M$176:$S$176,MATCH('Forecast capex'!J491,'Escalators '!$M$178:$S$178,0))/12+1)^((K491-J491)*12)-1,0)</f>
        <v>3.5566952945970565E-2</v>
      </c>
      <c r="Z491" s="257">
        <f t="shared" si="110"/>
        <v>464.36213766259169</v>
      </c>
      <c r="AA491" s="257">
        <f t="shared" si="111"/>
        <v>466.92227436611324</v>
      </c>
      <c r="AB491" s="269">
        <f t="shared" si="112"/>
        <v>13594.903045600879</v>
      </c>
      <c r="AC491" s="269">
        <f t="shared" si="113"/>
        <v>13594.903045600879</v>
      </c>
      <c r="AD491" s="271" t="str">
        <f>INDEX('Global inputs'!$C$134:$C$171,MATCH(F491,'Global inputs'!$B$134:$B$171,0))</f>
        <v>Asset replacement and renewal</v>
      </c>
      <c r="AE491" s="272">
        <f>IF(OR(H491='Operating leases'!$B$32,H491='Operating leases'!$B$33),"",INDEX('Global inputs'!$C$186:$C$243,MATCH(E491,'Global inputs'!$B$186:$B$243,0)))</f>
        <v>0.08</v>
      </c>
    </row>
    <row r="492" spans="1:31" s="27" customFormat="1" x14ac:dyDescent="0.2">
      <c r="A492" s="250"/>
      <c r="B492" s="210" t="s">
        <v>742</v>
      </c>
      <c r="C492" s="210" t="s">
        <v>286</v>
      </c>
      <c r="D492" s="210" t="s">
        <v>732</v>
      </c>
      <c r="E492" s="210" t="s">
        <v>146</v>
      </c>
      <c r="F492" s="210" t="s">
        <v>108</v>
      </c>
      <c r="G492" s="210" t="s">
        <v>753</v>
      </c>
      <c r="H492" s="197">
        <v>0</v>
      </c>
      <c r="I492" s="210" t="s">
        <v>221</v>
      </c>
      <c r="J492" s="210">
        <v>2021</v>
      </c>
      <c r="K492" s="210">
        <v>2022</v>
      </c>
      <c r="L492" s="268" t="str">
        <f t="shared" si="101"/>
        <v>Complex</v>
      </c>
      <c r="M492" s="197">
        <v>12000</v>
      </c>
      <c r="N492" s="197">
        <v>0</v>
      </c>
      <c r="O492" s="257">
        <f>IF(ISNA(MATCH(H492,'Operating leases'!$B$32:$B$43,0)),0,INDEX('Operating leases'!$M$32:$S$43,MATCH(H492,'Operating leases'!$B$32:$B$43,0),MATCH(J492,'Operating leases'!$M$11:$S$11,0)))</f>
        <v>0</v>
      </c>
      <c r="P492" s="257">
        <f t="shared" si="102"/>
        <v>12000</v>
      </c>
      <c r="Q492" s="257">
        <f t="shared" si="103"/>
        <v>12000</v>
      </c>
      <c r="R492" s="258">
        <f>INDEX('Escalators '!$M$124:$S$129,MATCH(I492,'Escalators '!$B$124:$B$129,0),MATCH(J492,'Escalators '!$M$113:$S$113,0))</f>
        <v>1.0120900655357943</v>
      </c>
      <c r="S492" s="257">
        <f t="shared" si="104"/>
        <v>0</v>
      </c>
      <c r="T492" s="257">
        <f t="shared" si="105"/>
        <v>0</v>
      </c>
      <c r="U492" s="269">
        <f t="shared" si="106"/>
        <v>12145.080786429531</v>
      </c>
      <c r="V492" s="269">
        <f t="shared" si="107"/>
        <v>12145.080786429531</v>
      </c>
      <c r="W492" s="269">
        <f t="shared" si="108"/>
        <v>12145.080786429531</v>
      </c>
      <c r="X492" s="257">
        <f t="shared" si="109"/>
        <v>12145.080786429531</v>
      </c>
      <c r="Y492" s="270">
        <f>IF(L492="Complex",(INDEX('Escalators '!$M$176:$S$176,MATCH('Forecast capex'!J492,'Escalators '!$M$178:$S$178,0))/12+1)^((K492-J492)*12)-1,0)</f>
        <v>3.5566952945970565E-2</v>
      </c>
      <c r="Z492" s="257">
        <f t="shared" si="110"/>
        <v>426.80343535164678</v>
      </c>
      <c r="AA492" s="257">
        <f t="shared" si="111"/>
        <v>431.96351685595033</v>
      </c>
      <c r="AB492" s="269">
        <f t="shared" si="112"/>
        <v>12577.044303285482</v>
      </c>
      <c r="AC492" s="269">
        <f t="shared" si="113"/>
        <v>12577.044303285482</v>
      </c>
      <c r="AD492" s="271" t="str">
        <f>INDEX('Global inputs'!$C$134:$C$171,MATCH(F492,'Global inputs'!$B$134:$B$171,0))</f>
        <v>Asset replacement and renewal</v>
      </c>
      <c r="AE492" s="272">
        <f>IF(OR(H492='Operating leases'!$B$32,H492='Operating leases'!$B$33),"",INDEX('Global inputs'!$C$186:$C$243,MATCH(E492,'Global inputs'!$B$186:$B$243,0)))</f>
        <v>0.08</v>
      </c>
    </row>
    <row r="493" spans="1:31" s="27" customFormat="1" x14ac:dyDescent="0.2">
      <c r="A493" s="250"/>
      <c r="B493" s="210" t="s">
        <v>742</v>
      </c>
      <c r="C493" s="210" t="s">
        <v>286</v>
      </c>
      <c r="D493" s="210" t="s">
        <v>732</v>
      </c>
      <c r="E493" s="210" t="s">
        <v>146</v>
      </c>
      <c r="F493" s="210" t="s">
        <v>108</v>
      </c>
      <c r="G493" s="210" t="s">
        <v>753</v>
      </c>
      <c r="H493" s="197">
        <v>0</v>
      </c>
      <c r="I493" s="210" t="s">
        <v>229</v>
      </c>
      <c r="J493" s="210">
        <v>2021</v>
      </c>
      <c r="K493" s="210">
        <v>2022</v>
      </c>
      <c r="L493" s="268" t="str">
        <f t="shared" si="101"/>
        <v>Complex</v>
      </c>
      <c r="M493" s="197">
        <v>18000</v>
      </c>
      <c r="N493" s="197">
        <v>0</v>
      </c>
      <c r="O493" s="257">
        <f>IF(ISNA(MATCH(H493,'Operating leases'!$B$32:$B$43,0)),0,INDEX('Operating leases'!$M$32:$S$43,MATCH(H493,'Operating leases'!$B$32:$B$43,0),MATCH(J493,'Operating leases'!$M$11:$S$11,0)))</f>
        <v>0</v>
      </c>
      <c r="P493" s="257">
        <f t="shared" si="102"/>
        <v>18000</v>
      </c>
      <c r="Q493" s="257">
        <f t="shared" si="103"/>
        <v>18000</v>
      </c>
      <c r="R493" s="258">
        <f>INDEX('Escalators '!$M$124:$S$129,MATCH(I493,'Escalators '!$B$124:$B$129,0),MATCH(J493,'Escalators '!$M$113:$S$113,0))</f>
        <v>1.0206154571717865</v>
      </c>
      <c r="S493" s="257">
        <f t="shared" si="104"/>
        <v>0</v>
      </c>
      <c r="T493" s="257">
        <f t="shared" si="105"/>
        <v>0</v>
      </c>
      <c r="U493" s="269">
        <f t="shared" si="106"/>
        <v>18371.078229092156</v>
      </c>
      <c r="V493" s="269">
        <f t="shared" si="107"/>
        <v>18371.078229092156</v>
      </c>
      <c r="W493" s="269">
        <f t="shared" si="108"/>
        <v>18371.078229092156</v>
      </c>
      <c r="X493" s="257">
        <f t="shared" si="109"/>
        <v>18371.078229092156</v>
      </c>
      <c r="Y493" s="270">
        <f>IF(L493="Complex",(INDEX('Escalators '!$M$176:$S$176,MATCH('Forecast capex'!J493,'Escalators '!$M$178:$S$178,0))/12+1)^((K493-J493)*12)-1,0)</f>
        <v>3.5566952945970565E-2</v>
      </c>
      <c r="Z493" s="257">
        <f t="shared" si="110"/>
        <v>640.20515302747015</v>
      </c>
      <c r="AA493" s="257">
        <f t="shared" si="111"/>
        <v>653.403274940865</v>
      </c>
      <c r="AB493" s="269">
        <f t="shared" si="112"/>
        <v>19024.481504033021</v>
      </c>
      <c r="AC493" s="269">
        <f t="shared" si="113"/>
        <v>19024.481504033021</v>
      </c>
      <c r="AD493" s="271" t="str">
        <f>INDEX('Global inputs'!$C$134:$C$171,MATCH(F493,'Global inputs'!$B$134:$B$171,0))</f>
        <v>Asset replacement and renewal</v>
      </c>
      <c r="AE493" s="272">
        <f>IF(OR(H493='Operating leases'!$B$32,H493='Operating leases'!$B$33),"",INDEX('Global inputs'!$C$186:$C$243,MATCH(E493,'Global inputs'!$B$186:$B$243,0)))</f>
        <v>0.08</v>
      </c>
    </row>
    <row r="494" spans="1:31" s="27" customFormat="1" x14ac:dyDescent="0.2">
      <c r="A494" s="250"/>
      <c r="B494" s="210" t="s">
        <v>742</v>
      </c>
      <c r="C494" s="210" t="s">
        <v>288</v>
      </c>
      <c r="D494" s="210" t="s">
        <v>223</v>
      </c>
      <c r="E494" s="210" t="s">
        <v>156</v>
      </c>
      <c r="F494" s="210" t="s">
        <v>108</v>
      </c>
      <c r="G494" s="210" t="s">
        <v>727</v>
      </c>
      <c r="H494" s="197">
        <v>0</v>
      </c>
      <c r="I494" s="210" t="s">
        <v>221</v>
      </c>
      <c r="J494" s="210">
        <v>2021</v>
      </c>
      <c r="K494" s="210">
        <v>2022</v>
      </c>
      <c r="L494" s="268" t="str">
        <f t="shared" si="101"/>
        <v>Complex</v>
      </c>
      <c r="M494" s="197">
        <v>7534.8</v>
      </c>
      <c r="N494" s="197">
        <v>0</v>
      </c>
      <c r="O494" s="257">
        <f>IF(ISNA(MATCH(H494,'Operating leases'!$B$32:$B$43,0)),0,INDEX('Operating leases'!$M$32:$S$43,MATCH(H494,'Operating leases'!$B$32:$B$43,0),MATCH(J494,'Operating leases'!$M$11:$S$11,0)))</f>
        <v>0</v>
      </c>
      <c r="P494" s="257">
        <f t="shared" si="102"/>
        <v>7534.8</v>
      </c>
      <c r="Q494" s="257">
        <f t="shared" si="103"/>
        <v>7534.8</v>
      </c>
      <c r="R494" s="258">
        <f>INDEX('Escalators '!$M$124:$S$129,MATCH(I494,'Escalators '!$B$124:$B$129,0),MATCH(J494,'Escalators '!$M$113:$S$113,0))</f>
        <v>1.0120900655357943</v>
      </c>
      <c r="S494" s="257">
        <f t="shared" si="104"/>
        <v>0</v>
      </c>
      <c r="T494" s="257">
        <f t="shared" si="105"/>
        <v>0</v>
      </c>
      <c r="U494" s="269">
        <f t="shared" si="106"/>
        <v>7625.8962257991034</v>
      </c>
      <c r="V494" s="269">
        <f t="shared" si="107"/>
        <v>7625.8962257991034</v>
      </c>
      <c r="W494" s="269">
        <f t="shared" si="108"/>
        <v>7625.8962257991034</v>
      </c>
      <c r="X494" s="257">
        <f t="shared" si="109"/>
        <v>7625.8962257991034</v>
      </c>
      <c r="Y494" s="270">
        <f>IF(L494="Complex",(INDEX('Escalators '!$M$176:$S$176,MATCH('Forecast capex'!J494,'Escalators '!$M$178:$S$178,0))/12+1)^((K494-J494)*12)-1,0)</f>
        <v>3.5566952945970565E-2</v>
      </c>
      <c r="Z494" s="257">
        <f t="shared" si="110"/>
        <v>267.989877057299</v>
      </c>
      <c r="AA494" s="257">
        <f t="shared" si="111"/>
        <v>271.22989223385122</v>
      </c>
      <c r="AB494" s="269">
        <f t="shared" si="112"/>
        <v>7897.1261180329548</v>
      </c>
      <c r="AC494" s="269">
        <f t="shared" si="113"/>
        <v>7897.1261180329548</v>
      </c>
      <c r="AD494" s="271" t="str">
        <f>INDEX('Global inputs'!$C$134:$C$171,MATCH(F494,'Global inputs'!$B$134:$B$171,0))</f>
        <v>Asset replacement and renewal</v>
      </c>
      <c r="AE494" s="272">
        <f>IF(OR(H494='Operating leases'!$B$32,H494='Operating leases'!$B$33),"",INDEX('Global inputs'!$C$186:$C$243,MATCH(E494,'Global inputs'!$B$186:$B$243,0)))</f>
        <v>0.08</v>
      </c>
    </row>
    <row r="495" spans="1:31" s="27" customFormat="1" x14ac:dyDescent="0.2">
      <c r="A495" s="250"/>
      <c r="B495" s="210" t="s">
        <v>742</v>
      </c>
      <c r="C495" s="210" t="s">
        <v>288</v>
      </c>
      <c r="D495" s="210" t="s">
        <v>223</v>
      </c>
      <c r="E495" s="210" t="s">
        <v>156</v>
      </c>
      <c r="F495" s="210" t="s">
        <v>108</v>
      </c>
      <c r="G495" s="210" t="s">
        <v>727</v>
      </c>
      <c r="H495" s="197">
        <v>0</v>
      </c>
      <c r="I495" s="210" t="s">
        <v>223</v>
      </c>
      <c r="J495" s="210">
        <v>2021</v>
      </c>
      <c r="K495" s="210">
        <v>2022</v>
      </c>
      <c r="L495" s="268" t="str">
        <f t="shared" si="101"/>
        <v>Complex</v>
      </c>
      <c r="M495" s="197">
        <v>3229.2</v>
      </c>
      <c r="N495" s="197">
        <v>0</v>
      </c>
      <c r="O495" s="257">
        <f>IF(ISNA(MATCH(H495,'Operating leases'!$B$32:$B$43,0)),0,INDEX('Operating leases'!$M$32:$S$43,MATCH(H495,'Operating leases'!$B$32:$B$43,0),MATCH(J495,'Operating leases'!$M$11:$S$11,0)))</f>
        <v>0</v>
      </c>
      <c r="P495" s="257">
        <f t="shared" si="102"/>
        <v>3229.2</v>
      </c>
      <c r="Q495" s="257">
        <f t="shared" si="103"/>
        <v>3229.2</v>
      </c>
      <c r="R495" s="258">
        <f>INDEX('Escalators '!$M$124:$S$129,MATCH(I495,'Escalators '!$B$124:$B$129,0),MATCH(J495,'Escalators '!$M$113:$S$113,0))</f>
        <v>1.0239888729183189</v>
      </c>
      <c r="S495" s="257">
        <f t="shared" si="104"/>
        <v>0</v>
      </c>
      <c r="T495" s="257">
        <f t="shared" si="105"/>
        <v>0</v>
      </c>
      <c r="U495" s="269">
        <f t="shared" si="106"/>
        <v>3306.6648684278352</v>
      </c>
      <c r="V495" s="269">
        <f t="shared" si="107"/>
        <v>3306.6648684278352</v>
      </c>
      <c r="W495" s="269">
        <f t="shared" si="108"/>
        <v>3306.6648684278352</v>
      </c>
      <c r="X495" s="257">
        <f t="shared" si="109"/>
        <v>3306.6648684278352</v>
      </c>
      <c r="Y495" s="270">
        <f>IF(L495="Complex",(INDEX('Escalators '!$M$176:$S$176,MATCH('Forecast capex'!J495,'Escalators '!$M$178:$S$178,0))/12+1)^((K495-J495)*12)-1,0)</f>
        <v>3.5566952945970565E-2</v>
      </c>
      <c r="Z495" s="257">
        <f t="shared" si="110"/>
        <v>114.85280445312814</v>
      </c>
      <c r="AA495" s="257">
        <f t="shared" si="111"/>
        <v>117.60799378346677</v>
      </c>
      <c r="AB495" s="269">
        <f t="shared" si="112"/>
        <v>3424.2728622113018</v>
      </c>
      <c r="AC495" s="269">
        <f t="shared" si="113"/>
        <v>3424.2728622113018</v>
      </c>
      <c r="AD495" s="271" t="str">
        <f>INDEX('Global inputs'!$C$134:$C$171,MATCH(F495,'Global inputs'!$B$134:$B$171,0))</f>
        <v>Asset replacement and renewal</v>
      </c>
      <c r="AE495" s="272">
        <f>IF(OR(H495='Operating leases'!$B$32,H495='Operating leases'!$B$33),"",INDEX('Global inputs'!$C$186:$C$243,MATCH(E495,'Global inputs'!$B$186:$B$243,0)))</f>
        <v>0.08</v>
      </c>
    </row>
    <row r="496" spans="1:31" s="27" customFormat="1" x14ac:dyDescent="0.2">
      <c r="A496" s="250"/>
      <c r="B496" s="210" t="s">
        <v>742</v>
      </c>
      <c r="C496" s="210" t="s">
        <v>291</v>
      </c>
      <c r="D496" s="210" t="s">
        <v>735</v>
      </c>
      <c r="E496" s="210" t="s">
        <v>175</v>
      </c>
      <c r="F496" s="210" t="s">
        <v>108</v>
      </c>
      <c r="G496" s="210" t="s">
        <v>748</v>
      </c>
      <c r="H496" s="197">
        <v>0</v>
      </c>
      <c r="I496" s="210" t="s">
        <v>221</v>
      </c>
      <c r="J496" s="210">
        <v>2021</v>
      </c>
      <c r="K496" s="210">
        <v>2022</v>
      </c>
      <c r="L496" s="268" t="str">
        <f t="shared" si="101"/>
        <v>Complex</v>
      </c>
      <c r="M496" s="197">
        <v>35280</v>
      </c>
      <c r="N496" s="197">
        <v>0</v>
      </c>
      <c r="O496" s="257">
        <f>IF(ISNA(MATCH(H496,'Operating leases'!$B$32:$B$43,0)),0,INDEX('Operating leases'!$M$32:$S$43,MATCH(H496,'Operating leases'!$B$32:$B$43,0),MATCH(J496,'Operating leases'!$M$11:$S$11,0)))</f>
        <v>0</v>
      </c>
      <c r="P496" s="257">
        <f t="shared" si="102"/>
        <v>35280</v>
      </c>
      <c r="Q496" s="257">
        <f t="shared" si="103"/>
        <v>35280</v>
      </c>
      <c r="R496" s="258">
        <f>INDEX('Escalators '!$M$124:$S$129,MATCH(I496,'Escalators '!$B$124:$B$129,0),MATCH(J496,'Escalators '!$M$113:$S$113,0))</f>
        <v>1.0120900655357943</v>
      </c>
      <c r="S496" s="257">
        <f t="shared" si="104"/>
        <v>0</v>
      </c>
      <c r="T496" s="257">
        <f t="shared" si="105"/>
        <v>0</v>
      </c>
      <c r="U496" s="269">
        <f t="shared" si="106"/>
        <v>35706.537512102819</v>
      </c>
      <c r="V496" s="269">
        <f t="shared" si="107"/>
        <v>35706.537512102819</v>
      </c>
      <c r="W496" s="269">
        <f t="shared" si="108"/>
        <v>35706.537512102819</v>
      </c>
      <c r="X496" s="257">
        <f t="shared" si="109"/>
        <v>35706.537512102819</v>
      </c>
      <c r="Y496" s="270">
        <f>IF(L496="Complex",(INDEX('Escalators '!$M$176:$S$176,MATCH('Forecast capex'!J496,'Escalators '!$M$178:$S$178,0))/12+1)^((K496-J496)*12)-1,0)</f>
        <v>3.5566952945970565E-2</v>
      </c>
      <c r="Z496" s="257">
        <f t="shared" si="110"/>
        <v>1254.8020999338414</v>
      </c>
      <c r="AA496" s="257">
        <f t="shared" si="111"/>
        <v>1269.9727395564939</v>
      </c>
      <c r="AB496" s="269">
        <f t="shared" si="112"/>
        <v>36976.510251659311</v>
      </c>
      <c r="AC496" s="269">
        <f t="shared" si="113"/>
        <v>36976.510251659311</v>
      </c>
      <c r="AD496" s="271" t="str">
        <f>INDEX('Global inputs'!$C$134:$C$171,MATCH(F496,'Global inputs'!$B$134:$B$171,0))</f>
        <v>Asset replacement and renewal</v>
      </c>
      <c r="AE496" s="272">
        <f>IF(OR(H496='Operating leases'!$B$32,H496='Operating leases'!$B$33),"",INDEX('Global inputs'!$C$186:$C$243,MATCH(E496,'Global inputs'!$B$186:$B$243,0)))</f>
        <v>0.1</v>
      </c>
    </row>
    <row r="497" spans="1:31" s="27" customFormat="1" x14ac:dyDescent="0.2">
      <c r="A497" s="250"/>
      <c r="B497" s="210" t="s">
        <v>742</v>
      </c>
      <c r="C497" s="210" t="s">
        <v>291</v>
      </c>
      <c r="D497" s="210" t="s">
        <v>735</v>
      </c>
      <c r="E497" s="210" t="s">
        <v>175</v>
      </c>
      <c r="F497" s="210" t="s">
        <v>108</v>
      </c>
      <c r="G497" s="210" t="s">
        <v>748</v>
      </c>
      <c r="H497" s="197">
        <v>0</v>
      </c>
      <c r="I497" s="210" t="s">
        <v>229</v>
      </c>
      <c r="J497" s="210">
        <v>2021</v>
      </c>
      <c r="K497" s="210">
        <v>2022</v>
      </c>
      <c r="L497" s="268" t="str">
        <f t="shared" si="101"/>
        <v>Complex</v>
      </c>
      <c r="M497" s="197">
        <v>8820</v>
      </c>
      <c r="N497" s="197">
        <v>0</v>
      </c>
      <c r="O497" s="257">
        <f>IF(ISNA(MATCH(H497,'Operating leases'!$B$32:$B$43,0)),0,INDEX('Operating leases'!$M$32:$S$43,MATCH(H497,'Operating leases'!$B$32:$B$43,0),MATCH(J497,'Operating leases'!$M$11:$S$11,0)))</f>
        <v>0</v>
      </c>
      <c r="P497" s="257">
        <f t="shared" si="102"/>
        <v>8820</v>
      </c>
      <c r="Q497" s="257">
        <f t="shared" si="103"/>
        <v>8820</v>
      </c>
      <c r="R497" s="258">
        <f>INDEX('Escalators '!$M$124:$S$129,MATCH(I497,'Escalators '!$B$124:$B$129,0),MATCH(J497,'Escalators '!$M$113:$S$113,0))</f>
        <v>1.0206154571717865</v>
      </c>
      <c r="S497" s="257">
        <f t="shared" si="104"/>
        <v>0</v>
      </c>
      <c r="T497" s="257">
        <f t="shared" si="105"/>
        <v>0</v>
      </c>
      <c r="U497" s="269">
        <f t="shared" si="106"/>
        <v>9001.8283322551561</v>
      </c>
      <c r="V497" s="269">
        <f t="shared" si="107"/>
        <v>9001.8283322551561</v>
      </c>
      <c r="W497" s="269">
        <f t="shared" si="108"/>
        <v>9001.8283322551561</v>
      </c>
      <c r="X497" s="257">
        <f t="shared" si="109"/>
        <v>9001.8283322551561</v>
      </c>
      <c r="Y497" s="270">
        <f>IF(L497="Complex",(INDEX('Escalators '!$M$176:$S$176,MATCH('Forecast capex'!J497,'Escalators '!$M$178:$S$178,0))/12+1)^((K497-J497)*12)-1,0)</f>
        <v>3.5566952945970565E-2</v>
      </c>
      <c r="Z497" s="257">
        <f t="shared" si="110"/>
        <v>313.70052498346035</v>
      </c>
      <c r="AA497" s="257">
        <f t="shared" si="111"/>
        <v>320.16760472102379</v>
      </c>
      <c r="AB497" s="269">
        <f t="shared" si="112"/>
        <v>9321.99593697618</v>
      </c>
      <c r="AC497" s="269">
        <f t="shared" si="113"/>
        <v>9321.99593697618</v>
      </c>
      <c r="AD497" s="271" t="str">
        <f>INDEX('Global inputs'!$C$134:$C$171,MATCH(F497,'Global inputs'!$B$134:$B$171,0))</f>
        <v>Asset replacement and renewal</v>
      </c>
      <c r="AE497" s="272">
        <f>IF(OR(H497='Operating leases'!$B$32,H497='Operating leases'!$B$33),"",INDEX('Global inputs'!$C$186:$C$243,MATCH(E497,'Global inputs'!$B$186:$B$243,0)))</f>
        <v>0.1</v>
      </c>
    </row>
    <row r="498" spans="1:31" s="27" customFormat="1" x14ac:dyDescent="0.2">
      <c r="A498" s="250"/>
      <c r="B498" s="210" t="s">
        <v>742</v>
      </c>
      <c r="C498" s="210" t="s">
        <v>288</v>
      </c>
      <c r="D498" s="210" t="s">
        <v>223</v>
      </c>
      <c r="E498" s="210" t="s">
        <v>156</v>
      </c>
      <c r="F498" s="210" t="s">
        <v>108</v>
      </c>
      <c r="G498" s="210" t="s">
        <v>727</v>
      </c>
      <c r="H498" s="197">
        <v>0</v>
      </c>
      <c r="I498" s="210" t="s">
        <v>221</v>
      </c>
      <c r="J498" s="210">
        <v>2021</v>
      </c>
      <c r="K498" s="210">
        <v>2022</v>
      </c>
      <c r="L498" s="268" t="str">
        <f t="shared" si="101"/>
        <v>Complex</v>
      </c>
      <c r="M498" s="197">
        <v>33396.824999999997</v>
      </c>
      <c r="N498" s="197">
        <v>0</v>
      </c>
      <c r="O498" s="257">
        <f>IF(ISNA(MATCH(H498,'Operating leases'!$B$32:$B$43,0)),0,INDEX('Operating leases'!$M$32:$S$43,MATCH(H498,'Operating leases'!$B$32:$B$43,0),MATCH(J498,'Operating leases'!$M$11:$S$11,0)))</f>
        <v>0</v>
      </c>
      <c r="P498" s="257">
        <f t="shared" si="102"/>
        <v>33396.824999999997</v>
      </c>
      <c r="Q498" s="257">
        <f t="shared" si="103"/>
        <v>33396.824999999997</v>
      </c>
      <c r="R498" s="258">
        <f>INDEX('Escalators '!$M$124:$S$129,MATCH(I498,'Escalators '!$B$124:$B$129,0),MATCH(J498,'Escalators '!$M$113:$S$113,0))</f>
        <v>1.0120900655357943</v>
      </c>
      <c r="S498" s="257">
        <f t="shared" si="104"/>
        <v>0</v>
      </c>
      <c r="T498" s="257">
        <f t="shared" si="105"/>
        <v>0</v>
      </c>
      <c r="U498" s="269">
        <f t="shared" si="106"/>
        <v>33800.594802937449</v>
      </c>
      <c r="V498" s="269">
        <f t="shared" si="107"/>
        <v>33800.594802937449</v>
      </c>
      <c r="W498" s="269">
        <f t="shared" si="108"/>
        <v>33800.594802937449</v>
      </c>
      <c r="X498" s="257">
        <f t="shared" si="109"/>
        <v>33800.594802937449</v>
      </c>
      <c r="Y498" s="270">
        <f>IF(L498="Complex",(INDEX('Escalators '!$M$176:$S$176,MATCH('Forecast capex'!J498,'Escalators '!$M$178:$S$178,0))/12+1)^((K498-J498)*12)-1,0)</f>
        <v>3.5566952945970565E-2</v>
      </c>
      <c r="Z498" s="257">
        <f t="shared" si="110"/>
        <v>1187.8233033198132</v>
      </c>
      <c r="AA498" s="257">
        <f t="shared" si="111"/>
        <v>1202.1841649018934</v>
      </c>
      <c r="AB498" s="269">
        <f t="shared" si="112"/>
        <v>35002.778967839346</v>
      </c>
      <c r="AC498" s="269">
        <f t="shared" si="113"/>
        <v>35002.778967839346</v>
      </c>
      <c r="AD498" s="271" t="str">
        <f>INDEX('Global inputs'!$C$134:$C$171,MATCH(F498,'Global inputs'!$B$134:$B$171,0))</f>
        <v>Asset replacement and renewal</v>
      </c>
      <c r="AE498" s="272">
        <f>IF(OR(H498='Operating leases'!$B$32,H498='Operating leases'!$B$33),"",INDEX('Global inputs'!$C$186:$C$243,MATCH(E498,'Global inputs'!$B$186:$B$243,0)))</f>
        <v>0.08</v>
      </c>
    </row>
    <row r="499" spans="1:31" s="27" customFormat="1" x14ac:dyDescent="0.2">
      <c r="A499" s="250"/>
      <c r="B499" s="210" t="s">
        <v>742</v>
      </c>
      <c r="C499" s="210" t="s">
        <v>288</v>
      </c>
      <c r="D499" s="210" t="s">
        <v>223</v>
      </c>
      <c r="E499" s="210" t="s">
        <v>156</v>
      </c>
      <c r="F499" s="210" t="s">
        <v>108</v>
      </c>
      <c r="G499" s="210" t="s">
        <v>727</v>
      </c>
      <c r="H499" s="197">
        <v>0</v>
      </c>
      <c r="I499" s="210" t="s">
        <v>223</v>
      </c>
      <c r="J499" s="210">
        <v>2021</v>
      </c>
      <c r="K499" s="210">
        <v>2022</v>
      </c>
      <c r="L499" s="268" t="str">
        <f t="shared" si="101"/>
        <v>Complex</v>
      </c>
      <c r="M499" s="197">
        <v>14312.924999999999</v>
      </c>
      <c r="N499" s="197">
        <v>0</v>
      </c>
      <c r="O499" s="257">
        <f>IF(ISNA(MATCH(H499,'Operating leases'!$B$32:$B$43,0)),0,INDEX('Operating leases'!$M$32:$S$43,MATCH(H499,'Operating leases'!$B$32:$B$43,0),MATCH(J499,'Operating leases'!$M$11:$S$11,0)))</f>
        <v>0</v>
      </c>
      <c r="P499" s="257">
        <f t="shared" si="102"/>
        <v>14312.924999999999</v>
      </c>
      <c r="Q499" s="257">
        <f t="shared" si="103"/>
        <v>14312.924999999999</v>
      </c>
      <c r="R499" s="258">
        <f>INDEX('Escalators '!$M$124:$S$129,MATCH(I499,'Escalators '!$B$124:$B$129,0),MATCH(J499,'Escalators '!$M$113:$S$113,0))</f>
        <v>1.0239888729183189</v>
      </c>
      <c r="S499" s="257">
        <f t="shared" si="104"/>
        <v>0</v>
      </c>
      <c r="T499" s="257">
        <f t="shared" si="105"/>
        <v>0</v>
      </c>
      <c r="U499" s="269">
        <f t="shared" si="106"/>
        <v>14656.275938914428</v>
      </c>
      <c r="V499" s="269">
        <f t="shared" si="107"/>
        <v>14656.275938914428</v>
      </c>
      <c r="W499" s="269">
        <f t="shared" si="108"/>
        <v>14656.275938914428</v>
      </c>
      <c r="X499" s="257">
        <f t="shared" si="109"/>
        <v>14656.275938914428</v>
      </c>
      <c r="Y499" s="270">
        <f>IF(L499="Complex",(INDEX('Escalators '!$M$176:$S$176,MATCH('Forecast capex'!J499,'Escalators '!$M$178:$S$178,0))/12+1)^((K499-J499)*12)-1,0)</f>
        <v>3.5566952945970565E-2</v>
      </c>
      <c r="Z499" s="257">
        <f t="shared" si="110"/>
        <v>509.06712999420574</v>
      </c>
      <c r="AA499" s="257">
        <f t="shared" si="111"/>
        <v>521.27907668252999</v>
      </c>
      <c r="AB499" s="269">
        <f t="shared" si="112"/>
        <v>15177.555015596958</v>
      </c>
      <c r="AC499" s="269">
        <f t="shared" si="113"/>
        <v>15177.555015596958</v>
      </c>
      <c r="AD499" s="271" t="str">
        <f>INDEX('Global inputs'!$C$134:$C$171,MATCH(F499,'Global inputs'!$B$134:$B$171,0))</f>
        <v>Asset replacement and renewal</v>
      </c>
      <c r="AE499" s="272">
        <f>IF(OR(H499='Operating leases'!$B$32,H499='Operating leases'!$B$33),"",INDEX('Global inputs'!$C$186:$C$243,MATCH(E499,'Global inputs'!$B$186:$B$243,0)))</f>
        <v>0.08</v>
      </c>
    </row>
    <row r="500" spans="1:31" s="27" customFormat="1" x14ac:dyDescent="0.2">
      <c r="A500" s="250"/>
      <c r="B500" s="210" t="s">
        <v>742</v>
      </c>
      <c r="C500" s="210" t="s">
        <v>290</v>
      </c>
      <c r="D500" s="210" t="s">
        <v>718</v>
      </c>
      <c r="E500" s="210" t="s">
        <v>173</v>
      </c>
      <c r="F500" s="210" t="s">
        <v>108</v>
      </c>
      <c r="G500" s="210" t="s">
        <v>719</v>
      </c>
      <c r="H500" s="197">
        <v>0</v>
      </c>
      <c r="I500" s="210" t="s">
        <v>221</v>
      </c>
      <c r="J500" s="210">
        <v>2021</v>
      </c>
      <c r="K500" s="210">
        <v>2022</v>
      </c>
      <c r="L500" s="268" t="str">
        <f t="shared" si="101"/>
        <v>Complex</v>
      </c>
      <c r="M500" s="197">
        <v>9000</v>
      </c>
      <c r="N500" s="197">
        <v>0</v>
      </c>
      <c r="O500" s="257">
        <f>IF(ISNA(MATCH(H500,'Operating leases'!$B$32:$B$43,0)),0,INDEX('Operating leases'!$M$32:$S$43,MATCH(H500,'Operating leases'!$B$32:$B$43,0),MATCH(J500,'Operating leases'!$M$11:$S$11,0)))</f>
        <v>0</v>
      </c>
      <c r="P500" s="257">
        <f t="shared" si="102"/>
        <v>9000</v>
      </c>
      <c r="Q500" s="257">
        <f t="shared" si="103"/>
        <v>9000</v>
      </c>
      <c r="R500" s="258">
        <f>INDEX('Escalators '!$M$124:$S$129,MATCH(I500,'Escalators '!$B$124:$B$129,0),MATCH(J500,'Escalators '!$M$113:$S$113,0))</f>
        <v>1.0120900655357943</v>
      </c>
      <c r="S500" s="257">
        <f t="shared" si="104"/>
        <v>0</v>
      </c>
      <c r="T500" s="257">
        <f t="shared" si="105"/>
        <v>0</v>
      </c>
      <c r="U500" s="269">
        <f t="shared" si="106"/>
        <v>9108.8105898221493</v>
      </c>
      <c r="V500" s="269">
        <f t="shared" si="107"/>
        <v>9108.8105898221493</v>
      </c>
      <c r="W500" s="269">
        <f t="shared" si="108"/>
        <v>9108.8105898221493</v>
      </c>
      <c r="X500" s="257">
        <f t="shared" si="109"/>
        <v>9108.8105898221493</v>
      </c>
      <c r="Y500" s="270">
        <f>IF(L500="Complex",(INDEX('Escalators '!$M$176:$S$176,MATCH('Forecast capex'!J500,'Escalators '!$M$178:$S$178,0))/12+1)^((K500-J500)*12)-1,0)</f>
        <v>3.5566952945970565E-2</v>
      </c>
      <c r="Z500" s="257">
        <f t="shared" si="110"/>
        <v>320.10257651373507</v>
      </c>
      <c r="AA500" s="257">
        <f t="shared" si="111"/>
        <v>323.97263764196276</v>
      </c>
      <c r="AB500" s="269">
        <f t="shared" si="112"/>
        <v>9432.7832274641114</v>
      </c>
      <c r="AC500" s="269">
        <f t="shared" si="113"/>
        <v>9432.7832274641114</v>
      </c>
      <c r="AD500" s="271" t="str">
        <f>INDEX('Global inputs'!$C$134:$C$171,MATCH(F500,'Global inputs'!$B$134:$B$171,0))</f>
        <v>Asset replacement and renewal</v>
      </c>
      <c r="AE500" s="272">
        <f>IF(OR(H500='Operating leases'!$B$32,H500='Operating leases'!$B$33),"",INDEX('Global inputs'!$C$186:$C$243,MATCH(E500,'Global inputs'!$B$186:$B$243,0)))</f>
        <v>0.08</v>
      </c>
    </row>
    <row r="501" spans="1:31" s="27" customFormat="1" x14ac:dyDescent="0.2">
      <c r="A501" s="250"/>
      <c r="B501" s="210" t="s">
        <v>742</v>
      </c>
      <c r="C501" s="210" t="s">
        <v>290</v>
      </c>
      <c r="D501" s="210" t="s">
        <v>718</v>
      </c>
      <c r="E501" s="210" t="s">
        <v>173</v>
      </c>
      <c r="F501" s="210" t="s">
        <v>108</v>
      </c>
      <c r="G501" s="210" t="s">
        <v>719</v>
      </c>
      <c r="H501" s="197">
        <v>0</v>
      </c>
      <c r="I501" s="210" t="s">
        <v>142</v>
      </c>
      <c r="J501" s="210">
        <v>2021</v>
      </c>
      <c r="K501" s="210">
        <v>2022</v>
      </c>
      <c r="L501" s="268" t="str">
        <f t="shared" si="101"/>
        <v>Complex</v>
      </c>
      <c r="M501" s="197">
        <v>36000</v>
      </c>
      <c r="N501" s="197">
        <v>0</v>
      </c>
      <c r="O501" s="257">
        <f>IF(ISNA(MATCH(H501,'Operating leases'!$B$32:$B$43,0)),0,INDEX('Operating leases'!$M$32:$S$43,MATCH(H501,'Operating leases'!$B$32:$B$43,0),MATCH(J501,'Operating leases'!$M$11:$S$11,0)))</f>
        <v>0</v>
      </c>
      <c r="P501" s="257">
        <f t="shared" si="102"/>
        <v>36000</v>
      </c>
      <c r="Q501" s="257">
        <f t="shared" si="103"/>
        <v>36000</v>
      </c>
      <c r="R501" s="258">
        <f>INDEX('Escalators '!$M$124:$S$129,MATCH(I501,'Escalators '!$B$124:$B$129,0),MATCH(J501,'Escalators '!$M$113:$S$113,0))</f>
        <v>1.0199504944721745</v>
      </c>
      <c r="S501" s="257">
        <f t="shared" si="104"/>
        <v>0</v>
      </c>
      <c r="T501" s="257">
        <f t="shared" si="105"/>
        <v>0</v>
      </c>
      <c r="U501" s="269">
        <f t="shared" si="106"/>
        <v>36718.217800998282</v>
      </c>
      <c r="V501" s="269">
        <f t="shared" si="107"/>
        <v>36718.217800998282</v>
      </c>
      <c r="W501" s="269">
        <f t="shared" si="108"/>
        <v>36718.217800998282</v>
      </c>
      <c r="X501" s="257">
        <f t="shared" si="109"/>
        <v>36718.217800998282</v>
      </c>
      <c r="Y501" s="270">
        <f>IF(L501="Complex",(INDEX('Escalators '!$M$176:$S$176,MATCH('Forecast capex'!J501,'Escalators '!$M$178:$S$178,0))/12+1)^((K501-J501)*12)-1,0)</f>
        <v>3.5566952945970565E-2</v>
      </c>
      <c r="Z501" s="257">
        <f t="shared" si="110"/>
        <v>1280.4103060549403</v>
      </c>
      <c r="AA501" s="257">
        <f t="shared" si="111"/>
        <v>1305.9551247880047</v>
      </c>
      <c r="AB501" s="269">
        <f t="shared" si="112"/>
        <v>38024.17292578629</v>
      </c>
      <c r="AC501" s="269">
        <f t="shared" si="113"/>
        <v>38024.17292578629</v>
      </c>
      <c r="AD501" s="271" t="str">
        <f>INDEX('Global inputs'!$C$134:$C$171,MATCH(F501,'Global inputs'!$B$134:$B$171,0))</f>
        <v>Asset replacement and renewal</v>
      </c>
      <c r="AE501" s="272">
        <f>IF(OR(H501='Operating leases'!$B$32,H501='Operating leases'!$B$33),"",INDEX('Global inputs'!$C$186:$C$243,MATCH(E501,'Global inputs'!$B$186:$B$243,0)))</f>
        <v>0.08</v>
      </c>
    </row>
    <row r="502" spans="1:31" s="27" customFormat="1" x14ac:dyDescent="0.2">
      <c r="A502" s="250"/>
      <c r="B502" s="210" t="s">
        <v>742</v>
      </c>
      <c r="C502" s="210" t="s">
        <v>289</v>
      </c>
      <c r="D502" s="210" t="s">
        <v>723</v>
      </c>
      <c r="E502" s="210" t="s">
        <v>164</v>
      </c>
      <c r="F502" s="210" t="s">
        <v>108</v>
      </c>
      <c r="G502" s="210" t="s">
        <v>724</v>
      </c>
      <c r="H502" s="197">
        <v>0</v>
      </c>
      <c r="I502" s="210" t="s">
        <v>221</v>
      </c>
      <c r="J502" s="210">
        <v>2021</v>
      </c>
      <c r="K502" s="210">
        <v>2022</v>
      </c>
      <c r="L502" s="268" t="str">
        <f t="shared" si="101"/>
        <v>Complex</v>
      </c>
      <c r="M502" s="197">
        <v>5472</v>
      </c>
      <c r="N502" s="197">
        <v>0</v>
      </c>
      <c r="O502" s="257">
        <f>IF(ISNA(MATCH(H502,'Operating leases'!$B$32:$B$43,0)),0,INDEX('Operating leases'!$M$32:$S$43,MATCH(H502,'Operating leases'!$B$32:$B$43,0),MATCH(J502,'Operating leases'!$M$11:$S$11,0)))</f>
        <v>0</v>
      </c>
      <c r="P502" s="257">
        <f t="shared" si="102"/>
        <v>5472</v>
      </c>
      <c r="Q502" s="257">
        <f t="shared" si="103"/>
        <v>5472</v>
      </c>
      <c r="R502" s="258">
        <f>INDEX('Escalators '!$M$124:$S$129,MATCH(I502,'Escalators '!$B$124:$B$129,0),MATCH(J502,'Escalators '!$M$113:$S$113,0))</f>
        <v>1.0120900655357943</v>
      </c>
      <c r="S502" s="257">
        <f t="shared" si="104"/>
        <v>0</v>
      </c>
      <c r="T502" s="257">
        <f t="shared" si="105"/>
        <v>0</v>
      </c>
      <c r="U502" s="269">
        <f t="shared" si="106"/>
        <v>5538.1568386118661</v>
      </c>
      <c r="V502" s="269">
        <f t="shared" si="107"/>
        <v>5538.1568386118661</v>
      </c>
      <c r="W502" s="269">
        <f t="shared" si="108"/>
        <v>5538.1568386118661</v>
      </c>
      <c r="X502" s="257">
        <f t="shared" si="109"/>
        <v>5538.1568386118661</v>
      </c>
      <c r="Y502" s="270">
        <f>IF(L502="Complex",(INDEX('Escalators '!$M$176:$S$176,MATCH('Forecast capex'!J502,'Escalators '!$M$178:$S$178,0))/12+1)^((K502-J502)*12)-1,0)</f>
        <v>3.5566952945970565E-2</v>
      </c>
      <c r="Z502" s="257">
        <f t="shared" si="110"/>
        <v>194.62236652035094</v>
      </c>
      <c r="AA502" s="257">
        <f t="shared" si="111"/>
        <v>196.97536368631333</v>
      </c>
      <c r="AB502" s="269">
        <f t="shared" si="112"/>
        <v>5735.1322022981794</v>
      </c>
      <c r="AC502" s="269">
        <f t="shared" si="113"/>
        <v>5735.1322022981794</v>
      </c>
      <c r="AD502" s="271" t="str">
        <f>INDEX('Global inputs'!$C$134:$C$171,MATCH(F502,'Global inputs'!$B$134:$B$171,0))</f>
        <v>Asset replacement and renewal</v>
      </c>
      <c r="AE502" s="272">
        <f>IF(OR(H502='Operating leases'!$B$32,H502='Operating leases'!$B$33),"",INDEX('Global inputs'!$C$186:$C$243,MATCH(E502,'Global inputs'!$B$186:$B$243,0)))</f>
        <v>0.08</v>
      </c>
    </row>
    <row r="503" spans="1:31" s="27" customFormat="1" x14ac:dyDescent="0.2">
      <c r="A503" s="250"/>
      <c r="B503" s="210" t="s">
        <v>742</v>
      </c>
      <c r="C503" s="210" t="s">
        <v>289</v>
      </c>
      <c r="D503" s="210" t="s">
        <v>723</v>
      </c>
      <c r="E503" s="210" t="s">
        <v>164</v>
      </c>
      <c r="F503" s="210" t="s">
        <v>108</v>
      </c>
      <c r="G503" s="210" t="s">
        <v>724</v>
      </c>
      <c r="H503" s="197">
        <v>0</v>
      </c>
      <c r="I503" s="210" t="s">
        <v>139</v>
      </c>
      <c r="J503" s="210">
        <v>2021</v>
      </c>
      <c r="K503" s="210">
        <v>2022</v>
      </c>
      <c r="L503" s="268" t="str">
        <f t="shared" si="101"/>
        <v>Complex</v>
      </c>
      <c r="M503" s="197">
        <v>21888</v>
      </c>
      <c r="N503" s="197">
        <v>0</v>
      </c>
      <c r="O503" s="257">
        <f>IF(ISNA(MATCH(H503,'Operating leases'!$B$32:$B$43,0)),0,INDEX('Operating leases'!$M$32:$S$43,MATCH(H503,'Operating leases'!$B$32:$B$43,0),MATCH(J503,'Operating leases'!$M$11:$S$11,0)))</f>
        <v>0</v>
      </c>
      <c r="P503" s="257">
        <f t="shared" si="102"/>
        <v>21888</v>
      </c>
      <c r="Q503" s="257">
        <f t="shared" si="103"/>
        <v>21888</v>
      </c>
      <c r="R503" s="258">
        <f>INDEX('Escalators '!$M$124:$S$129,MATCH(I503,'Escalators '!$B$124:$B$129,0),MATCH(J503,'Escalators '!$M$113:$S$113,0))</f>
        <v>1.005513233090898</v>
      </c>
      <c r="S503" s="257">
        <f t="shared" si="104"/>
        <v>0</v>
      </c>
      <c r="T503" s="257">
        <f t="shared" si="105"/>
        <v>0</v>
      </c>
      <c r="U503" s="269">
        <f t="shared" si="106"/>
        <v>22008.673645893577</v>
      </c>
      <c r="V503" s="269">
        <f t="shared" si="107"/>
        <v>22008.673645893577</v>
      </c>
      <c r="W503" s="269">
        <f t="shared" si="108"/>
        <v>22008.673645893577</v>
      </c>
      <c r="X503" s="257">
        <f t="shared" si="109"/>
        <v>22008.673645893577</v>
      </c>
      <c r="Y503" s="270">
        <f>IF(L503="Complex",(INDEX('Escalators '!$M$176:$S$176,MATCH('Forecast capex'!J503,'Escalators '!$M$178:$S$178,0))/12+1)^((K503-J503)*12)-1,0)</f>
        <v>3.5566952945970565E-2</v>
      </c>
      <c r="Z503" s="257">
        <f t="shared" si="110"/>
        <v>778.48946608140375</v>
      </c>
      <c r="AA503" s="257">
        <f t="shared" si="111"/>
        <v>782.78145996671935</v>
      </c>
      <c r="AB503" s="269">
        <f t="shared" si="112"/>
        <v>22791.455105860296</v>
      </c>
      <c r="AC503" s="269">
        <f t="shared" si="113"/>
        <v>22791.455105860296</v>
      </c>
      <c r="AD503" s="271" t="str">
        <f>INDEX('Global inputs'!$C$134:$C$171,MATCH(F503,'Global inputs'!$B$134:$B$171,0))</f>
        <v>Asset replacement and renewal</v>
      </c>
      <c r="AE503" s="272">
        <f>IF(OR(H503='Operating leases'!$B$32,H503='Operating leases'!$B$33),"",INDEX('Global inputs'!$C$186:$C$243,MATCH(E503,'Global inputs'!$B$186:$B$243,0)))</f>
        <v>0.08</v>
      </c>
    </row>
    <row r="504" spans="1:31" s="27" customFormat="1" x14ac:dyDescent="0.2">
      <c r="A504" s="250"/>
      <c r="B504" s="210" t="s">
        <v>742</v>
      </c>
      <c r="C504" s="210" t="s">
        <v>285</v>
      </c>
      <c r="D504" s="210" t="s">
        <v>223</v>
      </c>
      <c r="E504" s="210" t="s">
        <v>134</v>
      </c>
      <c r="F504" s="210" t="s">
        <v>108</v>
      </c>
      <c r="G504" s="210" t="s">
        <v>726</v>
      </c>
      <c r="H504" s="197">
        <v>0</v>
      </c>
      <c r="I504" s="210" t="s">
        <v>221</v>
      </c>
      <c r="J504" s="210">
        <v>2021</v>
      </c>
      <c r="K504" s="210">
        <v>2022</v>
      </c>
      <c r="L504" s="268" t="str">
        <f t="shared" si="101"/>
        <v>Complex</v>
      </c>
      <c r="M504" s="197">
        <v>32444.999999999996</v>
      </c>
      <c r="N504" s="197">
        <v>0</v>
      </c>
      <c r="O504" s="257">
        <f>IF(ISNA(MATCH(H504,'Operating leases'!$B$32:$B$43,0)),0,INDEX('Operating leases'!$M$32:$S$43,MATCH(H504,'Operating leases'!$B$32:$B$43,0),MATCH(J504,'Operating leases'!$M$11:$S$11,0)))</f>
        <v>0</v>
      </c>
      <c r="P504" s="257">
        <f t="shared" si="102"/>
        <v>32444.999999999996</v>
      </c>
      <c r="Q504" s="257">
        <f t="shared" si="103"/>
        <v>32444.999999999996</v>
      </c>
      <c r="R504" s="258">
        <f>INDEX('Escalators '!$M$124:$S$129,MATCH(I504,'Escalators '!$B$124:$B$129,0),MATCH(J504,'Escalators '!$M$113:$S$113,0))</f>
        <v>1.0120900655357943</v>
      </c>
      <c r="S504" s="257">
        <f t="shared" si="104"/>
        <v>0</v>
      </c>
      <c r="T504" s="257">
        <f t="shared" si="105"/>
        <v>0</v>
      </c>
      <c r="U504" s="269">
        <f t="shared" si="106"/>
        <v>32837.262176308839</v>
      </c>
      <c r="V504" s="269">
        <f t="shared" si="107"/>
        <v>32837.262176308839</v>
      </c>
      <c r="W504" s="269">
        <f t="shared" si="108"/>
        <v>32837.262176308839</v>
      </c>
      <c r="X504" s="257">
        <f t="shared" si="109"/>
        <v>32837.262176308839</v>
      </c>
      <c r="Y504" s="270">
        <f>IF(L504="Complex",(INDEX('Escalators '!$M$176:$S$176,MATCH('Forecast capex'!J504,'Escalators '!$M$178:$S$178,0))/12+1)^((K504-J504)*12)-1,0)</f>
        <v>3.5566952945970565E-2</v>
      </c>
      <c r="Z504" s="257">
        <f t="shared" si="110"/>
        <v>1153.9697883320148</v>
      </c>
      <c r="AA504" s="257">
        <f t="shared" si="111"/>
        <v>1167.9213586992755</v>
      </c>
      <c r="AB504" s="269">
        <f t="shared" si="112"/>
        <v>34005.183535008116</v>
      </c>
      <c r="AC504" s="269">
        <f t="shared" si="113"/>
        <v>34005.183535008116</v>
      </c>
      <c r="AD504" s="271" t="str">
        <f>INDEX('Global inputs'!$C$134:$C$171,MATCH(F504,'Global inputs'!$B$134:$B$171,0))</f>
        <v>Asset replacement and renewal</v>
      </c>
      <c r="AE504" s="272">
        <f>IF(OR(H504='Operating leases'!$B$32,H504='Operating leases'!$B$33),"",INDEX('Global inputs'!$C$186:$C$243,MATCH(E504,'Global inputs'!$B$186:$B$243,0)))</f>
        <v>0.08</v>
      </c>
    </row>
    <row r="505" spans="1:31" s="27" customFormat="1" x14ac:dyDescent="0.2">
      <c r="A505" s="250"/>
      <c r="B505" s="210" t="s">
        <v>742</v>
      </c>
      <c r="C505" s="210" t="s">
        <v>285</v>
      </c>
      <c r="D505" s="210" t="s">
        <v>223</v>
      </c>
      <c r="E505" s="210" t="s">
        <v>134</v>
      </c>
      <c r="F505" s="210" t="s">
        <v>108</v>
      </c>
      <c r="G505" s="210" t="s">
        <v>726</v>
      </c>
      <c r="H505" s="197">
        <v>0</v>
      </c>
      <c r="I505" s="210" t="s">
        <v>223</v>
      </c>
      <c r="J505" s="210">
        <v>2021</v>
      </c>
      <c r="K505" s="210">
        <v>2022</v>
      </c>
      <c r="L505" s="268" t="str">
        <f t="shared" si="101"/>
        <v>Complex</v>
      </c>
      <c r="M505" s="197">
        <v>13905</v>
      </c>
      <c r="N505" s="197">
        <v>0</v>
      </c>
      <c r="O505" s="257">
        <f>IF(ISNA(MATCH(H505,'Operating leases'!$B$32:$B$43,0)),0,INDEX('Operating leases'!$M$32:$S$43,MATCH(H505,'Operating leases'!$B$32:$B$43,0),MATCH(J505,'Operating leases'!$M$11:$S$11,0)))</f>
        <v>0</v>
      </c>
      <c r="P505" s="257">
        <f t="shared" si="102"/>
        <v>13905</v>
      </c>
      <c r="Q505" s="257">
        <f t="shared" si="103"/>
        <v>13905</v>
      </c>
      <c r="R505" s="258">
        <f>INDEX('Escalators '!$M$124:$S$129,MATCH(I505,'Escalators '!$B$124:$B$129,0),MATCH(J505,'Escalators '!$M$113:$S$113,0))</f>
        <v>1.0239888729183189</v>
      </c>
      <c r="S505" s="257">
        <f t="shared" si="104"/>
        <v>0</v>
      </c>
      <c r="T505" s="257">
        <f t="shared" si="105"/>
        <v>0</v>
      </c>
      <c r="U505" s="269">
        <f t="shared" si="106"/>
        <v>14238.565277929223</v>
      </c>
      <c r="V505" s="269">
        <f t="shared" si="107"/>
        <v>14238.565277929223</v>
      </c>
      <c r="W505" s="269">
        <f t="shared" si="108"/>
        <v>14238.565277929223</v>
      </c>
      <c r="X505" s="257">
        <f t="shared" si="109"/>
        <v>14238.565277929223</v>
      </c>
      <c r="Y505" s="270">
        <f>IF(L505="Complex",(INDEX('Escalators '!$M$176:$S$176,MATCH('Forecast capex'!J505,'Escalators '!$M$178:$S$178,0))/12+1)^((K505-J505)*12)-1,0)</f>
        <v>3.5566952945970565E-2</v>
      </c>
      <c r="Z505" s="257">
        <f t="shared" si="110"/>
        <v>494.55848071372071</v>
      </c>
      <c r="AA505" s="257">
        <f t="shared" si="111"/>
        <v>506.422381258239</v>
      </c>
      <c r="AB505" s="269">
        <f t="shared" si="112"/>
        <v>14744.987659187462</v>
      </c>
      <c r="AC505" s="269">
        <f t="shared" si="113"/>
        <v>14744.987659187462</v>
      </c>
      <c r="AD505" s="271" t="str">
        <f>INDEX('Global inputs'!$C$134:$C$171,MATCH(F505,'Global inputs'!$B$134:$B$171,0))</f>
        <v>Asset replacement and renewal</v>
      </c>
      <c r="AE505" s="272">
        <f>IF(OR(H505='Operating leases'!$B$32,H505='Operating leases'!$B$33),"",INDEX('Global inputs'!$C$186:$C$243,MATCH(E505,'Global inputs'!$B$186:$B$243,0)))</f>
        <v>0.08</v>
      </c>
    </row>
    <row r="506" spans="1:31" s="27" customFormat="1" x14ac:dyDescent="0.2">
      <c r="A506" s="250"/>
      <c r="B506" s="210" t="s">
        <v>742</v>
      </c>
      <c r="C506" s="210" t="s">
        <v>291</v>
      </c>
      <c r="D506" s="210" t="s">
        <v>735</v>
      </c>
      <c r="E506" s="210" t="s">
        <v>175</v>
      </c>
      <c r="F506" s="210" t="s">
        <v>108</v>
      </c>
      <c r="G506" s="210" t="s">
        <v>748</v>
      </c>
      <c r="H506" s="197">
        <v>0</v>
      </c>
      <c r="I506" s="210" t="s">
        <v>221</v>
      </c>
      <c r="J506" s="210">
        <v>2021</v>
      </c>
      <c r="K506" s="210">
        <v>2022</v>
      </c>
      <c r="L506" s="268" t="str">
        <f t="shared" si="101"/>
        <v>Complex</v>
      </c>
      <c r="M506" s="197">
        <v>35280</v>
      </c>
      <c r="N506" s="197">
        <v>0</v>
      </c>
      <c r="O506" s="257">
        <f>IF(ISNA(MATCH(H506,'Operating leases'!$B$32:$B$43,0)),0,INDEX('Operating leases'!$M$32:$S$43,MATCH(H506,'Operating leases'!$B$32:$B$43,0),MATCH(J506,'Operating leases'!$M$11:$S$11,0)))</f>
        <v>0</v>
      </c>
      <c r="P506" s="257">
        <f t="shared" si="102"/>
        <v>35280</v>
      </c>
      <c r="Q506" s="257">
        <f t="shared" si="103"/>
        <v>35280</v>
      </c>
      <c r="R506" s="258">
        <f>INDEX('Escalators '!$M$124:$S$129,MATCH(I506,'Escalators '!$B$124:$B$129,0),MATCH(J506,'Escalators '!$M$113:$S$113,0))</f>
        <v>1.0120900655357943</v>
      </c>
      <c r="S506" s="257">
        <f t="shared" si="104"/>
        <v>0</v>
      </c>
      <c r="T506" s="257">
        <f t="shared" si="105"/>
        <v>0</v>
      </c>
      <c r="U506" s="269">
        <f t="shared" si="106"/>
        <v>35706.537512102819</v>
      </c>
      <c r="V506" s="269">
        <f t="shared" si="107"/>
        <v>35706.537512102819</v>
      </c>
      <c r="W506" s="269">
        <f t="shared" si="108"/>
        <v>35706.537512102819</v>
      </c>
      <c r="X506" s="257">
        <f t="shared" si="109"/>
        <v>35706.537512102819</v>
      </c>
      <c r="Y506" s="270">
        <f>IF(L506="Complex",(INDEX('Escalators '!$M$176:$S$176,MATCH('Forecast capex'!J506,'Escalators '!$M$178:$S$178,0))/12+1)^((K506-J506)*12)-1,0)</f>
        <v>3.5566952945970565E-2</v>
      </c>
      <c r="Z506" s="257">
        <f t="shared" si="110"/>
        <v>1254.8020999338414</v>
      </c>
      <c r="AA506" s="257">
        <f t="shared" si="111"/>
        <v>1269.9727395564939</v>
      </c>
      <c r="AB506" s="269">
        <f t="shared" si="112"/>
        <v>36976.510251659311</v>
      </c>
      <c r="AC506" s="269">
        <f t="shared" si="113"/>
        <v>36976.510251659311</v>
      </c>
      <c r="AD506" s="271" t="str">
        <f>INDEX('Global inputs'!$C$134:$C$171,MATCH(F506,'Global inputs'!$B$134:$B$171,0))</f>
        <v>Asset replacement and renewal</v>
      </c>
      <c r="AE506" s="272">
        <f>IF(OR(H506='Operating leases'!$B$32,H506='Operating leases'!$B$33),"",INDEX('Global inputs'!$C$186:$C$243,MATCH(E506,'Global inputs'!$B$186:$B$243,0)))</f>
        <v>0.1</v>
      </c>
    </row>
    <row r="507" spans="1:31" s="27" customFormat="1" x14ac:dyDescent="0.2">
      <c r="A507" s="250"/>
      <c r="B507" s="210" t="s">
        <v>742</v>
      </c>
      <c r="C507" s="210" t="s">
        <v>291</v>
      </c>
      <c r="D507" s="210" t="s">
        <v>735</v>
      </c>
      <c r="E507" s="210" t="s">
        <v>175</v>
      </c>
      <c r="F507" s="210" t="s">
        <v>108</v>
      </c>
      <c r="G507" s="210" t="s">
        <v>748</v>
      </c>
      <c r="H507" s="197">
        <v>0</v>
      </c>
      <c r="I507" s="210" t="s">
        <v>229</v>
      </c>
      <c r="J507" s="210">
        <v>2021</v>
      </c>
      <c r="K507" s="210">
        <v>2022</v>
      </c>
      <c r="L507" s="268" t="str">
        <f t="shared" si="101"/>
        <v>Complex</v>
      </c>
      <c r="M507" s="197">
        <v>8820</v>
      </c>
      <c r="N507" s="197">
        <v>0</v>
      </c>
      <c r="O507" s="257">
        <f>IF(ISNA(MATCH(H507,'Operating leases'!$B$32:$B$43,0)),0,INDEX('Operating leases'!$M$32:$S$43,MATCH(H507,'Operating leases'!$B$32:$B$43,0),MATCH(J507,'Operating leases'!$M$11:$S$11,0)))</f>
        <v>0</v>
      </c>
      <c r="P507" s="257">
        <f t="shared" si="102"/>
        <v>8820</v>
      </c>
      <c r="Q507" s="257">
        <f t="shared" si="103"/>
        <v>8820</v>
      </c>
      <c r="R507" s="258">
        <f>INDEX('Escalators '!$M$124:$S$129,MATCH(I507,'Escalators '!$B$124:$B$129,0),MATCH(J507,'Escalators '!$M$113:$S$113,0))</f>
        <v>1.0206154571717865</v>
      </c>
      <c r="S507" s="257">
        <f t="shared" si="104"/>
        <v>0</v>
      </c>
      <c r="T507" s="257">
        <f t="shared" si="105"/>
        <v>0</v>
      </c>
      <c r="U507" s="269">
        <f t="shared" si="106"/>
        <v>9001.8283322551561</v>
      </c>
      <c r="V507" s="269">
        <f t="shared" si="107"/>
        <v>9001.8283322551561</v>
      </c>
      <c r="W507" s="269">
        <f t="shared" si="108"/>
        <v>9001.8283322551561</v>
      </c>
      <c r="X507" s="257">
        <f t="shared" si="109"/>
        <v>9001.8283322551561</v>
      </c>
      <c r="Y507" s="270">
        <f>IF(L507="Complex",(INDEX('Escalators '!$M$176:$S$176,MATCH('Forecast capex'!J507,'Escalators '!$M$178:$S$178,0))/12+1)^((K507-J507)*12)-1,0)</f>
        <v>3.5566952945970565E-2</v>
      </c>
      <c r="Z507" s="257">
        <f t="shared" si="110"/>
        <v>313.70052498346035</v>
      </c>
      <c r="AA507" s="257">
        <f t="shared" si="111"/>
        <v>320.16760472102379</v>
      </c>
      <c r="AB507" s="269">
        <f t="shared" si="112"/>
        <v>9321.99593697618</v>
      </c>
      <c r="AC507" s="269">
        <f t="shared" si="113"/>
        <v>9321.99593697618</v>
      </c>
      <c r="AD507" s="271" t="str">
        <f>INDEX('Global inputs'!$C$134:$C$171,MATCH(F507,'Global inputs'!$B$134:$B$171,0))</f>
        <v>Asset replacement and renewal</v>
      </c>
      <c r="AE507" s="272">
        <f>IF(OR(H507='Operating leases'!$B$32,H507='Operating leases'!$B$33),"",INDEX('Global inputs'!$C$186:$C$243,MATCH(E507,'Global inputs'!$B$186:$B$243,0)))</f>
        <v>0.1</v>
      </c>
    </row>
    <row r="508" spans="1:31" s="27" customFormat="1" x14ac:dyDescent="0.2">
      <c r="A508" s="250"/>
      <c r="B508" s="210" t="s">
        <v>746</v>
      </c>
      <c r="C508" s="210" t="s">
        <v>285</v>
      </c>
      <c r="D508" s="210" t="s">
        <v>223</v>
      </c>
      <c r="E508" s="210" t="s">
        <v>134</v>
      </c>
      <c r="F508" s="210" t="s">
        <v>76</v>
      </c>
      <c r="G508" s="210" t="s">
        <v>726</v>
      </c>
      <c r="H508" s="197">
        <v>0</v>
      </c>
      <c r="I508" s="210" t="s">
        <v>223</v>
      </c>
      <c r="J508" s="210">
        <v>2021</v>
      </c>
      <c r="K508" s="210">
        <v>2024</v>
      </c>
      <c r="L508" s="268" t="str">
        <f t="shared" si="101"/>
        <v>Complex</v>
      </c>
      <c r="M508" s="197">
        <v>30720</v>
      </c>
      <c r="N508" s="197">
        <v>0</v>
      </c>
      <c r="O508" s="257">
        <f>IF(ISNA(MATCH(H508,'Operating leases'!$B$32:$B$43,0)),0,INDEX('Operating leases'!$M$32:$S$43,MATCH(H508,'Operating leases'!$B$32:$B$43,0),MATCH(J508,'Operating leases'!$M$11:$S$11,0)))</f>
        <v>0</v>
      </c>
      <c r="P508" s="257">
        <f t="shared" si="102"/>
        <v>30720</v>
      </c>
      <c r="Q508" s="257">
        <f t="shared" si="103"/>
        <v>30720</v>
      </c>
      <c r="R508" s="258">
        <f>INDEX('Escalators '!$M$124:$S$129,MATCH(I508,'Escalators '!$B$124:$B$129,0),MATCH(J508,'Escalators '!$M$113:$S$113,0))</f>
        <v>1.0239888729183189</v>
      </c>
      <c r="S508" s="257">
        <f t="shared" si="104"/>
        <v>0</v>
      </c>
      <c r="T508" s="257">
        <f t="shared" si="105"/>
        <v>0</v>
      </c>
      <c r="U508" s="269">
        <f t="shared" si="106"/>
        <v>31456.938176050757</v>
      </c>
      <c r="V508" s="269">
        <f t="shared" si="107"/>
        <v>31456.938176050757</v>
      </c>
      <c r="W508" s="269">
        <f t="shared" si="108"/>
        <v>31456.938176050757</v>
      </c>
      <c r="X508" s="257">
        <f t="shared" si="109"/>
        <v>31456.938176050757</v>
      </c>
      <c r="Y508" s="270">
        <f>IF(L508="Complex",(INDEX('Escalators '!$M$176:$S$176,MATCH('Forecast capex'!J508,'Escalators '!$M$178:$S$178,0))/12+1)^((K508-J508)*12)-1,0)</f>
        <v>0.11054087574855176</v>
      </c>
      <c r="Z508" s="257">
        <f t="shared" si="110"/>
        <v>3395.81570299551</v>
      </c>
      <c r="AA508" s="257">
        <f t="shared" si="111"/>
        <v>3477.2774943487011</v>
      </c>
      <c r="AB508" s="269">
        <f t="shared" si="112"/>
        <v>34934.215670399455</v>
      </c>
      <c r="AC508" s="269">
        <f t="shared" si="113"/>
        <v>34934.215670399455</v>
      </c>
      <c r="AD508" s="271" t="str">
        <f>INDEX('Global inputs'!$C$134:$C$171,MATCH(F508,'Global inputs'!$B$134:$B$171,0))</f>
        <v xml:space="preserve">System growth </v>
      </c>
      <c r="AE508" s="272">
        <f>IF(OR(H508='Operating leases'!$B$32,H508='Operating leases'!$B$33),"",INDEX('Global inputs'!$C$186:$C$243,MATCH(E508,'Global inputs'!$B$186:$B$243,0)))</f>
        <v>0.08</v>
      </c>
    </row>
    <row r="509" spans="1:31" s="27" customFormat="1" x14ac:dyDescent="0.2">
      <c r="A509" s="250"/>
      <c r="B509" s="210" t="s">
        <v>746</v>
      </c>
      <c r="C509" s="210" t="s">
        <v>285</v>
      </c>
      <c r="D509" s="210" t="s">
        <v>223</v>
      </c>
      <c r="E509" s="210" t="s">
        <v>134</v>
      </c>
      <c r="F509" s="210" t="s">
        <v>76</v>
      </c>
      <c r="G509" s="210" t="s">
        <v>726</v>
      </c>
      <c r="H509" s="197">
        <v>0</v>
      </c>
      <c r="I509" s="210" t="s">
        <v>221</v>
      </c>
      <c r="J509" s="210">
        <v>2021</v>
      </c>
      <c r="K509" s="210">
        <v>2024</v>
      </c>
      <c r="L509" s="268" t="str">
        <f t="shared" si="101"/>
        <v>Complex</v>
      </c>
      <c r="M509" s="197">
        <v>71680</v>
      </c>
      <c r="N509" s="197">
        <v>0</v>
      </c>
      <c r="O509" s="257">
        <f>IF(ISNA(MATCH(H509,'Operating leases'!$B$32:$B$43,0)),0,INDEX('Operating leases'!$M$32:$S$43,MATCH(H509,'Operating leases'!$B$32:$B$43,0),MATCH(J509,'Operating leases'!$M$11:$S$11,0)))</f>
        <v>0</v>
      </c>
      <c r="P509" s="257">
        <f t="shared" si="102"/>
        <v>71680</v>
      </c>
      <c r="Q509" s="257">
        <f t="shared" si="103"/>
        <v>71680</v>
      </c>
      <c r="R509" s="258">
        <f>INDEX('Escalators '!$M$124:$S$129,MATCH(I509,'Escalators '!$B$124:$B$129,0),MATCH(J509,'Escalators '!$M$113:$S$113,0))</f>
        <v>1.0120900655357943</v>
      </c>
      <c r="S509" s="257">
        <f t="shared" si="104"/>
        <v>0</v>
      </c>
      <c r="T509" s="257">
        <f t="shared" si="105"/>
        <v>0</v>
      </c>
      <c r="U509" s="269">
        <f t="shared" si="106"/>
        <v>72546.615897605734</v>
      </c>
      <c r="V509" s="269">
        <f t="shared" si="107"/>
        <v>72546.615897605734</v>
      </c>
      <c r="W509" s="269">
        <f t="shared" si="108"/>
        <v>72546.615897605734</v>
      </c>
      <c r="X509" s="257">
        <f t="shared" si="109"/>
        <v>72546.615897605734</v>
      </c>
      <c r="Y509" s="270">
        <f>IF(L509="Complex",(INDEX('Escalators '!$M$176:$S$176,MATCH('Forecast capex'!J509,'Escalators '!$M$178:$S$178,0))/12+1)^((K509-J509)*12)-1,0)</f>
        <v>0.11054087574855176</v>
      </c>
      <c r="Z509" s="257">
        <f t="shared" si="110"/>
        <v>7923.5699736561901</v>
      </c>
      <c r="AA509" s="257">
        <f t="shared" si="111"/>
        <v>8019.366453915145</v>
      </c>
      <c r="AB509" s="269">
        <f t="shared" si="112"/>
        <v>80565.982351520885</v>
      </c>
      <c r="AC509" s="269">
        <f t="shared" si="113"/>
        <v>80565.982351520885</v>
      </c>
      <c r="AD509" s="271" t="str">
        <f>INDEX('Global inputs'!$C$134:$C$171,MATCH(F509,'Global inputs'!$B$134:$B$171,0))</f>
        <v xml:space="preserve">System growth </v>
      </c>
      <c r="AE509" s="272">
        <f>IF(OR(H509='Operating leases'!$B$32,H509='Operating leases'!$B$33),"",INDEX('Global inputs'!$C$186:$C$243,MATCH(E509,'Global inputs'!$B$186:$B$243,0)))</f>
        <v>0.08</v>
      </c>
    </row>
    <row r="510" spans="1:31" s="27" customFormat="1" x14ac:dyDescent="0.2">
      <c r="A510" s="250"/>
      <c r="B510" s="210" t="s">
        <v>746</v>
      </c>
      <c r="C510" s="210" t="s">
        <v>284</v>
      </c>
      <c r="D510" s="210" t="s">
        <v>729</v>
      </c>
      <c r="E510" s="210" t="s">
        <v>127</v>
      </c>
      <c r="F510" s="210" t="s">
        <v>76</v>
      </c>
      <c r="G510" s="210" t="s">
        <v>730</v>
      </c>
      <c r="H510" s="197">
        <v>0</v>
      </c>
      <c r="I510" s="210" t="s">
        <v>225</v>
      </c>
      <c r="J510" s="210">
        <v>2021</v>
      </c>
      <c r="K510" s="210">
        <v>2024</v>
      </c>
      <c r="L510" s="268" t="str">
        <f t="shared" si="101"/>
        <v>Complex</v>
      </c>
      <c r="M510" s="197">
        <v>53120</v>
      </c>
      <c r="N510" s="197">
        <v>0</v>
      </c>
      <c r="O510" s="257">
        <f>IF(ISNA(MATCH(H510,'Operating leases'!$B$32:$B$43,0)),0,INDEX('Operating leases'!$M$32:$S$43,MATCH(H510,'Operating leases'!$B$32:$B$43,0),MATCH(J510,'Operating leases'!$M$11:$S$11,0)))</f>
        <v>0</v>
      </c>
      <c r="P510" s="257">
        <f t="shared" si="102"/>
        <v>53120</v>
      </c>
      <c r="Q510" s="257">
        <f t="shared" si="103"/>
        <v>53120</v>
      </c>
      <c r="R510" s="258">
        <f>INDEX('Escalators '!$M$124:$S$129,MATCH(I510,'Escalators '!$B$124:$B$129,0),MATCH(J510,'Escalators '!$M$113:$S$113,0))</f>
        <v>1.023305412371134</v>
      </c>
      <c r="S510" s="257">
        <f t="shared" si="104"/>
        <v>0</v>
      </c>
      <c r="T510" s="257">
        <f t="shared" si="105"/>
        <v>0</v>
      </c>
      <c r="U510" s="269">
        <f t="shared" si="106"/>
        <v>54357.98350515464</v>
      </c>
      <c r="V510" s="269">
        <f t="shared" si="107"/>
        <v>54357.98350515464</v>
      </c>
      <c r="W510" s="269">
        <f t="shared" si="108"/>
        <v>54357.98350515464</v>
      </c>
      <c r="X510" s="257">
        <f t="shared" si="109"/>
        <v>54357.98350515464</v>
      </c>
      <c r="Y510" s="270">
        <f>IF(L510="Complex",(INDEX('Escalators '!$M$176:$S$176,MATCH('Forecast capex'!J510,'Escalators '!$M$178:$S$178,0))/12+1)^((K510-J510)*12)-1,0)</f>
        <v>0.11054087574855176</v>
      </c>
      <c r="Z510" s="257">
        <f t="shared" si="110"/>
        <v>5871.931319763069</v>
      </c>
      <c r="AA510" s="257">
        <f t="shared" si="111"/>
        <v>6008.779100585125</v>
      </c>
      <c r="AB510" s="269">
        <f t="shared" si="112"/>
        <v>60366.762605739765</v>
      </c>
      <c r="AC510" s="269">
        <f t="shared" si="113"/>
        <v>60366.762605739765</v>
      </c>
      <c r="AD510" s="271" t="str">
        <f>INDEX('Global inputs'!$C$134:$C$171,MATCH(F510,'Global inputs'!$B$134:$B$171,0))</f>
        <v xml:space="preserve">System growth </v>
      </c>
      <c r="AE510" s="272">
        <f>IF(OR(H510='Operating leases'!$B$32,H510='Operating leases'!$B$33),"",INDEX('Global inputs'!$C$186:$C$243,MATCH(E510,'Global inputs'!$B$186:$B$243,0)))</f>
        <v>0.08</v>
      </c>
    </row>
    <row r="511" spans="1:31" s="27" customFormat="1" x14ac:dyDescent="0.2">
      <c r="A511" s="250"/>
      <c r="B511" s="210" t="s">
        <v>746</v>
      </c>
      <c r="C511" s="210" t="s">
        <v>284</v>
      </c>
      <c r="D511" s="210" t="s">
        <v>729</v>
      </c>
      <c r="E511" s="210" t="s">
        <v>127</v>
      </c>
      <c r="F511" s="210" t="s">
        <v>76</v>
      </c>
      <c r="G511" s="210" t="s">
        <v>730</v>
      </c>
      <c r="H511" s="197">
        <v>0</v>
      </c>
      <c r="I511" s="210" t="s">
        <v>221</v>
      </c>
      <c r="J511" s="210">
        <v>2021</v>
      </c>
      <c r="K511" s="210">
        <v>2024</v>
      </c>
      <c r="L511" s="268" t="str">
        <f t="shared" si="101"/>
        <v>Complex</v>
      </c>
      <c r="M511" s="197">
        <v>212480</v>
      </c>
      <c r="N511" s="197">
        <v>0</v>
      </c>
      <c r="O511" s="257">
        <f>IF(ISNA(MATCH(H511,'Operating leases'!$B$32:$B$43,0)),0,INDEX('Operating leases'!$M$32:$S$43,MATCH(H511,'Operating leases'!$B$32:$B$43,0),MATCH(J511,'Operating leases'!$M$11:$S$11,0)))</f>
        <v>0</v>
      </c>
      <c r="P511" s="257">
        <f t="shared" si="102"/>
        <v>212480</v>
      </c>
      <c r="Q511" s="257">
        <f t="shared" si="103"/>
        <v>212480</v>
      </c>
      <c r="R511" s="258">
        <f>INDEX('Escalators '!$M$124:$S$129,MATCH(I511,'Escalators '!$B$124:$B$129,0),MATCH(J511,'Escalators '!$M$113:$S$113,0))</f>
        <v>1.0120900655357943</v>
      </c>
      <c r="S511" s="257">
        <f t="shared" si="104"/>
        <v>0</v>
      </c>
      <c r="T511" s="257">
        <f t="shared" si="105"/>
        <v>0</v>
      </c>
      <c r="U511" s="269">
        <f t="shared" si="106"/>
        <v>215048.89712504557</v>
      </c>
      <c r="V511" s="269">
        <f t="shared" si="107"/>
        <v>215048.89712504557</v>
      </c>
      <c r="W511" s="269">
        <f t="shared" si="108"/>
        <v>215048.89712504557</v>
      </c>
      <c r="X511" s="257">
        <f t="shared" si="109"/>
        <v>215048.89712504557</v>
      </c>
      <c r="Y511" s="270">
        <f>IF(L511="Complex",(INDEX('Escalators '!$M$176:$S$176,MATCH('Forecast capex'!J511,'Escalators '!$M$178:$S$178,0))/12+1)^((K511-J511)*12)-1,0)</f>
        <v>0.11054087574855176</v>
      </c>
      <c r="Z511" s="257">
        <f t="shared" si="110"/>
        <v>23487.725279052276</v>
      </c>
      <c r="AA511" s="257">
        <f t="shared" si="111"/>
        <v>23771.693416962753</v>
      </c>
      <c r="AB511" s="269">
        <f t="shared" si="112"/>
        <v>238820.59054200831</v>
      </c>
      <c r="AC511" s="269">
        <f t="shared" si="113"/>
        <v>238820.59054200831</v>
      </c>
      <c r="AD511" s="271" t="str">
        <f>INDEX('Global inputs'!$C$134:$C$171,MATCH(F511,'Global inputs'!$B$134:$B$171,0))</f>
        <v xml:space="preserve">System growth </v>
      </c>
      <c r="AE511" s="272">
        <f>IF(OR(H511='Operating leases'!$B$32,H511='Operating leases'!$B$33),"",INDEX('Global inputs'!$C$186:$C$243,MATCH(E511,'Global inputs'!$B$186:$B$243,0)))</f>
        <v>0.08</v>
      </c>
    </row>
    <row r="512" spans="1:31" s="27" customFormat="1" x14ac:dyDescent="0.2">
      <c r="A512" s="250"/>
      <c r="B512" s="210" t="s">
        <v>746</v>
      </c>
      <c r="C512" s="210" t="s">
        <v>284</v>
      </c>
      <c r="D512" s="210" t="s">
        <v>729</v>
      </c>
      <c r="E512" s="210" t="s">
        <v>129</v>
      </c>
      <c r="F512" s="210" t="s">
        <v>76</v>
      </c>
      <c r="G512" s="210" t="s">
        <v>730</v>
      </c>
      <c r="H512" s="197">
        <v>0</v>
      </c>
      <c r="I512" s="210" t="s">
        <v>225</v>
      </c>
      <c r="J512" s="210">
        <v>2021</v>
      </c>
      <c r="K512" s="210">
        <v>2024</v>
      </c>
      <c r="L512" s="268" t="str">
        <f t="shared" si="101"/>
        <v>Complex</v>
      </c>
      <c r="M512" s="197">
        <v>53120</v>
      </c>
      <c r="N512" s="197">
        <v>0</v>
      </c>
      <c r="O512" s="257">
        <f>IF(ISNA(MATCH(H512,'Operating leases'!$B$32:$B$43,0)),0,INDEX('Operating leases'!$M$32:$S$43,MATCH(H512,'Operating leases'!$B$32:$B$43,0),MATCH(J512,'Operating leases'!$M$11:$S$11,0)))</f>
        <v>0</v>
      </c>
      <c r="P512" s="257">
        <f t="shared" si="102"/>
        <v>53120</v>
      </c>
      <c r="Q512" s="257">
        <f t="shared" si="103"/>
        <v>53120</v>
      </c>
      <c r="R512" s="258">
        <f>INDEX('Escalators '!$M$124:$S$129,MATCH(I512,'Escalators '!$B$124:$B$129,0),MATCH(J512,'Escalators '!$M$113:$S$113,0))</f>
        <v>1.023305412371134</v>
      </c>
      <c r="S512" s="257">
        <f t="shared" si="104"/>
        <v>0</v>
      </c>
      <c r="T512" s="257">
        <f t="shared" si="105"/>
        <v>0</v>
      </c>
      <c r="U512" s="269">
        <f t="shared" si="106"/>
        <v>54357.98350515464</v>
      </c>
      <c r="V512" s="269">
        <f t="shared" si="107"/>
        <v>54357.98350515464</v>
      </c>
      <c r="W512" s="269">
        <f t="shared" si="108"/>
        <v>54357.98350515464</v>
      </c>
      <c r="X512" s="257">
        <f t="shared" si="109"/>
        <v>54357.98350515464</v>
      </c>
      <c r="Y512" s="270">
        <f>IF(L512="Complex",(INDEX('Escalators '!$M$176:$S$176,MATCH('Forecast capex'!J512,'Escalators '!$M$178:$S$178,0))/12+1)^((K512-J512)*12)-1,0)</f>
        <v>0.11054087574855176</v>
      </c>
      <c r="Z512" s="257">
        <f t="shared" si="110"/>
        <v>5871.931319763069</v>
      </c>
      <c r="AA512" s="257">
        <f t="shared" si="111"/>
        <v>6008.779100585125</v>
      </c>
      <c r="AB512" s="269">
        <f t="shared" si="112"/>
        <v>60366.762605739765</v>
      </c>
      <c r="AC512" s="269">
        <f t="shared" si="113"/>
        <v>60366.762605739765</v>
      </c>
      <c r="AD512" s="271" t="str">
        <f>INDEX('Global inputs'!$C$134:$C$171,MATCH(F512,'Global inputs'!$B$134:$B$171,0))</f>
        <v xml:space="preserve">System growth </v>
      </c>
      <c r="AE512" s="272">
        <f>IF(OR(H512='Operating leases'!$B$32,H512='Operating leases'!$B$33),"",INDEX('Global inputs'!$C$186:$C$243,MATCH(E512,'Global inputs'!$B$186:$B$243,0)))</f>
        <v>0.1</v>
      </c>
    </row>
    <row r="513" spans="1:31" s="27" customFormat="1" x14ac:dyDescent="0.2">
      <c r="A513" s="250"/>
      <c r="B513" s="210" t="s">
        <v>746</v>
      </c>
      <c r="C513" s="210" t="s">
        <v>284</v>
      </c>
      <c r="D513" s="210" t="s">
        <v>729</v>
      </c>
      <c r="E513" s="210" t="s">
        <v>129</v>
      </c>
      <c r="F513" s="210" t="s">
        <v>76</v>
      </c>
      <c r="G513" s="210" t="s">
        <v>730</v>
      </c>
      <c r="H513" s="197">
        <v>0</v>
      </c>
      <c r="I513" s="210" t="s">
        <v>221</v>
      </c>
      <c r="J513" s="210">
        <v>2021</v>
      </c>
      <c r="K513" s="210">
        <v>2024</v>
      </c>
      <c r="L513" s="268" t="str">
        <f t="shared" si="101"/>
        <v>Complex</v>
      </c>
      <c r="M513" s="197">
        <v>212480</v>
      </c>
      <c r="N513" s="197">
        <v>0</v>
      </c>
      <c r="O513" s="257">
        <f>IF(ISNA(MATCH(H513,'Operating leases'!$B$32:$B$43,0)),0,INDEX('Operating leases'!$M$32:$S$43,MATCH(H513,'Operating leases'!$B$32:$B$43,0),MATCH(J513,'Operating leases'!$M$11:$S$11,0)))</f>
        <v>0</v>
      </c>
      <c r="P513" s="257">
        <f t="shared" si="102"/>
        <v>212480</v>
      </c>
      <c r="Q513" s="257">
        <f t="shared" si="103"/>
        <v>212480</v>
      </c>
      <c r="R513" s="258">
        <f>INDEX('Escalators '!$M$124:$S$129,MATCH(I513,'Escalators '!$B$124:$B$129,0),MATCH(J513,'Escalators '!$M$113:$S$113,0))</f>
        <v>1.0120900655357943</v>
      </c>
      <c r="S513" s="257">
        <f t="shared" si="104"/>
        <v>0</v>
      </c>
      <c r="T513" s="257">
        <f t="shared" si="105"/>
        <v>0</v>
      </c>
      <c r="U513" s="269">
        <f t="shared" si="106"/>
        <v>215048.89712504557</v>
      </c>
      <c r="V513" s="269">
        <f t="shared" si="107"/>
        <v>215048.89712504557</v>
      </c>
      <c r="W513" s="269">
        <f t="shared" si="108"/>
        <v>215048.89712504557</v>
      </c>
      <c r="X513" s="257">
        <f t="shared" si="109"/>
        <v>215048.89712504557</v>
      </c>
      <c r="Y513" s="270">
        <f>IF(L513="Complex",(INDEX('Escalators '!$M$176:$S$176,MATCH('Forecast capex'!J513,'Escalators '!$M$178:$S$178,0))/12+1)^((K513-J513)*12)-1,0)</f>
        <v>0.11054087574855176</v>
      </c>
      <c r="Z513" s="257">
        <f t="shared" si="110"/>
        <v>23487.725279052276</v>
      </c>
      <c r="AA513" s="257">
        <f t="shared" si="111"/>
        <v>23771.693416962753</v>
      </c>
      <c r="AB513" s="269">
        <f t="shared" si="112"/>
        <v>238820.59054200831</v>
      </c>
      <c r="AC513" s="269">
        <f t="shared" si="113"/>
        <v>238820.59054200831</v>
      </c>
      <c r="AD513" s="271" t="str">
        <f>INDEX('Global inputs'!$C$134:$C$171,MATCH(F513,'Global inputs'!$B$134:$B$171,0))</f>
        <v xml:space="preserve">System growth </v>
      </c>
      <c r="AE513" s="272">
        <f>IF(OR(H513='Operating leases'!$B$32,H513='Operating leases'!$B$33),"",INDEX('Global inputs'!$C$186:$C$243,MATCH(E513,'Global inputs'!$B$186:$B$243,0)))</f>
        <v>0.1</v>
      </c>
    </row>
    <row r="514" spans="1:31" s="27" customFormat="1" x14ac:dyDescent="0.2">
      <c r="A514" s="250"/>
      <c r="B514" s="210" t="s">
        <v>746</v>
      </c>
      <c r="C514" s="210" t="s">
        <v>286</v>
      </c>
      <c r="D514" s="210" t="s">
        <v>732</v>
      </c>
      <c r="E514" s="210" t="s">
        <v>143</v>
      </c>
      <c r="F514" s="210" t="s">
        <v>76</v>
      </c>
      <c r="G514" s="210" t="s">
        <v>734</v>
      </c>
      <c r="H514" s="197">
        <v>0</v>
      </c>
      <c r="I514" s="210" t="s">
        <v>142</v>
      </c>
      <c r="J514" s="210">
        <v>2021</v>
      </c>
      <c r="K514" s="210">
        <v>2024</v>
      </c>
      <c r="L514" s="268" t="str">
        <f t="shared" si="101"/>
        <v>Complex</v>
      </c>
      <c r="M514" s="197">
        <v>5120</v>
      </c>
      <c r="N514" s="197">
        <v>0</v>
      </c>
      <c r="O514" s="257">
        <f>IF(ISNA(MATCH(H514,'Operating leases'!$B$32:$B$43,0)),0,INDEX('Operating leases'!$M$32:$S$43,MATCH(H514,'Operating leases'!$B$32:$B$43,0),MATCH(J514,'Operating leases'!$M$11:$S$11,0)))</f>
        <v>0</v>
      </c>
      <c r="P514" s="257">
        <f t="shared" si="102"/>
        <v>5120</v>
      </c>
      <c r="Q514" s="257">
        <f t="shared" si="103"/>
        <v>5120</v>
      </c>
      <c r="R514" s="258">
        <f>INDEX('Escalators '!$M$124:$S$129,MATCH(I514,'Escalators '!$B$124:$B$129,0),MATCH(J514,'Escalators '!$M$113:$S$113,0))</f>
        <v>1.0199504944721745</v>
      </c>
      <c r="S514" s="257">
        <f t="shared" si="104"/>
        <v>0</v>
      </c>
      <c r="T514" s="257">
        <f t="shared" si="105"/>
        <v>0</v>
      </c>
      <c r="U514" s="269">
        <f t="shared" si="106"/>
        <v>5222.1465316975336</v>
      </c>
      <c r="V514" s="269">
        <f t="shared" si="107"/>
        <v>5222.1465316975336</v>
      </c>
      <c r="W514" s="269">
        <f t="shared" si="108"/>
        <v>5222.1465316975336</v>
      </c>
      <c r="X514" s="257">
        <f t="shared" si="109"/>
        <v>5222.1465316975336</v>
      </c>
      <c r="Y514" s="270">
        <f>IF(L514="Complex",(INDEX('Escalators '!$M$176:$S$176,MATCH('Forecast capex'!J514,'Escalators '!$M$178:$S$178,0))/12+1)^((K514-J514)*12)-1,0)</f>
        <v>0.11054087574855176</v>
      </c>
      <c r="Z514" s="257">
        <f t="shared" si="110"/>
        <v>565.96928383258501</v>
      </c>
      <c r="AA514" s="257">
        <f t="shared" si="111"/>
        <v>577.26065090110762</v>
      </c>
      <c r="AB514" s="269">
        <f t="shared" si="112"/>
        <v>5799.4071825986412</v>
      </c>
      <c r="AC514" s="269">
        <f t="shared" si="113"/>
        <v>5799.4071825986412</v>
      </c>
      <c r="AD514" s="271" t="str">
        <f>INDEX('Global inputs'!$C$134:$C$171,MATCH(F514,'Global inputs'!$B$134:$B$171,0))</f>
        <v xml:space="preserve">System growth </v>
      </c>
      <c r="AE514" s="272">
        <f>IF(OR(H514='Operating leases'!$B$32,H514='Operating leases'!$B$33),"",INDEX('Global inputs'!$C$186:$C$243,MATCH(E514,'Global inputs'!$B$186:$B$243,0)))</f>
        <v>0.08</v>
      </c>
    </row>
    <row r="515" spans="1:31" s="27" customFormat="1" x14ac:dyDescent="0.2">
      <c r="A515" s="250"/>
      <c r="B515" s="210" t="s">
        <v>746</v>
      </c>
      <c r="C515" s="210" t="s">
        <v>286</v>
      </c>
      <c r="D515" s="210" t="s">
        <v>732</v>
      </c>
      <c r="E515" s="210" t="s">
        <v>143</v>
      </c>
      <c r="F515" s="210" t="s">
        <v>76</v>
      </c>
      <c r="G515" s="210" t="s">
        <v>734</v>
      </c>
      <c r="H515" s="197">
        <v>0</v>
      </c>
      <c r="I515" s="210" t="s">
        <v>221</v>
      </c>
      <c r="J515" s="210">
        <v>2021</v>
      </c>
      <c r="K515" s="210">
        <v>2024</v>
      </c>
      <c r="L515" s="268" t="str">
        <f t="shared" si="101"/>
        <v>Complex</v>
      </c>
      <c r="M515" s="197">
        <v>1280</v>
      </c>
      <c r="N515" s="197">
        <v>0</v>
      </c>
      <c r="O515" s="257">
        <f>IF(ISNA(MATCH(H515,'Operating leases'!$B$32:$B$43,0)),0,INDEX('Operating leases'!$M$32:$S$43,MATCH(H515,'Operating leases'!$B$32:$B$43,0),MATCH(J515,'Operating leases'!$M$11:$S$11,0)))</f>
        <v>0</v>
      </c>
      <c r="P515" s="257">
        <f t="shared" si="102"/>
        <v>1280</v>
      </c>
      <c r="Q515" s="257">
        <f t="shared" si="103"/>
        <v>1280</v>
      </c>
      <c r="R515" s="258">
        <f>INDEX('Escalators '!$M$124:$S$129,MATCH(I515,'Escalators '!$B$124:$B$129,0),MATCH(J515,'Escalators '!$M$113:$S$113,0))</f>
        <v>1.0120900655357943</v>
      </c>
      <c r="S515" s="257">
        <f t="shared" si="104"/>
        <v>0</v>
      </c>
      <c r="T515" s="257">
        <f t="shared" si="105"/>
        <v>0</v>
      </c>
      <c r="U515" s="269">
        <f t="shared" si="106"/>
        <v>1295.4752838858167</v>
      </c>
      <c r="V515" s="269">
        <f t="shared" si="107"/>
        <v>1295.4752838858167</v>
      </c>
      <c r="W515" s="269">
        <f t="shared" si="108"/>
        <v>1295.4752838858167</v>
      </c>
      <c r="X515" s="257">
        <f t="shared" si="109"/>
        <v>1295.4752838858167</v>
      </c>
      <c r="Y515" s="270">
        <f>IF(L515="Complex",(INDEX('Escalators '!$M$176:$S$176,MATCH('Forecast capex'!J515,'Escalators '!$M$178:$S$178,0))/12+1)^((K515-J515)*12)-1,0)</f>
        <v>0.11054087574855176</v>
      </c>
      <c r="Z515" s="257">
        <f t="shared" si="110"/>
        <v>141.49232095814625</v>
      </c>
      <c r="AA515" s="257">
        <f t="shared" si="111"/>
        <v>143.20297239134189</v>
      </c>
      <c r="AB515" s="269">
        <f t="shared" si="112"/>
        <v>1438.6782562771587</v>
      </c>
      <c r="AC515" s="269">
        <f t="shared" si="113"/>
        <v>1438.6782562771587</v>
      </c>
      <c r="AD515" s="271" t="str">
        <f>INDEX('Global inputs'!$C$134:$C$171,MATCH(F515,'Global inputs'!$B$134:$B$171,0))</f>
        <v xml:space="preserve">System growth </v>
      </c>
      <c r="AE515" s="272">
        <f>IF(OR(H515='Operating leases'!$B$32,H515='Operating leases'!$B$33),"",INDEX('Global inputs'!$C$186:$C$243,MATCH(E515,'Global inputs'!$B$186:$B$243,0)))</f>
        <v>0.08</v>
      </c>
    </row>
    <row r="516" spans="1:31" s="27" customFormat="1" x14ac:dyDescent="0.2">
      <c r="A516" s="250"/>
      <c r="B516" s="210" t="s">
        <v>746</v>
      </c>
      <c r="C516" s="210" t="s">
        <v>286</v>
      </c>
      <c r="D516" s="210" t="s">
        <v>732</v>
      </c>
      <c r="E516" s="210" t="s">
        <v>138</v>
      </c>
      <c r="F516" s="210" t="s">
        <v>79</v>
      </c>
      <c r="G516" s="210" t="s">
        <v>752</v>
      </c>
      <c r="H516" s="197">
        <v>0</v>
      </c>
      <c r="I516" s="210" t="s">
        <v>139</v>
      </c>
      <c r="J516" s="210">
        <v>2021</v>
      </c>
      <c r="K516" s="210">
        <v>2024</v>
      </c>
      <c r="L516" s="268" t="str">
        <f t="shared" si="101"/>
        <v>Complex</v>
      </c>
      <c r="M516" s="197">
        <v>2923.9766081871339</v>
      </c>
      <c r="N516" s="197">
        <v>0</v>
      </c>
      <c r="O516" s="257">
        <f>IF(ISNA(MATCH(H516,'Operating leases'!$B$32:$B$43,0)),0,INDEX('Operating leases'!$M$32:$S$43,MATCH(H516,'Operating leases'!$B$32:$B$43,0),MATCH(J516,'Operating leases'!$M$11:$S$11,0)))</f>
        <v>0</v>
      </c>
      <c r="P516" s="257">
        <f t="shared" si="102"/>
        <v>2923.9766081871339</v>
      </c>
      <c r="Q516" s="257">
        <f t="shared" si="103"/>
        <v>2923.9766081871339</v>
      </c>
      <c r="R516" s="258">
        <f>INDEX('Escalators '!$M$124:$S$129,MATCH(I516,'Escalators '!$B$124:$B$129,0),MATCH(J516,'Escalators '!$M$113:$S$113,0))</f>
        <v>1.005513233090898</v>
      </c>
      <c r="S516" s="257">
        <f t="shared" si="104"/>
        <v>0</v>
      </c>
      <c r="T516" s="257">
        <f t="shared" si="105"/>
        <v>0</v>
      </c>
      <c r="U516" s="269">
        <f t="shared" si="106"/>
        <v>2940.0971727804031</v>
      </c>
      <c r="V516" s="269">
        <f t="shared" si="107"/>
        <v>2940.0971727804031</v>
      </c>
      <c r="W516" s="269">
        <f t="shared" si="108"/>
        <v>2940.0971727804031</v>
      </c>
      <c r="X516" s="257">
        <f t="shared" si="109"/>
        <v>2940.0971727804031</v>
      </c>
      <c r="Y516" s="270">
        <f>IF(L516="Complex",(INDEX('Escalators '!$M$176:$S$176,MATCH('Forecast capex'!J516,'Escalators '!$M$178:$S$178,0))/12+1)^((K516-J516)*12)-1,0)</f>
        <v>0.11054087574855176</v>
      </c>
      <c r="Z516" s="257">
        <f t="shared" si="110"/>
        <v>323.21893493728578</v>
      </c>
      <c r="AA516" s="257">
        <f t="shared" si="111"/>
        <v>325.00091626498687</v>
      </c>
      <c r="AB516" s="269">
        <f t="shared" si="112"/>
        <v>3265.0980890453898</v>
      </c>
      <c r="AC516" s="269">
        <f t="shared" si="113"/>
        <v>3265.0980890453898</v>
      </c>
      <c r="AD516" s="271" t="str">
        <f>INDEX('Global inputs'!$C$134:$C$171,MATCH(F516,'Global inputs'!$B$134:$B$171,0))</f>
        <v xml:space="preserve">System growth </v>
      </c>
      <c r="AE516" s="272">
        <f>IF(OR(H516='Operating leases'!$B$32,H516='Operating leases'!$B$33),"",INDEX('Global inputs'!$C$186:$C$243,MATCH(E516,'Global inputs'!$B$186:$B$243,0)))</f>
        <v>0.08</v>
      </c>
    </row>
    <row r="517" spans="1:31" s="27" customFormat="1" x14ac:dyDescent="0.2">
      <c r="A517" s="250"/>
      <c r="B517" s="210" t="s">
        <v>746</v>
      </c>
      <c r="C517" s="210" t="s">
        <v>286</v>
      </c>
      <c r="D517" s="210" t="s">
        <v>732</v>
      </c>
      <c r="E517" s="210" t="s">
        <v>138</v>
      </c>
      <c r="F517" s="210" t="s">
        <v>79</v>
      </c>
      <c r="G517" s="210" t="s">
        <v>752</v>
      </c>
      <c r="H517" s="197">
        <v>0</v>
      </c>
      <c r="I517" s="210" t="s">
        <v>221</v>
      </c>
      <c r="J517" s="210">
        <v>2021</v>
      </c>
      <c r="K517" s="210">
        <v>2024</v>
      </c>
      <c r="L517" s="268" t="str">
        <f t="shared" si="101"/>
        <v>Complex</v>
      </c>
      <c r="M517" s="197">
        <v>1949.3177387914229</v>
      </c>
      <c r="N517" s="197">
        <v>0</v>
      </c>
      <c r="O517" s="257">
        <f>IF(ISNA(MATCH(H517,'Operating leases'!$B$32:$B$43,0)),0,INDEX('Operating leases'!$M$32:$S$43,MATCH(H517,'Operating leases'!$B$32:$B$43,0),MATCH(J517,'Operating leases'!$M$11:$S$11,0)))</f>
        <v>0</v>
      </c>
      <c r="P517" s="257">
        <f t="shared" si="102"/>
        <v>1949.3177387914229</v>
      </c>
      <c r="Q517" s="257">
        <f t="shared" si="103"/>
        <v>1949.3177387914229</v>
      </c>
      <c r="R517" s="258">
        <f>INDEX('Escalators '!$M$124:$S$129,MATCH(I517,'Escalators '!$B$124:$B$129,0),MATCH(J517,'Escalators '!$M$113:$S$113,0))</f>
        <v>1.0120900655357943</v>
      </c>
      <c r="S517" s="257">
        <f t="shared" si="104"/>
        <v>0</v>
      </c>
      <c r="T517" s="257">
        <f t="shared" si="105"/>
        <v>0</v>
      </c>
      <c r="U517" s="269">
        <f t="shared" si="106"/>
        <v>1972.8851180034976</v>
      </c>
      <c r="V517" s="269">
        <f t="shared" si="107"/>
        <v>1972.8851180034976</v>
      </c>
      <c r="W517" s="269">
        <f t="shared" si="108"/>
        <v>1972.8851180034976</v>
      </c>
      <c r="X517" s="257">
        <f t="shared" si="109"/>
        <v>1972.8851180034976</v>
      </c>
      <c r="Y517" s="270">
        <f>IF(L517="Complex",(INDEX('Escalators '!$M$176:$S$176,MATCH('Forecast capex'!J517,'Escalators '!$M$178:$S$178,0))/12+1)^((K517-J517)*12)-1,0)</f>
        <v>0.11054087574855176</v>
      </c>
      <c r="Z517" s="257">
        <f t="shared" si="110"/>
        <v>215.47928995819055</v>
      </c>
      <c r="AA517" s="257">
        <f t="shared" si="111"/>
        <v>218.0844486953915</v>
      </c>
      <c r="AB517" s="269">
        <f t="shared" si="112"/>
        <v>2190.9695666988891</v>
      </c>
      <c r="AC517" s="269">
        <f t="shared" si="113"/>
        <v>2190.9695666988891</v>
      </c>
      <c r="AD517" s="271" t="str">
        <f>INDEX('Global inputs'!$C$134:$C$171,MATCH(F517,'Global inputs'!$B$134:$B$171,0))</f>
        <v xml:space="preserve">System growth </v>
      </c>
      <c r="AE517" s="272">
        <f>IF(OR(H517='Operating leases'!$B$32,H517='Operating leases'!$B$33),"",INDEX('Global inputs'!$C$186:$C$243,MATCH(E517,'Global inputs'!$B$186:$B$243,0)))</f>
        <v>0.08</v>
      </c>
    </row>
    <row r="518" spans="1:31" s="27" customFormat="1" x14ac:dyDescent="0.2">
      <c r="A518" s="250"/>
      <c r="B518" s="210" t="s">
        <v>746</v>
      </c>
      <c r="C518" s="210" t="s">
        <v>286</v>
      </c>
      <c r="D518" s="210" t="s">
        <v>732</v>
      </c>
      <c r="E518" s="210" t="s">
        <v>143</v>
      </c>
      <c r="F518" s="210" t="s">
        <v>79</v>
      </c>
      <c r="G518" s="210" t="s">
        <v>734</v>
      </c>
      <c r="H518" s="197">
        <v>0</v>
      </c>
      <c r="I518" s="210" t="s">
        <v>142</v>
      </c>
      <c r="J518" s="210">
        <v>2021</v>
      </c>
      <c r="K518" s="210">
        <v>2024</v>
      </c>
      <c r="L518" s="268" t="str">
        <f t="shared" si="101"/>
        <v>Complex</v>
      </c>
      <c r="M518" s="197">
        <v>18713.450292397662</v>
      </c>
      <c r="N518" s="197">
        <v>0</v>
      </c>
      <c r="O518" s="257">
        <f>IF(ISNA(MATCH(H518,'Operating leases'!$B$32:$B$43,0)),0,INDEX('Operating leases'!$M$32:$S$43,MATCH(H518,'Operating leases'!$B$32:$B$43,0),MATCH(J518,'Operating leases'!$M$11:$S$11,0)))</f>
        <v>0</v>
      </c>
      <c r="P518" s="257">
        <f t="shared" si="102"/>
        <v>18713.450292397662</v>
      </c>
      <c r="Q518" s="257">
        <f t="shared" si="103"/>
        <v>18713.450292397662</v>
      </c>
      <c r="R518" s="258">
        <f>INDEX('Escalators '!$M$124:$S$129,MATCH(I518,'Escalators '!$B$124:$B$129,0),MATCH(J518,'Escalators '!$M$113:$S$113,0))</f>
        <v>1.0199504944721745</v>
      </c>
      <c r="S518" s="257">
        <f t="shared" si="104"/>
        <v>0</v>
      </c>
      <c r="T518" s="257">
        <f t="shared" si="105"/>
        <v>0</v>
      </c>
      <c r="U518" s="269">
        <f t="shared" si="106"/>
        <v>19086.792879011453</v>
      </c>
      <c r="V518" s="269">
        <f t="shared" si="107"/>
        <v>19086.792879011453</v>
      </c>
      <c r="W518" s="269">
        <f t="shared" si="108"/>
        <v>19086.792879011453</v>
      </c>
      <c r="X518" s="257">
        <f t="shared" si="109"/>
        <v>19086.792879011453</v>
      </c>
      <c r="Y518" s="270">
        <f>IF(L518="Complex",(INDEX('Escalators '!$M$176:$S$176,MATCH('Forecast capex'!J518,'Escalators '!$M$178:$S$178,0))/12+1)^((K518-J518)*12)-1,0)</f>
        <v>0.11054087574855176</v>
      </c>
      <c r="Z518" s="257">
        <f t="shared" si="110"/>
        <v>2068.6011835986296</v>
      </c>
      <c r="AA518" s="257">
        <f t="shared" si="111"/>
        <v>2109.8708000771476</v>
      </c>
      <c r="AB518" s="269">
        <f t="shared" si="112"/>
        <v>21196.6636790886</v>
      </c>
      <c r="AC518" s="269">
        <f t="shared" si="113"/>
        <v>21196.6636790886</v>
      </c>
      <c r="AD518" s="271" t="str">
        <f>INDEX('Global inputs'!$C$134:$C$171,MATCH(F518,'Global inputs'!$B$134:$B$171,0))</f>
        <v xml:space="preserve">System growth </v>
      </c>
      <c r="AE518" s="272">
        <f>IF(OR(H518='Operating leases'!$B$32,H518='Operating leases'!$B$33),"",INDEX('Global inputs'!$C$186:$C$243,MATCH(E518,'Global inputs'!$B$186:$B$243,0)))</f>
        <v>0.08</v>
      </c>
    </row>
    <row r="519" spans="1:31" s="27" customFormat="1" x14ac:dyDescent="0.2">
      <c r="A519" s="250"/>
      <c r="B519" s="210" t="s">
        <v>746</v>
      </c>
      <c r="C519" s="210" t="s">
        <v>286</v>
      </c>
      <c r="D519" s="210" t="s">
        <v>732</v>
      </c>
      <c r="E519" s="210" t="s">
        <v>143</v>
      </c>
      <c r="F519" s="210" t="s">
        <v>79</v>
      </c>
      <c r="G519" s="210" t="s">
        <v>734</v>
      </c>
      <c r="H519" s="197">
        <v>0</v>
      </c>
      <c r="I519" s="210" t="s">
        <v>221</v>
      </c>
      <c r="J519" s="210">
        <v>2021</v>
      </c>
      <c r="K519" s="210">
        <v>2024</v>
      </c>
      <c r="L519" s="268" t="str">
        <f t="shared" si="101"/>
        <v>Complex</v>
      </c>
      <c r="M519" s="197">
        <v>4678.3625730994154</v>
      </c>
      <c r="N519" s="197">
        <v>0</v>
      </c>
      <c r="O519" s="257">
        <f>IF(ISNA(MATCH(H519,'Operating leases'!$B$32:$B$43,0)),0,INDEX('Operating leases'!$M$32:$S$43,MATCH(H519,'Operating leases'!$B$32:$B$43,0),MATCH(J519,'Operating leases'!$M$11:$S$11,0)))</f>
        <v>0</v>
      </c>
      <c r="P519" s="257">
        <f t="shared" si="102"/>
        <v>4678.3625730994154</v>
      </c>
      <c r="Q519" s="257">
        <f t="shared" si="103"/>
        <v>4678.3625730994154</v>
      </c>
      <c r="R519" s="258">
        <f>INDEX('Escalators '!$M$124:$S$129,MATCH(I519,'Escalators '!$B$124:$B$129,0),MATCH(J519,'Escalators '!$M$113:$S$113,0))</f>
        <v>1.0120900655357943</v>
      </c>
      <c r="S519" s="257">
        <f t="shared" si="104"/>
        <v>0</v>
      </c>
      <c r="T519" s="257">
        <f t="shared" si="105"/>
        <v>0</v>
      </c>
      <c r="U519" s="269">
        <f t="shared" si="106"/>
        <v>4734.9242832083946</v>
      </c>
      <c r="V519" s="269">
        <f t="shared" si="107"/>
        <v>4734.9242832083946</v>
      </c>
      <c r="W519" s="269">
        <f t="shared" si="108"/>
        <v>4734.9242832083946</v>
      </c>
      <c r="X519" s="257">
        <f t="shared" si="109"/>
        <v>4734.9242832083946</v>
      </c>
      <c r="Y519" s="270">
        <f>IF(L519="Complex",(INDEX('Escalators '!$M$176:$S$176,MATCH('Forecast capex'!J519,'Escalators '!$M$178:$S$178,0))/12+1)^((K519-J519)*12)-1,0)</f>
        <v>0.11054087574855176</v>
      </c>
      <c r="Z519" s="257">
        <f t="shared" si="110"/>
        <v>517.15029589965741</v>
      </c>
      <c r="AA519" s="257">
        <f t="shared" si="111"/>
        <v>523.40267686893969</v>
      </c>
      <c r="AB519" s="269">
        <f t="shared" si="112"/>
        <v>5258.3269600773347</v>
      </c>
      <c r="AC519" s="269">
        <f t="shared" si="113"/>
        <v>5258.3269600773347</v>
      </c>
      <c r="AD519" s="271" t="str">
        <f>INDEX('Global inputs'!$C$134:$C$171,MATCH(F519,'Global inputs'!$B$134:$B$171,0))</f>
        <v xml:space="preserve">System growth </v>
      </c>
      <c r="AE519" s="272">
        <f>IF(OR(H519='Operating leases'!$B$32,H519='Operating leases'!$B$33),"",INDEX('Global inputs'!$C$186:$C$243,MATCH(E519,'Global inputs'!$B$186:$B$243,0)))</f>
        <v>0.08</v>
      </c>
    </row>
    <row r="520" spans="1:31" s="27" customFormat="1" x14ac:dyDescent="0.2">
      <c r="A520" s="250"/>
      <c r="B520" s="210" t="s">
        <v>746</v>
      </c>
      <c r="C520" s="210" t="s">
        <v>286</v>
      </c>
      <c r="D520" s="210" t="s">
        <v>732</v>
      </c>
      <c r="E520" s="210" t="s">
        <v>136</v>
      </c>
      <c r="F520" s="210" t="s">
        <v>79</v>
      </c>
      <c r="G520" s="210" t="s">
        <v>751</v>
      </c>
      <c r="H520" s="197">
        <v>0</v>
      </c>
      <c r="I520" s="210" t="s">
        <v>229</v>
      </c>
      <c r="J520" s="210">
        <v>2021</v>
      </c>
      <c r="K520" s="210">
        <v>2024</v>
      </c>
      <c r="L520" s="268" t="str">
        <f t="shared" si="101"/>
        <v>Complex</v>
      </c>
      <c r="M520" s="197">
        <v>26803.118908382068</v>
      </c>
      <c r="N520" s="197">
        <v>0</v>
      </c>
      <c r="O520" s="257">
        <f>IF(ISNA(MATCH(H520,'Operating leases'!$B$32:$B$43,0)),0,INDEX('Operating leases'!$M$32:$S$43,MATCH(H520,'Operating leases'!$B$32:$B$43,0),MATCH(J520,'Operating leases'!$M$11:$S$11,0)))</f>
        <v>0</v>
      </c>
      <c r="P520" s="257">
        <f t="shared" si="102"/>
        <v>26803.118908382068</v>
      </c>
      <c r="Q520" s="257">
        <f t="shared" si="103"/>
        <v>26803.118908382068</v>
      </c>
      <c r="R520" s="258">
        <f>INDEX('Escalators '!$M$124:$S$129,MATCH(I520,'Escalators '!$B$124:$B$129,0),MATCH(J520,'Escalators '!$M$113:$S$113,0))</f>
        <v>1.0206154571717865</v>
      </c>
      <c r="S520" s="257">
        <f t="shared" si="104"/>
        <v>0</v>
      </c>
      <c r="T520" s="257">
        <f t="shared" si="105"/>
        <v>0</v>
      </c>
      <c r="U520" s="269">
        <f t="shared" si="106"/>
        <v>27355.677458308121</v>
      </c>
      <c r="V520" s="269">
        <f t="shared" si="107"/>
        <v>27355.677458308121</v>
      </c>
      <c r="W520" s="269">
        <f t="shared" si="108"/>
        <v>27355.677458308121</v>
      </c>
      <c r="X520" s="257">
        <f t="shared" si="109"/>
        <v>27355.677458308121</v>
      </c>
      <c r="Y520" s="270">
        <f>IF(L520="Complex",(INDEX('Escalators '!$M$176:$S$176,MATCH('Forecast capex'!J520,'Escalators '!$M$178:$S$178,0))/12+1)^((K520-J520)*12)-1,0)</f>
        <v>0.11054087574855176</v>
      </c>
      <c r="Z520" s="257">
        <f t="shared" si="110"/>
        <v>2962.8402369251203</v>
      </c>
      <c r="AA520" s="257">
        <f t="shared" si="111"/>
        <v>3023.920542936296</v>
      </c>
      <c r="AB520" s="269">
        <f t="shared" si="112"/>
        <v>30379.598001244416</v>
      </c>
      <c r="AC520" s="269">
        <f t="shared" si="113"/>
        <v>30379.598001244416</v>
      </c>
      <c r="AD520" s="271" t="str">
        <f>INDEX('Global inputs'!$C$134:$C$171,MATCH(F520,'Global inputs'!$B$134:$B$171,0))</f>
        <v xml:space="preserve">System growth </v>
      </c>
      <c r="AE520" s="272">
        <f>IF(OR(H520='Operating leases'!$B$32,H520='Operating leases'!$B$33),"",INDEX('Global inputs'!$C$186:$C$243,MATCH(E520,'Global inputs'!$B$186:$B$243,0)))</f>
        <v>0</v>
      </c>
    </row>
    <row r="521" spans="1:31" s="27" customFormat="1" x14ac:dyDescent="0.2">
      <c r="A521" s="250"/>
      <c r="B521" s="210" t="s">
        <v>746</v>
      </c>
      <c r="C521" s="210" t="s">
        <v>286</v>
      </c>
      <c r="D521" s="210" t="s">
        <v>732</v>
      </c>
      <c r="E521" s="210" t="s">
        <v>136</v>
      </c>
      <c r="F521" s="210" t="s">
        <v>79</v>
      </c>
      <c r="G521" s="210" t="s">
        <v>751</v>
      </c>
      <c r="H521" s="197">
        <v>0</v>
      </c>
      <c r="I521" s="210" t="s">
        <v>221</v>
      </c>
      <c r="J521" s="210">
        <v>2021</v>
      </c>
      <c r="K521" s="210">
        <v>2024</v>
      </c>
      <c r="L521" s="268" t="str">
        <f t="shared" si="101"/>
        <v>Complex</v>
      </c>
      <c r="M521" s="197">
        <v>26803.118908382068</v>
      </c>
      <c r="N521" s="197">
        <v>0</v>
      </c>
      <c r="O521" s="257">
        <f>IF(ISNA(MATCH(H521,'Operating leases'!$B$32:$B$43,0)),0,INDEX('Operating leases'!$M$32:$S$43,MATCH(H521,'Operating leases'!$B$32:$B$43,0),MATCH(J521,'Operating leases'!$M$11:$S$11,0)))</f>
        <v>0</v>
      </c>
      <c r="P521" s="257">
        <f t="shared" si="102"/>
        <v>26803.118908382068</v>
      </c>
      <c r="Q521" s="257">
        <f t="shared" si="103"/>
        <v>26803.118908382068</v>
      </c>
      <c r="R521" s="258">
        <f>INDEX('Escalators '!$M$124:$S$129,MATCH(I521,'Escalators '!$B$124:$B$129,0),MATCH(J521,'Escalators '!$M$113:$S$113,0))</f>
        <v>1.0120900655357943</v>
      </c>
      <c r="S521" s="257">
        <f t="shared" si="104"/>
        <v>0</v>
      </c>
      <c r="T521" s="257">
        <f t="shared" si="105"/>
        <v>0</v>
      </c>
      <c r="U521" s="269">
        <f t="shared" si="106"/>
        <v>27127.170372548095</v>
      </c>
      <c r="V521" s="269">
        <f t="shared" si="107"/>
        <v>27127.170372548095</v>
      </c>
      <c r="W521" s="269">
        <f t="shared" si="108"/>
        <v>27127.170372548095</v>
      </c>
      <c r="X521" s="257">
        <f t="shared" si="109"/>
        <v>27127.170372548095</v>
      </c>
      <c r="Y521" s="270">
        <f>IF(L521="Complex",(INDEX('Escalators '!$M$176:$S$176,MATCH('Forecast capex'!J521,'Escalators '!$M$178:$S$178,0))/12+1)^((K521-J521)*12)-1,0)</f>
        <v>0.11054087574855176</v>
      </c>
      <c r="Z521" s="257">
        <f t="shared" si="110"/>
        <v>2962.8402369251203</v>
      </c>
      <c r="AA521" s="257">
        <f t="shared" si="111"/>
        <v>2998.6611695616334</v>
      </c>
      <c r="AB521" s="269">
        <f t="shared" si="112"/>
        <v>30125.831542109729</v>
      </c>
      <c r="AC521" s="269">
        <f t="shared" si="113"/>
        <v>30125.831542109729</v>
      </c>
      <c r="AD521" s="271" t="str">
        <f>INDEX('Global inputs'!$C$134:$C$171,MATCH(F521,'Global inputs'!$B$134:$B$171,0))</f>
        <v xml:space="preserve">System growth </v>
      </c>
      <c r="AE521" s="272">
        <f>IF(OR(H521='Operating leases'!$B$32,H521='Operating leases'!$B$33),"",INDEX('Global inputs'!$C$186:$C$243,MATCH(E521,'Global inputs'!$B$186:$B$243,0)))</f>
        <v>0</v>
      </c>
    </row>
    <row r="522" spans="1:31" s="27" customFormat="1" x14ac:dyDescent="0.2">
      <c r="A522" s="250"/>
      <c r="B522" s="210" t="s">
        <v>746</v>
      </c>
      <c r="C522" s="210" t="s">
        <v>286</v>
      </c>
      <c r="D522" s="210" t="s">
        <v>735</v>
      </c>
      <c r="E522" s="210" t="s">
        <v>144</v>
      </c>
      <c r="F522" s="210" t="s">
        <v>79</v>
      </c>
      <c r="G522" s="210" t="s">
        <v>736</v>
      </c>
      <c r="H522" s="197">
        <v>0</v>
      </c>
      <c r="I522" s="210" t="s">
        <v>229</v>
      </c>
      <c r="J522" s="210">
        <v>2021</v>
      </c>
      <c r="K522" s="210">
        <v>2024</v>
      </c>
      <c r="L522" s="268" t="str">
        <f t="shared" ref="L522:L585" si="114">IF(J522=K522,"Simple","Complex")</f>
        <v>Complex</v>
      </c>
      <c r="M522" s="197">
        <v>1754.3859649122805</v>
      </c>
      <c r="N522" s="197">
        <v>0</v>
      </c>
      <c r="O522" s="257">
        <f>IF(ISNA(MATCH(H522,'Operating leases'!$B$32:$B$43,0)),0,INDEX('Operating leases'!$M$32:$S$43,MATCH(H522,'Operating leases'!$B$32:$B$43,0),MATCH(J522,'Operating leases'!$M$11:$S$11,0)))</f>
        <v>0</v>
      </c>
      <c r="P522" s="257">
        <f t="shared" ref="P522:P585" si="115">O522+M522</f>
        <v>1754.3859649122805</v>
      </c>
      <c r="Q522" s="257">
        <f t="shared" ref="Q522:Q585" si="116">M522+N522+O522</f>
        <v>1754.3859649122805</v>
      </c>
      <c r="R522" s="258">
        <f>INDEX('Escalators '!$M$124:$S$129,MATCH(I522,'Escalators '!$B$124:$B$129,0),MATCH(J522,'Escalators '!$M$113:$S$113,0))</f>
        <v>1.0206154571717865</v>
      </c>
      <c r="S522" s="257">
        <f t="shared" ref="S522:S585" si="117">O522*R522</f>
        <v>0</v>
      </c>
      <c r="T522" s="257">
        <f t="shared" ref="T522:T585" si="118">N522*R522</f>
        <v>0</v>
      </c>
      <c r="U522" s="269">
        <f t="shared" ref="U522:U585" si="119">W522-S522</f>
        <v>1790.553433634713</v>
      </c>
      <c r="V522" s="269">
        <f t="shared" ref="V522:V585" si="120">U522+T522</f>
        <v>1790.553433634713</v>
      </c>
      <c r="W522" s="269">
        <f t="shared" ref="W522:W585" si="121">X522-T522</f>
        <v>1790.553433634713</v>
      </c>
      <c r="X522" s="257">
        <f t="shared" ref="X522:X585" si="122">Q522*R522</f>
        <v>1790.553433634713</v>
      </c>
      <c r="Y522" s="270">
        <f>IF(L522="Complex",(INDEX('Escalators '!$M$176:$S$176,MATCH('Forecast capex'!J522,'Escalators '!$M$178:$S$178,0))/12+1)^((K522-J522)*12)-1,0)</f>
        <v>0.11054087574855176</v>
      </c>
      <c r="Z522" s="257">
        <f t="shared" ref="Z522:Z585" si="123">P522*Y522</f>
        <v>193.93136096237149</v>
      </c>
      <c r="AA522" s="257">
        <f t="shared" ref="AA522:AA585" si="124">W522*Y522</f>
        <v>197.92934462855752</v>
      </c>
      <c r="AB522" s="269">
        <f t="shared" ref="AB522:AB585" si="125">IF(L522="Complex",AC522-T522,0)</f>
        <v>1988.4827782632706</v>
      </c>
      <c r="AC522" s="269">
        <f t="shared" ref="AC522:AC585" si="126">IF(L522="Complex",V522+AA522,0)</f>
        <v>1988.4827782632706</v>
      </c>
      <c r="AD522" s="271" t="str">
        <f>INDEX('Global inputs'!$C$134:$C$171,MATCH(F522,'Global inputs'!$B$134:$B$171,0))</f>
        <v xml:space="preserve">System growth </v>
      </c>
      <c r="AE522" s="272">
        <f>IF(OR(H522='Operating leases'!$B$32,H522='Operating leases'!$B$33),"",INDEX('Global inputs'!$C$186:$C$243,MATCH(E522,'Global inputs'!$B$186:$B$243,0)))</f>
        <v>0.08</v>
      </c>
    </row>
    <row r="523" spans="1:31" s="27" customFormat="1" x14ac:dyDescent="0.2">
      <c r="A523" s="250"/>
      <c r="B523" s="210" t="s">
        <v>746</v>
      </c>
      <c r="C523" s="210" t="s">
        <v>286</v>
      </c>
      <c r="D523" s="210" t="s">
        <v>735</v>
      </c>
      <c r="E523" s="210" t="s">
        <v>144</v>
      </c>
      <c r="F523" s="210" t="s">
        <v>79</v>
      </c>
      <c r="G523" s="210" t="s">
        <v>736</v>
      </c>
      <c r="H523" s="197">
        <v>0</v>
      </c>
      <c r="I523" s="210" t="s">
        <v>221</v>
      </c>
      <c r="J523" s="210">
        <v>2021</v>
      </c>
      <c r="K523" s="210">
        <v>2024</v>
      </c>
      <c r="L523" s="268" t="str">
        <f t="shared" si="114"/>
        <v>Complex</v>
      </c>
      <c r="M523" s="197">
        <v>7017.5438596491222</v>
      </c>
      <c r="N523" s="197">
        <v>0</v>
      </c>
      <c r="O523" s="257">
        <f>IF(ISNA(MATCH(H523,'Operating leases'!$B$32:$B$43,0)),0,INDEX('Operating leases'!$M$32:$S$43,MATCH(H523,'Operating leases'!$B$32:$B$43,0),MATCH(J523,'Operating leases'!$M$11:$S$11,0)))</f>
        <v>0</v>
      </c>
      <c r="P523" s="257">
        <f t="shared" si="115"/>
        <v>7017.5438596491222</v>
      </c>
      <c r="Q523" s="257">
        <f t="shared" si="116"/>
        <v>7017.5438596491222</v>
      </c>
      <c r="R523" s="258">
        <f>INDEX('Escalators '!$M$124:$S$129,MATCH(I523,'Escalators '!$B$124:$B$129,0),MATCH(J523,'Escalators '!$M$113:$S$113,0))</f>
        <v>1.0120900655357943</v>
      </c>
      <c r="S523" s="257">
        <f t="shared" si="117"/>
        <v>0</v>
      </c>
      <c r="T523" s="257">
        <f t="shared" si="118"/>
        <v>0</v>
      </c>
      <c r="U523" s="269">
        <f t="shared" si="119"/>
        <v>7102.386424812591</v>
      </c>
      <c r="V523" s="269">
        <f t="shared" si="120"/>
        <v>7102.386424812591</v>
      </c>
      <c r="W523" s="269">
        <f t="shared" si="121"/>
        <v>7102.386424812591</v>
      </c>
      <c r="X523" s="257">
        <f t="shared" si="122"/>
        <v>7102.386424812591</v>
      </c>
      <c r="Y523" s="270">
        <f>IF(L523="Complex",(INDEX('Escalators '!$M$176:$S$176,MATCH('Forecast capex'!J523,'Escalators '!$M$178:$S$178,0))/12+1)^((K523-J523)*12)-1,0)</f>
        <v>0.11054087574855176</v>
      </c>
      <c r="Z523" s="257">
        <f t="shared" si="123"/>
        <v>775.72544384948594</v>
      </c>
      <c r="AA523" s="257">
        <f t="shared" si="124"/>
        <v>785.10401530340937</v>
      </c>
      <c r="AB523" s="269">
        <f t="shared" si="125"/>
        <v>7887.4904401160002</v>
      </c>
      <c r="AC523" s="269">
        <f t="shared" si="126"/>
        <v>7887.4904401160002</v>
      </c>
      <c r="AD523" s="271" t="str">
        <f>INDEX('Global inputs'!$C$134:$C$171,MATCH(F523,'Global inputs'!$B$134:$B$171,0))</f>
        <v xml:space="preserve">System growth </v>
      </c>
      <c r="AE523" s="272">
        <f>IF(OR(H523='Operating leases'!$B$32,H523='Operating leases'!$B$33),"",INDEX('Global inputs'!$C$186:$C$243,MATCH(E523,'Global inputs'!$B$186:$B$243,0)))</f>
        <v>0.08</v>
      </c>
    </row>
    <row r="524" spans="1:31" s="27" customFormat="1" x14ac:dyDescent="0.2">
      <c r="A524" s="250"/>
      <c r="B524" s="210" t="s">
        <v>746</v>
      </c>
      <c r="C524" s="210" t="s">
        <v>286</v>
      </c>
      <c r="D524" s="210" t="s">
        <v>735</v>
      </c>
      <c r="E524" s="210" t="s">
        <v>147</v>
      </c>
      <c r="F524" s="210" t="s">
        <v>79</v>
      </c>
      <c r="G524" s="210" t="s">
        <v>744</v>
      </c>
      <c r="H524" s="197">
        <v>0</v>
      </c>
      <c r="I524" s="210" t="s">
        <v>229</v>
      </c>
      <c r="J524" s="210">
        <v>2021</v>
      </c>
      <c r="K524" s="210">
        <v>2024</v>
      </c>
      <c r="L524" s="268" t="str">
        <f t="shared" si="114"/>
        <v>Complex</v>
      </c>
      <c r="M524" s="197">
        <v>1091.6179337231968</v>
      </c>
      <c r="N524" s="197">
        <v>0</v>
      </c>
      <c r="O524" s="257">
        <f>IF(ISNA(MATCH(H524,'Operating leases'!$B$32:$B$43,0)),0,INDEX('Operating leases'!$M$32:$S$43,MATCH(H524,'Operating leases'!$B$32:$B$43,0),MATCH(J524,'Operating leases'!$M$11:$S$11,0)))</f>
        <v>0</v>
      </c>
      <c r="P524" s="257">
        <f t="shared" si="115"/>
        <v>1091.6179337231968</v>
      </c>
      <c r="Q524" s="257">
        <f t="shared" si="116"/>
        <v>1091.6179337231968</v>
      </c>
      <c r="R524" s="258">
        <f>INDEX('Escalators '!$M$124:$S$129,MATCH(I524,'Escalators '!$B$124:$B$129,0),MATCH(J524,'Escalators '!$M$113:$S$113,0))</f>
        <v>1.0206154571717865</v>
      </c>
      <c r="S524" s="257">
        <f t="shared" si="117"/>
        <v>0</v>
      </c>
      <c r="T524" s="257">
        <f t="shared" si="118"/>
        <v>0</v>
      </c>
      <c r="U524" s="269">
        <f t="shared" si="119"/>
        <v>1114.1221364838214</v>
      </c>
      <c r="V524" s="269">
        <f t="shared" si="120"/>
        <v>1114.1221364838214</v>
      </c>
      <c r="W524" s="269">
        <f t="shared" si="121"/>
        <v>1114.1221364838214</v>
      </c>
      <c r="X524" s="257">
        <f t="shared" si="122"/>
        <v>1114.1221364838214</v>
      </c>
      <c r="Y524" s="270">
        <f>IF(L524="Complex",(INDEX('Escalators '!$M$176:$S$176,MATCH('Forecast capex'!J524,'Escalators '!$M$178:$S$178,0))/12+1)^((K524-J524)*12)-1,0)</f>
        <v>0.11054087574855176</v>
      </c>
      <c r="Z524" s="257">
        <f t="shared" si="123"/>
        <v>120.6684023765867</v>
      </c>
      <c r="AA524" s="257">
        <f t="shared" si="124"/>
        <v>123.15603665776912</v>
      </c>
      <c r="AB524" s="269">
        <f t="shared" si="125"/>
        <v>1237.2781731415905</v>
      </c>
      <c r="AC524" s="269">
        <f t="shared" si="126"/>
        <v>1237.2781731415905</v>
      </c>
      <c r="AD524" s="271" t="str">
        <f>INDEX('Global inputs'!$C$134:$C$171,MATCH(F524,'Global inputs'!$B$134:$B$171,0))</f>
        <v xml:space="preserve">System growth </v>
      </c>
      <c r="AE524" s="272">
        <f>IF(OR(H524='Operating leases'!$B$32,H524='Operating leases'!$B$33),"",INDEX('Global inputs'!$C$186:$C$243,MATCH(E524,'Global inputs'!$B$186:$B$243,0)))</f>
        <v>0.08</v>
      </c>
    </row>
    <row r="525" spans="1:31" s="27" customFormat="1" x14ac:dyDescent="0.2">
      <c r="A525" s="250"/>
      <c r="B525" s="210" t="s">
        <v>746</v>
      </c>
      <c r="C525" s="210" t="s">
        <v>286</v>
      </c>
      <c r="D525" s="210" t="s">
        <v>735</v>
      </c>
      <c r="E525" s="210" t="s">
        <v>147</v>
      </c>
      <c r="F525" s="210" t="s">
        <v>79</v>
      </c>
      <c r="G525" s="210" t="s">
        <v>744</v>
      </c>
      <c r="H525" s="197">
        <v>0</v>
      </c>
      <c r="I525" s="210" t="s">
        <v>221</v>
      </c>
      <c r="J525" s="210">
        <v>2021</v>
      </c>
      <c r="K525" s="210">
        <v>2024</v>
      </c>
      <c r="L525" s="268" t="str">
        <f t="shared" si="114"/>
        <v>Complex</v>
      </c>
      <c r="M525" s="197">
        <v>4366.471734892787</v>
      </c>
      <c r="N525" s="197">
        <v>0</v>
      </c>
      <c r="O525" s="257">
        <f>IF(ISNA(MATCH(H525,'Operating leases'!$B$32:$B$43,0)),0,INDEX('Operating leases'!$M$32:$S$43,MATCH(H525,'Operating leases'!$B$32:$B$43,0),MATCH(J525,'Operating leases'!$M$11:$S$11,0)))</f>
        <v>0</v>
      </c>
      <c r="P525" s="257">
        <f t="shared" si="115"/>
        <v>4366.471734892787</v>
      </c>
      <c r="Q525" s="257">
        <f t="shared" si="116"/>
        <v>4366.471734892787</v>
      </c>
      <c r="R525" s="258">
        <f>INDEX('Escalators '!$M$124:$S$129,MATCH(I525,'Escalators '!$B$124:$B$129,0),MATCH(J525,'Escalators '!$M$113:$S$113,0))</f>
        <v>1.0120900655357943</v>
      </c>
      <c r="S525" s="257">
        <f t="shared" si="117"/>
        <v>0</v>
      </c>
      <c r="T525" s="257">
        <f t="shared" si="118"/>
        <v>0</v>
      </c>
      <c r="U525" s="269">
        <f t="shared" si="119"/>
        <v>4419.2626643278345</v>
      </c>
      <c r="V525" s="269">
        <f t="shared" si="120"/>
        <v>4419.2626643278345</v>
      </c>
      <c r="W525" s="269">
        <f t="shared" si="121"/>
        <v>4419.2626643278345</v>
      </c>
      <c r="X525" s="257">
        <f t="shared" si="122"/>
        <v>4419.2626643278345</v>
      </c>
      <c r="Y525" s="270">
        <f>IF(L525="Complex",(INDEX('Escalators '!$M$176:$S$176,MATCH('Forecast capex'!J525,'Escalators '!$M$178:$S$178,0))/12+1)^((K525-J525)*12)-1,0)</f>
        <v>0.11054087574855176</v>
      </c>
      <c r="Z525" s="257">
        <f t="shared" si="123"/>
        <v>482.67360950634679</v>
      </c>
      <c r="AA525" s="257">
        <f t="shared" si="124"/>
        <v>488.50916507767693</v>
      </c>
      <c r="AB525" s="269">
        <f t="shared" si="125"/>
        <v>4907.7718294055112</v>
      </c>
      <c r="AC525" s="269">
        <f t="shared" si="126"/>
        <v>4907.7718294055112</v>
      </c>
      <c r="AD525" s="271" t="str">
        <f>INDEX('Global inputs'!$C$134:$C$171,MATCH(F525,'Global inputs'!$B$134:$B$171,0))</f>
        <v xml:space="preserve">System growth </v>
      </c>
      <c r="AE525" s="272">
        <f>IF(OR(H525='Operating leases'!$B$32,H525='Operating leases'!$B$33),"",INDEX('Global inputs'!$C$186:$C$243,MATCH(E525,'Global inputs'!$B$186:$B$243,0)))</f>
        <v>0.08</v>
      </c>
    </row>
    <row r="526" spans="1:31" s="27" customFormat="1" x14ac:dyDescent="0.2">
      <c r="A526" s="250"/>
      <c r="B526" s="210" t="s">
        <v>746</v>
      </c>
      <c r="C526" s="210" t="s">
        <v>291</v>
      </c>
      <c r="D526" s="210" t="s">
        <v>735</v>
      </c>
      <c r="E526" s="210" t="s">
        <v>175</v>
      </c>
      <c r="F526" s="210" t="s">
        <v>79</v>
      </c>
      <c r="G526" s="210" t="s">
        <v>748</v>
      </c>
      <c r="H526" s="197">
        <v>0</v>
      </c>
      <c r="I526" s="210" t="s">
        <v>229</v>
      </c>
      <c r="J526" s="210">
        <v>2021</v>
      </c>
      <c r="K526" s="210">
        <v>2024</v>
      </c>
      <c r="L526" s="268" t="str">
        <f t="shared" si="114"/>
        <v>Complex</v>
      </c>
      <c r="M526" s="197">
        <v>779.72709551656919</v>
      </c>
      <c r="N526" s="197">
        <v>0</v>
      </c>
      <c r="O526" s="257">
        <f>IF(ISNA(MATCH(H526,'Operating leases'!$B$32:$B$43,0)),0,INDEX('Operating leases'!$M$32:$S$43,MATCH(H526,'Operating leases'!$B$32:$B$43,0),MATCH(J526,'Operating leases'!$M$11:$S$11,0)))</f>
        <v>0</v>
      </c>
      <c r="P526" s="257">
        <f t="shared" si="115"/>
        <v>779.72709551656919</v>
      </c>
      <c r="Q526" s="257">
        <f t="shared" si="116"/>
        <v>779.72709551656919</v>
      </c>
      <c r="R526" s="258">
        <f>INDEX('Escalators '!$M$124:$S$129,MATCH(I526,'Escalators '!$B$124:$B$129,0),MATCH(J526,'Escalators '!$M$113:$S$113,0))</f>
        <v>1.0206154571717865</v>
      </c>
      <c r="S526" s="257">
        <f t="shared" si="117"/>
        <v>0</v>
      </c>
      <c r="T526" s="257">
        <f t="shared" si="118"/>
        <v>0</v>
      </c>
      <c r="U526" s="269">
        <f t="shared" si="119"/>
        <v>795.80152605987246</v>
      </c>
      <c r="V526" s="269">
        <f t="shared" si="120"/>
        <v>795.80152605987246</v>
      </c>
      <c r="W526" s="269">
        <f t="shared" si="121"/>
        <v>795.80152605987246</v>
      </c>
      <c r="X526" s="257">
        <f t="shared" si="122"/>
        <v>795.80152605987246</v>
      </c>
      <c r="Y526" s="270">
        <f>IF(L526="Complex",(INDEX('Escalators '!$M$176:$S$176,MATCH('Forecast capex'!J526,'Escalators '!$M$178:$S$178,0))/12+1)^((K526-J526)*12)-1,0)</f>
        <v>0.11054087574855176</v>
      </c>
      <c r="Z526" s="257">
        <f t="shared" si="123"/>
        <v>86.191715983276225</v>
      </c>
      <c r="AA526" s="257">
        <f t="shared" si="124"/>
        <v>87.968597612692236</v>
      </c>
      <c r="AB526" s="269">
        <f t="shared" si="125"/>
        <v>883.77012367256475</v>
      </c>
      <c r="AC526" s="269">
        <f t="shared" si="126"/>
        <v>883.77012367256475</v>
      </c>
      <c r="AD526" s="271" t="str">
        <f>INDEX('Global inputs'!$C$134:$C$171,MATCH(F526,'Global inputs'!$B$134:$B$171,0))</f>
        <v xml:space="preserve">System growth </v>
      </c>
      <c r="AE526" s="272">
        <f>IF(OR(H526='Operating leases'!$B$32,H526='Operating leases'!$B$33),"",INDEX('Global inputs'!$C$186:$C$243,MATCH(E526,'Global inputs'!$B$186:$B$243,0)))</f>
        <v>0.1</v>
      </c>
    </row>
    <row r="527" spans="1:31" s="27" customFormat="1" x14ac:dyDescent="0.2">
      <c r="A527" s="250"/>
      <c r="B527" s="210" t="s">
        <v>746</v>
      </c>
      <c r="C527" s="210" t="s">
        <v>291</v>
      </c>
      <c r="D527" s="210" t="s">
        <v>735</v>
      </c>
      <c r="E527" s="210" t="s">
        <v>175</v>
      </c>
      <c r="F527" s="210" t="s">
        <v>79</v>
      </c>
      <c r="G527" s="210" t="s">
        <v>748</v>
      </c>
      <c r="H527" s="197">
        <v>0</v>
      </c>
      <c r="I527" s="210" t="s">
        <v>221</v>
      </c>
      <c r="J527" s="210">
        <v>2021</v>
      </c>
      <c r="K527" s="210">
        <v>2024</v>
      </c>
      <c r="L527" s="268" t="str">
        <f t="shared" si="114"/>
        <v>Complex</v>
      </c>
      <c r="M527" s="197">
        <v>3118.9083820662768</v>
      </c>
      <c r="N527" s="197">
        <v>0</v>
      </c>
      <c r="O527" s="257">
        <f>IF(ISNA(MATCH(H527,'Operating leases'!$B$32:$B$43,0)),0,INDEX('Operating leases'!$M$32:$S$43,MATCH(H527,'Operating leases'!$B$32:$B$43,0),MATCH(J527,'Operating leases'!$M$11:$S$11,0)))</f>
        <v>0</v>
      </c>
      <c r="P527" s="257">
        <f t="shared" si="115"/>
        <v>3118.9083820662768</v>
      </c>
      <c r="Q527" s="257">
        <f t="shared" si="116"/>
        <v>3118.9083820662768</v>
      </c>
      <c r="R527" s="258">
        <f>INDEX('Escalators '!$M$124:$S$129,MATCH(I527,'Escalators '!$B$124:$B$129,0),MATCH(J527,'Escalators '!$M$113:$S$113,0))</f>
        <v>1.0120900655357943</v>
      </c>
      <c r="S527" s="257">
        <f t="shared" si="117"/>
        <v>0</v>
      </c>
      <c r="T527" s="257">
        <f t="shared" si="118"/>
        <v>0</v>
      </c>
      <c r="U527" s="269">
        <f t="shared" si="119"/>
        <v>3156.6161888055963</v>
      </c>
      <c r="V527" s="269">
        <f t="shared" si="120"/>
        <v>3156.6161888055963</v>
      </c>
      <c r="W527" s="269">
        <f t="shared" si="121"/>
        <v>3156.6161888055963</v>
      </c>
      <c r="X527" s="257">
        <f t="shared" si="122"/>
        <v>3156.6161888055963</v>
      </c>
      <c r="Y527" s="270">
        <f>IF(L527="Complex",(INDEX('Escalators '!$M$176:$S$176,MATCH('Forecast capex'!J527,'Escalators '!$M$178:$S$178,0))/12+1)^((K527-J527)*12)-1,0)</f>
        <v>0.11054087574855176</v>
      </c>
      <c r="Z527" s="257">
        <f t="shared" si="123"/>
        <v>344.7668639331049</v>
      </c>
      <c r="AA527" s="257">
        <f t="shared" si="124"/>
        <v>348.93511791262642</v>
      </c>
      <c r="AB527" s="269">
        <f t="shared" si="125"/>
        <v>3505.5513067182228</v>
      </c>
      <c r="AC527" s="269">
        <f t="shared" si="126"/>
        <v>3505.5513067182228</v>
      </c>
      <c r="AD527" s="271" t="str">
        <f>INDEX('Global inputs'!$C$134:$C$171,MATCH(F527,'Global inputs'!$B$134:$B$171,0))</f>
        <v xml:space="preserve">System growth </v>
      </c>
      <c r="AE527" s="272">
        <f>IF(OR(H527='Operating leases'!$B$32,H527='Operating leases'!$B$33),"",INDEX('Global inputs'!$C$186:$C$243,MATCH(E527,'Global inputs'!$B$186:$B$243,0)))</f>
        <v>0.1</v>
      </c>
    </row>
    <row r="528" spans="1:31" s="27" customFormat="1" x14ac:dyDescent="0.2">
      <c r="A528" s="250"/>
      <c r="B528" s="210" t="s">
        <v>746</v>
      </c>
      <c r="C528" s="210" t="s">
        <v>286</v>
      </c>
      <c r="D528" s="210" t="s">
        <v>732</v>
      </c>
      <c r="E528" s="210" t="s">
        <v>140</v>
      </c>
      <c r="F528" s="210" t="s">
        <v>84</v>
      </c>
      <c r="G528" s="210" t="s">
        <v>733</v>
      </c>
      <c r="H528" s="197">
        <v>0</v>
      </c>
      <c r="I528" s="210" t="s">
        <v>142</v>
      </c>
      <c r="J528" s="210">
        <v>2021</v>
      </c>
      <c r="K528" s="210">
        <v>2024</v>
      </c>
      <c r="L528" s="268" t="str">
        <f t="shared" si="114"/>
        <v>Complex</v>
      </c>
      <c r="M528" s="197">
        <v>84600</v>
      </c>
      <c r="N528" s="197">
        <v>0</v>
      </c>
      <c r="O528" s="257">
        <f>IF(ISNA(MATCH(H528,'Operating leases'!$B$32:$B$43,0)),0,INDEX('Operating leases'!$M$32:$S$43,MATCH(H528,'Operating leases'!$B$32:$B$43,0),MATCH(J528,'Operating leases'!$M$11:$S$11,0)))</f>
        <v>0</v>
      </c>
      <c r="P528" s="257">
        <f t="shared" si="115"/>
        <v>84600</v>
      </c>
      <c r="Q528" s="257">
        <f t="shared" si="116"/>
        <v>84600</v>
      </c>
      <c r="R528" s="258">
        <f>INDEX('Escalators '!$M$124:$S$129,MATCH(I528,'Escalators '!$B$124:$B$129,0),MATCH(J528,'Escalators '!$M$113:$S$113,0))</f>
        <v>1.0199504944721745</v>
      </c>
      <c r="S528" s="257">
        <f t="shared" si="117"/>
        <v>0</v>
      </c>
      <c r="T528" s="257">
        <f t="shared" si="118"/>
        <v>0</v>
      </c>
      <c r="U528" s="269">
        <f t="shared" si="119"/>
        <v>86287.811832345964</v>
      </c>
      <c r="V528" s="269">
        <f t="shared" si="120"/>
        <v>86287.811832345964</v>
      </c>
      <c r="W528" s="269">
        <f t="shared" si="121"/>
        <v>86287.811832345964</v>
      </c>
      <c r="X528" s="257">
        <f t="shared" si="122"/>
        <v>86287.811832345964</v>
      </c>
      <c r="Y528" s="270">
        <f>IF(L528="Complex",(INDEX('Escalators '!$M$176:$S$176,MATCH('Forecast capex'!J528,'Escalators '!$M$178:$S$178,0))/12+1)^((K528-J528)*12)-1,0)</f>
        <v>0.11054087574855176</v>
      </c>
      <c r="Z528" s="257">
        <f t="shared" si="123"/>
        <v>9351.7580883274786</v>
      </c>
      <c r="AA528" s="257">
        <f t="shared" si="124"/>
        <v>9538.3302863737699</v>
      </c>
      <c r="AB528" s="269">
        <f t="shared" si="125"/>
        <v>95826.142118719727</v>
      </c>
      <c r="AC528" s="269">
        <f t="shared" si="126"/>
        <v>95826.142118719727</v>
      </c>
      <c r="AD528" s="271" t="str">
        <f>INDEX('Global inputs'!$C$134:$C$171,MATCH(F528,'Global inputs'!$B$134:$B$171,0))</f>
        <v xml:space="preserve">System growth </v>
      </c>
      <c r="AE528" s="272">
        <f>IF(OR(H528='Operating leases'!$B$32,H528='Operating leases'!$B$33),"",INDEX('Global inputs'!$C$186:$C$243,MATCH(E528,'Global inputs'!$B$186:$B$243,0)))</f>
        <v>0.08</v>
      </c>
    </row>
    <row r="529" spans="1:31" s="27" customFormat="1" x14ac:dyDescent="0.2">
      <c r="A529" s="250"/>
      <c r="B529" s="210" t="s">
        <v>746</v>
      </c>
      <c r="C529" s="210" t="s">
        <v>286</v>
      </c>
      <c r="D529" s="210" t="s">
        <v>732</v>
      </c>
      <c r="E529" s="210" t="s">
        <v>140</v>
      </c>
      <c r="F529" s="210" t="s">
        <v>84</v>
      </c>
      <c r="G529" s="210" t="s">
        <v>733</v>
      </c>
      <c r="H529" s="197">
        <v>0</v>
      </c>
      <c r="I529" s="210" t="s">
        <v>221</v>
      </c>
      <c r="J529" s="210">
        <v>2021</v>
      </c>
      <c r="K529" s="210">
        <v>2024</v>
      </c>
      <c r="L529" s="268" t="str">
        <f t="shared" si="114"/>
        <v>Complex</v>
      </c>
      <c r="M529" s="197">
        <v>56400</v>
      </c>
      <c r="N529" s="197">
        <v>0</v>
      </c>
      <c r="O529" s="257">
        <f>IF(ISNA(MATCH(H529,'Operating leases'!$B$32:$B$43,0)),0,INDEX('Operating leases'!$M$32:$S$43,MATCH(H529,'Operating leases'!$B$32:$B$43,0),MATCH(J529,'Operating leases'!$M$11:$S$11,0)))</f>
        <v>0</v>
      </c>
      <c r="P529" s="257">
        <f t="shared" si="115"/>
        <v>56400</v>
      </c>
      <c r="Q529" s="257">
        <f t="shared" si="116"/>
        <v>56400</v>
      </c>
      <c r="R529" s="258">
        <f>INDEX('Escalators '!$M$124:$S$129,MATCH(I529,'Escalators '!$B$124:$B$129,0),MATCH(J529,'Escalators '!$M$113:$S$113,0))</f>
        <v>1.0120900655357943</v>
      </c>
      <c r="S529" s="257">
        <f t="shared" si="117"/>
        <v>0</v>
      </c>
      <c r="T529" s="257">
        <f t="shared" si="118"/>
        <v>0</v>
      </c>
      <c r="U529" s="269">
        <f t="shared" si="119"/>
        <v>57081.879696218799</v>
      </c>
      <c r="V529" s="269">
        <f t="shared" si="120"/>
        <v>57081.879696218799</v>
      </c>
      <c r="W529" s="269">
        <f t="shared" si="121"/>
        <v>57081.879696218799</v>
      </c>
      <c r="X529" s="257">
        <f t="shared" si="122"/>
        <v>57081.879696218799</v>
      </c>
      <c r="Y529" s="270">
        <f>IF(L529="Complex",(INDEX('Escalators '!$M$176:$S$176,MATCH('Forecast capex'!J529,'Escalators '!$M$178:$S$178,0))/12+1)^((K529-J529)*12)-1,0)</f>
        <v>0.11054087574855176</v>
      </c>
      <c r="Z529" s="257">
        <f t="shared" si="123"/>
        <v>6234.5053922183188</v>
      </c>
      <c r="AA529" s="257">
        <f t="shared" si="124"/>
        <v>6309.8809709935013</v>
      </c>
      <c r="AB529" s="269">
        <f t="shared" si="125"/>
        <v>63391.7606672123</v>
      </c>
      <c r="AC529" s="269">
        <f t="shared" si="126"/>
        <v>63391.7606672123</v>
      </c>
      <c r="AD529" s="271" t="str">
        <f>INDEX('Global inputs'!$C$134:$C$171,MATCH(F529,'Global inputs'!$B$134:$B$171,0))</f>
        <v xml:space="preserve">System growth </v>
      </c>
      <c r="AE529" s="272">
        <f>IF(OR(H529='Operating leases'!$B$32,H529='Operating leases'!$B$33),"",INDEX('Global inputs'!$C$186:$C$243,MATCH(E529,'Global inputs'!$B$186:$B$243,0)))</f>
        <v>0.08</v>
      </c>
    </row>
    <row r="530" spans="1:31" s="27" customFormat="1" x14ac:dyDescent="0.2">
      <c r="A530" s="250"/>
      <c r="B530" s="210" t="s">
        <v>746</v>
      </c>
      <c r="C530" s="210" t="s">
        <v>285</v>
      </c>
      <c r="D530" s="210" t="s">
        <v>223</v>
      </c>
      <c r="E530" s="210" t="s">
        <v>134</v>
      </c>
      <c r="F530" s="210" t="s">
        <v>84</v>
      </c>
      <c r="G530" s="210" t="s">
        <v>726</v>
      </c>
      <c r="H530" s="197">
        <v>0</v>
      </c>
      <c r="I530" s="210" t="s">
        <v>223</v>
      </c>
      <c r="J530" s="210">
        <v>2021</v>
      </c>
      <c r="K530" s="210">
        <v>2024</v>
      </c>
      <c r="L530" s="268" t="str">
        <f t="shared" si="114"/>
        <v>Complex</v>
      </c>
      <c r="M530" s="197">
        <v>98700</v>
      </c>
      <c r="N530" s="197">
        <v>0</v>
      </c>
      <c r="O530" s="257">
        <f>IF(ISNA(MATCH(H530,'Operating leases'!$B$32:$B$43,0)),0,INDEX('Operating leases'!$M$32:$S$43,MATCH(H530,'Operating leases'!$B$32:$B$43,0),MATCH(J530,'Operating leases'!$M$11:$S$11,0)))</f>
        <v>0</v>
      </c>
      <c r="P530" s="257">
        <f t="shared" si="115"/>
        <v>98700</v>
      </c>
      <c r="Q530" s="257">
        <f t="shared" si="116"/>
        <v>98700</v>
      </c>
      <c r="R530" s="258">
        <f>INDEX('Escalators '!$M$124:$S$129,MATCH(I530,'Escalators '!$B$124:$B$129,0),MATCH(J530,'Escalators '!$M$113:$S$113,0))</f>
        <v>1.0239888729183189</v>
      </c>
      <c r="S530" s="257">
        <f t="shared" si="117"/>
        <v>0</v>
      </c>
      <c r="T530" s="257">
        <f t="shared" si="118"/>
        <v>0</v>
      </c>
      <c r="U530" s="269">
        <f t="shared" si="119"/>
        <v>101067.70175703807</v>
      </c>
      <c r="V530" s="269">
        <f t="shared" si="120"/>
        <v>101067.70175703807</v>
      </c>
      <c r="W530" s="269">
        <f t="shared" si="121"/>
        <v>101067.70175703807</v>
      </c>
      <c r="X530" s="257">
        <f t="shared" si="122"/>
        <v>101067.70175703807</v>
      </c>
      <c r="Y530" s="270">
        <f>IF(L530="Complex",(INDEX('Escalators '!$M$176:$S$176,MATCH('Forecast capex'!J530,'Escalators '!$M$178:$S$178,0))/12+1)^((K530-J530)*12)-1,0)</f>
        <v>0.11054087574855176</v>
      </c>
      <c r="Z530" s="257">
        <f t="shared" si="123"/>
        <v>10910.384436382059</v>
      </c>
      <c r="AA530" s="257">
        <f t="shared" si="124"/>
        <v>11172.112262116432</v>
      </c>
      <c r="AB530" s="269">
        <f t="shared" si="125"/>
        <v>112239.8140191545</v>
      </c>
      <c r="AC530" s="269">
        <f t="shared" si="126"/>
        <v>112239.8140191545</v>
      </c>
      <c r="AD530" s="271" t="str">
        <f>INDEX('Global inputs'!$C$134:$C$171,MATCH(F530,'Global inputs'!$B$134:$B$171,0))</f>
        <v xml:space="preserve">System growth </v>
      </c>
      <c r="AE530" s="272">
        <f>IF(OR(H530='Operating leases'!$B$32,H530='Operating leases'!$B$33),"",INDEX('Global inputs'!$C$186:$C$243,MATCH(E530,'Global inputs'!$B$186:$B$243,0)))</f>
        <v>0.08</v>
      </c>
    </row>
    <row r="531" spans="1:31" s="27" customFormat="1" x14ac:dyDescent="0.2">
      <c r="A531" s="250"/>
      <c r="B531" s="210" t="s">
        <v>746</v>
      </c>
      <c r="C531" s="210" t="s">
        <v>285</v>
      </c>
      <c r="D531" s="210" t="s">
        <v>223</v>
      </c>
      <c r="E531" s="210" t="s">
        <v>134</v>
      </c>
      <c r="F531" s="210" t="s">
        <v>84</v>
      </c>
      <c r="G531" s="210" t="s">
        <v>726</v>
      </c>
      <c r="H531" s="197">
        <v>0</v>
      </c>
      <c r="I531" s="210" t="s">
        <v>221</v>
      </c>
      <c r="J531" s="210">
        <v>2021</v>
      </c>
      <c r="K531" s="210">
        <v>2024</v>
      </c>
      <c r="L531" s="268" t="str">
        <f t="shared" si="114"/>
        <v>Complex</v>
      </c>
      <c r="M531" s="197">
        <v>230299.99999999997</v>
      </c>
      <c r="N531" s="197">
        <v>0</v>
      </c>
      <c r="O531" s="257">
        <f>IF(ISNA(MATCH(H531,'Operating leases'!$B$32:$B$43,0)),0,INDEX('Operating leases'!$M$32:$S$43,MATCH(H531,'Operating leases'!$B$32:$B$43,0),MATCH(J531,'Operating leases'!$M$11:$S$11,0)))</f>
        <v>0</v>
      </c>
      <c r="P531" s="257">
        <f t="shared" si="115"/>
        <v>230299.99999999997</v>
      </c>
      <c r="Q531" s="257">
        <f t="shared" si="116"/>
        <v>230299.99999999997</v>
      </c>
      <c r="R531" s="258">
        <f>INDEX('Escalators '!$M$124:$S$129,MATCH(I531,'Escalators '!$B$124:$B$129,0),MATCH(J531,'Escalators '!$M$113:$S$113,0))</f>
        <v>1.0120900655357943</v>
      </c>
      <c r="S531" s="257">
        <f t="shared" si="117"/>
        <v>0</v>
      </c>
      <c r="T531" s="257">
        <f t="shared" si="118"/>
        <v>0</v>
      </c>
      <c r="U531" s="269">
        <f t="shared" si="119"/>
        <v>233084.34209289341</v>
      </c>
      <c r="V531" s="269">
        <f t="shared" si="120"/>
        <v>233084.34209289341</v>
      </c>
      <c r="W531" s="269">
        <f t="shared" si="121"/>
        <v>233084.34209289341</v>
      </c>
      <c r="X531" s="257">
        <f t="shared" si="122"/>
        <v>233084.34209289341</v>
      </c>
      <c r="Y531" s="270">
        <f>IF(L531="Complex",(INDEX('Escalators '!$M$176:$S$176,MATCH('Forecast capex'!J531,'Escalators '!$M$178:$S$178,0))/12+1)^((K531-J531)*12)-1,0)</f>
        <v>0.11054087574855176</v>
      </c>
      <c r="Z531" s="257">
        <f t="shared" si="123"/>
        <v>25457.563684891466</v>
      </c>
      <c r="AA531" s="257">
        <f t="shared" si="124"/>
        <v>25765.347298223463</v>
      </c>
      <c r="AB531" s="269">
        <f t="shared" si="125"/>
        <v>258849.68939111687</v>
      </c>
      <c r="AC531" s="269">
        <f t="shared" si="126"/>
        <v>258849.68939111687</v>
      </c>
      <c r="AD531" s="271" t="str">
        <f>INDEX('Global inputs'!$C$134:$C$171,MATCH(F531,'Global inputs'!$B$134:$B$171,0))</f>
        <v xml:space="preserve">System growth </v>
      </c>
      <c r="AE531" s="272">
        <f>IF(OR(H531='Operating leases'!$B$32,H531='Operating leases'!$B$33),"",INDEX('Global inputs'!$C$186:$C$243,MATCH(E531,'Global inputs'!$B$186:$B$243,0)))</f>
        <v>0.08</v>
      </c>
    </row>
    <row r="532" spans="1:31" s="27" customFormat="1" x14ac:dyDescent="0.2">
      <c r="A532" s="250"/>
      <c r="B532" s="210" t="s">
        <v>714</v>
      </c>
      <c r="C532" s="210" t="s">
        <v>284</v>
      </c>
      <c r="D532" s="210" t="s">
        <v>715</v>
      </c>
      <c r="E532" s="210" t="s">
        <v>127</v>
      </c>
      <c r="F532" s="210" t="s">
        <v>92</v>
      </c>
      <c r="G532" s="210" t="s">
        <v>716</v>
      </c>
      <c r="H532" s="197">
        <v>0</v>
      </c>
      <c r="I532" s="210" t="s">
        <v>229</v>
      </c>
      <c r="J532" s="210">
        <v>2022</v>
      </c>
      <c r="K532" s="210">
        <v>2022</v>
      </c>
      <c r="L532" s="268" t="str">
        <f t="shared" si="114"/>
        <v>Simple</v>
      </c>
      <c r="M532" s="197">
        <v>6202.5245559236391</v>
      </c>
      <c r="N532" s="197">
        <v>9303.7868338854569</v>
      </c>
      <c r="O532" s="257">
        <f>IF(ISNA(MATCH(H532,'Operating leases'!$B$32:$B$43,0)),0,INDEX('Operating leases'!$M$32:$S$43,MATCH(H532,'Operating leases'!$B$32:$B$43,0),MATCH(J532,'Operating leases'!$M$11:$S$11,0)))</f>
        <v>0</v>
      </c>
      <c r="P532" s="257">
        <f t="shared" si="115"/>
        <v>6202.5245559236391</v>
      </c>
      <c r="Q532" s="257">
        <f t="shared" si="116"/>
        <v>15506.311389809096</v>
      </c>
      <c r="R532" s="258">
        <f>INDEX('Escalators '!$M$124:$S$129,MATCH(I532,'Escalators '!$B$124:$B$129,0),MATCH(J532,'Escalators '!$M$113:$S$113,0))</f>
        <v>1.0379818100112963</v>
      </c>
      <c r="S532" s="257">
        <f t="shared" si="117"/>
        <v>0</v>
      </c>
      <c r="T532" s="257">
        <f t="shared" si="118"/>
        <v>9657.1614977956942</v>
      </c>
      <c r="U532" s="269">
        <f t="shared" si="119"/>
        <v>6438.1076651971307</v>
      </c>
      <c r="V532" s="269">
        <f t="shared" si="120"/>
        <v>16095.269162992825</v>
      </c>
      <c r="W532" s="269">
        <f t="shared" si="121"/>
        <v>6438.1076651971307</v>
      </c>
      <c r="X532" s="257">
        <f t="shared" si="122"/>
        <v>16095.269162992825</v>
      </c>
      <c r="Y532" s="270">
        <f>IF(L532="Complex",(INDEX('Escalators '!$M$176:$S$176,MATCH('Forecast capex'!J532,'Escalators '!$M$178:$S$178,0))/12+1)^((K532-J532)*12)-1,0)</f>
        <v>0</v>
      </c>
      <c r="Z532" s="257">
        <f t="shared" si="123"/>
        <v>0</v>
      </c>
      <c r="AA532" s="257">
        <f t="shared" si="124"/>
        <v>0</v>
      </c>
      <c r="AB532" s="269">
        <f t="shared" si="125"/>
        <v>0</v>
      </c>
      <c r="AC532" s="269">
        <f t="shared" si="126"/>
        <v>0</v>
      </c>
      <c r="AD532" s="271" t="str">
        <f>INDEX('Global inputs'!$C$134:$C$171,MATCH(F532,'Global inputs'!$B$134:$B$171,0))</f>
        <v>Asset relocations and undergrounding</v>
      </c>
      <c r="AE532" s="272">
        <f>IF(OR(H532='Operating leases'!$B$32,H532='Operating leases'!$B$33),"",INDEX('Global inputs'!$C$186:$C$243,MATCH(E532,'Global inputs'!$B$186:$B$243,0)))</f>
        <v>0.08</v>
      </c>
    </row>
    <row r="533" spans="1:31" s="27" customFormat="1" x14ac:dyDescent="0.2">
      <c r="A533" s="250"/>
      <c r="B533" s="210" t="s">
        <v>714</v>
      </c>
      <c r="C533" s="210" t="s">
        <v>284</v>
      </c>
      <c r="D533" s="210" t="s">
        <v>715</v>
      </c>
      <c r="E533" s="210" t="s">
        <v>127</v>
      </c>
      <c r="F533" s="210" t="s">
        <v>92</v>
      </c>
      <c r="G533" s="210" t="s">
        <v>716</v>
      </c>
      <c r="H533" s="197">
        <v>0</v>
      </c>
      <c r="I533" s="210" t="s">
        <v>221</v>
      </c>
      <c r="J533" s="210">
        <v>2022</v>
      </c>
      <c r="K533" s="210">
        <v>2022</v>
      </c>
      <c r="L533" s="268" t="str">
        <f t="shared" si="114"/>
        <v>Simple</v>
      </c>
      <c r="M533" s="197">
        <v>6202.5245559236391</v>
      </c>
      <c r="N533" s="197">
        <v>9303.7868338854569</v>
      </c>
      <c r="O533" s="257">
        <f>IF(ISNA(MATCH(H533,'Operating leases'!$B$32:$B$43,0)),0,INDEX('Operating leases'!$M$32:$S$43,MATCH(H533,'Operating leases'!$B$32:$B$43,0),MATCH(J533,'Operating leases'!$M$11:$S$11,0)))</f>
        <v>0</v>
      </c>
      <c r="P533" s="257">
        <f t="shared" si="115"/>
        <v>6202.5245559236391</v>
      </c>
      <c r="Q533" s="257">
        <f t="shared" si="116"/>
        <v>15506.311389809096</v>
      </c>
      <c r="R533" s="258">
        <f>INDEX('Escalators '!$M$124:$S$129,MATCH(I533,'Escalators '!$B$124:$B$129,0),MATCH(J533,'Escalators '!$M$113:$S$113,0))</f>
        <v>1.0272672933956697</v>
      </c>
      <c r="S533" s="257">
        <f t="shared" si="117"/>
        <v>0</v>
      </c>
      <c r="T533" s="257">
        <f t="shared" si="118"/>
        <v>9557.4759191757803</v>
      </c>
      <c r="U533" s="269">
        <f t="shared" si="119"/>
        <v>6371.6506127838547</v>
      </c>
      <c r="V533" s="269">
        <f t="shared" si="120"/>
        <v>15929.126531959635</v>
      </c>
      <c r="W533" s="269">
        <f t="shared" si="121"/>
        <v>6371.6506127838547</v>
      </c>
      <c r="X533" s="257">
        <f t="shared" si="122"/>
        <v>15929.126531959635</v>
      </c>
      <c r="Y533" s="270">
        <f>IF(L533="Complex",(INDEX('Escalators '!$M$176:$S$176,MATCH('Forecast capex'!J533,'Escalators '!$M$178:$S$178,0))/12+1)^((K533-J533)*12)-1,0)</f>
        <v>0</v>
      </c>
      <c r="Z533" s="257">
        <f t="shared" si="123"/>
        <v>0</v>
      </c>
      <c r="AA533" s="257">
        <f t="shared" si="124"/>
        <v>0</v>
      </c>
      <c r="AB533" s="269">
        <f t="shared" si="125"/>
        <v>0</v>
      </c>
      <c r="AC533" s="269">
        <f t="shared" si="126"/>
        <v>0</v>
      </c>
      <c r="AD533" s="271" t="str">
        <f>INDEX('Global inputs'!$C$134:$C$171,MATCH(F533,'Global inputs'!$B$134:$B$171,0))</f>
        <v>Asset relocations and undergrounding</v>
      </c>
      <c r="AE533" s="272">
        <f>IF(OR(H533='Operating leases'!$B$32,H533='Operating leases'!$B$33),"",INDEX('Global inputs'!$C$186:$C$243,MATCH(E533,'Global inputs'!$B$186:$B$243,0)))</f>
        <v>0.08</v>
      </c>
    </row>
    <row r="534" spans="1:31" s="27" customFormat="1" x14ac:dyDescent="0.2">
      <c r="A534" s="250"/>
      <c r="B534" s="210" t="s">
        <v>714</v>
      </c>
      <c r="C534" s="210" t="s">
        <v>284</v>
      </c>
      <c r="D534" s="210" t="s">
        <v>715</v>
      </c>
      <c r="E534" s="210" t="s">
        <v>129</v>
      </c>
      <c r="F534" s="210" t="s">
        <v>92</v>
      </c>
      <c r="G534" s="210" t="s">
        <v>716</v>
      </c>
      <c r="H534" s="197">
        <v>0</v>
      </c>
      <c r="I534" s="210" t="s">
        <v>229</v>
      </c>
      <c r="J534" s="210">
        <v>2022</v>
      </c>
      <c r="K534" s="210">
        <v>2022</v>
      </c>
      <c r="L534" s="268" t="str">
        <f t="shared" si="114"/>
        <v>Simple</v>
      </c>
      <c r="M534" s="197">
        <v>6202.5245559236391</v>
      </c>
      <c r="N534" s="197">
        <v>9303.7868338854569</v>
      </c>
      <c r="O534" s="257">
        <f>IF(ISNA(MATCH(H534,'Operating leases'!$B$32:$B$43,0)),0,INDEX('Operating leases'!$M$32:$S$43,MATCH(H534,'Operating leases'!$B$32:$B$43,0),MATCH(J534,'Operating leases'!$M$11:$S$11,0)))</f>
        <v>0</v>
      </c>
      <c r="P534" s="257">
        <f t="shared" si="115"/>
        <v>6202.5245559236391</v>
      </c>
      <c r="Q534" s="257">
        <f t="shared" si="116"/>
        <v>15506.311389809096</v>
      </c>
      <c r="R534" s="258">
        <f>INDEX('Escalators '!$M$124:$S$129,MATCH(I534,'Escalators '!$B$124:$B$129,0),MATCH(J534,'Escalators '!$M$113:$S$113,0))</f>
        <v>1.0379818100112963</v>
      </c>
      <c r="S534" s="257">
        <f t="shared" si="117"/>
        <v>0</v>
      </c>
      <c r="T534" s="257">
        <f t="shared" si="118"/>
        <v>9657.1614977956942</v>
      </c>
      <c r="U534" s="269">
        <f t="shared" si="119"/>
        <v>6438.1076651971307</v>
      </c>
      <c r="V534" s="269">
        <f t="shared" si="120"/>
        <v>16095.269162992825</v>
      </c>
      <c r="W534" s="269">
        <f t="shared" si="121"/>
        <v>6438.1076651971307</v>
      </c>
      <c r="X534" s="257">
        <f t="shared" si="122"/>
        <v>16095.269162992825</v>
      </c>
      <c r="Y534" s="270">
        <f>IF(L534="Complex",(INDEX('Escalators '!$M$176:$S$176,MATCH('Forecast capex'!J534,'Escalators '!$M$178:$S$178,0))/12+1)^((K534-J534)*12)-1,0)</f>
        <v>0</v>
      </c>
      <c r="Z534" s="257">
        <f t="shared" si="123"/>
        <v>0</v>
      </c>
      <c r="AA534" s="257">
        <f t="shared" si="124"/>
        <v>0</v>
      </c>
      <c r="AB534" s="269">
        <f t="shared" si="125"/>
        <v>0</v>
      </c>
      <c r="AC534" s="269">
        <f t="shared" si="126"/>
        <v>0</v>
      </c>
      <c r="AD534" s="271" t="str">
        <f>INDEX('Global inputs'!$C$134:$C$171,MATCH(F534,'Global inputs'!$B$134:$B$171,0))</f>
        <v>Asset relocations and undergrounding</v>
      </c>
      <c r="AE534" s="272">
        <f>IF(OR(H534='Operating leases'!$B$32,H534='Operating leases'!$B$33),"",INDEX('Global inputs'!$C$186:$C$243,MATCH(E534,'Global inputs'!$B$186:$B$243,0)))</f>
        <v>0.1</v>
      </c>
    </row>
    <row r="535" spans="1:31" s="27" customFormat="1" x14ac:dyDescent="0.2">
      <c r="A535" s="250"/>
      <c r="B535" s="210" t="s">
        <v>714</v>
      </c>
      <c r="C535" s="210" t="s">
        <v>284</v>
      </c>
      <c r="D535" s="210" t="s">
        <v>715</v>
      </c>
      <c r="E535" s="210" t="s">
        <v>129</v>
      </c>
      <c r="F535" s="210" t="s">
        <v>92</v>
      </c>
      <c r="G535" s="210" t="s">
        <v>716</v>
      </c>
      <c r="H535" s="197">
        <v>0</v>
      </c>
      <c r="I535" s="210" t="s">
        <v>221</v>
      </c>
      <c r="J535" s="210">
        <v>2022</v>
      </c>
      <c r="K535" s="210">
        <v>2022</v>
      </c>
      <c r="L535" s="268" t="str">
        <f t="shared" si="114"/>
        <v>Simple</v>
      </c>
      <c r="M535" s="197">
        <v>6202.5245559236391</v>
      </c>
      <c r="N535" s="197">
        <v>9303.7868338854569</v>
      </c>
      <c r="O535" s="257">
        <f>IF(ISNA(MATCH(H535,'Operating leases'!$B$32:$B$43,0)),0,INDEX('Operating leases'!$M$32:$S$43,MATCH(H535,'Operating leases'!$B$32:$B$43,0),MATCH(J535,'Operating leases'!$M$11:$S$11,0)))</f>
        <v>0</v>
      </c>
      <c r="P535" s="257">
        <f t="shared" si="115"/>
        <v>6202.5245559236391</v>
      </c>
      <c r="Q535" s="257">
        <f t="shared" si="116"/>
        <v>15506.311389809096</v>
      </c>
      <c r="R535" s="258">
        <f>INDEX('Escalators '!$M$124:$S$129,MATCH(I535,'Escalators '!$B$124:$B$129,0),MATCH(J535,'Escalators '!$M$113:$S$113,0))</f>
        <v>1.0272672933956697</v>
      </c>
      <c r="S535" s="257">
        <f t="shared" si="117"/>
        <v>0</v>
      </c>
      <c r="T535" s="257">
        <f t="shared" si="118"/>
        <v>9557.4759191757803</v>
      </c>
      <c r="U535" s="269">
        <f t="shared" si="119"/>
        <v>6371.6506127838547</v>
      </c>
      <c r="V535" s="269">
        <f t="shared" si="120"/>
        <v>15929.126531959635</v>
      </c>
      <c r="W535" s="269">
        <f t="shared" si="121"/>
        <v>6371.6506127838547</v>
      </c>
      <c r="X535" s="257">
        <f t="shared" si="122"/>
        <v>15929.126531959635</v>
      </c>
      <c r="Y535" s="270">
        <f>IF(L535="Complex",(INDEX('Escalators '!$M$176:$S$176,MATCH('Forecast capex'!J535,'Escalators '!$M$178:$S$178,0))/12+1)^((K535-J535)*12)-1,0)</f>
        <v>0</v>
      </c>
      <c r="Z535" s="257">
        <f t="shared" si="123"/>
        <v>0</v>
      </c>
      <c r="AA535" s="257">
        <f t="shared" si="124"/>
        <v>0</v>
      </c>
      <c r="AB535" s="269">
        <f t="shared" si="125"/>
        <v>0</v>
      </c>
      <c r="AC535" s="269">
        <f t="shared" si="126"/>
        <v>0</v>
      </c>
      <c r="AD535" s="271" t="str">
        <f>INDEX('Global inputs'!$C$134:$C$171,MATCH(F535,'Global inputs'!$B$134:$B$171,0))</f>
        <v>Asset relocations and undergrounding</v>
      </c>
      <c r="AE535" s="272">
        <f>IF(OR(H535='Operating leases'!$B$32,H535='Operating leases'!$B$33),"",INDEX('Global inputs'!$C$186:$C$243,MATCH(E535,'Global inputs'!$B$186:$B$243,0)))</f>
        <v>0.1</v>
      </c>
    </row>
    <row r="536" spans="1:31" s="27" customFormat="1" x14ac:dyDescent="0.2">
      <c r="A536" s="250"/>
      <c r="B536" s="210" t="s">
        <v>714</v>
      </c>
      <c r="C536" s="210" t="s">
        <v>287</v>
      </c>
      <c r="D536" s="210" t="s">
        <v>715</v>
      </c>
      <c r="E536" s="210" t="s">
        <v>150</v>
      </c>
      <c r="F536" s="210" t="s">
        <v>92</v>
      </c>
      <c r="G536" s="210" t="s">
        <v>716</v>
      </c>
      <c r="H536" s="197">
        <v>0</v>
      </c>
      <c r="I536" s="210" t="s">
        <v>229</v>
      </c>
      <c r="J536" s="210">
        <v>2022</v>
      </c>
      <c r="K536" s="210">
        <v>2022</v>
      </c>
      <c r="L536" s="268" t="str">
        <f t="shared" si="114"/>
        <v>Simple</v>
      </c>
      <c r="M536" s="197">
        <v>24810.098223694557</v>
      </c>
      <c r="N536" s="197">
        <v>37215.147335541827</v>
      </c>
      <c r="O536" s="257">
        <f>IF(ISNA(MATCH(H536,'Operating leases'!$B$32:$B$43,0)),0,INDEX('Operating leases'!$M$32:$S$43,MATCH(H536,'Operating leases'!$B$32:$B$43,0),MATCH(J536,'Operating leases'!$M$11:$S$11,0)))</f>
        <v>0</v>
      </c>
      <c r="P536" s="257">
        <f t="shared" si="115"/>
        <v>24810.098223694557</v>
      </c>
      <c r="Q536" s="257">
        <f t="shared" si="116"/>
        <v>62025.245559236384</v>
      </c>
      <c r="R536" s="258">
        <f>INDEX('Escalators '!$M$124:$S$129,MATCH(I536,'Escalators '!$B$124:$B$129,0),MATCH(J536,'Escalators '!$M$113:$S$113,0))</f>
        <v>1.0379818100112963</v>
      </c>
      <c r="S536" s="257">
        <f t="shared" si="117"/>
        <v>0</v>
      </c>
      <c r="T536" s="257">
        <f t="shared" si="118"/>
        <v>38628.645991182777</v>
      </c>
      <c r="U536" s="269">
        <f t="shared" si="119"/>
        <v>25752.430660788523</v>
      </c>
      <c r="V536" s="269">
        <f t="shared" si="120"/>
        <v>64381.0766519713</v>
      </c>
      <c r="W536" s="269">
        <f t="shared" si="121"/>
        <v>25752.430660788523</v>
      </c>
      <c r="X536" s="257">
        <f t="shared" si="122"/>
        <v>64381.0766519713</v>
      </c>
      <c r="Y536" s="270">
        <f>IF(L536="Complex",(INDEX('Escalators '!$M$176:$S$176,MATCH('Forecast capex'!J536,'Escalators '!$M$178:$S$178,0))/12+1)^((K536-J536)*12)-1,0)</f>
        <v>0</v>
      </c>
      <c r="Z536" s="257">
        <f t="shared" si="123"/>
        <v>0</v>
      </c>
      <c r="AA536" s="257">
        <f t="shared" si="124"/>
        <v>0</v>
      </c>
      <c r="AB536" s="269">
        <f t="shared" si="125"/>
        <v>0</v>
      </c>
      <c r="AC536" s="269">
        <f t="shared" si="126"/>
        <v>0</v>
      </c>
      <c r="AD536" s="271" t="str">
        <f>INDEX('Global inputs'!$C$134:$C$171,MATCH(F536,'Global inputs'!$B$134:$B$171,0))</f>
        <v>Asset relocations and undergrounding</v>
      </c>
      <c r="AE536" s="272">
        <f>IF(OR(H536='Operating leases'!$B$32,H536='Operating leases'!$B$33),"",INDEX('Global inputs'!$C$186:$C$243,MATCH(E536,'Global inputs'!$B$186:$B$243,0)))</f>
        <v>0.08</v>
      </c>
    </row>
    <row r="537" spans="1:31" s="27" customFormat="1" x14ac:dyDescent="0.2">
      <c r="A537" s="250"/>
      <c r="B537" s="210" t="s">
        <v>714</v>
      </c>
      <c r="C537" s="210" t="s">
        <v>287</v>
      </c>
      <c r="D537" s="210" t="s">
        <v>715</v>
      </c>
      <c r="E537" s="210" t="s">
        <v>150</v>
      </c>
      <c r="F537" s="210" t="s">
        <v>92</v>
      </c>
      <c r="G537" s="210" t="s">
        <v>716</v>
      </c>
      <c r="H537" s="197">
        <v>0</v>
      </c>
      <c r="I537" s="210" t="s">
        <v>221</v>
      </c>
      <c r="J537" s="210">
        <v>2022</v>
      </c>
      <c r="K537" s="210">
        <v>2022</v>
      </c>
      <c r="L537" s="268" t="str">
        <f t="shared" si="114"/>
        <v>Simple</v>
      </c>
      <c r="M537" s="197">
        <v>24810.098223694557</v>
      </c>
      <c r="N537" s="197">
        <v>37215.147335541827</v>
      </c>
      <c r="O537" s="257">
        <f>IF(ISNA(MATCH(H537,'Operating leases'!$B$32:$B$43,0)),0,INDEX('Operating leases'!$M$32:$S$43,MATCH(H537,'Operating leases'!$B$32:$B$43,0),MATCH(J537,'Operating leases'!$M$11:$S$11,0)))</f>
        <v>0</v>
      </c>
      <c r="P537" s="257">
        <f t="shared" si="115"/>
        <v>24810.098223694557</v>
      </c>
      <c r="Q537" s="257">
        <f t="shared" si="116"/>
        <v>62025.245559236384</v>
      </c>
      <c r="R537" s="258">
        <f>INDEX('Escalators '!$M$124:$S$129,MATCH(I537,'Escalators '!$B$124:$B$129,0),MATCH(J537,'Escalators '!$M$113:$S$113,0))</f>
        <v>1.0272672933956697</v>
      </c>
      <c r="S537" s="257">
        <f t="shared" si="117"/>
        <v>0</v>
      </c>
      <c r="T537" s="257">
        <f t="shared" si="118"/>
        <v>38229.903676703121</v>
      </c>
      <c r="U537" s="269">
        <f t="shared" si="119"/>
        <v>25486.602451135419</v>
      </c>
      <c r="V537" s="269">
        <f t="shared" si="120"/>
        <v>63716.50612783854</v>
      </c>
      <c r="W537" s="269">
        <f t="shared" si="121"/>
        <v>25486.602451135419</v>
      </c>
      <c r="X537" s="257">
        <f t="shared" si="122"/>
        <v>63716.50612783854</v>
      </c>
      <c r="Y537" s="270">
        <f>IF(L537="Complex",(INDEX('Escalators '!$M$176:$S$176,MATCH('Forecast capex'!J537,'Escalators '!$M$178:$S$178,0))/12+1)^((K537-J537)*12)-1,0)</f>
        <v>0</v>
      </c>
      <c r="Z537" s="257">
        <f t="shared" si="123"/>
        <v>0</v>
      </c>
      <c r="AA537" s="257">
        <f t="shared" si="124"/>
        <v>0</v>
      </c>
      <c r="AB537" s="269">
        <f t="shared" si="125"/>
        <v>0</v>
      </c>
      <c r="AC537" s="269">
        <f t="shared" si="126"/>
        <v>0</v>
      </c>
      <c r="AD537" s="271" t="str">
        <f>INDEX('Global inputs'!$C$134:$C$171,MATCH(F537,'Global inputs'!$B$134:$B$171,0))</f>
        <v>Asset relocations and undergrounding</v>
      </c>
      <c r="AE537" s="272">
        <f>IF(OR(H537='Operating leases'!$B$32,H537='Operating leases'!$B$33),"",INDEX('Global inputs'!$C$186:$C$243,MATCH(E537,'Global inputs'!$B$186:$B$243,0)))</f>
        <v>0.08</v>
      </c>
    </row>
    <row r="538" spans="1:31" s="27" customFormat="1" x14ac:dyDescent="0.2">
      <c r="A538" s="250"/>
      <c r="B538" s="210" t="s">
        <v>714</v>
      </c>
      <c r="C538" s="210" t="s">
        <v>287</v>
      </c>
      <c r="D538" s="210" t="s">
        <v>715</v>
      </c>
      <c r="E538" s="210" t="s">
        <v>151</v>
      </c>
      <c r="F538" s="210" t="s">
        <v>92</v>
      </c>
      <c r="G538" s="210" t="s">
        <v>716</v>
      </c>
      <c r="H538" s="197">
        <v>0</v>
      </c>
      <c r="I538" s="210" t="s">
        <v>229</v>
      </c>
      <c r="J538" s="210">
        <v>2022</v>
      </c>
      <c r="K538" s="210">
        <v>2022</v>
      </c>
      <c r="L538" s="268" t="str">
        <f t="shared" si="114"/>
        <v>Simple</v>
      </c>
      <c r="M538" s="197">
        <v>24810.098223694557</v>
      </c>
      <c r="N538" s="197">
        <v>37215.147335541827</v>
      </c>
      <c r="O538" s="257">
        <f>IF(ISNA(MATCH(H538,'Operating leases'!$B$32:$B$43,0)),0,INDEX('Operating leases'!$M$32:$S$43,MATCH(H538,'Operating leases'!$B$32:$B$43,0),MATCH(J538,'Operating leases'!$M$11:$S$11,0)))</f>
        <v>0</v>
      </c>
      <c r="P538" s="257">
        <f t="shared" si="115"/>
        <v>24810.098223694557</v>
      </c>
      <c r="Q538" s="257">
        <f t="shared" si="116"/>
        <v>62025.245559236384</v>
      </c>
      <c r="R538" s="258">
        <f>INDEX('Escalators '!$M$124:$S$129,MATCH(I538,'Escalators '!$B$124:$B$129,0),MATCH(J538,'Escalators '!$M$113:$S$113,0))</f>
        <v>1.0379818100112963</v>
      </c>
      <c r="S538" s="257">
        <f t="shared" si="117"/>
        <v>0</v>
      </c>
      <c r="T538" s="257">
        <f t="shared" si="118"/>
        <v>38628.645991182777</v>
      </c>
      <c r="U538" s="269">
        <f t="shared" si="119"/>
        <v>25752.430660788523</v>
      </c>
      <c r="V538" s="269">
        <f t="shared" si="120"/>
        <v>64381.0766519713</v>
      </c>
      <c r="W538" s="269">
        <f t="shared" si="121"/>
        <v>25752.430660788523</v>
      </c>
      <c r="X538" s="257">
        <f t="shared" si="122"/>
        <v>64381.0766519713</v>
      </c>
      <c r="Y538" s="270">
        <f>IF(L538="Complex",(INDEX('Escalators '!$M$176:$S$176,MATCH('Forecast capex'!J538,'Escalators '!$M$178:$S$178,0))/12+1)^((K538-J538)*12)-1,0)</f>
        <v>0</v>
      </c>
      <c r="Z538" s="257">
        <f t="shared" si="123"/>
        <v>0</v>
      </c>
      <c r="AA538" s="257">
        <f t="shared" si="124"/>
        <v>0</v>
      </c>
      <c r="AB538" s="269">
        <f t="shared" si="125"/>
        <v>0</v>
      </c>
      <c r="AC538" s="269">
        <f t="shared" si="126"/>
        <v>0</v>
      </c>
      <c r="AD538" s="271" t="str">
        <f>INDEX('Global inputs'!$C$134:$C$171,MATCH(F538,'Global inputs'!$B$134:$B$171,0))</f>
        <v>Asset relocations and undergrounding</v>
      </c>
      <c r="AE538" s="272">
        <f>IF(OR(H538='Operating leases'!$B$32,H538='Operating leases'!$B$33),"",INDEX('Global inputs'!$C$186:$C$243,MATCH(E538,'Global inputs'!$B$186:$B$243,0)))</f>
        <v>0.1</v>
      </c>
    </row>
    <row r="539" spans="1:31" s="27" customFormat="1" x14ac:dyDescent="0.2">
      <c r="A539" s="250"/>
      <c r="B539" s="210" t="s">
        <v>714</v>
      </c>
      <c r="C539" s="210" t="s">
        <v>287</v>
      </c>
      <c r="D539" s="210" t="s">
        <v>715</v>
      </c>
      <c r="E539" s="210" t="s">
        <v>151</v>
      </c>
      <c r="F539" s="210" t="s">
        <v>92</v>
      </c>
      <c r="G539" s="210" t="s">
        <v>716</v>
      </c>
      <c r="H539" s="197">
        <v>0</v>
      </c>
      <c r="I539" s="210" t="s">
        <v>221</v>
      </c>
      <c r="J539" s="210">
        <v>2022</v>
      </c>
      <c r="K539" s="210">
        <v>2022</v>
      </c>
      <c r="L539" s="268" t="str">
        <f t="shared" si="114"/>
        <v>Simple</v>
      </c>
      <c r="M539" s="197">
        <v>24810.098223694557</v>
      </c>
      <c r="N539" s="197">
        <v>37215.147335541827</v>
      </c>
      <c r="O539" s="257">
        <f>IF(ISNA(MATCH(H539,'Operating leases'!$B$32:$B$43,0)),0,INDEX('Operating leases'!$M$32:$S$43,MATCH(H539,'Operating leases'!$B$32:$B$43,0),MATCH(J539,'Operating leases'!$M$11:$S$11,0)))</f>
        <v>0</v>
      </c>
      <c r="P539" s="257">
        <f t="shared" si="115"/>
        <v>24810.098223694557</v>
      </c>
      <c r="Q539" s="257">
        <f t="shared" si="116"/>
        <v>62025.245559236384</v>
      </c>
      <c r="R539" s="258">
        <f>INDEX('Escalators '!$M$124:$S$129,MATCH(I539,'Escalators '!$B$124:$B$129,0),MATCH(J539,'Escalators '!$M$113:$S$113,0))</f>
        <v>1.0272672933956697</v>
      </c>
      <c r="S539" s="257">
        <f t="shared" si="117"/>
        <v>0</v>
      </c>
      <c r="T539" s="257">
        <f t="shared" si="118"/>
        <v>38229.903676703121</v>
      </c>
      <c r="U539" s="269">
        <f t="shared" si="119"/>
        <v>25486.602451135419</v>
      </c>
      <c r="V539" s="269">
        <f t="shared" si="120"/>
        <v>63716.50612783854</v>
      </c>
      <c r="W539" s="269">
        <f t="shared" si="121"/>
        <v>25486.602451135419</v>
      </c>
      <c r="X539" s="257">
        <f t="shared" si="122"/>
        <v>63716.50612783854</v>
      </c>
      <c r="Y539" s="270">
        <f>IF(L539="Complex",(INDEX('Escalators '!$M$176:$S$176,MATCH('Forecast capex'!J539,'Escalators '!$M$178:$S$178,0))/12+1)^((K539-J539)*12)-1,0)</f>
        <v>0</v>
      </c>
      <c r="Z539" s="257">
        <f t="shared" si="123"/>
        <v>0</v>
      </c>
      <c r="AA539" s="257">
        <f t="shared" si="124"/>
        <v>0</v>
      </c>
      <c r="AB539" s="269">
        <f t="shared" si="125"/>
        <v>0</v>
      </c>
      <c r="AC539" s="269">
        <f t="shared" si="126"/>
        <v>0</v>
      </c>
      <c r="AD539" s="271" t="str">
        <f>INDEX('Global inputs'!$C$134:$C$171,MATCH(F539,'Global inputs'!$B$134:$B$171,0))</f>
        <v>Asset relocations and undergrounding</v>
      </c>
      <c r="AE539" s="272">
        <f>IF(OR(H539='Operating leases'!$B$32,H539='Operating leases'!$B$33),"",INDEX('Global inputs'!$C$186:$C$243,MATCH(E539,'Global inputs'!$B$186:$B$243,0)))</f>
        <v>0.1</v>
      </c>
    </row>
    <row r="540" spans="1:31" s="27" customFormat="1" x14ac:dyDescent="0.2">
      <c r="A540" s="250"/>
      <c r="B540" s="210" t="s">
        <v>714</v>
      </c>
      <c r="C540" s="210" t="s">
        <v>287</v>
      </c>
      <c r="D540" s="210" t="s">
        <v>715</v>
      </c>
      <c r="E540" s="210" t="s">
        <v>153</v>
      </c>
      <c r="F540" s="210" t="s">
        <v>92</v>
      </c>
      <c r="G540" s="210" t="s">
        <v>716</v>
      </c>
      <c r="H540" s="197">
        <v>0</v>
      </c>
      <c r="I540" s="210" t="s">
        <v>229</v>
      </c>
      <c r="J540" s="210">
        <v>2022</v>
      </c>
      <c r="K540" s="210">
        <v>2022</v>
      </c>
      <c r="L540" s="268" t="str">
        <f t="shared" si="114"/>
        <v>Simple</v>
      </c>
      <c r="M540" s="197">
        <v>1127.7317374406618</v>
      </c>
      <c r="N540" s="197">
        <v>1691.5976061609927</v>
      </c>
      <c r="O540" s="257">
        <f>IF(ISNA(MATCH(H540,'Operating leases'!$B$32:$B$43,0)),0,INDEX('Operating leases'!$M$32:$S$43,MATCH(H540,'Operating leases'!$B$32:$B$43,0),MATCH(J540,'Operating leases'!$M$11:$S$11,0)))</f>
        <v>0</v>
      </c>
      <c r="P540" s="257">
        <f t="shared" si="115"/>
        <v>1127.7317374406618</v>
      </c>
      <c r="Q540" s="257">
        <f t="shared" si="116"/>
        <v>2819.3293436016547</v>
      </c>
      <c r="R540" s="258">
        <f>INDEX('Escalators '!$M$124:$S$129,MATCH(I540,'Escalators '!$B$124:$B$129,0),MATCH(J540,'Escalators '!$M$113:$S$113,0))</f>
        <v>1.0379818100112963</v>
      </c>
      <c r="S540" s="257">
        <f t="shared" si="117"/>
        <v>0</v>
      </c>
      <c r="T540" s="257">
        <f t="shared" si="118"/>
        <v>1755.847545053763</v>
      </c>
      <c r="U540" s="269">
        <f t="shared" si="119"/>
        <v>1170.5650300358425</v>
      </c>
      <c r="V540" s="269">
        <f t="shared" si="120"/>
        <v>2926.4125750896055</v>
      </c>
      <c r="W540" s="269">
        <f t="shared" si="121"/>
        <v>1170.5650300358425</v>
      </c>
      <c r="X540" s="257">
        <f t="shared" si="122"/>
        <v>2926.4125750896055</v>
      </c>
      <c r="Y540" s="270">
        <f>IF(L540="Complex",(INDEX('Escalators '!$M$176:$S$176,MATCH('Forecast capex'!J540,'Escalators '!$M$178:$S$178,0))/12+1)^((K540-J540)*12)-1,0)</f>
        <v>0</v>
      </c>
      <c r="Z540" s="257">
        <f t="shared" si="123"/>
        <v>0</v>
      </c>
      <c r="AA540" s="257">
        <f t="shared" si="124"/>
        <v>0</v>
      </c>
      <c r="AB540" s="269">
        <f t="shared" si="125"/>
        <v>0</v>
      </c>
      <c r="AC540" s="269">
        <f t="shared" si="126"/>
        <v>0</v>
      </c>
      <c r="AD540" s="271" t="str">
        <f>INDEX('Global inputs'!$C$134:$C$171,MATCH(F540,'Global inputs'!$B$134:$B$171,0))</f>
        <v>Asset relocations and undergrounding</v>
      </c>
      <c r="AE540" s="272">
        <f>IF(OR(H540='Operating leases'!$B$32,H540='Operating leases'!$B$33),"",INDEX('Global inputs'!$C$186:$C$243,MATCH(E540,'Global inputs'!$B$186:$B$243,0)))</f>
        <v>0.08</v>
      </c>
    </row>
    <row r="541" spans="1:31" s="27" customFormat="1" x14ac:dyDescent="0.2">
      <c r="A541" s="250"/>
      <c r="B541" s="210" t="s">
        <v>714</v>
      </c>
      <c r="C541" s="210" t="s">
        <v>287</v>
      </c>
      <c r="D541" s="210" t="s">
        <v>715</v>
      </c>
      <c r="E541" s="210" t="s">
        <v>153</v>
      </c>
      <c r="F541" s="210" t="s">
        <v>92</v>
      </c>
      <c r="G541" s="210" t="s">
        <v>716</v>
      </c>
      <c r="H541" s="197">
        <v>0</v>
      </c>
      <c r="I541" s="210" t="s">
        <v>221</v>
      </c>
      <c r="J541" s="210">
        <v>2022</v>
      </c>
      <c r="K541" s="210">
        <v>2022</v>
      </c>
      <c r="L541" s="268" t="str">
        <f t="shared" si="114"/>
        <v>Simple</v>
      </c>
      <c r="M541" s="197">
        <v>1127.7317374406618</v>
      </c>
      <c r="N541" s="197">
        <v>1691.5976061609927</v>
      </c>
      <c r="O541" s="257">
        <f>IF(ISNA(MATCH(H541,'Operating leases'!$B$32:$B$43,0)),0,INDEX('Operating leases'!$M$32:$S$43,MATCH(H541,'Operating leases'!$B$32:$B$43,0),MATCH(J541,'Operating leases'!$M$11:$S$11,0)))</f>
        <v>0</v>
      </c>
      <c r="P541" s="257">
        <f t="shared" si="115"/>
        <v>1127.7317374406618</v>
      </c>
      <c r="Q541" s="257">
        <f t="shared" si="116"/>
        <v>2819.3293436016547</v>
      </c>
      <c r="R541" s="258">
        <f>INDEX('Escalators '!$M$124:$S$129,MATCH(I541,'Escalators '!$B$124:$B$129,0),MATCH(J541,'Escalators '!$M$113:$S$113,0))</f>
        <v>1.0272672933956697</v>
      </c>
      <c r="S541" s="257">
        <f t="shared" si="117"/>
        <v>0</v>
      </c>
      <c r="T541" s="257">
        <f t="shared" si="118"/>
        <v>1737.722894395597</v>
      </c>
      <c r="U541" s="269">
        <f t="shared" si="119"/>
        <v>1158.4819295970651</v>
      </c>
      <c r="V541" s="269">
        <f t="shared" si="120"/>
        <v>2896.2048239926621</v>
      </c>
      <c r="W541" s="269">
        <f t="shared" si="121"/>
        <v>1158.4819295970651</v>
      </c>
      <c r="X541" s="257">
        <f t="shared" si="122"/>
        <v>2896.2048239926621</v>
      </c>
      <c r="Y541" s="270">
        <f>IF(L541="Complex",(INDEX('Escalators '!$M$176:$S$176,MATCH('Forecast capex'!J541,'Escalators '!$M$178:$S$178,0))/12+1)^((K541-J541)*12)-1,0)</f>
        <v>0</v>
      </c>
      <c r="Z541" s="257">
        <f t="shared" si="123"/>
        <v>0</v>
      </c>
      <c r="AA541" s="257">
        <f t="shared" si="124"/>
        <v>0</v>
      </c>
      <c r="AB541" s="269">
        <f t="shared" si="125"/>
        <v>0</v>
      </c>
      <c r="AC541" s="269">
        <f t="shared" si="126"/>
        <v>0</v>
      </c>
      <c r="AD541" s="271" t="str">
        <f>INDEX('Global inputs'!$C$134:$C$171,MATCH(F541,'Global inputs'!$B$134:$B$171,0))</f>
        <v>Asset relocations and undergrounding</v>
      </c>
      <c r="AE541" s="272">
        <f>IF(OR(H541='Operating leases'!$B$32,H541='Operating leases'!$B$33),"",INDEX('Global inputs'!$C$186:$C$243,MATCH(E541,'Global inputs'!$B$186:$B$243,0)))</f>
        <v>0.08</v>
      </c>
    </row>
    <row r="542" spans="1:31" s="27" customFormat="1" x14ac:dyDescent="0.2">
      <c r="A542" s="250"/>
      <c r="B542" s="210" t="s">
        <v>714</v>
      </c>
      <c r="C542" s="210" t="s">
        <v>287</v>
      </c>
      <c r="D542" s="210" t="s">
        <v>715</v>
      </c>
      <c r="E542" s="210" t="s">
        <v>154</v>
      </c>
      <c r="F542" s="210" t="s">
        <v>92</v>
      </c>
      <c r="G542" s="210" t="s">
        <v>716</v>
      </c>
      <c r="H542" s="197">
        <v>0</v>
      </c>
      <c r="I542" s="210" t="s">
        <v>229</v>
      </c>
      <c r="J542" s="210">
        <v>2022</v>
      </c>
      <c r="K542" s="210">
        <v>2022</v>
      </c>
      <c r="L542" s="268" t="str">
        <f t="shared" si="114"/>
        <v>Simple</v>
      </c>
      <c r="M542" s="197">
        <v>1127.7317374406618</v>
      </c>
      <c r="N542" s="197">
        <v>1691.5976061609927</v>
      </c>
      <c r="O542" s="257">
        <f>IF(ISNA(MATCH(H542,'Operating leases'!$B$32:$B$43,0)),0,INDEX('Operating leases'!$M$32:$S$43,MATCH(H542,'Operating leases'!$B$32:$B$43,0),MATCH(J542,'Operating leases'!$M$11:$S$11,0)))</f>
        <v>0</v>
      </c>
      <c r="P542" s="257">
        <f t="shared" si="115"/>
        <v>1127.7317374406618</v>
      </c>
      <c r="Q542" s="257">
        <f t="shared" si="116"/>
        <v>2819.3293436016547</v>
      </c>
      <c r="R542" s="258">
        <f>INDEX('Escalators '!$M$124:$S$129,MATCH(I542,'Escalators '!$B$124:$B$129,0),MATCH(J542,'Escalators '!$M$113:$S$113,0))</f>
        <v>1.0379818100112963</v>
      </c>
      <c r="S542" s="257">
        <f t="shared" si="117"/>
        <v>0</v>
      </c>
      <c r="T542" s="257">
        <f t="shared" si="118"/>
        <v>1755.847545053763</v>
      </c>
      <c r="U542" s="269">
        <f t="shared" si="119"/>
        <v>1170.5650300358425</v>
      </c>
      <c r="V542" s="269">
        <f t="shared" si="120"/>
        <v>2926.4125750896055</v>
      </c>
      <c r="W542" s="269">
        <f t="shared" si="121"/>
        <v>1170.5650300358425</v>
      </c>
      <c r="X542" s="257">
        <f t="shared" si="122"/>
        <v>2926.4125750896055</v>
      </c>
      <c r="Y542" s="270">
        <f>IF(L542="Complex",(INDEX('Escalators '!$M$176:$S$176,MATCH('Forecast capex'!J542,'Escalators '!$M$178:$S$178,0))/12+1)^((K542-J542)*12)-1,0)</f>
        <v>0</v>
      </c>
      <c r="Z542" s="257">
        <f t="shared" si="123"/>
        <v>0</v>
      </c>
      <c r="AA542" s="257">
        <f t="shared" si="124"/>
        <v>0</v>
      </c>
      <c r="AB542" s="269">
        <f t="shared" si="125"/>
        <v>0</v>
      </c>
      <c r="AC542" s="269">
        <f t="shared" si="126"/>
        <v>0</v>
      </c>
      <c r="AD542" s="271" t="str">
        <f>INDEX('Global inputs'!$C$134:$C$171,MATCH(F542,'Global inputs'!$B$134:$B$171,0))</f>
        <v>Asset relocations and undergrounding</v>
      </c>
      <c r="AE542" s="272">
        <f>IF(OR(H542='Operating leases'!$B$32,H542='Operating leases'!$B$33),"",INDEX('Global inputs'!$C$186:$C$243,MATCH(E542,'Global inputs'!$B$186:$B$243,0)))</f>
        <v>0.1</v>
      </c>
    </row>
    <row r="543" spans="1:31" s="27" customFormat="1" x14ac:dyDescent="0.2">
      <c r="A543" s="250"/>
      <c r="B543" s="210" t="s">
        <v>714</v>
      </c>
      <c r="C543" s="210" t="s">
        <v>287</v>
      </c>
      <c r="D543" s="210" t="s">
        <v>715</v>
      </c>
      <c r="E543" s="210" t="s">
        <v>154</v>
      </c>
      <c r="F543" s="210" t="s">
        <v>92</v>
      </c>
      <c r="G543" s="210" t="s">
        <v>716</v>
      </c>
      <c r="H543" s="197">
        <v>0</v>
      </c>
      <c r="I543" s="210" t="s">
        <v>221</v>
      </c>
      <c r="J543" s="210">
        <v>2022</v>
      </c>
      <c r="K543" s="210">
        <v>2022</v>
      </c>
      <c r="L543" s="268" t="str">
        <f t="shared" si="114"/>
        <v>Simple</v>
      </c>
      <c r="M543" s="197">
        <v>1127.7317374406618</v>
      </c>
      <c r="N543" s="197">
        <v>1691.5976061609927</v>
      </c>
      <c r="O543" s="257">
        <f>IF(ISNA(MATCH(H543,'Operating leases'!$B$32:$B$43,0)),0,INDEX('Operating leases'!$M$32:$S$43,MATCH(H543,'Operating leases'!$B$32:$B$43,0),MATCH(J543,'Operating leases'!$M$11:$S$11,0)))</f>
        <v>0</v>
      </c>
      <c r="P543" s="257">
        <f t="shared" si="115"/>
        <v>1127.7317374406618</v>
      </c>
      <c r="Q543" s="257">
        <f t="shared" si="116"/>
        <v>2819.3293436016547</v>
      </c>
      <c r="R543" s="258">
        <f>INDEX('Escalators '!$M$124:$S$129,MATCH(I543,'Escalators '!$B$124:$B$129,0),MATCH(J543,'Escalators '!$M$113:$S$113,0))</f>
        <v>1.0272672933956697</v>
      </c>
      <c r="S543" s="257">
        <f t="shared" si="117"/>
        <v>0</v>
      </c>
      <c r="T543" s="257">
        <f t="shared" si="118"/>
        <v>1737.722894395597</v>
      </c>
      <c r="U543" s="269">
        <f t="shared" si="119"/>
        <v>1158.4819295970651</v>
      </c>
      <c r="V543" s="269">
        <f t="shared" si="120"/>
        <v>2896.2048239926621</v>
      </c>
      <c r="W543" s="269">
        <f t="shared" si="121"/>
        <v>1158.4819295970651</v>
      </c>
      <c r="X543" s="257">
        <f t="shared" si="122"/>
        <v>2896.2048239926621</v>
      </c>
      <c r="Y543" s="270">
        <f>IF(L543="Complex",(INDEX('Escalators '!$M$176:$S$176,MATCH('Forecast capex'!J543,'Escalators '!$M$178:$S$178,0))/12+1)^((K543-J543)*12)-1,0)</f>
        <v>0</v>
      </c>
      <c r="Z543" s="257">
        <f t="shared" si="123"/>
        <v>0</v>
      </c>
      <c r="AA543" s="257">
        <f t="shared" si="124"/>
        <v>0</v>
      </c>
      <c r="AB543" s="269">
        <f t="shared" si="125"/>
        <v>0</v>
      </c>
      <c r="AC543" s="269">
        <f t="shared" si="126"/>
        <v>0</v>
      </c>
      <c r="AD543" s="271" t="str">
        <f>INDEX('Global inputs'!$C$134:$C$171,MATCH(F543,'Global inputs'!$B$134:$B$171,0))</f>
        <v>Asset relocations and undergrounding</v>
      </c>
      <c r="AE543" s="272">
        <f>IF(OR(H543='Operating leases'!$B$32,H543='Operating leases'!$B$33),"",INDEX('Global inputs'!$C$186:$C$243,MATCH(E543,'Global inputs'!$B$186:$B$243,0)))</f>
        <v>0.1</v>
      </c>
    </row>
    <row r="544" spans="1:31" s="27" customFormat="1" x14ac:dyDescent="0.2">
      <c r="A544" s="250"/>
      <c r="B544" s="210" t="s">
        <v>714</v>
      </c>
      <c r="C544" s="210" t="s">
        <v>284</v>
      </c>
      <c r="D544" s="210" t="s">
        <v>715</v>
      </c>
      <c r="E544" s="210" t="s">
        <v>127</v>
      </c>
      <c r="F544" s="210" t="s">
        <v>92</v>
      </c>
      <c r="G544" s="210" t="s">
        <v>717</v>
      </c>
      <c r="H544" s="197">
        <v>0</v>
      </c>
      <c r="I544" s="210" t="s">
        <v>229</v>
      </c>
      <c r="J544" s="210">
        <v>2022</v>
      </c>
      <c r="K544" s="210">
        <v>2022</v>
      </c>
      <c r="L544" s="268" t="str">
        <f t="shared" si="114"/>
        <v>Simple</v>
      </c>
      <c r="M544" s="197">
        <v>1691.5976061609927</v>
      </c>
      <c r="N544" s="197">
        <v>2537.3964092414885</v>
      </c>
      <c r="O544" s="257">
        <f>IF(ISNA(MATCH(H544,'Operating leases'!$B$32:$B$43,0)),0,INDEX('Operating leases'!$M$32:$S$43,MATCH(H544,'Operating leases'!$B$32:$B$43,0),MATCH(J544,'Operating leases'!$M$11:$S$11,0)))</f>
        <v>0</v>
      </c>
      <c r="P544" s="257">
        <f t="shared" si="115"/>
        <v>1691.5976061609927</v>
      </c>
      <c r="Q544" s="257">
        <f t="shared" si="116"/>
        <v>4228.9940154024807</v>
      </c>
      <c r="R544" s="258">
        <f>INDEX('Escalators '!$M$124:$S$129,MATCH(I544,'Escalators '!$B$124:$B$129,0),MATCH(J544,'Escalators '!$M$113:$S$113,0))</f>
        <v>1.0379818100112963</v>
      </c>
      <c r="S544" s="257">
        <f t="shared" si="117"/>
        <v>0</v>
      </c>
      <c r="T544" s="257">
        <f t="shared" si="118"/>
        <v>2633.7713175806443</v>
      </c>
      <c r="U544" s="269">
        <f t="shared" si="119"/>
        <v>1755.8475450537621</v>
      </c>
      <c r="V544" s="269">
        <f t="shared" si="120"/>
        <v>4389.6188626344065</v>
      </c>
      <c r="W544" s="269">
        <f t="shared" si="121"/>
        <v>1755.8475450537621</v>
      </c>
      <c r="X544" s="257">
        <f t="shared" si="122"/>
        <v>4389.6188626344065</v>
      </c>
      <c r="Y544" s="270">
        <f>IF(L544="Complex",(INDEX('Escalators '!$M$176:$S$176,MATCH('Forecast capex'!J544,'Escalators '!$M$178:$S$178,0))/12+1)^((K544-J544)*12)-1,0)</f>
        <v>0</v>
      </c>
      <c r="Z544" s="257">
        <f t="shared" si="123"/>
        <v>0</v>
      </c>
      <c r="AA544" s="257">
        <f t="shared" si="124"/>
        <v>0</v>
      </c>
      <c r="AB544" s="269">
        <f t="shared" si="125"/>
        <v>0</v>
      </c>
      <c r="AC544" s="269">
        <f t="shared" si="126"/>
        <v>0</v>
      </c>
      <c r="AD544" s="271" t="str">
        <f>INDEX('Global inputs'!$C$134:$C$171,MATCH(F544,'Global inputs'!$B$134:$B$171,0))</f>
        <v>Asset relocations and undergrounding</v>
      </c>
      <c r="AE544" s="272">
        <f>IF(OR(H544='Operating leases'!$B$32,H544='Operating leases'!$B$33),"",INDEX('Global inputs'!$C$186:$C$243,MATCH(E544,'Global inputs'!$B$186:$B$243,0)))</f>
        <v>0.08</v>
      </c>
    </row>
    <row r="545" spans="1:31" s="27" customFormat="1" x14ac:dyDescent="0.2">
      <c r="A545" s="250"/>
      <c r="B545" s="210" t="s">
        <v>714</v>
      </c>
      <c r="C545" s="210" t="s">
        <v>284</v>
      </c>
      <c r="D545" s="210" t="s">
        <v>715</v>
      </c>
      <c r="E545" s="210" t="s">
        <v>127</v>
      </c>
      <c r="F545" s="210" t="s">
        <v>92</v>
      </c>
      <c r="G545" s="210" t="s">
        <v>717</v>
      </c>
      <c r="H545" s="197">
        <v>0</v>
      </c>
      <c r="I545" s="210" t="s">
        <v>221</v>
      </c>
      <c r="J545" s="210">
        <v>2022</v>
      </c>
      <c r="K545" s="210">
        <v>2022</v>
      </c>
      <c r="L545" s="268" t="str">
        <f t="shared" si="114"/>
        <v>Simple</v>
      </c>
      <c r="M545" s="197">
        <v>1691.5976061609927</v>
      </c>
      <c r="N545" s="197">
        <v>2537.3964092414885</v>
      </c>
      <c r="O545" s="257">
        <f>IF(ISNA(MATCH(H545,'Operating leases'!$B$32:$B$43,0)),0,INDEX('Operating leases'!$M$32:$S$43,MATCH(H545,'Operating leases'!$B$32:$B$43,0),MATCH(J545,'Operating leases'!$M$11:$S$11,0)))</f>
        <v>0</v>
      </c>
      <c r="P545" s="257">
        <f t="shared" si="115"/>
        <v>1691.5976061609927</v>
      </c>
      <c r="Q545" s="257">
        <f t="shared" si="116"/>
        <v>4228.9940154024807</v>
      </c>
      <c r="R545" s="258">
        <f>INDEX('Escalators '!$M$124:$S$129,MATCH(I545,'Escalators '!$B$124:$B$129,0),MATCH(J545,'Escalators '!$M$113:$S$113,0))</f>
        <v>1.0272672933956697</v>
      </c>
      <c r="S545" s="257">
        <f t="shared" si="117"/>
        <v>0</v>
      </c>
      <c r="T545" s="257">
        <f t="shared" si="118"/>
        <v>2606.584341593395</v>
      </c>
      <c r="U545" s="269">
        <f t="shared" si="119"/>
        <v>1737.7228943955961</v>
      </c>
      <c r="V545" s="269">
        <f t="shared" si="120"/>
        <v>4344.3072359889911</v>
      </c>
      <c r="W545" s="269">
        <f t="shared" si="121"/>
        <v>1737.7228943955961</v>
      </c>
      <c r="X545" s="257">
        <f t="shared" si="122"/>
        <v>4344.3072359889911</v>
      </c>
      <c r="Y545" s="270">
        <f>IF(L545="Complex",(INDEX('Escalators '!$M$176:$S$176,MATCH('Forecast capex'!J545,'Escalators '!$M$178:$S$178,0))/12+1)^((K545-J545)*12)-1,0)</f>
        <v>0</v>
      </c>
      <c r="Z545" s="257">
        <f t="shared" si="123"/>
        <v>0</v>
      </c>
      <c r="AA545" s="257">
        <f t="shared" si="124"/>
        <v>0</v>
      </c>
      <c r="AB545" s="269">
        <f t="shared" si="125"/>
        <v>0</v>
      </c>
      <c r="AC545" s="269">
        <f t="shared" si="126"/>
        <v>0</v>
      </c>
      <c r="AD545" s="271" t="str">
        <f>INDEX('Global inputs'!$C$134:$C$171,MATCH(F545,'Global inputs'!$B$134:$B$171,0))</f>
        <v>Asset relocations and undergrounding</v>
      </c>
      <c r="AE545" s="272">
        <f>IF(OR(H545='Operating leases'!$B$32,H545='Operating leases'!$B$33),"",INDEX('Global inputs'!$C$186:$C$243,MATCH(E545,'Global inputs'!$B$186:$B$243,0)))</f>
        <v>0.08</v>
      </c>
    </row>
    <row r="546" spans="1:31" s="27" customFormat="1" x14ac:dyDescent="0.2">
      <c r="A546" s="250"/>
      <c r="B546" s="210" t="s">
        <v>714</v>
      </c>
      <c r="C546" s="210" t="s">
        <v>284</v>
      </c>
      <c r="D546" s="210" t="s">
        <v>715</v>
      </c>
      <c r="E546" s="210" t="s">
        <v>129</v>
      </c>
      <c r="F546" s="210" t="s">
        <v>92</v>
      </c>
      <c r="G546" s="210" t="s">
        <v>717</v>
      </c>
      <c r="H546" s="197">
        <v>0</v>
      </c>
      <c r="I546" s="210" t="s">
        <v>229</v>
      </c>
      <c r="J546" s="210">
        <v>2022</v>
      </c>
      <c r="K546" s="210">
        <v>2022</v>
      </c>
      <c r="L546" s="268" t="str">
        <f t="shared" si="114"/>
        <v>Simple</v>
      </c>
      <c r="M546" s="197">
        <v>1691.5976061609927</v>
      </c>
      <c r="N546" s="197">
        <v>2537.3964092414885</v>
      </c>
      <c r="O546" s="257">
        <f>IF(ISNA(MATCH(H546,'Operating leases'!$B$32:$B$43,0)),0,INDEX('Operating leases'!$M$32:$S$43,MATCH(H546,'Operating leases'!$B$32:$B$43,0),MATCH(J546,'Operating leases'!$M$11:$S$11,0)))</f>
        <v>0</v>
      </c>
      <c r="P546" s="257">
        <f t="shared" si="115"/>
        <v>1691.5976061609927</v>
      </c>
      <c r="Q546" s="257">
        <f t="shared" si="116"/>
        <v>4228.9940154024807</v>
      </c>
      <c r="R546" s="258">
        <f>INDEX('Escalators '!$M$124:$S$129,MATCH(I546,'Escalators '!$B$124:$B$129,0),MATCH(J546,'Escalators '!$M$113:$S$113,0))</f>
        <v>1.0379818100112963</v>
      </c>
      <c r="S546" s="257">
        <f t="shared" si="117"/>
        <v>0</v>
      </c>
      <c r="T546" s="257">
        <f t="shared" si="118"/>
        <v>2633.7713175806443</v>
      </c>
      <c r="U546" s="269">
        <f t="shared" si="119"/>
        <v>1755.8475450537621</v>
      </c>
      <c r="V546" s="269">
        <f t="shared" si="120"/>
        <v>4389.6188626344065</v>
      </c>
      <c r="W546" s="269">
        <f t="shared" si="121"/>
        <v>1755.8475450537621</v>
      </c>
      <c r="X546" s="257">
        <f t="shared" si="122"/>
        <v>4389.6188626344065</v>
      </c>
      <c r="Y546" s="270">
        <f>IF(L546="Complex",(INDEX('Escalators '!$M$176:$S$176,MATCH('Forecast capex'!J546,'Escalators '!$M$178:$S$178,0))/12+1)^((K546-J546)*12)-1,0)</f>
        <v>0</v>
      </c>
      <c r="Z546" s="257">
        <f t="shared" si="123"/>
        <v>0</v>
      </c>
      <c r="AA546" s="257">
        <f t="shared" si="124"/>
        <v>0</v>
      </c>
      <c r="AB546" s="269">
        <f t="shared" si="125"/>
        <v>0</v>
      </c>
      <c r="AC546" s="269">
        <f t="shared" si="126"/>
        <v>0</v>
      </c>
      <c r="AD546" s="271" t="str">
        <f>INDEX('Global inputs'!$C$134:$C$171,MATCH(F546,'Global inputs'!$B$134:$B$171,0))</f>
        <v>Asset relocations and undergrounding</v>
      </c>
      <c r="AE546" s="272">
        <f>IF(OR(H546='Operating leases'!$B$32,H546='Operating leases'!$B$33),"",INDEX('Global inputs'!$C$186:$C$243,MATCH(E546,'Global inputs'!$B$186:$B$243,0)))</f>
        <v>0.1</v>
      </c>
    </row>
    <row r="547" spans="1:31" s="27" customFormat="1" x14ac:dyDescent="0.2">
      <c r="A547" s="250"/>
      <c r="B547" s="210" t="s">
        <v>714</v>
      </c>
      <c r="C547" s="210" t="s">
        <v>284</v>
      </c>
      <c r="D547" s="210" t="s">
        <v>715</v>
      </c>
      <c r="E547" s="210" t="s">
        <v>129</v>
      </c>
      <c r="F547" s="210" t="s">
        <v>92</v>
      </c>
      <c r="G547" s="210" t="s">
        <v>717</v>
      </c>
      <c r="H547" s="197">
        <v>0</v>
      </c>
      <c r="I547" s="210" t="s">
        <v>221</v>
      </c>
      <c r="J547" s="210">
        <v>2022</v>
      </c>
      <c r="K547" s="210">
        <v>2022</v>
      </c>
      <c r="L547" s="268" t="str">
        <f t="shared" si="114"/>
        <v>Simple</v>
      </c>
      <c r="M547" s="197">
        <v>1691.5976061609927</v>
      </c>
      <c r="N547" s="197">
        <v>2537.3964092414885</v>
      </c>
      <c r="O547" s="257">
        <f>IF(ISNA(MATCH(H547,'Operating leases'!$B$32:$B$43,0)),0,INDEX('Operating leases'!$M$32:$S$43,MATCH(H547,'Operating leases'!$B$32:$B$43,0),MATCH(J547,'Operating leases'!$M$11:$S$11,0)))</f>
        <v>0</v>
      </c>
      <c r="P547" s="257">
        <f t="shared" si="115"/>
        <v>1691.5976061609927</v>
      </c>
      <c r="Q547" s="257">
        <f t="shared" si="116"/>
        <v>4228.9940154024807</v>
      </c>
      <c r="R547" s="258">
        <f>INDEX('Escalators '!$M$124:$S$129,MATCH(I547,'Escalators '!$B$124:$B$129,0),MATCH(J547,'Escalators '!$M$113:$S$113,0))</f>
        <v>1.0272672933956697</v>
      </c>
      <c r="S547" s="257">
        <f t="shared" si="117"/>
        <v>0</v>
      </c>
      <c r="T547" s="257">
        <f t="shared" si="118"/>
        <v>2606.584341593395</v>
      </c>
      <c r="U547" s="269">
        <f t="shared" si="119"/>
        <v>1737.7228943955961</v>
      </c>
      <c r="V547" s="269">
        <f t="shared" si="120"/>
        <v>4344.3072359889911</v>
      </c>
      <c r="W547" s="269">
        <f t="shared" si="121"/>
        <v>1737.7228943955961</v>
      </c>
      <c r="X547" s="257">
        <f t="shared" si="122"/>
        <v>4344.3072359889911</v>
      </c>
      <c r="Y547" s="270">
        <f>IF(L547="Complex",(INDEX('Escalators '!$M$176:$S$176,MATCH('Forecast capex'!J547,'Escalators '!$M$178:$S$178,0))/12+1)^((K547-J547)*12)-1,0)</f>
        <v>0</v>
      </c>
      <c r="Z547" s="257">
        <f t="shared" si="123"/>
        <v>0</v>
      </c>
      <c r="AA547" s="257">
        <f t="shared" si="124"/>
        <v>0</v>
      </c>
      <c r="AB547" s="269">
        <f t="shared" si="125"/>
        <v>0</v>
      </c>
      <c r="AC547" s="269">
        <f t="shared" si="126"/>
        <v>0</v>
      </c>
      <c r="AD547" s="271" t="str">
        <f>INDEX('Global inputs'!$C$134:$C$171,MATCH(F547,'Global inputs'!$B$134:$B$171,0))</f>
        <v>Asset relocations and undergrounding</v>
      </c>
      <c r="AE547" s="272">
        <f>IF(OR(H547='Operating leases'!$B$32,H547='Operating leases'!$B$33),"",INDEX('Global inputs'!$C$186:$C$243,MATCH(E547,'Global inputs'!$B$186:$B$243,0)))</f>
        <v>0.1</v>
      </c>
    </row>
    <row r="548" spans="1:31" s="27" customFormat="1" x14ac:dyDescent="0.2">
      <c r="A548" s="250"/>
      <c r="B548" s="210" t="s">
        <v>714</v>
      </c>
      <c r="C548" s="210" t="s">
        <v>287</v>
      </c>
      <c r="D548" s="210" t="s">
        <v>715</v>
      </c>
      <c r="E548" s="210" t="s">
        <v>150</v>
      </c>
      <c r="F548" s="210" t="s">
        <v>92</v>
      </c>
      <c r="G548" s="210" t="s">
        <v>717</v>
      </c>
      <c r="H548" s="197">
        <v>0</v>
      </c>
      <c r="I548" s="210" t="s">
        <v>229</v>
      </c>
      <c r="J548" s="210">
        <v>2022</v>
      </c>
      <c r="K548" s="210">
        <v>2022</v>
      </c>
      <c r="L548" s="268" t="str">
        <f t="shared" si="114"/>
        <v>Simple</v>
      </c>
      <c r="M548" s="197">
        <v>11277.317374406619</v>
      </c>
      <c r="N548" s="197">
        <v>16915.976061609927</v>
      </c>
      <c r="O548" s="257">
        <f>IF(ISNA(MATCH(H548,'Operating leases'!$B$32:$B$43,0)),0,INDEX('Operating leases'!$M$32:$S$43,MATCH(H548,'Operating leases'!$B$32:$B$43,0),MATCH(J548,'Operating leases'!$M$11:$S$11,0)))</f>
        <v>0</v>
      </c>
      <c r="P548" s="257">
        <f t="shared" si="115"/>
        <v>11277.317374406619</v>
      </c>
      <c r="Q548" s="257">
        <f t="shared" si="116"/>
        <v>28193.293436016545</v>
      </c>
      <c r="R548" s="258">
        <f>INDEX('Escalators '!$M$124:$S$129,MATCH(I548,'Escalators '!$B$124:$B$129,0),MATCH(J548,'Escalators '!$M$113:$S$113,0))</f>
        <v>1.0379818100112963</v>
      </c>
      <c r="S548" s="257">
        <f t="shared" si="117"/>
        <v>0</v>
      </c>
      <c r="T548" s="257">
        <f t="shared" si="118"/>
        <v>17558.47545053763</v>
      </c>
      <c r="U548" s="269">
        <f t="shared" si="119"/>
        <v>11705.650300358422</v>
      </c>
      <c r="V548" s="269">
        <f t="shared" si="120"/>
        <v>29264.125750896052</v>
      </c>
      <c r="W548" s="269">
        <f t="shared" si="121"/>
        <v>11705.650300358422</v>
      </c>
      <c r="X548" s="257">
        <f t="shared" si="122"/>
        <v>29264.125750896052</v>
      </c>
      <c r="Y548" s="270">
        <f>IF(L548="Complex",(INDEX('Escalators '!$M$176:$S$176,MATCH('Forecast capex'!J548,'Escalators '!$M$178:$S$178,0))/12+1)^((K548-J548)*12)-1,0)</f>
        <v>0</v>
      </c>
      <c r="Z548" s="257">
        <f t="shared" si="123"/>
        <v>0</v>
      </c>
      <c r="AA548" s="257">
        <f t="shared" si="124"/>
        <v>0</v>
      </c>
      <c r="AB548" s="269">
        <f t="shared" si="125"/>
        <v>0</v>
      </c>
      <c r="AC548" s="269">
        <f t="shared" si="126"/>
        <v>0</v>
      </c>
      <c r="AD548" s="271" t="str">
        <f>INDEX('Global inputs'!$C$134:$C$171,MATCH(F548,'Global inputs'!$B$134:$B$171,0))</f>
        <v>Asset relocations and undergrounding</v>
      </c>
      <c r="AE548" s="272">
        <f>IF(OR(H548='Operating leases'!$B$32,H548='Operating leases'!$B$33),"",INDEX('Global inputs'!$C$186:$C$243,MATCH(E548,'Global inputs'!$B$186:$B$243,0)))</f>
        <v>0.08</v>
      </c>
    </row>
    <row r="549" spans="1:31" s="27" customFormat="1" x14ac:dyDescent="0.2">
      <c r="A549" s="250"/>
      <c r="B549" s="210" t="s">
        <v>714</v>
      </c>
      <c r="C549" s="210" t="s">
        <v>287</v>
      </c>
      <c r="D549" s="210" t="s">
        <v>715</v>
      </c>
      <c r="E549" s="210" t="s">
        <v>150</v>
      </c>
      <c r="F549" s="210" t="s">
        <v>92</v>
      </c>
      <c r="G549" s="210" t="s">
        <v>717</v>
      </c>
      <c r="H549" s="197">
        <v>0</v>
      </c>
      <c r="I549" s="210" t="s">
        <v>221</v>
      </c>
      <c r="J549" s="210">
        <v>2022</v>
      </c>
      <c r="K549" s="210">
        <v>2022</v>
      </c>
      <c r="L549" s="268" t="str">
        <f t="shared" si="114"/>
        <v>Simple</v>
      </c>
      <c r="M549" s="197">
        <v>11277.317374406619</v>
      </c>
      <c r="N549" s="197">
        <v>16915.976061609927</v>
      </c>
      <c r="O549" s="257">
        <f>IF(ISNA(MATCH(H549,'Operating leases'!$B$32:$B$43,0)),0,INDEX('Operating leases'!$M$32:$S$43,MATCH(H549,'Operating leases'!$B$32:$B$43,0),MATCH(J549,'Operating leases'!$M$11:$S$11,0)))</f>
        <v>0</v>
      </c>
      <c r="P549" s="257">
        <f t="shared" si="115"/>
        <v>11277.317374406619</v>
      </c>
      <c r="Q549" s="257">
        <f t="shared" si="116"/>
        <v>28193.293436016545</v>
      </c>
      <c r="R549" s="258">
        <f>INDEX('Escalators '!$M$124:$S$129,MATCH(I549,'Escalators '!$B$124:$B$129,0),MATCH(J549,'Escalators '!$M$113:$S$113,0))</f>
        <v>1.0272672933956697</v>
      </c>
      <c r="S549" s="257">
        <f t="shared" si="117"/>
        <v>0</v>
      </c>
      <c r="T549" s="257">
        <f t="shared" si="118"/>
        <v>17377.228943955968</v>
      </c>
      <c r="U549" s="269">
        <f t="shared" si="119"/>
        <v>11584.81929597065</v>
      </c>
      <c r="V549" s="269">
        <f t="shared" si="120"/>
        <v>28962.048239926618</v>
      </c>
      <c r="W549" s="269">
        <f t="shared" si="121"/>
        <v>11584.81929597065</v>
      </c>
      <c r="X549" s="257">
        <f t="shared" si="122"/>
        <v>28962.048239926618</v>
      </c>
      <c r="Y549" s="270">
        <f>IF(L549="Complex",(INDEX('Escalators '!$M$176:$S$176,MATCH('Forecast capex'!J549,'Escalators '!$M$178:$S$178,0))/12+1)^((K549-J549)*12)-1,0)</f>
        <v>0</v>
      </c>
      <c r="Z549" s="257">
        <f t="shared" si="123"/>
        <v>0</v>
      </c>
      <c r="AA549" s="257">
        <f t="shared" si="124"/>
        <v>0</v>
      </c>
      <c r="AB549" s="269">
        <f t="shared" si="125"/>
        <v>0</v>
      </c>
      <c r="AC549" s="269">
        <f t="shared" si="126"/>
        <v>0</v>
      </c>
      <c r="AD549" s="271" t="str">
        <f>INDEX('Global inputs'!$C$134:$C$171,MATCH(F549,'Global inputs'!$B$134:$B$171,0))</f>
        <v>Asset relocations and undergrounding</v>
      </c>
      <c r="AE549" s="272">
        <f>IF(OR(H549='Operating leases'!$B$32,H549='Operating leases'!$B$33),"",INDEX('Global inputs'!$C$186:$C$243,MATCH(E549,'Global inputs'!$B$186:$B$243,0)))</f>
        <v>0.08</v>
      </c>
    </row>
    <row r="550" spans="1:31" s="29" customFormat="1" x14ac:dyDescent="0.2">
      <c r="A550" s="267"/>
      <c r="B550" s="210" t="s">
        <v>714</v>
      </c>
      <c r="C550" s="210" t="s">
        <v>287</v>
      </c>
      <c r="D550" s="210" t="s">
        <v>715</v>
      </c>
      <c r="E550" s="210" t="s">
        <v>151</v>
      </c>
      <c r="F550" s="210" t="s">
        <v>92</v>
      </c>
      <c r="G550" s="210" t="s">
        <v>717</v>
      </c>
      <c r="H550" s="197">
        <v>0</v>
      </c>
      <c r="I550" s="210" t="s">
        <v>229</v>
      </c>
      <c r="J550" s="210">
        <v>2022</v>
      </c>
      <c r="K550" s="210">
        <v>2022</v>
      </c>
      <c r="L550" s="268" t="str">
        <f t="shared" si="114"/>
        <v>Simple</v>
      </c>
      <c r="M550" s="197">
        <v>11277.317374406619</v>
      </c>
      <c r="N550" s="197">
        <v>16915.976061609927</v>
      </c>
      <c r="O550" s="257">
        <f>IF(ISNA(MATCH(H550,'Operating leases'!$B$32:$B$43,0)),0,INDEX('Operating leases'!$M$32:$S$43,MATCH(H550,'Operating leases'!$B$32:$B$43,0),MATCH(J550,'Operating leases'!$M$11:$S$11,0)))</f>
        <v>0</v>
      </c>
      <c r="P550" s="257">
        <f t="shared" si="115"/>
        <v>11277.317374406619</v>
      </c>
      <c r="Q550" s="257">
        <f t="shared" si="116"/>
        <v>28193.293436016545</v>
      </c>
      <c r="R550" s="258">
        <f>INDEX('Escalators '!$M$124:$S$129,MATCH(I550,'Escalators '!$B$124:$B$129,0),MATCH(J550,'Escalators '!$M$113:$S$113,0))</f>
        <v>1.0379818100112963</v>
      </c>
      <c r="S550" s="257">
        <f t="shared" si="117"/>
        <v>0</v>
      </c>
      <c r="T550" s="257">
        <f t="shared" si="118"/>
        <v>17558.47545053763</v>
      </c>
      <c r="U550" s="269">
        <f t="shared" si="119"/>
        <v>11705.650300358422</v>
      </c>
      <c r="V550" s="269">
        <f t="shared" si="120"/>
        <v>29264.125750896052</v>
      </c>
      <c r="W550" s="269">
        <f t="shared" si="121"/>
        <v>11705.650300358422</v>
      </c>
      <c r="X550" s="257">
        <f t="shared" si="122"/>
        <v>29264.125750896052</v>
      </c>
      <c r="Y550" s="270">
        <f>IF(L550="Complex",(INDEX('Escalators '!$M$176:$S$176,MATCH('Forecast capex'!J550,'Escalators '!$M$178:$S$178,0))/12+1)^((K550-J550)*12)-1,0)</f>
        <v>0</v>
      </c>
      <c r="Z550" s="257">
        <f t="shared" si="123"/>
        <v>0</v>
      </c>
      <c r="AA550" s="257">
        <f t="shared" si="124"/>
        <v>0</v>
      </c>
      <c r="AB550" s="269">
        <f t="shared" si="125"/>
        <v>0</v>
      </c>
      <c r="AC550" s="269">
        <f t="shared" si="126"/>
        <v>0</v>
      </c>
      <c r="AD550" s="271" t="str">
        <f>INDEX('Global inputs'!$C$134:$C$171,MATCH(F550,'Global inputs'!$B$134:$B$171,0))</f>
        <v>Asset relocations and undergrounding</v>
      </c>
      <c r="AE550" s="272">
        <f>IF(OR(H550='Operating leases'!$B$32,H550='Operating leases'!$B$33),"",INDEX('Global inputs'!$C$186:$C$243,MATCH(E550,'Global inputs'!$B$186:$B$243,0)))</f>
        <v>0.1</v>
      </c>
    </row>
    <row r="551" spans="1:31" s="27" customFormat="1" x14ac:dyDescent="0.2">
      <c r="A551" s="250"/>
      <c r="B551" s="210" t="s">
        <v>714</v>
      </c>
      <c r="C551" s="210" t="s">
        <v>287</v>
      </c>
      <c r="D551" s="210" t="s">
        <v>715</v>
      </c>
      <c r="E551" s="210" t="s">
        <v>151</v>
      </c>
      <c r="F551" s="210" t="s">
        <v>92</v>
      </c>
      <c r="G551" s="210" t="s">
        <v>717</v>
      </c>
      <c r="H551" s="197">
        <v>0</v>
      </c>
      <c r="I551" s="210" t="s">
        <v>221</v>
      </c>
      <c r="J551" s="210">
        <v>2022</v>
      </c>
      <c r="K551" s="210">
        <v>2022</v>
      </c>
      <c r="L551" s="268" t="str">
        <f t="shared" si="114"/>
        <v>Simple</v>
      </c>
      <c r="M551" s="197">
        <v>11277.317374406619</v>
      </c>
      <c r="N551" s="197">
        <v>16915.976061609927</v>
      </c>
      <c r="O551" s="257">
        <f>IF(ISNA(MATCH(H551,'Operating leases'!$B$32:$B$43,0)),0,INDEX('Operating leases'!$M$32:$S$43,MATCH(H551,'Operating leases'!$B$32:$B$43,0),MATCH(J551,'Operating leases'!$M$11:$S$11,0)))</f>
        <v>0</v>
      </c>
      <c r="P551" s="257">
        <f t="shared" si="115"/>
        <v>11277.317374406619</v>
      </c>
      <c r="Q551" s="257">
        <f t="shared" si="116"/>
        <v>28193.293436016545</v>
      </c>
      <c r="R551" s="258">
        <f>INDEX('Escalators '!$M$124:$S$129,MATCH(I551,'Escalators '!$B$124:$B$129,0),MATCH(J551,'Escalators '!$M$113:$S$113,0))</f>
        <v>1.0272672933956697</v>
      </c>
      <c r="S551" s="257">
        <f t="shared" si="117"/>
        <v>0</v>
      </c>
      <c r="T551" s="257">
        <f t="shared" si="118"/>
        <v>17377.228943955968</v>
      </c>
      <c r="U551" s="269">
        <f t="shared" si="119"/>
        <v>11584.81929597065</v>
      </c>
      <c r="V551" s="269">
        <f t="shared" si="120"/>
        <v>28962.048239926618</v>
      </c>
      <c r="W551" s="269">
        <f t="shared" si="121"/>
        <v>11584.81929597065</v>
      </c>
      <c r="X551" s="257">
        <f t="shared" si="122"/>
        <v>28962.048239926618</v>
      </c>
      <c r="Y551" s="270">
        <f>IF(L551="Complex",(INDEX('Escalators '!$M$176:$S$176,MATCH('Forecast capex'!J551,'Escalators '!$M$178:$S$178,0))/12+1)^((K551-J551)*12)-1,0)</f>
        <v>0</v>
      </c>
      <c r="Z551" s="257">
        <f t="shared" si="123"/>
        <v>0</v>
      </c>
      <c r="AA551" s="257">
        <f t="shared" si="124"/>
        <v>0</v>
      </c>
      <c r="AB551" s="269">
        <f t="shared" si="125"/>
        <v>0</v>
      </c>
      <c r="AC551" s="269">
        <f t="shared" si="126"/>
        <v>0</v>
      </c>
      <c r="AD551" s="271" t="str">
        <f>INDEX('Global inputs'!$C$134:$C$171,MATCH(F551,'Global inputs'!$B$134:$B$171,0))</f>
        <v>Asset relocations and undergrounding</v>
      </c>
      <c r="AE551" s="272">
        <f>IF(OR(H551='Operating leases'!$B$32,H551='Operating leases'!$B$33),"",INDEX('Global inputs'!$C$186:$C$243,MATCH(E551,'Global inputs'!$B$186:$B$243,0)))</f>
        <v>0.1</v>
      </c>
    </row>
    <row r="552" spans="1:31" s="27" customFormat="1" x14ac:dyDescent="0.2">
      <c r="A552" s="250"/>
      <c r="B552" s="210" t="s">
        <v>714</v>
      </c>
      <c r="C552" s="210" t="s">
        <v>287</v>
      </c>
      <c r="D552" s="210" t="s">
        <v>715</v>
      </c>
      <c r="E552" s="210" t="s">
        <v>153</v>
      </c>
      <c r="F552" s="210" t="s">
        <v>92</v>
      </c>
      <c r="G552" s="210" t="s">
        <v>717</v>
      </c>
      <c r="H552" s="197">
        <v>0</v>
      </c>
      <c r="I552" s="210" t="s">
        <v>229</v>
      </c>
      <c r="J552" s="210">
        <v>2022</v>
      </c>
      <c r="K552" s="210">
        <v>2022</v>
      </c>
      <c r="L552" s="268" t="str">
        <f t="shared" si="114"/>
        <v>Simple</v>
      </c>
      <c r="M552" s="197">
        <v>4510.9269497626474</v>
      </c>
      <c r="N552" s="197">
        <v>6766.3904246439706</v>
      </c>
      <c r="O552" s="257">
        <f>IF(ISNA(MATCH(H552,'Operating leases'!$B$32:$B$43,0)),0,INDEX('Operating leases'!$M$32:$S$43,MATCH(H552,'Operating leases'!$B$32:$B$43,0),MATCH(J552,'Operating leases'!$M$11:$S$11,0)))</f>
        <v>0</v>
      </c>
      <c r="P552" s="257">
        <f t="shared" si="115"/>
        <v>4510.9269497626474</v>
      </c>
      <c r="Q552" s="257">
        <f t="shared" si="116"/>
        <v>11277.317374406619</v>
      </c>
      <c r="R552" s="258">
        <f>INDEX('Escalators '!$M$124:$S$129,MATCH(I552,'Escalators '!$B$124:$B$129,0),MATCH(J552,'Escalators '!$M$113:$S$113,0))</f>
        <v>1.0379818100112963</v>
      </c>
      <c r="S552" s="257">
        <f t="shared" si="117"/>
        <v>0</v>
      </c>
      <c r="T552" s="257">
        <f t="shared" si="118"/>
        <v>7023.3901802150522</v>
      </c>
      <c r="U552" s="269">
        <f t="shared" si="119"/>
        <v>4682.2601201433699</v>
      </c>
      <c r="V552" s="269">
        <f t="shared" si="120"/>
        <v>11705.650300358422</v>
      </c>
      <c r="W552" s="269">
        <f t="shared" si="121"/>
        <v>4682.2601201433699</v>
      </c>
      <c r="X552" s="257">
        <f t="shared" si="122"/>
        <v>11705.650300358422</v>
      </c>
      <c r="Y552" s="270">
        <f>IF(L552="Complex",(INDEX('Escalators '!$M$176:$S$176,MATCH('Forecast capex'!J552,'Escalators '!$M$178:$S$178,0))/12+1)^((K552-J552)*12)-1,0)</f>
        <v>0</v>
      </c>
      <c r="Z552" s="257">
        <f t="shared" si="123"/>
        <v>0</v>
      </c>
      <c r="AA552" s="257">
        <f t="shared" si="124"/>
        <v>0</v>
      </c>
      <c r="AB552" s="269">
        <f t="shared" si="125"/>
        <v>0</v>
      </c>
      <c r="AC552" s="269">
        <f t="shared" si="126"/>
        <v>0</v>
      </c>
      <c r="AD552" s="271" t="str">
        <f>INDEX('Global inputs'!$C$134:$C$171,MATCH(F552,'Global inputs'!$B$134:$B$171,0))</f>
        <v>Asset relocations and undergrounding</v>
      </c>
      <c r="AE552" s="272">
        <f>IF(OR(H552='Operating leases'!$B$32,H552='Operating leases'!$B$33),"",INDEX('Global inputs'!$C$186:$C$243,MATCH(E552,'Global inputs'!$B$186:$B$243,0)))</f>
        <v>0.08</v>
      </c>
    </row>
    <row r="553" spans="1:31" s="27" customFormat="1" x14ac:dyDescent="0.2">
      <c r="A553" s="250"/>
      <c r="B553" s="210" t="s">
        <v>714</v>
      </c>
      <c r="C553" s="210" t="s">
        <v>287</v>
      </c>
      <c r="D553" s="210" t="s">
        <v>715</v>
      </c>
      <c r="E553" s="210" t="s">
        <v>153</v>
      </c>
      <c r="F553" s="210" t="s">
        <v>92</v>
      </c>
      <c r="G553" s="210" t="s">
        <v>717</v>
      </c>
      <c r="H553" s="197">
        <v>0</v>
      </c>
      <c r="I553" s="210" t="s">
        <v>221</v>
      </c>
      <c r="J553" s="210">
        <v>2022</v>
      </c>
      <c r="K553" s="210">
        <v>2022</v>
      </c>
      <c r="L553" s="268" t="str">
        <f t="shared" si="114"/>
        <v>Simple</v>
      </c>
      <c r="M553" s="197">
        <v>4510.9269497626474</v>
      </c>
      <c r="N553" s="197">
        <v>6766.3904246439706</v>
      </c>
      <c r="O553" s="257">
        <f>IF(ISNA(MATCH(H553,'Operating leases'!$B$32:$B$43,0)),0,INDEX('Operating leases'!$M$32:$S$43,MATCH(H553,'Operating leases'!$B$32:$B$43,0),MATCH(J553,'Operating leases'!$M$11:$S$11,0)))</f>
        <v>0</v>
      </c>
      <c r="P553" s="257">
        <f t="shared" si="115"/>
        <v>4510.9269497626474</v>
      </c>
      <c r="Q553" s="257">
        <f t="shared" si="116"/>
        <v>11277.317374406619</v>
      </c>
      <c r="R553" s="258">
        <f>INDEX('Escalators '!$M$124:$S$129,MATCH(I553,'Escalators '!$B$124:$B$129,0),MATCH(J553,'Escalators '!$M$113:$S$113,0))</f>
        <v>1.0272672933956697</v>
      </c>
      <c r="S553" s="257">
        <f t="shared" si="117"/>
        <v>0</v>
      </c>
      <c r="T553" s="257">
        <f t="shared" si="118"/>
        <v>6950.891577582388</v>
      </c>
      <c r="U553" s="269">
        <f t="shared" si="119"/>
        <v>4633.9277183882605</v>
      </c>
      <c r="V553" s="269">
        <f t="shared" si="120"/>
        <v>11584.819295970648</v>
      </c>
      <c r="W553" s="269">
        <f t="shared" si="121"/>
        <v>4633.9277183882605</v>
      </c>
      <c r="X553" s="257">
        <f t="shared" si="122"/>
        <v>11584.819295970648</v>
      </c>
      <c r="Y553" s="270">
        <f>IF(L553="Complex",(INDEX('Escalators '!$M$176:$S$176,MATCH('Forecast capex'!J553,'Escalators '!$M$178:$S$178,0))/12+1)^((K553-J553)*12)-1,0)</f>
        <v>0</v>
      </c>
      <c r="Z553" s="257">
        <f t="shared" si="123"/>
        <v>0</v>
      </c>
      <c r="AA553" s="257">
        <f t="shared" si="124"/>
        <v>0</v>
      </c>
      <c r="AB553" s="269">
        <f t="shared" si="125"/>
        <v>0</v>
      </c>
      <c r="AC553" s="269">
        <f t="shared" si="126"/>
        <v>0</v>
      </c>
      <c r="AD553" s="271" t="str">
        <f>INDEX('Global inputs'!$C$134:$C$171,MATCH(F553,'Global inputs'!$B$134:$B$171,0))</f>
        <v>Asset relocations and undergrounding</v>
      </c>
      <c r="AE553" s="272">
        <f>IF(OR(H553='Operating leases'!$B$32,H553='Operating leases'!$B$33),"",INDEX('Global inputs'!$C$186:$C$243,MATCH(E553,'Global inputs'!$B$186:$B$243,0)))</f>
        <v>0.08</v>
      </c>
    </row>
    <row r="554" spans="1:31" s="27" customFormat="1" x14ac:dyDescent="0.2">
      <c r="A554" s="250"/>
      <c r="B554" s="210" t="s">
        <v>714</v>
      </c>
      <c r="C554" s="210" t="s">
        <v>287</v>
      </c>
      <c r="D554" s="210" t="s">
        <v>715</v>
      </c>
      <c r="E554" s="210" t="s">
        <v>154</v>
      </c>
      <c r="F554" s="210" t="s">
        <v>92</v>
      </c>
      <c r="G554" s="210" t="s">
        <v>717</v>
      </c>
      <c r="H554" s="197">
        <v>0</v>
      </c>
      <c r="I554" s="210" t="s">
        <v>229</v>
      </c>
      <c r="J554" s="210">
        <v>2022</v>
      </c>
      <c r="K554" s="210">
        <v>2022</v>
      </c>
      <c r="L554" s="268" t="str">
        <f t="shared" si="114"/>
        <v>Simple</v>
      </c>
      <c r="M554" s="197">
        <v>4510.9269497626474</v>
      </c>
      <c r="N554" s="197">
        <v>6766.3904246439706</v>
      </c>
      <c r="O554" s="257">
        <f>IF(ISNA(MATCH(H554,'Operating leases'!$B$32:$B$43,0)),0,INDEX('Operating leases'!$M$32:$S$43,MATCH(H554,'Operating leases'!$B$32:$B$43,0),MATCH(J554,'Operating leases'!$M$11:$S$11,0)))</f>
        <v>0</v>
      </c>
      <c r="P554" s="257">
        <f t="shared" si="115"/>
        <v>4510.9269497626474</v>
      </c>
      <c r="Q554" s="257">
        <f t="shared" si="116"/>
        <v>11277.317374406619</v>
      </c>
      <c r="R554" s="258">
        <f>INDEX('Escalators '!$M$124:$S$129,MATCH(I554,'Escalators '!$B$124:$B$129,0),MATCH(J554,'Escalators '!$M$113:$S$113,0))</f>
        <v>1.0379818100112963</v>
      </c>
      <c r="S554" s="257">
        <f t="shared" si="117"/>
        <v>0</v>
      </c>
      <c r="T554" s="257">
        <f t="shared" si="118"/>
        <v>7023.3901802150522</v>
      </c>
      <c r="U554" s="269">
        <f t="shared" si="119"/>
        <v>4682.2601201433699</v>
      </c>
      <c r="V554" s="269">
        <f t="shared" si="120"/>
        <v>11705.650300358422</v>
      </c>
      <c r="W554" s="269">
        <f t="shared" si="121"/>
        <v>4682.2601201433699</v>
      </c>
      <c r="X554" s="257">
        <f t="shared" si="122"/>
        <v>11705.650300358422</v>
      </c>
      <c r="Y554" s="270">
        <f>IF(L554="Complex",(INDEX('Escalators '!$M$176:$S$176,MATCH('Forecast capex'!J554,'Escalators '!$M$178:$S$178,0))/12+1)^((K554-J554)*12)-1,0)</f>
        <v>0</v>
      </c>
      <c r="Z554" s="257">
        <f t="shared" si="123"/>
        <v>0</v>
      </c>
      <c r="AA554" s="257">
        <f t="shared" si="124"/>
        <v>0</v>
      </c>
      <c r="AB554" s="269">
        <f t="shared" si="125"/>
        <v>0</v>
      </c>
      <c r="AC554" s="269">
        <f t="shared" si="126"/>
        <v>0</v>
      </c>
      <c r="AD554" s="271" t="str">
        <f>INDEX('Global inputs'!$C$134:$C$171,MATCH(F554,'Global inputs'!$B$134:$B$171,0))</f>
        <v>Asset relocations and undergrounding</v>
      </c>
      <c r="AE554" s="272">
        <f>IF(OR(H554='Operating leases'!$B$32,H554='Operating leases'!$B$33),"",INDEX('Global inputs'!$C$186:$C$243,MATCH(E554,'Global inputs'!$B$186:$B$243,0)))</f>
        <v>0.1</v>
      </c>
    </row>
    <row r="555" spans="1:31" s="27" customFormat="1" x14ac:dyDescent="0.2">
      <c r="A555" s="250"/>
      <c r="B555" s="210" t="s">
        <v>714</v>
      </c>
      <c r="C555" s="210" t="s">
        <v>287</v>
      </c>
      <c r="D555" s="210" t="s">
        <v>715</v>
      </c>
      <c r="E555" s="210" t="s">
        <v>154</v>
      </c>
      <c r="F555" s="210" t="s">
        <v>92</v>
      </c>
      <c r="G555" s="210" t="s">
        <v>717</v>
      </c>
      <c r="H555" s="197">
        <v>0</v>
      </c>
      <c r="I555" s="210" t="s">
        <v>221</v>
      </c>
      <c r="J555" s="210">
        <v>2022</v>
      </c>
      <c r="K555" s="210">
        <v>2022</v>
      </c>
      <c r="L555" s="268" t="str">
        <f t="shared" si="114"/>
        <v>Simple</v>
      </c>
      <c r="M555" s="197">
        <v>4510.9269497626474</v>
      </c>
      <c r="N555" s="197">
        <v>6766.3904246439706</v>
      </c>
      <c r="O555" s="257">
        <f>IF(ISNA(MATCH(H555,'Operating leases'!$B$32:$B$43,0)),0,INDEX('Operating leases'!$M$32:$S$43,MATCH(H555,'Operating leases'!$B$32:$B$43,0),MATCH(J555,'Operating leases'!$M$11:$S$11,0)))</f>
        <v>0</v>
      </c>
      <c r="P555" s="257">
        <f t="shared" si="115"/>
        <v>4510.9269497626474</v>
      </c>
      <c r="Q555" s="257">
        <f t="shared" si="116"/>
        <v>11277.317374406619</v>
      </c>
      <c r="R555" s="258">
        <f>INDEX('Escalators '!$M$124:$S$129,MATCH(I555,'Escalators '!$B$124:$B$129,0),MATCH(J555,'Escalators '!$M$113:$S$113,0))</f>
        <v>1.0272672933956697</v>
      </c>
      <c r="S555" s="257">
        <f t="shared" si="117"/>
        <v>0</v>
      </c>
      <c r="T555" s="257">
        <f t="shared" si="118"/>
        <v>6950.891577582388</v>
      </c>
      <c r="U555" s="269">
        <f t="shared" si="119"/>
        <v>4633.9277183882605</v>
      </c>
      <c r="V555" s="269">
        <f t="shared" si="120"/>
        <v>11584.819295970648</v>
      </c>
      <c r="W555" s="269">
        <f t="shared" si="121"/>
        <v>4633.9277183882605</v>
      </c>
      <c r="X555" s="257">
        <f t="shared" si="122"/>
        <v>11584.819295970648</v>
      </c>
      <c r="Y555" s="270">
        <f>IF(L555="Complex",(INDEX('Escalators '!$M$176:$S$176,MATCH('Forecast capex'!J555,'Escalators '!$M$178:$S$178,0))/12+1)^((K555-J555)*12)-1,0)</f>
        <v>0</v>
      </c>
      <c r="Z555" s="257">
        <f t="shared" si="123"/>
        <v>0</v>
      </c>
      <c r="AA555" s="257">
        <f t="shared" si="124"/>
        <v>0</v>
      </c>
      <c r="AB555" s="269">
        <f t="shared" si="125"/>
        <v>0</v>
      </c>
      <c r="AC555" s="269">
        <f t="shared" si="126"/>
        <v>0</v>
      </c>
      <c r="AD555" s="271" t="str">
        <f>INDEX('Global inputs'!$C$134:$C$171,MATCH(F555,'Global inputs'!$B$134:$B$171,0))</f>
        <v>Asset relocations and undergrounding</v>
      </c>
      <c r="AE555" s="272">
        <f>IF(OR(H555='Operating leases'!$B$32,H555='Operating leases'!$B$33),"",INDEX('Global inputs'!$C$186:$C$243,MATCH(E555,'Global inputs'!$B$186:$B$243,0)))</f>
        <v>0.1</v>
      </c>
    </row>
    <row r="556" spans="1:31" s="27" customFormat="1" x14ac:dyDescent="0.2">
      <c r="A556" s="250"/>
      <c r="B556" s="210" t="s">
        <v>714</v>
      </c>
      <c r="C556" s="210" t="s">
        <v>290</v>
      </c>
      <c r="D556" s="210" t="s">
        <v>718</v>
      </c>
      <c r="E556" s="210" t="s">
        <v>173</v>
      </c>
      <c r="F556" s="210" t="s">
        <v>92</v>
      </c>
      <c r="G556" s="210" t="s">
        <v>719</v>
      </c>
      <c r="H556" s="197">
        <v>0</v>
      </c>
      <c r="I556" s="210" t="s">
        <v>142</v>
      </c>
      <c r="J556" s="210">
        <v>2022</v>
      </c>
      <c r="K556" s="210">
        <v>2022</v>
      </c>
      <c r="L556" s="268" t="str">
        <f t="shared" si="114"/>
        <v>Simple</v>
      </c>
      <c r="M556" s="197">
        <v>10826.224679430354</v>
      </c>
      <c r="N556" s="197">
        <v>16239.337019145529</v>
      </c>
      <c r="O556" s="257">
        <f>IF(ISNA(MATCH(H556,'Operating leases'!$B$32:$B$43,0)),0,INDEX('Operating leases'!$M$32:$S$43,MATCH(H556,'Operating leases'!$B$32:$B$43,0),MATCH(J556,'Operating leases'!$M$11:$S$11,0)))</f>
        <v>0</v>
      </c>
      <c r="P556" s="257">
        <f t="shared" si="115"/>
        <v>10826.224679430354</v>
      </c>
      <c r="Q556" s="257">
        <f t="shared" si="116"/>
        <v>27065.561698575882</v>
      </c>
      <c r="R556" s="258">
        <f>INDEX('Escalators '!$M$124:$S$129,MATCH(I556,'Escalators '!$B$124:$B$129,0),MATCH(J556,'Escalators '!$M$113:$S$113,0))</f>
        <v>1.0268090943455099</v>
      </c>
      <c r="S556" s="257">
        <f t="shared" si="117"/>
        <v>0</v>
      </c>
      <c r="T556" s="257">
        <f t="shared" si="118"/>
        <v>16674.698937400331</v>
      </c>
      <c r="U556" s="269">
        <f t="shared" si="119"/>
        <v>11116.46595826689</v>
      </c>
      <c r="V556" s="269">
        <f t="shared" si="120"/>
        <v>27791.164895667222</v>
      </c>
      <c r="W556" s="269">
        <f t="shared" si="121"/>
        <v>11116.46595826689</v>
      </c>
      <c r="X556" s="257">
        <f t="shared" si="122"/>
        <v>27791.164895667222</v>
      </c>
      <c r="Y556" s="270">
        <f>IF(L556="Complex",(INDEX('Escalators '!$M$176:$S$176,MATCH('Forecast capex'!J556,'Escalators '!$M$178:$S$178,0))/12+1)^((K556-J556)*12)-1,0)</f>
        <v>0</v>
      </c>
      <c r="Z556" s="257">
        <f t="shared" si="123"/>
        <v>0</v>
      </c>
      <c r="AA556" s="257">
        <f t="shared" si="124"/>
        <v>0</v>
      </c>
      <c r="AB556" s="269">
        <f t="shared" si="125"/>
        <v>0</v>
      </c>
      <c r="AC556" s="269">
        <f t="shared" si="126"/>
        <v>0</v>
      </c>
      <c r="AD556" s="271" t="str">
        <f>INDEX('Global inputs'!$C$134:$C$171,MATCH(F556,'Global inputs'!$B$134:$B$171,0))</f>
        <v>Asset relocations and undergrounding</v>
      </c>
      <c r="AE556" s="272">
        <f>IF(OR(H556='Operating leases'!$B$32,H556='Operating leases'!$B$33),"",INDEX('Global inputs'!$C$186:$C$243,MATCH(E556,'Global inputs'!$B$186:$B$243,0)))</f>
        <v>0.08</v>
      </c>
    </row>
    <row r="557" spans="1:31" s="27" customFormat="1" x14ac:dyDescent="0.2">
      <c r="A557" s="250"/>
      <c r="B557" s="210" t="s">
        <v>714</v>
      </c>
      <c r="C557" s="210" t="s">
        <v>290</v>
      </c>
      <c r="D557" s="210" t="s">
        <v>718</v>
      </c>
      <c r="E557" s="210" t="s">
        <v>173</v>
      </c>
      <c r="F557" s="210" t="s">
        <v>92</v>
      </c>
      <c r="G557" s="210" t="s">
        <v>719</v>
      </c>
      <c r="H557" s="197">
        <v>0</v>
      </c>
      <c r="I557" s="210" t="s">
        <v>221</v>
      </c>
      <c r="J557" s="210">
        <v>2022</v>
      </c>
      <c r="K557" s="210">
        <v>2022</v>
      </c>
      <c r="L557" s="268" t="str">
        <f t="shared" si="114"/>
        <v>Simple</v>
      </c>
      <c r="M557" s="197">
        <v>2706.5561698575884</v>
      </c>
      <c r="N557" s="197">
        <v>4059.8342547863822</v>
      </c>
      <c r="O557" s="257">
        <f>IF(ISNA(MATCH(H557,'Operating leases'!$B$32:$B$43,0)),0,INDEX('Operating leases'!$M$32:$S$43,MATCH(H557,'Operating leases'!$B$32:$B$43,0),MATCH(J557,'Operating leases'!$M$11:$S$11,0)))</f>
        <v>0</v>
      </c>
      <c r="P557" s="257">
        <f t="shared" si="115"/>
        <v>2706.5561698575884</v>
      </c>
      <c r="Q557" s="257">
        <f t="shared" si="116"/>
        <v>6766.3904246439706</v>
      </c>
      <c r="R557" s="258">
        <f>INDEX('Escalators '!$M$124:$S$129,MATCH(I557,'Escalators '!$B$124:$B$129,0),MATCH(J557,'Escalators '!$M$113:$S$113,0))</f>
        <v>1.0272672933956697</v>
      </c>
      <c r="S557" s="257">
        <f t="shared" si="117"/>
        <v>0</v>
      </c>
      <c r="T557" s="257">
        <f t="shared" si="118"/>
        <v>4170.5349465494328</v>
      </c>
      <c r="U557" s="269">
        <f t="shared" si="119"/>
        <v>2780.3566310329552</v>
      </c>
      <c r="V557" s="269">
        <f t="shared" si="120"/>
        <v>6950.891577582388</v>
      </c>
      <c r="W557" s="269">
        <f t="shared" si="121"/>
        <v>2780.3566310329552</v>
      </c>
      <c r="X557" s="257">
        <f t="shared" si="122"/>
        <v>6950.891577582388</v>
      </c>
      <c r="Y557" s="270">
        <f>IF(L557="Complex",(INDEX('Escalators '!$M$176:$S$176,MATCH('Forecast capex'!J557,'Escalators '!$M$178:$S$178,0))/12+1)^((K557-J557)*12)-1,0)</f>
        <v>0</v>
      </c>
      <c r="Z557" s="257">
        <f t="shared" si="123"/>
        <v>0</v>
      </c>
      <c r="AA557" s="257">
        <f t="shared" si="124"/>
        <v>0</v>
      </c>
      <c r="AB557" s="269">
        <f t="shared" si="125"/>
        <v>0</v>
      </c>
      <c r="AC557" s="269">
        <f t="shared" si="126"/>
        <v>0</v>
      </c>
      <c r="AD557" s="271" t="str">
        <f>INDEX('Global inputs'!$C$134:$C$171,MATCH(F557,'Global inputs'!$B$134:$B$171,0))</f>
        <v>Asset relocations and undergrounding</v>
      </c>
      <c r="AE557" s="272">
        <f>IF(OR(H557='Operating leases'!$B$32,H557='Operating leases'!$B$33),"",INDEX('Global inputs'!$C$186:$C$243,MATCH(E557,'Global inputs'!$B$186:$B$243,0)))</f>
        <v>0.08</v>
      </c>
    </row>
    <row r="558" spans="1:31" s="27" customFormat="1" x14ac:dyDescent="0.2">
      <c r="A558" s="250"/>
      <c r="B558" s="210" t="s">
        <v>714</v>
      </c>
      <c r="C558" s="210" t="s">
        <v>290</v>
      </c>
      <c r="D558" s="210" t="s">
        <v>718</v>
      </c>
      <c r="E558" s="210" t="s">
        <v>169</v>
      </c>
      <c r="F558" s="210" t="s">
        <v>92</v>
      </c>
      <c r="G558" s="210" t="s">
        <v>720</v>
      </c>
      <c r="H558" s="197">
        <v>0</v>
      </c>
      <c r="I558" s="210" t="s">
        <v>229</v>
      </c>
      <c r="J558" s="210">
        <v>2022</v>
      </c>
      <c r="K558" s="210">
        <v>2022</v>
      </c>
      <c r="L558" s="268" t="str">
        <f t="shared" si="114"/>
        <v>Simple</v>
      </c>
      <c r="M558" s="197">
        <v>23005.727443789499</v>
      </c>
      <c r="N558" s="197">
        <v>34508.591165684244</v>
      </c>
      <c r="O558" s="257">
        <f>IF(ISNA(MATCH(H558,'Operating leases'!$B$32:$B$43,0)),0,INDEX('Operating leases'!$M$32:$S$43,MATCH(H558,'Operating leases'!$B$32:$B$43,0),MATCH(J558,'Operating leases'!$M$11:$S$11,0)))</f>
        <v>0</v>
      </c>
      <c r="P558" s="257">
        <f t="shared" si="115"/>
        <v>23005.727443789499</v>
      </c>
      <c r="Q558" s="257">
        <f t="shared" si="116"/>
        <v>57514.318609473747</v>
      </c>
      <c r="R558" s="258">
        <f>INDEX('Escalators '!$M$124:$S$129,MATCH(I558,'Escalators '!$B$124:$B$129,0),MATCH(J558,'Escalators '!$M$113:$S$113,0))</f>
        <v>1.0379818100112963</v>
      </c>
      <c r="S558" s="257">
        <f t="shared" si="117"/>
        <v>0</v>
      </c>
      <c r="T558" s="257">
        <f t="shared" si="118"/>
        <v>35819.289919096758</v>
      </c>
      <c r="U558" s="269">
        <f t="shared" si="119"/>
        <v>23879.526612731184</v>
      </c>
      <c r="V558" s="269">
        <f t="shared" si="120"/>
        <v>59698.816531827943</v>
      </c>
      <c r="W558" s="269">
        <f t="shared" si="121"/>
        <v>23879.526612731184</v>
      </c>
      <c r="X558" s="257">
        <f t="shared" si="122"/>
        <v>59698.816531827943</v>
      </c>
      <c r="Y558" s="270">
        <f>IF(L558="Complex",(INDEX('Escalators '!$M$176:$S$176,MATCH('Forecast capex'!J558,'Escalators '!$M$178:$S$178,0))/12+1)^((K558-J558)*12)-1,0)</f>
        <v>0</v>
      </c>
      <c r="Z558" s="257">
        <f t="shared" si="123"/>
        <v>0</v>
      </c>
      <c r="AA558" s="257">
        <f t="shared" si="124"/>
        <v>0</v>
      </c>
      <c r="AB558" s="269">
        <f t="shared" si="125"/>
        <v>0</v>
      </c>
      <c r="AC558" s="269">
        <f t="shared" si="126"/>
        <v>0</v>
      </c>
      <c r="AD558" s="271" t="str">
        <f>INDEX('Global inputs'!$C$134:$C$171,MATCH(F558,'Global inputs'!$B$134:$B$171,0))</f>
        <v>Asset relocations and undergrounding</v>
      </c>
      <c r="AE558" s="272">
        <f>IF(OR(H558='Operating leases'!$B$32,H558='Operating leases'!$B$33),"",INDEX('Global inputs'!$C$186:$C$243,MATCH(E558,'Global inputs'!$B$186:$B$243,0)))</f>
        <v>0.08</v>
      </c>
    </row>
    <row r="559" spans="1:31" s="27" customFormat="1" x14ac:dyDescent="0.2">
      <c r="A559" s="250"/>
      <c r="B559" s="210" t="s">
        <v>714</v>
      </c>
      <c r="C559" s="210" t="s">
        <v>290</v>
      </c>
      <c r="D559" s="210" t="s">
        <v>718</v>
      </c>
      <c r="E559" s="210" t="s">
        <v>169</v>
      </c>
      <c r="F559" s="210" t="s">
        <v>92</v>
      </c>
      <c r="G559" s="210" t="s">
        <v>720</v>
      </c>
      <c r="H559" s="197">
        <v>0</v>
      </c>
      <c r="I559" s="210" t="s">
        <v>221</v>
      </c>
      <c r="J559" s="210">
        <v>2022</v>
      </c>
      <c r="K559" s="210">
        <v>2022</v>
      </c>
      <c r="L559" s="268" t="str">
        <f t="shared" si="114"/>
        <v>Simple</v>
      </c>
      <c r="M559" s="197">
        <v>15337.151629193</v>
      </c>
      <c r="N559" s="197">
        <v>23005.727443789496</v>
      </c>
      <c r="O559" s="257">
        <f>IF(ISNA(MATCH(H559,'Operating leases'!$B$32:$B$43,0)),0,INDEX('Operating leases'!$M$32:$S$43,MATCH(H559,'Operating leases'!$B$32:$B$43,0),MATCH(J559,'Operating leases'!$M$11:$S$11,0)))</f>
        <v>0</v>
      </c>
      <c r="P559" s="257">
        <f t="shared" si="115"/>
        <v>15337.151629193</v>
      </c>
      <c r="Q559" s="257">
        <f t="shared" si="116"/>
        <v>38342.879072982498</v>
      </c>
      <c r="R559" s="258">
        <f>INDEX('Escalators '!$M$124:$S$129,MATCH(I559,'Escalators '!$B$124:$B$129,0),MATCH(J559,'Escalators '!$M$113:$S$113,0))</f>
        <v>1.0272672933956697</v>
      </c>
      <c r="S559" s="257">
        <f t="shared" si="117"/>
        <v>0</v>
      </c>
      <c r="T559" s="257">
        <f t="shared" si="118"/>
        <v>23633.031363780115</v>
      </c>
      <c r="U559" s="269">
        <f t="shared" si="119"/>
        <v>15755.354242520079</v>
      </c>
      <c r="V559" s="269">
        <f t="shared" si="120"/>
        <v>39388.385606300195</v>
      </c>
      <c r="W559" s="269">
        <f t="shared" si="121"/>
        <v>15755.354242520079</v>
      </c>
      <c r="X559" s="257">
        <f t="shared" si="122"/>
        <v>39388.385606300195</v>
      </c>
      <c r="Y559" s="270">
        <f>IF(L559="Complex",(INDEX('Escalators '!$M$176:$S$176,MATCH('Forecast capex'!J559,'Escalators '!$M$178:$S$178,0))/12+1)^((K559-J559)*12)-1,0)</f>
        <v>0</v>
      </c>
      <c r="Z559" s="257">
        <f t="shared" si="123"/>
        <v>0</v>
      </c>
      <c r="AA559" s="257">
        <f t="shared" si="124"/>
        <v>0</v>
      </c>
      <c r="AB559" s="269">
        <f t="shared" si="125"/>
        <v>0</v>
      </c>
      <c r="AC559" s="269">
        <f t="shared" si="126"/>
        <v>0</v>
      </c>
      <c r="AD559" s="271" t="str">
        <f>INDEX('Global inputs'!$C$134:$C$171,MATCH(F559,'Global inputs'!$B$134:$B$171,0))</f>
        <v>Asset relocations and undergrounding</v>
      </c>
      <c r="AE559" s="272">
        <f>IF(OR(H559='Operating leases'!$B$32,H559='Operating leases'!$B$33),"",INDEX('Global inputs'!$C$186:$C$243,MATCH(E559,'Global inputs'!$B$186:$B$243,0)))</f>
        <v>0.08</v>
      </c>
    </row>
    <row r="560" spans="1:31" s="27" customFormat="1" x14ac:dyDescent="0.2">
      <c r="A560" s="250"/>
      <c r="B560" s="210" t="s">
        <v>714</v>
      </c>
      <c r="C560" s="210" t="s">
        <v>290</v>
      </c>
      <c r="D560" s="210" t="s">
        <v>718</v>
      </c>
      <c r="E560" s="210" t="s">
        <v>170</v>
      </c>
      <c r="F560" s="210" t="s">
        <v>92</v>
      </c>
      <c r="G560" s="210" t="s">
        <v>721</v>
      </c>
      <c r="H560" s="197">
        <v>0</v>
      </c>
      <c r="I560" s="210" t="s">
        <v>229</v>
      </c>
      <c r="J560" s="210">
        <v>2022</v>
      </c>
      <c r="K560" s="210">
        <v>2022</v>
      </c>
      <c r="L560" s="268" t="str">
        <f t="shared" si="114"/>
        <v>Simple</v>
      </c>
      <c r="M560" s="197">
        <v>20299.171273931912</v>
      </c>
      <c r="N560" s="197">
        <v>30448.756910897868</v>
      </c>
      <c r="O560" s="257">
        <f>IF(ISNA(MATCH(H560,'Operating leases'!$B$32:$B$43,0)),0,INDEX('Operating leases'!$M$32:$S$43,MATCH(H560,'Operating leases'!$B$32:$B$43,0),MATCH(J560,'Operating leases'!$M$11:$S$11,0)))</f>
        <v>0</v>
      </c>
      <c r="P560" s="257">
        <f t="shared" si="115"/>
        <v>20299.171273931912</v>
      </c>
      <c r="Q560" s="257">
        <f t="shared" si="116"/>
        <v>50747.928184829783</v>
      </c>
      <c r="R560" s="258">
        <f>INDEX('Escalators '!$M$124:$S$129,MATCH(I560,'Escalators '!$B$124:$B$129,0),MATCH(J560,'Escalators '!$M$113:$S$113,0))</f>
        <v>1.0379818100112963</v>
      </c>
      <c r="S560" s="257">
        <f t="shared" si="117"/>
        <v>0</v>
      </c>
      <c r="T560" s="257">
        <f t="shared" si="118"/>
        <v>31605.255810967737</v>
      </c>
      <c r="U560" s="269">
        <f t="shared" si="119"/>
        <v>21070.170540645162</v>
      </c>
      <c r="V560" s="269">
        <f t="shared" si="120"/>
        <v>52675.426351612899</v>
      </c>
      <c r="W560" s="269">
        <f t="shared" si="121"/>
        <v>21070.170540645162</v>
      </c>
      <c r="X560" s="257">
        <f t="shared" si="122"/>
        <v>52675.426351612899</v>
      </c>
      <c r="Y560" s="270">
        <f>IF(L560="Complex",(INDEX('Escalators '!$M$176:$S$176,MATCH('Forecast capex'!J560,'Escalators '!$M$178:$S$178,0))/12+1)^((K560-J560)*12)-1,0)</f>
        <v>0</v>
      </c>
      <c r="Z560" s="257">
        <f t="shared" si="123"/>
        <v>0</v>
      </c>
      <c r="AA560" s="257">
        <f t="shared" si="124"/>
        <v>0</v>
      </c>
      <c r="AB560" s="269">
        <f t="shared" si="125"/>
        <v>0</v>
      </c>
      <c r="AC560" s="269">
        <f t="shared" si="126"/>
        <v>0</v>
      </c>
      <c r="AD560" s="271" t="str">
        <f>INDEX('Global inputs'!$C$134:$C$171,MATCH(F560,'Global inputs'!$B$134:$B$171,0))</f>
        <v>Asset relocations and undergrounding</v>
      </c>
      <c r="AE560" s="272">
        <f>IF(OR(H560='Operating leases'!$B$32,H560='Operating leases'!$B$33),"",INDEX('Global inputs'!$C$186:$C$243,MATCH(E560,'Global inputs'!$B$186:$B$243,0)))</f>
        <v>0.08</v>
      </c>
    </row>
    <row r="561" spans="1:31" s="27" customFormat="1" x14ac:dyDescent="0.2">
      <c r="A561" s="250"/>
      <c r="B561" s="210" t="s">
        <v>714</v>
      </c>
      <c r="C561" s="210" t="s">
        <v>290</v>
      </c>
      <c r="D561" s="210" t="s">
        <v>718</v>
      </c>
      <c r="E561" s="210" t="s">
        <v>170</v>
      </c>
      <c r="F561" s="210" t="s">
        <v>92</v>
      </c>
      <c r="G561" s="210" t="s">
        <v>721</v>
      </c>
      <c r="H561" s="197">
        <v>0</v>
      </c>
      <c r="I561" s="210" t="s">
        <v>221</v>
      </c>
      <c r="J561" s="210">
        <v>2022</v>
      </c>
      <c r="K561" s="210">
        <v>2022</v>
      </c>
      <c r="L561" s="268" t="str">
        <f t="shared" si="114"/>
        <v>Simple</v>
      </c>
      <c r="M561" s="197">
        <v>20299.171273931912</v>
      </c>
      <c r="N561" s="197">
        <v>30448.756910897868</v>
      </c>
      <c r="O561" s="257">
        <f>IF(ISNA(MATCH(H561,'Operating leases'!$B$32:$B$43,0)),0,INDEX('Operating leases'!$M$32:$S$43,MATCH(H561,'Operating leases'!$B$32:$B$43,0),MATCH(J561,'Operating leases'!$M$11:$S$11,0)))</f>
        <v>0</v>
      </c>
      <c r="P561" s="257">
        <f t="shared" si="115"/>
        <v>20299.171273931912</v>
      </c>
      <c r="Q561" s="257">
        <f t="shared" si="116"/>
        <v>50747.928184829783</v>
      </c>
      <c r="R561" s="258">
        <f>INDEX('Escalators '!$M$124:$S$129,MATCH(I561,'Escalators '!$B$124:$B$129,0),MATCH(J561,'Escalators '!$M$113:$S$113,0))</f>
        <v>1.0272672933956697</v>
      </c>
      <c r="S561" s="257">
        <f t="shared" si="117"/>
        <v>0</v>
      </c>
      <c r="T561" s="257">
        <f t="shared" si="118"/>
        <v>31279.012099120744</v>
      </c>
      <c r="U561" s="269">
        <f t="shared" si="119"/>
        <v>20852.674732747168</v>
      </c>
      <c r="V561" s="269">
        <f t="shared" si="120"/>
        <v>52131.686831867912</v>
      </c>
      <c r="W561" s="269">
        <f t="shared" si="121"/>
        <v>20852.674732747168</v>
      </c>
      <c r="X561" s="257">
        <f t="shared" si="122"/>
        <v>52131.686831867912</v>
      </c>
      <c r="Y561" s="270">
        <f>IF(L561="Complex",(INDEX('Escalators '!$M$176:$S$176,MATCH('Forecast capex'!J561,'Escalators '!$M$178:$S$178,0))/12+1)^((K561-J561)*12)-1,0)</f>
        <v>0</v>
      </c>
      <c r="Z561" s="257">
        <f t="shared" si="123"/>
        <v>0</v>
      </c>
      <c r="AA561" s="257">
        <f t="shared" si="124"/>
        <v>0</v>
      </c>
      <c r="AB561" s="269">
        <f t="shared" si="125"/>
        <v>0</v>
      </c>
      <c r="AC561" s="269">
        <f t="shared" si="126"/>
        <v>0</v>
      </c>
      <c r="AD561" s="271" t="str">
        <f>INDEX('Global inputs'!$C$134:$C$171,MATCH(F561,'Global inputs'!$B$134:$B$171,0))</f>
        <v>Asset relocations and undergrounding</v>
      </c>
      <c r="AE561" s="272">
        <f>IF(OR(H561='Operating leases'!$B$32,H561='Operating leases'!$B$33),"",INDEX('Global inputs'!$C$186:$C$243,MATCH(E561,'Global inputs'!$B$186:$B$243,0)))</f>
        <v>0.08</v>
      </c>
    </row>
    <row r="562" spans="1:31" s="27" customFormat="1" x14ac:dyDescent="0.2">
      <c r="A562" s="250"/>
      <c r="B562" s="210" t="s">
        <v>714</v>
      </c>
      <c r="C562" s="210" t="s">
        <v>288</v>
      </c>
      <c r="D562" s="210" t="s">
        <v>718</v>
      </c>
      <c r="E562" s="210" t="s">
        <v>160</v>
      </c>
      <c r="F562" s="210" t="s">
        <v>92</v>
      </c>
      <c r="G562" s="210" t="s">
        <v>722</v>
      </c>
      <c r="H562" s="197">
        <v>0</v>
      </c>
      <c r="I562" s="210" t="s">
        <v>229</v>
      </c>
      <c r="J562" s="210">
        <v>2022</v>
      </c>
      <c r="K562" s="210">
        <v>2022</v>
      </c>
      <c r="L562" s="268" t="str">
        <f t="shared" si="114"/>
        <v>Simple</v>
      </c>
      <c r="M562" s="197">
        <v>12405.049111847278</v>
      </c>
      <c r="N562" s="197">
        <v>18607.573667770914</v>
      </c>
      <c r="O562" s="257">
        <f>IF(ISNA(MATCH(H562,'Operating leases'!$B$32:$B$43,0)),0,INDEX('Operating leases'!$M$32:$S$43,MATCH(H562,'Operating leases'!$B$32:$B$43,0),MATCH(J562,'Operating leases'!$M$11:$S$11,0)))</f>
        <v>0</v>
      </c>
      <c r="P562" s="257">
        <f t="shared" si="115"/>
        <v>12405.049111847278</v>
      </c>
      <c r="Q562" s="257">
        <f t="shared" si="116"/>
        <v>31012.622779618192</v>
      </c>
      <c r="R562" s="258">
        <f>INDEX('Escalators '!$M$124:$S$129,MATCH(I562,'Escalators '!$B$124:$B$129,0),MATCH(J562,'Escalators '!$M$113:$S$113,0))</f>
        <v>1.0379818100112963</v>
      </c>
      <c r="S562" s="257">
        <f t="shared" si="117"/>
        <v>0</v>
      </c>
      <c r="T562" s="257">
        <f t="shared" si="118"/>
        <v>19314.322995591388</v>
      </c>
      <c r="U562" s="269">
        <f t="shared" si="119"/>
        <v>12876.215330394261</v>
      </c>
      <c r="V562" s="269">
        <f t="shared" si="120"/>
        <v>32190.53832598565</v>
      </c>
      <c r="W562" s="269">
        <f t="shared" si="121"/>
        <v>12876.215330394261</v>
      </c>
      <c r="X562" s="257">
        <f t="shared" si="122"/>
        <v>32190.53832598565</v>
      </c>
      <c r="Y562" s="270">
        <f>IF(L562="Complex",(INDEX('Escalators '!$M$176:$S$176,MATCH('Forecast capex'!J562,'Escalators '!$M$178:$S$178,0))/12+1)^((K562-J562)*12)-1,0)</f>
        <v>0</v>
      </c>
      <c r="Z562" s="257">
        <f t="shared" si="123"/>
        <v>0</v>
      </c>
      <c r="AA562" s="257">
        <f t="shared" si="124"/>
        <v>0</v>
      </c>
      <c r="AB562" s="269">
        <f t="shared" si="125"/>
        <v>0</v>
      </c>
      <c r="AC562" s="269">
        <f t="shared" si="126"/>
        <v>0</v>
      </c>
      <c r="AD562" s="271" t="str">
        <f>INDEX('Global inputs'!$C$134:$C$171,MATCH(F562,'Global inputs'!$B$134:$B$171,0))</f>
        <v>Asset relocations and undergrounding</v>
      </c>
      <c r="AE562" s="272">
        <f>IF(OR(H562='Operating leases'!$B$32,H562='Operating leases'!$B$33),"",INDEX('Global inputs'!$C$186:$C$243,MATCH(E562,'Global inputs'!$B$186:$B$243,0)))</f>
        <v>0.08</v>
      </c>
    </row>
    <row r="563" spans="1:31" s="27" customFormat="1" x14ac:dyDescent="0.2">
      <c r="A563" s="250"/>
      <c r="B563" s="210" t="s">
        <v>714</v>
      </c>
      <c r="C563" s="210" t="s">
        <v>288</v>
      </c>
      <c r="D563" s="210" t="s">
        <v>718</v>
      </c>
      <c r="E563" s="210" t="s">
        <v>160</v>
      </c>
      <c r="F563" s="210" t="s">
        <v>92</v>
      </c>
      <c r="G563" s="210" t="s">
        <v>722</v>
      </c>
      <c r="H563" s="197">
        <v>0</v>
      </c>
      <c r="I563" s="210" t="s">
        <v>221</v>
      </c>
      <c r="J563" s="210">
        <v>2022</v>
      </c>
      <c r="K563" s="210">
        <v>2022</v>
      </c>
      <c r="L563" s="268" t="str">
        <f t="shared" si="114"/>
        <v>Simple</v>
      </c>
      <c r="M563" s="197">
        <v>12405.049111847278</v>
      </c>
      <c r="N563" s="197">
        <v>18607.573667770914</v>
      </c>
      <c r="O563" s="257">
        <f>IF(ISNA(MATCH(H563,'Operating leases'!$B$32:$B$43,0)),0,INDEX('Operating leases'!$M$32:$S$43,MATCH(H563,'Operating leases'!$B$32:$B$43,0),MATCH(J563,'Operating leases'!$M$11:$S$11,0)))</f>
        <v>0</v>
      </c>
      <c r="P563" s="257">
        <f t="shared" si="115"/>
        <v>12405.049111847278</v>
      </c>
      <c r="Q563" s="257">
        <f t="shared" si="116"/>
        <v>31012.622779618192</v>
      </c>
      <c r="R563" s="258">
        <f>INDEX('Escalators '!$M$124:$S$129,MATCH(I563,'Escalators '!$B$124:$B$129,0),MATCH(J563,'Escalators '!$M$113:$S$113,0))</f>
        <v>1.0272672933956697</v>
      </c>
      <c r="S563" s="257">
        <f t="shared" si="117"/>
        <v>0</v>
      </c>
      <c r="T563" s="257">
        <f t="shared" si="118"/>
        <v>19114.951838351561</v>
      </c>
      <c r="U563" s="269">
        <f t="shared" si="119"/>
        <v>12743.301225567709</v>
      </c>
      <c r="V563" s="269">
        <f t="shared" si="120"/>
        <v>31858.25306391927</v>
      </c>
      <c r="W563" s="269">
        <f t="shared" si="121"/>
        <v>12743.301225567709</v>
      </c>
      <c r="X563" s="257">
        <f t="shared" si="122"/>
        <v>31858.25306391927</v>
      </c>
      <c r="Y563" s="270">
        <f>IF(L563="Complex",(INDEX('Escalators '!$M$176:$S$176,MATCH('Forecast capex'!J563,'Escalators '!$M$178:$S$178,0))/12+1)^((K563-J563)*12)-1,0)</f>
        <v>0</v>
      </c>
      <c r="Z563" s="257">
        <f t="shared" si="123"/>
        <v>0</v>
      </c>
      <c r="AA563" s="257">
        <f t="shared" si="124"/>
        <v>0</v>
      </c>
      <c r="AB563" s="269">
        <f t="shared" si="125"/>
        <v>0</v>
      </c>
      <c r="AC563" s="269">
        <f t="shared" si="126"/>
        <v>0</v>
      </c>
      <c r="AD563" s="271" t="str">
        <f>INDEX('Global inputs'!$C$134:$C$171,MATCH(F563,'Global inputs'!$B$134:$B$171,0))</f>
        <v>Asset relocations and undergrounding</v>
      </c>
      <c r="AE563" s="272">
        <f>IF(OR(H563='Operating leases'!$B$32,H563='Operating leases'!$B$33),"",INDEX('Global inputs'!$C$186:$C$243,MATCH(E563,'Global inputs'!$B$186:$B$243,0)))</f>
        <v>0.08</v>
      </c>
    </row>
    <row r="564" spans="1:31" s="27" customFormat="1" x14ac:dyDescent="0.2">
      <c r="A564" s="250"/>
      <c r="B564" s="210" t="s">
        <v>714</v>
      </c>
      <c r="C564" s="210" t="s">
        <v>289</v>
      </c>
      <c r="D564" s="210" t="s">
        <v>723</v>
      </c>
      <c r="E564" s="210" t="s">
        <v>164</v>
      </c>
      <c r="F564" s="210" t="s">
        <v>92</v>
      </c>
      <c r="G564" s="210" t="s">
        <v>724</v>
      </c>
      <c r="H564" s="197">
        <v>0</v>
      </c>
      <c r="I564" s="210" t="s">
        <v>139</v>
      </c>
      <c r="J564" s="210">
        <v>2022</v>
      </c>
      <c r="K564" s="210">
        <v>2022</v>
      </c>
      <c r="L564" s="268" t="str">
        <f t="shared" si="114"/>
        <v>Simple</v>
      </c>
      <c r="M564" s="197">
        <v>14434.966239240472</v>
      </c>
      <c r="N564" s="197">
        <v>21652.449358860704</v>
      </c>
      <c r="O564" s="257">
        <f>IF(ISNA(MATCH(H564,'Operating leases'!$B$32:$B$43,0)),0,INDEX('Operating leases'!$M$32:$S$43,MATCH(H564,'Operating leases'!$B$32:$B$43,0),MATCH(J564,'Operating leases'!$M$11:$S$11,0)))</f>
        <v>0</v>
      </c>
      <c r="P564" s="257">
        <f t="shared" si="115"/>
        <v>14434.966239240472</v>
      </c>
      <c r="Q564" s="257">
        <f t="shared" si="116"/>
        <v>36087.415598101172</v>
      </c>
      <c r="R564" s="258">
        <f>INDEX('Escalators '!$M$124:$S$129,MATCH(I564,'Escalators '!$B$124:$B$129,0),MATCH(J564,'Escalators '!$M$113:$S$113,0))</f>
        <v>1.0086968501536033</v>
      </c>
      <c r="S564" s="257">
        <f t="shared" si="117"/>
        <v>0</v>
      </c>
      <c r="T564" s="257">
        <f t="shared" si="118"/>
        <v>21840.757466393199</v>
      </c>
      <c r="U564" s="269">
        <f t="shared" si="119"/>
        <v>14560.504977595465</v>
      </c>
      <c r="V564" s="269">
        <f t="shared" si="120"/>
        <v>36401.262443988664</v>
      </c>
      <c r="W564" s="269">
        <f t="shared" si="121"/>
        <v>14560.504977595465</v>
      </c>
      <c r="X564" s="257">
        <f t="shared" si="122"/>
        <v>36401.262443988664</v>
      </c>
      <c r="Y564" s="270">
        <f>IF(L564="Complex",(INDEX('Escalators '!$M$176:$S$176,MATCH('Forecast capex'!J564,'Escalators '!$M$178:$S$178,0))/12+1)^((K564-J564)*12)-1,0)</f>
        <v>0</v>
      </c>
      <c r="Z564" s="257">
        <f t="shared" si="123"/>
        <v>0</v>
      </c>
      <c r="AA564" s="257">
        <f t="shared" si="124"/>
        <v>0</v>
      </c>
      <c r="AB564" s="269">
        <f t="shared" si="125"/>
        <v>0</v>
      </c>
      <c r="AC564" s="269">
        <f t="shared" si="126"/>
        <v>0</v>
      </c>
      <c r="AD564" s="271" t="str">
        <f>INDEX('Global inputs'!$C$134:$C$171,MATCH(F564,'Global inputs'!$B$134:$B$171,0))</f>
        <v>Asset relocations and undergrounding</v>
      </c>
      <c r="AE564" s="272">
        <f>IF(OR(H564='Operating leases'!$B$32,H564='Operating leases'!$B$33),"",INDEX('Global inputs'!$C$186:$C$243,MATCH(E564,'Global inputs'!$B$186:$B$243,0)))</f>
        <v>0.08</v>
      </c>
    </row>
    <row r="565" spans="1:31" s="27" customFormat="1" x14ac:dyDescent="0.2">
      <c r="A565" s="250"/>
      <c r="B565" s="210" t="s">
        <v>714</v>
      </c>
      <c r="C565" s="210" t="s">
        <v>289</v>
      </c>
      <c r="D565" s="210" t="s">
        <v>723</v>
      </c>
      <c r="E565" s="210" t="s">
        <v>164</v>
      </c>
      <c r="F565" s="210" t="s">
        <v>92</v>
      </c>
      <c r="G565" s="210" t="s">
        <v>724</v>
      </c>
      <c r="H565" s="197">
        <v>0</v>
      </c>
      <c r="I565" s="210" t="s">
        <v>221</v>
      </c>
      <c r="J565" s="210">
        <v>2022</v>
      </c>
      <c r="K565" s="210">
        <v>2022</v>
      </c>
      <c r="L565" s="268" t="str">
        <f t="shared" si="114"/>
        <v>Simple</v>
      </c>
      <c r="M565" s="197">
        <v>3608.7415598101179</v>
      </c>
      <c r="N565" s="197">
        <v>5413.1123397151759</v>
      </c>
      <c r="O565" s="257">
        <f>IF(ISNA(MATCH(H565,'Operating leases'!$B$32:$B$43,0)),0,INDEX('Operating leases'!$M$32:$S$43,MATCH(H565,'Operating leases'!$B$32:$B$43,0),MATCH(J565,'Operating leases'!$M$11:$S$11,0)))</f>
        <v>0</v>
      </c>
      <c r="P565" s="257">
        <f t="shared" si="115"/>
        <v>3608.7415598101179</v>
      </c>
      <c r="Q565" s="257">
        <f t="shared" si="116"/>
        <v>9021.8538995252929</v>
      </c>
      <c r="R565" s="258">
        <f>INDEX('Escalators '!$M$124:$S$129,MATCH(I565,'Escalators '!$B$124:$B$129,0),MATCH(J565,'Escalators '!$M$113:$S$113,0))</f>
        <v>1.0272672933956697</v>
      </c>
      <c r="S565" s="257">
        <f t="shared" si="117"/>
        <v>0</v>
      </c>
      <c r="T565" s="257">
        <f t="shared" si="118"/>
        <v>5560.7132620659095</v>
      </c>
      <c r="U565" s="269">
        <f t="shared" si="119"/>
        <v>3707.142174710606</v>
      </c>
      <c r="V565" s="269">
        <f t="shared" si="120"/>
        <v>9267.8554367765155</v>
      </c>
      <c r="W565" s="269">
        <f t="shared" si="121"/>
        <v>3707.142174710606</v>
      </c>
      <c r="X565" s="257">
        <f t="shared" si="122"/>
        <v>9267.8554367765155</v>
      </c>
      <c r="Y565" s="270">
        <f>IF(L565="Complex",(INDEX('Escalators '!$M$176:$S$176,MATCH('Forecast capex'!J565,'Escalators '!$M$178:$S$178,0))/12+1)^((K565-J565)*12)-1,0)</f>
        <v>0</v>
      </c>
      <c r="Z565" s="257">
        <f t="shared" si="123"/>
        <v>0</v>
      </c>
      <c r="AA565" s="257">
        <f t="shared" si="124"/>
        <v>0</v>
      </c>
      <c r="AB565" s="269">
        <f t="shared" si="125"/>
        <v>0</v>
      </c>
      <c r="AC565" s="269">
        <f t="shared" si="126"/>
        <v>0</v>
      </c>
      <c r="AD565" s="271" t="str">
        <f>INDEX('Global inputs'!$C$134:$C$171,MATCH(F565,'Global inputs'!$B$134:$B$171,0))</f>
        <v>Asset relocations and undergrounding</v>
      </c>
      <c r="AE565" s="272">
        <f>IF(OR(H565='Operating leases'!$B$32,H565='Operating leases'!$B$33),"",INDEX('Global inputs'!$C$186:$C$243,MATCH(E565,'Global inputs'!$B$186:$B$243,0)))</f>
        <v>0.08</v>
      </c>
    </row>
    <row r="566" spans="1:31" s="27" customFormat="1" x14ac:dyDescent="0.2">
      <c r="A566" s="250"/>
      <c r="B566" s="210" t="s">
        <v>714</v>
      </c>
      <c r="C566" s="210" t="s">
        <v>289</v>
      </c>
      <c r="D566" s="210" t="s">
        <v>723</v>
      </c>
      <c r="E566" s="210" t="s">
        <v>163</v>
      </c>
      <c r="F566" s="210" t="s">
        <v>92</v>
      </c>
      <c r="G566" s="210" t="s">
        <v>725</v>
      </c>
      <c r="H566" s="197">
        <v>0</v>
      </c>
      <c r="I566" s="210" t="s">
        <v>139</v>
      </c>
      <c r="J566" s="210">
        <v>2022</v>
      </c>
      <c r="K566" s="210">
        <v>2022</v>
      </c>
      <c r="L566" s="268" t="str">
        <f t="shared" si="114"/>
        <v>Simple</v>
      </c>
      <c r="M566" s="197">
        <v>16239.337019145529</v>
      </c>
      <c r="N566" s="197">
        <v>24359.005528718291</v>
      </c>
      <c r="O566" s="257">
        <f>IF(ISNA(MATCH(H566,'Operating leases'!$B$32:$B$43,0)),0,INDEX('Operating leases'!$M$32:$S$43,MATCH(H566,'Operating leases'!$B$32:$B$43,0),MATCH(J566,'Operating leases'!$M$11:$S$11,0)))</f>
        <v>0</v>
      </c>
      <c r="P566" s="257">
        <f t="shared" si="115"/>
        <v>16239.337019145529</v>
      </c>
      <c r="Q566" s="257">
        <f t="shared" si="116"/>
        <v>40598.342547863824</v>
      </c>
      <c r="R566" s="258">
        <f>INDEX('Escalators '!$M$124:$S$129,MATCH(I566,'Escalators '!$B$124:$B$129,0),MATCH(J566,'Escalators '!$M$113:$S$113,0))</f>
        <v>1.0086968501536033</v>
      </c>
      <c r="S566" s="257">
        <f t="shared" si="117"/>
        <v>0</v>
      </c>
      <c r="T566" s="257">
        <f t="shared" si="118"/>
        <v>24570.852149692349</v>
      </c>
      <c r="U566" s="269">
        <f t="shared" si="119"/>
        <v>16380.568099794902</v>
      </c>
      <c r="V566" s="269">
        <f t="shared" si="120"/>
        <v>40951.420249487252</v>
      </c>
      <c r="W566" s="269">
        <f t="shared" si="121"/>
        <v>16380.568099794902</v>
      </c>
      <c r="X566" s="257">
        <f t="shared" si="122"/>
        <v>40951.420249487252</v>
      </c>
      <c r="Y566" s="270">
        <f>IF(L566="Complex",(INDEX('Escalators '!$M$176:$S$176,MATCH('Forecast capex'!J566,'Escalators '!$M$178:$S$178,0))/12+1)^((K566-J566)*12)-1,0)</f>
        <v>0</v>
      </c>
      <c r="Z566" s="257">
        <f t="shared" si="123"/>
        <v>0</v>
      </c>
      <c r="AA566" s="257">
        <f t="shared" si="124"/>
        <v>0</v>
      </c>
      <c r="AB566" s="269">
        <f t="shared" si="125"/>
        <v>0</v>
      </c>
      <c r="AC566" s="269">
        <f t="shared" si="126"/>
        <v>0</v>
      </c>
      <c r="AD566" s="271" t="str">
        <f>INDEX('Global inputs'!$C$134:$C$171,MATCH(F566,'Global inputs'!$B$134:$B$171,0))</f>
        <v>Asset relocations and undergrounding</v>
      </c>
      <c r="AE566" s="272">
        <f>IF(OR(H566='Operating leases'!$B$32,H566='Operating leases'!$B$33),"",INDEX('Global inputs'!$C$186:$C$243,MATCH(E566,'Global inputs'!$B$186:$B$243,0)))</f>
        <v>0.08</v>
      </c>
    </row>
    <row r="567" spans="1:31" s="27" customFormat="1" x14ac:dyDescent="0.2">
      <c r="A567" s="250"/>
      <c r="B567" s="210" t="s">
        <v>714</v>
      </c>
      <c r="C567" s="210" t="s">
        <v>289</v>
      </c>
      <c r="D567" s="210" t="s">
        <v>723</v>
      </c>
      <c r="E567" s="210" t="s">
        <v>163</v>
      </c>
      <c r="F567" s="210" t="s">
        <v>92</v>
      </c>
      <c r="G567" s="210" t="s">
        <v>725</v>
      </c>
      <c r="H567" s="197">
        <v>0</v>
      </c>
      <c r="I567" s="210" t="s">
        <v>221</v>
      </c>
      <c r="J567" s="210">
        <v>2022</v>
      </c>
      <c r="K567" s="210">
        <v>2022</v>
      </c>
      <c r="L567" s="268" t="str">
        <f t="shared" si="114"/>
        <v>Simple</v>
      </c>
      <c r="M567" s="197">
        <v>4059.8342547863822</v>
      </c>
      <c r="N567" s="197">
        <v>6089.7513821795728</v>
      </c>
      <c r="O567" s="257">
        <f>IF(ISNA(MATCH(H567,'Operating leases'!$B$32:$B$43,0)),0,INDEX('Operating leases'!$M$32:$S$43,MATCH(H567,'Operating leases'!$B$32:$B$43,0),MATCH(J567,'Operating leases'!$M$11:$S$11,0)))</f>
        <v>0</v>
      </c>
      <c r="P567" s="257">
        <f t="shared" si="115"/>
        <v>4059.8342547863822</v>
      </c>
      <c r="Q567" s="257">
        <f t="shared" si="116"/>
        <v>10149.585636965956</v>
      </c>
      <c r="R567" s="258">
        <f>INDEX('Escalators '!$M$124:$S$129,MATCH(I567,'Escalators '!$B$124:$B$129,0),MATCH(J567,'Escalators '!$M$113:$S$113,0))</f>
        <v>1.0272672933956697</v>
      </c>
      <c r="S567" s="257">
        <f t="shared" si="117"/>
        <v>0</v>
      </c>
      <c r="T567" s="257">
        <f t="shared" si="118"/>
        <v>6255.8024198241483</v>
      </c>
      <c r="U567" s="269">
        <f t="shared" si="119"/>
        <v>4170.5349465494337</v>
      </c>
      <c r="V567" s="269">
        <f t="shared" si="120"/>
        <v>10426.337366373582</v>
      </c>
      <c r="W567" s="269">
        <f t="shared" si="121"/>
        <v>4170.5349465494337</v>
      </c>
      <c r="X567" s="257">
        <f t="shared" si="122"/>
        <v>10426.337366373582</v>
      </c>
      <c r="Y567" s="270">
        <f>IF(L567="Complex",(INDEX('Escalators '!$M$176:$S$176,MATCH('Forecast capex'!J567,'Escalators '!$M$178:$S$178,0))/12+1)^((K567-J567)*12)-1,0)</f>
        <v>0</v>
      </c>
      <c r="Z567" s="257">
        <f t="shared" si="123"/>
        <v>0</v>
      </c>
      <c r="AA567" s="257">
        <f t="shared" si="124"/>
        <v>0</v>
      </c>
      <c r="AB567" s="269">
        <f t="shared" si="125"/>
        <v>0</v>
      </c>
      <c r="AC567" s="269">
        <f t="shared" si="126"/>
        <v>0</v>
      </c>
      <c r="AD567" s="271" t="str">
        <f>INDEX('Global inputs'!$C$134:$C$171,MATCH(F567,'Global inputs'!$B$134:$B$171,0))</f>
        <v>Asset relocations and undergrounding</v>
      </c>
      <c r="AE567" s="272">
        <f>IF(OR(H567='Operating leases'!$B$32,H567='Operating leases'!$B$33),"",INDEX('Global inputs'!$C$186:$C$243,MATCH(E567,'Global inputs'!$B$186:$B$243,0)))</f>
        <v>0.08</v>
      </c>
    </row>
    <row r="568" spans="1:31" s="27" customFormat="1" x14ac:dyDescent="0.2">
      <c r="A568" s="250"/>
      <c r="B568" s="210" t="s">
        <v>714</v>
      </c>
      <c r="C568" s="210" t="s">
        <v>285</v>
      </c>
      <c r="D568" s="210" t="s">
        <v>223</v>
      </c>
      <c r="E568" s="210" t="s">
        <v>134</v>
      </c>
      <c r="F568" s="210" t="s">
        <v>92</v>
      </c>
      <c r="G568" s="210" t="s">
        <v>726</v>
      </c>
      <c r="H568" s="197">
        <v>0</v>
      </c>
      <c r="I568" s="210" t="s">
        <v>223</v>
      </c>
      <c r="J568" s="210">
        <v>2022</v>
      </c>
      <c r="K568" s="210">
        <v>2022</v>
      </c>
      <c r="L568" s="268" t="str">
        <f t="shared" si="114"/>
        <v>Simple</v>
      </c>
      <c r="M568" s="197">
        <v>5413.1123397151769</v>
      </c>
      <c r="N568" s="197">
        <v>8119.6685095727644</v>
      </c>
      <c r="O568" s="257">
        <f>IF(ISNA(MATCH(H568,'Operating leases'!$B$32:$B$43,0)),0,INDEX('Operating leases'!$M$32:$S$43,MATCH(H568,'Operating leases'!$B$32:$B$43,0),MATCH(J568,'Operating leases'!$M$11:$S$11,0)))</f>
        <v>0</v>
      </c>
      <c r="P568" s="257">
        <f t="shared" si="115"/>
        <v>5413.1123397151769</v>
      </c>
      <c r="Q568" s="257">
        <f t="shared" si="116"/>
        <v>13532.780849287941</v>
      </c>
      <c r="R568" s="258">
        <f>INDEX('Escalators '!$M$124:$S$129,MATCH(I568,'Escalators '!$B$124:$B$129,0),MATCH(J568,'Escalators '!$M$113:$S$113,0))</f>
        <v>1.0395572483145099</v>
      </c>
      <c r="S568" s="257">
        <f t="shared" si="117"/>
        <v>0</v>
      </c>
      <c r="T568" s="257">
        <f t="shared" si="118"/>
        <v>8440.860253037441</v>
      </c>
      <c r="U568" s="269">
        <f t="shared" si="119"/>
        <v>5627.2401686916273</v>
      </c>
      <c r="V568" s="269">
        <f t="shared" si="120"/>
        <v>14068.100421729068</v>
      </c>
      <c r="W568" s="269">
        <f t="shared" si="121"/>
        <v>5627.2401686916273</v>
      </c>
      <c r="X568" s="257">
        <f t="shared" si="122"/>
        <v>14068.100421729068</v>
      </c>
      <c r="Y568" s="270">
        <f>IF(L568="Complex",(INDEX('Escalators '!$M$176:$S$176,MATCH('Forecast capex'!J568,'Escalators '!$M$178:$S$178,0))/12+1)^((K568-J568)*12)-1,0)</f>
        <v>0</v>
      </c>
      <c r="Z568" s="257">
        <f t="shared" si="123"/>
        <v>0</v>
      </c>
      <c r="AA568" s="257">
        <f t="shared" si="124"/>
        <v>0</v>
      </c>
      <c r="AB568" s="269">
        <f t="shared" si="125"/>
        <v>0</v>
      </c>
      <c r="AC568" s="269">
        <f t="shared" si="126"/>
        <v>0</v>
      </c>
      <c r="AD568" s="271" t="str">
        <f>INDEX('Global inputs'!$C$134:$C$171,MATCH(F568,'Global inputs'!$B$134:$B$171,0))</f>
        <v>Asset relocations and undergrounding</v>
      </c>
      <c r="AE568" s="272">
        <f>IF(OR(H568='Operating leases'!$B$32,H568='Operating leases'!$B$33),"",INDEX('Global inputs'!$C$186:$C$243,MATCH(E568,'Global inputs'!$B$186:$B$243,0)))</f>
        <v>0.08</v>
      </c>
    </row>
    <row r="569" spans="1:31" s="27" customFormat="1" x14ac:dyDescent="0.2">
      <c r="A569" s="250"/>
      <c r="B569" s="210" t="s">
        <v>714</v>
      </c>
      <c r="C569" s="210" t="s">
        <v>285</v>
      </c>
      <c r="D569" s="210" t="s">
        <v>223</v>
      </c>
      <c r="E569" s="210" t="s">
        <v>134</v>
      </c>
      <c r="F569" s="210" t="s">
        <v>92</v>
      </c>
      <c r="G569" s="210" t="s">
        <v>726</v>
      </c>
      <c r="H569" s="197">
        <v>0</v>
      </c>
      <c r="I569" s="210" t="s">
        <v>221</v>
      </c>
      <c r="J569" s="210">
        <v>2022</v>
      </c>
      <c r="K569" s="210">
        <v>2022</v>
      </c>
      <c r="L569" s="268" t="str">
        <f t="shared" si="114"/>
        <v>Simple</v>
      </c>
      <c r="M569" s="197">
        <v>12630.595459335413</v>
      </c>
      <c r="N569" s="197">
        <v>18945.893189003116</v>
      </c>
      <c r="O569" s="257">
        <f>IF(ISNA(MATCH(H569,'Operating leases'!$B$32:$B$43,0)),0,INDEX('Operating leases'!$M$32:$S$43,MATCH(H569,'Operating leases'!$B$32:$B$43,0),MATCH(J569,'Operating leases'!$M$11:$S$11,0)))</f>
        <v>0</v>
      </c>
      <c r="P569" s="257">
        <f t="shared" si="115"/>
        <v>12630.595459335413</v>
      </c>
      <c r="Q569" s="257">
        <f t="shared" si="116"/>
        <v>31576.488648338527</v>
      </c>
      <c r="R569" s="258">
        <f>INDEX('Escalators '!$M$124:$S$129,MATCH(I569,'Escalators '!$B$124:$B$129,0),MATCH(J569,'Escalators '!$M$113:$S$113,0))</f>
        <v>1.0272672933956697</v>
      </c>
      <c r="S569" s="257">
        <f t="shared" si="117"/>
        <v>0</v>
      </c>
      <c r="T569" s="257">
        <f t="shared" si="118"/>
        <v>19462.496417230683</v>
      </c>
      <c r="U569" s="269">
        <f t="shared" si="119"/>
        <v>12974.997611487124</v>
      </c>
      <c r="V569" s="269">
        <f t="shared" si="120"/>
        <v>32437.494028717807</v>
      </c>
      <c r="W569" s="269">
        <f t="shared" si="121"/>
        <v>12974.997611487124</v>
      </c>
      <c r="X569" s="257">
        <f t="shared" si="122"/>
        <v>32437.494028717807</v>
      </c>
      <c r="Y569" s="270">
        <f>IF(L569="Complex",(INDEX('Escalators '!$M$176:$S$176,MATCH('Forecast capex'!J569,'Escalators '!$M$178:$S$178,0))/12+1)^((K569-J569)*12)-1,0)</f>
        <v>0</v>
      </c>
      <c r="Z569" s="257">
        <f t="shared" si="123"/>
        <v>0</v>
      </c>
      <c r="AA569" s="257">
        <f t="shared" si="124"/>
        <v>0</v>
      </c>
      <c r="AB569" s="269">
        <f t="shared" si="125"/>
        <v>0</v>
      </c>
      <c r="AC569" s="269">
        <f t="shared" si="126"/>
        <v>0</v>
      </c>
      <c r="AD569" s="271" t="str">
        <f>INDEX('Global inputs'!$C$134:$C$171,MATCH(F569,'Global inputs'!$B$134:$B$171,0))</f>
        <v>Asset relocations and undergrounding</v>
      </c>
      <c r="AE569" s="272">
        <f>IF(OR(H569='Operating leases'!$B$32,H569='Operating leases'!$B$33),"",INDEX('Global inputs'!$C$186:$C$243,MATCH(E569,'Global inputs'!$B$186:$B$243,0)))</f>
        <v>0.08</v>
      </c>
    </row>
    <row r="570" spans="1:31" s="27" customFormat="1" x14ac:dyDescent="0.2">
      <c r="A570" s="250"/>
      <c r="B570" s="210" t="s">
        <v>714</v>
      </c>
      <c r="C570" s="210" t="s">
        <v>288</v>
      </c>
      <c r="D570" s="210" t="s">
        <v>223</v>
      </c>
      <c r="E570" s="210" t="s">
        <v>156</v>
      </c>
      <c r="F570" s="210" t="s">
        <v>92</v>
      </c>
      <c r="G570" s="210" t="s">
        <v>727</v>
      </c>
      <c r="H570" s="197">
        <v>0</v>
      </c>
      <c r="I570" s="210" t="s">
        <v>223</v>
      </c>
      <c r="J570" s="210">
        <v>2022</v>
      </c>
      <c r="K570" s="210">
        <v>2022</v>
      </c>
      <c r="L570" s="268" t="str">
        <f t="shared" si="114"/>
        <v>Simple</v>
      </c>
      <c r="M570" s="197">
        <v>58867.596694402542</v>
      </c>
      <c r="N570" s="197">
        <v>88301.395041603799</v>
      </c>
      <c r="O570" s="257">
        <f>IF(ISNA(MATCH(H570,'Operating leases'!$B$32:$B$43,0)),0,INDEX('Operating leases'!$M$32:$S$43,MATCH(H570,'Operating leases'!$B$32:$B$43,0),MATCH(J570,'Operating leases'!$M$11:$S$11,0)))</f>
        <v>0</v>
      </c>
      <c r="P570" s="257">
        <f t="shared" si="115"/>
        <v>58867.596694402542</v>
      </c>
      <c r="Q570" s="257">
        <f t="shared" si="116"/>
        <v>147168.99173600634</v>
      </c>
      <c r="R570" s="258">
        <f>INDEX('Escalators '!$M$124:$S$129,MATCH(I570,'Escalators '!$B$124:$B$129,0),MATCH(J570,'Escalators '!$M$113:$S$113,0))</f>
        <v>1.0395572483145099</v>
      </c>
      <c r="S570" s="257">
        <f t="shared" si="117"/>
        <v>0</v>
      </c>
      <c r="T570" s="257">
        <f t="shared" si="118"/>
        <v>91794.355251782152</v>
      </c>
      <c r="U570" s="269">
        <f t="shared" si="119"/>
        <v>61196.236834521449</v>
      </c>
      <c r="V570" s="269">
        <f t="shared" si="120"/>
        <v>152990.5920863036</v>
      </c>
      <c r="W570" s="269">
        <f t="shared" si="121"/>
        <v>61196.236834521449</v>
      </c>
      <c r="X570" s="257">
        <f t="shared" si="122"/>
        <v>152990.5920863036</v>
      </c>
      <c r="Y570" s="270">
        <f>IF(L570="Complex",(INDEX('Escalators '!$M$176:$S$176,MATCH('Forecast capex'!J570,'Escalators '!$M$178:$S$178,0))/12+1)^((K570-J570)*12)-1,0)</f>
        <v>0</v>
      </c>
      <c r="Z570" s="257">
        <f t="shared" si="123"/>
        <v>0</v>
      </c>
      <c r="AA570" s="257">
        <f t="shared" si="124"/>
        <v>0</v>
      </c>
      <c r="AB570" s="269">
        <f t="shared" si="125"/>
        <v>0</v>
      </c>
      <c r="AC570" s="269">
        <f t="shared" si="126"/>
        <v>0</v>
      </c>
      <c r="AD570" s="271" t="str">
        <f>INDEX('Global inputs'!$C$134:$C$171,MATCH(F570,'Global inputs'!$B$134:$B$171,0))</f>
        <v>Asset relocations and undergrounding</v>
      </c>
      <c r="AE570" s="272">
        <f>IF(OR(H570='Operating leases'!$B$32,H570='Operating leases'!$B$33),"",INDEX('Global inputs'!$C$186:$C$243,MATCH(E570,'Global inputs'!$B$186:$B$243,0)))</f>
        <v>0.08</v>
      </c>
    </row>
    <row r="571" spans="1:31" s="27" customFormat="1" x14ac:dyDescent="0.2">
      <c r="A571" s="250"/>
      <c r="B571" s="210" t="s">
        <v>714</v>
      </c>
      <c r="C571" s="210" t="s">
        <v>288</v>
      </c>
      <c r="D571" s="210" t="s">
        <v>223</v>
      </c>
      <c r="E571" s="210" t="s">
        <v>156</v>
      </c>
      <c r="F571" s="210" t="s">
        <v>92</v>
      </c>
      <c r="G571" s="210" t="s">
        <v>727</v>
      </c>
      <c r="H571" s="197">
        <v>0</v>
      </c>
      <c r="I571" s="210" t="s">
        <v>221</v>
      </c>
      <c r="J571" s="210">
        <v>2022</v>
      </c>
      <c r="K571" s="210">
        <v>2022</v>
      </c>
      <c r="L571" s="268" t="str">
        <f t="shared" si="114"/>
        <v>Simple</v>
      </c>
      <c r="M571" s="197">
        <v>137357.7256202726</v>
      </c>
      <c r="N571" s="197">
        <v>206036.58843040891</v>
      </c>
      <c r="O571" s="257">
        <f>IF(ISNA(MATCH(H571,'Operating leases'!$B$32:$B$43,0)),0,INDEX('Operating leases'!$M$32:$S$43,MATCH(H571,'Operating leases'!$B$32:$B$43,0),MATCH(J571,'Operating leases'!$M$11:$S$11,0)))</f>
        <v>0</v>
      </c>
      <c r="P571" s="257">
        <f t="shared" si="115"/>
        <v>137357.7256202726</v>
      </c>
      <c r="Q571" s="257">
        <f t="shared" si="116"/>
        <v>343394.31405068154</v>
      </c>
      <c r="R571" s="258">
        <f>INDEX('Escalators '!$M$124:$S$129,MATCH(I571,'Escalators '!$B$124:$B$129,0),MATCH(J571,'Escalators '!$M$113:$S$113,0))</f>
        <v>1.0272672933956697</v>
      </c>
      <c r="S571" s="257">
        <f t="shared" si="117"/>
        <v>0</v>
      </c>
      <c r="T571" s="257">
        <f t="shared" si="118"/>
        <v>211654.64853738371</v>
      </c>
      <c r="U571" s="269">
        <f t="shared" si="119"/>
        <v>141103.09902492253</v>
      </c>
      <c r="V571" s="269">
        <f t="shared" si="120"/>
        <v>352757.74756230623</v>
      </c>
      <c r="W571" s="269">
        <f t="shared" si="121"/>
        <v>141103.09902492253</v>
      </c>
      <c r="X571" s="257">
        <f t="shared" si="122"/>
        <v>352757.74756230623</v>
      </c>
      <c r="Y571" s="270">
        <f>IF(L571="Complex",(INDEX('Escalators '!$M$176:$S$176,MATCH('Forecast capex'!J571,'Escalators '!$M$178:$S$178,0))/12+1)^((K571-J571)*12)-1,0)</f>
        <v>0</v>
      </c>
      <c r="Z571" s="257">
        <f t="shared" si="123"/>
        <v>0</v>
      </c>
      <c r="AA571" s="257">
        <f t="shared" si="124"/>
        <v>0</v>
      </c>
      <c r="AB571" s="269">
        <f t="shared" si="125"/>
        <v>0</v>
      </c>
      <c r="AC571" s="269">
        <f t="shared" si="126"/>
        <v>0</v>
      </c>
      <c r="AD571" s="271" t="str">
        <f>INDEX('Global inputs'!$C$134:$C$171,MATCH(F571,'Global inputs'!$B$134:$B$171,0))</f>
        <v>Asset relocations and undergrounding</v>
      </c>
      <c r="AE571" s="272">
        <f>IF(OR(H571='Operating leases'!$B$32,H571='Operating leases'!$B$33),"",INDEX('Global inputs'!$C$186:$C$243,MATCH(E571,'Global inputs'!$B$186:$B$243,0)))</f>
        <v>0.08</v>
      </c>
    </row>
    <row r="572" spans="1:31" s="27" customFormat="1" x14ac:dyDescent="0.2">
      <c r="A572" s="250"/>
      <c r="B572" s="210" t="s">
        <v>714</v>
      </c>
      <c r="C572" s="210" t="s">
        <v>288</v>
      </c>
      <c r="D572" s="210" t="s">
        <v>223</v>
      </c>
      <c r="E572" s="210" t="s">
        <v>158</v>
      </c>
      <c r="F572" s="210" t="s">
        <v>92</v>
      </c>
      <c r="G572" s="210" t="s">
        <v>728</v>
      </c>
      <c r="H572" s="197">
        <v>0</v>
      </c>
      <c r="I572" s="210" t="s">
        <v>223</v>
      </c>
      <c r="J572" s="210">
        <v>2022</v>
      </c>
      <c r="K572" s="210">
        <v>2022</v>
      </c>
      <c r="L572" s="268" t="str">
        <f t="shared" si="114"/>
        <v>Simple</v>
      </c>
      <c r="M572" s="197">
        <v>49620.19644738912</v>
      </c>
      <c r="N572" s="197">
        <v>74430.29467108367</v>
      </c>
      <c r="O572" s="257">
        <f>IF(ISNA(MATCH(H572,'Operating leases'!$B$32:$B$43,0)),0,INDEX('Operating leases'!$M$32:$S$43,MATCH(H572,'Operating leases'!$B$32:$B$43,0),MATCH(J572,'Operating leases'!$M$11:$S$11,0)))</f>
        <v>0</v>
      </c>
      <c r="P572" s="257">
        <f t="shared" si="115"/>
        <v>49620.19644738912</v>
      </c>
      <c r="Q572" s="257">
        <f t="shared" si="116"/>
        <v>124050.4911184728</v>
      </c>
      <c r="R572" s="258">
        <f>INDEX('Escalators '!$M$124:$S$129,MATCH(I572,'Escalators '!$B$124:$B$129,0),MATCH(J572,'Escalators '!$M$113:$S$113,0))</f>
        <v>1.0395572483145099</v>
      </c>
      <c r="S572" s="257">
        <f t="shared" si="117"/>
        <v>0</v>
      </c>
      <c r="T572" s="257">
        <f t="shared" si="118"/>
        <v>77374.552319509865</v>
      </c>
      <c r="U572" s="269">
        <f t="shared" si="119"/>
        <v>51583.034879673272</v>
      </c>
      <c r="V572" s="269">
        <f t="shared" si="120"/>
        <v>128957.58719918314</v>
      </c>
      <c r="W572" s="269">
        <f t="shared" si="121"/>
        <v>51583.034879673272</v>
      </c>
      <c r="X572" s="257">
        <f t="shared" si="122"/>
        <v>128957.58719918314</v>
      </c>
      <c r="Y572" s="270">
        <f>IF(L572="Complex",(INDEX('Escalators '!$M$176:$S$176,MATCH('Forecast capex'!J572,'Escalators '!$M$178:$S$178,0))/12+1)^((K572-J572)*12)-1,0)</f>
        <v>0</v>
      </c>
      <c r="Z572" s="257">
        <f t="shared" si="123"/>
        <v>0</v>
      </c>
      <c r="AA572" s="257">
        <f t="shared" si="124"/>
        <v>0</v>
      </c>
      <c r="AB572" s="269">
        <f t="shared" si="125"/>
        <v>0</v>
      </c>
      <c r="AC572" s="269">
        <f t="shared" si="126"/>
        <v>0</v>
      </c>
      <c r="AD572" s="271" t="str">
        <f>INDEX('Global inputs'!$C$134:$C$171,MATCH(F572,'Global inputs'!$B$134:$B$171,0))</f>
        <v>Asset relocations and undergrounding</v>
      </c>
      <c r="AE572" s="272">
        <f>IF(OR(H572='Operating leases'!$B$32,H572='Operating leases'!$B$33),"",INDEX('Global inputs'!$C$186:$C$243,MATCH(E572,'Global inputs'!$B$186:$B$243,0)))</f>
        <v>0.08</v>
      </c>
    </row>
    <row r="573" spans="1:31" s="27" customFormat="1" x14ac:dyDescent="0.2">
      <c r="A573" s="250"/>
      <c r="B573" s="210" t="s">
        <v>714</v>
      </c>
      <c r="C573" s="210" t="s">
        <v>288</v>
      </c>
      <c r="D573" s="210" t="s">
        <v>223</v>
      </c>
      <c r="E573" s="210" t="s">
        <v>158</v>
      </c>
      <c r="F573" s="210" t="s">
        <v>92</v>
      </c>
      <c r="G573" s="210" t="s">
        <v>728</v>
      </c>
      <c r="H573" s="197">
        <v>0</v>
      </c>
      <c r="I573" s="210" t="s">
        <v>221</v>
      </c>
      <c r="J573" s="210">
        <v>2022</v>
      </c>
      <c r="K573" s="210">
        <v>2022</v>
      </c>
      <c r="L573" s="268" t="str">
        <f t="shared" si="114"/>
        <v>Simple</v>
      </c>
      <c r="M573" s="197">
        <v>74430.29467108367</v>
      </c>
      <c r="N573" s="197">
        <v>111645.44200662551</v>
      </c>
      <c r="O573" s="257">
        <f>IF(ISNA(MATCH(H573,'Operating leases'!$B$32:$B$43,0)),0,INDEX('Operating leases'!$M$32:$S$43,MATCH(H573,'Operating leases'!$B$32:$B$43,0),MATCH(J573,'Operating leases'!$M$11:$S$11,0)))</f>
        <v>0</v>
      </c>
      <c r="P573" s="257">
        <f t="shared" si="115"/>
        <v>74430.29467108367</v>
      </c>
      <c r="Q573" s="257">
        <f t="shared" si="116"/>
        <v>186075.73667770918</v>
      </c>
      <c r="R573" s="258">
        <f>INDEX('Escalators '!$M$124:$S$129,MATCH(I573,'Escalators '!$B$124:$B$129,0),MATCH(J573,'Escalators '!$M$113:$S$113,0))</f>
        <v>1.0272672933956697</v>
      </c>
      <c r="S573" s="257">
        <f t="shared" si="117"/>
        <v>0</v>
      </c>
      <c r="T573" s="257">
        <f t="shared" si="118"/>
        <v>114689.71103010939</v>
      </c>
      <c r="U573" s="269">
        <f t="shared" si="119"/>
        <v>76459.807353406257</v>
      </c>
      <c r="V573" s="269">
        <f t="shared" si="120"/>
        <v>191149.51838351565</v>
      </c>
      <c r="W573" s="269">
        <f t="shared" si="121"/>
        <v>76459.807353406257</v>
      </c>
      <c r="X573" s="257">
        <f t="shared" si="122"/>
        <v>191149.51838351565</v>
      </c>
      <c r="Y573" s="270">
        <f>IF(L573="Complex",(INDEX('Escalators '!$M$176:$S$176,MATCH('Forecast capex'!J573,'Escalators '!$M$178:$S$178,0))/12+1)^((K573-J573)*12)-1,0)</f>
        <v>0</v>
      </c>
      <c r="Z573" s="257">
        <f t="shared" si="123"/>
        <v>0</v>
      </c>
      <c r="AA573" s="257">
        <f t="shared" si="124"/>
        <v>0</v>
      </c>
      <c r="AB573" s="269">
        <f t="shared" si="125"/>
        <v>0</v>
      </c>
      <c r="AC573" s="269">
        <f t="shared" si="126"/>
        <v>0</v>
      </c>
      <c r="AD573" s="271" t="str">
        <f>INDEX('Global inputs'!$C$134:$C$171,MATCH(F573,'Global inputs'!$B$134:$B$171,0))</f>
        <v>Asset relocations and undergrounding</v>
      </c>
      <c r="AE573" s="272">
        <f>IF(OR(H573='Operating leases'!$B$32,H573='Operating leases'!$B$33),"",INDEX('Global inputs'!$C$186:$C$243,MATCH(E573,'Global inputs'!$B$186:$B$243,0)))</f>
        <v>0.08</v>
      </c>
    </row>
    <row r="574" spans="1:31" s="27" customFormat="1" x14ac:dyDescent="0.2">
      <c r="A574" s="250"/>
      <c r="B574" s="210" t="s">
        <v>714</v>
      </c>
      <c r="C574" s="210" t="s">
        <v>284</v>
      </c>
      <c r="D574" s="210" t="s">
        <v>729</v>
      </c>
      <c r="E574" s="210" t="s">
        <v>127</v>
      </c>
      <c r="F574" s="210" t="s">
        <v>92</v>
      </c>
      <c r="G574" s="210" t="s">
        <v>730</v>
      </c>
      <c r="H574" s="197">
        <v>0</v>
      </c>
      <c r="I574" s="210" t="s">
        <v>225</v>
      </c>
      <c r="J574" s="210">
        <v>2022</v>
      </c>
      <c r="K574" s="210">
        <v>2022</v>
      </c>
      <c r="L574" s="268" t="str">
        <f t="shared" si="114"/>
        <v>Simple</v>
      </c>
      <c r="M574" s="197">
        <v>1353.2780849287942</v>
      </c>
      <c r="N574" s="197">
        <v>2029.9171273931911</v>
      </c>
      <c r="O574" s="257">
        <f>IF(ISNA(MATCH(H574,'Operating leases'!$B$32:$B$43,0)),0,INDEX('Operating leases'!$M$32:$S$43,MATCH(H574,'Operating leases'!$B$32:$B$43,0),MATCH(J574,'Operating leases'!$M$11:$S$11,0)))</f>
        <v>0</v>
      </c>
      <c r="P574" s="257">
        <f t="shared" si="115"/>
        <v>1353.2780849287942</v>
      </c>
      <c r="Q574" s="257">
        <f t="shared" si="116"/>
        <v>3383.1952123219853</v>
      </c>
      <c r="R574" s="258">
        <f>INDEX('Escalators '!$M$124:$S$129,MATCH(I574,'Escalators '!$B$124:$B$129,0),MATCH(J574,'Escalators '!$M$113:$S$113,0))</f>
        <v>1.0390620061247575</v>
      </c>
      <c r="S574" s="257">
        <f t="shared" si="117"/>
        <v>0</v>
      </c>
      <c r="T574" s="257">
        <f t="shared" si="118"/>
        <v>2109.209762656174</v>
      </c>
      <c r="U574" s="269">
        <f t="shared" si="119"/>
        <v>1406.1398417707828</v>
      </c>
      <c r="V574" s="269">
        <f t="shared" si="120"/>
        <v>3515.3496044269568</v>
      </c>
      <c r="W574" s="269">
        <f t="shared" si="121"/>
        <v>1406.1398417707828</v>
      </c>
      <c r="X574" s="257">
        <f t="shared" si="122"/>
        <v>3515.3496044269568</v>
      </c>
      <c r="Y574" s="270">
        <f>IF(L574="Complex",(INDEX('Escalators '!$M$176:$S$176,MATCH('Forecast capex'!J574,'Escalators '!$M$178:$S$178,0))/12+1)^((K574-J574)*12)-1,0)</f>
        <v>0</v>
      </c>
      <c r="Z574" s="257">
        <f t="shared" si="123"/>
        <v>0</v>
      </c>
      <c r="AA574" s="257">
        <f t="shared" si="124"/>
        <v>0</v>
      </c>
      <c r="AB574" s="269">
        <f t="shared" si="125"/>
        <v>0</v>
      </c>
      <c r="AC574" s="269">
        <f t="shared" si="126"/>
        <v>0</v>
      </c>
      <c r="AD574" s="271" t="str">
        <f>INDEX('Global inputs'!$C$134:$C$171,MATCH(F574,'Global inputs'!$B$134:$B$171,0))</f>
        <v>Asset relocations and undergrounding</v>
      </c>
      <c r="AE574" s="272">
        <f>IF(OR(H574='Operating leases'!$B$32,H574='Operating leases'!$B$33),"",INDEX('Global inputs'!$C$186:$C$243,MATCH(E574,'Global inputs'!$B$186:$B$243,0)))</f>
        <v>0.08</v>
      </c>
    </row>
    <row r="575" spans="1:31" s="27" customFormat="1" x14ac:dyDescent="0.2">
      <c r="A575" s="250"/>
      <c r="B575" s="210" t="s">
        <v>714</v>
      </c>
      <c r="C575" s="210" t="s">
        <v>284</v>
      </c>
      <c r="D575" s="210" t="s">
        <v>729</v>
      </c>
      <c r="E575" s="210" t="s">
        <v>127</v>
      </c>
      <c r="F575" s="210" t="s">
        <v>92</v>
      </c>
      <c r="G575" s="210" t="s">
        <v>730</v>
      </c>
      <c r="H575" s="197">
        <v>0</v>
      </c>
      <c r="I575" s="210" t="s">
        <v>221</v>
      </c>
      <c r="J575" s="210">
        <v>2022</v>
      </c>
      <c r="K575" s="210">
        <v>2022</v>
      </c>
      <c r="L575" s="268" t="str">
        <f t="shared" si="114"/>
        <v>Simple</v>
      </c>
      <c r="M575" s="197">
        <v>5413.1123397151769</v>
      </c>
      <c r="N575" s="197">
        <v>8119.6685095727644</v>
      </c>
      <c r="O575" s="257">
        <f>IF(ISNA(MATCH(H575,'Operating leases'!$B$32:$B$43,0)),0,INDEX('Operating leases'!$M$32:$S$43,MATCH(H575,'Operating leases'!$B$32:$B$43,0),MATCH(J575,'Operating leases'!$M$11:$S$11,0)))</f>
        <v>0</v>
      </c>
      <c r="P575" s="257">
        <f t="shared" si="115"/>
        <v>5413.1123397151769</v>
      </c>
      <c r="Q575" s="257">
        <f t="shared" si="116"/>
        <v>13532.780849287941</v>
      </c>
      <c r="R575" s="258">
        <f>INDEX('Escalators '!$M$124:$S$129,MATCH(I575,'Escalators '!$B$124:$B$129,0),MATCH(J575,'Escalators '!$M$113:$S$113,0))</f>
        <v>1.0272672933956697</v>
      </c>
      <c r="S575" s="257">
        <f t="shared" si="117"/>
        <v>0</v>
      </c>
      <c r="T575" s="257">
        <f t="shared" si="118"/>
        <v>8341.0698930988656</v>
      </c>
      <c r="U575" s="269">
        <f t="shared" si="119"/>
        <v>5560.7132620659104</v>
      </c>
      <c r="V575" s="269">
        <f t="shared" si="120"/>
        <v>13901.783155164776</v>
      </c>
      <c r="W575" s="269">
        <f t="shared" si="121"/>
        <v>5560.7132620659104</v>
      </c>
      <c r="X575" s="257">
        <f t="shared" si="122"/>
        <v>13901.783155164776</v>
      </c>
      <c r="Y575" s="270">
        <f>IF(L575="Complex",(INDEX('Escalators '!$M$176:$S$176,MATCH('Forecast capex'!J575,'Escalators '!$M$178:$S$178,0))/12+1)^((K575-J575)*12)-1,0)</f>
        <v>0</v>
      </c>
      <c r="Z575" s="257">
        <f t="shared" si="123"/>
        <v>0</v>
      </c>
      <c r="AA575" s="257">
        <f t="shared" si="124"/>
        <v>0</v>
      </c>
      <c r="AB575" s="269">
        <f t="shared" si="125"/>
        <v>0</v>
      </c>
      <c r="AC575" s="269">
        <f t="shared" si="126"/>
        <v>0</v>
      </c>
      <c r="AD575" s="271" t="str">
        <f>INDEX('Global inputs'!$C$134:$C$171,MATCH(F575,'Global inputs'!$B$134:$B$171,0))</f>
        <v>Asset relocations and undergrounding</v>
      </c>
      <c r="AE575" s="272">
        <f>IF(OR(H575='Operating leases'!$B$32,H575='Operating leases'!$B$33),"",INDEX('Global inputs'!$C$186:$C$243,MATCH(E575,'Global inputs'!$B$186:$B$243,0)))</f>
        <v>0.08</v>
      </c>
    </row>
    <row r="576" spans="1:31" s="27" customFormat="1" x14ac:dyDescent="0.2">
      <c r="A576" s="250"/>
      <c r="B576" s="210" t="s">
        <v>714</v>
      </c>
      <c r="C576" s="210" t="s">
        <v>284</v>
      </c>
      <c r="D576" s="210" t="s">
        <v>729</v>
      </c>
      <c r="E576" s="210" t="s">
        <v>129</v>
      </c>
      <c r="F576" s="210" t="s">
        <v>92</v>
      </c>
      <c r="G576" s="210" t="s">
        <v>730</v>
      </c>
      <c r="H576" s="197">
        <v>0</v>
      </c>
      <c r="I576" s="210" t="s">
        <v>225</v>
      </c>
      <c r="J576" s="210">
        <v>2022</v>
      </c>
      <c r="K576" s="210">
        <v>2022</v>
      </c>
      <c r="L576" s="268" t="str">
        <f t="shared" si="114"/>
        <v>Simple</v>
      </c>
      <c r="M576" s="197">
        <v>1353.2780849287942</v>
      </c>
      <c r="N576" s="197">
        <v>2029.9171273931911</v>
      </c>
      <c r="O576" s="257">
        <f>IF(ISNA(MATCH(H576,'Operating leases'!$B$32:$B$43,0)),0,INDEX('Operating leases'!$M$32:$S$43,MATCH(H576,'Operating leases'!$B$32:$B$43,0),MATCH(J576,'Operating leases'!$M$11:$S$11,0)))</f>
        <v>0</v>
      </c>
      <c r="P576" s="257">
        <f t="shared" si="115"/>
        <v>1353.2780849287942</v>
      </c>
      <c r="Q576" s="257">
        <f t="shared" si="116"/>
        <v>3383.1952123219853</v>
      </c>
      <c r="R576" s="258">
        <f>INDEX('Escalators '!$M$124:$S$129,MATCH(I576,'Escalators '!$B$124:$B$129,0),MATCH(J576,'Escalators '!$M$113:$S$113,0))</f>
        <v>1.0390620061247575</v>
      </c>
      <c r="S576" s="257">
        <f t="shared" si="117"/>
        <v>0</v>
      </c>
      <c r="T576" s="257">
        <f t="shared" si="118"/>
        <v>2109.209762656174</v>
      </c>
      <c r="U576" s="269">
        <f t="shared" si="119"/>
        <v>1406.1398417707828</v>
      </c>
      <c r="V576" s="269">
        <f t="shared" si="120"/>
        <v>3515.3496044269568</v>
      </c>
      <c r="W576" s="269">
        <f t="shared" si="121"/>
        <v>1406.1398417707828</v>
      </c>
      <c r="X576" s="257">
        <f t="shared" si="122"/>
        <v>3515.3496044269568</v>
      </c>
      <c r="Y576" s="270">
        <f>IF(L576="Complex",(INDEX('Escalators '!$M$176:$S$176,MATCH('Forecast capex'!J576,'Escalators '!$M$178:$S$178,0))/12+1)^((K576-J576)*12)-1,0)</f>
        <v>0</v>
      </c>
      <c r="Z576" s="257">
        <f t="shared" si="123"/>
        <v>0</v>
      </c>
      <c r="AA576" s="257">
        <f t="shared" si="124"/>
        <v>0</v>
      </c>
      <c r="AB576" s="269">
        <f t="shared" si="125"/>
        <v>0</v>
      </c>
      <c r="AC576" s="269">
        <f t="shared" si="126"/>
        <v>0</v>
      </c>
      <c r="AD576" s="271" t="str">
        <f>INDEX('Global inputs'!$C$134:$C$171,MATCH(F576,'Global inputs'!$B$134:$B$171,0))</f>
        <v>Asset relocations and undergrounding</v>
      </c>
      <c r="AE576" s="272">
        <f>IF(OR(H576='Operating leases'!$B$32,H576='Operating leases'!$B$33),"",INDEX('Global inputs'!$C$186:$C$243,MATCH(E576,'Global inputs'!$B$186:$B$243,0)))</f>
        <v>0.1</v>
      </c>
    </row>
    <row r="577" spans="1:31" s="27" customFormat="1" x14ac:dyDescent="0.2">
      <c r="A577" s="250"/>
      <c r="B577" s="210" t="s">
        <v>714</v>
      </c>
      <c r="C577" s="210" t="s">
        <v>284</v>
      </c>
      <c r="D577" s="210" t="s">
        <v>729</v>
      </c>
      <c r="E577" s="210" t="s">
        <v>129</v>
      </c>
      <c r="F577" s="210" t="s">
        <v>92</v>
      </c>
      <c r="G577" s="210" t="s">
        <v>730</v>
      </c>
      <c r="H577" s="197">
        <v>0</v>
      </c>
      <c r="I577" s="210" t="s">
        <v>221</v>
      </c>
      <c r="J577" s="210">
        <v>2022</v>
      </c>
      <c r="K577" s="210">
        <v>2022</v>
      </c>
      <c r="L577" s="268" t="str">
        <f t="shared" si="114"/>
        <v>Simple</v>
      </c>
      <c r="M577" s="197">
        <v>5413.1123397151769</v>
      </c>
      <c r="N577" s="197">
        <v>8119.6685095727644</v>
      </c>
      <c r="O577" s="257">
        <f>IF(ISNA(MATCH(H577,'Operating leases'!$B$32:$B$43,0)),0,INDEX('Operating leases'!$M$32:$S$43,MATCH(H577,'Operating leases'!$B$32:$B$43,0),MATCH(J577,'Operating leases'!$M$11:$S$11,0)))</f>
        <v>0</v>
      </c>
      <c r="P577" s="257">
        <f t="shared" si="115"/>
        <v>5413.1123397151769</v>
      </c>
      <c r="Q577" s="257">
        <f t="shared" si="116"/>
        <v>13532.780849287941</v>
      </c>
      <c r="R577" s="258">
        <f>INDEX('Escalators '!$M$124:$S$129,MATCH(I577,'Escalators '!$B$124:$B$129,0),MATCH(J577,'Escalators '!$M$113:$S$113,0))</f>
        <v>1.0272672933956697</v>
      </c>
      <c r="S577" s="257">
        <f t="shared" si="117"/>
        <v>0</v>
      </c>
      <c r="T577" s="257">
        <f t="shared" si="118"/>
        <v>8341.0698930988656</v>
      </c>
      <c r="U577" s="269">
        <f t="shared" si="119"/>
        <v>5560.7132620659104</v>
      </c>
      <c r="V577" s="269">
        <f t="shared" si="120"/>
        <v>13901.783155164776</v>
      </c>
      <c r="W577" s="269">
        <f t="shared" si="121"/>
        <v>5560.7132620659104</v>
      </c>
      <c r="X577" s="257">
        <f t="shared" si="122"/>
        <v>13901.783155164776</v>
      </c>
      <c r="Y577" s="270">
        <f>IF(L577="Complex",(INDEX('Escalators '!$M$176:$S$176,MATCH('Forecast capex'!J577,'Escalators '!$M$178:$S$178,0))/12+1)^((K577-J577)*12)-1,0)</f>
        <v>0</v>
      </c>
      <c r="Z577" s="257">
        <f t="shared" si="123"/>
        <v>0</v>
      </c>
      <c r="AA577" s="257">
        <f t="shared" si="124"/>
        <v>0</v>
      </c>
      <c r="AB577" s="269">
        <f t="shared" si="125"/>
        <v>0</v>
      </c>
      <c r="AC577" s="269">
        <f t="shared" si="126"/>
        <v>0</v>
      </c>
      <c r="AD577" s="271" t="str">
        <f>INDEX('Global inputs'!$C$134:$C$171,MATCH(F577,'Global inputs'!$B$134:$B$171,0))</f>
        <v>Asset relocations and undergrounding</v>
      </c>
      <c r="AE577" s="272">
        <f>IF(OR(H577='Operating leases'!$B$32,H577='Operating leases'!$B$33),"",INDEX('Global inputs'!$C$186:$C$243,MATCH(E577,'Global inputs'!$B$186:$B$243,0)))</f>
        <v>0.1</v>
      </c>
    </row>
    <row r="578" spans="1:31" s="27" customFormat="1" x14ac:dyDescent="0.2">
      <c r="A578" s="250"/>
      <c r="B578" s="210" t="s">
        <v>714</v>
      </c>
      <c r="C578" s="210" t="s">
        <v>287</v>
      </c>
      <c r="D578" s="210" t="s">
        <v>729</v>
      </c>
      <c r="E578" s="210" t="s">
        <v>150</v>
      </c>
      <c r="F578" s="210" t="s">
        <v>92</v>
      </c>
      <c r="G578" s="210" t="s">
        <v>731</v>
      </c>
      <c r="H578" s="197">
        <v>0</v>
      </c>
      <c r="I578" s="210" t="s">
        <v>225</v>
      </c>
      <c r="J578" s="210">
        <v>2022</v>
      </c>
      <c r="K578" s="210">
        <v>2022</v>
      </c>
      <c r="L578" s="268" t="str">
        <f t="shared" si="114"/>
        <v>Simple</v>
      </c>
      <c r="M578" s="197">
        <v>2255.4634748813237</v>
      </c>
      <c r="N578" s="197">
        <v>3383.1952123219853</v>
      </c>
      <c r="O578" s="257">
        <f>IF(ISNA(MATCH(H578,'Operating leases'!$B$32:$B$43,0)),0,INDEX('Operating leases'!$M$32:$S$43,MATCH(H578,'Operating leases'!$B$32:$B$43,0),MATCH(J578,'Operating leases'!$M$11:$S$11,0)))</f>
        <v>0</v>
      </c>
      <c r="P578" s="257">
        <f t="shared" si="115"/>
        <v>2255.4634748813237</v>
      </c>
      <c r="Q578" s="257">
        <f t="shared" si="116"/>
        <v>5638.6586872033095</v>
      </c>
      <c r="R578" s="258">
        <f>INDEX('Escalators '!$M$124:$S$129,MATCH(I578,'Escalators '!$B$124:$B$129,0),MATCH(J578,'Escalators '!$M$113:$S$113,0))</f>
        <v>1.0390620061247575</v>
      </c>
      <c r="S578" s="257">
        <f t="shared" si="117"/>
        <v>0</v>
      </c>
      <c r="T578" s="257">
        <f t="shared" si="118"/>
        <v>3515.3496044269568</v>
      </c>
      <c r="U578" s="269">
        <f t="shared" si="119"/>
        <v>2343.5664029513055</v>
      </c>
      <c r="V578" s="269">
        <f t="shared" si="120"/>
        <v>5858.9160073782623</v>
      </c>
      <c r="W578" s="269">
        <f t="shared" si="121"/>
        <v>2343.5664029513055</v>
      </c>
      <c r="X578" s="257">
        <f t="shared" si="122"/>
        <v>5858.9160073782623</v>
      </c>
      <c r="Y578" s="270">
        <f>IF(L578="Complex",(INDEX('Escalators '!$M$176:$S$176,MATCH('Forecast capex'!J578,'Escalators '!$M$178:$S$178,0))/12+1)^((K578-J578)*12)-1,0)</f>
        <v>0</v>
      </c>
      <c r="Z578" s="257">
        <f t="shared" si="123"/>
        <v>0</v>
      </c>
      <c r="AA578" s="257">
        <f t="shared" si="124"/>
        <v>0</v>
      </c>
      <c r="AB578" s="269">
        <f t="shared" si="125"/>
        <v>0</v>
      </c>
      <c r="AC578" s="269">
        <f t="shared" si="126"/>
        <v>0</v>
      </c>
      <c r="AD578" s="271" t="str">
        <f>INDEX('Global inputs'!$C$134:$C$171,MATCH(F578,'Global inputs'!$B$134:$B$171,0))</f>
        <v>Asset relocations and undergrounding</v>
      </c>
      <c r="AE578" s="272">
        <f>IF(OR(H578='Operating leases'!$B$32,H578='Operating leases'!$B$33),"",INDEX('Global inputs'!$C$186:$C$243,MATCH(E578,'Global inputs'!$B$186:$B$243,0)))</f>
        <v>0.08</v>
      </c>
    </row>
    <row r="579" spans="1:31" s="27" customFormat="1" x14ac:dyDescent="0.2">
      <c r="A579" s="250"/>
      <c r="B579" s="210" t="s">
        <v>714</v>
      </c>
      <c r="C579" s="210" t="s">
        <v>287</v>
      </c>
      <c r="D579" s="210" t="s">
        <v>729</v>
      </c>
      <c r="E579" s="210" t="s">
        <v>150</v>
      </c>
      <c r="F579" s="210" t="s">
        <v>92</v>
      </c>
      <c r="G579" s="210" t="s">
        <v>731</v>
      </c>
      <c r="H579" s="197">
        <v>0</v>
      </c>
      <c r="I579" s="210" t="s">
        <v>221</v>
      </c>
      <c r="J579" s="210">
        <v>2022</v>
      </c>
      <c r="K579" s="210">
        <v>2022</v>
      </c>
      <c r="L579" s="268" t="str">
        <f t="shared" si="114"/>
        <v>Simple</v>
      </c>
      <c r="M579" s="197">
        <v>9021.8538995252948</v>
      </c>
      <c r="N579" s="197">
        <v>13532.780849287941</v>
      </c>
      <c r="O579" s="257">
        <f>IF(ISNA(MATCH(H579,'Operating leases'!$B$32:$B$43,0)),0,INDEX('Operating leases'!$M$32:$S$43,MATCH(H579,'Operating leases'!$B$32:$B$43,0),MATCH(J579,'Operating leases'!$M$11:$S$11,0)))</f>
        <v>0</v>
      </c>
      <c r="P579" s="257">
        <f t="shared" si="115"/>
        <v>9021.8538995252948</v>
      </c>
      <c r="Q579" s="257">
        <f t="shared" si="116"/>
        <v>22554.634748813238</v>
      </c>
      <c r="R579" s="258">
        <f>INDEX('Escalators '!$M$124:$S$129,MATCH(I579,'Escalators '!$B$124:$B$129,0),MATCH(J579,'Escalators '!$M$113:$S$113,0))</f>
        <v>1.0272672933956697</v>
      </c>
      <c r="S579" s="257">
        <f t="shared" si="117"/>
        <v>0</v>
      </c>
      <c r="T579" s="257">
        <f t="shared" si="118"/>
        <v>13901.783155164776</v>
      </c>
      <c r="U579" s="269">
        <f t="shared" si="119"/>
        <v>9267.8554367765209</v>
      </c>
      <c r="V579" s="269">
        <f t="shared" si="120"/>
        <v>23169.638591941297</v>
      </c>
      <c r="W579" s="269">
        <f t="shared" si="121"/>
        <v>9267.8554367765209</v>
      </c>
      <c r="X579" s="257">
        <f t="shared" si="122"/>
        <v>23169.638591941297</v>
      </c>
      <c r="Y579" s="270">
        <f>IF(L579="Complex",(INDEX('Escalators '!$M$176:$S$176,MATCH('Forecast capex'!J579,'Escalators '!$M$178:$S$178,0))/12+1)^((K579-J579)*12)-1,0)</f>
        <v>0</v>
      </c>
      <c r="Z579" s="257">
        <f t="shared" si="123"/>
        <v>0</v>
      </c>
      <c r="AA579" s="257">
        <f t="shared" si="124"/>
        <v>0</v>
      </c>
      <c r="AB579" s="269">
        <f t="shared" si="125"/>
        <v>0</v>
      </c>
      <c r="AC579" s="269">
        <f t="shared" si="126"/>
        <v>0</v>
      </c>
      <c r="AD579" s="271" t="str">
        <f>INDEX('Global inputs'!$C$134:$C$171,MATCH(F579,'Global inputs'!$B$134:$B$171,0))</f>
        <v>Asset relocations and undergrounding</v>
      </c>
      <c r="AE579" s="272">
        <f>IF(OR(H579='Operating leases'!$B$32,H579='Operating leases'!$B$33),"",INDEX('Global inputs'!$C$186:$C$243,MATCH(E579,'Global inputs'!$B$186:$B$243,0)))</f>
        <v>0.08</v>
      </c>
    </row>
    <row r="580" spans="1:31" s="27" customFormat="1" x14ac:dyDescent="0.2">
      <c r="A580" s="250"/>
      <c r="B580" s="210" t="s">
        <v>714</v>
      </c>
      <c r="C580" s="210" t="s">
        <v>287</v>
      </c>
      <c r="D580" s="210" t="s">
        <v>729</v>
      </c>
      <c r="E580" s="210" t="s">
        <v>151</v>
      </c>
      <c r="F580" s="210" t="s">
        <v>92</v>
      </c>
      <c r="G580" s="210" t="s">
        <v>731</v>
      </c>
      <c r="H580" s="197">
        <v>0</v>
      </c>
      <c r="I580" s="210" t="s">
        <v>225</v>
      </c>
      <c r="J580" s="210">
        <v>2022</v>
      </c>
      <c r="K580" s="210">
        <v>2022</v>
      </c>
      <c r="L580" s="268" t="str">
        <f t="shared" si="114"/>
        <v>Simple</v>
      </c>
      <c r="M580" s="197">
        <v>2255.4634748813237</v>
      </c>
      <c r="N580" s="197">
        <v>3383.1952123219853</v>
      </c>
      <c r="O580" s="257">
        <f>IF(ISNA(MATCH(H580,'Operating leases'!$B$32:$B$43,0)),0,INDEX('Operating leases'!$M$32:$S$43,MATCH(H580,'Operating leases'!$B$32:$B$43,0),MATCH(J580,'Operating leases'!$M$11:$S$11,0)))</f>
        <v>0</v>
      </c>
      <c r="P580" s="257">
        <f t="shared" si="115"/>
        <v>2255.4634748813237</v>
      </c>
      <c r="Q580" s="257">
        <f t="shared" si="116"/>
        <v>5638.6586872033095</v>
      </c>
      <c r="R580" s="258">
        <f>INDEX('Escalators '!$M$124:$S$129,MATCH(I580,'Escalators '!$B$124:$B$129,0),MATCH(J580,'Escalators '!$M$113:$S$113,0))</f>
        <v>1.0390620061247575</v>
      </c>
      <c r="S580" s="257">
        <f t="shared" si="117"/>
        <v>0</v>
      </c>
      <c r="T580" s="257">
        <f t="shared" si="118"/>
        <v>3515.3496044269568</v>
      </c>
      <c r="U580" s="269">
        <f t="shared" si="119"/>
        <v>2343.5664029513055</v>
      </c>
      <c r="V580" s="269">
        <f t="shared" si="120"/>
        <v>5858.9160073782623</v>
      </c>
      <c r="W580" s="269">
        <f t="shared" si="121"/>
        <v>2343.5664029513055</v>
      </c>
      <c r="X580" s="257">
        <f t="shared" si="122"/>
        <v>5858.9160073782623</v>
      </c>
      <c r="Y580" s="270">
        <f>IF(L580="Complex",(INDEX('Escalators '!$M$176:$S$176,MATCH('Forecast capex'!J580,'Escalators '!$M$178:$S$178,0))/12+1)^((K580-J580)*12)-1,0)</f>
        <v>0</v>
      </c>
      <c r="Z580" s="257">
        <f t="shared" si="123"/>
        <v>0</v>
      </c>
      <c r="AA580" s="257">
        <f t="shared" si="124"/>
        <v>0</v>
      </c>
      <c r="AB580" s="269">
        <f t="shared" si="125"/>
        <v>0</v>
      </c>
      <c r="AC580" s="269">
        <f t="shared" si="126"/>
        <v>0</v>
      </c>
      <c r="AD580" s="271" t="str">
        <f>INDEX('Global inputs'!$C$134:$C$171,MATCH(F580,'Global inputs'!$B$134:$B$171,0))</f>
        <v>Asset relocations and undergrounding</v>
      </c>
      <c r="AE580" s="272">
        <f>IF(OR(H580='Operating leases'!$B$32,H580='Operating leases'!$B$33),"",INDEX('Global inputs'!$C$186:$C$243,MATCH(E580,'Global inputs'!$B$186:$B$243,0)))</f>
        <v>0.1</v>
      </c>
    </row>
    <row r="581" spans="1:31" s="27" customFormat="1" x14ac:dyDescent="0.2">
      <c r="A581" s="250"/>
      <c r="B581" s="210" t="s">
        <v>714</v>
      </c>
      <c r="C581" s="210" t="s">
        <v>287</v>
      </c>
      <c r="D581" s="210" t="s">
        <v>729</v>
      </c>
      <c r="E581" s="210" t="s">
        <v>151</v>
      </c>
      <c r="F581" s="210" t="s">
        <v>92</v>
      </c>
      <c r="G581" s="210" t="s">
        <v>731</v>
      </c>
      <c r="H581" s="197">
        <v>0</v>
      </c>
      <c r="I581" s="210" t="s">
        <v>221</v>
      </c>
      <c r="J581" s="210">
        <v>2022</v>
      </c>
      <c r="K581" s="210">
        <v>2022</v>
      </c>
      <c r="L581" s="268" t="str">
        <f t="shared" si="114"/>
        <v>Simple</v>
      </c>
      <c r="M581" s="197">
        <v>9021.8538995252948</v>
      </c>
      <c r="N581" s="197">
        <v>13532.780849287941</v>
      </c>
      <c r="O581" s="257">
        <f>IF(ISNA(MATCH(H581,'Operating leases'!$B$32:$B$43,0)),0,INDEX('Operating leases'!$M$32:$S$43,MATCH(H581,'Operating leases'!$B$32:$B$43,0),MATCH(J581,'Operating leases'!$M$11:$S$11,0)))</f>
        <v>0</v>
      </c>
      <c r="P581" s="257">
        <f t="shared" si="115"/>
        <v>9021.8538995252948</v>
      </c>
      <c r="Q581" s="257">
        <f t="shared" si="116"/>
        <v>22554.634748813238</v>
      </c>
      <c r="R581" s="258">
        <f>INDEX('Escalators '!$M$124:$S$129,MATCH(I581,'Escalators '!$B$124:$B$129,0),MATCH(J581,'Escalators '!$M$113:$S$113,0))</f>
        <v>1.0272672933956697</v>
      </c>
      <c r="S581" s="257">
        <f t="shared" si="117"/>
        <v>0</v>
      </c>
      <c r="T581" s="257">
        <f t="shared" si="118"/>
        <v>13901.783155164776</v>
      </c>
      <c r="U581" s="269">
        <f t="shared" si="119"/>
        <v>9267.8554367765209</v>
      </c>
      <c r="V581" s="269">
        <f t="shared" si="120"/>
        <v>23169.638591941297</v>
      </c>
      <c r="W581" s="269">
        <f t="shared" si="121"/>
        <v>9267.8554367765209</v>
      </c>
      <c r="X581" s="257">
        <f t="shared" si="122"/>
        <v>23169.638591941297</v>
      </c>
      <c r="Y581" s="270">
        <f>IF(L581="Complex",(INDEX('Escalators '!$M$176:$S$176,MATCH('Forecast capex'!J581,'Escalators '!$M$178:$S$178,0))/12+1)^((K581-J581)*12)-1,0)</f>
        <v>0</v>
      </c>
      <c r="Z581" s="257">
        <f t="shared" si="123"/>
        <v>0</v>
      </c>
      <c r="AA581" s="257">
        <f t="shared" si="124"/>
        <v>0</v>
      </c>
      <c r="AB581" s="269">
        <f t="shared" si="125"/>
        <v>0</v>
      </c>
      <c r="AC581" s="269">
        <f t="shared" si="126"/>
        <v>0</v>
      </c>
      <c r="AD581" s="271" t="str">
        <f>INDEX('Global inputs'!$C$134:$C$171,MATCH(F581,'Global inputs'!$B$134:$B$171,0))</f>
        <v>Asset relocations and undergrounding</v>
      </c>
      <c r="AE581" s="272">
        <f>IF(OR(H581='Operating leases'!$B$32,H581='Operating leases'!$B$33),"",INDEX('Global inputs'!$C$186:$C$243,MATCH(E581,'Global inputs'!$B$186:$B$243,0)))</f>
        <v>0.1</v>
      </c>
    </row>
    <row r="582" spans="1:31" s="27" customFormat="1" x14ac:dyDescent="0.2">
      <c r="A582" s="250"/>
      <c r="B582" s="210" t="s">
        <v>714</v>
      </c>
      <c r="C582" s="210" t="s">
        <v>284</v>
      </c>
      <c r="D582" s="210" t="s">
        <v>715</v>
      </c>
      <c r="E582" s="210" t="s">
        <v>127</v>
      </c>
      <c r="F582" s="210" t="s">
        <v>94</v>
      </c>
      <c r="G582" s="210" t="s">
        <v>716</v>
      </c>
      <c r="H582" s="197">
        <v>0</v>
      </c>
      <c r="I582" s="210" t="s">
        <v>229</v>
      </c>
      <c r="J582" s="210">
        <v>2022</v>
      </c>
      <c r="K582" s="210">
        <v>2022</v>
      </c>
      <c r="L582" s="268" t="str">
        <f t="shared" si="114"/>
        <v>Simple</v>
      </c>
      <c r="M582" s="197">
        <v>285.3857013836739</v>
      </c>
      <c r="N582" s="197">
        <v>428.0785520755108</v>
      </c>
      <c r="O582" s="257">
        <f>IF(ISNA(MATCH(H582,'Operating leases'!$B$32:$B$43,0)),0,INDEX('Operating leases'!$M$32:$S$43,MATCH(H582,'Operating leases'!$B$32:$B$43,0),MATCH(J582,'Operating leases'!$M$11:$S$11,0)))</f>
        <v>0</v>
      </c>
      <c r="P582" s="257">
        <f t="shared" si="115"/>
        <v>285.3857013836739</v>
      </c>
      <c r="Q582" s="257">
        <f t="shared" si="116"/>
        <v>713.46425345918465</v>
      </c>
      <c r="R582" s="258">
        <f>INDEX('Escalators '!$M$124:$S$129,MATCH(I582,'Escalators '!$B$124:$B$129,0),MATCH(J582,'Escalators '!$M$113:$S$113,0))</f>
        <v>1.0379818100112963</v>
      </c>
      <c r="S582" s="257">
        <f t="shared" si="117"/>
        <v>0</v>
      </c>
      <c r="T582" s="257">
        <f t="shared" si="118"/>
        <v>444.33775031035367</v>
      </c>
      <c r="U582" s="269">
        <f t="shared" si="119"/>
        <v>296.22516687356909</v>
      </c>
      <c r="V582" s="269">
        <f t="shared" si="120"/>
        <v>740.56291718392276</v>
      </c>
      <c r="W582" s="269">
        <f t="shared" si="121"/>
        <v>296.22516687356909</v>
      </c>
      <c r="X582" s="257">
        <f t="shared" si="122"/>
        <v>740.56291718392276</v>
      </c>
      <c r="Y582" s="270">
        <f>IF(L582="Complex",(INDEX('Escalators '!$M$176:$S$176,MATCH('Forecast capex'!J582,'Escalators '!$M$178:$S$178,0))/12+1)^((K582-J582)*12)-1,0)</f>
        <v>0</v>
      </c>
      <c r="Z582" s="257">
        <f t="shared" si="123"/>
        <v>0</v>
      </c>
      <c r="AA582" s="257">
        <f t="shared" si="124"/>
        <v>0</v>
      </c>
      <c r="AB582" s="269">
        <f t="shared" si="125"/>
        <v>0</v>
      </c>
      <c r="AC582" s="269">
        <f t="shared" si="126"/>
        <v>0</v>
      </c>
      <c r="AD582" s="271" t="str">
        <f>INDEX('Global inputs'!$C$134:$C$171,MATCH(F582,'Global inputs'!$B$134:$B$171,0))</f>
        <v>Consumer connection</v>
      </c>
      <c r="AE582" s="272">
        <f>IF(OR(H582='Operating leases'!$B$32,H582='Operating leases'!$B$33),"",INDEX('Global inputs'!$C$186:$C$243,MATCH(E582,'Global inputs'!$B$186:$B$243,0)))</f>
        <v>0.08</v>
      </c>
    </row>
    <row r="583" spans="1:31" s="27" customFormat="1" x14ac:dyDescent="0.2">
      <c r="A583" s="250"/>
      <c r="B583" s="210" t="s">
        <v>714</v>
      </c>
      <c r="C583" s="210" t="s">
        <v>284</v>
      </c>
      <c r="D583" s="210" t="s">
        <v>715</v>
      </c>
      <c r="E583" s="210" t="s">
        <v>127</v>
      </c>
      <c r="F583" s="210" t="s">
        <v>94</v>
      </c>
      <c r="G583" s="210" t="s">
        <v>716</v>
      </c>
      <c r="H583" s="197">
        <v>0</v>
      </c>
      <c r="I583" s="210" t="s">
        <v>221</v>
      </c>
      <c r="J583" s="210">
        <v>2022</v>
      </c>
      <c r="K583" s="210">
        <v>2022</v>
      </c>
      <c r="L583" s="268" t="str">
        <f t="shared" si="114"/>
        <v>Simple</v>
      </c>
      <c r="M583" s="197">
        <v>285.3857013836739</v>
      </c>
      <c r="N583" s="197">
        <v>428.0785520755108</v>
      </c>
      <c r="O583" s="257">
        <f>IF(ISNA(MATCH(H583,'Operating leases'!$B$32:$B$43,0)),0,INDEX('Operating leases'!$M$32:$S$43,MATCH(H583,'Operating leases'!$B$32:$B$43,0),MATCH(J583,'Operating leases'!$M$11:$S$11,0)))</f>
        <v>0</v>
      </c>
      <c r="P583" s="257">
        <f t="shared" si="115"/>
        <v>285.3857013836739</v>
      </c>
      <c r="Q583" s="257">
        <f t="shared" si="116"/>
        <v>713.46425345918465</v>
      </c>
      <c r="R583" s="258">
        <f>INDEX('Escalators '!$M$124:$S$129,MATCH(I583,'Escalators '!$B$124:$B$129,0),MATCH(J583,'Escalators '!$M$113:$S$113,0))</f>
        <v>1.0272672933956697</v>
      </c>
      <c r="S583" s="257">
        <f t="shared" si="117"/>
        <v>0</v>
      </c>
      <c r="T583" s="257">
        <f t="shared" si="118"/>
        <v>439.75109555134719</v>
      </c>
      <c r="U583" s="269">
        <f t="shared" si="119"/>
        <v>293.16739703423144</v>
      </c>
      <c r="V583" s="269">
        <f t="shared" si="120"/>
        <v>732.91849258557863</v>
      </c>
      <c r="W583" s="269">
        <f t="shared" si="121"/>
        <v>293.16739703423144</v>
      </c>
      <c r="X583" s="257">
        <f t="shared" si="122"/>
        <v>732.91849258557863</v>
      </c>
      <c r="Y583" s="270">
        <f>IF(L583="Complex",(INDEX('Escalators '!$M$176:$S$176,MATCH('Forecast capex'!J583,'Escalators '!$M$178:$S$178,0))/12+1)^((K583-J583)*12)-1,0)</f>
        <v>0</v>
      </c>
      <c r="Z583" s="257">
        <f t="shared" si="123"/>
        <v>0</v>
      </c>
      <c r="AA583" s="257">
        <f t="shared" si="124"/>
        <v>0</v>
      </c>
      <c r="AB583" s="269">
        <f t="shared" si="125"/>
        <v>0</v>
      </c>
      <c r="AC583" s="269">
        <f t="shared" si="126"/>
        <v>0</v>
      </c>
      <c r="AD583" s="271" t="str">
        <f>INDEX('Global inputs'!$C$134:$C$171,MATCH(F583,'Global inputs'!$B$134:$B$171,0))</f>
        <v>Consumer connection</v>
      </c>
      <c r="AE583" s="272">
        <f>IF(OR(H583='Operating leases'!$B$32,H583='Operating leases'!$B$33),"",INDEX('Global inputs'!$C$186:$C$243,MATCH(E583,'Global inputs'!$B$186:$B$243,0)))</f>
        <v>0.08</v>
      </c>
    </row>
    <row r="584" spans="1:31" s="27" customFormat="1" x14ac:dyDescent="0.2">
      <c r="A584" s="250"/>
      <c r="B584" s="210" t="s">
        <v>714</v>
      </c>
      <c r="C584" s="210" t="s">
        <v>284</v>
      </c>
      <c r="D584" s="210" t="s">
        <v>715</v>
      </c>
      <c r="E584" s="210" t="s">
        <v>129</v>
      </c>
      <c r="F584" s="210" t="s">
        <v>94</v>
      </c>
      <c r="G584" s="210" t="s">
        <v>716</v>
      </c>
      <c r="H584" s="197">
        <v>0</v>
      </c>
      <c r="I584" s="210" t="s">
        <v>229</v>
      </c>
      <c r="J584" s="210">
        <v>2022</v>
      </c>
      <c r="K584" s="210">
        <v>2022</v>
      </c>
      <c r="L584" s="268" t="str">
        <f t="shared" si="114"/>
        <v>Simple</v>
      </c>
      <c r="M584" s="197">
        <v>285.3857013836739</v>
      </c>
      <c r="N584" s="197">
        <v>428.0785520755108</v>
      </c>
      <c r="O584" s="257">
        <f>IF(ISNA(MATCH(H584,'Operating leases'!$B$32:$B$43,0)),0,INDEX('Operating leases'!$M$32:$S$43,MATCH(H584,'Operating leases'!$B$32:$B$43,0),MATCH(J584,'Operating leases'!$M$11:$S$11,0)))</f>
        <v>0</v>
      </c>
      <c r="P584" s="257">
        <f t="shared" si="115"/>
        <v>285.3857013836739</v>
      </c>
      <c r="Q584" s="257">
        <f t="shared" si="116"/>
        <v>713.46425345918465</v>
      </c>
      <c r="R584" s="258">
        <f>INDEX('Escalators '!$M$124:$S$129,MATCH(I584,'Escalators '!$B$124:$B$129,0),MATCH(J584,'Escalators '!$M$113:$S$113,0))</f>
        <v>1.0379818100112963</v>
      </c>
      <c r="S584" s="257">
        <f t="shared" si="117"/>
        <v>0</v>
      </c>
      <c r="T584" s="257">
        <f t="shared" si="118"/>
        <v>444.33775031035367</v>
      </c>
      <c r="U584" s="269">
        <f t="shared" si="119"/>
        <v>296.22516687356909</v>
      </c>
      <c r="V584" s="269">
        <f t="shared" si="120"/>
        <v>740.56291718392276</v>
      </c>
      <c r="W584" s="269">
        <f t="shared" si="121"/>
        <v>296.22516687356909</v>
      </c>
      <c r="X584" s="257">
        <f t="shared" si="122"/>
        <v>740.56291718392276</v>
      </c>
      <c r="Y584" s="270">
        <f>IF(L584="Complex",(INDEX('Escalators '!$M$176:$S$176,MATCH('Forecast capex'!J584,'Escalators '!$M$178:$S$178,0))/12+1)^((K584-J584)*12)-1,0)</f>
        <v>0</v>
      </c>
      <c r="Z584" s="257">
        <f t="shared" si="123"/>
        <v>0</v>
      </c>
      <c r="AA584" s="257">
        <f t="shared" si="124"/>
        <v>0</v>
      </c>
      <c r="AB584" s="269">
        <f t="shared" si="125"/>
        <v>0</v>
      </c>
      <c r="AC584" s="269">
        <f t="shared" si="126"/>
        <v>0</v>
      </c>
      <c r="AD584" s="271" t="str">
        <f>INDEX('Global inputs'!$C$134:$C$171,MATCH(F584,'Global inputs'!$B$134:$B$171,0))</f>
        <v>Consumer connection</v>
      </c>
      <c r="AE584" s="272">
        <f>IF(OR(H584='Operating leases'!$B$32,H584='Operating leases'!$B$33),"",INDEX('Global inputs'!$C$186:$C$243,MATCH(E584,'Global inputs'!$B$186:$B$243,0)))</f>
        <v>0.1</v>
      </c>
    </row>
    <row r="585" spans="1:31" s="27" customFormat="1" x14ac:dyDescent="0.2">
      <c r="A585" s="250"/>
      <c r="B585" s="210" t="s">
        <v>714</v>
      </c>
      <c r="C585" s="210" t="s">
        <v>284</v>
      </c>
      <c r="D585" s="210" t="s">
        <v>715</v>
      </c>
      <c r="E585" s="210" t="s">
        <v>129</v>
      </c>
      <c r="F585" s="210" t="s">
        <v>94</v>
      </c>
      <c r="G585" s="210" t="s">
        <v>716</v>
      </c>
      <c r="H585" s="197">
        <v>0</v>
      </c>
      <c r="I585" s="210" t="s">
        <v>221</v>
      </c>
      <c r="J585" s="210">
        <v>2022</v>
      </c>
      <c r="K585" s="210">
        <v>2022</v>
      </c>
      <c r="L585" s="268" t="str">
        <f t="shared" si="114"/>
        <v>Simple</v>
      </c>
      <c r="M585" s="197">
        <v>285.3857013836739</v>
      </c>
      <c r="N585" s="197">
        <v>428.0785520755108</v>
      </c>
      <c r="O585" s="257">
        <f>IF(ISNA(MATCH(H585,'Operating leases'!$B$32:$B$43,0)),0,INDEX('Operating leases'!$M$32:$S$43,MATCH(H585,'Operating leases'!$B$32:$B$43,0),MATCH(J585,'Operating leases'!$M$11:$S$11,0)))</f>
        <v>0</v>
      </c>
      <c r="P585" s="257">
        <f t="shared" si="115"/>
        <v>285.3857013836739</v>
      </c>
      <c r="Q585" s="257">
        <f t="shared" si="116"/>
        <v>713.46425345918465</v>
      </c>
      <c r="R585" s="258">
        <f>INDEX('Escalators '!$M$124:$S$129,MATCH(I585,'Escalators '!$B$124:$B$129,0),MATCH(J585,'Escalators '!$M$113:$S$113,0))</f>
        <v>1.0272672933956697</v>
      </c>
      <c r="S585" s="257">
        <f t="shared" si="117"/>
        <v>0</v>
      </c>
      <c r="T585" s="257">
        <f t="shared" si="118"/>
        <v>439.75109555134719</v>
      </c>
      <c r="U585" s="269">
        <f t="shared" si="119"/>
        <v>293.16739703423144</v>
      </c>
      <c r="V585" s="269">
        <f t="shared" si="120"/>
        <v>732.91849258557863</v>
      </c>
      <c r="W585" s="269">
        <f t="shared" si="121"/>
        <v>293.16739703423144</v>
      </c>
      <c r="X585" s="257">
        <f t="shared" si="122"/>
        <v>732.91849258557863</v>
      </c>
      <c r="Y585" s="270">
        <f>IF(L585="Complex",(INDEX('Escalators '!$M$176:$S$176,MATCH('Forecast capex'!J585,'Escalators '!$M$178:$S$178,0))/12+1)^((K585-J585)*12)-1,0)</f>
        <v>0</v>
      </c>
      <c r="Z585" s="257">
        <f t="shared" si="123"/>
        <v>0</v>
      </c>
      <c r="AA585" s="257">
        <f t="shared" si="124"/>
        <v>0</v>
      </c>
      <c r="AB585" s="269">
        <f t="shared" si="125"/>
        <v>0</v>
      </c>
      <c r="AC585" s="269">
        <f t="shared" si="126"/>
        <v>0</v>
      </c>
      <c r="AD585" s="271" t="str">
        <f>INDEX('Global inputs'!$C$134:$C$171,MATCH(F585,'Global inputs'!$B$134:$B$171,0))</f>
        <v>Consumer connection</v>
      </c>
      <c r="AE585" s="272">
        <f>IF(OR(H585='Operating leases'!$B$32,H585='Operating leases'!$B$33),"",INDEX('Global inputs'!$C$186:$C$243,MATCH(E585,'Global inputs'!$B$186:$B$243,0)))</f>
        <v>0.1</v>
      </c>
    </row>
    <row r="586" spans="1:31" s="27" customFormat="1" x14ac:dyDescent="0.2">
      <c r="A586" s="250"/>
      <c r="B586" s="210" t="s">
        <v>714</v>
      </c>
      <c r="C586" s="210" t="s">
        <v>287</v>
      </c>
      <c r="D586" s="210" t="s">
        <v>715</v>
      </c>
      <c r="E586" s="210" t="s">
        <v>150</v>
      </c>
      <c r="F586" s="210" t="s">
        <v>94</v>
      </c>
      <c r="G586" s="210" t="s">
        <v>716</v>
      </c>
      <c r="H586" s="197">
        <v>0</v>
      </c>
      <c r="I586" s="210" t="s">
        <v>229</v>
      </c>
      <c r="J586" s="210">
        <v>2022</v>
      </c>
      <c r="K586" s="210">
        <v>2022</v>
      </c>
      <c r="L586" s="268" t="str">
        <f t="shared" ref="L586:L649" si="127">IF(J586=K586,"Simple","Complex")</f>
        <v>Simple</v>
      </c>
      <c r="M586" s="197">
        <v>14269.285069183696</v>
      </c>
      <c r="N586" s="197">
        <v>21403.927603775544</v>
      </c>
      <c r="O586" s="257">
        <f>IF(ISNA(MATCH(H586,'Operating leases'!$B$32:$B$43,0)),0,INDEX('Operating leases'!$M$32:$S$43,MATCH(H586,'Operating leases'!$B$32:$B$43,0),MATCH(J586,'Operating leases'!$M$11:$S$11,0)))</f>
        <v>0</v>
      </c>
      <c r="P586" s="257">
        <f t="shared" ref="P586:P649" si="128">O586+M586</f>
        <v>14269.285069183696</v>
      </c>
      <c r="Q586" s="257">
        <f t="shared" ref="Q586:Q649" si="129">M586+N586+O586</f>
        <v>35673.212672959242</v>
      </c>
      <c r="R586" s="258">
        <f>INDEX('Escalators '!$M$124:$S$129,MATCH(I586,'Escalators '!$B$124:$B$129,0),MATCH(J586,'Escalators '!$M$113:$S$113,0))</f>
        <v>1.0379818100112963</v>
      </c>
      <c r="S586" s="257">
        <f t="shared" ref="S586:S649" si="130">O586*R586</f>
        <v>0</v>
      </c>
      <c r="T586" s="257">
        <f t="shared" ref="T586:T649" si="131">N586*R586</f>
        <v>22216.887515517687</v>
      </c>
      <c r="U586" s="269">
        <f t="shared" ref="U586:U649" si="132">W586-S586</f>
        <v>14811.258343678463</v>
      </c>
      <c r="V586" s="269">
        <f t="shared" ref="V586:V649" si="133">U586+T586</f>
        <v>37028.145859196149</v>
      </c>
      <c r="W586" s="269">
        <f t="shared" ref="W586:W649" si="134">X586-T586</f>
        <v>14811.258343678463</v>
      </c>
      <c r="X586" s="257">
        <f t="shared" ref="X586:X649" si="135">Q586*R586</f>
        <v>37028.145859196149</v>
      </c>
      <c r="Y586" s="270">
        <f>IF(L586="Complex",(INDEX('Escalators '!$M$176:$S$176,MATCH('Forecast capex'!J586,'Escalators '!$M$178:$S$178,0))/12+1)^((K586-J586)*12)-1,0)</f>
        <v>0</v>
      </c>
      <c r="Z586" s="257">
        <f t="shared" ref="Z586:Z649" si="136">P586*Y586</f>
        <v>0</v>
      </c>
      <c r="AA586" s="257">
        <f t="shared" ref="AA586:AA649" si="137">W586*Y586</f>
        <v>0</v>
      </c>
      <c r="AB586" s="269">
        <f t="shared" ref="AB586:AB649" si="138">IF(L586="Complex",AC586-T586,0)</f>
        <v>0</v>
      </c>
      <c r="AC586" s="269">
        <f t="shared" ref="AC586:AC649" si="139">IF(L586="Complex",V586+AA586,0)</f>
        <v>0</v>
      </c>
      <c r="AD586" s="271" t="str">
        <f>INDEX('Global inputs'!$C$134:$C$171,MATCH(F586,'Global inputs'!$B$134:$B$171,0))</f>
        <v>Consumer connection</v>
      </c>
      <c r="AE586" s="272">
        <f>IF(OR(H586='Operating leases'!$B$32,H586='Operating leases'!$B$33),"",INDEX('Global inputs'!$C$186:$C$243,MATCH(E586,'Global inputs'!$B$186:$B$243,0)))</f>
        <v>0.08</v>
      </c>
    </row>
    <row r="587" spans="1:31" s="27" customFormat="1" x14ac:dyDescent="0.2">
      <c r="A587" s="250"/>
      <c r="B587" s="210" t="s">
        <v>714</v>
      </c>
      <c r="C587" s="210" t="s">
        <v>287</v>
      </c>
      <c r="D587" s="210" t="s">
        <v>715</v>
      </c>
      <c r="E587" s="210" t="s">
        <v>150</v>
      </c>
      <c r="F587" s="210" t="s">
        <v>94</v>
      </c>
      <c r="G587" s="210" t="s">
        <v>716</v>
      </c>
      <c r="H587" s="197">
        <v>0</v>
      </c>
      <c r="I587" s="210" t="s">
        <v>221</v>
      </c>
      <c r="J587" s="210">
        <v>2022</v>
      </c>
      <c r="K587" s="210">
        <v>2022</v>
      </c>
      <c r="L587" s="268" t="str">
        <f t="shared" si="127"/>
        <v>Simple</v>
      </c>
      <c r="M587" s="197">
        <v>14269.285069183696</v>
      </c>
      <c r="N587" s="197">
        <v>21403.927603775544</v>
      </c>
      <c r="O587" s="257">
        <f>IF(ISNA(MATCH(H587,'Operating leases'!$B$32:$B$43,0)),0,INDEX('Operating leases'!$M$32:$S$43,MATCH(H587,'Operating leases'!$B$32:$B$43,0),MATCH(J587,'Operating leases'!$M$11:$S$11,0)))</f>
        <v>0</v>
      </c>
      <c r="P587" s="257">
        <f t="shared" si="128"/>
        <v>14269.285069183696</v>
      </c>
      <c r="Q587" s="257">
        <f t="shared" si="129"/>
        <v>35673.212672959242</v>
      </c>
      <c r="R587" s="258">
        <f>INDEX('Escalators '!$M$124:$S$129,MATCH(I587,'Escalators '!$B$124:$B$129,0),MATCH(J587,'Escalators '!$M$113:$S$113,0))</f>
        <v>1.0272672933956697</v>
      </c>
      <c r="S587" s="257">
        <f t="shared" si="130"/>
        <v>0</v>
      </c>
      <c r="T587" s="257">
        <f t="shared" si="131"/>
        <v>21987.554777567366</v>
      </c>
      <c r="U587" s="269">
        <f t="shared" si="132"/>
        <v>14658.369851711581</v>
      </c>
      <c r="V587" s="269">
        <f t="shared" si="133"/>
        <v>36645.924629278947</v>
      </c>
      <c r="W587" s="269">
        <f t="shared" si="134"/>
        <v>14658.369851711581</v>
      </c>
      <c r="X587" s="257">
        <f t="shared" si="135"/>
        <v>36645.924629278947</v>
      </c>
      <c r="Y587" s="270">
        <f>IF(L587="Complex",(INDEX('Escalators '!$M$176:$S$176,MATCH('Forecast capex'!J587,'Escalators '!$M$178:$S$178,0))/12+1)^((K587-J587)*12)-1,0)</f>
        <v>0</v>
      </c>
      <c r="Z587" s="257">
        <f t="shared" si="136"/>
        <v>0</v>
      </c>
      <c r="AA587" s="257">
        <f t="shared" si="137"/>
        <v>0</v>
      </c>
      <c r="AB587" s="269">
        <f t="shared" si="138"/>
        <v>0</v>
      </c>
      <c r="AC587" s="269">
        <f t="shared" si="139"/>
        <v>0</v>
      </c>
      <c r="AD587" s="271" t="str">
        <f>INDEX('Global inputs'!$C$134:$C$171,MATCH(F587,'Global inputs'!$B$134:$B$171,0))</f>
        <v>Consumer connection</v>
      </c>
      <c r="AE587" s="272">
        <f>IF(OR(H587='Operating leases'!$B$32,H587='Operating leases'!$B$33),"",INDEX('Global inputs'!$C$186:$C$243,MATCH(E587,'Global inputs'!$B$186:$B$243,0)))</f>
        <v>0.08</v>
      </c>
    </row>
    <row r="588" spans="1:31" s="27" customFormat="1" x14ac:dyDescent="0.2">
      <c r="A588" s="250"/>
      <c r="B588" s="210" t="s">
        <v>714</v>
      </c>
      <c r="C588" s="210" t="s">
        <v>287</v>
      </c>
      <c r="D588" s="210" t="s">
        <v>715</v>
      </c>
      <c r="E588" s="210" t="s">
        <v>151</v>
      </c>
      <c r="F588" s="210" t="s">
        <v>94</v>
      </c>
      <c r="G588" s="210" t="s">
        <v>716</v>
      </c>
      <c r="H588" s="197">
        <v>0</v>
      </c>
      <c r="I588" s="210" t="s">
        <v>229</v>
      </c>
      <c r="J588" s="210">
        <v>2022</v>
      </c>
      <c r="K588" s="210">
        <v>2022</v>
      </c>
      <c r="L588" s="268" t="str">
        <f t="shared" si="127"/>
        <v>Simple</v>
      </c>
      <c r="M588" s="197">
        <v>14269.285069183696</v>
      </c>
      <c r="N588" s="197">
        <v>21403.927603775544</v>
      </c>
      <c r="O588" s="257">
        <f>IF(ISNA(MATCH(H588,'Operating leases'!$B$32:$B$43,0)),0,INDEX('Operating leases'!$M$32:$S$43,MATCH(H588,'Operating leases'!$B$32:$B$43,0),MATCH(J588,'Operating leases'!$M$11:$S$11,0)))</f>
        <v>0</v>
      </c>
      <c r="P588" s="257">
        <f t="shared" si="128"/>
        <v>14269.285069183696</v>
      </c>
      <c r="Q588" s="257">
        <f t="shared" si="129"/>
        <v>35673.212672959242</v>
      </c>
      <c r="R588" s="258">
        <f>INDEX('Escalators '!$M$124:$S$129,MATCH(I588,'Escalators '!$B$124:$B$129,0),MATCH(J588,'Escalators '!$M$113:$S$113,0))</f>
        <v>1.0379818100112963</v>
      </c>
      <c r="S588" s="257">
        <f t="shared" si="130"/>
        <v>0</v>
      </c>
      <c r="T588" s="257">
        <f t="shared" si="131"/>
        <v>22216.887515517687</v>
      </c>
      <c r="U588" s="269">
        <f t="shared" si="132"/>
        <v>14811.258343678463</v>
      </c>
      <c r="V588" s="269">
        <f t="shared" si="133"/>
        <v>37028.145859196149</v>
      </c>
      <c r="W588" s="269">
        <f t="shared" si="134"/>
        <v>14811.258343678463</v>
      </c>
      <c r="X588" s="257">
        <f t="shared" si="135"/>
        <v>37028.145859196149</v>
      </c>
      <c r="Y588" s="270">
        <f>IF(L588="Complex",(INDEX('Escalators '!$M$176:$S$176,MATCH('Forecast capex'!J588,'Escalators '!$M$178:$S$178,0))/12+1)^((K588-J588)*12)-1,0)</f>
        <v>0</v>
      </c>
      <c r="Z588" s="257">
        <f t="shared" si="136"/>
        <v>0</v>
      </c>
      <c r="AA588" s="257">
        <f t="shared" si="137"/>
        <v>0</v>
      </c>
      <c r="AB588" s="269">
        <f t="shared" si="138"/>
        <v>0</v>
      </c>
      <c r="AC588" s="269">
        <f t="shared" si="139"/>
        <v>0</v>
      </c>
      <c r="AD588" s="271" t="str">
        <f>INDEX('Global inputs'!$C$134:$C$171,MATCH(F588,'Global inputs'!$B$134:$B$171,0))</f>
        <v>Consumer connection</v>
      </c>
      <c r="AE588" s="272">
        <f>IF(OR(H588='Operating leases'!$B$32,H588='Operating leases'!$B$33),"",INDEX('Global inputs'!$C$186:$C$243,MATCH(E588,'Global inputs'!$B$186:$B$243,0)))</f>
        <v>0.1</v>
      </c>
    </row>
    <row r="589" spans="1:31" s="27" customFormat="1" x14ac:dyDescent="0.2">
      <c r="A589" s="250"/>
      <c r="B589" s="210" t="s">
        <v>714</v>
      </c>
      <c r="C589" s="210" t="s">
        <v>287</v>
      </c>
      <c r="D589" s="210" t="s">
        <v>715</v>
      </c>
      <c r="E589" s="210" t="s">
        <v>151</v>
      </c>
      <c r="F589" s="210" t="s">
        <v>94</v>
      </c>
      <c r="G589" s="210" t="s">
        <v>716</v>
      </c>
      <c r="H589" s="197">
        <v>0</v>
      </c>
      <c r="I589" s="210" t="s">
        <v>221</v>
      </c>
      <c r="J589" s="210">
        <v>2022</v>
      </c>
      <c r="K589" s="210">
        <v>2022</v>
      </c>
      <c r="L589" s="268" t="str">
        <f t="shared" si="127"/>
        <v>Simple</v>
      </c>
      <c r="M589" s="197">
        <v>14269.285069183696</v>
      </c>
      <c r="N589" s="197">
        <v>21403.927603775544</v>
      </c>
      <c r="O589" s="257">
        <f>IF(ISNA(MATCH(H589,'Operating leases'!$B$32:$B$43,0)),0,INDEX('Operating leases'!$M$32:$S$43,MATCH(H589,'Operating leases'!$B$32:$B$43,0),MATCH(J589,'Operating leases'!$M$11:$S$11,0)))</f>
        <v>0</v>
      </c>
      <c r="P589" s="257">
        <f t="shared" si="128"/>
        <v>14269.285069183696</v>
      </c>
      <c r="Q589" s="257">
        <f t="shared" si="129"/>
        <v>35673.212672959242</v>
      </c>
      <c r="R589" s="258">
        <f>INDEX('Escalators '!$M$124:$S$129,MATCH(I589,'Escalators '!$B$124:$B$129,0),MATCH(J589,'Escalators '!$M$113:$S$113,0))</f>
        <v>1.0272672933956697</v>
      </c>
      <c r="S589" s="257">
        <f t="shared" si="130"/>
        <v>0</v>
      </c>
      <c r="T589" s="257">
        <f t="shared" si="131"/>
        <v>21987.554777567366</v>
      </c>
      <c r="U589" s="269">
        <f t="shared" si="132"/>
        <v>14658.369851711581</v>
      </c>
      <c r="V589" s="269">
        <f t="shared" si="133"/>
        <v>36645.924629278947</v>
      </c>
      <c r="W589" s="269">
        <f t="shared" si="134"/>
        <v>14658.369851711581</v>
      </c>
      <c r="X589" s="257">
        <f t="shared" si="135"/>
        <v>36645.924629278947</v>
      </c>
      <c r="Y589" s="270">
        <f>IF(L589="Complex",(INDEX('Escalators '!$M$176:$S$176,MATCH('Forecast capex'!J589,'Escalators '!$M$178:$S$178,0))/12+1)^((K589-J589)*12)-1,0)</f>
        <v>0</v>
      </c>
      <c r="Z589" s="257">
        <f t="shared" si="136"/>
        <v>0</v>
      </c>
      <c r="AA589" s="257">
        <f t="shared" si="137"/>
        <v>0</v>
      </c>
      <c r="AB589" s="269">
        <f t="shared" si="138"/>
        <v>0</v>
      </c>
      <c r="AC589" s="269">
        <f t="shared" si="139"/>
        <v>0</v>
      </c>
      <c r="AD589" s="271" t="str">
        <f>INDEX('Global inputs'!$C$134:$C$171,MATCH(F589,'Global inputs'!$B$134:$B$171,0))</f>
        <v>Consumer connection</v>
      </c>
      <c r="AE589" s="272">
        <f>IF(OR(H589='Operating leases'!$B$32,H589='Operating leases'!$B$33),"",INDEX('Global inputs'!$C$186:$C$243,MATCH(E589,'Global inputs'!$B$186:$B$243,0)))</f>
        <v>0.1</v>
      </c>
    </row>
    <row r="590" spans="1:31" s="27" customFormat="1" x14ac:dyDescent="0.2">
      <c r="A590" s="250"/>
      <c r="B590" s="210" t="s">
        <v>714</v>
      </c>
      <c r="C590" s="210" t="s">
        <v>287</v>
      </c>
      <c r="D590" s="210" t="s">
        <v>715</v>
      </c>
      <c r="E590" s="210" t="s">
        <v>153</v>
      </c>
      <c r="F590" s="210" t="s">
        <v>94</v>
      </c>
      <c r="G590" s="210" t="s">
        <v>716</v>
      </c>
      <c r="H590" s="197">
        <v>0</v>
      </c>
      <c r="I590" s="210" t="s">
        <v>229</v>
      </c>
      <c r="J590" s="210">
        <v>2022</v>
      </c>
      <c r="K590" s="210">
        <v>2022</v>
      </c>
      <c r="L590" s="268" t="str">
        <f t="shared" si="127"/>
        <v>Simple</v>
      </c>
      <c r="M590" s="197">
        <v>5565.0211769816415</v>
      </c>
      <c r="N590" s="197">
        <v>8347.5317654724604</v>
      </c>
      <c r="O590" s="257">
        <f>IF(ISNA(MATCH(H590,'Operating leases'!$B$32:$B$43,0)),0,INDEX('Operating leases'!$M$32:$S$43,MATCH(H590,'Operating leases'!$B$32:$B$43,0),MATCH(J590,'Operating leases'!$M$11:$S$11,0)))</f>
        <v>0</v>
      </c>
      <c r="P590" s="257">
        <f t="shared" si="128"/>
        <v>5565.0211769816415</v>
      </c>
      <c r="Q590" s="257">
        <f t="shared" si="129"/>
        <v>13912.552942454102</v>
      </c>
      <c r="R590" s="258">
        <f>INDEX('Escalators '!$M$124:$S$129,MATCH(I590,'Escalators '!$B$124:$B$129,0),MATCH(J590,'Escalators '!$M$113:$S$113,0))</f>
        <v>1.0379818100112963</v>
      </c>
      <c r="S590" s="257">
        <f t="shared" si="130"/>
        <v>0</v>
      </c>
      <c r="T590" s="257">
        <f t="shared" si="131"/>
        <v>8664.5861310518958</v>
      </c>
      <c r="U590" s="269">
        <f t="shared" si="132"/>
        <v>5776.390754034599</v>
      </c>
      <c r="V590" s="269">
        <f t="shared" si="133"/>
        <v>14440.976885086495</v>
      </c>
      <c r="W590" s="269">
        <f t="shared" si="134"/>
        <v>5776.390754034599</v>
      </c>
      <c r="X590" s="257">
        <f t="shared" si="135"/>
        <v>14440.976885086495</v>
      </c>
      <c r="Y590" s="270">
        <f>IF(L590="Complex",(INDEX('Escalators '!$M$176:$S$176,MATCH('Forecast capex'!J590,'Escalators '!$M$178:$S$178,0))/12+1)^((K590-J590)*12)-1,0)</f>
        <v>0</v>
      </c>
      <c r="Z590" s="257">
        <f t="shared" si="136"/>
        <v>0</v>
      </c>
      <c r="AA590" s="257">
        <f t="shared" si="137"/>
        <v>0</v>
      </c>
      <c r="AB590" s="269">
        <f t="shared" si="138"/>
        <v>0</v>
      </c>
      <c r="AC590" s="269">
        <f t="shared" si="139"/>
        <v>0</v>
      </c>
      <c r="AD590" s="271" t="str">
        <f>INDEX('Global inputs'!$C$134:$C$171,MATCH(F590,'Global inputs'!$B$134:$B$171,0))</f>
        <v>Consumer connection</v>
      </c>
      <c r="AE590" s="272">
        <f>IF(OR(H590='Operating leases'!$B$32,H590='Operating leases'!$B$33),"",INDEX('Global inputs'!$C$186:$C$243,MATCH(E590,'Global inputs'!$B$186:$B$243,0)))</f>
        <v>0.08</v>
      </c>
    </row>
    <row r="591" spans="1:31" s="27" customFormat="1" x14ac:dyDescent="0.2">
      <c r="A591" s="250"/>
      <c r="B591" s="210" t="s">
        <v>714</v>
      </c>
      <c r="C591" s="210" t="s">
        <v>287</v>
      </c>
      <c r="D591" s="210" t="s">
        <v>715</v>
      </c>
      <c r="E591" s="210" t="s">
        <v>153</v>
      </c>
      <c r="F591" s="210" t="s">
        <v>94</v>
      </c>
      <c r="G591" s="210" t="s">
        <v>716</v>
      </c>
      <c r="H591" s="197">
        <v>0</v>
      </c>
      <c r="I591" s="210" t="s">
        <v>221</v>
      </c>
      <c r="J591" s="210">
        <v>2022</v>
      </c>
      <c r="K591" s="210">
        <v>2022</v>
      </c>
      <c r="L591" s="268" t="str">
        <f t="shared" si="127"/>
        <v>Simple</v>
      </c>
      <c r="M591" s="197">
        <v>5565.0211769816415</v>
      </c>
      <c r="N591" s="197">
        <v>8347.5317654724604</v>
      </c>
      <c r="O591" s="257">
        <f>IF(ISNA(MATCH(H591,'Operating leases'!$B$32:$B$43,0)),0,INDEX('Operating leases'!$M$32:$S$43,MATCH(H591,'Operating leases'!$B$32:$B$43,0),MATCH(J591,'Operating leases'!$M$11:$S$11,0)))</f>
        <v>0</v>
      </c>
      <c r="P591" s="257">
        <f t="shared" si="128"/>
        <v>5565.0211769816415</v>
      </c>
      <c r="Q591" s="257">
        <f t="shared" si="129"/>
        <v>13912.552942454102</v>
      </c>
      <c r="R591" s="258">
        <f>INDEX('Escalators '!$M$124:$S$129,MATCH(I591,'Escalators '!$B$124:$B$129,0),MATCH(J591,'Escalators '!$M$113:$S$113,0))</f>
        <v>1.0272672933956697</v>
      </c>
      <c r="S591" s="257">
        <f t="shared" si="130"/>
        <v>0</v>
      </c>
      <c r="T591" s="257">
        <f t="shared" si="131"/>
        <v>8575.1463632512714</v>
      </c>
      <c r="U591" s="269">
        <f t="shared" si="132"/>
        <v>5716.7642421675137</v>
      </c>
      <c r="V591" s="269">
        <f t="shared" si="133"/>
        <v>14291.910605418785</v>
      </c>
      <c r="W591" s="269">
        <f t="shared" si="134"/>
        <v>5716.7642421675137</v>
      </c>
      <c r="X591" s="257">
        <f t="shared" si="135"/>
        <v>14291.910605418785</v>
      </c>
      <c r="Y591" s="270">
        <f>IF(L591="Complex",(INDEX('Escalators '!$M$176:$S$176,MATCH('Forecast capex'!J591,'Escalators '!$M$178:$S$178,0))/12+1)^((K591-J591)*12)-1,0)</f>
        <v>0</v>
      </c>
      <c r="Z591" s="257">
        <f t="shared" si="136"/>
        <v>0</v>
      </c>
      <c r="AA591" s="257">
        <f t="shared" si="137"/>
        <v>0</v>
      </c>
      <c r="AB591" s="269">
        <f t="shared" si="138"/>
        <v>0</v>
      </c>
      <c r="AC591" s="269">
        <f t="shared" si="139"/>
        <v>0</v>
      </c>
      <c r="AD591" s="271" t="str">
        <f>INDEX('Global inputs'!$C$134:$C$171,MATCH(F591,'Global inputs'!$B$134:$B$171,0))</f>
        <v>Consumer connection</v>
      </c>
      <c r="AE591" s="272">
        <f>IF(OR(H591='Operating leases'!$B$32,H591='Operating leases'!$B$33),"",INDEX('Global inputs'!$C$186:$C$243,MATCH(E591,'Global inputs'!$B$186:$B$243,0)))</f>
        <v>0.08</v>
      </c>
    </row>
    <row r="592" spans="1:31" s="27" customFormat="1" x14ac:dyDescent="0.2">
      <c r="A592" s="250"/>
      <c r="B592" s="210" t="s">
        <v>714</v>
      </c>
      <c r="C592" s="210" t="s">
        <v>287</v>
      </c>
      <c r="D592" s="210" t="s">
        <v>715</v>
      </c>
      <c r="E592" s="210" t="s">
        <v>154</v>
      </c>
      <c r="F592" s="210" t="s">
        <v>94</v>
      </c>
      <c r="G592" s="210" t="s">
        <v>716</v>
      </c>
      <c r="H592" s="197">
        <v>0</v>
      </c>
      <c r="I592" s="210" t="s">
        <v>229</v>
      </c>
      <c r="J592" s="210">
        <v>2022</v>
      </c>
      <c r="K592" s="210">
        <v>2022</v>
      </c>
      <c r="L592" s="268" t="str">
        <f t="shared" si="127"/>
        <v>Simple</v>
      </c>
      <c r="M592" s="197">
        <v>5565.0211769816415</v>
      </c>
      <c r="N592" s="197">
        <v>8347.5317654724604</v>
      </c>
      <c r="O592" s="257">
        <f>IF(ISNA(MATCH(H592,'Operating leases'!$B$32:$B$43,0)),0,INDEX('Operating leases'!$M$32:$S$43,MATCH(H592,'Operating leases'!$B$32:$B$43,0),MATCH(J592,'Operating leases'!$M$11:$S$11,0)))</f>
        <v>0</v>
      </c>
      <c r="P592" s="257">
        <f t="shared" si="128"/>
        <v>5565.0211769816415</v>
      </c>
      <c r="Q592" s="257">
        <f t="shared" si="129"/>
        <v>13912.552942454102</v>
      </c>
      <c r="R592" s="258">
        <f>INDEX('Escalators '!$M$124:$S$129,MATCH(I592,'Escalators '!$B$124:$B$129,0),MATCH(J592,'Escalators '!$M$113:$S$113,0))</f>
        <v>1.0379818100112963</v>
      </c>
      <c r="S592" s="257">
        <f t="shared" si="130"/>
        <v>0</v>
      </c>
      <c r="T592" s="257">
        <f t="shared" si="131"/>
        <v>8664.5861310518958</v>
      </c>
      <c r="U592" s="269">
        <f t="shared" si="132"/>
        <v>5776.390754034599</v>
      </c>
      <c r="V592" s="269">
        <f t="shared" si="133"/>
        <v>14440.976885086495</v>
      </c>
      <c r="W592" s="269">
        <f t="shared" si="134"/>
        <v>5776.390754034599</v>
      </c>
      <c r="X592" s="257">
        <f t="shared" si="135"/>
        <v>14440.976885086495</v>
      </c>
      <c r="Y592" s="270">
        <f>IF(L592="Complex",(INDEX('Escalators '!$M$176:$S$176,MATCH('Forecast capex'!J592,'Escalators '!$M$178:$S$178,0))/12+1)^((K592-J592)*12)-1,0)</f>
        <v>0</v>
      </c>
      <c r="Z592" s="257">
        <f t="shared" si="136"/>
        <v>0</v>
      </c>
      <c r="AA592" s="257">
        <f t="shared" si="137"/>
        <v>0</v>
      </c>
      <c r="AB592" s="269">
        <f t="shared" si="138"/>
        <v>0</v>
      </c>
      <c r="AC592" s="269">
        <f t="shared" si="139"/>
        <v>0</v>
      </c>
      <c r="AD592" s="271" t="str">
        <f>INDEX('Global inputs'!$C$134:$C$171,MATCH(F592,'Global inputs'!$B$134:$B$171,0))</f>
        <v>Consumer connection</v>
      </c>
      <c r="AE592" s="272">
        <f>IF(OR(H592='Operating leases'!$B$32,H592='Operating leases'!$B$33),"",INDEX('Global inputs'!$C$186:$C$243,MATCH(E592,'Global inputs'!$B$186:$B$243,0)))</f>
        <v>0.1</v>
      </c>
    </row>
    <row r="593" spans="1:31" s="27" customFormat="1" x14ac:dyDescent="0.2">
      <c r="A593" s="250"/>
      <c r="B593" s="210" t="s">
        <v>714</v>
      </c>
      <c r="C593" s="210" t="s">
        <v>287</v>
      </c>
      <c r="D593" s="210" t="s">
        <v>715</v>
      </c>
      <c r="E593" s="210" t="s">
        <v>154</v>
      </c>
      <c r="F593" s="210" t="s">
        <v>94</v>
      </c>
      <c r="G593" s="210" t="s">
        <v>716</v>
      </c>
      <c r="H593" s="197">
        <v>0</v>
      </c>
      <c r="I593" s="210" t="s">
        <v>221</v>
      </c>
      <c r="J593" s="210">
        <v>2022</v>
      </c>
      <c r="K593" s="210">
        <v>2022</v>
      </c>
      <c r="L593" s="268" t="str">
        <f t="shared" si="127"/>
        <v>Simple</v>
      </c>
      <c r="M593" s="197">
        <v>5565.0211769816415</v>
      </c>
      <c r="N593" s="197">
        <v>8347.5317654724604</v>
      </c>
      <c r="O593" s="257">
        <f>IF(ISNA(MATCH(H593,'Operating leases'!$B$32:$B$43,0)),0,INDEX('Operating leases'!$M$32:$S$43,MATCH(H593,'Operating leases'!$B$32:$B$43,0),MATCH(J593,'Operating leases'!$M$11:$S$11,0)))</f>
        <v>0</v>
      </c>
      <c r="P593" s="257">
        <f t="shared" si="128"/>
        <v>5565.0211769816415</v>
      </c>
      <c r="Q593" s="257">
        <f t="shared" si="129"/>
        <v>13912.552942454102</v>
      </c>
      <c r="R593" s="258">
        <f>INDEX('Escalators '!$M$124:$S$129,MATCH(I593,'Escalators '!$B$124:$B$129,0),MATCH(J593,'Escalators '!$M$113:$S$113,0))</f>
        <v>1.0272672933956697</v>
      </c>
      <c r="S593" s="257">
        <f t="shared" si="130"/>
        <v>0</v>
      </c>
      <c r="T593" s="257">
        <f t="shared" si="131"/>
        <v>8575.1463632512714</v>
      </c>
      <c r="U593" s="269">
        <f t="shared" si="132"/>
        <v>5716.7642421675137</v>
      </c>
      <c r="V593" s="269">
        <f t="shared" si="133"/>
        <v>14291.910605418785</v>
      </c>
      <c r="W593" s="269">
        <f t="shared" si="134"/>
        <v>5716.7642421675137</v>
      </c>
      <c r="X593" s="257">
        <f t="shared" si="135"/>
        <v>14291.910605418785</v>
      </c>
      <c r="Y593" s="270">
        <f>IF(L593="Complex",(INDEX('Escalators '!$M$176:$S$176,MATCH('Forecast capex'!J593,'Escalators '!$M$178:$S$178,0))/12+1)^((K593-J593)*12)-1,0)</f>
        <v>0</v>
      </c>
      <c r="Z593" s="257">
        <f t="shared" si="136"/>
        <v>0</v>
      </c>
      <c r="AA593" s="257">
        <f t="shared" si="137"/>
        <v>0</v>
      </c>
      <c r="AB593" s="269">
        <f t="shared" si="138"/>
        <v>0</v>
      </c>
      <c r="AC593" s="269">
        <f t="shared" si="139"/>
        <v>0</v>
      </c>
      <c r="AD593" s="271" t="str">
        <f>INDEX('Global inputs'!$C$134:$C$171,MATCH(F593,'Global inputs'!$B$134:$B$171,0))</f>
        <v>Consumer connection</v>
      </c>
      <c r="AE593" s="272">
        <f>IF(OR(H593='Operating leases'!$B$32,H593='Operating leases'!$B$33),"",INDEX('Global inputs'!$C$186:$C$243,MATCH(E593,'Global inputs'!$B$186:$B$243,0)))</f>
        <v>0.1</v>
      </c>
    </row>
    <row r="594" spans="1:31" s="27" customFormat="1" x14ac:dyDescent="0.2">
      <c r="A594" s="250"/>
      <c r="B594" s="210" t="s">
        <v>714</v>
      </c>
      <c r="C594" s="210" t="s">
        <v>284</v>
      </c>
      <c r="D594" s="210" t="s">
        <v>715</v>
      </c>
      <c r="E594" s="210" t="s">
        <v>127</v>
      </c>
      <c r="F594" s="210" t="s">
        <v>94</v>
      </c>
      <c r="G594" s="210" t="s">
        <v>717</v>
      </c>
      <c r="H594" s="197">
        <v>0</v>
      </c>
      <c r="I594" s="210" t="s">
        <v>229</v>
      </c>
      <c r="J594" s="210">
        <v>2022</v>
      </c>
      <c r="K594" s="210">
        <v>2022</v>
      </c>
      <c r="L594" s="268" t="str">
        <f t="shared" si="127"/>
        <v>Simple</v>
      </c>
      <c r="M594" s="197">
        <v>142.69285069183695</v>
      </c>
      <c r="N594" s="197">
        <v>214.0392760377554</v>
      </c>
      <c r="O594" s="257">
        <f>IF(ISNA(MATCH(H594,'Operating leases'!$B$32:$B$43,0)),0,INDEX('Operating leases'!$M$32:$S$43,MATCH(H594,'Operating leases'!$B$32:$B$43,0),MATCH(J594,'Operating leases'!$M$11:$S$11,0)))</f>
        <v>0</v>
      </c>
      <c r="P594" s="257">
        <f t="shared" si="128"/>
        <v>142.69285069183695</v>
      </c>
      <c r="Q594" s="257">
        <f t="shared" si="129"/>
        <v>356.73212672959232</v>
      </c>
      <c r="R594" s="258">
        <f>INDEX('Escalators '!$M$124:$S$129,MATCH(I594,'Escalators '!$B$124:$B$129,0),MATCH(J594,'Escalators '!$M$113:$S$113,0))</f>
        <v>1.0379818100112963</v>
      </c>
      <c r="S594" s="257">
        <f t="shared" si="130"/>
        <v>0</v>
      </c>
      <c r="T594" s="257">
        <f t="shared" si="131"/>
        <v>222.16887515517683</v>
      </c>
      <c r="U594" s="269">
        <f t="shared" si="132"/>
        <v>148.11258343678455</v>
      </c>
      <c r="V594" s="269">
        <f t="shared" si="133"/>
        <v>370.28145859196138</v>
      </c>
      <c r="W594" s="269">
        <f t="shared" si="134"/>
        <v>148.11258343678455</v>
      </c>
      <c r="X594" s="257">
        <f t="shared" si="135"/>
        <v>370.28145859196138</v>
      </c>
      <c r="Y594" s="270">
        <f>IF(L594="Complex",(INDEX('Escalators '!$M$176:$S$176,MATCH('Forecast capex'!J594,'Escalators '!$M$178:$S$178,0))/12+1)^((K594-J594)*12)-1,0)</f>
        <v>0</v>
      </c>
      <c r="Z594" s="257">
        <f t="shared" si="136"/>
        <v>0</v>
      </c>
      <c r="AA594" s="257">
        <f t="shared" si="137"/>
        <v>0</v>
      </c>
      <c r="AB594" s="269">
        <f t="shared" si="138"/>
        <v>0</v>
      </c>
      <c r="AC594" s="269">
        <f t="shared" si="139"/>
        <v>0</v>
      </c>
      <c r="AD594" s="271" t="str">
        <f>INDEX('Global inputs'!$C$134:$C$171,MATCH(F594,'Global inputs'!$B$134:$B$171,0))</f>
        <v>Consumer connection</v>
      </c>
      <c r="AE594" s="272">
        <f>IF(OR(H594='Operating leases'!$B$32,H594='Operating leases'!$B$33),"",INDEX('Global inputs'!$C$186:$C$243,MATCH(E594,'Global inputs'!$B$186:$B$243,0)))</f>
        <v>0.08</v>
      </c>
    </row>
    <row r="595" spans="1:31" s="27" customFormat="1" x14ac:dyDescent="0.2">
      <c r="A595" s="250"/>
      <c r="B595" s="210" t="s">
        <v>714</v>
      </c>
      <c r="C595" s="210" t="s">
        <v>284</v>
      </c>
      <c r="D595" s="210" t="s">
        <v>715</v>
      </c>
      <c r="E595" s="210" t="s">
        <v>127</v>
      </c>
      <c r="F595" s="210" t="s">
        <v>94</v>
      </c>
      <c r="G595" s="210" t="s">
        <v>717</v>
      </c>
      <c r="H595" s="197">
        <v>0</v>
      </c>
      <c r="I595" s="210" t="s">
        <v>221</v>
      </c>
      <c r="J595" s="210">
        <v>2022</v>
      </c>
      <c r="K595" s="210">
        <v>2022</v>
      </c>
      <c r="L595" s="268" t="str">
        <f t="shared" si="127"/>
        <v>Simple</v>
      </c>
      <c r="M595" s="197">
        <v>142.69285069183695</v>
      </c>
      <c r="N595" s="197">
        <v>214.0392760377554</v>
      </c>
      <c r="O595" s="257">
        <f>IF(ISNA(MATCH(H595,'Operating leases'!$B$32:$B$43,0)),0,INDEX('Operating leases'!$M$32:$S$43,MATCH(H595,'Operating leases'!$B$32:$B$43,0),MATCH(J595,'Operating leases'!$M$11:$S$11,0)))</f>
        <v>0</v>
      </c>
      <c r="P595" s="257">
        <f t="shared" si="128"/>
        <v>142.69285069183695</v>
      </c>
      <c r="Q595" s="257">
        <f t="shared" si="129"/>
        <v>356.73212672959232</v>
      </c>
      <c r="R595" s="258">
        <f>INDEX('Escalators '!$M$124:$S$129,MATCH(I595,'Escalators '!$B$124:$B$129,0),MATCH(J595,'Escalators '!$M$113:$S$113,0))</f>
        <v>1.0272672933956697</v>
      </c>
      <c r="S595" s="257">
        <f t="shared" si="130"/>
        <v>0</v>
      </c>
      <c r="T595" s="257">
        <f t="shared" si="131"/>
        <v>219.8755477756736</v>
      </c>
      <c r="U595" s="269">
        <f t="shared" si="132"/>
        <v>146.58369851711572</v>
      </c>
      <c r="V595" s="269">
        <f t="shared" si="133"/>
        <v>366.45924629278932</v>
      </c>
      <c r="W595" s="269">
        <f t="shared" si="134"/>
        <v>146.58369851711572</v>
      </c>
      <c r="X595" s="257">
        <f t="shared" si="135"/>
        <v>366.45924629278932</v>
      </c>
      <c r="Y595" s="270">
        <f>IF(L595="Complex",(INDEX('Escalators '!$M$176:$S$176,MATCH('Forecast capex'!J595,'Escalators '!$M$178:$S$178,0))/12+1)^((K595-J595)*12)-1,0)</f>
        <v>0</v>
      </c>
      <c r="Z595" s="257">
        <f t="shared" si="136"/>
        <v>0</v>
      </c>
      <c r="AA595" s="257">
        <f t="shared" si="137"/>
        <v>0</v>
      </c>
      <c r="AB595" s="269">
        <f t="shared" si="138"/>
        <v>0</v>
      </c>
      <c r="AC595" s="269">
        <f t="shared" si="139"/>
        <v>0</v>
      </c>
      <c r="AD595" s="271" t="str">
        <f>INDEX('Global inputs'!$C$134:$C$171,MATCH(F595,'Global inputs'!$B$134:$B$171,0))</f>
        <v>Consumer connection</v>
      </c>
      <c r="AE595" s="272">
        <f>IF(OR(H595='Operating leases'!$B$32,H595='Operating leases'!$B$33),"",INDEX('Global inputs'!$C$186:$C$243,MATCH(E595,'Global inputs'!$B$186:$B$243,0)))</f>
        <v>0.08</v>
      </c>
    </row>
    <row r="596" spans="1:31" s="27" customFormat="1" x14ac:dyDescent="0.2">
      <c r="A596" s="250"/>
      <c r="B596" s="210" t="s">
        <v>714</v>
      </c>
      <c r="C596" s="210" t="s">
        <v>284</v>
      </c>
      <c r="D596" s="210" t="s">
        <v>715</v>
      </c>
      <c r="E596" s="210" t="s">
        <v>129</v>
      </c>
      <c r="F596" s="210" t="s">
        <v>94</v>
      </c>
      <c r="G596" s="210" t="s">
        <v>717</v>
      </c>
      <c r="H596" s="197">
        <v>0</v>
      </c>
      <c r="I596" s="210" t="s">
        <v>229</v>
      </c>
      <c r="J596" s="210">
        <v>2022</v>
      </c>
      <c r="K596" s="210">
        <v>2022</v>
      </c>
      <c r="L596" s="268" t="str">
        <f t="shared" si="127"/>
        <v>Simple</v>
      </c>
      <c r="M596" s="197">
        <v>142.69285069183695</v>
      </c>
      <c r="N596" s="197">
        <v>214.0392760377554</v>
      </c>
      <c r="O596" s="257">
        <f>IF(ISNA(MATCH(H596,'Operating leases'!$B$32:$B$43,0)),0,INDEX('Operating leases'!$M$32:$S$43,MATCH(H596,'Operating leases'!$B$32:$B$43,0),MATCH(J596,'Operating leases'!$M$11:$S$11,0)))</f>
        <v>0</v>
      </c>
      <c r="P596" s="257">
        <f t="shared" si="128"/>
        <v>142.69285069183695</v>
      </c>
      <c r="Q596" s="257">
        <f t="shared" si="129"/>
        <v>356.73212672959232</v>
      </c>
      <c r="R596" s="258">
        <f>INDEX('Escalators '!$M$124:$S$129,MATCH(I596,'Escalators '!$B$124:$B$129,0),MATCH(J596,'Escalators '!$M$113:$S$113,0))</f>
        <v>1.0379818100112963</v>
      </c>
      <c r="S596" s="257">
        <f t="shared" si="130"/>
        <v>0</v>
      </c>
      <c r="T596" s="257">
        <f t="shared" si="131"/>
        <v>222.16887515517683</v>
      </c>
      <c r="U596" s="269">
        <f t="shared" si="132"/>
        <v>148.11258343678455</v>
      </c>
      <c r="V596" s="269">
        <f t="shared" si="133"/>
        <v>370.28145859196138</v>
      </c>
      <c r="W596" s="269">
        <f t="shared" si="134"/>
        <v>148.11258343678455</v>
      </c>
      <c r="X596" s="257">
        <f t="shared" si="135"/>
        <v>370.28145859196138</v>
      </c>
      <c r="Y596" s="270">
        <f>IF(L596="Complex",(INDEX('Escalators '!$M$176:$S$176,MATCH('Forecast capex'!J596,'Escalators '!$M$178:$S$178,0))/12+1)^((K596-J596)*12)-1,0)</f>
        <v>0</v>
      </c>
      <c r="Z596" s="257">
        <f t="shared" si="136"/>
        <v>0</v>
      </c>
      <c r="AA596" s="257">
        <f t="shared" si="137"/>
        <v>0</v>
      </c>
      <c r="AB596" s="269">
        <f t="shared" si="138"/>
        <v>0</v>
      </c>
      <c r="AC596" s="269">
        <f t="shared" si="139"/>
        <v>0</v>
      </c>
      <c r="AD596" s="271" t="str">
        <f>INDEX('Global inputs'!$C$134:$C$171,MATCH(F596,'Global inputs'!$B$134:$B$171,0))</f>
        <v>Consumer connection</v>
      </c>
      <c r="AE596" s="272">
        <f>IF(OR(H596='Operating leases'!$B$32,H596='Operating leases'!$B$33),"",INDEX('Global inputs'!$C$186:$C$243,MATCH(E596,'Global inputs'!$B$186:$B$243,0)))</f>
        <v>0.1</v>
      </c>
    </row>
    <row r="597" spans="1:31" s="27" customFormat="1" x14ac:dyDescent="0.2">
      <c r="A597" s="250"/>
      <c r="B597" s="210" t="s">
        <v>714</v>
      </c>
      <c r="C597" s="210" t="s">
        <v>284</v>
      </c>
      <c r="D597" s="210" t="s">
        <v>715</v>
      </c>
      <c r="E597" s="210" t="s">
        <v>129</v>
      </c>
      <c r="F597" s="210" t="s">
        <v>94</v>
      </c>
      <c r="G597" s="210" t="s">
        <v>717</v>
      </c>
      <c r="H597" s="197">
        <v>0</v>
      </c>
      <c r="I597" s="210" t="s">
        <v>221</v>
      </c>
      <c r="J597" s="210">
        <v>2022</v>
      </c>
      <c r="K597" s="210">
        <v>2022</v>
      </c>
      <c r="L597" s="268" t="str">
        <f t="shared" si="127"/>
        <v>Simple</v>
      </c>
      <c r="M597" s="197">
        <v>142.69285069183695</v>
      </c>
      <c r="N597" s="197">
        <v>214.0392760377554</v>
      </c>
      <c r="O597" s="257">
        <f>IF(ISNA(MATCH(H597,'Operating leases'!$B$32:$B$43,0)),0,INDEX('Operating leases'!$M$32:$S$43,MATCH(H597,'Operating leases'!$B$32:$B$43,0),MATCH(J597,'Operating leases'!$M$11:$S$11,0)))</f>
        <v>0</v>
      </c>
      <c r="P597" s="257">
        <f t="shared" si="128"/>
        <v>142.69285069183695</v>
      </c>
      <c r="Q597" s="257">
        <f t="shared" si="129"/>
        <v>356.73212672959232</v>
      </c>
      <c r="R597" s="258">
        <f>INDEX('Escalators '!$M$124:$S$129,MATCH(I597,'Escalators '!$B$124:$B$129,0),MATCH(J597,'Escalators '!$M$113:$S$113,0))</f>
        <v>1.0272672933956697</v>
      </c>
      <c r="S597" s="257">
        <f t="shared" si="130"/>
        <v>0</v>
      </c>
      <c r="T597" s="257">
        <f t="shared" si="131"/>
        <v>219.8755477756736</v>
      </c>
      <c r="U597" s="269">
        <f t="shared" si="132"/>
        <v>146.58369851711572</v>
      </c>
      <c r="V597" s="269">
        <f t="shared" si="133"/>
        <v>366.45924629278932</v>
      </c>
      <c r="W597" s="269">
        <f t="shared" si="134"/>
        <v>146.58369851711572</v>
      </c>
      <c r="X597" s="257">
        <f t="shared" si="135"/>
        <v>366.45924629278932</v>
      </c>
      <c r="Y597" s="270">
        <f>IF(L597="Complex",(INDEX('Escalators '!$M$176:$S$176,MATCH('Forecast capex'!J597,'Escalators '!$M$178:$S$178,0))/12+1)^((K597-J597)*12)-1,0)</f>
        <v>0</v>
      </c>
      <c r="Z597" s="257">
        <f t="shared" si="136"/>
        <v>0</v>
      </c>
      <c r="AA597" s="257">
        <f t="shared" si="137"/>
        <v>0</v>
      </c>
      <c r="AB597" s="269">
        <f t="shared" si="138"/>
        <v>0</v>
      </c>
      <c r="AC597" s="269">
        <f t="shared" si="139"/>
        <v>0</v>
      </c>
      <c r="AD597" s="271" t="str">
        <f>INDEX('Global inputs'!$C$134:$C$171,MATCH(F597,'Global inputs'!$B$134:$B$171,0))</f>
        <v>Consumer connection</v>
      </c>
      <c r="AE597" s="272">
        <f>IF(OR(H597='Operating leases'!$B$32,H597='Operating leases'!$B$33),"",INDEX('Global inputs'!$C$186:$C$243,MATCH(E597,'Global inputs'!$B$186:$B$243,0)))</f>
        <v>0.1</v>
      </c>
    </row>
    <row r="598" spans="1:31" s="27" customFormat="1" x14ac:dyDescent="0.2">
      <c r="A598" s="250"/>
      <c r="B598" s="210" t="s">
        <v>714</v>
      </c>
      <c r="C598" s="210" t="s">
        <v>287</v>
      </c>
      <c r="D598" s="210" t="s">
        <v>715</v>
      </c>
      <c r="E598" s="210" t="s">
        <v>150</v>
      </c>
      <c r="F598" s="210" t="s">
        <v>94</v>
      </c>
      <c r="G598" s="210" t="s">
        <v>717</v>
      </c>
      <c r="H598" s="197">
        <v>0</v>
      </c>
      <c r="I598" s="210" t="s">
        <v>229</v>
      </c>
      <c r="J598" s="210">
        <v>2022</v>
      </c>
      <c r="K598" s="210">
        <v>2022</v>
      </c>
      <c r="L598" s="268" t="str">
        <f t="shared" si="127"/>
        <v>Simple</v>
      </c>
      <c r="M598" s="197">
        <v>8561.5710415102167</v>
      </c>
      <c r="N598" s="197">
        <v>12842.356562265324</v>
      </c>
      <c r="O598" s="257">
        <f>IF(ISNA(MATCH(H598,'Operating leases'!$B$32:$B$43,0)),0,INDEX('Operating leases'!$M$32:$S$43,MATCH(H598,'Operating leases'!$B$32:$B$43,0),MATCH(J598,'Operating leases'!$M$11:$S$11,0)))</f>
        <v>0</v>
      </c>
      <c r="P598" s="257">
        <f t="shared" si="128"/>
        <v>8561.5710415102167</v>
      </c>
      <c r="Q598" s="257">
        <f t="shared" si="129"/>
        <v>21403.927603775541</v>
      </c>
      <c r="R598" s="258">
        <f>INDEX('Escalators '!$M$124:$S$129,MATCH(I598,'Escalators '!$B$124:$B$129,0),MATCH(J598,'Escalators '!$M$113:$S$113,0))</f>
        <v>1.0379818100112963</v>
      </c>
      <c r="S598" s="257">
        <f t="shared" si="130"/>
        <v>0</v>
      </c>
      <c r="T598" s="257">
        <f t="shared" si="131"/>
        <v>13330.13250931061</v>
      </c>
      <c r="U598" s="269">
        <f t="shared" si="132"/>
        <v>8886.7550062070732</v>
      </c>
      <c r="V598" s="269">
        <f t="shared" si="133"/>
        <v>22216.887515517683</v>
      </c>
      <c r="W598" s="269">
        <f t="shared" si="134"/>
        <v>8886.7550062070732</v>
      </c>
      <c r="X598" s="257">
        <f t="shared" si="135"/>
        <v>22216.887515517683</v>
      </c>
      <c r="Y598" s="270">
        <f>IF(L598="Complex",(INDEX('Escalators '!$M$176:$S$176,MATCH('Forecast capex'!J598,'Escalators '!$M$178:$S$178,0))/12+1)^((K598-J598)*12)-1,0)</f>
        <v>0</v>
      </c>
      <c r="Z598" s="257">
        <f t="shared" si="136"/>
        <v>0</v>
      </c>
      <c r="AA598" s="257">
        <f t="shared" si="137"/>
        <v>0</v>
      </c>
      <c r="AB598" s="269">
        <f t="shared" si="138"/>
        <v>0</v>
      </c>
      <c r="AC598" s="269">
        <f t="shared" si="139"/>
        <v>0</v>
      </c>
      <c r="AD598" s="271" t="str">
        <f>INDEX('Global inputs'!$C$134:$C$171,MATCH(F598,'Global inputs'!$B$134:$B$171,0))</f>
        <v>Consumer connection</v>
      </c>
      <c r="AE598" s="272">
        <f>IF(OR(H598='Operating leases'!$B$32,H598='Operating leases'!$B$33),"",INDEX('Global inputs'!$C$186:$C$243,MATCH(E598,'Global inputs'!$B$186:$B$243,0)))</f>
        <v>0.08</v>
      </c>
    </row>
    <row r="599" spans="1:31" s="27" customFormat="1" x14ac:dyDescent="0.2">
      <c r="A599" s="250"/>
      <c r="B599" s="210" t="s">
        <v>714</v>
      </c>
      <c r="C599" s="210" t="s">
        <v>287</v>
      </c>
      <c r="D599" s="210" t="s">
        <v>715</v>
      </c>
      <c r="E599" s="210" t="s">
        <v>150</v>
      </c>
      <c r="F599" s="210" t="s">
        <v>94</v>
      </c>
      <c r="G599" s="210" t="s">
        <v>717</v>
      </c>
      <c r="H599" s="197">
        <v>0</v>
      </c>
      <c r="I599" s="210" t="s">
        <v>221</v>
      </c>
      <c r="J599" s="210">
        <v>2022</v>
      </c>
      <c r="K599" s="210">
        <v>2022</v>
      </c>
      <c r="L599" s="268" t="str">
        <f t="shared" si="127"/>
        <v>Simple</v>
      </c>
      <c r="M599" s="197">
        <v>8561.5710415102167</v>
      </c>
      <c r="N599" s="197">
        <v>12842.356562265324</v>
      </c>
      <c r="O599" s="257">
        <f>IF(ISNA(MATCH(H599,'Operating leases'!$B$32:$B$43,0)),0,INDEX('Operating leases'!$M$32:$S$43,MATCH(H599,'Operating leases'!$B$32:$B$43,0),MATCH(J599,'Operating leases'!$M$11:$S$11,0)))</f>
        <v>0</v>
      </c>
      <c r="P599" s="257">
        <f t="shared" si="128"/>
        <v>8561.5710415102167</v>
      </c>
      <c r="Q599" s="257">
        <f t="shared" si="129"/>
        <v>21403.927603775541</v>
      </c>
      <c r="R599" s="258">
        <f>INDEX('Escalators '!$M$124:$S$129,MATCH(I599,'Escalators '!$B$124:$B$129,0),MATCH(J599,'Escalators '!$M$113:$S$113,0))</f>
        <v>1.0272672933956697</v>
      </c>
      <c r="S599" s="257">
        <f t="shared" si="130"/>
        <v>0</v>
      </c>
      <c r="T599" s="257">
        <f t="shared" si="131"/>
        <v>13192.532866540416</v>
      </c>
      <c r="U599" s="269">
        <f t="shared" si="132"/>
        <v>8795.0219110269463</v>
      </c>
      <c r="V599" s="269">
        <f t="shared" si="133"/>
        <v>21987.554777567362</v>
      </c>
      <c r="W599" s="269">
        <f t="shared" si="134"/>
        <v>8795.0219110269463</v>
      </c>
      <c r="X599" s="257">
        <f t="shared" si="135"/>
        <v>21987.554777567362</v>
      </c>
      <c r="Y599" s="270">
        <f>IF(L599="Complex",(INDEX('Escalators '!$M$176:$S$176,MATCH('Forecast capex'!J599,'Escalators '!$M$178:$S$178,0))/12+1)^((K599-J599)*12)-1,0)</f>
        <v>0</v>
      </c>
      <c r="Z599" s="257">
        <f t="shared" si="136"/>
        <v>0</v>
      </c>
      <c r="AA599" s="257">
        <f t="shared" si="137"/>
        <v>0</v>
      </c>
      <c r="AB599" s="269">
        <f t="shared" si="138"/>
        <v>0</v>
      </c>
      <c r="AC599" s="269">
        <f t="shared" si="139"/>
        <v>0</v>
      </c>
      <c r="AD599" s="271" t="str">
        <f>INDEX('Global inputs'!$C$134:$C$171,MATCH(F599,'Global inputs'!$B$134:$B$171,0))</f>
        <v>Consumer connection</v>
      </c>
      <c r="AE599" s="272">
        <f>IF(OR(H599='Operating leases'!$B$32,H599='Operating leases'!$B$33),"",INDEX('Global inputs'!$C$186:$C$243,MATCH(E599,'Global inputs'!$B$186:$B$243,0)))</f>
        <v>0.08</v>
      </c>
    </row>
    <row r="600" spans="1:31" s="27" customFormat="1" x14ac:dyDescent="0.2">
      <c r="A600" s="250"/>
      <c r="B600" s="210" t="s">
        <v>714</v>
      </c>
      <c r="C600" s="210" t="s">
        <v>287</v>
      </c>
      <c r="D600" s="210" t="s">
        <v>715</v>
      </c>
      <c r="E600" s="210" t="s">
        <v>151</v>
      </c>
      <c r="F600" s="210" t="s">
        <v>94</v>
      </c>
      <c r="G600" s="210" t="s">
        <v>717</v>
      </c>
      <c r="H600" s="197">
        <v>0</v>
      </c>
      <c r="I600" s="210" t="s">
        <v>229</v>
      </c>
      <c r="J600" s="210">
        <v>2022</v>
      </c>
      <c r="K600" s="210">
        <v>2022</v>
      </c>
      <c r="L600" s="268" t="str">
        <f t="shared" si="127"/>
        <v>Simple</v>
      </c>
      <c r="M600" s="197">
        <v>8561.5710415102167</v>
      </c>
      <c r="N600" s="197">
        <v>12842.356562265324</v>
      </c>
      <c r="O600" s="257">
        <f>IF(ISNA(MATCH(H600,'Operating leases'!$B$32:$B$43,0)),0,INDEX('Operating leases'!$M$32:$S$43,MATCH(H600,'Operating leases'!$B$32:$B$43,0),MATCH(J600,'Operating leases'!$M$11:$S$11,0)))</f>
        <v>0</v>
      </c>
      <c r="P600" s="257">
        <f t="shared" si="128"/>
        <v>8561.5710415102167</v>
      </c>
      <c r="Q600" s="257">
        <f t="shared" si="129"/>
        <v>21403.927603775541</v>
      </c>
      <c r="R600" s="258">
        <f>INDEX('Escalators '!$M$124:$S$129,MATCH(I600,'Escalators '!$B$124:$B$129,0),MATCH(J600,'Escalators '!$M$113:$S$113,0))</f>
        <v>1.0379818100112963</v>
      </c>
      <c r="S600" s="257">
        <f t="shared" si="130"/>
        <v>0</v>
      </c>
      <c r="T600" s="257">
        <f t="shared" si="131"/>
        <v>13330.13250931061</v>
      </c>
      <c r="U600" s="269">
        <f t="shared" si="132"/>
        <v>8886.7550062070732</v>
      </c>
      <c r="V600" s="269">
        <f t="shared" si="133"/>
        <v>22216.887515517683</v>
      </c>
      <c r="W600" s="269">
        <f t="shared" si="134"/>
        <v>8886.7550062070732</v>
      </c>
      <c r="X600" s="257">
        <f t="shared" si="135"/>
        <v>22216.887515517683</v>
      </c>
      <c r="Y600" s="270">
        <f>IF(L600="Complex",(INDEX('Escalators '!$M$176:$S$176,MATCH('Forecast capex'!J600,'Escalators '!$M$178:$S$178,0))/12+1)^((K600-J600)*12)-1,0)</f>
        <v>0</v>
      </c>
      <c r="Z600" s="257">
        <f t="shared" si="136"/>
        <v>0</v>
      </c>
      <c r="AA600" s="257">
        <f t="shared" si="137"/>
        <v>0</v>
      </c>
      <c r="AB600" s="269">
        <f t="shared" si="138"/>
        <v>0</v>
      </c>
      <c r="AC600" s="269">
        <f t="shared" si="139"/>
        <v>0</v>
      </c>
      <c r="AD600" s="271" t="str">
        <f>INDEX('Global inputs'!$C$134:$C$171,MATCH(F600,'Global inputs'!$B$134:$B$171,0))</f>
        <v>Consumer connection</v>
      </c>
      <c r="AE600" s="272">
        <f>IF(OR(H600='Operating leases'!$B$32,H600='Operating leases'!$B$33),"",INDEX('Global inputs'!$C$186:$C$243,MATCH(E600,'Global inputs'!$B$186:$B$243,0)))</f>
        <v>0.1</v>
      </c>
    </row>
    <row r="601" spans="1:31" s="27" customFormat="1" x14ac:dyDescent="0.2">
      <c r="A601" s="250"/>
      <c r="B601" s="210" t="s">
        <v>714</v>
      </c>
      <c r="C601" s="210" t="s">
        <v>287</v>
      </c>
      <c r="D601" s="210" t="s">
        <v>715</v>
      </c>
      <c r="E601" s="210" t="s">
        <v>151</v>
      </c>
      <c r="F601" s="210" t="s">
        <v>94</v>
      </c>
      <c r="G601" s="210" t="s">
        <v>717</v>
      </c>
      <c r="H601" s="197">
        <v>0</v>
      </c>
      <c r="I601" s="210" t="s">
        <v>221</v>
      </c>
      <c r="J601" s="210">
        <v>2022</v>
      </c>
      <c r="K601" s="210">
        <v>2022</v>
      </c>
      <c r="L601" s="268" t="str">
        <f t="shared" si="127"/>
        <v>Simple</v>
      </c>
      <c r="M601" s="197">
        <v>8561.5710415102167</v>
      </c>
      <c r="N601" s="197">
        <v>12842.356562265324</v>
      </c>
      <c r="O601" s="257">
        <f>IF(ISNA(MATCH(H601,'Operating leases'!$B$32:$B$43,0)),0,INDEX('Operating leases'!$M$32:$S$43,MATCH(H601,'Operating leases'!$B$32:$B$43,0),MATCH(J601,'Operating leases'!$M$11:$S$11,0)))</f>
        <v>0</v>
      </c>
      <c r="P601" s="257">
        <f t="shared" si="128"/>
        <v>8561.5710415102167</v>
      </c>
      <c r="Q601" s="257">
        <f t="shared" si="129"/>
        <v>21403.927603775541</v>
      </c>
      <c r="R601" s="258">
        <f>INDEX('Escalators '!$M$124:$S$129,MATCH(I601,'Escalators '!$B$124:$B$129,0),MATCH(J601,'Escalators '!$M$113:$S$113,0))</f>
        <v>1.0272672933956697</v>
      </c>
      <c r="S601" s="257">
        <f t="shared" si="130"/>
        <v>0</v>
      </c>
      <c r="T601" s="257">
        <f t="shared" si="131"/>
        <v>13192.532866540416</v>
      </c>
      <c r="U601" s="269">
        <f t="shared" si="132"/>
        <v>8795.0219110269463</v>
      </c>
      <c r="V601" s="269">
        <f t="shared" si="133"/>
        <v>21987.554777567362</v>
      </c>
      <c r="W601" s="269">
        <f t="shared" si="134"/>
        <v>8795.0219110269463</v>
      </c>
      <c r="X601" s="257">
        <f t="shared" si="135"/>
        <v>21987.554777567362</v>
      </c>
      <c r="Y601" s="270">
        <f>IF(L601="Complex",(INDEX('Escalators '!$M$176:$S$176,MATCH('Forecast capex'!J601,'Escalators '!$M$178:$S$178,0))/12+1)^((K601-J601)*12)-1,0)</f>
        <v>0</v>
      </c>
      <c r="Z601" s="257">
        <f t="shared" si="136"/>
        <v>0</v>
      </c>
      <c r="AA601" s="257">
        <f t="shared" si="137"/>
        <v>0</v>
      </c>
      <c r="AB601" s="269">
        <f t="shared" si="138"/>
        <v>0</v>
      </c>
      <c r="AC601" s="269">
        <f t="shared" si="139"/>
        <v>0</v>
      </c>
      <c r="AD601" s="271" t="str">
        <f>INDEX('Global inputs'!$C$134:$C$171,MATCH(F601,'Global inputs'!$B$134:$B$171,0))</f>
        <v>Consumer connection</v>
      </c>
      <c r="AE601" s="272">
        <f>IF(OR(H601='Operating leases'!$B$32,H601='Operating leases'!$B$33),"",INDEX('Global inputs'!$C$186:$C$243,MATCH(E601,'Global inputs'!$B$186:$B$243,0)))</f>
        <v>0.1</v>
      </c>
    </row>
    <row r="602" spans="1:31" s="27" customFormat="1" x14ac:dyDescent="0.2">
      <c r="A602" s="250"/>
      <c r="B602" s="210" t="s">
        <v>714</v>
      </c>
      <c r="C602" s="210" t="s">
        <v>287</v>
      </c>
      <c r="D602" s="210" t="s">
        <v>715</v>
      </c>
      <c r="E602" s="210" t="s">
        <v>153</v>
      </c>
      <c r="F602" s="210" t="s">
        <v>94</v>
      </c>
      <c r="G602" s="210" t="s">
        <v>717</v>
      </c>
      <c r="H602" s="197">
        <v>0</v>
      </c>
      <c r="I602" s="210" t="s">
        <v>229</v>
      </c>
      <c r="J602" s="210">
        <v>2022</v>
      </c>
      <c r="K602" s="210">
        <v>2022</v>
      </c>
      <c r="L602" s="268" t="str">
        <f t="shared" si="127"/>
        <v>Simple</v>
      </c>
      <c r="M602" s="197">
        <v>7420.028235975522</v>
      </c>
      <c r="N602" s="197">
        <v>11130.042353963283</v>
      </c>
      <c r="O602" s="257">
        <f>IF(ISNA(MATCH(H602,'Operating leases'!$B$32:$B$43,0)),0,INDEX('Operating leases'!$M$32:$S$43,MATCH(H602,'Operating leases'!$B$32:$B$43,0),MATCH(J602,'Operating leases'!$M$11:$S$11,0)))</f>
        <v>0</v>
      </c>
      <c r="P602" s="257">
        <f t="shared" si="128"/>
        <v>7420.028235975522</v>
      </c>
      <c r="Q602" s="257">
        <f t="shared" si="129"/>
        <v>18550.070589938805</v>
      </c>
      <c r="R602" s="258">
        <f>INDEX('Escalators '!$M$124:$S$129,MATCH(I602,'Escalators '!$B$124:$B$129,0),MATCH(J602,'Escalators '!$M$113:$S$113,0))</f>
        <v>1.0379818100112963</v>
      </c>
      <c r="S602" s="257">
        <f t="shared" si="130"/>
        <v>0</v>
      </c>
      <c r="T602" s="257">
        <f t="shared" si="131"/>
        <v>11552.781508069198</v>
      </c>
      <c r="U602" s="269">
        <f t="shared" si="132"/>
        <v>7701.8543387127975</v>
      </c>
      <c r="V602" s="269">
        <f t="shared" si="133"/>
        <v>19254.635846781995</v>
      </c>
      <c r="W602" s="269">
        <f t="shared" si="134"/>
        <v>7701.8543387127975</v>
      </c>
      <c r="X602" s="257">
        <f t="shared" si="135"/>
        <v>19254.635846781995</v>
      </c>
      <c r="Y602" s="270">
        <f>IF(L602="Complex",(INDEX('Escalators '!$M$176:$S$176,MATCH('Forecast capex'!J602,'Escalators '!$M$178:$S$178,0))/12+1)^((K602-J602)*12)-1,0)</f>
        <v>0</v>
      </c>
      <c r="Z602" s="257">
        <f t="shared" si="136"/>
        <v>0</v>
      </c>
      <c r="AA602" s="257">
        <f t="shared" si="137"/>
        <v>0</v>
      </c>
      <c r="AB602" s="269">
        <f t="shared" si="138"/>
        <v>0</v>
      </c>
      <c r="AC602" s="269">
        <f t="shared" si="139"/>
        <v>0</v>
      </c>
      <c r="AD602" s="271" t="str">
        <f>INDEX('Global inputs'!$C$134:$C$171,MATCH(F602,'Global inputs'!$B$134:$B$171,0))</f>
        <v>Consumer connection</v>
      </c>
      <c r="AE602" s="272">
        <f>IF(OR(H602='Operating leases'!$B$32,H602='Operating leases'!$B$33),"",INDEX('Global inputs'!$C$186:$C$243,MATCH(E602,'Global inputs'!$B$186:$B$243,0)))</f>
        <v>0.08</v>
      </c>
    </row>
    <row r="603" spans="1:31" s="27" customFormat="1" x14ac:dyDescent="0.2">
      <c r="A603" s="250"/>
      <c r="B603" s="210" t="s">
        <v>714</v>
      </c>
      <c r="C603" s="210" t="s">
        <v>287</v>
      </c>
      <c r="D603" s="210" t="s">
        <v>715</v>
      </c>
      <c r="E603" s="210" t="s">
        <v>153</v>
      </c>
      <c r="F603" s="210" t="s">
        <v>94</v>
      </c>
      <c r="G603" s="210" t="s">
        <v>717</v>
      </c>
      <c r="H603" s="197">
        <v>0</v>
      </c>
      <c r="I603" s="210" t="s">
        <v>221</v>
      </c>
      <c r="J603" s="210">
        <v>2022</v>
      </c>
      <c r="K603" s="210">
        <v>2022</v>
      </c>
      <c r="L603" s="268" t="str">
        <f t="shared" si="127"/>
        <v>Simple</v>
      </c>
      <c r="M603" s="197">
        <v>7420.028235975522</v>
      </c>
      <c r="N603" s="197">
        <v>11130.042353963283</v>
      </c>
      <c r="O603" s="257">
        <f>IF(ISNA(MATCH(H603,'Operating leases'!$B$32:$B$43,0)),0,INDEX('Operating leases'!$M$32:$S$43,MATCH(H603,'Operating leases'!$B$32:$B$43,0),MATCH(J603,'Operating leases'!$M$11:$S$11,0)))</f>
        <v>0</v>
      </c>
      <c r="P603" s="257">
        <f t="shared" si="128"/>
        <v>7420.028235975522</v>
      </c>
      <c r="Q603" s="257">
        <f t="shared" si="129"/>
        <v>18550.070589938805</v>
      </c>
      <c r="R603" s="258">
        <f>INDEX('Escalators '!$M$124:$S$129,MATCH(I603,'Escalators '!$B$124:$B$129,0),MATCH(J603,'Escalators '!$M$113:$S$113,0))</f>
        <v>1.0272672933956697</v>
      </c>
      <c r="S603" s="257">
        <f t="shared" si="130"/>
        <v>0</v>
      </c>
      <c r="T603" s="257">
        <f t="shared" si="131"/>
        <v>11433.528484335029</v>
      </c>
      <c r="U603" s="269">
        <f t="shared" si="132"/>
        <v>7622.3523228900212</v>
      </c>
      <c r="V603" s="269">
        <f t="shared" si="133"/>
        <v>19055.88080722505</v>
      </c>
      <c r="W603" s="269">
        <f t="shared" si="134"/>
        <v>7622.3523228900212</v>
      </c>
      <c r="X603" s="257">
        <f t="shared" si="135"/>
        <v>19055.88080722505</v>
      </c>
      <c r="Y603" s="270">
        <f>IF(L603="Complex",(INDEX('Escalators '!$M$176:$S$176,MATCH('Forecast capex'!J603,'Escalators '!$M$178:$S$178,0))/12+1)^((K603-J603)*12)-1,0)</f>
        <v>0</v>
      </c>
      <c r="Z603" s="257">
        <f t="shared" si="136"/>
        <v>0</v>
      </c>
      <c r="AA603" s="257">
        <f t="shared" si="137"/>
        <v>0</v>
      </c>
      <c r="AB603" s="269">
        <f t="shared" si="138"/>
        <v>0</v>
      </c>
      <c r="AC603" s="269">
        <f t="shared" si="139"/>
        <v>0</v>
      </c>
      <c r="AD603" s="271" t="str">
        <f>INDEX('Global inputs'!$C$134:$C$171,MATCH(F603,'Global inputs'!$B$134:$B$171,0))</f>
        <v>Consumer connection</v>
      </c>
      <c r="AE603" s="272">
        <f>IF(OR(H603='Operating leases'!$B$32,H603='Operating leases'!$B$33),"",INDEX('Global inputs'!$C$186:$C$243,MATCH(E603,'Global inputs'!$B$186:$B$243,0)))</f>
        <v>0.08</v>
      </c>
    </row>
    <row r="604" spans="1:31" s="27" customFormat="1" x14ac:dyDescent="0.2">
      <c r="A604" s="250"/>
      <c r="B604" s="210" t="s">
        <v>714</v>
      </c>
      <c r="C604" s="210" t="s">
        <v>287</v>
      </c>
      <c r="D604" s="210" t="s">
        <v>715</v>
      </c>
      <c r="E604" s="210" t="s">
        <v>154</v>
      </c>
      <c r="F604" s="210" t="s">
        <v>94</v>
      </c>
      <c r="G604" s="210" t="s">
        <v>717</v>
      </c>
      <c r="H604" s="197">
        <v>0</v>
      </c>
      <c r="I604" s="210" t="s">
        <v>229</v>
      </c>
      <c r="J604" s="210">
        <v>2022</v>
      </c>
      <c r="K604" s="210">
        <v>2022</v>
      </c>
      <c r="L604" s="268" t="str">
        <f t="shared" si="127"/>
        <v>Simple</v>
      </c>
      <c r="M604" s="197">
        <v>7420.028235975522</v>
      </c>
      <c r="N604" s="197">
        <v>11130.042353963283</v>
      </c>
      <c r="O604" s="257">
        <f>IF(ISNA(MATCH(H604,'Operating leases'!$B$32:$B$43,0)),0,INDEX('Operating leases'!$M$32:$S$43,MATCH(H604,'Operating leases'!$B$32:$B$43,0),MATCH(J604,'Operating leases'!$M$11:$S$11,0)))</f>
        <v>0</v>
      </c>
      <c r="P604" s="257">
        <f t="shared" si="128"/>
        <v>7420.028235975522</v>
      </c>
      <c r="Q604" s="257">
        <f t="shared" si="129"/>
        <v>18550.070589938805</v>
      </c>
      <c r="R604" s="258">
        <f>INDEX('Escalators '!$M$124:$S$129,MATCH(I604,'Escalators '!$B$124:$B$129,0),MATCH(J604,'Escalators '!$M$113:$S$113,0))</f>
        <v>1.0379818100112963</v>
      </c>
      <c r="S604" s="257">
        <f t="shared" si="130"/>
        <v>0</v>
      </c>
      <c r="T604" s="257">
        <f t="shared" si="131"/>
        <v>11552.781508069198</v>
      </c>
      <c r="U604" s="269">
        <f t="shared" si="132"/>
        <v>7701.8543387127975</v>
      </c>
      <c r="V604" s="269">
        <f t="shared" si="133"/>
        <v>19254.635846781995</v>
      </c>
      <c r="W604" s="269">
        <f t="shared" si="134"/>
        <v>7701.8543387127975</v>
      </c>
      <c r="X604" s="257">
        <f t="shared" si="135"/>
        <v>19254.635846781995</v>
      </c>
      <c r="Y604" s="270">
        <f>IF(L604="Complex",(INDEX('Escalators '!$M$176:$S$176,MATCH('Forecast capex'!J604,'Escalators '!$M$178:$S$178,0))/12+1)^((K604-J604)*12)-1,0)</f>
        <v>0</v>
      </c>
      <c r="Z604" s="257">
        <f t="shared" si="136"/>
        <v>0</v>
      </c>
      <c r="AA604" s="257">
        <f t="shared" si="137"/>
        <v>0</v>
      </c>
      <c r="AB604" s="269">
        <f t="shared" si="138"/>
        <v>0</v>
      </c>
      <c r="AC604" s="269">
        <f t="shared" si="139"/>
        <v>0</v>
      </c>
      <c r="AD604" s="271" t="str">
        <f>INDEX('Global inputs'!$C$134:$C$171,MATCH(F604,'Global inputs'!$B$134:$B$171,0))</f>
        <v>Consumer connection</v>
      </c>
      <c r="AE604" s="272">
        <f>IF(OR(H604='Operating leases'!$B$32,H604='Operating leases'!$B$33),"",INDEX('Global inputs'!$C$186:$C$243,MATCH(E604,'Global inputs'!$B$186:$B$243,0)))</f>
        <v>0.1</v>
      </c>
    </row>
    <row r="605" spans="1:31" s="27" customFormat="1" x14ac:dyDescent="0.2">
      <c r="A605" s="250"/>
      <c r="B605" s="210" t="s">
        <v>714</v>
      </c>
      <c r="C605" s="210" t="s">
        <v>287</v>
      </c>
      <c r="D605" s="210" t="s">
        <v>715</v>
      </c>
      <c r="E605" s="210" t="s">
        <v>154</v>
      </c>
      <c r="F605" s="210" t="s">
        <v>94</v>
      </c>
      <c r="G605" s="210" t="s">
        <v>717</v>
      </c>
      <c r="H605" s="197">
        <v>0</v>
      </c>
      <c r="I605" s="210" t="s">
        <v>221</v>
      </c>
      <c r="J605" s="210">
        <v>2022</v>
      </c>
      <c r="K605" s="210">
        <v>2022</v>
      </c>
      <c r="L605" s="268" t="str">
        <f t="shared" si="127"/>
        <v>Simple</v>
      </c>
      <c r="M605" s="197">
        <v>7420.028235975522</v>
      </c>
      <c r="N605" s="197">
        <v>11130.042353963283</v>
      </c>
      <c r="O605" s="257">
        <f>IF(ISNA(MATCH(H605,'Operating leases'!$B$32:$B$43,0)),0,INDEX('Operating leases'!$M$32:$S$43,MATCH(H605,'Operating leases'!$B$32:$B$43,0),MATCH(J605,'Operating leases'!$M$11:$S$11,0)))</f>
        <v>0</v>
      </c>
      <c r="P605" s="257">
        <f t="shared" si="128"/>
        <v>7420.028235975522</v>
      </c>
      <c r="Q605" s="257">
        <f t="shared" si="129"/>
        <v>18550.070589938805</v>
      </c>
      <c r="R605" s="258">
        <f>INDEX('Escalators '!$M$124:$S$129,MATCH(I605,'Escalators '!$B$124:$B$129,0),MATCH(J605,'Escalators '!$M$113:$S$113,0))</f>
        <v>1.0272672933956697</v>
      </c>
      <c r="S605" s="257">
        <f t="shared" si="130"/>
        <v>0</v>
      </c>
      <c r="T605" s="257">
        <f t="shared" si="131"/>
        <v>11433.528484335029</v>
      </c>
      <c r="U605" s="269">
        <f t="shared" si="132"/>
        <v>7622.3523228900212</v>
      </c>
      <c r="V605" s="269">
        <f t="shared" si="133"/>
        <v>19055.88080722505</v>
      </c>
      <c r="W605" s="269">
        <f t="shared" si="134"/>
        <v>7622.3523228900212</v>
      </c>
      <c r="X605" s="257">
        <f t="shared" si="135"/>
        <v>19055.88080722505</v>
      </c>
      <c r="Y605" s="270">
        <f>IF(L605="Complex",(INDEX('Escalators '!$M$176:$S$176,MATCH('Forecast capex'!J605,'Escalators '!$M$178:$S$178,0))/12+1)^((K605-J605)*12)-1,0)</f>
        <v>0</v>
      </c>
      <c r="Z605" s="257">
        <f t="shared" si="136"/>
        <v>0</v>
      </c>
      <c r="AA605" s="257">
        <f t="shared" si="137"/>
        <v>0</v>
      </c>
      <c r="AB605" s="269">
        <f t="shared" si="138"/>
        <v>0</v>
      </c>
      <c r="AC605" s="269">
        <f t="shared" si="139"/>
        <v>0</v>
      </c>
      <c r="AD605" s="271" t="str">
        <f>INDEX('Global inputs'!$C$134:$C$171,MATCH(F605,'Global inputs'!$B$134:$B$171,0))</f>
        <v>Consumer connection</v>
      </c>
      <c r="AE605" s="272">
        <f>IF(OR(H605='Operating leases'!$B$32,H605='Operating leases'!$B$33),"",INDEX('Global inputs'!$C$186:$C$243,MATCH(E605,'Global inputs'!$B$186:$B$243,0)))</f>
        <v>0.1</v>
      </c>
    </row>
    <row r="606" spans="1:31" s="27" customFormat="1" x14ac:dyDescent="0.2">
      <c r="A606" s="250"/>
      <c r="B606" s="210" t="s">
        <v>714</v>
      </c>
      <c r="C606" s="210" t="s">
        <v>286</v>
      </c>
      <c r="D606" s="210" t="s">
        <v>732</v>
      </c>
      <c r="E606" s="210" t="s">
        <v>140</v>
      </c>
      <c r="F606" s="210" t="s">
        <v>94</v>
      </c>
      <c r="G606" s="210" t="s">
        <v>733</v>
      </c>
      <c r="H606" s="197">
        <v>0</v>
      </c>
      <c r="I606" s="210" t="s">
        <v>142</v>
      </c>
      <c r="J606" s="210">
        <v>2022</v>
      </c>
      <c r="K606" s="210">
        <v>2022</v>
      </c>
      <c r="L606" s="268" t="str">
        <f t="shared" si="127"/>
        <v>Simple</v>
      </c>
      <c r="M606" s="197">
        <v>12671.125141435123</v>
      </c>
      <c r="N606" s="197">
        <v>19006.687712152681</v>
      </c>
      <c r="O606" s="257">
        <f>IF(ISNA(MATCH(H606,'Operating leases'!$B$32:$B$43,0)),0,INDEX('Operating leases'!$M$32:$S$43,MATCH(H606,'Operating leases'!$B$32:$B$43,0),MATCH(J606,'Operating leases'!$M$11:$S$11,0)))</f>
        <v>0</v>
      </c>
      <c r="P606" s="257">
        <f t="shared" si="128"/>
        <v>12671.125141435123</v>
      </c>
      <c r="Q606" s="257">
        <f t="shared" si="129"/>
        <v>31677.812853587806</v>
      </c>
      <c r="R606" s="258">
        <f>INDEX('Escalators '!$M$124:$S$129,MATCH(I606,'Escalators '!$B$124:$B$129,0),MATCH(J606,'Escalators '!$M$113:$S$113,0))</f>
        <v>1.0268090943455099</v>
      </c>
      <c r="S606" s="257">
        <f t="shared" si="130"/>
        <v>0</v>
      </c>
      <c r="T606" s="257">
        <f t="shared" si="131"/>
        <v>19516.239796223428</v>
      </c>
      <c r="U606" s="269">
        <f t="shared" si="132"/>
        <v>13010.826530815619</v>
      </c>
      <c r="V606" s="269">
        <f t="shared" si="133"/>
        <v>32527.066327039047</v>
      </c>
      <c r="W606" s="269">
        <f t="shared" si="134"/>
        <v>13010.826530815619</v>
      </c>
      <c r="X606" s="257">
        <f t="shared" si="135"/>
        <v>32527.066327039047</v>
      </c>
      <c r="Y606" s="270">
        <f>IF(L606="Complex",(INDEX('Escalators '!$M$176:$S$176,MATCH('Forecast capex'!J606,'Escalators '!$M$178:$S$178,0))/12+1)^((K606-J606)*12)-1,0)</f>
        <v>0</v>
      </c>
      <c r="Z606" s="257">
        <f t="shared" si="136"/>
        <v>0</v>
      </c>
      <c r="AA606" s="257">
        <f t="shared" si="137"/>
        <v>0</v>
      </c>
      <c r="AB606" s="269">
        <f t="shared" si="138"/>
        <v>0</v>
      </c>
      <c r="AC606" s="269">
        <f t="shared" si="139"/>
        <v>0</v>
      </c>
      <c r="AD606" s="271" t="str">
        <f>INDEX('Global inputs'!$C$134:$C$171,MATCH(F606,'Global inputs'!$B$134:$B$171,0))</f>
        <v>Consumer connection</v>
      </c>
      <c r="AE606" s="272">
        <f>IF(OR(H606='Operating leases'!$B$32,H606='Operating leases'!$B$33),"",INDEX('Global inputs'!$C$186:$C$243,MATCH(E606,'Global inputs'!$B$186:$B$243,0)))</f>
        <v>0.08</v>
      </c>
    </row>
    <row r="607" spans="1:31" s="27" customFormat="1" x14ac:dyDescent="0.2">
      <c r="A607" s="250"/>
      <c r="B607" s="210" t="s">
        <v>714</v>
      </c>
      <c r="C607" s="210" t="s">
        <v>286</v>
      </c>
      <c r="D607" s="210" t="s">
        <v>732</v>
      </c>
      <c r="E607" s="210" t="s">
        <v>140</v>
      </c>
      <c r="F607" s="210" t="s">
        <v>94</v>
      </c>
      <c r="G607" s="210" t="s">
        <v>733</v>
      </c>
      <c r="H607" s="197">
        <v>0</v>
      </c>
      <c r="I607" s="210" t="s">
        <v>221</v>
      </c>
      <c r="J607" s="210">
        <v>2022</v>
      </c>
      <c r="K607" s="210">
        <v>2022</v>
      </c>
      <c r="L607" s="268" t="str">
        <f t="shared" si="127"/>
        <v>Simple</v>
      </c>
      <c r="M607" s="197">
        <v>8447.4167609567485</v>
      </c>
      <c r="N607" s="197">
        <v>12671.125141435123</v>
      </c>
      <c r="O607" s="257">
        <f>IF(ISNA(MATCH(H607,'Operating leases'!$B$32:$B$43,0)),0,INDEX('Operating leases'!$M$32:$S$43,MATCH(H607,'Operating leases'!$B$32:$B$43,0),MATCH(J607,'Operating leases'!$M$11:$S$11,0)))</f>
        <v>0</v>
      </c>
      <c r="P607" s="257">
        <f t="shared" si="128"/>
        <v>8447.4167609567485</v>
      </c>
      <c r="Q607" s="257">
        <f t="shared" si="129"/>
        <v>21118.541902391873</v>
      </c>
      <c r="R607" s="258">
        <f>INDEX('Escalators '!$M$124:$S$129,MATCH(I607,'Escalators '!$B$124:$B$129,0),MATCH(J607,'Escalators '!$M$113:$S$113,0))</f>
        <v>1.0272672933956697</v>
      </c>
      <c r="S607" s="257">
        <f t="shared" si="130"/>
        <v>0</v>
      </c>
      <c r="T607" s="257">
        <f t="shared" si="131"/>
        <v>13016.632428319881</v>
      </c>
      <c r="U607" s="269">
        <f t="shared" si="132"/>
        <v>8677.754952213254</v>
      </c>
      <c r="V607" s="269">
        <f t="shared" si="133"/>
        <v>21694.387380533135</v>
      </c>
      <c r="W607" s="269">
        <f t="shared" si="134"/>
        <v>8677.754952213254</v>
      </c>
      <c r="X607" s="257">
        <f t="shared" si="135"/>
        <v>21694.387380533135</v>
      </c>
      <c r="Y607" s="270">
        <f>IF(L607="Complex",(INDEX('Escalators '!$M$176:$S$176,MATCH('Forecast capex'!J607,'Escalators '!$M$178:$S$178,0))/12+1)^((K607-J607)*12)-1,0)</f>
        <v>0</v>
      </c>
      <c r="Z607" s="257">
        <f t="shared" si="136"/>
        <v>0</v>
      </c>
      <c r="AA607" s="257">
        <f t="shared" si="137"/>
        <v>0</v>
      </c>
      <c r="AB607" s="269">
        <f t="shared" si="138"/>
        <v>0</v>
      </c>
      <c r="AC607" s="269">
        <f t="shared" si="139"/>
        <v>0</v>
      </c>
      <c r="AD607" s="271" t="str">
        <f>INDEX('Global inputs'!$C$134:$C$171,MATCH(F607,'Global inputs'!$B$134:$B$171,0))</f>
        <v>Consumer connection</v>
      </c>
      <c r="AE607" s="272">
        <f>IF(OR(H607='Operating leases'!$B$32,H607='Operating leases'!$B$33),"",INDEX('Global inputs'!$C$186:$C$243,MATCH(E607,'Global inputs'!$B$186:$B$243,0)))</f>
        <v>0.08</v>
      </c>
    </row>
    <row r="608" spans="1:31" s="27" customFormat="1" x14ac:dyDescent="0.2">
      <c r="A608" s="250"/>
      <c r="B608" s="210" t="s">
        <v>714</v>
      </c>
      <c r="C608" s="210" t="s">
        <v>286</v>
      </c>
      <c r="D608" s="210" t="s">
        <v>732</v>
      </c>
      <c r="E608" s="210" t="s">
        <v>141</v>
      </c>
      <c r="F608" s="210" t="s">
        <v>94</v>
      </c>
      <c r="G608" s="210" t="s">
        <v>734</v>
      </c>
      <c r="H608" s="197">
        <v>0</v>
      </c>
      <c r="I608" s="210" t="s">
        <v>142</v>
      </c>
      <c r="J608" s="210">
        <v>2022</v>
      </c>
      <c r="K608" s="210">
        <v>2022</v>
      </c>
      <c r="L608" s="268" t="str">
        <f t="shared" si="127"/>
        <v>Simple</v>
      </c>
      <c r="M608" s="197">
        <v>26940.410210618818</v>
      </c>
      <c r="N608" s="197">
        <v>40410.615315928218</v>
      </c>
      <c r="O608" s="257">
        <f>IF(ISNA(MATCH(H608,'Operating leases'!$B$32:$B$43,0)),0,INDEX('Operating leases'!$M$32:$S$43,MATCH(H608,'Operating leases'!$B$32:$B$43,0),MATCH(J608,'Operating leases'!$M$11:$S$11,0)))</f>
        <v>0</v>
      </c>
      <c r="P608" s="257">
        <f t="shared" si="128"/>
        <v>26940.410210618818</v>
      </c>
      <c r="Q608" s="257">
        <f t="shared" si="129"/>
        <v>67351.025526547033</v>
      </c>
      <c r="R608" s="258">
        <f>INDEX('Escalators '!$M$124:$S$129,MATCH(I608,'Escalators '!$B$124:$B$129,0),MATCH(J608,'Escalators '!$M$113:$S$113,0))</f>
        <v>1.0268090943455099</v>
      </c>
      <c r="S608" s="257">
        <f t="shared" si="130"/>
        <v>0</v>
      </c>
      <c r="T608" s="257">
        <f t="shared" si="131"/>
        <v>41493.987314493046</v>
      </c>
      <c r="U608" s="269">
        <f t="shared" si="132"/>
        <v>27662.65820966204</v>
      </c>
      <c r="V608" s="269">
        <f t="shared" si="133"/>
        <v>69156.645524155087</v>
      </c>
      <c r="W608" s="269">
        <f t="shared" si="134"/>
        <v>27662.65820966204</v>
      </c>
      <c r="X608" s="257">
        <f t="shared" si="135"/>
        <v>69156.645524155087</v>
      </c>
      <c r="Y608" s="270">
        <f>IF(L608="Complex",(INDEX('Escalators '!$M$176:$S$176,MATCH('Forecast capex'!J608,'Escalators '!$M$178:$S$178,0))/12+1)^((K608-J608)*12)-1,0)</f>
        <v>0</v>
      </c>
      <c r="Z608" s="257">
        <f t="shared" si="136"/>
        <v>0</v>
      </c>
      <c r="AA608" s="257">
        <f t="shared" si="137"/>
        <v>0</v>
      </c>
      <c r="AB608" s="269">
        <f t="shared" si="138"/>
        <v>0</v>
      </c>
      <c r="AC608" s="269">
        <f t="shared" si="139"/>
        <v>0</v>
      </c>
      <c r="AD608" s="271" t="str">
        <f>INDEX('Global inputs'!$C$134:$C$171,MATCH(F608,'Global inputs'!$B$134:$B$171,0))</f>
        <v>Consumer connection</v>
      </c>
      <c r="AE608" s="272">
        <f>IF(OR(H608='Operating leases'!$B$32,H608='Operating leases'!$B$33),"",INDEX('Global inputs'!$C$186:$C$243,MATCH(E608,'Global inputs'!$B$186:$B$243,0)))</f>
        <v>0.08</v>
      </c>
    </row>
    <row r="609" spans="1:31" s="27" customFormat="1" x14ac:dyDescent="0.2">
      <c r="A609" s="250"/>
      <c r="B609" s="210" t="s">
        <v>714</v>
      </c>
      <c r="C609" s="210" t="s">
        <v>286</v>
      </c>
      <c r="D609" s="210" t="s">
        <v>732</v>
      </c>
      <c r="E609" s="210" t="s">
        <v>141</v>
      </c>
      <c r="F609" s="210" t="s">
        <v>94</v>
      </c>
      <c r="G609" s="210" t="s">
        <v>734</v>
      </c>
      <c r="H609" s="197">
        <v>0</v>
      </c>
      <c r="I609" s="210" t="s">
        <v>221</v>
      </c>
      <c r="J609" s="210">
        <v>2022</v>
      </c>
      <c r="K609" s="210">
        <v>2022</v>
      </c>
      <c r="L609" s="268" t="str">
        <f t="shared" si="127"/>
        <v>Simple</v>
      </c>
      <c r="M609" s="197">
        <v>6735.1025526547046</v>
      </c>
      <c r="N609" s="197">
        <v>10102.653828982055</v>
      </c>
      <c r="O609" s="257">
        <f>IF(ISNA(MATCH(H609,'Operating leases'!$B$32:$B$43,0)),0,INDEX('Operating leases'!$M$32:$S$43,MATCH(H609,'Operating leases'!$B$32:$B$43,0),MATCH(J609,'Operating leases'!$M$11:$S$11,0)))</f>
        <v>0</v>
      </c>
      <c r="P609" s="257">
        <f t="shared" si="128"/>
        <v>6735.1025526547046</v>
      </c>
      <c r="Q609" s="257">
        <f t="shared" si="129"/>
        <v>16837.756381636758</v>
      </c>
      <c r="R609" s="258">
        <f>INDEX('Escalators '!$M$124:$S$129,MATCH(I609,'Escalators '!$B$124:$B$129,0),MATCH(J609,'Escalators '!$M$113:$S$113,0))</f>
        <v>1.0272672933956697</v>
      </c>
      <c r="S609" s="257">
        <f t="shared" si="130"/>
        <v>0</v>
      </c>
      <c r="T609" s="257">
        <f t="shared" si="131"/>
        <v>10378.125855011795</v>
      </c>
      <c r="U609" s="269">
        <f t="shared" si="132"/>
        <v>6918.7505700078636</v>
      </c>
      <c r="V609" s="269">
        <f t="shared" si="133"/>
        <v>17296.876425019658</v>
      </c>
      <c r="W609" s="269">
        <f t="shared" si="134"/>
        <v>6918.7505700078636</v>
      </c>
      <c r="X609" s="257">
        <f t="shared" si="135"/>
        <v>17296.876425019658</v>
      </c>
      <c r="Y609" s="270">
        <f>IF(L609="Complex",(INDEX('Escalators '!$M$176:$S$176,MATCH('Forecast capex'!J609,'Escalators '!$M$178:$S$178,0))/12+1)^((K609-J609)*12)-1,0)</f>
        <v>0</v>
      </c>
      <c r="Z609" s="257">
        <f t="shared" si="136"/>
        <v>0</v>
      </c>
      <c r="AA609" s="257">
        <f t="shared" si="137"/>
        <v>0</v>
      </c>
      <c r="AB609" s="269">
        <f t="shared" si="138"/>
        <v>0</v>
      </c>
      <c r="AC609" s="269">
        <f t="shared" si="139"/>
        <v>0</v>
      </c>
      <c r="AD609" s="271" t="str">
        <f>INDEX('Global inputs'!$C$134:$C$171,MATCH(F609,'Global inputs'!$B$134:$B$171,0))</f>
        <v>Consumer connection</v>
      </c>
      <c r="AE609" s="272">
        <f>IF(OR(H609='Operating leases'!$B$32,H609='Operating leases'!$B$33),"",INDEX('Global inputs'!$C$186:$C$243,MATCH(E609,'Global inputs'!$B$186:$B$243,0)))</f>
        <v>0.08</v>
      </c>
    </row>
    <row r="610" spans="1:31" s="27" customFormat="1" x14ac:dyDescent="0.2">
      <c r="A610" s="250"/>
      <c r="B610" s="210" t="s">
        <v>714</v>
      </c>
      <c r="C610" s="210" t="s">
        <v>290</v>
      </c>
      <c r="D610" s="210" t="s">
        <v>718</v>
      </c>
      <c r="E610" s="210" t="s">
        <v>173</v>
      </c>
      <c r="F610" s="210" t="s">
        <v>94</v>
      </c>
      <c r="G610" s="210" t="s">
        <v>719</v>
      </c>
      <c r="H610" s="197">
        <v>0</v>
      </c>
      <c r="I610" s="210" t="s">
        <v>142</v>
      </c>
      <c r="J610" s="210">
        <v>2022</v>
      </c>
      <c r="K610" s="210">
        <v>2022</v>
      </c>
      <c r="L610" s="268" t="str">
        <f t="shared" si="127"/>
        <v>Simple</v>
      </c>
      <c r="M610" s="197">
        <v>160272.60989707129</v>
      </c>
      <c r="N610" s="197">
        <v>240408.91484560692</v>
      </c>
      <c r="O610" s="257">
        <f>IF(ISNA(MATCH(H610,'Operating leases'!$B$32:$B$43,0)),0,INDEX('Operating leases'!$M$32:$S$43,MATCH(H610,'Operating leases'!$B$32:$B$43,0),MATCH(J610,'Operating leases'!$M$11:$S$11,0)))</f>
        <v>0</v>
      </c>
      <c r="P610" s="257">
        <f t="shared" si="128"/>
        <v>160272.60989707129</v>
      </c>
      <c r="Q610" s="257">
        <f t="shared" si="129"/>
        <v>400681.52474267822</v>
      </c>
      <c r="R610" s="258">
        <f>INDEX('Escalators '!$M$124:$S$129,MATCH(I610,'Escalators '!$B$124:$B$129,0),MATCH(J610,'Escalators '!$M$113:$S$113,0))</f>
        <v>1.0268090943455099</v>
      </c>
      <c r="S610" s="257">
        <f t="shared" si="130"/>
        <v>0</v>
      </c>
      <c r="T610" s="257">
        <f t="shared" si="131"/>
        <v>246854.06012520447</v>
      </c>
      <c r="U610" s="269">
        <f t="shared" si="132"/>
        <v>164569.37341680299</v>
      </c>
      <c r="V610" s="269">
        <f t="shared" si="133"/>
        <v>411423.43354200746</v>
      </c>
      <c r="W610" s="269">
        <f t="shared" si="134"/>
        <v>164569.37341680299</v>
      </c>
      <c r="X610" s="257">
        <f t="shared" si="135"/>
        <v>411423.43354200746</v>
      </c>
      <c r="Y610" s="270">
        <f>IF(L610="Complex",(INDEX('Escalators '!$M$176:$S$176,MATCH('Forecast capex'!J610,'Escalators '!$M$178:$S$178,0))/12+1)^((K610-J610)*12)-1,0)</f>
        <v>0</v>
      </c>
      <c r="Z610" s="257">
        <f t="shared" si="136"/>
        <v>0</v>
      </c>
      <c r="AA610" s="257">
        <f t="shared" si="137"/>
        <v>0</v>
      </c>
      <c r="AB610" s="269">
        <f t="shared" si="138"/>
        <v>0</v>
      </c>
      <c r="AC610" s="269">
        <f t="shared" si="139"/>
        <v>0</v>
      </c>
      <c r="AD610" s="271" t="str">
        <f>INDEX('Global inputs'!$C$134:$C$171,MATCH(F610,'Global inputs'!$B$134:$B$171,0))</f>
        <v>Consumer connection</v>
      </c>
      <c r="AE610" s="272">
        <f>IF(OR(H610='Operating leases'!$B$32,H610='Operating leases'!$B$33),"",INDEX('Global inputs'!$C$186:$C$243,MATCH(E610,'Global inputs'!$B$186:$B$243,0)))</f>
        <v>0.08</v>
      </c>
    </row>
    <row r="611" spans="1:31" s="27" customFormat="1" x14ac:dyDescent="0.2">
      <c r="A611" s="250"/>
      <c r="B611" s="210" t="s">
        <v>714</v>
      </c>
      <c r="C611" s="210" t="s">
        <v>290</v>
      </c>
      <c r="D611" s="210" t="s">
        <v>718</v>
      </c>
      <c r="E611" s="210" t="s">
        <v>173</v>
      </c>
      <c r="F611" s="210" t="s">
        <v>94</v>
      </c>
      <c r="G611" s="210" t="s">
        <v>719</v>
      </c>
      <c r="H611" s="197">
        <v>0</v>
      </c>
      <c r="I611" s="210" t="s">
        <v>221</v>
      </c>
      <c r="J611" s="210">
        <v>2022</v>
      </c>
      <c r="K611" s="210">
        <v>2022</v>
      </c>
      <c r="L611" s="268" t="str">
        <f t="shared" si="127"/>
        <v>Simple</v>
      </c>
      <c r="M611" s="197">
        <v>40068.152474267823</v>
      </c>
      <c r="N611" s="197">
        <v>60102.228711401731</v>
      </c>
      <c r="O611" s="257">
        <f>IF(ISNA(MATCH(H611,'Operating leases'!$B$32:$B$43,0)),0,INDEX('Operating leases'!$M$32:$S$43,MATCH(H611,'Operating leases'!$B$32:$B$43,0),MATCH(J611,'Operating leases'!$M$11:$S$11,0)))</f>
        <v>0</v>
      </c>
      <c r="P611" s="257">
        <f t="shared" si="128"/>
        <v>40068.152474267823</v>
      </c>
      <c r="Q611" s="257">
        <f t="shared" si="129"/>
        <v>100170.38118566955</v>
      </c>
      <c r="R611" s="258">
        <f>INDEX('Escalators '!$M$124:$S$129,MATCH(I611,'Escalators '!$B$124:$B$129,0),MATCH(J611,'Escalators '!$M$113:$S$113,0))</f>
        <v>1.0272672933956697</v>
      </c>
      <c r="S611" s="257">
        <f t="shared" si="130"/>
        <v>0</v>
      </c>
      <c r="T611" s="257">
        <f t="shared" si="131"/>
        <v>61741.053815409163</v>
      </c>
      <c r="U611" s="269">
        <f t="shared" si="132"/>
        <v>41160.702543606109</v>
      </c>
      <c r="V611" s="269">
        <f t="shared" si="133"/>
        <v>102901.75635901527</v>
      </c>
      <c r="W611" s="269">
        <f t="shared" si="134"/>
        <v>41160.702543606109</v>
      </c>
      <c r="X611" s="257">
        <f t="shared" si="135"/>
        <v>102901.75635901527</v>
      </c>
      <c r="Y611" s="270">
        <f>IF(L611="Complex",(INDEX('Escalators '!$M$176:$S$176,MATCH('Forecast capex'!J611,'Escalators '!$M$178:$S$178,0))/12+1)^((K611-J611)*12)-1,0)</f>
        <v>0</v>
      </c>
      <c r="Z611" s="257">
        <f t="shared" si="136"/>
        <v>0</v>
      </c>
      <c r="AA611" s="257">
        <f t="shared" si="137"/>
        <v>0</v>
      </c>
      <c r="AB611" s="269">
        <f t="shared" si="138"/>
        <v>0</v>
      </c>
      <c r="AC611" s="269">
        <f t="shared" si="139"/>
        <v>0</v>
      </c>
      <c r="AD611" s="271" t="str">
        <f>INDEX('Global inputs'!$C$134:$C$171,MATCH(F611,'Global inputs'!$B$134:$B$171,0))</f>
        <v>Consumer connection</v>
      </c>
      <c r="AE611" s="272">
        <f>IF(OR(H611='Operating leases'!$B$32,H611='Operating leases'!$B$33),"",INDEX('Global inputs'!$C$186:$C$243,MATCH(E611,'Global inputs'!$B$186:$B$243,0)))</f>
        <v>0.08</v>
      </c>
    </row>
    <row r="612" spans="1:31" s="27" customFormat="1" x14ac:dyDescent="0.2">
      <c r="A612" s="250"/>
      <c r="B612" s="210" t="s">
        <v>714</v>
      </c>
      <c r="C612" s="210" t="s">
        <v>290</v>
      </c>
      <c r="D612" s="210" t="s">
        <v>718</v>
      </c>
      <c r="E612" s="210" t="s">
        <v>168</v>
      </c>
      <c r="F612" s="210" t="s">
        <v>94</v>
      </c>
      <c r="G612" s="210" t="s">
        <v>720</v>
      </c>
      <c r="H612" s="197">
        <v>0</v>
      </c>
      <c r="I612" s="210" t="s">
        <v>229</v>
      </c>
      <c r="J612" s="210">
        <v>2022</v>
      </c>
      <c r="K612" s="210">
        <v>2022</v>
      </c>
      <c r="L612" s="268" t="str">
        <f t="shared" si="127"/>
        <v>Simple</v>
      </c>
      <c r="M612" s="197">
        <v>47488.180710243345</v>
      </c>
      <c r="N612" s="197">
        <v>71232.271065364999</v>
      </c>
      <c r="O612" s="257">
        <f>IF(ISNA(MATCH(H612,'Operating leases'!$B$32:$B$43,0)),0,INDEX('Operating leases'!$M$32:$S$43,MATCH(H612,'Operating leases'!$B$32:$B$43,0),MATCH(J612,'Operating leases'!$M$11:$S$11,0)))</f>
        <v>0</v>
      </c>
      <c r="P612" s="257">
        <f t="shared" si="128"/>
        <v>47488.180710243345</v>
      </c>
      <c r="Q612" s="257">
        <f t="shared" si="129"/>
        <v>118720.45177560835</v>
      </c>
      <c r="R612" s="258">
        <f>INDEX('Escalators '!$M$124:$S$129,MATCH(I612,'Escalators '!$B$124:$B$129,0),MATCH(J612,'Escalators '!$M$113:$S$113,0))</f>
        <v>1.0379818100112963</v>
      </c>
      <c r="S612" s="257">
        <f t="shared" si="130"/>
        <v>0</v>
      </c>
      <c r="T612" s="257">
        <f t="shared" si="131"/>
        <v>73937.801651642847</v>
      </c>
      <c r="U612" s="269">
        <f t="shared" si="132"/>
        <v>49291.867767761927</v>
      </c>
      <c r="V612" s="269">
        <f t="shared" si="133"/>
        <v>123229.66941940477</v>
      </c>
      <c r="W612" s="269">
        <f t="shared" si="134"/>
        <v>49291.867767761927</v>
      </c>
      <c r="X612" s="257">
        <f t="shared" si="135"/>
        <v>123229.66941940477</v>
      </c>
      <c r="Y612" s="270">
        <f>IF(L612="Complex",(INDEX('Escalators '!$M$176:$S$176,MATCH('Forecast capex'!J612,'Escalators '!$M$178:$S$178,0))/12+1)^((K612-J612)*12)-1,0)</f>
        <v>0</v>
      </c>
      <c r="Z612" s="257">
        <f t="shared" si="136"/>
        <v>0</v>
      </c>
      <c r="AA612" s="257">
        <f t="shared" si="137"/>
        <v>0</v>
      </c>
      <c r="AB612" s="269">
        <f t="shared" si="138"/>
        <v>0</v>
      </c>
      <c r="AC612" s="269">
        <f t="shared" si="139"/>
        <v>0</v>
      </c>
      <c r="AD612" s="271" t="str">
        <f>INDEX('Global inputs'!$C$134:$C$171,MATCH(F612,'Global inputs'!$B$134:$B$171,0))</f>
        <v>Consumer connection</v>
      </c>
      <c r="AE612" s="272">
        <f>IF(OR(H612='Operating leases'!$B$32,H612='Operating leases'!$B$33),"",INDEX('Global inputs'!$C$186:$C$243,MATCH(E612,'Global inputs'!$B$186:$B$243,0)))</f>
        <v>0.08</v>
      </c>
    </row>
    <row r="613" spans="1:31" s="27" customFormat="1" x14ac:dyDescent="0.2">
      <c r="A613" s="250"/>
      <c r="B613" s="210" t="s">
        <v>714</v>
      </c>
      <c r="C613" s="210" t="s">
        <v>290</v>
      </c>
      <c r="D613" s="210" t="s">
        <v>718</v>
      </c>
      <c r="E613" s="210" t="s">
        <v>168</v>
      </c>
      <c r="F613" s="210" t="s">
        <v>94</v>
      </c>
      <c r="G613" s="210" t="s">
        <v>720</v>
      </c>
      <c r="H613" s="197">
        <v>0</v>
      </c>
      <c r="I613" s="210" t="s">
        <v>221</v>
      </c>
      <c r="J613" s="210">
        <v>2022</v>
      </c>
      <c r="K613" s="210">
        <v>2022</v>
      </c>
      <c r="L613" s="268" t="str">
        <f t="shared" si="127"/>
        <v>Simple</v>
      </c>
      <c r="M613" s="197">
        <v>11872.045177560836</v>
      </c>
      <c r="N613" s="197">
        <v>17808.06776634125</v>
      </c>
      <c r="O613" s="257">
        <f>IF(ISNA(MATCH(H613,'Operating leases'!$B$32:$B$43,0)),0,INDEX('Operating leases'!$M$32:$S$43,MATCH(H613,'Operating leases'!$B$32:$B$43,0),MATCH(J613,'Operating leases'!$M$11:$S$11,0)))</f>
        <v>0</v>
      </c>
      <c r="P613" s="257">
        <f t="shared" si="128"/>
        <v>11872.045177560836</v>
      </c>
      <c r="Q613" s="257">
        <f t="shared" si="129"/>
        <v>29680.112943902088</v>
      </c>
      <c r="R613" s="258">
        <f>INDEX('Escalators '!$M$124:$S$129,MATCH(I613,'Escalators '!$B$124:$B$129,0),MATCH(J613,'Escalators '!$M$113:$S$113,0))</f>
        <v>1.0272672933956697</v>
      </c>
      <c r="S613" s="257">
        <f t="shared" si="130"/>
        <v>0</v>
      </c>
      <c r="T613" s="257">
        <f t="shared" si="131"/>
        <v>18293.645574936047</v>
      </c>
      <c r="U613" s="269">
        <f t="shared" si="132"/>
        <v>12195.763716624035</v>
      </c>
      <c r="V613" s="269">
        <f t="shared" si="133"/>
        <v>30489.409291560081</v>
      </c>
      <c r="W613" s="269">
        <f t="shared" si="134"/>
        <v>12195.763716624035</v>
      </c>
      <c r="X613" s="257">
        <f t="shared" si="135"/>
        <v>30489.409291560081</v>
      </c>
      <c r="Y613" s="270">
        <f>IF(L613="Complex",(INDEX('Escalators '!$M$176:$S$176,MATCH('Forecast capex'!J613,'Escalators '!$M$178:$S$178,0))/12+1)^((K613-J613)*12)-1,0)</f>
        <v>0</v>
      </c>
      <c r="Z613" s="257">
        <f t="shared" si="136"/>
        <v>0</v>
      </c>
      <c r="AA613" s="257">
        <f t="shared" si="137"/>
        <v>0</v>
      </c>
      <c r="AB613" s="269">
        <f t="shared" si="138"/>
        <v>0</v>
      </c>
      <c r="AC613" s="269">
        <f t="shared" si="139"/>
        <v>0</v>
      </c>
      <c r="AD613" s="271" t="str">
        <f>INDEX('Global inputs'!$C$134:$C$171,MATCH(F613,'Global inputs'!$B$134:$B$171,0))</f>
        <v>Consumer connection</v>
      </c>
      <c r="AE613" s="272">
        <f>IF(OR(H613='Operating leases'!$B$32,H613='Operating leases'!$B$33),"",INDEX('Global inputs'!$C$186:$C$243,MATCH(E613,'Global inputs'!$B$186:$B$243,0)))</f>
        <v>0.08</v>
      </c>
    </row>
    <row r="614" spans="1:31" s="27" customFormat="1" x14ac:dyDescent="0.2">
      <c r="A614" s="250"/>
      <c r="B614" s="210" t="s">
        <v>714</v>
      </c>
      <c r="C614" s="210" t="s">
        <v>290</v>
      </c>
      <c r="D614" s="210" t="s">
        <v>718</v>
      </c>
      <c r="E614" s="210" t="s">
        <v>170</v>
      </c>
      <c r="F614" s="210" t="s">
        <v>94</v>
      </c>
      <c r="G614" s="210" t="s">
        <v>721</v>
      </c>
      <c r="H614" s="197">
        <v>0</v>
      </c>
      <c r="I614" s="210" t="s">
        <v>229</v>
      </c>
      <c r="J614" s="210">
        <v>2022</v>
      </c>
      <c r="K614" s="210">
        <v>2022</v>
      </c>
      <c r="L614" s="268" t="str">
        <f t="shared" si="127"/>
        <v>Simple</v>
      </c>
      <c r="M614" s="197">
        <v>79051.839283277659</v>
      </c>
      <c r="N614" s="197">
        <v>118577.7589249165</v>
      </c>
      <c r="O614" s="257">
        <f>IF(ISNA(MATCH(H614,'Operating leases'!$B$32:$B$43,0)),0,INDEX('Operating leases'!$M$32:$S$43,MATCH(H614,'Operating leases'!$B$32:$B$43,0),MATCH(J614,'Operating leases'!$M$11:$S$11,0)))</f>
        <v>0</v>
      </c>
      <c r="P614" s="257">
        <f t="shared" si="128"/>
        <v>79051.839283277659</v>
      </c>
      <c r="Q614" s="257">
        <f t="shared" si="129"/>
        <v>197629.59820819416</v>
      </c>
      <c r="R614" s="258">
        <f>INDEX('Escalators '!$M$124:$S$129,MATCH(I614,'Escalators '!$B$124:$B$129,0),MATCH(J614,'Escalators '!$M$113:$S$113,0))</f>
        <v>1.0379818100112963</v>
      </c>
      <c r="S614" s="257">
        <f t="shared" si="130"/>
        <v>0</v>
      </c>
      <c r="T614" s="257">
        <f t="shared" si="131"/>
        <v>123081.55683596797</v>
      </c>
      <c r="U614" s="269">
        <f t="shared" si="132"/>
        <v>82054.371223978655</v>
      </c>
      <c r="V614" s="269">
        <f t="shared" si="133"/>
        <v>205135.92805994663</v>
      </c>
      <c r="W614" s="269">
        <f t="shared" si="134"/>
        <v>82054.371223978655</v>
      </c>
      <c r="X614" s="257">
        <f t="shared" si="135"/>
        <v>205135.92805994663</v>
      </c>
      <c r="Y614" s="270">
        <f>IF(L614="Complex",(INDEX('Escalators '!$M$176:$S$176,MATCH('Forecast capex'!J614,'Escalators '!$M$178:$S$178,0))/12+1)^((K614-J614)*12)-1,0)</f>
        <v>0</v>
      </c>
      <c r="Z614" s="257">
        <f t="shared" si="136"/>
        <v>0</v>
      </c>
      <c r="AA614" s="257">
        <f t="shared" si="137"/>
        <v>0</v>
      </c>
      <c r="AB614" s="269">
        <f t="shared" si="138"/>
        <v>0</v>
      </c>
      <c r="AC614" s="269">
        <f t="shared" si="139"/>
        <v>0</v>
      </c>
      <c r="AD614" s="271" t="str">
        <f>INDEX('Global inputs'!$C$134:$C$171,MATCH(F614,'Global inputs'!$B$134:$B$171,0))</f>
        <v>Consumer connection</v>
      </c>
      <c r="AE614" s="272">
        <f>IF(OR(H614='Operating leases'!$B$32,H614='Operating leases'!$B$33),"",INDEX('Global inputs'!$C$186:$C$243,MATCH(E614,'Global inputs'!$B$186:$B$243,0)))</f>
        <v>0.08</v>
      </c>
    </row>
    <row r="615" spans="1:31" s="27" customFormat="1" x14ac:dyDescent="0.2">
      <c r="A615" s="250"/>
      <c r="B615" s="210" t="s">
        <v>714</v>
      </c>
      <c r="C615" s="210" t="s">
        <v>290</v>
      </c>
      <c r="D615" s="210" t="s">
        <v>718</v>
      </c>
      <c r="E615" s="210" t="s">
        <v>170</v>
      </c>
      <c r="F615" s="210" t="s">
        <v>94</v>
      </c>
      <c r="G615" s="210" t="s">
        <v>721</v>
      </c>
      <c r="H615" s="197">
        <v>0</v>
      </c>
      <c r="I615" s="210" t="s">
        <v>221</v>
      </c>
      <c r="J615" s="210">
        <v>2022</v>
      </c>
      <c r="K615" s="210">
        <v>2022</v>
      </c>
      <c r="L615" s="268" t="str">
        <f t="shared" si="127"/>
        <v>Simple</v>
      </c>
      <c r="M615" s="197">
        <v>79051.839283277659</v>
      </c>
      <c r="N615" s="197">
        <v>118577.7589249165</v>
      </c>
      <c r="O615" s="257">
        <f>IF(ISNA(MATCH(H615,'Operating leases'!$B$32:$B$43,0)),0,INDEX('Operating leases'!$M$32:$S$43,MATCH(H615,'Operating leases'!$B$32:$B$43,0),MATCH(J615,'Operating leases'!$M$11:$S$11,0)))</f>
        <v>0</v>
      </c>
      <c r="P615" s="257">
        <f t="shared" si="128"/>
        <v>79051.839283277659</v>
      </c>
      <c r="Q615" s="257">
        <f t="shared" si="129"/>
        <v>197629.59820819416</v>
      </c>
      <c r="R615" s="258">
        <f>INDEX('Escalators '!$M$124:$S$129,MATCH(I615,'Escalators '!$B$124:$B$129,0),MATCH(J615,'Escalators '!$M$113:$S$113,0))</f>
        <v>1.0272672933956697</v>
      </c>
      <c r="S615" s="257">
        <f t="shared" si="130"/>
        <v>0</v>
      </c>
      <c r="T615" s="257">
        <f t="shared" si="131"/>
        <v>121811.05346772319</v>
      </c>
      <c r="U615" s="269">
        <f t="shared" si="132"/>
        <v>81207.368978482118</v>
      </c>
      <c r="V615" s="269">
        <f t="shared" si="133"/>
        <v>203018.42244620531</v>
      </c>
      <c r="W615" s="269">
        <f t="shared" si="134"/>
        <v>81207.368978482118</v>
      </c>
      <c r="X615" s="257">
        <f t="shared" si="135"/>
        <v>203018.42244620531</v>
      </c>
      <c r="Y615" s="270">
        <f>IF(L615="Complex",(INDEX('Escalators '!$M$176:$S$176,MATCH('Forecast capex'!J615,'Escalators '!$M$178:$S$178,0))/12+1)^((K615-J615)*12)-1,0)</f>
        <v>0</v>
      </c>
      <c r="Z615" s="257">
        <f t="shared" si="136"/>
        <v>0</v>
      </c>
      <c r="AA615" s="257">
        <f t="shared" si="137"/>
        <v>0</v>
      </c>
      <c r="AB615" s="269">
        <f t="shared" si="138"/>
        <v>0</v>
      </c>
      <c r="AC615" s="269">
        <f t="shared" si="139"/>
        <v>0</v>
      </c>
      <c r="AD615" s="271" t="str">
        <f>INDEX('Global inputs'!$C$134:$C$171,MATCH(F615,'Global inputs'!$B$134:$B$171,0))</f>
        <v>Consumer connection</v>
      </c>
      <c r="AE615" s="272">
        <f>IF(OR(H615='Operating leases'!$B$32,H615='Operating leases'!$B$33),"",INDEX('Global inputs'!$C$186:$C$243,MATCH(E615,'Global inputs'!$B$186:$B$243,0)))</f>
        <v>0.08</v>
      </c>
    </row>
    <row r="616" spans="1:31" s="27" customFormat="1" x14ac:dyDescent="0.2">
      <c r="A616" s="250"/>
      <c r="B616" s="210" t="s">
        <v>714</v>
      </c>
      <c r="C616" s="210" t="s">
        <v>288</v>
      </c>
      <c r="D616" s="210" t="s">
        <v>718</v>
      </c>
      <c r="E616" s="210" t="s">
        <v>160</v>
      </c>
      <c r="F616" s="210" t="s">
        <v>94</v>
      </c>
      <c r="G616" s="210" t="s">
        <v>722</v>
      </c>
      <c r="H616" s="197">
        <v>0</v>
      </c>
      <c r="I616" s="210" t="s">
        <v>229</v>
      </c>
      <c r="J616" s="210">
        <v>2022</v>
      </c>
      <c r="K616" s="210">
        <v>2022</v>
      </c>
      <c r="L616" s="268" t="str">
        <f t="shared" si="127"/>
        <v>Simple</v>
      </c>
      <c r="M616" s="197">
        <v>67921.796929314383</v>
      </c>
      <c r="N616" s="197">
        <v>101882.69539397159</v>
      </c>
      <c r="O616" s="257">
        <f>IF(ISNA(MATCH(H616,'Operating leases'!$B$32:$B$43,0)),0,INDEX('Operating leases'!$M$32:$S$43,MATCH(H616,'Operating leases'!$B$32:$B$43,0),MATCH(J616,'Operating leases'!$M$11:$S$11,0)))</f>
        <v>0</v>
      </c>
      <c r="P616" s="257">
        <f t="shared" si="128"/>
        <v>67921.796929314383</v>
      </c>
      <c r="Q616" s="257">
        <f t="shared" si="129"/>
        <v>169804.49232328596</v>
      </c>
      <c r="R616" s="258">
        <f>INDEX('Escalators '!$M$124:$S$129,MATCH(I616,'Escalators '!$B$124:$B$129,0),MATCH(J616,'Escalators '!$M$113:$S$113,0))</f>
        <v>1.0379818100112963</v>
      </c>
      <c r="S616" s="257">
        <f t="shared" si="130"/>
        <v>0</v>
      </c>
      <c r="T616" s="257">
        <f t="shared" si="131"/>
        <v>105752.3845738642</v>
      </c>
      <c r="U616" s="269">
        <f t="shared" si="132"/>
        <v>70501.589715909417</v>
      </c>
      <c r="V616" s="269">
        <f t="shared" si="133"/>
        <v>176253.97428977361</v>
      </c>
      <c r="W616" s="269">
        <f t="shared" si="134"/>
        <v>70501.589715909417</v>
      </c>
      <c r="X616" s="257">
        <f t="shared" si="135"/>
        <v>176253.97428977361</v>
      </c>
      <c r="Y616" s="270">
        <f>IF(L616="Complex",(INDEX('Escalators '!$M$176:$S$176,MATCH('Forecast capex'!J616,'Escalators '!$M$178:$S$178,0))/12+1)^((K616-J616)*12)-1,0)</f>
        <v>0</v>
      </c>
      <c r="Z616" s="257">
        <f t="shared" si="136"/>
        <v>0</v>
      </c>
      <c r="AA616" s="257">
        <f t="shared" si="137"/>
        <v>0</v>
      </c>
      <c r="AB616" s="269">
        <f t="shared" si="138"/>
        <v>0</v>
      </c>
      <c r="AC616" s="269">
        <f t="shared" si="139"/>
        <v>0</v>
      </c>
      <c r="AD616" s="271" t="str">
        <f>INDEX('Global inputs'!$C$134:$C$171,MATCH(F616,'Global inputs'!$B$134:$B$171,0))</f>
        <v>Consumer connection</v>
      </c>
      <c r="AE616" s="272">
        <f>IF(OR(H616='Operating leases'!$B$32,H616='Operating leases'!$B$33),"",INDEX('Global inputs'!$C$186:$C$243,MATCH(E616,'Global inputs'!$B$186:$B$243,0)))</f>
        <v>0.08</v>
      </c>
    </row>
    <row r="617" spans="1:31" s="27" customFormat="1" x14ac:dyDescent="0.2">
      <c r="A617" s="250"/>
      <c r="B617" s="210" t="s">
        <v>714</v>
      </c>
      <c r="C617" s="210" t="s">
        <v>288</v>
      </c>
      <c r="D617" s="210" t="s">
        <v>718</v>
      </c>
      <c r="E617" s="210" t="s">
        <v>160</v>
      </c>
      <c r="F617" s="210" t="s">
        <v>94</v>
      </c>
      <c r="G617" s="210" t="s">
        <v>722</v>
      </c>
      <c r="H617" s="197">
        <v>0</v>
      </c>
      <c r="I617" s="210" t="s">
        <v>221</v>
      </c>
      <c r="J617" s="210">
        <v>2022</v>
      </c>
      <c r="K617" s="210">
        <v>2022</v>
      </c>
      <c r="L617" s="268" t="str">
        <f t="shared" si="127"/>
        <v>Simple</v>
      </c>
      <c r="M617" s="197">
        <v>67921.796929314383</v>
      </c>
      <c r="N617" s="197">
        <v>101882.69539397159</v>
      </c>
      <c r="O617" s="257">
        <f>IF(ISNA(MATCH(H617,'Operating leases'!$B$32:$B$43,0)),0,INDEX('Operating leases'!$M$32:$S$43,MATCH(H617,'Operating leases'!$B$32:$B$43,0),MATCH(J617,'Operating leases'!$M$11:$S$11,0)))</f>
        <v>0</v>
      </c>
      <c r="P617" s="257">
        <f t="shared" si="128"/>
        <v>67921.796929314383</v>
      </c>
      <c r="Q617" s="257">
        <f t="shared" si="129"/>
        <v>169804.49232328596</v>
      </c>
      <c r="R617" s="258">
        <f>INDEX('Escalators '!$M$124:$S$129,MATCH(I617,'Escalators '!$B$124:$B$129,0),MATCH(J617,'Escalators '!$M$113:$S$113,0))</f>
        <v>1.0272672933956697</v>
      </c>
      <c r="S617" s="257">
        <f t="shared" si="130"/>
        <v>0</v>
      </c>
      <c r="T617" s="257">
        <f t="shared" si="131"/>
        <v>104660.76074122066</v>
      </c>
      <c r="U617" s="269">
        <f t="shared" si="132"/>
        <v>69773.84049414708</v>
      </c>
      <c r="V617" s="269">
        <f t="shared" si="133"/>
        <v>174434.60123536774</v>
      </c>
      <c r="W617" s="269">
        <f t="shared" si="134"/>
        <v>69773.84049414708</v>
      </c>
      <c r="X617" s="257">
        <f t="shared" si="135"/>
        <v>174434.60123536774</v>
      </c>
      <c r="Y617" s="270">
        <f>IF(L617="Complex",(INDEX('Escalators '!$M$176:$S$176,MATCH('Forecast capex'!J617,'Escalators '!$M$178:$S$178,0))/12+1)^((K617-J617)*12)-1,0)</f>
        <v>0</v>
      </c>
      <c r="Z617" s="257">
        <f t="shared" si="136"/>
        <v>0</v>
      </c>
      <c r="AA617" s="257">
        <f t="shared" si="137"/>
        <v>0</v>
      </c>
      <c r="AB617" s="269">
        <f t="shared" si="138"/>
        <v>0</v>
      </c>
      <c r="AC617" s="269">
        <f t="shared" si="139"/>
        <v>0</v>
      </c>
      <c r="AD617" s="271" t="str">
        <f>INDEX('Global inputs'!$C$134:$C$171,MATCH(F617,'Global inputs'!$B$134:$B$171,0))</f>
        <v>Consumer connection</v>
      </c>
      <c r="AE617" s="272">
        <f>IF(OR(H617='Operating leases'!$B$32,H617='Operating leases'!$B$33),"",INDEX('Global inputs'!$C$186:$C$243,MATCH(E617,'Global inputs'!$B$186:$B$243,0)))</f>
        <v>0.08</v>
      </c>
    </row>
    <row r="618" spans="1:31" s="27" customFormat="1" x14ac:dyDescent="0.2">
      <c r="A618" s="250"/>
      <c r="B618" s="210" t="s">
        <v>714</v>
      </c>
      <c r="C618" s="210" t="s">
        <v>289</v>
      </c>
      <c r="D618" s="210" t="s">
        <v>723</v>
      </c>
      <c r="E618" s="210" t="s">
        <v>164</v>
      </c>
      <c r="F618" s="210" t="s">
        <v>94</v>
      </c>
      <c r="G618" s="210" t="s">
        <v>724</v>
      </c>
      <c r="H618" s="197">
        <v>0</v>
      </c>
      <c r="I618" s="210" t="s">
        <v>139</v>
      </c>
      <c r="J618" s="210">
        <v>2022</v>
      </c>
      <c r="K618" s="210">
        <v>2022</v>
      </c>
      <c r="L618" s="268" t="str">
        <f t="shared" si="127"/>
        <v>Simple</v>
      </c>
      <c r="M618" s="197">
        <v>509128.09126847435</v>
      </c>
      <c r="N618" s="197">
        <v>763692.13690271135</v>
      </c>
      <c r="O618" s="257">
        <f>IF(ISNA(MATCH(H618,'Operating leases'!$B$32:$B$43,0)),0,INDEX('Operating leases'!$M$32:$S$43,MATCH(H618,'Operating leases'!$B$32:$B$43,0),MATCH(J618,'Operating leases'!$M$11:$S$11,0)))</f>
        <v>0</v>
      </c>
      <c r="P618" s="257">
        <f t="shared" si="128"/>
        <v>509128.09126847435</v>
      </c>
      <c r="Q618" s="257">
        <f t="shared" si="129"/>
        <v>1272820.2281711856</v>
      </c>
      <c r="R618" s="258">
        <f>INDEX('Escalators '!$M$124:$S$129,MATCH(I618,'Escalators '!$B$124:$B$129,0),MATCH(J618,'Escalators '!$M$113:$S$113,0))</f>
        <v>1.0086968501536033</v>
      </c>
      <c r="S618" s="257">
        <f t="shared" si="130"/>
        <v>0</v>
      </c>
      <c r="T618" s="257">
        <f t="shared" si="131"/>
        <v>770333.85298083932</v>
      </c>
      <c r="U618" s="269">
        <f t="shared" si="132"/>
        <v>513555.90198722621</v>
      </c>
      <c r="V618" s="269">
        <f t="shared" si="133"/>
        <v>1283889.7549680655</v>
      </c>
      <c r="W618" s="269">
        <f t="shared" si="134"/>
        <v>513555.90198722621</v>
      </c>
      <c r="X618" s="257">
        <f t="shared" si="135"/>
        <v>1283889.7549680655</v>
      </c>
      <c r="Y618" s="270">
        <f>IF(L618="Complex",(INDEX('Escalators '!$M$176:$S$176,MATCH('Forecast capex'!J618,'Escalators '!$M$178:$S$178,0))/12+1)^((K618-J618)*12)-1,0)</f>
        <v>0</v>
      </c>
      <c r="Z618" s="257">
        <f t="shared" si="136"/>
        <v>0</v>
      </c>
      <c r="AA618" s="257">
        <f t="shared" si="137"/>
        <v>0</v>
      </c>
      <c r="AB618" s="269">
        <f t="shared" si="138"/>
        <v>0</v>
      </c>
      <c r="AC618" s="269">
        <f t="shared" si="139"/>
        <v>0</v>
      </c>
      <c r="AD618" s="271" t="str">
        <f>INDEX('Global inputs'!$C$134:$C$171,MATCH(F618,'Global inputs'!$B$134:$B$171,0))</f>
        <v>Consumer connection</v>
      </c>
      <c r="AE618" s="272">
        <f>IF(OR(H618='Operating leases'!$B$32,H618='Operating leases'!$B$33),"",INDEX('Global inputs'!$C$186:$C$243,MATCH(E618,'Global inputs'!$B$186:$B$243,0)))</f>
        <v>0.08</v>
      </c>
    </row>
    <row r="619" spans="1:31" s="27" customFormat="1" x14ac:dyDescent="0.2">
      <c r="A619" s="250"/>
      <c r="B619" s="210" t="s">
        <v>714</v>
      </c>
      <c r="C619" s="210" t="s">
        <v>289</v>
      </c>
      <c r="D619" s="210" t="s">
        <v>723</v>
      </c>
      <c r="E619" s="210" t="s">
        <v>164</v>
      </c>
      <c r="F619" s="210" t="s">
        <v>94</v>
      </c>
      <c r="G619" s="210" t="s">
        <v>724</v>
      </c>
      <c r="H619" s="197">
        <v>0</v>
      </c>
      <c r="I619" s="210" t="s">
        <v>221</v>
      </c>
      <c r="J619" s="210">
        <v>2022</v>
      </c>
      <c r="K619" s="210">
        <v>2022</v>
      </c>
      <c r="L619" s="268" t="str">
        <f t="shared" si="127"/>
        <v>Simple</v>
      </c>
      <c r="M619" s="197">
        <v>127282.02281711859</v>
      </c>
      <c r="N619" s="197">
        <v>190923.03422567784</v>
      </c>
      <c r="O619" s="257">
        <f>IF(ISNA(MATCH(H619,'Operating leases'!$B$32:$B$43,0)),0,INDEX('Operating leases'!$M$32:$S$43,MATCH(H619,'Operating leases'!$B$32:$B$43,0),MATCH(J619,'Operating leases'!$M$11:$S$11,0)))</f>
        <v>0</v>
      </c>
      <c r="P619" s="257">
        <f t="shared" si="128"/>
        <v>127282.02281711859</v>
      </c>
      <c r="Q619" s="257">
        <f t="shared" si="129"/>
        <v>318205.0570427964</v>
      </c>
      <c r="R619" s="258">
        <f>INDEX('Escalators '!$M$124:$S$129,MATCH(I619,'Escalators '!$B$124:$B$129,0),MATCH(J619,'Escalators '!$M$113:$S$113,0))</f>
        <v>1.0272672933956697</v>
      </c>
      <c r="S619" s="257">
        <f t="shared" si="130"/>
        <v>0</v>
      </c>
      <c r="T619" s="257">
        <f t="shared" si="131"/>
        <v>196128.98861590089</v>
      </c>
      <c r="U619" s="269">
        <f t="shared" si="132"/>
        <v>130752.65907726725</v>
      </c>
      <c r="V619" s="269">
        <f t="shared" si="133"/>
        <v>326881.64769316814</v>
      </c>
      <c r="W619" s="269">
        <f t="shared" si="134"/>
        <v>130752.65907726725</v>
      </c>
      <c r="X619" s="257">
        <f t="shared" si="135"/>
        <v>326881.64769316814</v>
      </c>
      <c r="Y619" s="270">
        <f>IF(L619="Complex",(INDEX('Escalators '!$M$176:$S$176,MATCH('Forecast capex'!J619,'Escalators '!$M$178:$S$178,0))/12+1)^((K619-J619)*12)-1,0)</f>
        <v>0</v>
      </c>
      <c r="Z619" s="257">
        <f t="shared" si="136"/>
        <v>0</v>
      </c>
      <c r="AA619" s="257">
        <f t="shared" si="137"/>
        <v>0</v>
      </c>
      <c r="AB619" s="269">
        <f t="shared" si="138"/>
        <v>0</v>
      </c>
      <c r="AC619" s="269">
        <f t="shared" si="139"/>
        <v>0</v>
      </c>
      <c r="AD619" s="271" t="str">
        <f>INDEX('Global inputs'!$C$134:$C$171,MATCH(F619,'Global inputs'!$B$134:$B$171,0))</f>
        <v>Consumer connection</v>
      </c>
      <c r="AE619" s="272">
        <f>IF(OR(H619='Operating leases'!$B$32,H619='Operating leases'!$B$33),"",INDEX('Global inputs'!$C$186:$C$243,MATCH(E619,'Global inputs'!$B$186:$B$243,0)))</f>
        <v>0.08</v>
      </c>
    </row>
    <row r="620" spans="1:31" s="27" customFormat="1" x14ac:dyDescent="0.2">
      <c r="A620" s="250"/>
      <c r="B620" s="210" t="s">
        <v>714</v>
      </c>
      <c r="C620" s="210" t="s">
        <v>289</v>
      </c>
      <c r="D620" s="210" t="s">
        <v>723</v>
      </c>
      <c r="E620" s="210" t="s">
        <v>163</v>
      </c>
      <c r="F620" s="210" t="s">
        <v>94</v>
      </c>
      <c r="G620" s="210" t="s">
        <v>725</v>
      </c>
      <c r="H620" s="197">
        <v>0</v>
      </c>
      <c r="I620" s="210" t="s">
        <v>139</v>
      </c>
      <c r="J620" s="210">
        <v>2022</v>
      </c>
      <c r="K620" s="210">
        <v>2022</v>
      </c>
      <c r="L620" s="268" t="str">
        <f t="shared" si="127"/>
        <v>Simple</v>
      </c>
      <c r="M620" s="197">
        <v>331047.41360506177</v>
      </c>
      <c r="N620" s="197">
        <v>496571.12040759256</v>
      </c>
      <c r="O620" s="257">
        <f>IF(ISNA(MATCH(H620,'Operating leases'!$B$32:$B$43,0)),0,INDEX('Operating leases'!$M$32:$S$43,MATCH(H620,'Operating leases'!$B$32:$B$43,0),MATCH(J620,'Operating leases'!$M$11:$S$11,0)))</f>
        <v>0</v>
      </c>
      <c r="P620" s="257">
        <f t="shared" si="128"/>
        <v>331047.41360506177</v>
      </c>
      <c r="Q620" s="257">
        <f t="shared" si="129"/>
        <v>827618.53401265433</v>
      </c>
      <c r="R620" s="258">
        <f>INDEX('Escalators '!$M$124:$S$129,MATCH(I620,'Escalators '!$B$124:$B$129,0),MATCH(J620,'Escalators '!$M$113:$S$113,0))</f>
        <v>1.0086968501536033</v>
      </c>
      <c r="S620" s="257">
        <f t="shared" si="130"/>
        <v>0</v>
      </c>
      <c r="T620" s="257">
        <f t="shared" si="131"/>
        <v>500889.72503238433</v>
      </c>
      <c r="U620" s="269">
        <f t="shared" si="132"/>
        <v>333926.48335492291</v>
      </c>
      <c r="V620" s="269">
        <f t="shared" si="133"/>
        <v>834816.20838730724</v>
      </c>
      <c r="W620" s="269">
        <f t="shared" si="134"/>
        <v>333926.48335492291</v>
      </c>
      <c r="X620" s="257">
        <f t="shared" si="135"/>
        <v>834816.20838730724</v>
      </c>
      <c r="Y620" s="270">
        <f>IF(L620="Complex",(INDEX('Escalators '!$M$176:$S$176,MATCH('Forecast capex'!J620,'Escalators '!$M$178:$S$178,0))/12+1)^((K620-J620)*12)-1,0)</f>
        <v>0</v>
      </c>
      <c r="Z620" s="257">
        <f t="shared" si="136"/>
        <v>0</v>
      </c>
      <c r="AA620" s="257">
        <f t="shared" si="137"/>
        <v>0</v>
      </c>
      <c r="AB620" s="269">
        <f t="shared" si="138"/>
        <v>0</v>
      </c>
      <c r="AC620" s="269">
        <f t="shared" si="139"/>
        <v>0</v>
      </c>
      <c r="AD620" s="271" t="str">
        <f>INDEX('Global inputs'!$C$134:$C$171,MATCH(F620,'Global inputs'!$B$134:$B$171,0))</f>
        <v>Consumer connection</v>
      </c>
      <c r="AE620" s="272">
        <f>IF(OR(H620='Operating leases'!$B$32,H620='Operating leases'!$B$33),"",INDEX('Global inputs'!$C$186:$C$243,MATCH(E620,'Global inputs'!$B$186:$B$243,0)))</f>
        <v>0.08</v>
      </c>
    </row>
    <row r="621" spans="1:31" s="27" customFormat="1" x14ac:dyDescent="0.2">
      <c r="A621" s="250"/>
      <c r="B621" s="210" t="s">
        <v>714</v>
      </c>
      <c r="C621" s="210" t="s">
        <v>289</v>
      </c>
      <c r="D621" s="210" t="s">
        <v>723</v>
      </c>
      <c r="E621" s="210" t="s">
        <v>163</v>
      </c>
      <c r="F621" s="210" t="s">
        <v>94</v>
      </c>
      <c r="G621" s="210" t="s">
        <v>725</v>
      </c>
      <c r="H621" s="197">
        <v>0</v>
      </c>
      <c r="I621" s="210" t="s">
        <v>221</v>
      </c>
      <c r="J621" s="210">
        <v>2022</v>
      </c>
      <c r="K621" s="210">
        <v>2022</v>
      </c>
      <c r="L621" s="268" t="str">
        <f t="shared" si="127"/>
        <v>Simple</v>
      </c>
      <c r="M621" s="197">
        <v>82761.853401265442</v>
      </c>
      <c r="N621" s="197">
        <v>124142.78010189814</v>
      </c>
      <c r="O621" s="257">
        <f>IF(ISNA(MATCH(H621,'Operating leases'!$B$32:$B$43,0)),0,INDEX('Operating leases'!$M$32:$S$43,MATCH(H621,'Operating leases'!$B$32:$B$43,0),MATCH(J621,'Operating leases'!$M$11:$S$11,0)))</f>
        <v>0</v>
      </c>
      <c r="P621" s="257">
        <f t="shared" si="128"/>
        <v>82761.853401265442</v>
      </c>
      <c r="Q621" s="257">
        <f t="shared" si="129"/>
        <v>206904.63350316358</v>
      </c>
      <c r="R621" s="258">
        <f>INDEX('Escalators '!$M$124:$S$129,MATCH(I621,'Escalators '!$B$124:$B$129,0),MATCH(J621,'Escalators '!$M$113:$S$113,0))</f>
        <v>1.0272672933956697</v>
      </c>
      <c r="S621" s="257">
        <f t="shared" si="130"/>
        <v>0</v>
      </c>
      <c r="T621" s="257">
        <f t="shared" si="131"/>
        <v>127527.8177098907</v>
      </c>
      <c r="U621" s="269">
        <f t="shared" si="132"/>
        <v>85018.545139927141</v>
      </c>
      <c r="V621" s="269">
        <f t="shared" si="133"/>
        <v>212546.36284981784</v>
      </c>
      <c r="W621" s="269">
        <f t="shared" si="134"/>
        <v>85018.545139927141</v>
      </c>
      <c r="X621" s="257">
        <f t="shared" si="135"/>
        <v>212546.36284981784</v>
      </c>
      <c r="Y621" s="270">
        <f>IF(L621="Complex",(INDEX('Escalators '!$M$176:$S$176,MATCH('Forecast capex'!J621,'Escalators '!$M$178:$S$178,0))/12+1)^((K621-J621)*12)-1,0)</f>
        <v>0</v>
      </c>
      <c r="Z621" s="257">
        <f t="shared" si="136"/>
        <v>0</v>
      </c>
      <c r="AA621" s="257">
        <f t="shared" si="137"/>
        <v>0</v>
      </c>
      <c r="AB621" s="269">
        <f t="shared" si="138"/>
        <v>0</v>
      </c>
      <c r="AC621" s="269">
        <f t="shared" si="139"/>
        <v>0</v>
      </c>
      <c r="AD621" s="271" t="str">
        <f>INDEX('Global inputs'!$C$134:$C$171,MATCH(F621,'Global inputs'!$B$134:$B$171,0))</f>
        <v>Consumer connection</v>
      </c>
      <c r="AE621" s="272">
        <f>IF(OR(H621='Operating leases'!$B$32,H621='Operating leases'!$B$33),"",INDEX('Global inputs'!$C$186:$C$243,MATCH(E621,'Global inputs'!$B$186:$B$243,0)))</f>
        <v>0.08</v>
      </c>
    </row>
    <row r="622" spans="1:31" s="27" customFormat="1" x14ac:dyDescent="0.2">
      <c r="A622" s="250"/>
      <c r="B622" s="210" t="s">
        <v>714</v>
      </c>
      <c r="C622" s="210" t="s">
        <v>286</v>
      </c>
      <c r="D622" s="210" t="s">
        <v>735</v>
      </c>
      <c r="E622" s="210" t="s">
        <v>144</v>
      </c>
      <c r="F622" s="210" t="s">
        <v>94</v>
      </c>
      <c r="G622" s="210" t="s">
        <v>736</v>
      </c>
      <c r="H622" s="197">
        <v>0</v>
      </c>
      <c r="I622" s="210" t="s">
        <v>229</v>
      </c>
      <c r="J622" s="210">
        <v>2022</v>
      </c>
      <c r="K622" s="210">
        <v>2022</v>
      </c>
      <c r="L622" s="268" t="str">
        <f t="shared" si="127"/>
        <v>Simple</v>
      </c>
      <c r="M622" s="197">
        <v>3424.6284166040864</v>
      </c>
      <c r="N622" s="197">
        <v>5136.9426249061289</v>
      </c>
      <c r="O622" s="257">
        <f>IF(ISNA(MATCH(H622,'Operating leases'!$B$32:$B$43,0)),0,INDEX('Operating leases'!$M$32:$S$43,MATCH(H622,'Operating leases'!$B$32:$B$43,0),MATCH(J622,'Operating leases'!$M$11:$S$11,0)))</f>
        <v>0</v>
      </c>
      <c r="P622" s="257">
        <f t="shared" si="128"/>
        <v>3424.6284166040864</v>
      </c>
      <c r="Q622" s="257">
        <f t="shared" si="129"/>
        <v>8561.5710415102149</v>
      </c>
      <c r="R622" s="258">
        <f>INDEX('Escalators '!$M$124:$S$129,MATCH(I622,'Escalators '!$B$124:$B$129,0),MATCH(J622,'Escalators '!$M$113:$S$113,0))</f>
        <v>1.0379818100112963</v>
      </c>
      <c r="S622" s="257">
        <f t="shared" si="130"/>
        <v>0</v>
      </c>
      <c r="T622" s="257">
        <f t="shared" si="131"/>
        <v>5332.0530037242434</v>
      </c>
      <c r="U622" s="269">
        <f t="shared" si="132"/>
        <v>3554.702002482828</v>
      </c>
      <c r="V622" s="269">
        <f t="shared" si="133"/>
        <v>8886.7550062070713</v>
      </c>
      <c r="W622" s="269">
        <f t="shared" si="134"/>
        <v>3554.702002482828</v>
      </c>
      <c r="X622" s="257">
        <f t="shared" si="135"/>
        <v>8886.7550062070713</v>
      </c>
      <c r="Y622" s="270">
        <f>IF(L622="Complex",(INDEX('Escalators '!$M$176:$S$176,MATCH('Forecast capex'!J622,'Escalators '!$M$178:$S$178,0))/12+1)^((K622-J622)*12)-1,0)</f>
        <v>0</v>
      </c>
      <c r="Z622" s="257">
        <f t="shared" si="136"/>
        <v>0</v>
      </c>
      <c r="AA622" s="257">
        <f t="shared" si="137"/>
        <v>0</v>
      </c>
      <c r="AB622" s="269">
        <f t="shared" si="138"/>
        <v>0</v>
      </c>
      <c r="AC622" s="269">
        <f t="shared" si="139"/>
        <v>0</v>
      </c>
      <c r="AD622" s="271" t="str">
        <f>INDEX('Global inputs'!$C$134:$C$171,MATCH(F622,'Global inputs'!$B$134:$B$171,0))</f>
        <v>Consumer connection</v>
      </c>
      <c r="AE622" s="272">
        <f>IF(OR(H622='Operating leases'!$B$32,H622='Operating leases'!$B$33),"",INDEX('Global inputs'!$C$186:$C$243,MATCH(E622,'Global inputs'!$B$186:$B$243,0)))</f>
        <v>0.08</v>
      </c>
    </row>
    <row r="623" spans="1:31" s="27" customFormat="1" x14ac:dyDescent="0.2">
      <c r="A623" s="250"/>
      <c r="B623" s="210" t="s">
        <v>714</v>
      </c>
      <c r="C623" s="210" t="s">
        <v>286</v>
      </c>
      <c r="D623" s="210" t="s">
        <v>735</v>
      </c>
      <c r="E623" s="210" t="s">
        <v>144</v>
      </c>
      <c r="F623" s="210" t="s">
        <v>94</v>
      </c>
      <c r="G623" s="210" t="s">
        <v>736</v>
      </c>
      <c r="H623" s="197">
        <v>0</v>
      </c>
      <c r="I623" s="210" t="s">
        <v>221</v>
      </c>
      <c r="J623" s="210">
        <v>2022</v>
      </c>
      <c r="K623" s="210">
        <v>2022</v>
      </c>
      <c r="L623" s="268" t="str">
        <f t="shared" si="127"/>
        <v>Simple</v>
      </c>
      <c r="M623" s="197">
        <v>13698.513666416346</v>
      </c>
      <c r="N623" s="197">
        <v>20547.770499624516</v>
      </c>
      <c r="O623" s="257">
        <f>IF(ISNA(MATCH(H623,'Operating leases'!$B$32:$B$43,0)),0,INDEX('Operating leases'!$M$32:$S$43,MATCH(H623,'Operating leases'!$B$32:$B$43,0),MATCH(J623,'Operating leases'!$M$11:$S$11,0)))</f>
        <v>0</v>
      </c>
      <c r="P623" s="257">
        <f t="shared" si="128"/>
        <v>13698.513666416346</v>
      </c>
      <c r="Q623" s="257">
        <f t="shared" si="129"/>
        <v>34246.284166040859</v>
      </c>
      <c r="R623" s="258">
        <f>INDEX('Escalators '!$M$124:$S$129,MATCH(I623,'Escalators '!$B$124:$B$129,0),MATCH(J623,'Escalators '!$M$113:$S$113,0))</f>
        <v>1.0272672933956697</v>
      </c>
      <c r="S623" s="257">
        <f t="shared" si="130"/>
        <v>0</v>
      </c>
      <c r="T623" s="257">
        <f t="shared" si="131"/>
        <v>21108.052586464662</v>
      </c>
      <c r="U623" s="269">
        <f t="shared" si="132"/>
        <v>14072.035057643108</v>
      </c>
      <c r="V623" s="269">
        <f t="shared" si="133"/>
        <v>35180.087644107771</v>
      </c>
      <c r="W623" s="269">
        <f t="shared" si="134"/>
        <v>14072.035057643108</v>
      </c>
      <c r="X623" s="257">
        <f t="shared" si="135"/>
        <v>35180.087644107771</v>
      </c>
      <c r="Y623" s="270">
        <f>IF(L623="Complex",(INDEX('Escalators '!$M$176:$S$176,MATCH('Forecast capex'!J623,'Escalators '!$M$178:$S$178,0))/12+1)^((K623-J623)*12)-1,0)</f>
        <v>0</v>
      </c>
      <c r="Z623" s="257">
        <f t="shared" si="136"/>
        <v>0</v>
      </c>
      <c r="AA623" s="257">
        <f t="shared" si="137"/>
        <v>0</v>
      </c>
      <c r="AB623" s="269">
        <f t="shared" si="138"/>
        <v>0</v>
      </c>
      <c r="AC623" s="269">
        <f t="shared" si="139"/>
        <v>0</v>
      </c>
      <c r="AD623" s="271" t="str">
        <f>INDEX('Global inputs'!$C$134:$C$171,MATCH(F623,'Global inputs'!$B$134:$B$171,0))</f>
        <v>Consumer connection</v>
      </c>
      <c r="AE623" s="272">
        <f>IF(OR(H623='Operating leases'!$B$32,H623='Operating leases'!$B$33),"",INDEX('Global inputs'!$C$186:$C$243,MATCH(E623,'Global inputs'!$B$186:$B$243,0)))</f>
        <v>0.08</v>
      </c>
    </row>
    <row r="624" spans="1:31" s="27" customFormat="1" x14ac:dyDescent="0.2">
      <c r="A624" s="250"/>
      <c r="B624" s="210" t="s">
        <v>714</v>
      </c>
      <c r="C624" s="210" t="s">
        <v>285</v>
      </c>
      <c r="D624" s="210" t="s">
        <v>223</v>
      </c>
      <c r="E624" s="210" t="s">
        <v>134</v>
      </c>
      <c r="F624" s="210" t="s">
        <v>94</v>
      </c>
      <c r="G624" s="210" t="s">
        <v>726</v>
      </c>
      <c r="H624" s="197">
        <v>0</v>
      </c>
      <c r="I624" s="210" t="s">
        <v>223</v>
      </c>
      <c r="J624" s="210">
        <v>2022</v>
      </c>
      <c r="K624" s="210">
        <v>2022</v>
      </c>
      <c r="L624" s="268" t="str">
        <f t="shared" si="127"/>
        <v>Simple</v>
      </c>
      <c r="M624" s="197">
        <v>4965.7112040759248</v>
      </c>
      <c r="N624" s="197">
        <v>7448.5668061138867</v>
      </c>
      <c r="O624" s="257">
        <f>IF(ISNA(MATCH(H624,'Operating leases'!$B$32:$B$43,0)),0,INDEX('Operating leases'!$M$32:$S$43,MATCH(H624,'Operating leases'!$B$32:$B$43,0),MATCH(J624,'Operating leases'!$M$11:$S$11,0)))</f>
        <v>0</v>
      </c>
      <c r="P624" s="257">
        <f t="shared" si="128"/>
        <v>4965.7112040759248</v>
      </c>
      <c r="Q624" s="257">
        <f t="shared" si="129"/>
        <v>12414.278010189812</v>
      </c>
      <c r="R624" s="258">
        <f>INDEX('Escalators '!$M$124:$S$129,MATCH(I624,'Escalators '!$B$124:$B$129,0),MATCH(J624,'Escalators '!$M$113:$S$113,0))</f>
        <v>1.0395572483145099</v>
      </c>
      <c r="S624" s="257">
        <f t="shared" si="130"/>
        <v>0</v>
      </c>
      <c r="T624" s="257">
        <f t="shared" si="131"/>
        <v>7743.2116128505495</v>
      </c>
      <c r="U624" s="269">
        <f t="shared" si="132"/>
        <v>5162.1410752336997</v>
      </c>
      <c r="V624" s="269">
        <f t="shared" si="133"/>
        <v>12905.352688084249</v>
      </c>
      <c r="W624" s="269">
        <f t="shared" si="134"/>
        <v>5162.1410752336997</v>
      </c>
      <c r="X624" s="257">
        <f t="shared" si="135"/>
        <v>12905.352688084249</v>
      </c>
      <c r="Y624" s="270">
        <f>IF(L624="Complex",(INDEX('Escalators '!$M$176:$S$176,MATCH('Forecast capex'!J624,'Escalators '!$M$178:$S$178,0))/12+1)^((K624-J624)*12)-1,0)</f>
        <v>0</v>
      </c>
      <c r="Z624" s="257">
        <f t="shared" si="136"/>
        <v>0</v>
      </c>
      <c r="AA624" s="257">
        <f t="shared" si="137"/>
        <v>0</v>
      </c>
      <c r="AB624" s="269">
        <f t="shared" si="138"/>
        <v>0</v>
      </c>
      <c r="AC624" s="269">
        <f t="shared" si="139"/>
        <v>0</v>
      </c>
      <c r="AD624" s="271" t="str">
        <f>INDEX('Global inputs'!$C$134:$C$171,MATCH(F624,'Global inputs'!$B$134:$B$171,0))</f>
        <v>Consumer connection</v>
      </c>
      <c r="AE624" s="272">
        <f>IF(OR(H624='Operating leases'!$B$32,H624='Operating leases'!$B$33),"",INDEX('Global inputs'!$C$186:$C$243,MATCH(E624,'Global inputs'!$B$186:$B$243,0)))</f>
        <v>0.08</v>
      </c>
    </row>
    <row r="625" spans="1:31" s="27" customFormat="1" x14ac:dyDescent="0.2">
      <c r="A625" s="250"/>
      <c r="B625" s="210" t="s">
        <v>714</v>
      </c>
      <c r="C625" s="210" t="s">
        <v>285</v>
      </c>
      <c r="D625" s="210" t="s">
        <v>223</v>
      </c>
      <c r="E625" s="210" t="s">
        <v>134</v>
      </c>
      <c r="F625" s="210" t="s">
        <v>94</v>
      </c>
      <c r="G625" s="210" t="s">
        <v>726</v>
      </c>
      <c r="H625" s="197">
        <v>0</v>
      </c>
      <c r="I625" s="210" t="s">
        <v>221</v>
      </c>
      <c r="J625" s="210">
        <v>2022</v>
      </c>
      <c r="K625" s="210">
        <v>2022</v>
      </c>
      <c r="L625" s="268" t="str">
        <f t="shared" si="127"/>
        <v>Simple</v>
      </c>
      <c r="M625" s="197">
        <v>11586.659476177161</v>
      </c>
      <c r="N625" s="197">
        <v>17379.989214265737</v>
      </c>
      <c r="O625" s="257">
        <f>IF(ISNA(MATCH(H625,'Operating leases'!$B$32:$B$43,0)),0,INDEX('Operating leases'!$M$32:$S$43,MATCH(H625,'Operating leases'!$B$32:$B$43,0),MATCH(J625,'Operating leases'!$M$11:$S$11,0)))</f>
        <v>0</v>
      </c>
      <c r="P625" s="257">
        <f t="shared" si="128"/>
        <v>11586.659476177161</v>
      </c>
      <c r="Q625" s="257">
        <f t="shared" si="129"/>
        <v>28966.648690442897</v>
      </c>
      <c r="R625" s="258">
        <f>INDEX('Escalators '!$M$124:$S$129,MATCH(I625,'Escalators '!$B$124:$B$129,0),MATCH(J625,'Escalators '!$M$113:$S$113,0))</f>
        <v>1.0272672933956697</v>
      </c>
      <c r="S625" s="257">
        <f t="shared" si="130"/>
        <v>0</v>
      </c>
      <c r="T625" s="257">
        <f t="shared" si="131"/>
        <v>17853.894479384697</v>
      </c>
      <c r="U625" s="269">
        <f t="shared" si="132"/>
        <v>11902.596319589797</v>
      </c>
      <c r="V625" s="269">
        <f t="shared" si="133"/>
        <v>29756.490798974493</v>
      </c>
      <c r="W625" s="269">
        <f t="shared" si="134"/>
        <v>11902.596319589797</v>
      </c>
      <c r="X625" s="257">
        <f t="shared" si="135"/>
        <v>29756.490798974493</v>
      </c>
      <c r="Y625" s="270">
        <f>IF(L625="Complex",(INDEX('Escalators '!$M$176:$S$176,MATCH('Forecast capex'!J625,'Escalators '!$M$178:$S$178,0))/12+1)^((K625-J625)*12)-1,0)</f>
        <v>0</v>
      </c>
      <c r="Z625" s="257">
        <f t="shared" si="136"/>
        <v>0</v>
      </c>
      <c r="AA625" s="257">
        <f t="shared" si="137"/>
        <v>0</v>
      </c>
      <c r="AB625" s="269">
        <f t="shared" si="138"/>
        <v>0</v>
      </c>
      <c r="AC625" s="269">
        <f t="shared" si="139"/>
        <v>0</v>
      </c>
      <c r="AD625" s="271" t="str">
        <f>INDEX('Global inputs'!$C$134:$C$171,MATCH(F625,'Global inputs'!$B$134:$B$171,0))</f>
        <v>Consumer connection</v>
      </c>
      <c r="AE625" s="272">
        <f>IF(OR(H625='Operating leases'!$B$32,H625='Operating leases'!$B$33),"",INDEX('Global inputs'!$C$186:$C$243,MATCH(E625,'Global inputs'!$B$186:$B$243,0)))</f>
        <v>0.08</v>
      </c>
    </row>
    <row r="626" spans="1:31" s="27" customFormat="1" x14ac:dyDescent="0.2">
      <c r="A626" s="250"/>
      <c r="B626" s="210" t="s">
        <v>714</v>
      </c>
      <c r="C626" s="210" t="s">
        <v>288</v>
      </c>
      <c r="D626" s="210" t="s">
        <v>223</v>
      </c>
      <c r="E626" s="210" t="s">
        <v>157</v>
      </c>
      <c r="F626" s="210" t="s">
        <v>94</v>
      </c>
      <c r="G626" s="210" t="s">
        <v>727</v>
      </c>
      <c r="H626" s="197">
        <v>0</v>
      </c>
      <c r="I626" s="210" t="s">
        <v>223</v>
      </c>
      <c r="J626" s="210">
        <v>2022</v>
      </c>
      <c r="K626" s="210">
        <v>2022</v>
      </c>
      <c r="L626" s="268" t="str">
        <f t="shared" si="127"/>
        <v>Simple</v>
      </c>
      <c r="M626" s="197">
        <v>90410.190198347875</v>
      </c>
      <c r="N626" s="197">
        <v>135615.28529752183</v>
      </c>
      <c r="O626" s="257">
        <f>IF(ISNA(MATCH(H626,'Operating leases'!$B$32:$B$43,0)),0,INDEX('Operating leases'!$M$32:$S$43,MATCH(H626,'Operating leases'!$B$32:$B$43,0),MATCH(J626,'Operating leases'!$M$11:$S$11,0)))</f>
        <v>0</v>
      </c>
      <c r="P626" s="257">
        <f t="shared" si="128"/>
        <v>90410.190198347875</v>
      </c>
      <c r="Q626" s="257">
        <f t="shared" si="129"/>
        <v>226025.4754958697</v>
      </c>
      <c r="R626" s="258">
        <f>INDEX('Escalators '!$M$124:$S$129,MATCH(I626,'Escalators '!$B$124:$B$129,0),MATCH(J626,'Escalators '!$M$113:$S$113,0))</f>
        <v>1.0395572483145099</v>
      </c>
      <c r="S626" s="257">
        <f t="shared" si="130"/>
        <v>0</v>
      </c>
      <c r="T626" s="257">
        <f t="shared" si="131"/>
        <v>140979.85281327899</v>
      </c>
      <c r="U626" s="269">
        <f t="shared" si="132"/>
        <v>93986.568542185996</v>
      </c>
      <c r="V626" s="269">
        <f t="shared" si="133"/>
        <v>234966.42135546499</v>
      </c>
      <c r="W626" s="269">
        <f t="shared" si="134"/>
        <v>93986.568542185996</v>
      </c>
      <c r="X626" s="257">
        <f t="shared" si="135"/>
        <v>234966.42135546499</v>
      </c>
      <c r="Y626" s="270">
        <f>IF(L626="Complex",(INDEX('Escalators '!$M$176:$S$176,MATCH('Forecast capex'!J626,'Escalators '!$M$178:$S$178,0))/12+1)^((K626-J626)*12)-1,0)</f>
        <v>0</v>
      </c>
      <c r="Z626" s="257">
        <f t="shared" si="136"/>
        <v>0</v>
      </c>
      <c r="AA626" s="257">
        <f t="shared" si="137"/>
        <v>0</v>
      </c>
      <c r="AB626" s="269">
        <f t="shared" si="138"/>
        <v>0</v>
      </c>
      <c r="AC626" s="269">
        <f t="shared" si="139"/>
        <v>0</v>
      </c>
      <c r="AD626" s="271" t="str">
        <f>INDEX('Global inputs'!$C$134:$C$171,MATCH(F626,'Global inputs'!$B$134:$B$171,0))</f>
        <v>Consumer connection</v>
      </c>
      <c r="AE626" s="272">
        <f>IF(OR(H626='Operating leases'!$B$32,H626='Operating leases'!$B$33),"",INDEX('Global inputs'!$C$186:$C$243,MATCH(E626,'Global inputs'!$B$186:$B$243,0)))</f>
        <v>0.08</v>
      </c>
    </row>
    <row r="627" spans="1:31" s="27" customFormat="1" x14ac:dyDescent="0.2">
      <c r="A627" s="250"/>
      <c r="B627" s="210" t="s">
        <v>714</v>
      </c>
      <c r="C627" s="210" t="s">
        <v>288</v>
      </c>
      <c r="D627" s="210" t="s">
        <v>223</v>
      </c>
      <c r="E627" s="210" t="s">
        <v>157</v>
      </c>
      <c r="F627" s="210" t="s">
        <v>94</v>
      </c>
      <c r="G627" s="210" t="s">
        <v>727</v>
      </c>
      <c r="H627" s="197">
        <v>0</v>
      </c>
      <c r="I627" s="210" t="s">
        <v>221</v>
      </c>
      <c r="J627" s="210">
        <v>2022</v>
      </c>
      <c r="K627" s="210">
        <v>2022</v>
      </c>
      <c r="L627" s="268" t="str">
        <f t="shared" si="127"/>
        <v>Simple</v>
      </c>
      <c r="M627" s="197">
        <v>210957.11046281172</v>
      </c>
      <c r="N627" s="197">
        <v>316435.66569421761</v>
      </c>
      <c r="O627" s="257">
        <f>IF(ISNA(MATCH(H627,'Operating leases'!$B$32:$B$43,0)),0,INDEX('Operating leases'!$M$32:$S$43,MATCH(H627,'Operating leases'!$B$32:$B$43,0),MATCH(J627,'Operating leases'!$M$11:$S$11,0)))</f>
        <v>0</v>
      </c>
      <c r="P627" s="257">
        <f t="shared" si="128"/>
        <v>210957.11046281172</v>
      </c>
      <c r="Q627" s="257">
        <f t="shared" si="129"/>
        <v>527392.77615702932</v>
      </c>
      <c r="R627" s="258">
        <f>INDEX('Escalators '!$M$124:$S$129,MATCH(I627,'Escalators '!$B$124:$B$129,0),MATCH(J627,'Escalators '!$M$113:$S$113,0))</f>
        <v>1.0272672933956697</v>
      </c>
      <c r="S627" s="257">
        <f t="shared" si="130"/>
        <v>0</v>
      </c>
      <c r="T627" s="257">
        <f t="shared" si="131"/>
        <v>325064.00983155589</v>
      </c>
      <c r="U627" s="269">
        <f t="shared" si="132"/>
        <v>216709.33988770389</v>
      </c>
      <c r="V627" s="269">
        <f t="shared" si="133"/>
        <v>541773.34971925977</v>
      </c>
      <c r="W627" s="269">
        <f t="shared" si="134"/>
        <v>216709.33988770389</v>
      </c>
      <c r="X627" s="257">
        <f t="shared" si="135"/>
        <v>541773.34971925977</v>
      </c>
      <c r="Y627" s="270">
        <f>IF(L627="Complex",(INDEX('Escalators '!$M$176:$S$176,MATCH('Forecast capex'!J627,'Escalators '!$M$178:$S$178,0))/12+1)^((K627-J627)*12)-1,0)</f>
        <v>0</v>
      </c>
      <c r="Z627" s="257">
        <f t="shared" si="136"/>
        <v>0</v>
      </c>
      <c r="AA627" s="257">
        <f t="shared" si="137"/>
        <v>0</v>
      </c>
      <c r="AB627" s="269">
        <f t="shared" si="138"/>
        <v>0</v>
      </c>
      <c r="AC627" s="269">
        <f t="shared" si="139"/>
        <v>0</v>
      </c>
      <c r="AD627" s="271" t="str">
        <f>INDEX('Global inputs'!$C$134:$C$171,MATCH(F627,'Global inputs'!$B$134:$B$171,0))</f>
        <v>Consumer connection</v>
      </c>
      <c r="AE627" s="272">
        <f>IF(OR(H627='Operating leases'!$B$32,H627='Operating leases'!$B$33),"",INDEX('Global inputs'!$C$186:$C$243,MATCH(E627,'Global inputs'!$B$186:$B$243,0)))</f>
        <v>0.08</v>
      </c>
    </row>
    <row r="628" spans="1:31" s="27" customFormat="1" x14ac:dyDescent="0.2">
      <c r="A628" s="250"/>
      <c r="B628" s="210" t="s">
        <v>714</v>
      </c>
      <c r="C628" s="210" t="s">
        <v>288</v>
      </c>
      <c r="D628" s="210" t="s">
        <v>223</v>
      </c>
      <c r="E628" s="210" t="s">
        <v>159</v>
      </c>
      <c r="F628" s="210" t="s">
        <v>94</v>
      </c>
      <c r="G628" s="210" t="s">
        <v>728</v>
      </c>
      <c r="H628" s="197">
        <v>0</v>
      </c>
      <c r="I628" s="210" t="s">
        <v>223</v>
      </c>
      <c r="J628" s="210">
        <v>2022</v>
      </c>
      <c r="K628" s="210">
        <v>2022</v>
      </c>
      <c r="L628" s="268" t="str">
        <f t="shared" si="127"/>
        <v>Simple</v>
      </c>
      <c r="M628" s="197">
        <v>257303.74836752037</v>
      </c>
      <c r="N628" s="197">
        <v>385955.62255128054</v>
      </c>
      <c r="O628" s="257">
        <f>IF(ISNA(MATCH(H628,'Operating leases'!$B$32:$B$43,0)),0,INDEX('Operating leases'!$M$32:$S$43,MATCH(H628,'Operating leases'!$B$32:$B$43,0),MATCH(J628,'Operating leases'!$M$11:$S$11,0)))</f>
        <v>0</v>
      </c>
      <c r="P628" s="257">
        <f t="shared" si="128"/>
        <v>257303.74836752037</v>
      </c>
      <c r="Q628" s="257">
        <f t="shared" si="129"/>
        <v>643259.37091880094</v>
      </c>
      <c r="R628" s="258">
        <f>INDEX('Escalators '!$M$124:$S$129,MATCH(I628,'Escalators '!$B$124:$B$129,0),MATCH(J628,'Escalators '!$M$113:$S$113,0))</f>
        <v>1.0395572483145099</v>
      </c>
      <c r="S628" s="257">
        <f t="shared" si="130"/>
        <v>0</v>
      </c>
      <c r="T628" s="257">
        <f t="shared" si="131"/>
        <v>401222.96495092282</v>
      </c>
      <c r="U628" s="269">
        <f t="shared" si="132"/>
        <v>267481.97663394856</v>
      </c>
      <c r="V628" s="269">
        <f t="shared" si="133"/>
        <v>668704.94158487138</v>
      </c>
      <c r="W628" s="269">
        <f t="shared" si="134"/>
        <v>267481.97663394856</v>
      </c>
      <c r="X628" s="257">
        <f t="shared" si="135"/>
        <v>668704.94158487138</v>
      </c>
      <c r="Y628" s="270">
        <f>IF(L628="Complex",(INDEX('Escalators '!$M$176:$S$176,MATCH('Forecast capex'!J628,'Escalators '!$M$178:$S$178,0))/12+1)^((K628-J628)*12)-1,0)</f>
        <v>0</v>
      </c>
      <c r="Z628" s="257">
        <f t="shared" si="136"/>
        <v>0</v>
      </c>
      <c r="AA628" s="257">
        <f t="shared" si="137"/>
        <v>0</v>
      </c>
      <c r="AB628" s="269">
        <f t="shared" si="138"/>
        <v>0</v>
      </c>
      <c r="AC628" s="269">
        <f t="shared" si="139"/>
        <v>0</v>
      </c>
      <c r="AD628" s="271" t="str">
        <f>INDEX('Global inputs'!$C$134:$C$171,MATCH(F628,'Global inputs'!$B$134:$B$171,0))</f>
        <v>Consumer connection</v>
      </c>
      <c r="AE628" s="272">
        <f>IF(OR(H628='Operating leases'!$B$32,H628='Operating leases'!$B$33),"",INDEX('Global inputs'!$C$186:$C$243,MATCH(E628,'Global inputs'!$B$186:$B$243,0)))</f>
        <v>0.08</v>
      </c>
    </row>
    <row r="629" spans="1:31" s="27" customFormat="1" x14ac:dyDescent="0.2">
      <c r="A629" s="250"/>
      <c r="B629" s="210" t="s">
        <v>714</v>
      </c>
      <c r="C629" s="210" t="s">
        <v>288</v>
      </c>
      <c r="D629" s="210" t="s">
        <v>223</v>
      </c>
      <c r="E629" s="210" t="s">
        <v>159</v>
      </c>
      <c r="F629" s="210" t="s">
        <v>94</v>
      </c>
      <c r="G629" s="210" t="s">
        <v>728</v>
      </c>
      <c r="H629" s="197">
        <v>0</v>
      </c>
      <c r="I629" s="210" t="s">
        <v>221</v>
      </c>
      <c r="J629" s="210">
        <v>2022</v>
      </c>
      <c r="K629" s="210">
        <v>2022</v>
      </c>
      <c r="L629" s="268" t="str">
        <f t="shared" si="127"/>
        <v>Simple</v>
      </c>
      <c r="M629" s="197">
        <v>385955.6225512806</v>
      </c>
      <c r="N629" s="197">
        <v>578933.43382692081</v>
      </c>
      <c r="O629" s="257">
        <f>IF(ISNA(MATCH(H629,'Operating leases'!$B$32:$B$43,0)),0,INDEX('Operating leases'!$M$32:$S$43,MATCH(H629,'Operating leases'!$B$32:$B$43,0),MATCH(J629,'Operating leases'!$M$11:$S$11,0)))</f>
        <v>0</v>
      </c>
      <c r="P629" s="257">
        <f t="shared" si="128"/>
        <v>385955.6225512806</v>
      </c>
      <c r="Q629" s="257">
        <f t="shared" si="129"/>
        <v>964889.05637820135</v>
      </c>
      <c r="R629" s="258">
        <f>INDEX('Escalators '!$M$124:$S$129,MATCH(I629,'Escalators '!$B$124:$B$129,0),MATCH(J629,'Escalators '!$M$113:$S$113,0))</f>
        <v>1.0272672933956697</v>
      </c>
      <c r="S629" s="257">
        <f t="shared" si="130"/>
        <v>0</v>
      </c>
      <c r="T629" s="257">
        <f t="shared" si="131"/>
        <v>594719.38162364194</v>
      </c>
      <c r="U629" s="269">
        <f t="shared" si="132"/>
        <v>396479.5877490947</v>
      </c>
      <c r="V629" s="269">
        <f t="shared" si="133"/>
        <v>991198.96937273664</v>
      </c>
      <c r="W629" s="269">
        <f t="shared" si="134"/>
        <v>396479.5877490947</v>
      </c>
      <c r="X629" s="257">
        <f t="shared" si="135"/>
        <v>991198.96937273664</v>
      </c>
      <c r="Y629" s="270">
        <f>IF(L629="Complex",(INDEX('Escalators '!$M$176:$S$176,MATCH('Forecast capex'!J629,'Escalators '!$M$178:$S$178,0))/12+1)^((K629-J629)*12)-1,0)</f>
        <v>0</v>
      </c>
      <c r="Z629" s="257">
        <f t="shared" si="136"/>
        <v>0</v>
      </c>
      <c r="AA629" s="257">
        <f t="shared" si="137"/>
        <v>0</v>
      </c>
      <c r="AB629" s="269">
        <f t="shared" si="138"/>
        <v>0</v>
      </c>
      <c r="AC629" s="269">
        <f t="shared" si="139"/>
        <v>0</v>
      </c>
      <c r="AD629" s="271" t="str">
        <f>INDEX('Global inputs'!$C$134:$C$171,MATCH(F629,'Global inputs'!$B$134:$B$171,0))</f>
        <v>Consumer connection</v>
      </c>
      <c r="AE629" s="272">
        <f>IF(OR(H629='Operating leases'!$B$32,H629='Operating leases'!$B$33),"",INDEX('Global inputs'!$C$186:$C$243,MATCH(E629,'Global inputs'!$B$186:$B$243,0)))</f>
        <v>0.08</v>
      </c>
    </row>
    <row r="630" spans="1:31" s="27" customFormat="1" x14ac:dyDescent="0.2">
      <c r="A630" s="250"/>
      <c r="B630" s="210" t="s">
        <v>714</v>
      </c>
      <c r="C630" s="210" t="s">
        <v>287</v>
      </c>
      <c r="D630" s="210" t="s">
        <v>729</v>
      </c>
      <c r="E630" s="210" t="s">
        <v>150</v>
      </c>
      <c r="F630" s="210" t="s">
        <v>94</v>
      </c>
      <c r="G630" s="210" t="s">
        <v>731</v>
      </c>
      <c r="H630" s="197">
        <v>0</v>
      </c>
      <c r="I630" s="210" t="s">
        <v>225</v>
      </c>
      <c r="J630" s="210">
        <v>2022</v>
      </c>
      <c r="K630" s="210">
        <v>2022</v>
      </c>
      <c r="L630" s="268" t="str">
        <f t="shared" si="127"/>
        <v>Simple</v>
      </c>
      <c r="M630" s="197">
        <v>2910.9341541134741</v>
      </c>
      <c r="N630" s="197">
        <v>4366.4012311702108</v>
      </c>
      <c r="O630" s="257">
        <f>IF(ISNA(MATCH(H630,'Operating leases'!$B$32:$B$43,0)),0,INDEX('Operating leases'!$M$32:$S$43,MATCH(H630,'Operating leases'!$B$32:$B$43,0),MATCH(J630,'Operating leases'!$M$11:$S$11,0)))</f>
        <v>0</v>
      </c>
      <c r="P630" s="257">
        <f t="shared" si="128"/>
        <v>2910.9341541134741</v>
      </c>
      <c r="Q630" s="257">
        <f t="shared" si="129"/>
        <v>7277.3353852836844</v>
      </c>
      <c r="R630" s="258">
        <f>INDEX('Escalators '!$M$124:$S$129,MATCH(I630,'Escalators '!$B$124:$B$129,0),MATCH(J630,'Escalators '!$M$113:$S$113,0))</f>
        <v>1.0390620061247575</v>
      </c>
      <c r="S630" s="257">
        <f t="shared" si="130"/>
        <v>0</v>
      </c>
      <c r="T630" s="257">
        <f t="shared" si="131"/>
        <v>4536.9616228053301</v>
      </c>
      <c r="U630" s="269">
        <f t="shared" si="132"/>
        <v>3024.6410818702207</v>
      </c>
      <c r="V630" s="269">
        <f t="shared" si="133"/>
        <v>7561.6027046755507</v>
      </c>
      <c r="W630" s="269">
        <f t="shared" si="134"/>
        <v>3024.6410818702207</v>
      </c>
      <c r="X630" s="257">
        <f t="shared" si="135"/>
        <v>7561.6027046755507</v>
      </c>
      <c r="Y630" s="270">
        <f>IF(L630="Complex",(INDEX('Escalators '!$M$176:$S$176,MATCH('Forecast capex'!J630,'Escalators '!$M$178:$S$178,0))/12+1)^((K630-J630)*12)-1,0)</f>
        <v>0</v>
      </c>
      <c r="Z630" s="257">
        <f t="shared" si="136"/>
        <v>0</v>
      </c>
      <c r="AA630" s="257">
        <f t="shared" si="137"/>
        <v>0</v>
      </c>
      <c r="AB630" s="269">
        <f t="shared" si="138"/>
        <v>0</v>
      </c>
      <c r="AC630" s="269">
        <f t="shared" si="139"/>
        <v>0</v>
      </c>
      <c r="AD630" s="271" t="str">
        <f>INDEX('Global inputs'!$C$134:$C$171,MATCH(F630,'Global inputs'!$B$134:$B$171,0))</f>
        <v>Consumer connection</v>
      </c>
      <c r="AE630" s="272">
        <f>IF(OR(H630='Operating leases'!$B$32,H630='Operating leases'!$B$33),"",INDEX('Global inputs'!$C$186:$C$243,MATCH(E630,'Global inputs'!$B$186:$B$243,0)))</f>
        <v>0.08</v>
      </c>
    </row>
    <row r="631" spans="1:31" s="27" customFormat="1" x14ac:dyDescent="0.2">
      <c r="A631" s="250"/>
      <c r="B631" s="210" t="s">
        <v>714</v>
      </c>
      <c r="C631" s="210" t="s">
        <v>287</v>
      </c>
      <c r="D631" s="210" t="s">
        <v>729</v>
      </c>
      <c r="E631" s="210" t="s">
        <v>150</v>
      </c>
      <c r="F631" s="210" t="s">
        <v>94</v>
      </c>
      <c r="G631" s="210" t="s">
        <v>731</v>
      </c>
      <c r="H631" s="197">
        <v>0</v>
      </c>
      <c r="I631" s="210" t="s">
        <v>221</v>
      </c>
      <c r="J631" s="210">
        <v>2022</v>
      </c>
      <c r="K631" s="210">
        <v>2022</v>
      </c>
      <c r="L631" s="268" t="str">
        <f t="shared" si="127"/>
        <v>Simple</v>
      </c>
      <c r="M631" s="197">
        <v>11643.736616453896</v>
      </c>
      <c r="N631" s="197">
        <v>17465.604924680843</v>
      </c>
      <c r="O631" s="257">
        <f>IF(ISNA(MATCH(H631,'Operating leases'!$B$32:$B$43,0)),0,INDEX('Operating leases'!$M$32:$S$43,MATCH(H631,'Operating leases'!$B$32:$B$43,0),MATCH(J631,'Operating leases'!$M$11:$S$11,0)))</f>
        <v>0</v>
      </c>
      <c r="P631" s="257">
        <f t="shared" si="128"/>
        <v>11643.736616453896</v>
      </c>
      <c r="Q631" s="257">
        <f t="shared" si="129"/>
        <v>29109.341541134738</v>
      </c>
      <c r="R631" s="258">
        <f>INDEX('Escalators '!$M$124:$S$129,MATCH(I631,'Escalators '!$B$124:$B$129,0),MATCH(J631,'Escalators '!$M$113:$S$113,0))</f>
        <v>1.0272672933956697</v>
      </c>
      <c r="S631" s="257">
        <f t="shared" si="130"/>
        <v>0</v>
      </c>
      <c r="T631" s="257">
        <f t="shared" si="131"/>
        <v>17941.84469849497</v>
      </c>
      <c r="U631" s="269">
        <f t="shared" si="132"/>
        <v>11961.229798996646</v>
      </c>
      <c r="V631" s="269">
        <f t="shared" si="133"/>
        <v>29903.074497491616</v>
      </c>
      <c r="W631" s="269">
        <f t="shared" si="134"/>
        <v>11961.229798996646</v>
      </c>
      <c r="X631" s="257">
        <f t="shared" si="135"/>
        <v>29903.074497491616</v>
      </c>
      <c r="Y631" s="270">
        <f>IF(L631="Complex",(INDEX('Escalators '!$M$176:$S$176,MATCH('Forecast capex'!J631,'Escalators '!$M$178:$S$178,0))/12+1)^((K631-J631)*12)-1,0)</f>
        <v>0</v>
      </c>
      <c r="Z631" s="257">
        <f t="shared" si="136"/>
        <v>0</v>
      </c>
      <c r="AA631" s="257">
        <f t="shared" si="137"/>
        <v>0</v>
      </c>
      <c r="AB631" s="269">
        <f t="shared" si="138"/>
        <v>0</v>
      </c>
      <c r="AC631" s="269">
        <f t="shared" si="139"/>
        <v>0</v>
      </c>
      <c r="AD631" s="271" t="str">
        <f>INDEX('Global inputs'!$C$134:$C$171,MATCH(F631,'Global inputs'!$B$134:$B$171,0))</f>
        <v>Consumer connection</v>
      </c>
      <c r="AE631" s="272">
        <f>IF(OR(H631='Operating leases'!$B$32,H631='Operating leases'!$B$33),"",INDEX('Global inputs'!$C$186:$C$243,MATCH(E631,'Global inputs'!$B$186:$B$243,0)))</f>
        <v>0.08</v>
      </c>
    </row>
    <row r="632" spans="1:31" s="27" customFormat="1" x14ac:dyDescent="0.2">
      <c r="A632" s="250"/>
      <c r="B632" s="210" t="s">
        <v>714</v>
      </c>
      <c r="C632" s="210" t="s">
        <v>287</v>
      </c>
      <c r="D632" s="210" t="s">
        <v>729</v>
      </c>
      <c r="E632" s="210" t="s">
        <v>151</v>
      </c>
      <c r="F632" s="210" t="s">
        <v>94</v>
      </c>
      <c r="G632" s="210" t="s">
        <v>731</v>
      </c>
      <c r="H632" s="197">
        <v>0</v>
      </c>
      <c r="I632" s="210" t="s">
        <v>225</v>
      </c>
      <c r="J632" s="210">
        <v>2022</v>
      </c>
      <c r="K632" s="210">
        <v>2022</v>
      </c>
      <c r="L632" s="268" t="str">
        <f t="shared" si="127"/>
        <v>Simple</v>
      </c>
      <c r="M632" s="197">
        <v>2910.9341541134741</v>
      </c>
      <c r="N632" s="197">
        <v>4366.4012311702108</v>
      </c>
      <c r="O632" s="257">
        <f>IF(ISNA(MATCH(H632,'Operating leases'!$B$32:$B$43,0)),0,INDEX('Operating leases'!$M$32:$S$43,MATCH(H632,'Operating leases'!$B$32:$B$43,0),MATCH(J632,'Operating leases'!$M$11:$S$11,0)))</f>
        <v>0</v>
      </c>
      <c r="P632" s="257">
        <f t="shared" si="128"/>
        <v>2910.9341541134741</v>
      </c>
      <c r="Q632" s="257">
        <f t="shared" si="129"/>
        <v>7277.3353852836844</v>
      </c>
      <c r="R632" s="258">
        <f>INDEX('Escalators '!$M$124:$S$129,MATCH(I632,'Escalators '!$B$124:$B$129,0),MATCH(J632,'Escalators '!$M$113:$S$113,0))</f>
        <v>1.0390620061247575</v>
      </c>
      <c r="S632" s="257">
        <f t="shared" si="130"/>
        <v>0</v>
      </c>
      <c r="T632" s="257">
        <f t="shared" si="131"/>
        <v>4536.9616228053301</v>
      </c>
      <c r="U632" s="269">
        <f t="shared" si="132"/>
        <v>3024.6410818702207</v>
      </c>
      <c r="V632" s="269">
        <f t="shared" si="133"/>
        <v>7561.6027046755507</v>
      </c>
      <c r="W632" s="269">
        <f t="shared" si="134"/>
        <v>3024.6410818702207</v>
      </c>
      <c r="X632" s="257">
        <f t="shared" si="135"/>
        <v>7561.6027046755507</v>
      </c>
      <c r="Y632" s="270">
        <f>IF(L632="Complex",(INDEX('Escalators '!$M$176:$S$176,MATCH('Forecast capex'!J632,'Escalators '!$M$178:$S$178,0))/12+1)^((K632-J632)*12)-1,0)</f>
        <v>0</v>
      </c>
      <c r="Z632" s="257">
        <f t="shared" si="136"/>
        <v>0</v>
      </c>
      <c r="AA632" s="257">
        <f t="shared" si="137"/>
        <v>0</v>
      </c>
      <c r="AB632" s="269">
        <f t="shared" si="138"/>
        <v>0</v>
      </c>
      <c r="AC632" s="269">
        <f t="shared" si="139"/>
        <v>0</v>
      </c>
      <c r="AD632" s="271" t="str">
        <f>INDEX('Global inputs'!$C$134:$C$171,MATCH(F632,'Global inputs'!$B$134:$B$171,0))</f>
        <v>Consumer connection</v>
      </c>
      <c r="AE632" s="272">
        <f>IF(OR(H632='Operating leases'!$B$32,H632='Operating leases'!$B$33),"",INDEX('Global inputs'!$C$186:$C$243,MATCH(E632,'Global inputs'!$B$186:$B$243,0)))</f>
        <v>0.1</v>
      </c>
    </row>
    <row r="633" spans="1:31" s="27" customFormat="1" x14ac:dyDescent="0.2">
      <c r="A633" s="250"/>
      <c r="B633" s="210" t="s">
        <v>714</v>
      </c>
      <c r="C633" s="210" t="s">
        <v>287</v>
      </c>
      <c r="D633" s="210" t="s">
        <v>729</v>
      </c>
      <c r="E633" s="210" t="s">
        <v>151</v>
      </c>
      <c r="F633" s="210" t="s">
        <v>94</v>
      </c>
      <c r="G633" s="210" t="s">
        <v>731</v>
      </c>
      <c r="H633" s="197">
        <v>0</v>
      </c>
      <c r="I633" s="210" t="s">
        <v>221</v>
      </c>
      <c r="J633" s="210">
        <v>2022</v>
      </c>
      <c r="K633" s="210">
        <v>2022</v>
      </c>
      <c r="L633" s="268" t="str">
        <f t="shared" si="127"/>
        <v>Simple</v>
      </c>
      <c r="M633" s="197">
        <v>11643.736616453896</v>
      </c>
      <c r="N633" s="197">
        <v>17465.604924680843</v>
      </c>
      <c r="O633" s="257">
        <f>IF(ISNA(MATCH(H633,'Operating leases'!$B$32:$B$43,0)),0,INDEX('Operating leases'!$M$32:$S$43,MATCH(H633,'Operating leases'!$B$32:$B$43,0),MATCH(J633,'Operating leases'!$M$11:$S$11,0)))</f>
        <v>0</v>
      </c>
      <c r="P633" s="257">
        <f t="shared" si="128"/>
        <v>11643.736616453896</v>
      </c>
      <c r="Q633" s="257">
        <f t="shared" si="129"/>
        <v>29109.341541134738</v>
      </c>
      <c r="R633" s="258">
        <f>INDEX('Escalators '!$M$124:$S$129,MATCH(I633,'Escalators '!$B$124:$B$129,0),MATCH(J633,'Escalators '!$M$113:$S$113,0))</f>
        <v>1.0272672933956697</v>
      </c>
      <c r="S633" s="257">
        <f t="shared" si="130"/>
        <v>0</v>
      </c>
      <c r="T633" s="257">
        <f t="shared" si="131"/>
        <v>17941.84469849497</v>
      </c>
      <c r="U633" s="269">
        <f t="shared" si="132"/>
        <v>11961.229798996646</v>
      </c>
      <c r="V633" s="269">
        <f t="shared" si="133"/>
        <v>29903.074497491616</v>
      </c>
      <c r="W633" s="269">
        <f t="shared" si="134"/>
        <v>11961.229798996646</v>
      </c>
      <c r="X633" s="257">
        <f t="shared" si="135"/>
        <v>29903.074497491616</v>
      </c>
      <c r="Y633" s="270">
        <f>IF(L633="Complex",(INDEX('Escalators '!$M$176:$S$176,MATCH('Forecast capex'!J633,'Escalators '!$M$178:$S$178,0))/12+1)^((K633-J633)*12)-1,0)</f>
        <v>0</v>
      </c>
      <c r="Z633" s="257">
        <f t="shared" si="136"/>
        <v>0</v>
      </c>
      <c r="AA633" s="257">
        <f t="shared" si="137"/>
        <v>0</v>
      </c>
      <c r="AB633" s="269">
        <f t="shared" si="138"/>
        <v>0</v>
      </c>
      <c r="AC633" s="269">
        <f t="shared" si="139"/>
        <v>0</v>
      </c>
      <c r="AD633" s="271" t="str">
        <f>INDEX('Global inputs'!$C$134:$C$171,MATCH(F633,'Global inputs'!$B$134:$B$171,0))</f>
        <v>Consumer connection</v>
      </c>
      <c r="AE633" s="272">
        <f>IF(OR(H633='Operating leases'!$B$32,H633='Operating leases'!$B$33),"",INDEX('Global inputs'!$C$186:$C$243,MATCH(E633,'Global inputs'!$B$186:$B$243,0)))</f>
        <v>0.1</v>
      </c>
    </row>
    <row r="634" spans="1:31" s="27" customFormat="1" x14ac:dyDescent="0.2">
      <c r="A634" s="250"/>
      <c r="B634" s="210" t="s">
        <v>714</v>
      </c>
      <c r="C634" s="210" t="s">
        <v>287</v>
      </c>
      <c r="D634" s="210" t="s">
        <v>729</v>
      </c>
      <c r="E634" s="210" t="s">
        <v>153</v>
      </c>
      <c r="F634" s="210" t="s">
        <v>94</v>
      </c>
      <c r="G634" s="210" t="s">
        <v>737</v>
      </c>
      <c r="H634" s="197">
        <v>0</v>
      </c>
      <c r="I634" s="210" t="s">
        <v>225</v>
      </c>
      <c r="J634" s="210">
        <v>2022</v>
      </c>
      <c r="K634" s="210">
        <v>2022</v>
      </c>
      <c r="L634" s="268" t="str">
        <f t="shared" si="127"/>
        <v>Simple</v>
      </c>
      <c r="M634" s="197">
        <v>2739.7027332832699</v>
      </c>
      <c r="N634" s="197">
        <v>4109.5540999249042</v>
      </c>
      <c r="O634" s="257">
        <f>IF(ISNA(MATCH(H634,'Operating leases'!$B$32:$B$43,0)),0,INDEX('Operating leases'!$M$32:$S$43,MATCH(H634,'Operating leases'!$B$32:$B$43,0),MATCH(J634,'Operating leases'!$M$11:$S$11,0)))</f>
        <v>0</v>
      </c>
      <c r="P634" s="257">
        <f t="shared" si="128"/>
        <v>2739.7027332832699</v>
      </c>
      <c r="Q634" s="257">
        <f t="shared" si="129"/>
        <v>6849.2568332081737</v>
      </c>
      <c r="R634" s="258">
        <f>INDEX('Escalators '!$M$124:$S$129,MATCH(I634,'Escalators '!$B$124:$B$129,0),MATCH(J634,'Escalators '!$M$113:$S$113,0))</f>
        <v>1.0390620061247575</v>
      </c>
      <c r="S634" s="257">
        <f t="shared" si="130"/>
        <v>0</v>
      </c>
      <c r="T634" s="257">
        <f t="shared" si="131"/>
        <v>4270.0815273461931</v>
      </c>
      <c r="U634" s="269">
        <f t="shared" si="132"/>
        <v>2846.7210182307954</v>
      </c>
      <c r="V634" s="269">
        <f t="shared" si="133"/>
        <v>7116.8025455769885</v>
      </c>
      <c r="W634" s="269">
        <f t="shared" si="134"/>
        <v>2846.7210182307954</v>
      </c>
      <c r="X634" s="257">
        <f t="shared" si="135"/>
        <v>7116.8025455769885</v>
      </c>
      <c r="Y634" s="270">
        <f>IF(L634="Complex",(INDEX('Escalators '!$M$176:$S$176,MATCH('Forecast capex'!J634,'Escalators '!$M$178:$S$178,0))/12+1)^((K634-J634)*12)-1,0)</f>
        <v>0</v>
      </c>
      <c r="Z634" s="257">
        <f t="shared" si="136"/>
        <v>0</v>
      </c>
      <c r="AA634" s="257">
        <f t="shared" si="137"/>
        <v>0</v>
      </c>
      <c r="AB634" s="269">
        <f t="shared" si="138"/>
        <v>0</v>
      </c>
      <c r="AC634" s="269">
        <f t="shared" si="139"/>
        <v>0</v>
      </c>
      <c r="AD634" s="271" t="str">
        <f>INDEX('Global inputs'!$C$134:$C$171,MATCH(F634,'Global inputs'!$B$134:$B$171,0))</f>
        <v>Consumer connection</v>
      </c>
      <c r="AE634" s="272">
        <f>IF(OR(H634='Operating leases'!$B$32,H634='Operating leases'!$B$33),"",INDEX('Global inputs'!$C$186:$C$243,MATCH(E634,'Global inputs'!$B$186:$B$243,0)))</f>
        <v>0.08</v>
      </c>
    </row>
    <row r="635" spans="1:31" s="27" customFormat="1" x14ac:dyDescent="0.2">
      <c r="A635" s="250"/>
      <c r="B635" s="210" t="s">
        <v>714</v>
      </c>
      <c r="C635" s="210" t="s">
        <v>287</v>
      </c>
      <c r="D635" s="210" t="s">
        <v>729</v>
      </c>
      <c r="E635" s="210" t="s">
        <v>153</v>
      </c>
      <c r="F635" s="210" t="s">
        <v>94</v>
      </c>
      <c r="G635" s="210" t="s">
        <v>737</v>
      </c>
      <c r="H635" s="197">
        <v>0</v>
      </c>
      <c r="I635" s="210" t="s">
        <v>221</v>
      </c>
      <c r="J635" s="210">
        <v>2022</v>
      </c>
      <c r="K635" s="210">
        <v>2022</v>
      </c>
      <c r="L635" s="268" t="str">
        <f t="shared" si="127"/>
        <v>Simple</v>
      </c>
      <c r="M635" s="197">
        <v>10958.81093313308</v>
      </c>
      <c r="N635" s="197">
        <v>16438.216399699617</v>
      </c>
      <c r="O635" s="257">
        <f>IF(ISNA(MATCH(H635,'Operating leases'!$B$32:$B$43,0)),0,INDEX('Operating leases'!$M$32:$S$43,MATCH(H635,'Operating leases'!$B$32:$B$43,0),MATCH(J635,'Operating leases'!$M$11:$S$11,0)))</f>
        <v>0</v>
      </c>
      <c r="P635" s="257">
        <f t="shared" si="128"/>
        <v>10958.81093313308</v>
      </c>
      <c r="Q635" s="257">
        <f t="shared" si="129"/>
        <v>27397.027332832695</v>
      </c>
      <c r="R635" s="258">
        <f>INDEX('Escalators '!$M$124:$S$129,MATCH(I635,'Escalators '!$B$124:$B$129,0),MATCH(J635,'Escalators '!$M$113:$S$113,0))</f>
        <v>1.0272672933956697</v>
      </c>
      <c r="S635" s="257">
        <f t="shared" si="130"/>
        <v>0</v>
      </c>
      <c r="T635" s="257">
        <f t="shared" si="131"/>
        <v>16886.442069171735</v>
      </c>
      <c r="U635" s="269">
        <f t="shared" si="132"/>
        <v>11257.628046114492</v>
      </c>
      <c r="V635" s="269">
        <f t="shared" si="133"/>
        <v>28144.070115286228</v>
      </c>
      <c r="W635" s="269">
        <f t="shared" si="134"/>
        <v>11257.628046114492</v>
      </c>
      <c r="X635" s="257">
        <f t="shared" si="135"/>
        <v>28144.070115286228</v>
      </c>
      <c r="Y635" s="270">
        <f>IF(L635="Complex",(INDEX('Escalators '!$M$176:$S$176,MATCH('Forecast capex'!J635,'Escalators '!$M$178:$S$178,0))/12+1)^((K635-J635)*12)-1,0)</f>
        <v>0</v>
      </c>
      <c r="Z635" s="257">
        <f t="shared" si="136"/>
        <v>0</v>
      </c>
      <c r="AA635" s="257">
        <f t="shared" si="137"/>
        <v>0</v>
      </c>
      <c r="AB635" s="269">
        <f t="shared" si="138"/>
        <v>0</v>
      </c>
      <c r="AC635" s="269">
        <f t="shared" si="139"/>
        <v>0</v>
      </c>
      <c r="AD635" s="271" t="str">
        <f>INDEX('Global inputs'!$C$134:$C$171,MATCH(F635,'Global inputs'!$B$134:$B$171,0))</f>
        <v>Consumer connection</v>
      </c>
      <c r="AE635" s="272">
        <f>IF(OR(H635='Operating leases'!$B$32,H635='Operating leases'!$B$33),"",INDEX('Global inputs'!$C$186:$C$243,MATCH(E635,'Global inputs'!$B$186:$B$243,0)))</f>
        <v>0.08</v>
      </c>
    </row>
    <row r="636" spans="1:31" s="27" customFormat="1" x14ac:dyDescent="0.2">
      <c r="A636" s="250"/>
      <c r="B636" s="210" t="s">
        <v>714</v>
      </c>
      <c r="C636" s="210" t="s">
        <v>287</v>
      </c>
      <c r="D636" s="210" t="s">
        <v>729</v>
      </c>
      <c r="E636" s="210" t="s">
        <v>154</v>
      </c>
      <c r="F636" s="210" t="s">
        <v>94</v>
      </c>
      <c r="G636" s="210" t="s">
        <v>737</v>
      </c>
      <c r="H636" s="197">
        <v>0</v>
      </c>
      <c r="I636" s="210" t="s">
        <v>225</v>
      </c>
      <c r="J636" s="210">
        <v>2022</v>
      </c>
      <c r="K636" s="210">
        <v>2022</v>
      </c>
      <c r="L636" s="268" t="str">
        <f t="shared" si="127"/>
        <v>Simple</v>
      </c>
      <c r="M636" s="197">
        <v>2739.7027332832699</v>
      </c>
      <c r="N636" s="197">
        <v>4109.5540999249042</v>
      </c>
      <c r="O636" s="257">
        <f>IF(ISNA(MATCH(H636,'Operating leases'!$B$32:$B$43,0)),0,INDEX('Operating leases'!$M$32:$S$43,MATCH(H636,'Operating leases'!$B$32:$B$43,0),MATCH(J636,'Operating leases'!$M$11:$S$11,0)))</f>
        <v>0</v>
      </c>
      <c r="P636" s="257">
        <f t="shared" si="128"/>
        <v>2739.7027332832699</v>
      </c>
      <c r="Q636" s="257">
        <f t="shared" si="129"/>
        <v>6849.2568332081737</v>
      </c>
      <c r="R636" s="258">
        <f>INDEX('Escalators '!$M$124:$S$129,MATCH(I636,'Escalators '!$B$124:$B$129,0),MATCH(J636,'Escalators '!$M$113:$S$113,0))</f>
        <v>1.0390620061247575</v>
      </c>
      <c r="S636" s="257">
        <f t="shared" si="130"/>
        <v>0</v>
      </c>
      <c r="T636" s="257">
        <f t="shared" si="131"/>
        <v>4270.0815273461931</v>
      </c>
      <c r="U636" s="269">
        <f t="shared" si="132"/>
        <v>2846.7210182307954</v>
      </c>
      <c r="V636" s="269">
        <f t="shared" si="133"/>
        <v>7116.8025455769885</v>
      </c>
      <c r="W636" s="269">
        <f t="shared" si="134"/>
        <v>2846.7210182307954</v>
      </c>
      <c r="X636" s="257">
        <f t="shared" si="135"/>
        <v>7116.8025455769885</v>
      </c>
      <c r="Y636" s="270">
        <f>IF(L636="Complex",(INDEX('Escalators '!$M$176:$S$176,MATCH('Forecast capex'!J636,'Escalators '!$M$178:$S$178,0))/12+1)^((K636-J636)*12)-1,0)</f>
        <v>0</v>
      </c>
      <c r="Z636" s="257">
        <f t="shared" si="136"/>
        <v>0</v>
      </c>
      <c r="AA636" s="257">
        <f t="shared" si="137"/>
        <v>0</v>
      </c>
      <c r="AB636" s="269">
        <f t="shared" si="138"/>
        <v>0</v>
      </c>
      <c r="AC636" s="269">
        <f t="shared" si="139"/>
        <v>0</v>
      </c>
      <c r="AD636" s="271" t="str">
        <f>INDEX('Global inputs'!$C$134:$C$171,MATCH(F636,'Global inputs'!$B$134:$B$171,0))</f>
        <v>Consumer connection</v>
      </c>
      <c r="AE636" s="272">
        <f>IF(OR(H636='Operating leases'!$B$32,H636='Operating leases'!$B$33),"",INDEX('Global inputs'!$C$186:$C$243,MATCH(E636,'Global inputs'!$B$186:$B$243,0)))</f>
        <v>0.1</v>
      </c>
    </row>
    <row r="637" spans="1:31" s="27" customFormat="1" x14ac:dyDescent="0.2">
      <c r="A637" s="250"/>
      <c r="B637" s="210" t="s">
        <v>714</v>
      </c>
      <c r="C637" s="210" t="s">
        <v>287</v>
      </c>
      <c r="D637" s="210" t="s">
        <v>729</v>
      </c>
      <c r="E637" s="210" t="s">
        <v>154</v>
      </c>
      <c r="F637" s="210" t="s">
        <v>94</v>
      </c>
      <c r="G637" s="210" t="s">
        <v>737</v>
      </c>
      <c r="H637" s="197">
        <v>0</v>
      </c>
      <c r="I637" s="210" t="s">
        <v>221</v>
      </c>
      <c r="J637" s="210">
        <v>2022</v>
      </c>
      <c r="K637" s="210">
        <v>2022</v>
      </c>
      <c r="L637" s="268" t="str">
        <f t="shared" si="127"/>
        <v>Simple</v>
      </c>
      <c r="M637" s="197">
        <v>10958.81093313308</v>
      </c>
      <c r="N637" s="197">
        <v>16438.216399699617</v>
      </c>
      <c r="O637" s="257">
        <f>IF(ISNA(MATCH(H637,'Operating leases'!$B$32:$B$43,0)),0,INDEX('Operating leases'!$M$32:$S$43,MATCH(H637,'Operating leases'!$B$32:$B$43,0),MATCH(J637,'Operating leases'!$M$11:$S$11,0)))</f>
        <v>0</v>
      </c>
      <c r="P637" s="257">
        <f t="shared" si="128"/>
        <v>10958.81093313308</v>
      </c>
      <c r="Q637" s="257">
        <f t="shared" si="129"/>
        <v>27397.027332832695</v>
      </c>
      <c r="R637" s="258">
        <f>INDEX('Escalators '!$M$124:$S$129,MATCH(I637,'Escalators '!$B$124:$B$129,0),MATCH(J637,'Escalators '!$M$113:$S$113,0))</f>
        <v>1.0272672933956697</v>
      </c>
      <c r="S637" s="257">
        <f t="shared" si="130"/>
        <v>0</v>
      </c>
      <c r="T637" s="257">
        <f t="shared" si="131"/>
        <v>16886.442069171735</v>
      </c>
      <c r="U637" s="269">
        <f t="shared" si="132"/>
        <v>11257.628046114492</v>
      </c>
      <c r="V637" s="269">
        <f t="shared" si="133"/>
        <v>28144.070115286228</v>
      </c>
      <c r="W637" s="269">
        <f t="shared" si="134"/>
        <v>11257.628046114492</v>
      </c>
      <c r="X637" s="257">
        <f t="shared" si="135"/>
        <v>28144.070115286228</v>
      </c>
      <c r="Y637" s="270">
        <f>IF(L637="Complex",(INDEX('Escalators '!$M$176:$S$176,MATCH('Forecast capex'!J637,'Escalators '!$M$178:$S$178,0))/12+1)^((K637-J637)*12)-1,0)</f>
        <v>0</v>
      </c>
      <c r="Z637" s="257">
        <f t="shared" si="136"/>
        <v>0</v>
      </c>
      <c r="AA637" s="257">
        <f t="shared" si="137"/>
        <v>0</v>
      </c>
      <c r="AB637" s="269">
        <f t="shared" si="138"/>
        <v>0</v>
      </c>
      <c r="AC637" s="269">
        <f t="shared" si="139"/>
        <v>0</v>
      </c>
      <c r="AD637" s="271" t="str">
        <f>INDEX('Global inputs'!$C$134:$C$171,MATCH(F637,'Global inputs'!$B$134:$B$171,0))</f>
        <v>Consumer connection</v>
      </c>
      <c r="AE637" s="272">
        <f>IF(OR(H637='Operating leases'!$B$32,H637='Operating leases'!$B$33),"",INDEX('Global inputs'!$C$186:$C$243,MATCH(E637,'Global inputs'!$B$186:$B$243,0)))</f>
        <v>0.1</v>
      </c>
    </row>
    <row r="638" spans="1:31" s="27" customFormat="1" x14ac:dyDescent="0.2">
      <c r="A638" s="250"/>
      <c r="B638" s="210" t="s">
        <v>714</v>
      </c>
      <c r="C638" s="210" t="s">
        <v>291</v>
      </c>
      <c r="D638" s="210">
        <v>0</v>
      </c>
      <c r="E638" s="210" t="s">
        <v>176</v>
      </c>
      <c r="F638" s="210" t="s">
        <v>94</v>
      </c>
      <c r="G638" s="210" t="s">
        <v>229</v>
      </c>
      <c r="H638" s="197">
        <v>0</v>
      </c>
      <c r="I638" s="210" t="s">
        <v>229</v>
      </c>
      <c r="J638" s="210">
        <v>2022</v>
      </c>
      <c r="K638" s="210">
        <v>2022</v>
      </c>
      <c r="L638" s="268" t="str">
        <f t="shared" si="127"/>
        <v>Simple</v>
      </c>
      <c r="M638" s="197">
        <v>1712.3142083020434</v>
      </c>
      <c r="N638" s="197">
        <v>2568.4713124530649</v>
      </c>
      <c r="O638" s="257">
        <f>IF(ISNA(MATCH(H638,'Operating leases'!$B$32:$B$43,0)),0,INDEX('Operating leases'!$M$32:$S$43,MATCH(H638,'Operating leases'!$B$32:$B$43,0),MATCH(J638,'Operating leases'!$M$11:$S$11,0)))</f>
        <v>0</v>
      </c>
      <c r="P638" s="257">
        <f t="shared" si="128"/>
        <v>1712.3142083020434</v>
      </c>
      <c r="Q638" s="257">
        <f t="shared" si="129"/>
        <v>4280.7855207551083</v>
      </c>
      <c r="R638" s="258">
        <f>INDEX('Escalators '!$M$124:$S$129,MATCH(I638,'Escalators '!$B$124:$B$129,0),MATCH(J638,'Escalators '!$M$113:$S$113,0))</f>
        <v>1.0379818100112963</v>
      </c>
      <c r="S638" s="257">
        <f t="shared" si="130"/>
        <v>0</v>
      </c>
      <c r="T638" s="257">
        <f t="shared" si="131"/>
        <v>2666.0265018621221</v>
      </c>
      <c r="U638" s="269">
        <f t="shared" si="132"/>
        <v>1777.3510012414145</v>
      </c>
      <c r="V638" s="269">
        <f t="shared" si="133"/>
        <v>4443.3775031035366</v>
      </c>
      <c r="W638" s="269">
        <f t="shared" si="134"/>
        <v>1777.3510012414145</v>
      </c>
      <c r="X638" s="257">
        <f t="shared" si="135"/>
        <v>4443.3775031035366</v>
      </c>
      <c r="Y638" s="270">
        <f>IF(L638="Complex",(INDEX('Escalators '!$M$176:$S$176,MATCH('Forecast capex'!J638,'Escalators '!$M$178:$S$178,0))/12+1)^((K638-J638)*12)-1,0)</f>
        <v>0</v>
      </c>
      <c r="Z638" s="257">
        <f t="shared" si="136"/>
        <v>0</v>
      </c>
      <c r="AA638" s="257">
        <f t="shared" si="137"/>
        <v>0</v>
      </c>
      <c r="AB638" s="269">
        <f t="shared" si="138"/>
        <v>0</v>
      </c>
      <c r="AC638" s="269">
        <f t="shared" si="139"/>
        <v>0</v>
      </c>
      <c r="AD638" s="271" t="str">
        <f>INDEX('Global inputs'!$C$134:$C$171,MATCH(F638,'Global inputs'!$B$134:$B$171,0))</f>
        <v>Consumer connection</v>
      </c>
      <c r="AE638" s="272">
        <f>IF(OR(H638='Operating leases'!$B$32,H638='Operating leases'!$B$33),"",INDEX('Global inputs'!$C$186:$C$243,MATCH(E638,'Global inputs'!$B$186:$B$243,0)))</f>
        <v>0.1</v>
      </c>
    </row>
    <row r="639" spans="1:31" s="27" customFormat="1" x14ac:dyDescent="0.2">
      <c r="A639" s="250"/>
      <c r="B639" s="210" t="s">
        <v>738</v>
      </c>
      <c r="C639" s="210" t="s">
        <v>292</v>
      </c>
      <c r="D639" s="210" t="s">
        <v>739</v>
      </c>
      <c r="E639" s="210" t="s">
        <v>178</v>
      </c>
      <c r="F639" s="210" t="s">
        <v>91</v>
      </c>
      <c r="G639" s="210" t="s">
        <v>137</v>
      </c>
      <c r="H639" s="197">
        <v>0</v>
      </c>
      <c r="I639" s="210" t="s">
        <v>229</v>
      </c>
      <c r="J639" s="210">
        <v>2022</v>
      </c>
      <c r="K639" s="210">
        <v>2022</v>
      </c>
      <c r="L639" s="268" t="str">
        <f t="shared" si="127"/>
        <v>Simple</v>
      </c>
      <c r="M639" s="197">
        <v>55984.032351474874</v>
      </c>
      <c r="N639" s="197">
        <v>0</v>
      </c>
      <c r="O639" s="257">
        <f>IF(ISNA(MATCH(H639,'Operating leases'!$B$32:$B$43,0)),0,INDEX('Operating leases'!$M$32:$S$43,MATCH(H639,'Operating leases'!$B$32:$B$43,0),MATCH(J639,'Operating leases'!$M$11:$S$11,0)))</f>
        <v>0</v>
      </c>
      <c r="P639" s="257">
        <f t="shared" si="128"/>
        <v>55984.032351474874</v>
      </c>
      <c r="Q639" s="257">
        <f t="shared" si="129"/>
        <v>55984.032351474874</v>
      </c>
      <c r="R639" s="258">
        <f>INDEX('Escalators '!$M$124:$S$129,MATCH(I639,'Escalators '!$B$124:$B$129,0),MATCH(J639,'Escalators '!$M$113:$S$113,0))</f>
        <v>1.0379818100112963</v>
      </c>
      <c r="S639" s="257">
        <f t="shared" si="130"/>
        <v>0</v>
      </c>
      <c r="T639" s="257">
        <f t="shared" si="131"/>
        <v>0</v>
      </c>
      <c r="U639" s="269">
        <f t="shared" si="132"/>
        <v>58110.407231914862</v>
      </c>
      <c r="V639" s="269">
        <f t="shared" si="133"/>
        <v>58110.407231914862</v>
      </c>
      <c r="W639" s="269">
        <f t="shared" si="134"/>
        <v>58110.407231914862</v>
      </c>
      <c r="X639" s="257">
        <f t="shared" si="135"/>
        <v>58110.407231914862</v>
      </c>
      <c r="Y639" s="270">
        <f>IF(L639="Complex",(INDEX('Escalators '!$M$176:$S$176,MATCH('Forecast capex'!J639,'Escalators '!$M$178:$S$178,0))/12+1)^((K639-J639)*12)-1,0)</f>
        <v>0</v>
      </c>
      <c r="Z639" s="257">
        <f t="shared" si="136"/>
        <v>0</v>
      </c>
      <c r="AA639" s="257">
        <f t="shared" si="137"/>
        <v>0</v>
      </c>
      <c r="AB639" s="269">
        <f t="shared" si="138"/>
        <v>0</v>
      </c>
      <c r="AC639" s="269">
        <f t="shared" si="139"/>
        <v>0</v>
      </c>
      <c r="AD639" s="271" t="str">
        <f>INDEX('Global inputs'!$C$134:$C$171,MATCH(F639,'Global inputs'!$B$134:$B$171,0))</f>
        <v>Non-network CAPEX</v>
      </c>
      <c r="AE639" s="272">
        <f>IF(OR(H639='Operating leases'!$B$32,H639='Operating leases'!$B$33),"",INDEX('Global inputs'!$C$186:$C$243,MATCH(E639,'Global inputs'!$B$186:$B$243,0)))</f>
        <v>0</v>
      </c>
    </row>
    <row r="640" spans="1:31" s="27" customFormat="1" x14ac:dyDescent="0.2">
      <c r="A640" s="250"/>
      <c r="B640" s="210" t="s">
        <v>738</v>
      </c>
      <c r="C640" s="210" t="s">
        <v>292</v>
      </c>
      <c r="D640" s="210" t="s">
        <v>739</v>
      </c>
      <c r="E640" s="210" t="s">
        <v>179</v>
      </c>
      <c r="F640" s="210" t="s">
        <v>91</v>
      </c>
      <c r="G640" s="210" t="s">
        <v>740</v>
      </c>
      <c r="H640" s="197">
        <v>0</v>
      </c>
      <c r="I640" s="210" t="s">
        <v>229</v>
      </c>
      <c r="J640" s="210">
        <v>2022</v>
      </c>
      <c r="K640" s="210">
        <v>2022</v>
      </c>
      <c r="L640" s="268" t="str">
        <f t="shared" si="127"/>
        <v>Simple</v>
      </c>
      <c r="M640" s="197">
        <v>279920.16175737436</v>
      </c>
      <c r="N640" s="197">
        <v>0</v>
      </c>
      <c r="O640" s="257">
        <f>IF(ISNA(MATCH(H640,'Operating leases'!$B$32:$B$43,0)),0,INDEX('Operating leases'!$M$32:$S$43,MATCH(H640,'Operating leases'!$B$32:$B$43,0),MATCH(J640,'Operating leases'!$M$11:$S$11,0)))</f>
        <v>0</v>
      </c>
      <c r="P640" s="257">
        <f t="shared" si="128"/>
        <v>279920.16175737436</v>
      </c>
      <c r="Q640" s="257">
        <f t="shared" si="129"/>
        <v>279920.16175737436</v>
      </c>
      <c r="R640" s="258">
        <f>INDEX('Escalators '!$M$124:$S$129,MATCH(I640,'Escalators '!$B$124:$B$129,0),MATCH(J640,'Escalators '!$M$113:$S$113,0))</f>
        <v>1.0379818100112963</v>
      </c>
      <c r="S640" s="257">
        <f t="shared" si="130"/>
        <v>0</v>
      </c>
      <c r="T640" s="257">
        <f t="shared" si="131"/>
        <v>0</v>
      </c>
      <c r="U640" s="269">
        <f t="shared" si="132"/>
        <v>290552.03615957429</v>
      </c>
      <c r="V640" s="269">
        <f t="shared" si="133"/>
        <v>290552.03615957429</v>
      </c>
      <c r="W640" s="269">
        <f t="shared" si="134"/>
        <v>290552.03615957429</v>
      </c>
      <c r="X640" s="257">
        <f t="shared" si="135"/>
        <v>290552.03615957429</v>
      </c>
      <c r="Y640" s="270">
        <f>IF(L640="Complex",(INDEX('Escalators '!$M$176:$S$176,MATCH('Forecast capex'!J640,'Escalators '!$M$178:$S$178,0))/12+1)^((K640-J640)*12)-1,0)</f>
        <v>0</v>
      </c>
      <c r="Z640" s="257">
        <f t="shared" si="136"/>
        <v>0</v>
      </c>
      <c r="AA640" s="257">
        <f t="shared" si="137"/>
        <v>0</v>
      </c>
      <c r="AB640" s="269">
        <f t="shared" si="138"/>
        <v>0</v>
      </c>
      <c r="AC640" s="269">
        <f t="shared" si="139"/>
        <v>0</v>
      </c>
      <c r="AD640" s="271" t="str">
        <f>INDEX('Global inputs'!$C$134:$C$171,MATCH(F640,'Global inputs'!$B$134:$B$171,0))</f>
        <v>Non-network CAPEX</v>
      </c>
      <c r="AE640" s="272">
        <f>IF(OR(H640='Operating leases'!$B$32,H640='Operating leases'!$B$33),"",INDEX('Global inputs'!$C$186:$C$243,MATCH(E640,'Global inputs'!$B$186:$B$243,0)))</f>
        <v>0.13</v>
      </c>
    </row>
    <row r="641" spans="1:31" s="27" customFormat="1" x14ac:dyDescent="0.2">
      <c r="A641" s="250"/>
      <c r="B641" s="210" t="s">
        <v>738</v>
      </c>
      <c r="C641" s="210" t="s">
        <v>292</v>
      </c>
      <c r="D641" s="210" t="s">
        <v>739</v>
      </c>
      <c r="E641" s="210" t="s">
        <v>185</v>
      </c>
      <c r="F641" s="210" t="s">
        <v>91</v>
      </c>
      <c r="G641" s="210" t="s">
        <v>741</v>
      </c>
      <c r="H641" s="197">
        <v>0</v>
      </c>
      <c r="I641" s="210" t="s">
        <v>229</v>
      </c>
      <c r="J641" s="210">
        <v>2022</v>
      </c>
      <c r="K641" s="210">
        <v>2022</v>
      </c>
      <c r="L641" s="268" t="str">
        <f t="shared" si="127"/>
        <v>Simple</v>
      </c>
      <c r="M641" s="197">
        <v>223936.1294058995</v>
      </c>
      <c r="N641" s="197">
        <v>0</v>
      </c>
      <c r="O641" s="257">
        <f>IF(ISNA(MATCH(H641,'Operating leases'!$B$32:$B$43,0)),0,INDEX('Operating leases'!$M$32:$S$43,MATCH(H641,'Operating leases'!$B$32:$B$43,0),MATCH(J641,'Operating leases'!$M$11:$S$11,0)))</f>
        <v>0</v>
      </c>
      <c r="P641" s="257">
        <f t="shared" si="128"/>
        <v>223936.1294058995</v>
      </c>
      <c r="Q641" s="257">
        <f t="shared" si="129"/>
        <v>223936.1294058995</v>
      </c>
      <c r="R641" s="258">
        <f>INDEX('Escalators '!$M$124:$S$129,MATCH(I641,'Escalators '!$B$124:$B$129,0),MATCH(J641,'Escalators '!$M$113:$S$113,0))</f>
        <v>1.0379818100112963</v>
      </c>
      <c r="S641" s="257">
        <f t="shared" si="130"/>
        <v>0</v>
      </c>
      <c r="T641" s="257">
        <f t="shared" si="131"/>
        <v>0</v>
      </c>
      <c r="U641" s="269">
        <f t="shared" si="132"/>
        <v>232441.62892765945</v>
      </c>
      <c r="V641" s="269">
        <f t="shared" si="133"/>
        <v>232441.62892765945</v>
      </c>
      <c r="W641" s="269">
        <f t="shared" si="134"/>
        <v>232441.62892765945</v>
      </c>
      <c r="X641" s="257">
        <f t="shared" si="135"/>
        <v>232441.62892765945</v>
      </c>
      <c r="Y641" s="270">
        <f>IF(L641="Complex",(INDEX('Escalators '!$M$176:$S$176,MATCH('Forecast capex'!J641,'Escalators '!$M$178:$S$178,0))/12+1)^((K641-J641)*12)-1,0)</f>
        <v>0</v>
      </c>
      <c r="Z641" s="257">
        <f t="shared" si="136"/>
        <v>0</v>
      </c>
      <c r="AA641" s="257">
        <f t="shared" si="137"/>
        <v>0</v>
      </c>
      <c r="AB641" s="269">
        <f t="shared" si="138"/>
        <v>0</v>
      </c>
      <c r="AC641" s="269">
        <f t="shared" si="139"/>
        <v>0</v>
      </c>
      <c r="AD641" s="271" t="str">
        <f>INDEX('Global inputs'!$C$134:$C$171,MATCH(F641,'Global inputs'!$B$134:$B$171,0))</f>
        <v>Non-network CAPEX</v>
      </c>
      <c r="AE641" s="272">
        <f>IF(OR(H641='Operating leases'!$B$32,H641='Operating leases'!$B$33),"",INDEX('Global inputs'!$C$186:$C$243,MATCH(E641,'Global inputs'!$B$186:$B$243,0)))</f>
        <v>0.2</v>
      </c>
    </row>
    <row r="642" spans="1:31" s="27" customFormat="1" x14ac:dyDescent="0.2">
      <c r="A642" s="250"/>
      <c r="B642" s="210" t="s">
        <v>714</v>
      </c>
      <c r="C642" s="210" t="s">
        <v>291</v>
      </c>
      <c r="D642" s="210">
        <v>0</v>
      </c>
      <c r="E642" s="210" t="s">
        <v>176</v>
      </c>
      <c r="F642" s="210" t="s">
        <v>96</v>
      </c>
      <c r="G642" s="210" t="s">
        <v>229</v>
      </c>
      <c r="H642" s="197">
        <v>0</v>
      </c>
      <c r="I642" s="210" t="s">
        <v>229</v>
      </c>
      <c r="J642" s="210">
        <v>2022</v>
      </c>
      <c r="K642" s="210">
        <v>2022</v>
      </c>
      <c r="L642" s="268" t="str">
        <f t="shared" si="127"/>
        <v>Simple</v>
      </c>
      <c r="M642" s="197">
        <v>435174.41666666663</v>
      </c>
      <c r="N642" s="197">
        <v>0</v>
      </c>
      <c r="O642" s="257">
        <f>IF(ISNA(MATCH(H642,'Operating leases'!$B$32:$B$43,0)),0,INDEX('Operating leases'!$M$32:$S$43,MATCH(H642,'Operating leases'!$B$32:$B$43,0),MATCH(J642,'Operating leases'!$M$11:$S$11,0)))</f>
        <v>0</v>
      </c>
      <c r="P642" s="257">
        <f t="shared" si="128"/>
        <v>435174.41666666663</v>
      </c>
      <c r="Q642" s="257">
        <f t="shared" si="129"/>
        <v>435174.41666666663</v>
      </c>
      <c r="R642" s="258">
        <f>INDEX('Escalators '!$M$124:$S$129,MATCH(I642,'Escalators '!$B$124:$B$129,0),MATCH(J642,'Escalators '!$M$113:$S$113,0))</f>
        <v>1.0379818100112963</v>
      </c>
      <c r="S642" s="257">
        <f t="shared" si="130"/>
        <v>0</v>
      </c>
      <c r="T642" s="257">
        <f t="shared" si="131"/>
        <v>0</v>
      </c>
      <c r="U642" s="269">
        <f t="shared" si="132"/>
        <v>451703.12868227664</v>
      </c>
      <c r="V642" s="269">
        <f t="shared" si="133"/>
        <v>451703.12868227664</v>
      </c>
      <c r="W642" s="269">
        <f t="shared" si="134"/>
        <v>451703.12868227664</v>
      </c>
      <c r="X642" s="257">
        <f t="shared" si="135"/>
        <v>451703.12868227664</v>
      </c>
      <c r="Y642" s="270">
        <f>IF(L642="Complex",(INDEX('Escalators '!$M$176:$S$176,MATCH('Forecast capex'!J642,'Escalators '!$M$178:$S$178,0))/12+1)^((K642-J642)*12)-1,0)</f>
        <v>0</v>
      </c>
      <c r="Z642" s="257">
        <f t="shared" si="136"/>
        <v>0</v>
      </c>
      <c r="AA642" s="257">
        <f t="shared" si="137"/>
        <v>0</v>
      </c>
      <c r="AB642" s="269">
        <f t="shared" si="138"/>
        <v>0</v>
      </c>
      <c r="AC642" s="269">
        <f t="shared" si="139"/>
        <v>0</v>
      </c>
      <c r="AD642" s="271" t="str">
        <f>INDEX('Global inputs'!$C$134:$C$171,MATCH(F642,'Global inputs'!$B$134:$B$171,0))</f>
        <v>Quality of supply</v>
      </c>
      <c r="AE642" s="272">
        <f>IF(OR(H642='Operating leases'!$B$32,H642='Operating leases'!$B$33),"",INDEX('Global inputs'!$C$186:$C$243,MATCH(E642,'Global inputs'!$B$186:$B$243,0)))</f>
        <v>0.1</v>
      </c>
    </row>
    <row r="643" spans="1:31" s="27" customFormat="1" x14ac:dyDescent="0.2">
      <c r="A643" s="250"/>
      <c r="B643" s="210" t="s">
        <v>742</v>
      </c>
      <c r="C643" s="210" t="s">
        <v>289</v>
      </c>
      <c r="D643" s="210" t="s">
        <v>723</v>
      </c>
      <c r="E643" s="210" t="s">
        <v>163</v>
      </c>
      <c r="F643" s="210" t="s">
        <v>115</v>
      </c>
      <c r="G643" s="210" t="s">
        <v>725</v>
      </c>
      <c r="H643" s="197">
        <v>0</v>
      </c>
      <c r="I643" s="210" t="s">
        <v>139</v>
      </c>
      <c r="J643" s="210">
        <v>2022</v>
      </c>
      <c r="K643" s="210">
        <v>2022</v>
      </c>
      <c r="L643" s="268" t="str">
        <f t="shared" si="127"/>
        <v>Simple</v>
      </c>
      <c r="M643" s="197">
        <v>823289</v>
      </c>
      <c r="N643" s="197">
        <v>0</v>
      </c>
      <c r="O643" s="257">
        <f>IF(ISNA(MATCH(H643,'Operating leases'!$B$32:$B$43,0)),0,INDEX('Operating leases'!$M$32:$S$43,MATCH(H643,'Operating leases'!$B$32:$B$43,0),MATCH(J643,'Operating leases'!$M$11:$S$11,0)))</f>
        <v>0</v>
      </c>
      <c r="P643" s="257">
        <f t="shared" si="128"/>
        <v>823289</v>
      </c>
      <c r="Q643" s="257">
        <f t="shared" si="129"/>
        <v>823289</v>
      </c>
      <c r="R643" s="258">
        <f>INDEX('Escalators '!$M$124:$S$129,MATCH(I643,'Escalators '!$B$124:$B$129,0),MATCH(J643,'Escalators '!$M$113:$S$113,0))</f>
        <v>1.0086968501536033</v>
      </c>
      <c r="S643" s="257">
        <f t="shared" si="130"/>
        <v>0</v>
      </c>
      <c r="T643" s="257">
        <f t="shared" si="131"/>
        <v>0</v>
      </c>
      <c r="U643" s="269">
        <f t="shared" si="132"/>
        <v>830449.02106610988</v>
      </c>
      <c r="V643" s="269">
        <f t="shared" si="133"/>
        <v>830449.02106610988</v>
      </c>
      <c r="W643" s="269">
        <f t="shared" si="134"/>
        <v>830449.02106610988</v>
      </c>
      <c r="X643" s="257">
        <f t="shared" si="135"/>
        <v>830449.02106610988</v>
      </c>
      <c r="Y643" s="270">
        <f>IF(L643="Complex",(INDEX('Escalators '!$M$176:$S$176,MATCH('Forecast capex'!J643,'Escalators '!$M$178:$S$178,0))/12+1)^((K643-J643)*12)-1,0)</f>
        <v>0</v>
      </c>
      <c r="Z643" s="257">
        <f t="shared" si="136"/>
        <v>0</v>
      </c>
      <c r="AA643" s="257">
        <f t="shared" si="137"/>
        <v>0</v>
      </c>
      <c r="AB643" s="269">
        <f t="shared" si="138"/>
        <v>0</v>
      </c>
      <c r="AC643" s="269">
        <f t="shared" si="139"/>
        <v>0</v>
      </c>
      <c r="AD643" s="271" t="str">
        <f>INDEX('Global inputs'!$C$134:$C$171,MATCH(F643,'Global inputs'!$B$134:$B$171,0))</f>
        <v>Asset replacement and renewal</v>
      </c>
      <c r="AE643" s="272">
        <f>IF(OR(H643='Operating leases'!$B$32,H643='Operating leases'!$B$33),"",INDEX('Global inputs'!$C$186:$C$243,MATCH(E643,'Global inputs'!$B$186:$B$243,0)))</f>
        <v>0.08</v>
      </c>
    </row>
    <row r="644" spans="1:31" s="27" customFormat="1" x14ac:dyDescent="0.2">
      <c r="A644" s="250"/>
      <c r="B644" s="210" t="s">
        <v>742</v>
      </c>
      <c r="C644" s="210" t="s">
        <v>289</v>
      </c>
      <c r="D644" s="210" t="s">
        <v>723</v>
      </c>
      <c r="E644" s="210" t="s">
        <v>163</v>
      </c>
      <c r="F644" s="210" t="s">
        <v>115</v>
      </c>
      <c r="G644" s="210" t="s">
        <v>725</v>
      </c>
      <c r="H644" s="197">
        <v>0</v>
      </c>
      <c r="I644" s="210" t="s">
        <v>221</v>
      </c>
      <c r="J644" s="210">
        <v>2022</v>
      </c>
      <c r="K644" s="210">
        <v>2022</v>
      </c>
      <c r="L644" s="268" t="str">
        <f t="shared" si="127"/>
        <v>Simple</v>
      </c>
      <c r="M644" s="197">
        <v>205822.25000000006</v>
      </c>
      <c r="N644" s="197">
        <v>0</v>
      </c>
      <c r="O644" s="257">
        <f>IF(ISNA(MATCH(H644,'Operating leases'!$B$32:$B$43,0)),0,INDEX('Operating leases'!$M$32:$S$43,MATCH(H644,'Operating leases'!$B$32:$B$43,0),MATCH(J644,'Operating leases'!$M$11:$S$11,0)))</f>
        <v>0</v>
      </c>
      <c r="P644" s="257">
        <f t="shared" si="128"/>
        <v>205822.25000000006</v>
      </c>
      <c r="Q644" s="257">
        <f t="shared" si="129"/>
        <v>205822.25000000006</v>
      </c>
      <c r="R644" s="258">
        <f>INDEX('Escalators '!$M$124:$S$129,MATCH(I644,'Escalators '!$B$124:$B$129,0),MATCH(J644,'Escalators '!$M$113:$S$113,0))</f>
        <v>1.0272672933956697</v>
      </c>
      <c r="S644" s="257">
        <f t="shared" si="130"/>
        <v>0</v>
      </c>
      <c r="T644" s="257">
        <f t="shared" si="131"/>
        <v>0</v>
      </c>
      <c r="U644" s="269">
        <f t="shared" si="132"/>
        <v>211434.46567810694</v>
      </c>
      <c r="V644" s="269">
        <f t="shared" si="133"/>
        <v>211434.46567810694</v>
      </c>
      <c r="W644" s="269">
        <f t="shared" si="134"/>
        <v>211434.46567810694</v>
      </c>
      <c r="X644" s="257">
        <f t="shared" si="135"/>
        <v>211434.46567810694</v>
      </c>
      <c r="Y644" s="270">
        <f>IF(L644="Complex",(INDEX('Escalators '!$M$176:$S$176,MATCH('Forecast capex'!J644,'Escalators '!$M$178:$S$178,0))/12+1)^((K644-J644)*12)-1,0)</f>
        <v>0</v>
      </c>
      <c r="Z644" s="257">
        <f t="shared" si="136"/>
        <v>0</v>
      </c>
      <c r="AA644" s="257">
        <f t="shared" si="137"/>
        <v>0</v>
      </c>
      <c r="AB644" s="269">
        <f t="shared" si="138"/>
        <v>0</v>
      </c>
      <c r="AC644" s="269">
        <f t="shared" si="139"/>
        <v>0</v>
      </c>
      <c r="AD644" s="271" t="str">
        <f>INDEX('Global inputs'!$C$134:$C$171,MATCH(F644,'Global inputs'!$B$134:$B$171,0))</f>
        <v>Asset replacement and renewal</v>
      </c>
      <c r="AE644" s="272">
        <f>IF(OR(H644='Operating leases'!$B$32,H644='Operating leases'!$B$33),"",INDEX('Global inputs'!$C$186:$C$243,MATCH(E644,'Global inputs'!$B$186:$B$243,0)))</f>
        <v>0.08</v>
      </c>
    </row>
    <row r="645" spans="1:31" s="27" customFormat="1" x14ac:dyDescent="0.2">
      <c r="A645" s="250"/>
      <c r="B645" s="210" t="s">
        <v>742</v>
      </c>
      <c r="C645" s="210" t="s">
        <v>284</v>
      </c>
      <c r="D645" s="210" t="s">
        <v>729</v>
      </c>
      <c r="E645" s="210" t="s">
        <v>127</v>
      </c>
      <c r="F645" s="210" t="s">
        <v>102</v>
      </c>
      <c r="G645" s="210" t="s">
        <v>730</v>
      </c>
      <c r="H645" s="197">
        <v>0</v>
      </c>
      <c r="I645" s="210" t="s">
        <v>225</v>
      </c>
      <c r="J645" s="210">
        <v>2022</v>
      </c>
      <c r="K645" s="210">
        <v>2022</v>
      </c>
      <c r="L645" s="268" t="str">
        <f t="shared" si="127"/>
        <v>Simple</v>
      </c>
      <c r="M645" s="197">
        <v>1258227.8800000001</v>
      </c>
      <c r="N645" s="197">
        <v>0</v>
      </c>
      <c r="O645" s="257">
        <f>IF(ISNA(MATCH(H645,'Operating leases'!$B$32:$B$43,0)),0,INDEX('Operating leases'!$M$32:$S$43,MATCH(H645,'Operating leases'!$B$32:$B$43,0),MATCH(J645,'Operating leases'!$M$11:$S$11,0)))</f>
        <v>0</v>
      </c>
      <c r="P645" s="257">
        <f t="shared" si="128"/>
        <v>1258227.8800000001</v>
      </c>
      <c r="Q645" s="257">
        <f t="shared" si="129"/>
        <v>1258227.8800000001</v>
      </c>
      <c r="R645" s="258">
        <f>INDEX('Escalators '!$M$124:$S$129,MATCH(I645,'Escalators '!$B$124:$B$129,0),MATCH(J645,'Escalators '!$M$113:$S$113,0))</f>
        <v>1.0390620061247575</v>
      </c>
      <c r="S645" s="257">
        <f t="shared" si="130"/>
        <v>0</v>
      </c>
      <c r="T645" s="257">
        <f t="shared" si="131"/>
        <v>0</v>
      </c>
      <c r="U645" s="269">
        <f t="shared" si="132"/>
        <v>1307376.7851549007</v>
      </c>
      <c r="V645" s="269">
        <f t="shared" si="133"/>
        <v>1307376.7851549007</v>
      </c>
      <c r="W645" s="269">
        <f t="shared" si="134"/>
        <v>1307376.7851549007</v>
      </c>
      <c r="X645" s="257">
        <f t="shared" si="135"/>
        <v>1307376.7851549007</v>
      </c>
      <c r="Y645" s="270">
        <f>IF(L645="Complex",(INDEX('Escalators '!$M$176:$S$176,MATCH('Forecast capex'!J645,'Escalators '!$M$178:$S$178,0))/12+1)^((K645-J645)*12)-1,0)</f>
        <v>0</v>
      </c>
      <c r="Z645" s="257">
        <f t="shared" si="136"/>
        <v>0</v>
      </c>
      <c r="AA645" s="257">
        <f t="shared" si="137"/>
        <v>0</v>
      </c>
      <c r="AB645" s="269">
        <f t="shared" si="138"/>
        <v>0</v>
      </c>
      <c r="AC645" s="269">
        <f t="shared" si="139"/>
        <v>0</v>
      </c>
      <c r="AD645" s="271" t="str">
        <f>INDEX('Global inputs'!$C$134:$C$171,MATCH(F645,'Global inputs'!$B$134:$B$171,0))</f>
        <v>Asset replacement and renewal</v>
      </c>
      <c r="AE645" s="272">
        <f>IF(OR(H645='Operating leases'!$B$32,H645='Operating leases'!$B$33),"",INDEX('Global inputs'!$C$186:$C$243,MATCH(E645,'Global inputs'!$B$186:$B$243,0)))</f>
        <v>0.08</v>
      </c>
    </row>
    <row r="646" spans="1:31" s="27" customFormat="1" x14ac:dyDescent="0.2">
      <c r="A646" s="250"/>
      <c r="B646" s="210" t="s">
        <v>742</v>
      </c>
      <c r="C646" s="210" t="s">
        <v>284</v>
      </c>
      <c r="D646" s="210" t="s">
        <v>729</v>
      </c>
      <c r="E646" s="210" t="s">
        <v>127</v>
      </c>
      <c r="F646" s="210" t="s">
        <v>102</v>
      </c>
      <c r="G646" s="210" t="s">
        <v>730</v>
      </c>
      <c r="H646" s="197">
        <v>0</v>
      </c>
      <c r="I646" s="210" t="s">
        <v>221</v>
      </c>
      <c r="J646" s="210">
        <v>2022</v>
      </c>
      <c r="K646" s="210">
        <v>2022</v>
      </c>
      <c r="L646" s="268" t="str">
        <f t="shared" si="127"/>
        <v>Simple</v>
      </c>
      <c r="M646" s="197">
        <v>5032911.5200000005</v>
      </c>
      <c r="N646" s="197">
        <v>0</v>
      </c>
      <c r="O646" s="257">
        <f>IF(ISNA(MATCH(H646,'Operating leases'!$B$32:$B$43,0)),0,INDEX('Operating leases'!$M$32:$S$43,MATCH(H646,'Operating leases'!$B$32:$B$43,0),MATCH(J646,'Operating leases'!$M$11:$S$11,0)))</f>
        <v>0</v>
      </c>
      <c r="P646" s="257">
        <f t="shared" si="128"/>
        <v>5032911.5200000005</v>
      </c>
      <c r="Q646" s="257">
        <f t="shared" si="129"/>
        <v>5032911.5200000005</v>
      </c>
      <c r="R646" s="258">
        <f>INDEX('Escalators '!$M$124:$S$129,MATCH(I646,'Escalators '!$B$124:$B$129,0),MATCH(J646,'Escalators '!$M$113:$S$113,0))</f>
        <v>1.0272672933956697</v>
      </c>
      <c r="S646" s="257">
        <f t="shared" si="130"/>
        <v>0</v>
      </c>
      <c r="T646" s="257">
        <f t="shared" si="131"/>
        <v>0</v>
      </c>
      <c r="U646" s="269">
        <f t="shared" si="132"/>
        <v>5170145.3950502863</v>
      </c>
      <c r="V646" s="269">
        <f t="shared" si="133"/>
        <v>5170145.3950502863</v>
      </c>
      <c r="W646" s="269">
        <f t="shared" si="134"/>
        <v>5170145.3950502863</v>
      </c>
      <c r="X646" s="257">
        <f t="shared" si="135"/>
        <v>5170145.3950502863</v>
      </c>
      <c r="Y646" s="270">
        <f>IF(L646="Complex",(INDEX('Escalators '!$M$176:$S$176,MATCH('Forecast capex'!J646,'Escalators '!$M$178:$S$178,0))/12+1)^((K646-J646)*12)-1,0)</f>
        <v>0</v>
      </c>
      <c r="Z646" s="257">
        <f t="shared" si="136"/>
        <v>0</v>
      </c>
      <c r="AA646" s="257">
        <f t="shared" si="137"/>
        <v>0</v>
      </c>
      <c r="AB646" s="269">
        <f t="shared" si="138"/>
        <v>0</v>
      </c>
      <c r="AC646" s="269">
        <f t="shared" si="139"/>
        <v>0</v>
      </c>
      <c r="AD646" s="271" t="str">
        <f>INDEX('Global inputs'!$C$134:$C$171,MATCH(F646,'Global inputs'!$B$134:$B$171,0))</f>
        <v>Asset replacement and renewal</v>
      </c>
      <c r="AE646" s="272">
        <f>IF(OR(H646='Operating leases'!$B$32,H646='Operating leases'!$B$33),"",INDEX('Global inputs'!$C$186:$C$243,MATCH(E646,'Global inputs'!$B$186:$B$243,0)))</f>
        <v>0.08</v>
      </c>
    </row>
    <row r="647" spans="1:31" s="27" customFormat="1" x14ac:dyDescent="0.2">
      <c r="A647" s="250"/>
      <c r="B647" s="210" t="s">
        <v>742</v>
      </c>
      <c r="C647" s="210" t="s">
        <v>286</v>
      </c>
      <c r="D647" s="210" t="s">
        <v>735</v>
      </c>
      <c r="E647" s="210" t="s">
        <v>147</v>
      </c>
      <c r="F647" s="210" t="s">
        <v>118</v>
      </c>
      <c r="G647" s="210" t="s">
        <v>744</v>
      </c>
      <c r="H647" s="197">
        <v>0</v>
      </c>
      <c r="I647" s="210" t="s">
        <v>229</v>
      </c>
      <c r="J647" s="210">
        <v>2022</v>
      </c>
      <c r="K647" s="210">
        <v>2022</v>
      </c>
      <c r="L647" s="268" t="str">
        <f t="shared" si="127"/>
        <v>Simple</v>
      </c>
      <c r="M647" s="197">
        <v>128977.31999999999</v>
      </c>
      <c r="N647" s="197">
        <v>0</v>
      </c>
      <c r="O647" s="257">
        <f>IF(ISNA(MATCH(H647,'Operating leases'!$B$32:$B$43,0)),0,INDEX('Operating leases'!$M$32:$S$43,MATCH(H647,'Operating leases'!$B$32:$B$43,0),MATCH(J647,'Operating leases'!$M$11:$S$11,0)))</f>
        <v>0</v>
      </c>
      <c r="P647" s="257">
        <f t="shared" si="128"/>
        <v>128977.31999999999</v>
      </c>
      <c r="Q647" s="257">
        <f t="shared" si="129"/>
        <v>128977.31999999999</v>
      </c>
      <c r="R647" s="258">
        <f>INDEX('Escalators '!$M$124:$S$129,MATCH(I647,'Escalators '!$B$124:$B$129,0),MATCH(J647,'Escalators '!$M$113:$S$113,0))</f>
        <v>1.0379818100112963</v>
      </c>
      <c r="S647" s="257">
        <f t="shared" si="130"/>
        <v>0</v>
      </c>
      <c r="T647" s="257">
        <f t="shared" si="131"/>
        <v>0</v>
      </c>
      <c r="U647" s="269">
        <f t="shared" si="132"/>
        <v>133876.11206400616</v>
      </c>
      <c r="V647" s="269">
        <f t="shared" si="133"/>
        <v>133876.11206400616</v>
      </c>
      <c r="W647" s="269">
        <f t="shared" si="134"/>
        <v>133876.11206400616</v>
      </c>
      <c r="X647" s="257">
        <f t="shared" si="135"/>
        <v>133876.11206400616</v>
      </c>
      <c r="Y647" s="270">
        <f>IF(L647="Complex",(INDEX('Escalators '!$M$176:$S$176,MATCH('Forecast capex'!J647,'Escalators '!$M$178:$S$178,0))/12+1)^((K647-J647)*12)-1,0)</f>
        <v>0</v>
      </c>
      <c r="Z647" s="257">
        <f t="shared" si="136"/>
        <v>0</v>
      </c>
      <c r="AA647" s="257">
        <f t="shared" si="137"/>
        <v>0</v>
      </c>
      <c r="AB647" s="269">
        <f t="shared" si="138"/>
        <v>0</v>
      </c>
      <c r="AC647" s="269">
        <f t="shared" si="139"/>
        <v>0</v>
      </c>
      <c r="AD647" s="271" t="str">
        <f>INDEX('Global inputs'!$C$134:$C$171,MATCH(F647,'Global inputs'!$B$134:$B$171,0))</f>
        <v>Asset replacement and renewal</v>
      </c>
      <c r="AE647" s="272">
        <f>IF(OR(H647='Operating leases'!$B$32,H647='Operating leases'!$B$33),"",INDEX('Global inputs'!$C$186:$C$243,MATCH(E647,'Global inputs'!$B$186:$B$243,0)))</f>
        <v>0.08</v>
      </c>
    </row>
    <row r="648" spans="1:31" s="27" customFormat="1" x14ac:dyDescent="0.2">
      <c r="A648" s="250"/>
      <c r="B648" s="210" t="s">
        <v>742</v>
      </c>
      <c r="C648" s="210" t="s">
        <v>286</v>
      </c>
      <c r="D648" s="210" t="s">
        <v>735</v>
      </c>
      <c r="E648" s="210" t="s">
        <v>147</v>
      </c>
      <c r="F648" s="210" t="s">
        <v>118</v>
      </c>
      <c r="G648" s="210" t="s">
        <v>744</v>
      </c>
      <c r="H648" s="197">
        <v>0</v>
      </c>
      <c r="I648" s="210" t="s">
        <v>221</v>
      </c>
      <c r="J648" s="210">
        <v>2022</v>
      </c>
      <c r="K648" s="210">
        <v>2022</v>
      </c>
      <c r="L648" s="268" t="str">
        <f t="shared" si="127"/>
        <v>Simple</v>
      </c>
      <c r="M648" s="197">
        <v>515909.27999999997</v>
      </c>
      <c r="N648" s="197">
        <v>0</v>
      </c>
      <c r="O648" s="257">
        <f>IF(ISNA(MATCH(H648,'Operating leases'!$B$32:$B$43,0)),0,INDEX('Operating leases'!$M$32:$S$43,MATCH(H648,'Operating leases'!$B$32:$B$43,0),MATCH(J648,'Operating leases'!$M$11:$S$11,0)))</f>
        <v>0</v>
      </c>
      <c r="P648" s="257">
        <f t="shared" si="128"/>
        <v>515909.27999999997</v>
      </c>
      <c r="Q648" s="257">
        <f t="shared" si="129"/>
        <v>515909.27999999997</v>
      </c>
      <c r="R648" s="258">
        <f>INDEX('Escalators '!$M$124:$S$129,MATCH(I648,'Escalators '!$B$124:$B$129,0),MATCH(J648,'Escalators '!$M$113:$S$113,0))</f>
        <v>1.0272672933956697</v>
      </c>
      <c r="S648" s="257">
        <f t="shared" si="130"/>
        <v>0</v>
      </c>
      <c r="T648" s="257">
        <f t="shared" si="131"/>
        <v>0</v>
      </c>
      <c r="U648" s="269">
        <f t="shared" si="132"/>
        <v>529976.72970330867</v>
      </c>
      <c r="V648" s="269">
        <f t="shared" si="133"/>
        <v>529976.72970330867</v>
      </c>
      <c r="W648" s="269">
        <f t="shared" si="134"/>
        <v>529976.72970330867</v>
      </c>
      <c r="X648" s="257">
        <f t="shared" si="135"/>
        <v>529976.72970330867</v>
      </c>
      <c r="Y648" s="270">
        <f>IF(L648="Complex",(INDEX('Escalators '!$M$176:$S$176,MATCH('Forecast capex'!J648,'Escalators '!$M$178:$S$178,0))/12+1)^((K648-J648)*12)-1,0)</f>
        <v>0</v>
      </c>
      <c r="Z648" s="257">
        <f t="shared" si="136"/>
        <v>0</v>
      </c>
      <c r="AA648" s="257">
        <f t="shared" si="137"/>
        <v>0</v>
      </c>
      <c r="AB648" s="269">
        <f t="shared" si="138"/>
        <v>0</v>
      </c>
      <c r="AC648" s="269">
        <f t="shared" si="139"/>
        <v>0</v>
      </c>
      <c r="AD648" s="271" t="str">
        <f>INDEX('Global inputs'!$C$134:$C$171,MATCH(F648,'Global inputs'!$B$134:$B$171,0))</f>
        <v>Asset replacement and renewal</v>
      </c>
      <c r="AE648" s="272">
        <f>IF(OR(H648='Operating leases'!$B$32,H648='Operating leases'!$B$33),"",INDEX('Global inputs'!$C$186:$C$243,MATCH(E648,'Global inputs'!$B$186:$B$243,0)))</f>
        <v>0.08</v>
      </c>
    </row>
    <row r="649" spans="1:31" s="27" customFormat="1" x14ac:dyDescent="0.2">
      <c r="A649" s="250"/>
      <c r="B649" s="210" t="s">
        <v>742</v>
      </c>
      <c r="C649" s="210" t="s">
        <v>289</v>
      </c>
      <c r="D649" s="210" t="s">
        <v>723</v>
      </c>
      <c r="E649" s="210" t="s">
        <v>163</v>
      </c>
      <c r="F649" s="210" t="s">
        <v>106</v>
      </c>
      <c r="G649" s="210" t="s">
        <v>725</v>
      </c>
      <c r="H649" s="197">
        <v>0</v>
      </c>
      <c r="I649" s="210" t="s">
        <v>139</v>
      </c>
      <c r="J649" s="210">
        <v>2022</v>
      </c>
      <c r="K649" s="210">
        <v>2022</v>
      </c>
      <c r="L649" s="268" t="str">
        <f t="shared" si="127"/>
        <v>Simple</v>
      </c>
      <c r="M649" s="197">
        <v>1261992.1599999997</v>
      </c>
      <c r="N649" s="197">
        <v>0</v>
      </c>
      <c r="O649" s="257">
        <f>IF(ISNA(MATCH(H649,'Operating leases'!$B$32:$B$43,0)),0,INDEX('Operating leases'!$M$32:$S$43,MATCH(H649,'Operating leases'!$B$32:$B$43,0),MATCH(J649,'Operating leases'!$M$11:$S$11,0)))</f>
        <v>0</v>
      </c>
      <c r="P649" s="257">
        <f t="shared" si="128"/>
        <v>1261992.1599999997</v>
      </c>
      <c r="Q649" s="257">
        <f t="shared" si="129"/>
        <v>1261992.1599999997</v>
      </c>
      <c r="R649" s="258">
        <f>INDEX('Escalators '!$M$124:$S$129,MATCH(I649,'Escalators '!$B$124:$B$129,0),MATCH(J649,'Escalators '!$M$113:$S$113,0))</f>
        <v>1.0086968501536033</v>
      </c>
      <c r="S649" s="257">
        <f t="shared" si="130"/>
        <v>0</v>
      </c>
      <c r="T649" s="257">
        <f t="shared" si="131"/>
        <v>0</v>
      </c>
      <c r="U649" s="269">
        <f t="shared" si="132"/>
        <v>1272967.5167105419</v>
      </c>
      <c r="V649" s="269">
        <f t="shared" si="133"/>
        <v>1272967.5167105419</v>
      </c>
      <c r="W649" s="269">
        <f t="shared" si="134"/>
        <v>1272967.5167105419</v>
      </c>
      <c r="X649" s="257">
        <f t="shared" si="135"/>
        <v>1272967.5167105419</v>
      </c>
      <c r="Y649" s="270">
        <f>IF(L649="Complex",(INDEX('Escalators '!$M$176:$S$176,MATCH('Forecast capex'!J649,'Escalators '!$M$178:$S$178,0))/12+1)^((K649-J649)*12)-1,0)</f>
        <v>0</v>
      </c>
      <c r="Z649" s="257">
        <f t="shared" si="136"/>
        <v>0</v>
      </c>
      <c r="AA649" s="257">
        <f t="shared" si="137"/>
        <v>0</v>
      </c>
      <c r="AB649" s="269">
        <f t="shared" si="138"/>
        <v>0</v>
      </c>
      <c r="AC649" s="269">
        <f t="shared" si="139"/>
        <v>0</v>
      </c>
      <c r="AD649" s="271" t="str">
        <f>INDEX('Global inputs'!$C$134:$C$171,MATCH(F649,'Global inputs'!$B$134:$B$171,0))</f>
        <v>Asset replacement and renewal</v>
      </c>
      <c r="AE649" s="272">
        <f>IF(OR(H649='Operating leases'!$B$32,H649='Operating leases'!$B$33),"",INDEX('Global inputs'!$C$186:$C$243,MATCH(E649,'Global inputs'!$B$186:$B$243,0)))</f>
        <v>0.08</v>
      </c>
    </row>
    <row r="650" spans="1:31" s="27" customFormat="1" x14ac:dyDescent="0.2">
      <c r="A650" s="250"/>
      <c r="B650" s="210" t="s">
        <v>742</v>
      </c>
      <c r="C650" s="210" t="s">
        <v>289</v>
      </c>
      <c r="D650" s="210" t="s">
        <v>723</v>
      </c>
      <c r="E650" s="210" t="s">
        <v>163</v>
      </c>
      <c r="F650" s="210" t="s">
        <v>106</v>
      </c>
      <c r="G650" s="210" t="s">
        <v>725</v>
      </c>
      <c r="H650" s="197">
        <v>0</v>
      </c>
      <c r="I650" s="210" t="s">
        <v>221</v>
      </c>
      <c r="J650" s="210">
        <v>2022</v>
      </c>
      <c r="K650" s="210">
        <v>2022</v>
      </c>
      <c r="L650" s="268" t="str">
        <f t="shared" ref="L650:L713" si="140">IF(J650=K650,"Simple","Complex")</f>
        <v>Simple</v>
      </c>
      <c r="M650" s="197">
        <v>315498.03999999992</v>
      </c>
      <c r="N650" s="197">
        <v>0</v>
      </c>
      <c r="O650" s="257">
        <f>IF(ISNA(MATCH(H650,'Operating leases'!$B$32:$B$43,0)),0,INDEX('Operating leases'!$M$32:$S$43,MATCH(H650,'Operating leases'!$B$32:$B$43,0),MATCH(J650,'Operating leases'!$M$11:$S$11,0)))</f>
        <v>0</v>
      </c>
      <c r="P650" s="257">
        <f t="shared" ref="P650:P713" si="141">O650+M650</f>
        <v>315498.03999999992</v>
      </c>
      <c r="Q650" s="257">
        <f t="shared" ref="Q650:Q713" si="142">M650+N650+O650</f>
        <v>315498.03999999992</v>
      </c>
      <c r="R650" s="258">
        <f>INDEX('Escalators '!$M$124:$S$129,MATCH(I650,'Escalators '!$B$124:$B$129,0),MATCH(J650,'Escalators '!$M$113:$S$113,0))</f>
        <v>1.0272672933956697</v>
      </c>
      <c r="S650" s="257">
        <f t="shared" ref="S650:S713" si="143">O650*R650</f>
        <v>0</v>
      </c>
      <c r="T650" s="257">
        <f t="shared" ref="T650:T713" si="144">N650*R650</f>
        <v>0</v>
      </c>
      <c r="U650" s="269">
        <f t="shared" ref="U650:U713" si="145">W650-S650</f>
        <v>324100.81762243866</v>
      </c>
      <c r="V650" s="269">
        <f t="shared" ref="V650:V713" si="146">U650+T650</f>
        <v>324100.81762243866</v>
      </c>
      <c r="W650" s="269">
        <f t="shared" ref="W650:W713" si="147">X650-T650</f>
        <v>324100.81762243866</v>
      </c>
      <c r="X650" s="257">
        <f t="shared" ref="X650:X713" si="148">Q650*R650</f>
        <v>324100.81762243866</v>
      </c>
      <c r="Y650" s="270">
        <f>IF(L650="Complex",(INDEX('Escalators '!$M$176:$S$176,MATCH('Forecast capex'!J650,'Escalators '!$M$178:$S$178,0))/12+1)^((K650-J650)*12)-1,0)</f>
        <v>0</v>
      </c>
      <c r="Z650" s="257">
        <f t="shared" ref="Z650:Z713" si="149">P650*Y650</f>
        <v>0</v>
      </c>
      <c r="AA650" s="257">
        <f t="shared" ref="AA650:AA713" si="150">W650*Y650</f>
        <v>0</v>
      </c>
      <c r="AB650" s="269">
        <f t="shared" ref="AB650:AB713" si="151">IF(L650="Complex",AC650-T650,0)</f>
        <v>0</v>
      </c>
      <c r="AC650" s="269">
        <f t="shared" ref="AC650:AC713" si="152">IF(L650="Complex",V650+AA650,0)</f>
        <v>0</v>
      </c>
      <c r="AD650" s="271" t="str">
        <f>INDEX('Global inputs'!$C$134:$C$171,MATCH(F650,'Global inputs'!$B$134:$B$171,0))</f>
        <v>Asset replacement and renewal</v>
      </c>
      <c r="AE650" s="272">
        <f>IF(OR(H650='Operating leases'!$B$32,H650='Operating leases'!$B$33),"",INDEX('Global inputs'!$C$186:$C$243,MATCH(E650,'Global inputs'!$B$186:$B$243,0)))</f>
        <v>0.08</v>
      </c>
    </row>
    <row r="651" spans="1:31" s="27" customFormat="1" x14ac:dyDescent="0.2">
      <c r="A651" s="250"/>
      <c r="B651" s="210" t="s">
        <v>742</v>
      </c>
      <c r="C651" s="210" t="s">
        <v>289</v>
      </c>
      <c r="D651" s="210" t="s">
        <v>723</v>
      </c>
      <c r="E651" s="210" t="s">
        <v>164</v>
      </c>
      <c r="F651" s="210" t="s">
        <v>114</v>
      </c>
      <c r="G651" s="210" t="s">
        <v>724</v>
      </c>
      <c r="H651" s="197">
        <v>0</v>
      </c>
      <c r="I651" s="210" t="s">
        <v>139</v>
      </c>
      <c r="J651" s="210">
        <v>2022</v>
      </c>
      <c r="K651" s="210">
        <v>2022</v>
      </c>
      <c r="L651" s="268" t="str">
        <f t="shared" si="140"/>
        <v>Simple</v>
      </c>
      <c r="M651" s="197">
        <v>248064</v>
      </c>
      <c r="N651" s="197">
        <v>0</v>
      </c>
      <c r="O651" s="257">
        <f>IF(ISNA(MATCH(H651,'Operating leases'!$B$32:$B$43,0)),0,INDEX('Operating leases'!$M$32:$S$43,MATCH(H651,'Operating leases'!$B$32:$B$43,0),MATCH(J651,'Operating leases'!$M$11:$S$11,0)))</f>
        <v>0</v>
      </c>
      <c r="P651" s="257">
        <f t="shared" si="141"/>
        <v>248064</v>
      </c>
      <c r="Q651" s="257">
        <f t="shared" si="142"/>
        <v>248064</v>
      </c>
      <c r="R651" s="258">
        <f>INDEX('Escalators '!$M$124:$S$129,MATCH(I651,'Escalators '!$B$124:$B$129,0),MATCH(J651,'Escalators '!$M$113:$S$113,0))</f>
        <v>1.0086968501536033</v>
      </c>
      <c r="S651" s="257">
        <f t="shared" si="143"/>
        <v>0</v>
      </c>
      <c r="T651" s="257">
        <f t="shared" si="144"/>
        <v>0</v>
      </c>
      <c r="U651" s="269">
        <f t="shared" si="145"/>
        <v>250221.37543650347</v>
      </c>
      <c r="V651" s="269">
        <f t="shared" si="146"/>
        <v>250221.37543650347</v>
      </c>
      <c r="W651" s="269">
        <f t="shared" si="147"/>
        <v>250221.37543650347</v>
      </c>
      <c r="X651" s="257">
        <f t="shared" si="148"/>
        <v>250221.37543650347</v>
      </c>
      <c r="Y651" s="270">
        <f>IF(L651="Complex",(INDEX('Escalators '!$M$176:$S$176,MATCH('Forecast capex'!J651,'Escalators '!$M$178:$S$178,0))/12+1)^((K651-J651)*12)-1,0)</f>
        <v>0</v>
      </c>
      <c r="Z651" s="257">
        <f t="shared" si="149"/>
        <v>0</v>
      </c>
      <c r="AA651" s="257">
        <f t="shared" si="150"/>
        <v>0</v>
      </c>
      <c r="AB651" s="269">
        <f t="shared" si="151"/>
        <v>0</v>
      </c>
      <c r="AC651" s="269">
        <f t="shared" si="152"/>
        <v>0</v>
      </c>
      <c r="AD651" s="271" t="str">
        <f>INDEX('Global inputs'!$C$134:$C$171,MATCH(F651,'Global inputs'!$B$134:$B$171,0))</f>
        <v>Asset replacement and renewal</v>
      </c>
      <c r="AE651" s="272">
        <f>IF(OR(H651='Operating leases'!$B$32,H651='Operating leases'!$B$33),"",INDEX('Global inputs'!$C$186:$C$243,MATCH(E651,'Global inputs'!$B$186:$B$243,0)))</f>
        <v>0.08</v>
      </c>
    </row>
    <row r="652" spans="1:31" s="27" customFormat="1" x14ac:dyDescent="0.2">
      <c r="A652" s="250"/>
      <c r="B652" s="210" t="s">
        <v>742</v>
      </c>
      <c r="C652" s="210" t="s">
        <v>289</v>
      </c>
      <c r="D652" s="210" t="s">
        <v>723</v>
      </c>
      <c r="E652" s="210" t="s">
        <v>164</v>
      </c>
      <c r="F652" s="210" t="s">
        <v>114</v>
      </c>
      <c r="G652" s="210" t="s">
        <v>724</v>
      </c>
      <c r="H652" s="197">
        <v>0</v>
      </c>
      <c r="I652" s="210" t="s">
        <v>221</v>
      </c>
      <c r="J652" s="210">
        <v>2022</v>
      </c>
      <c r="K652" s="210">
        <v>2022</v>
      </c>
      <c r="L652" s="268" t="str">
        <f t="shared" si="140"/>
        <v>Simple</v>
      </c>
      <c r="M652" s="197">
        <v>62016</v>
      </c>
      <c r="N652" s="197">
        <v>0</v>
      </c>
      <c r="O652" s="257">
        <f>IF(ISNA(MATCH(H652,'Operating leases'!$B$32:$B$43,0)),0,INDEX('Operating leases'!$M$32:$S$43,MATCH(H652,'Operating leases'!$B$32:$B$43,0),MATCH(J652,'Operating leases'!$M$11:$S$11,0)))</f>
        <v>0</v>
      </c>
      <c r="P652" s="257">
        <f t="shared" si="141"/>
        <v>62016</v>
      </c>
      <c r="Q652" s="257">
        <f t="shared" si="142"/>
        <v>62016</v>
      </c>
      <c r="R652" s="258">
        <f>INDEX('Escalators '!$M$124:$S$129,MATCH(I652,'Escalators '!$B$124:$B$129,0),MATCH(J652,'Escalators '!$M$113:$S$113,0))</f>
        <v>1.0272672933956697</v>
      </c>
      <c r="S652" s="257">
        <f t="shared" si="143"/>
        <v>0</v>
      </c>
      <c r="T652" s="257">
        <f t="shared" si="144"/>
        <v>0</v>
      </c>
      <c r="U652" s="269">
        <f t="shared" si="145"/>
        <v>63707.008467225853</v>
      </c>
      <c r="V652" s="269">
        <f t="shared" si="146"/>
        <v>63707.008467225853</v>
      </c>
      <c r="W652" s="269">
        <f t="shared" si="147"/>
        <v>63707.008467225853</v>
      </c>
      <c r="X652" s="257">
        <f t="shared" si="148"/>
        <v>63707.008467225853</v>
      </c>
      <c r="Y652" s="270">
        <f>IF(L652="Complex",(INDEX('Escalators '!$M$176:$S$176,MATCH('Forecast capex'!J652,'Escalators '!$M$178:$S$178,0))/12+1)^((K652-J652)*12)-1,0)</f>
        <v>0</v>
      </c>
      <c r="Z652" s="257">
        <f t="shared" si="149"/>
        <v>0</v>
      </c>
      <c r="AA652" s="257">
        <f t="shared" si="150"/>
        <v>0</v>
      </c>
      <c r="AB652" s="269">
        <f t="shared" si="151"/>
        <v>0</v>
      </c>
      <c r="AC652" s="269">
        <f t="shared" si="152"/>
        <v>0</v>
      </c>
      <c r="AD652" s="271" t="str">
        <f>INDEX('Global inputs'!$C$134:$C$171,MATCH(F652,'Global inputs'!$B$134:$B$171,0))</f>
        <v>Asset replacement and renewal</v>
      </c>
      <c r="AE652" s="272">
        <f>IF(OR(H652='Operating leases'!$B$32,H652='Operating leases'!$B$33),"",INDEX('Global inputs'!$C$186:$C$243,MATCH(E652,'Global inputs'!$B$186:$B$243,0)))</f>
        <v>0.08</v>
      </c>
    </row>
    <row r="653" spans="1:31" s="27" customFormat="1" x14ac:dyDescent="0.2">
      <c r="A653" s="250"/>
      <c r="B653" s="210" t="s">
        <v>742</v>
      </c>
      <c r="C653" s="210" t="s">
        <v>290</v>
      </c>
      <c r="D653" s="210" t="s">
        <v>718</v>
      </c>
      <c r="E653" s="210" t="s">
        <v>170</v>
      </c>
      <c r="F653" s="210" t="s">
        <v>110</v>
      </c>
      <c r="G653" s="210" t="s">
        <v>721</v>
      </c>
      <c r="H653" s="197">
        <v>0</v>
      </c>
      <c r="I653" s="210" t="s">
        <v>229</v>
      </c>
      <c r="J653" s="210">
        <v>2022</v>
      </c>
      <c r="K653" s="210">
        <v>2022</v>
      </c>
      <c r="L653" s="268" t="str">
        <f t="shared" si="140"/>
        <v>Simple</v>
      </c>
      <c r="M653" s="197">
        <v>85500</v>
      </c>
      <c r="N653" s="197">
        <v>0</v>
      </c>
      <c r="O653" s="257">
        <f>IF(ISNA(MATCH(H653,'Operating leases'!$B$32:$B$43,0)),0,INDEX('Operating leases'!$M$32:$S$43,MATCH(H653,'Operating leases'!$B$32:$B$43,0),MATCH(J653,'Operating leases'!$M$11:$S$11,0)))</f>
        <v>0</v>
      </c>
      <c r="P653" s="257">
        <f t="shared" si="141"/>
        <v>85500</v>
      </c>
      <c r="Q653" s="257">
        <f t="shared" si="142"/>
        <v>85500</v>
      </c>
      <c r="R653" s="258">
        <f>INDEX('Escalators '!$M$124:$S$129,MATCH(I653,'Escalators '!$B$124:$B$129,0),MATCH(J653,'Escalators '!$M$113:$S$113,0))</f>
        <v>1.0379818100112963</v>
      </c>
      <c r="S653" s="257">
        <f t="shared" si="143"/>
        <v>0</v>
      </c>
      <c r="T653" s="257">
        <f t="shared" si="144"/>
        <v>0</v>
      </c>
      <c r="U653" s="269">
        <f t="shared" si="145"/>
        <v>88747.444755965829</v>
      </c>
      <c r="V653" s="269">
        <f t="shared" si="146"/>
        <v>88747.444755965829</v>
      </c>
      <c r="W653" s="269">
        <f t="shared" si="147"/>
        <v>88747.444755965829</v>
      </c>
      <c r="X653" s="257">
        <f t="shared" si="148"/>
        <v>88747.444755965829</v>
      </c>
      <c r="Y653" s="270">
        <f>IF(L653="Complex",(INDEX('Escalators '!$M$176:$S$176,MATCH('Forecast capex'!J653,'Escalators '!$M$178:$S$178,0))/12+1)^((K653-J653)*12)-1,0)</f>
        <v>0</v>
      </c>
      <c r="Z653" s="257">
        <f t="shared" si="149"/>
        <v>0</v>
      </c>
      <c r="AA653" s="257">
        <f t="shared" si="150"/>
        <v>0</v>
      </c>
      <c r="AB653" s="269">
        <f t="shared" si="151"/>
        <v>0</v>
      </c>
      <c r="AC653" s="269">
        <f t="shared" si="152"/>
        <v>0</v>
      </c>
      <c r="AD653" s="271" t="str">
        <f>INDEX('Global inputs'!$C$134:$C$171,MATCH(F653,'Global inputs'!$B$134:$B$171,0))</f>
        <v>Asset replacement and renewal</v>
      </c>
      <c r="AE653" s="272">
        <f>IF(OR(H653='Operating leases'!$B$32,H653='Operating leases'!$B$33),"",INDEX('Global inputs'!$C$186:$C$243,MATCH(E653,'Global inputs'!$B$186:$B$243,0)))</f>
        <v>0.08</v>
      </c>
    </row>
    <row r="654" spans="1:31" s="27" customFormat="1" x14ac:dyDescent="0.2">
      <c r="A654" s="250"/>
      <c r="B654" s="210" t="s">
        <v>742</v>
      </c>
      <c r="C654" s="210" t="s">
        <v>290</v>
      </c>
      <c r="D654" s="210" t="s">
        <v>718</v>
      </c>
      <c r="E654" s="210" t="s">
        <v>170</v>
      </c>
      <c r="F654" s="210" t="s">
        <v>110</v>
      </c>
      <c r="G654" s="210" t="s">
        <v>721</v>
      </c>
      <c r="H654" s="197">
        <v>0</v>
      </c>
      <c r="I654" s="210" t="s">
        <v>221</v>
      </c>
      <c r="J654" s="210">
        <v>2022</v>
      </c>
      <c r="K654" s="210">
        <v>2022</v>
      </c>
      <c r="L654" s="268" t="str">
        <f t="shared" si="140"/>
        <v>Simple</v>
      </c>
      <c r="M654" s="197">
        <v>85500</v>
      </c>
      <c r="N654" s="197">
        <v>0</v>
      </c>
      <c r="O654" s="257">
        <f>IF(ISNA(MATCH(H654,'Operating leases'!$B$32:$B$43,0)),0,INDEX('Operating leases'!$M$32:$S$43,MATCH(H654,'Operating leases'!$B$32:$B$43,0),MATCH(J654,'Operating leases'!$M$11:$S$11,0)))</f>
        <v>0</v>
      </c>
      <c r="P654" s="257">
        <f t="shared" si="141"/>
        <v>85500</v>
      </c>
      <c r="Q654" s="257">
        <f t="shared" si="142"/>
        <v>85500</v>
      </c>
      <c r="R654" s="258">
        <f>INDEX('Escalators '!$M$124:$S$129,MATCH(I654,'Escalators '!$B$124:$B$129,0),MATCH(J654,'Escalators '!$M$113:$S$113,0))</f>
        <v>1.0272672933956697</v>
      </c>
      <c r="S654" s="257">
        <f t="shared" si="143"/>
        <v>0</v>
      </c>
      <c r="T654" s="257">
        <f t="shared" si="144"/>
        <v>0</v>
      </c>
      <c r="U654" s="269">
        <f t="shared" si="145"/>
        <v>87831.353585329765</v>
      </c>
      <c r="V654" s="269">
        <f t="shared" si="146"/>
        <v>87831.353585329765</v>
      </c>
      <c r="W654" s="269">
        <f t="shared" si="147"/>
        <v>87831.353585329765</v>
      </c>
      <c r="X654" s="257">
        <f t="shared" si="148"/>
        <v>87831.353585329765</v>
      </c>
      <c r="Y654" s="270">
        <f>IF(L654="Complex",(INDEX('Escalators '!$M$176:$S$176,MATCH('Forecast capex'!J654,'Escalators '!$M$178:$S$178,0))/12+1)^((K654-J654)*12)-1,0)</f>
        <v>0</v>
      </c>
      <c r="Z654" s="257">
        <f t="shared" si="149"/>
        <v>0</v>
      </c>
      <c r="AA654" s="257">
        <f t="shared" si="150"/>
        <v>0</v>
      </c>
      <c r="AB654" s="269">
        <f t="shared" si="151"/>
        <v>0</v>
      </c>
      <c r="AC654" s="269">
        <f t="shared" si="152"/>
        <v>0</v>
      </c>
      <c r="AD654" s="271" t="str">
        <f>INDEX('Global inputs'!$C$134:$C$171,MATCH(F654,'Global inputs'!$B$134:$B$171,0))</f>
        <v>Asset replacement and renewal</v>
      </c>
      <c r="AE654" s="272">
        <f>IF(OR(H654='Operating leases'!$B$32,H654='Operating leases'!$B$33),"",INDEX('Global inputs'!$C$186:$C$243,MATCH(E654,'Global inputs'!$B$186:$B$243,0)))</f>
        <v>0.08</v>
      </c>
    </row>
    <row r="655" spans="1:31" s="27" customFormat="1" x14ac:dyDescent="0.2">
      <c r="A655" s="250"/>
      <c r="B655" s="210" t="s">
        <v>742</v>
      </c>
      <c r="C655" s="210" t="s">
        <v>288</v>
      </c>
      <c r="D655" s="210" t="s">
        <v>223</v>
      </c>
      <c r="E655" s="210" t="s">
        <v>158</v>
      </c>
      <c r="F655" s="210" t="s">
        <v>107</v>
      </c>
      <c r="G655" s="210" t="s">
        <v>728</v>
      </c>
      <c r="H655" s="197">
        <v>0</v>
      </c>
      <c r="I655" s="210" t="s">
        <v>223</v>
      </c>
      <c r="J655" s="210">
        <v>2022</v>
      </c>
      <c r="K655" s="210">
        <v>2022</v>
      </c>
      <c r="L655" s="268" t="str">
        <f t="shared" si="140"/>
        <v>Simple</v>
      </c>
      <c r="M655" s="197">
        <v>113821.02</v>
      </c>
      <c r="N655" s="197">
        <v>0</v>
      </c>
      <c r="O655" s="257">
        <f>IF(ISNA(MATCH(H655,'Operating leases'!$B$32:$B$43,0)),0,INDEX('Operating leases'!$M$32:$S$43,MATCH(H655,'Operating leases'!$B$32:$B$43,0),MATCH(J655,'Operating leases'!$M$11:$S$11,0)))</f>
        <v>0</v>
      </c>
      <c r="P655" s="257">
        <f t="shared" si="141"/>
        <v>113821.02</v>
      </c>
      <c r="Q655" s="257">
        <f t="shared" si="142"/>
        <v>113821.02</v>
      </c>
      <c r="R655" s="258">
        <f>INDEX('Escalators '!$M$124:$S$129,MATCH(I655,'Escalators '!$B$124:$B$129,0),MATCH(J655,'Escalators '!$M$113:$S$113,0))</f>
        <v>1.0395572483145099</v>
      </c>
      <c r="S655" s="257">
        <f t="shared" si="143"/>
        <v>0</v>
      </c>
      <c r="T655" s="257">
        <f t="shared" si="144"/>
        <v>0</v>
      </c>
      <c r="U655" s="269">
        <f t="shared" si="145"/>
        <v>118323.4663515508</v>
      </c>
      <c r="V655" s="269">
        <f t="shared" si="146"/>
        <v>118323.4663515508</v>
      </c>
      <c r="W655" s="269">
        <f t="shared" si="147"/>
        <v>118323.4663515508</v>
      </c>
      <c r="X655" s="257">
        <f t="shared" si="148"/>
        <v>118323.4663515508</v>
      </c>
      <c r="Y655" s="270">
        <f>IF(L655="Complex",(INDEX('Escalators '!$M$176:$S$176,MATCH('Forecast capex'!J655,'Escalators '!$M$178:$S$178,0))/12+1)^((K655-J655)*12)-1,0)</f>
        <v>0</v>
      </c>
      <c r="Z655" s="257">
        <f t="shared" si="149"/>
        <v>0</v>
      </c>
      <c r="AA655" s="257">
        <f t="shared" si="150"/>
        <v>0</v>
      </c>
      <c r="AB655" s="269">
        <f t="shared" si="151"/>
        <v>0</v>
      </c>
      <c r="AC655" s="269">
        <f t="shared" si="152"/>
        <v>0</v>
      </c>
      <c r="AD655" s="271" t="str">
        <f>INDEX('Global inputs'!$C$134:$C$171,MATCH(F655,'Global inputs'!$B$134:$B$171,0))</f>
        <v>Asset replacement and renewal</v>
      </c>
      <c r="AE655" s="272">
        <f>IF(OR(H655='Operating leases'!$B$32,H655='Operating leases'!$B$33),"",INDEX('Global inputs'!$C$186:$C$243,MATCH(E655,'Global inputs'!$B$186:$B$243,0)))</f>
        <v>0.08</v>
      </c>
    </row>
    <row r="656" spans="1:31" s="27" customFormat="1" x14ac:dyDescent="0.2">
      <c r="A656" s="250"/>
      <c r="B656" s="210" t="s">
        <v>742</v>
      </c>
      <c r="C656" s="210" t="s">
        <v>288</v>
      </c>
      <c r="D656" s="210" t="s">
        <v>223</v>
      </c>
      <c r="E656" s="210" t="s">
        <v>158</v>
      </c>
      <c r="F656" s="210" t="s">
        <v>107</v>
      </c>
      <c r="G656" s="210" t="s">
        <v>728</v>
      </c>
      <c r="H656" s="197">
        <v>0</v>
      </c>
      <c r="I656" s="210" t="s">
        <v>221</v>
      </c>
      <c r="J656" s="210">
        <v>2022</v>
      </c>
      <c r="K656" s="210">
        <v>2022</v>
      </c>
      <c r="L656" s="268" t="str">
        <f t="shared" si="140"/>
        <v>Simple</v>
      </c>
      <c r="M656" s="197">
        <v>170731.53000000003</v>
      </c>
      <c r="N656" s="197">
        <v>0</v>
      </c>
      <c r="O656" s="257">
        <f>IF(ISNA(MATCH(H656,'Operating leases'!$B$32:$B$43,0)),0,INDEX('Operating leases'!$M$32:$S$43,MATCH(H656,'Operating leases'!$B$32:$B$43,0),MATCH(J656,'Operating leases'!$M$11:$S$11,0)))</f>
        <v>0</v>
      </c>
      <c r="P656" s="257">
        <f t="shared" si="141"/>
        <v>170731.53000000003</v>
      </c>
      <c r="Q656" s="257">
        <f t="shared" si="142"/>
        <v>170731.53000000003</v>
      </c>
      <c r="R656" s="258">
        <f>INDEX('Escalators '!$M$124:$S$129,MATCH(I656,'Escalators '!$B$124:$B$129,0),MATCH(J656,'Escalators '!$M$113:$S$113,0))</f>
        <v>1.0272672933956697</v>
      </c>
      <c r="S656" s="257">
        <f t="shared" si="143"/>
        <v>0</v>
      </c>
      <c r="T656" s="257">
        <f t="shared" si="144"/>
        <v>0</v>
      </c>
      <c r="U656" s="269">
        <f t="shared" si="145"/>
        <v>175386.91672040161</v>
      </c>
      <c r="V656" s="269">
        <f t="shared" si="146"/>
        <v>175386.91672040161</v>
      </c>
      <c r="W656" s="269">
        <f t="shared" si="147"/>
        <v>175386.91672040161</v>
      </c>
      <c r="X656" s="257">
        <f t="shared" si="148"/>
        <v>175386.91672040161</v>
      </c>
      <c r="Y656" s="270">
        <f>IF(L656="Complex",(INDEX('Escalators '!$M$176:$S$176,MATCH('Forecast capex'!J656,'Escalators '!$M$178:$S$178,0))/12+1)^((K656-J656)*12)-1,0)</f>
        <v>0</v>
      </c>
      <c r="Z656" s="257">
        <f t="shared" si="149"/>
        <v>0</v>
      </c>
      <c r="AA656" s="257">
        <f t="shared" si="150"/>
        <v>0</v>
      </c>
      <c r="AB656" s="269">
        <f t="shared" si="151"/>
        <v>0</v>
      </c>
      <c r="AC656" s="269">
        <f t="shared" si="152"/>
        <v>0</v>
      </c>
      <c r="AD656" s="271" t="str">
        <f>INDEX('Global inputs'!$C$134:$C$171,MATCH(F656,'Global inputs'!$B$134:$B$171,0))</f>
        <v>Asset replacement and renewal</v>
      </c>
      <c r="AE656" s="272">
        <f>IF(OR(H656='Operating leases'!$B$32,H656='Operating leases'!$B$33),"",INDEX('Global inputs'!$C$186:$C$243,MATCH(E656,'Global inputs'!$B$186:$B$243,0)))</f>
        <v>0.08</v>
      </c>
    </row>
    <row r="657" spans="1:31" s="27" customFormat="1" x14ac:dyDescent="0.2">
      <c r="A657" s="250"/>
      <c r="B657" s="210" t="s">
        <v>742</v>
      </c>
      <c r="C657" s="210" t="s">
        <v>290</v>
      </c>
      <c r="D657" s="210" t="s">
        <v>718</v>
      </c>
      <c r="E657" s="210" t="s">
        <v>168</v>
      </c>
      <c r="F657" s="210" t="s">
        <v>111</v>
      </c>
      <c r="G657" s="210" t="s">
        <v>720</v>
      </c>
      <c r="H657" s="197">
        <v>0</v>
      </c>
      <c r="I657" s="210" t="s">
        <v>229</v>
      </c>
      <c r="J657" s="210">
        <v>2022</v>
      </c>
      <c r="K657" s="210">
        <v>2022</v>
      </c>
      <c r="L657" s="268" t="str">
        <f t="shared" si="140"/>
        <v>Simple</v>
      </c>
      <c r="M657" s="197">
        <v>411160</v>
      </c>
      <c r="N657" s="197">
        <v>0</v>
      </c>
      <c r="O657" s="257">
        <f>IF(ISNA(MATCH(H657,'Operating leases'!$B$32:$B$43,0)),0,INDEX('Operating leases'!$M$32:$S$43,MATCH(H657,'Operating leases'!$B$32:$B$43,0),MATCH(J657,'Operating leases'!$M$11:$S$11,0)))</f>
        <v>0</v>
      </c>
      <c r="P657" s="257">
        <f t="shared" si="141"/>
        <v>411160</v>
      </c>
      <c r="Q657" s="257">
        <f t="shared" si="142"/>
        <v>411160</v>
      </c>
      <c r="R657" s="258">
        <f>INDEX('Escalators '!$M$124:$S$129,MATCH(I657,'Escalators '!$B$124:$B$129,0),MATCH(J657,'Escalators '!$M$113:$S$113,0))</f>
        <v>1.0379818100112963</v>
      </c>
      <c r="S657" s="257">
        <f t="shared" si="143"/>
        <v>0</v>
      </c>
      <c r="T657" s="257">
        <f t="shared" si="144"/>
        <v>0</v>
      </c>
      <c r="U657" s="269">
        <f t="shared" si="145"/>
        <v>426776.60100424459</v>
      </c>
      <c r="V657" s="269">
        <f t="shared" si="146"/>
        <v>426776.60100424459</v>
      </c>
      <c r="W657" s="269">
        <f t="shared" si="147"/>
        <v>426776.60100424459</v>
      </c>
      <c r="X657" s="257">
        <f t="shared" si="148"/>
        <v>426776.60100424459</v>
      </c>
      <c r="Y657" s="270">
        <f>IF(L657="Complex",(INDEX('Escalators '!$M$176:$S$176,MATCH('Forecast capex'!J657,'Escalators '!$M$178:$S$178,0))/12+1)^((K657-J657)*12)-1,0)</f>
        <v>0</v>
      </c>
      <c r="Z657" s="257">
        <f t="shared" si="149"/>
        <v>0</v>
      </c>
      <c r="AA657" s="257">
        <f t="shared" si="150"/>
        <v>0</v>
      </c>
      <c r="AB657" s="269">
        <f t="shared" si="151"/>
        <v>0</v>
      </c>
      <c r="AC657" s="269">
        <f t="shared" si="152"/>
        <v>0</v>
      </c>
      <c r="AD657" s="271" t="str">
        <f>INDEX('Global inputs'!$C$134:$C$171,MATCH(F657,'Global inputs'!$B$134:$B$171,0))</f>
        <v>Asset replacement and renewal</v>
      </c>
      <c r="AE657" s="272">
        <f>IF(OR(H657='Operating leases'!$B$32,H657='Operating leases'!$B$33),"",INDEX('Global inputs'!$C$186:$C$243,MATCH(E657,'Global inputs'!$B$186:$B$243,0)))</f>
        <v>0.08</v>
      </c>
    </row>
    <row r="658" spans="1:31" s="27" customFormat="1" x14ac:dyDescent="0.2">
      <c r="A658" s="250"/>
      <c r="B658" s="210" t="s">
        <v>742</v>
      </c>
      <c r="C658" s="210" t="s">
        <v>290</v>
      </c>
      <c r="D658" s="210" t="s">
        <v>718</v>
      </c>
      <c r="E658" s="210" t="s">
        <v>168</v>
      </c>
      <c r="F658" s="210" t="s">
        <v>111</v>
      </c>
      <c r="G658" s="210" t="s">
        <v>720</v>
      </c>
      <c r="H658" s="197">
        <v>0</v>
      </c>
      <c r="I658" s="210" t="s">
        <v>221</v>
      </c>
      <c r="J658" s="210">
        <v>2022</v>
      </c>
      <c r="K658" s="210">
        <v>2022</v>
      </c>
      <c r="L658" s="268" t="str">
        <f t="shared" si="140"/>
        <v>Simple</v>
      </c>
      <c r="M658" s="197">
        <v>102790</v>
      </c>
      <c r="N658" s="197">
        <v>0</v>
      </c>
      <c r="O658" s="257">
        <f>IF(ISNA(MATCH(H658,'Operating leases'!$B$32:$B$43,0)),0,INDEX('Operating leases'!$M$32:$S$43,MATCH(H658,'Operating leases'!$B$32:$B$43,0),MATCH(J658,'Operating leases'!$M$11:$S$11,0)))</f>
        <v>0</v>
      </c>
      <c r="P658" s="257">
        <f t="shared" si="141"/>
        <v>102790</v>
      </c>
      <c r="Q658" s="257">
        <f t="shared" si="142"/>
        <v>102790</v>
      </c>
      <c r="R658" s="258">
        <f>INDEX('Escalators '!$M$124:$S$129,MATCH(I658,'Escalators '!$B$124:$B$129,0),MATCH(J658,'Escalators '!$M$113:$S$113,0))</f>
        <v>1.0272672933956697</v>
      </c>
      <c r="S658" s="257">
        <f t="shared" si="143"/>
        <v>0</v>
      </c>
      <c r="T658" s="257">
        <f t="shared" si="144"/>
        <v>0</v>
      </c>
      <c r="U658" s="269">
        <f t="shared" si="145"/>
        <v>105592.80508814089</v>
      </c>
      <c r="V658" s="269">
        <f t="shared" si="146"/>
        <v>105592.80508814089</v>
      </c>
      <c r="W658" s="269">
        <f t="shared" si="147"/>
        <v>105592.80508814089</v>
      </c>
      <c r="X658" s="257">
        <f t="shared" si="148"/>
        <v>105592.80508814089</v>
      </c>
      <c r="Y658" s="270">
        <f>IF(L658="Complex",(INDEX('Escalators '!$M$176:$S$176,MATCH('Forecast capex'!J658,'Escalators '!$M$178:$S$178,0))/12+1)^((K658-J658)*12)-1,0)</f>
        <v>0</v>
      </c>
      <c r="Z658" s="257">
        <f t="shared" si="149"/>
        <v>0</v>
      </c>
      <c r="AA658" s="257">
        <f t="shared" si="150"/>
        <v>0</v>
      </c>
      <c r="AB658" s="269">
        <f t="shared" si="151"/>
        <v>0</v>
      </c>
      <c r="AC658" s="269">
        <f t="shared" si="152"/>
        <v>0</v>
      </c>
      <c r="AD658" s="271" t="str">
        <f>INDEX('Global inputs'!$C$134:$C$171,MATCH(F658,'Global inputs'!$B$134:$B$171,0))</f>
        <v>Asset replacement and renewal</v>
      </c>
      <c r="AE658" s="272">
        <f>IF(OR(H658='Operating leases'!$B$32,H658='Operating leases'!$B$33),"",INDEX('Global inputs'!$C$186:$C$243,MATCH(E658,'Global inputs'!$B$186:$B$243,0)))</f>
        <v>0.08</v>
      </c>
    </row>
    <row r="659" spans="1:31" s="27" customFormat="1" x14ac:dyDescent="0.2">
      <c r="A659" s="250"/>
      <c r="B659" s="210" t="s">
        <v>742</v>
      </c>
      <c r="C659" s="210" t="s">
        <v>291</v>
      </c>
      <c r="D659" s="210" t="s">
        <v>735</v>
      </c>
      <c r="E659" s="210" t="s">
        <v>175</v>
      </c>
      <c r="F659" s="210" t="s">
        <v>119</v>
      </c>
      <c r="G659" s="210" t="s">
        <v>748</v>
      </c>
      <c r="H659" s="197">
        <v>0</v>
      </c>
      <c r="I659" s="210" t="s">
        <v>229</v>
      </c>
      <c r="J659" s="210">
        <v>2022</v>
      </c>
      <c r="K659" s="210">
        <v>2022</v>
      </c>
      <c r="L659" s="268" t="str">
        <f t="shared" si="140"/>
        <v>Simple</v>
      </c>
      <c r="M659" s="197">
        <v>15960</v>
      </c>
      <c r="N659" s="197">
        <v>0</v>
      </c>
      <c r="O659" s="257">
        <f>IF(ISNA(MATCH(H659,'Operating leases'!$B$32:$B$43,0)),0,INDEX('Operating leases'!$M$32:$S$43,MATCH(H659,'Operating leases'!$B$32:$B$43,0),MATCH(J659,'Operating leases'!$M$11:$S$11,0)))</f>
        <v>0</v>
      </c>
      <c r="P659" s="257">
        <f t="shared" si="141"/>
        <v>15960</v>
      </c>
      <c r="Q659" s="257">
        <f t="shared" si="142"/>
        <v>15960</v>
      </c>
      <c r="R659" s="258">
        <f>INDEX('Escalators '!$M$124:$S$129,MATCH(I659,'Escalators '!$B$124:$B$129,0),MATCH(J659,'Escalators '!$M$113:$S$113,0))</f>
        <v>1.0379818100112963</v>
      </c>
      <c r="S659" s="257">
        <f t="shared" si="143"/>
        <v>0</v>
      </c>
      <c r="T659" s="257">
        <f t="shared" si="144"/>
        <v>0</v>
      </c>
      <c r="U659" s="269">
        <f t="shared" si="145"/>
        <v>16566.18968778029</v>
      </c>
      <c r="V659" s="269">
        <f t="shared" si="146"/>
        <v>16566.18968778029</v>
      </c>
      <c r="W659" s="269">
        <f t="shared" si="147"/>
        <v>16566.18968778029</v>
      </c>
      <c r="X659" s="257">
        <f t="shared" si="148"/>
        <v>16566.18968778029</v>
      </c>
      <c r="Y659" s="270">
        <f>IF(L659="Complex",(INDEX('Escalators '!$M$176:$S$176,MATCH('Forecast capex'!J659,'Escalators '!$M$178:$S$178,0))/12+1)^((K659-J659)*12)-1,0)</f>
        <v>0</v>
      </c>
      <c r="Z659" s="257">
        <f t="shared" si="149"/>
        <v>0</v>
      </c>
      <c r="AA659" s="257">
        <f t="shared" si="150"/>
        <v>0</v>
      </c>
      <c r="AB659" s="269">
        <f t="shared" si="151"/>
        <v>0</v>
      </c>
      <c r="AC659" s="269">
        <f t="shared" si="152"/>
        <v>0</v>
      </c>
      <c r="AD659" s="271" t="str">
        <f>INDEX('Global inputs'!$C$134:$C$171,MATCH(F659,'Global inputs'!$B$134:$B$171,0))</f>
        <v>Asset replacement and renewal</v>
      </c>
      <c r="AE659" s="272">
        <f>IF(OR(H659='Operating leases'!$B$32,H659='Operating leases'!$B$33),"",INDEX('Global inputs'!$C$186:$C$243,MATCH(E659,'Global inputs'!$B$186:$B$243,0)))</f>
        <v>0.1</v>
      </c>
    </row>
    <row r="660" spans="1:31" s="27" customFormat="1" x14ac:dyDescent="0.2">
      <c r="A660" s="250"/>
      <c r="B660" s="210" t="s">
        <v>742</v>
      </c>
      <c r="C660" s="210" t="s">
        <v>291</v>
      </c>
      <c r="D660" s="210" t="s">
        <v>735</v>
      </c>
      <c r="E660" s="210" t="s">
        <v>175</v>
      </c>
      <c r="F660" s="210" t="s">
        <v>119</v>
      </c>
      <c r="G660" s="210" t="s">
        <v>748</v>
      </c>
      <c r="H660" s="197">
        <v>0</v>
      </c>
      <c r="I660" s="210" t="s">
        <v>221</v>
      </c>
      <c r="J660" s="210">
        <v>2022</v>
      </c>
      <c r="K660" s="210">
        <v>2022</v>
      </c>
      <c r="L660" s="268" t="str">
        <f t="shared" si="140"/>
        <v>Simple</v>
      </c>
      <c r="M660" s="197">
        <v>63840</v>
      </c>
      <c r="N660" s="197">
        <v>0</v>
      </c>
      <c r="O660" s="257">
        <f>IF(ISNA(MATCH(H660,'Operating leases'!$B$32:$B$43,0)),0,INDEX('Operating leases'!$M$32:$S$43,MATCH(H660,'Operating leases'!$B$32:$B$43,0),MATCH(J660,'Operating leases'!$M$11:$S$11,0)))</f>
        <v>0</v>
      </c>
      <c r="P660" s="257">
        <f t="shared" si="141"/>
        <v>63840</v>
      </c>
      <c r="Q660" s="257">
        <f t="shared" si="142"/>
        <v>63840</v>
      </c>
      <c r="R660" s="258">
        <f>INDEX('Escalators '!$M$124:$S$129,MATCH(I660,'Escalators '!$B$124:$B$129,0),MATCH(J660,'Escalators '!$M$113:$S$113,0))</f>
        <v>1.0272672933956697</v>
      </c>
      <c r="S660" s="257">
        <f t="shared" si="143"/>
        <v>0</v>
      </c>
      <c r="T660" s="257">
        <f t="shared" si="144"/>
        <v>0</v>
      </c>
      <c r="U660" s="269">
        <f t="shared" si="145"/>
        <v>65580.744010379552</v>
      </c>
      <c r="V660" s="269">
        <f t="shared" si="146"/>
        <v>65580.744010379552</v>
      </c>
      <c r="W660" s="269">
        <f t="shared" si="147"/>
        <v>65580.744010379552</v>
      </c>
      <c r="X660" s="257">
        <f t="shared" si="148"/>
        <v>65580.744010379552</v>
      </c>
      <c r="Y660" s="270">
        <f>IF(L660="Complex",(INDEX('Escalators '!$M$176:$S$176,MATCH('Forecast capex'!J660,'Escalators '!$M$178:$S$178,0))/12+1)^((K660-J660)*12)-1,0)</f>
        <v>0</v>
      </c>
      <c r="Z660" s="257">
        <f t="shared" si="149"/>
        <v>0</v>
      </c>
      <c r="AA660" s="257">
        <f t="shared" si="150"/>
        <v>0</v>
      </c>
      <c r="AB660" s="269">
        <f t="shared" si="151"/>
        <v>0</v>
      </c>
      <c r="AC660" s="269">
        <f t="shared" si="152"/>
        <v>0</v>
      </c>
      <c r="AD660" s="271" t="str">
        <f>INDEX('Global inputs'!$C$134:$C$171,MATCH(F660,'Global inputs'!$B$134:$B$171,0))</f>
        <v>Asset replacement and renewal</v>
      </c>
      <c r="AE660" s="272">
        <f>IF(OR(H660='Operating leases'!$B$32,H660='Operating leases'!$B$33),"",INDEX('Global inputs'!$C$186:$C$243,MATCH(E660,'Global inputs'!$B$186:$B$243,0)))</f>
        <v>0.1</v>
      </c>
    </row>
    <row r="661" spans="1:31" s="27" customFormat="1" x14ac:dyDescent="0.2">
      <c r="A661" s="250"/>
      <c r="B661" s="210" t="s">
        <v>742</v>
      </c>
      <c r="C661" s="210" t="s">
        <v>289</v>
      </c>
      <c r="D661" s="210" t="s">
        <v>718</v>
      </c>
      <c r="E661" s="210" t="s">
        <v>165</v>
      </c>
      <c r="F661" s="210" t="s">
        <v>113</v>
      </c>
      <c r="G661" s="210" t="s">
        <v>745</v>
      </c>
      <c r="H661" s="197">
        <v>0</v>
      </c>
      <c r="I661" s="210" t="s">
        <v>229</v>
      </c>
      <c r="J661" s="210">
        <v>2022</v>
      </c>
      <c r="K661" s="210">
        <v>2022</v>
      </c>
      <c r="L661" s="268" t="str">
        <f t="shared" si="140"/>
        <v>Simple</v>
      </c>
      <c r="M661" s="197">
        <v>224307.82499999998</v>
      </c>
      <c r="N661" s="197">
        <v>0</v>
      </c>
      <c r="O661" s="257">
        <f>IF(ISNA(MATCH(H661,'Operating leases'!$B$32:$B$43,0)),0,INDEX('Operating leases'!$M$32:$S$43,MATCH(H661,'Operating leases'!$B$32:$B$43,0),MATCH(J661,'Operating leases'!$M$11:$S$11,0)))</f>
        <v>0</v>
      </c>
      <c r="P661" s="257">
        <f t="shared" si="141"/>
        <v>224307.82499999998</v>
      </c>
      <c r="Q661" s="257">
        <f t="shared" si="142"/>
        <v>224307.82499999998</v>
      </c>
      <c r="R661" s="258">
        <f>INDEX('Escalators '!$M$124:$S$129,MATCH(I661,'Escalators '!$B$124:$B$129,0),MATCH(J661,'Escalators '!$M$113:$S$113,0))</f>
        <v>1.0379818100112963</v>
      </c>
      <c r="S661" s="257">
        <f t="shared" si="143"/>
        <v>0</v>
      </c>
      <c r="T661" s="257">
        <f t="shared" si="144"/>
        <v>0</v>
      </c>
      <c r="U661" s="269">
        <f t="shared" si="145"/>
        <v>232827.44219319709</v>
      </c>
      <c r="V661" s="269">
        <f t="shared" si="146"/>
        <v>232827.44219319709</v>
      </c>
      <c r="W661" s="269">
        <f t="shared" si="147"/>
        <v>232827.44219319709</v>
      </c>
      <c r="X661" s="257">
        <f t="shared" si="148"/>
        <v>232827.44219319709</v>
      </c>
      <c r="Y661" s="270">
        <f>IF(L661="Complex",(INDEX('Escalators '!$M$176:$S$176,MATCH('Forecast capex'!J661,'Escalators '!$M$178:$S$178,0))/12+1)^((K661-J661)*12)-1,0)</f>
        <v>0</v>
      </c>
      <c r="Z661" s="257">
        <f t="shared" si="149"/>
        <v>0</v>
      </c>
      <c r="AA661" s="257">
        <f t="shared" si="150"/>
        <v>0</v>
      </c>
      <c r="AB661" s="269">
        <f t="shared" si="151"/>
        <v>0</v>
      </c>
      <c r="AC661" s="269">
        <f t="shared" si="152"/>
        <v>0</v>
      </c>
      <c r="AD661" s="271" t="str">
        <f>INDEX('Global inputs'!$C$134:$C$171,MATCH(F661,'Global inputs'!$B$134:$B$171,0))</f>
        <v>Asset replacement and renewal</v>
      </c>
      <c r="AE661" s="272">
        <f>IF(OR(H661='Operating leases'!$B$32,H661='Operating leases'!$B$33),"",INDEX('Global inputs'!$C$186:$C$243,MATCH(E661,'Global inputs'!$B$186:$B$243,0)))</f>
        <v>0.1</v>
      </c>
    </row>
    <row r="662" spans="1:31" s="27" customFormat="1" x14ac:dyDescent="0.2">
      <c r="A662" s="250"/>
      <c r="B662" s="210" t="s">
        <v>742</v>
      </c>
      <c r="C662" s="210" t="s">
        <v>289</v>
      </c>
      <c r="D662" s="210" t="s">
        <v>718</v>
      </c>
      <c r="E662" s="210" t="s">
        <v>165</v>
      </c>
      <c r="F662" s="210" t="s">
        <v>113</v>
      </c>
      <c r="G662" s="210" t="s">
        <v>745</v>
      </c>
      <c r="H662" s="197">
        <v>0</v>
      </c>
      <c r="I662" s="210" t="s">
        <v>221</v>
      </c>
      <c r="J662" s="210">
        <v>2022</v>
      </c>
      <c r="K662" s="210">
        <v>2022</v>
      </c>
      <c r="L662" s="268" t="str">
        <f t="shared" si="140"/>
        <v>Simple</v>
      </c>
      <c r="M662" s="197">
        <v>224307.82499999998</v>
      </c>
      <c r="N662" s="197">
        <v>0</v>
      </c>
      <c r="O662" s="257">
        <f>IF(ISNA(MATCH(H662,'Operating leases'!$B$32:$B$43,0)),0,INDEX('Operating leases'!$M$32:$S$43,MATCH(H662,'Operating leases'!$B$32:$B$43,0),MATCH(J662,'Operating leases'!$M$11:$S$11,0)))</f>
        <v>0</v>
      </c>
      <c r="P662" s="257">
        <f t="shared" si="141"/>
        <v>224307.82499999998</v>
      </c>
      <c r="Q662" s="257">
        <f t="shared" si="142"/>
        <v>224307.82499999998</v>
      </c>
      <c r="R662" s="258">
        <f>INDEX('Escalators '!$M$124:$S$129,MATCH(I662,'Escalators '!$B$124:$B$129,0),MATCH(J662,'Escalators '!$M$113:$S$113,0))</f>
        <v>1.0272672933956697</v>
      </c>
      <c r="S662" s="257">
        <f t="shared" si="143"/>
        <v>0</v>
      </c>
      <c r="T662" s="257">
        <f t="shared" si="144"/>
        <v>0</v>
      </c>
      <c r="U662" s="269">
        <f t="shared" si="145"/>
        <v>230424.0922752195</v>
      </c>
      <c r="V662" s="269">
        <f t="shared" si="146"/>
        <v>230424.0922752195</v>
      </c>
      <c r="W662" s="269">
        <f t="shared" si="147"/>
        <v>230424.0922752195</v>
      </c>
      <c r="X662" s="257">
        <f t="shared" si="148"/>
        <v>230424.0922752195</v>
      </c>
      <c r="Y662" s="270">
        <f>IF(L662="Complex",(INDEX('Escalators '!$M$176:$S$176,MATCH('Forecast capex'!J662,'Escalators '!$M$178:$S$178,0))/12+1)^((K662-J662)*12)-1,0)</f>
        <v>0</v>
      </c>
      <c r="Z662" s="257">
        <f t="shared" si="149"/>
        <v>0</v>
      </c>
      <c r="AA662" s="257">
        <f t="shared" si="150"/>
        <v>0</v>
      </c>
      <c r="AB662" s="269">
        <f t="shared" si="151"/>
        <v>0</v>
      </c>
      <c r="AC662" s="269">
        <f t="shared" si="152"/>
        <v>0</v>
      </c>
      <c r="AD662" s="271" t="str">
        <f>INDEX('Global inputs'!$C$134:$C$171,MATCH(F662,'Global inputs'!$B$134:$B$171,0))</f>
        <v>Asset replacement and renewal</v>
      </c>
      <c r="AE662" s="272">
        <f>IF(OR(H662='Operating leases'!$B$32,H662='Operating leases'!$B$33),"",INDEX('Global inputs'!$C$186:$C$243,MATCH(E662,'Global inputs'!$B$186:$B$243,0)))</f>
        <v>0.1</v>
      </c>
    </row>
    <row r="663" spans="1:31" s="27" customFormat="1" x14ac:dyDescent="0.2">
      <c r="A663" s="250"/>
      <c r="B663" s="210" t="s">
        <v>742</v>
      </c>
      <c r="C663" s="210" t="s">
        <v>285</v>
      </c>
      <c r="D663" s="210" t="s">
        <v>718</v>
      </c>
      <c r="E663" s="210" t="s">
        <v>132</v>
      </c>
      <c r="F663" s="210" t="s">
        <v>113</v>
      </c>
      <c r="G663" s="210" t="s">
        <v>745</v>
      </c>
      <c r="H663" s="197">
        <v>0</v>
      </c>
      <c r="I663" s="210" t="s">
        <v>229</v>
      </c>
      <c r="J663" s="210">
        <v>2022</v>
      </c>
      <c r="K663" s="210">
        <v>2022</v>
      </c>
      <c r="L663" s="268" t="str">
        <f t="shared" si="140"/>
        <v>Simple</v>
      </c>
      <c r="M663" s="197">
        <v>142500</v>
      </c>
      <c r="N663" s="197">
        <v>0</v>
      </c>
      <c r="O663" s="257">
        <f>IF(ISNA(MATCH(H663,'Operating leases'!$B$32:$B$43,0)),0,INDEX('Operating leases'!$M$32:$S$43,MATCH(H663,'Operating leases'!$B$32:$B$43,0),MATCH(J663,'Operating leases'!$M$11:$S$11,0)))</f>
        <v>0</v>
      </c>
      <c r="P663" s="257">
        <f t="shared" si="141"/>
        <v>142500</v>
      </c>
      <c r="Q663" s="257">
        <f t="shared" si="142"/>
        <v>142500</v>
      </c>
      <c r="R663" s="258">
        <f>INDEX('Escalators '!$M$124:$S$129,MATCH(I663,'Escalators '!$B$124:$B$129,0),MATCH(J663,'Escalators '!$M$113:$S$113,0))</f>
        <v>1.0379818100112963</v>
      </c>
      <c r="S663" s="257">
        <f t="shared" si="143"/>
        <v>0</v>
      </c>
      <c r="T663" s="257">
        <f t="shared" si="144"/>
        <v>0</v>
      </c>
      <c r="U663" s="269">
        <f t="shared" si="145"/>
        <v>147912.40792660971</v>
      </c>
      <c r="V663" s="269">
        <f t="shared" si="146"/>
        <v>147912.40792660971</v>
      </c>
      <c r="W663" s="269">
        <f t="shared" si="147"/>
        <v>147912.40792660971</v>
      </c>
      <c r="X663" s="257">
        <f t="shared" si="148"/>
        <v>147912.40792660971</v>
      </c>
      <c r="Y663" s="270">
        <f>IF(L663="Complex",(INDEX('Escalators '!$M$176:$S$176,MATCH('Forecast capex'!J663,'Escalators '!$M$178:$S$178,0))/12+1)^((K663-J663)*12)-1,0)</f>
        <v>0</v>
      </c>
      <c r="Z663" s="257">
        <f t="shared" si="149"/>
        <v>0</v>
      </c>
      <c r="AA663" s="257">
        <f t="shared" si="150"/>
        <v>0</v>
      </c>
      <c r="AB663" s="269">
        <f t="shared" si="151"/>
        <v>0</v>
      </c>
      <c r="AC663" s="269">
        <f t="shared" si="152"/>
        <v>0</v>
      </c>
      <c r="AD663" s="271" t="str">
        <f>INDEX('Global inputs'!$C$134:$C$171,MATCH(F663,'Global inputs'!$B$134:$B$171,0))</f>
        <v>Asset replacement and renewal</v>
      </c>
      <c r="AE663" s="272">
        <f>IF(OR(H663='Operating leases'!$B$32,H663='Operating leases'!$B$33),"",INDEX('Global inputs'!$C$186:$C$243,MATCH(E663,'Global inputs'!$B$186:$B$243,0)))</f>
        <v>0.08</v>
      </c>
    </row>
    <row r="664" spans="1:31" s="27" customFormat="1" x14ac:dyDescent="0.2">
      <c r="A664" s="250"/>
      <c r="B664" s="210" t="s">
        <v>742</v>
      </c>
      <c r="C664" s="210" t="s">
        <v>285</v>
      </c>
      <c r="D664" s="210" t="s">
        <v>718</v>
      </c>
      <c r="E664" s="210" t="s">
        <v>132</v>
      </c>
      <c r="F664" s="210" t="s">
        <v>113</v>
      </c>
      <c r="G664" s="210" t="s">
        <v>745</v>
      </c>
      <c r="H664" s="197">
        <v>0</v>
      </c>
      <c r="I664" s="210" t="s">
        <v>221</v>
      </c>
      <c r="J664" s="210">
        <v>2022</v>
      </c>
      <c r="K664" s="210">
        <v>2022</v>
      </c>
      <c r="L664" s="268" t="str">
        <f t="shared" si="140"/>
        <v>Simple</v>
      </c>
      <c r="M664" s="197">
        <v>142500</v>
      </c>
      <c r="N664" s="197">
        <v>0</v>
      </c>
      <c r="O664" s="257">
        <f>IF(ISNA(MATCH(H664,'Operating leases'!$B$32:$B$43,0)),0,INDEX('Operating leases'!$M$32:$S$43,MATCH(H664,'Operating leases'!$B$32:$B$43,0),MATCH(J664,'Operating leases'!$M$11:$S$11,0)))</f>
        <v>0</v>
      </c>
      <c r="P664" s="257">
        <f t="shared" si="141"/>
        <v>142500</v>
      </c>
      <c r="Q664" s="257">
        <f t="shared" si="142"/>
        <v>142500</v>
      </c>
      <c r="R664" s="258">
        <f>INDEX('Escalators '!$M$124:$S$129,MATCH(I664,'Escalators '!$B$124:$B$129,0),MATCH(J664,'Escalators '!$M$113:$S$113,0))</f>
        <v>1.0272672933956697</v>
      </c>
      <c r="S664" s="257">
        <f t="shared" si="143"/>
        <v>0</v>
      </c>
      <c r="T664" s="257">
        <f t="shared" si="144"/>
        <v>0</v>
      </c>
      <c r="U664" s="269">
        <f t="shared" si="145"/>
        <v>146385.58930888292</v>
      </c>
      <c r="V664" s="269">
        <f t="shared" si="146"/>
        <v>146385.58930888292</v>
      </c>
      <c r="W664" s="269">
        <f t="shared" si="147"/>
        <v>146385.58930888292</v>
      </c>
      <c r="X664" s="257">
        <f t="shared" si="148"/>
        <v>146385.58930888292</v>
      </c>
      <c r="Y664" s="270">
        <f>IF(L664="Complex",(INDEX('Escalators '!$M$176:$S$176,MATCH('Forecast capex'!J664,'Escalators '!$M$178:$S$178,0))/12+1)^((K664-J664)*12)-1,0)</f>
        <v>0</v>
      </c>
      <c r="Z664" s="257">
        <f t="shared" si="149"/>
        <v>0</v>
      </c>
      <c r="AA664" s="257">
        <f t="shared" si="150"/>
        <v>0</v>
      </c>
      <c r="AB664" s="269">
        <f t="shared" si="151"/>
        <v>0</v>
      </c>
      <c r="AC664" s="269">
        <f t="shared" si="152"/>
        <v>0</v>
      </c>
      <c r="AD664" s="271" t="str">
        <f>INDEX('Global inputs'!$C$134:$C$171,MATCH(F664,'Global inputs'!$B$134:$B$171,0))</f>
        <v>Asset replacement and renewal</v>
      </c>
      <c r="AE664" s="272">
        <f>IF(OR(H664='Operating leases'!$B$32,H664='Operating leases'!$B$33),"",INDEX('Global inputs'!$C$186:$C$243,MATCH(E664,'Global inputs'!$B$186:$B$243,0)))</f>
        <v>0.08</v>
      </c>
    </row>
    <row r="665" spans="1:31" s="27" customFormat="1" x14ac:dyDescent="0.2">
      <c r="A665" s="250"/>
      <c r="B665" s="210" t="s">
        <v>746</v>
      </c>
      <c r="C665" s="210" t="s">
        <v>287</v>
      </c>
      <c r="D665" s="210" t="s">
        <v>715</v>
      </c>
      <c r="E665" s="210" t="s">
        <v>150</v>
      </c>
      <c r="F665" s="210" t="s">
        <v>86</v>
      </c>
      <c r="G665" s="210" t="s">
        <v>716</v>
      </c>
      <c r="H665" s="197">
        <v>0</v>
      </c>
      <c r="I665" s="210" t="s">
        <v>229</v>
      </c>
      <c r="J665" s="210">
        <v>2022</v>
      </c>
      <c r="K665" s="210">
        <v>2022</v>
      </c>
      <c r="L665" s="268" t="str">
        <f t="shared" si="140"/>
        <v>Simple</v>
      </c>
      <c r="M665" s="197">
        <v>63769.00762366593</v>
      </c>
      <c r="N665" s="197">
        <v>0</v>
      </c>
      <c r="O665" s="257">
        <f>IF(ISNA(MATCH(H665,'Operating leases'!$B$32:$B$43,0)),0,INDEX('Operating leases'!$M$32:$S$43,MATCH(H665,'Operating leases'!$B$32:$B$43,0),MATCH(J665,'Operating leases'!$M$11:$S$11,0)))</f>
        <v>0</v>
      </c>
      <c r="P665" s="257">
        <f t="shared" si="141"/>
        <v>63769.00762366593</v>
      </c>
      <c r="Q665" s="257">
        <f t="shared" si="142"/>
        <v>63769.00762366593</v>
      </c>
      <c r="R665" s="258">
        <f>INDEX('Escalators '!$M$124:$S$129,MATCH(I665,'Escalators '!$B$124:$B$129,0),MATCH(J665,'Escalators '!$M$113:$S$113,0))</f>
        <v>1.0379818100112963</v>
      </c>
      <c r="S665" s="257">
        <f t="shared" si="143"/>
        <v>0</v>
      </c>
      <c r="T665" s="257">
        <f t="shared" si="144"/>
        <v>0</v>
      </c>
      <c r="U665" s="269">
        <f t="shared" si="145"/>
        <v>66191.069955836909</v>
      </c>
      <c r="V665" s="269">
        <f t="shared" si="146"/>
        <v>66191.069955836909</v>
      </c>
      <c r="W665" s="269">
        <f t="shared" si="147"/>
        <v>66191.069955836909</v>
      </c>
      <c r="X665" s="257">
        <f t="shared" si="148"/>
        <v>66191.069955836909</v>
      </c>
      <c r="Y665" s="270">
        <f>IF(L665="Complex",(INDEX('Escalators '!$M$176:$S$176,MATCH('Forecast capex'!J665,'Escalators '!$M$178:$S$178,0))/12+1)^((K665-J665)*12)-1,0)</f>
        <v>0</v>
      </c>
      <c r="Z665" s="257">
        <f t="shared" si="149"/>
        <v>0</v>
      </c>
      <c r="AA665" s="257">
        <f t="shared" si="150"/>
        <v>0</v>
      </c>
      <c r="AB665" s="269">
        <f t="shared" si="151"/>
        <v>0</v>
      </c>
      <c r="AC665" s="269">
        <f t="shared" si="152"/>
        <v>0</v>
      </c>
      <c r="AD665" s="271" t="str">
        <f>INDEX('Global inputs'!$C$134:$C$171,MATCH(F665,'Global inputs'!$B$134:$B$171,0))</f>
        <v xml:space="preserve">System growth </v>
      </c>
      <c r="AE665" s="272">
        <f>IF(OR(H665='Operating leases'!$B$32,H665='Operating leases'!$B$33),"",INDEX('Global inputs'!$C$186:$C$243,MATCH(E665,'Global inputs'!$B$186:$B$243,0)))</f>
        <v>0.08</v>
      </c>
    </row>
    <row r="666" spans="1:31" s="27" customFormat="1" x14ac:dyDescent="0.2">
      <c r="A666" s="250"/>
      <c r="B666" s="210" t="s">
        <v>746</v>
      </c>
      <c r="C666" s="210" t="s">
        <v>287</v>
      </c>
      <c r="D666" s="210" t="s">
        <v>715</v>
      </c>
      <c r="E666" s="210" t="s">
        <v>150</v>
      </c>
      <c r="F666" s="210" t="s">
        <v>86</v>
      </c>
      <c r="G666" s="210" t="s">
        <v>716</v>
      </c>
      <c r="H666" s="197">
        <v>0</v>
      </c>
      <c r="I666" s="210" t="s">
        <v>221</v>
      </c>
      <c r="J666" s="210">
        <v>2022</v>
      </c>
      <c r="K666" s="210">
        <v>2022</v>
      </c>
      <c r="L666" s="268" t="str">
        <f t="shared" si="140"/>
        <v>Simple</v>
      </c>
      <c r="M666" s="197">
        <v>63769.00762366593</v>
      </c>
      <c r="N666" s="197">
        <v>0</v>
      </c>
      <c r="O666" s="257">
        <f>IF(ISNA(MATCH(H666,'Operating leases'!$B$32:$B$43,0)),0,INDEX('Operating leases'!$M$32:$S$43,MATCH(H666,'Operating leases'!$B$32:$B$43,0),MATCH(J666,'Operating leases'!$M$11:$S$11,0)))</f>
        <v>0</v>
      </c>
      <c r="P666" s="257">
        <f t="shared" si="141"/>
        <v>63769.00762366593</v>
      </c>
      <c r="Q666" s="257">
        <f t="shared" si="142"/>
        <v>63769.00762366593</v>
      </c>
      <c r="R666" s="258">
        <f>INDEX('Escalators '!$M$124:$S$129,MATCH(I666,'Escalators '!$B$124:$B$129,0),MATCH(J666,'Escalators '!$M$113:$S$113,0))</f>
        <v>1.0272672933956697</v>
      </c>
      <c r="S666" s="257">
        <f t="shared" si="143"/>
        <v>0</v>
      </c>
      <c r="T666" s="257">
        <f t="shared" si="144"/>
        <v>0</v>
      </c>
      <c r="U666" s="269">
        <f t="shared" si="145"/>
        <v>65507.815864091128</v>
      </c>
      <c r="V666" s="269">
        <f t="shared" si="146"/>
        <v>65507.815864091128</v>
      </c>
      <c r="W666" s="269">
        <f t="shared" si="147"/>
        <v>65507.815864091128</v>
      </c>
      <c r="X666" s="257">
        <f t="shared" si="148"/>
        <v>65507.815864091128</v>
      </c>
      <c r="Y666" s="270">
        <f>IF(L666="Complex",(INDEX('Escalators '!$M$176:$S$176,MATCH('Forecast capex'!J666,'Escalators '!$M$178:$S$178,0))/12+1)^((K666-J666)*12)-1,0)</f>
        <v>0</v>
      </c>
      <c r="Z666" s="257">
        <f t="shared" si="149"/>
        <v>0</v>
      </c>
      <c r="AA666" s="257">
        <f t="shared" si="150"/>
        <v>0</v>
      </c>
      <c r="AB666" s="269">
        <f t="shared" si="151"/>
        <v>0</v>
      </c>
      <c r="AC666" s="269">
        <f t="shared" si="152"/>
        <v>0</v>
      </c>
      <c r="AD666" s="271" t="str">
        <f>INDEX('Global inputs'!$C$134:$C$171,MATCH(F666,'Global inputs'!$B$134:$B$171,0))</f>
        <v xml:space="preserve">System growth </v>
      </c>
      <c r="AE666" s="272">
        <f>IF(OR(H666='Operating leases'!$B$32,H666='Operating leases'!$B$33),"",INDEX('Global inputs'!$C$186:$C$243,MATCH(E666,'Global inputs'!$B$186:$B$243,0)))</f>
        <v>0.08</v>
      </c>
    </row>
    <row r="667" spans="1:31" s="27" customFormat="1" x14ac:dyDescent="0.2">
      <c r="A667" s="250"/>
      <c r="B667" s="210" t="s">
        <v>746</v>
      </c>
      <c r="C667" s="210" t="s">
        <v>287</v>
      </c>
      <c r="D667" s="210" t="s">
        <v>715</v>
      </c>
      <c r="E667" s="210" t="s">
        <v>151</v>
      </c>
      <c r="F667" s="210" t="s">
        <v>86</v>
      </c>
      <c r="G667" s="210" t="s">
        <v>716</v>
      </c>
      <c r="H667" s="197">
        <v>0</v>
      </c>
      <c r="I667" s="210" t="s">
        <v>229</v>
      </c>
      <c r="J667" s="210">
        <v>2022</v>
      </c>
      <c r="K667" s="210">
        <v>2022</v>
      </c>
      <c r="L667" s="268" t="str">
        <f t="shared" si="140"/>
        <v>Simple</v>
      </c>
      <c r="M667" s="197">
        <v>63769.00762366593</v>
      </c>
      <c r="N667" s="197">
        <v>0</v>
      </c>
      <c r="O667" s="257">
        <f>IF(ISNA(MATCH(H667,'Operating leases'!$B$32:$B$43,0)),0,INDEX('Operating leases'!$M$32:$S$43,MATCH(H667,'Operating leases'!$B$32:$B$43,0),MATCH(J667,'Operating leases'!$M$11:$S$11,0)))</f>
        <v>0</v>
      </c>
      <c r="P667" s="257">
        <f t="shared" si="141"/>
        <v>63769.00762366593</v>
      </c>
      <c r="Q667" s="257">
        <f t="shared" si="142"/>
        <v>63769.00762366593</v>
      </c>
      <c r="R667" s="258">
        <f>INDEX('Escalators '!$M$124:$S$129,MATCH(I667,'Escalators '!$B$124:$B$129,0),MATCH(J667,'Escalators '!$M$113:$S$113,0))</f>
        <v>1.0379818100112963</v>
      </c>
      <c r="S667" s="257">
        <f t="shared" si="143"/>
        <v>0</v>
      </c>
      <c r="T667" s="257">
        <f t="shared" si="144"/>
        <v>0</v>
      </c>
      <c r="U667" s="269">
        <f t="shared" si="145"/>
        <v>66191.069955836909</v>
      </c>
      <c r="V667" s="269">
        <f t="shared" si="146"/>
        <v>66191.069955836909</v>
      </c>
      <c r="W667" s="269">
        <f t="shared" si="147"/>
        <v>66191.069955836909</v>
      </c>
      <c r="X667" s="257">
        <f t="shared" si="148"/>
        <v>66191.069955836909</v>
      </c>
      <c r="Y667" s="270">
        <f>IF(L667="Complex",(INDEX('Escalators '!$M$176:$S$176,MATCH('Forecast capex'!J667,'Escalators '!$M$178:$S$178,0))/12+1)^((K667-J667)*12)-1,0)</f>
        <v>0</v>
      </c>
      <c r="Z667" s="257">
        <f t="shared" si="149"/>
        <v>0</v>
      </c>
      <c r="AA667" s="257">
        <f t="shared" si="150"/>
        <v>0</v>
      </c>
      <c r="AB667" s="269">
        <f t="shared" si="151"/>
        <v>0</v>
      </c>
      <c r="AC667" s="269">
        <f t="shared" si="152"/>
        <v>0</v>
      </c>
      <c r="AD667" s="271" t="str">
        <f>INDEX('Global inputs'!$C$134:$C$171,MATCH(F667,'Global inputs'!$B$134:$B$171,0))</f>
        <v xml:space="preserve">System growth </v>
      </c>
      <c r="AE667" s="272">
        <f>IF(OR(H667='Operating leases'!$B$32,H667='Operating leases'!$B$33),"",INDEX('Global inputs'!$C$186:$C$243,MATCH(E667,'Global inputs'!$B$186:$B$243,0)))</f>
        <v>0.1</v>
      </c>
    </row>
    <row r="668" spans="1:31" s="27" customFormat="1" x14ac:dyDescent="0.2">
      <c r="A668" s="250"/>
      <c r="B668" s="210" t="s">
        <v>746</v>
      </c>
      <c r="C668" s="210" t="s">
        <v>287</v>
      </c>
      <c r="D668" s="210" t="s">
        <v>715</v>
      </c>
      <c r="E668" s="210" t="s">
        <v>151</v>
      </c>
      <c r="F668" s="210" t="s">
        <v>86</v>
      </c>
      <c r="G668" s="210" t="s">
        <v>716</v>
      </c>
      <c r="H668" s="197">
        <v>0</v>
      </c>
      <c r="I668" s="210" t="s">
        <v>221</v>
      </c>
      <c r="J668" s="210">
        <v>2022</v>
      </c>
      <c r="K668" s="210">
        <v>2022</v>
      </c>
      <c r="L668" s="268" t="str">
        <f t="shared" si="140"/>
        <v>Simple</v>
      </c>
      <c r="M668" s="197">
        <v>63769.00762366593</v>
      </c>
      <c r="N668" s="197">
        <v>0</v>
      </c>
      <c r="O668" s="257">
        <f>IF(ISNA(MATCH(H668,'Operating leases'!$B$32:$B$43,0)),0,INDEX('Operating leases'!$M$32:$S$43,MATCH(H668,'Operating leases'!$B$32:$B$43,0),MATCH(J668,'Operating leases'!$M$11:$S$11,0)))</f>
        <v>0</v>
      </c>
      <c r="P668" s="257">
        <f t="shared" si="141"/>
        <v>63769.00762366593</v>
      </c>
      <c r="Q668" s="257">
        <f t="shared" si="142"/>
        <v>63769.00762366593</v>
      </c>
      <c r="R668" s="258">
        <f>INDEX('Escalators '!$M$124:$S$129,MATCH(I668,'Escalators '!$B$124:$B$129,0),MATCH(J668,'Escalators '!$M$113:$S$113,0))</f>
        <v>1.0272672933956697</v>
      </c>
      <c r="S668" s="257">
        <f t="shared" si="143"/>
        <v>0</v>
      </c>
      <c r="T668" s="257">
        <f t="shared" si="144"/>
        <v>0</v>
      </c>
      <c r="U668" s="269">
        <f t="shared" si="145"/>
        <v>65507.815864091128</v>
      </c>
      <c r="V668" s="269">
        <f t="shared" si="146"/>
        <v>65507.815864091128</v>
      </c>
      <c r="W668" s="269">
        <f t="shared" si="147"/>
        <v>65507.815864091128</v>
      </c>
      <c r="X668" s="257">
        <f t="shared" si="148"/>
        <v>65507.815864091128</v>
      </c>
      <c r="Y668" s="270">
        <f>IF(L668="Complex",(INDEX('Escalators '!$M$176:$S$176,MATCH('Forecast capex'!J668,'Escalators '!$M$178:$S$178,0))/12+1)^((K668-J668)*12)-1,0)</f>
        <v>0</v>
      </c>
      <c r="Z668" s="257">
        <f t="shared" si="149"/>
        <v>0</v>
      </c>
      <c r="AA668" s="257">
        <f t="shared" si="150"/>
        <v>0</v>
      </c>
      <c r="AB668" s="269">
        <f t="shared" si="151"/>
        <v>0</v>
      </c>
      <c r="AC668" s="269">
        <f t="shared" si="152"/>
        <v>0</v>
      </c>
      <c r="AD668" s="271" t="str">
        <f>INDEX('Global inputs'!$C$134:$C$171,MATCH(F668,'Global inputs'!$B$134:$B$171,0))</f>
        <v xml:space="preserve">System growth </v>
      </c>
      <c r="AE668" s="272">
        <f>IF(OR(H668='Operating leases'!$B$32,H668='Operating leases'!$B$33),"",INDEX('Global inputs'!$C$186:$C$243,MATCH(E668,'Global inputs'!$B$186:$B$243,0)))</f>
        <v>0.1</v>
      </c>
    </row>
    <row r="669" spans="1:31" s="27" customFormat="1" x14ac:dyDescent="0.2">
      <c r="A669" s="250"/>
      <c r="B669" s="210" t="s">
        <v>746</v>
      </c>
      <c r="C669" s="210" t="s">
        <v>287</v>
      </c>
      <c r="D669" s="210" t="s">
        <v>715</v>
      </c>
      <c r="E669" s="210" t="s">
        <v>153</v>
      </c>
      <c r="F669" s="210" t="s">
        <v>86</v>
      </c>
      <c r="G669" s="210" t="s">
        <v>716</v>
      </c>
      <c r="H669" s="197">
        <v>0</v>
      </c>
      <c r="I669" s="210" t="s">
        <v>229</v>
      </c>
      <c r="J669" s="210">
        <v>2022</v>
      </c>
      <c r="K669" s="210">
        <v>2022</v>
      </c>
      <c r="L669" s="268" t="str">
        <f t="shared" si="140"/>
        <v>Simple</v>
      </c>
      <c r="M669" s="197">
        <v>28341.781166073746</v>
      </c>
      <c r="N669" s="197">
        <v>0</v>
      </c>
      <c r="O669" s="257">
        <f>IF(ISNA(MATCH(H669,'Operating leases'!$B$32:$B$43,0)),0,INDEX('Operating leases'!$M$32:$S$43,MATCH(H669,'Operating leases'!$B$32:$B$43,0),MATCH(J669,'Operating leases'!$M$11:$S$11,0)))</f>
        <v>0</v>
      </c>
      <c r="P669" s="257">
        <f t="shared" si="141"/>
        <v>28341.781166073746</v>
      </c>
      <c r="Q669" s="257">
        <f t="shared" si="142"/>
        <v>28341.781166073746</v>
      </c>
      <c r="R669" s="258">
        <f>INDEX('Escalators '!$M$124:$S$129,MATCH(I669,'Escalators '!$B$124:$B$129,0),MATCH(J669,'Escalators '!$M$113:$S$113,0))</f>
        <v>1.0379818100112963</v>
      </c>
      <c r="S669" s="257">
        <f t="shared" si="143"/>
        <v>0</v>
      </c>
      <c r="T669" s="257">
        <f t="shared" si="144"/>
        <v>0</v>
      </c>
      <c r="U669" s="269">
        <f t="shared" si="145"/>
        <v>29418.253313705296</v>
      </c>
      <c r="V669" s="269">
        <f t="shared" si="146"/>
        <v>29418.253313705296</v>
      </c>
      <c r="W669" s="269">
        <f t="shared" si="147"/>
        <v>29418.253313705296</v>
      </c>
      <c r="X669" s="257">
        <f t="shared" si="148"/>
        <v>29418.253313705296</v>
      </c>
      <c r="Y669" s="270">
        <f>IF(L669="Complex",(INDEX('Escalators '!$M$176:$S$176,MATCH('Forecast capex'!J669,'Escalators '!$M$178:$S$178,0))/12+1)^((K669-J669)*12)-1,0)</f>
        <v>0</v>
      </c>
      <c r="Z669" s="257">
        <f t="shared" si="149"/>
        <v>0</v>
      </c>
      <c r="AA669" s="257">
        <f t="shared" si="150"/>
        <v>0</v>
      </c>
      <c r="AB669" s="269">
        <f t="shared" si="151"/>
        <v>0</v>
      </c>
      <c r="AC669" s="269">
        <f t="shared" si="152"/>
        <v>0</v>
      </c>
      <c r="AD669" s="271" t="str">
        <f>INDEX('Global inputs'!$C$134:$C$171,MATCH(F669,'Global inputs'!$B$134:$B$171,0))</f>
        <v xml:space="preserve">System growth </v>
      </c>
      <c r="AE669" s="272">
        <f>IF(OR(H669='Operating leases'!$B$32,H669='Operating leases'!$B$33),"",INDEX('Global inputs'!$C$186:$C$243,MATCH(E669,'Global inputs'!$B$186:$B$243,0)))</f>
        <v>0.08</v>
      </c>
    </row>
    <row r="670" spans="1:31" s="27" customFormat="1" x14ac:dyDescent="0.2">
      <c r="A670" s="250"/>
      <c r="B670" s="210" t="s">
        <v>746</v>
      </c>
      <c r="C670" s="210" t="s">
        <v>287</v>
      </c>
      <c r="D670" s="210" t="s">
        <v>715</v>
      </c>
      <c r="E670" s="210" t="s">
        <v>153</v>
      </c>
      <c r="F670" s="210" t="s">
        <v>86</v>
      </c>
      <c r="G670" s="210" t="s">
        <v>716</v>
      </c>
      <c r="H670" s="197">
        <v>0</v>
      </c>
      <c r="I670" s="210" t="s">
        <v>221</v>
      </c>
      <c r="J670" s="210">
        <v>2022</v>
      </c>
      <c r="K670" s="210">
        <v>2022</v>
      </c>
      <c r="L670" s="268" t="str">
        <f t="shared" si="140"/>
        <v>Simple</v>
      </c>
      <c r="M670" s="197">
        <v>28341.781166073746</v>
      </c>
      <c r="N670" s="197">
        <v>0</v>
      </c>
      <c r="O670" s="257">
        <f>IF(ISNA(MATCH(H670,'Operating leases'!$B$32:$B$43,0)),0,INDEX('Operating leases'!$M$32:$S$43,MATCH(H670,'Operating leases'!$B$32:$B$43,0),MATCH(J670,'Operating leases'!$M$11:$S$11,0)))</f>
        <v>0</v>
      </c>
      <c r="P670" s="257">
        <f t="shared" si="141"/>
        <v>28341.781166073746</v>
      </c>
      <c r="Q670" s="257">
        <f t="shared" si="142"/>
        <v>28341.781166073746</v>
      </c>
      <c r="R670" s="258">
        <f>INDEX('Escalators '!$M$124:$S$129,MATCH(I670,'Escalators '!$B$124:$B$129,0),MATCH(J670,'Escalators '!$M$113:$S$113,0))</f>
        <v>1.0272672933956697</v>
      </c>
      <c r="S670" s="257">
        <f t="shared" si="143"/>
        <v>0</v>
      </c>
      <c r="T670" s="257">
        <f t="shared" si="144"/>
        <v>0</v>
      </c>
      <c r="U670" s="269">
        <f t="shared" si="145"/>
        <v>29114.584828484945</v>
      </c>
      <c r="V670" s="269">
        <f t="shared" si="146"/>
        <v>29114.584828484945</v>
      </c>
      <c r="W670" s="269">
        <f t="shared" si="147"/>
        <v>29114.584828484945</v>
      </c>
      <c r="X670" s="257">
        <f t="shared" si="148"/>
        <v>29114.584828484945</v>
      </c>
      <c r="Y670" s="270">
        <f>IF(L670="Complex",(INDEX('Escalators '!$M$176:$S$176,MATCH('Forecast capex'!J670,'Escalators '!$M$178:$S$178,0))/12+1)^((K670-J670)*12)-1,0)</f>
        <v>0</v>
      </c>
      <c r="Z670" s="257">
        <f t="shared" si="149"/>
        <v>0</v>
      </c>
      <c r="AA670" s="257">
        <f t="shared" si="150"/>
        <v>0</v>
      </c>
      <c r="AB670" s="269">
        <f t="shared" si="151"/>
        <v>0</v>
      </c>
      <c r="AC670" s="269">
        <f t="shared" si="152"/>
        <v>0</v>
      </c>
      <c r="AD670" s="271" t="str">
        <f>INDEX('Global inputs'!$C$134:$C$171,MATCH(F670,'Global inputs'!$B$134:$B$171,0))</f>
        <v xml:space="preserve">System growth </v>
      </c>
      <c r="AE670" s="272">
        <f>IF(OR(H670='Operating leases'!$B$32,H670='Operating leases'!$B$33),"",INDEX('Global inputs'!$C$186:$C$243,MATCH(E670,'Global inputs'!$B$186:$B$243,0)))</f>
        <v>0.08</v>
      </c>
    </row>
    <row r="671" spans="1:31" s="27" customFormat="1" x14ac:dyDescent="0.2">
      <c r="A671" s="250"/>
      <c r="B671" s="210" t="s">
        <v>746</v>
      </c>
      <c r="C671" s="210" t="s">
        <v>287</v>
      </c>
      <c r="D671" s="210" t="s">
        <v>715</v>
      </c>
      <c r="E671" s="210" t="s">
        <v>154</v>
      </c>
      <c r="F671" s="210" t="s">
        <v>86</v>
      </c>
      <c r="G671" s="210" t="s">
        <v>716</v>
      </c>
      <c r="H671" s="197">
        <v>0</v>
      </c>
      <c r="I671" s="210" t="s">
        <v>229</v>
      </c>
      <c r="J671" s="210">
        <v>2022</v>
      </c>
      <c r="K671" s="210">
        <v>2022</v>
      </c>
      <c r="L671" s="268" t="str">
        <f t="shared" si="140"/>
        <v>Simple</v>
      </c>
      <c r="M671" s="197">
        <v>28341.781166073746</v>
      </c>
      <c r="N671" s="197">
        <v>0</v>
      </c>
      <c r="O671" s="257">
        <f>IF(ISNA(MATCH(H671,'Operating leases'!$B$32:$B$43,0)),0,INDEX('Operating leases'!$M$32:$S$43,MATCH(H671,'Operating leases'!$B$32:$B$43,0),MATCH(J671,'Operating leases'!$M$11:$S$11,0)))</f>
        <v>0</v>
      </c>
      <c r="P671" s="257">
        <f t="shared" si="141"/>
        <v>28341.781166073746</v>
      </c>
      <c r="Q671" s="257">
        <f t="shared" si="142"/>
        <v>28341.781166073746</v>
      </c>
      <c r="R671" s="258">
        <f>INDEX('Escalators '!$M$124:$S$129,MATCH(I671,'Escalators '!$B$124:$B$129,0),MATCH(J671,'Escalators '!$M$113:$S$113,0))</f>
        <v>1.0379818100112963</v>
      </c>
      <c r="S671" s="257">
        <f t="shared" si="143"/>
        <v>0</v>
      </c>
      <c r="T671" s="257">
        <f t="shared" si="144"/>
        <v>0</v>
      </c>
      <c r="U671" s="269">
        <f t="shared" si="145"/>
        <v>29418.253313705296</v>
      </c>
      <c r="V671" s="269">
        <f t="shared" si="146"/>
        <v>29418.253313705296</v>
      </c>
      <c r="W671" s="269">
        <f t="shared" si="147"/>
        <v>29418.253313705296</v>
      </c>
      <c r="X671" s="257">
        <f t="shared" si="148"/>
        <v>29418.253313705296</v>
      </c>
      <c r="Y671" s="270">
        <f>IF(L671="Complex",(INDEX('Escalators '!$M$176:$S$176,MATCH('Forecast capex'!J671,'Escalators '!$M$178:$S$178,0))/12+1)^((K671-J671)*12)-1,0)</f>
        <v>0</v>
      </c>
      <c r="Z671" s="257">
        <f t="shared" si="149"/>
        <v>0</v>
      </c>
      <c r="AA671" s="257">
        <f t="shared" si="150"/>
        <v>0</v>
      </c>
      <c r="AB671" s="269">
        <f t="shared" si="151"/>
        <v>0</v>
      </c>
      <c r="AC671" s="269">
        <f t="shared" si="152"/>
        <v>0</v>
      </c>
      <c r="AD671" s="271" t="str">
        <f>INDEX('Global inputs'!$C$134:$C$171,MATCH(F671,'Global inputs'!$B$134:$B$171,0))</f>
        <v xml:space="preserve">System growth </v>
      </c>
      <c r="AE671" s="272">
        <f>IF(OR(H671='Operating leases'!$B$32,H671='Operating leases'!$B$33),"",INDEX('Global inputs'!$C$186:$C$243,MATCH(E671,'Global inputs'!$B$186:$B$243,0)))</f>
        <v>0.1</v>
      </c>
    </row>
    <row r="672" spans="1:31" s="27" customFormat="1" x14ac:dyDescent="0.2">
      <c r="A672" s="250"/>
      <c r="B672" s="210" t="s">
        <v>746</v>
      </c>
      <c r="C672" s="210" t="s">
        <v>287</v>
      </c>
      <c r="D672" s="210" t="s">
        <v>715</v>
      </c>
      <c r="E672" s="210" t="s">
        <v>154</v>
      </c>
      <c r="F672" s="210" t="s">
        <v>86</v>
      </c>
      <c r="G672" s="210" t="s">
        <v>716</v>
      </c>
      <c r="H672" s="197">
        <v>0</v>
      </c>
      <c r="I672" s="210" t="s">
        <v>221</v>
      </c>
      <c r="J672" s="210">
        <v>2022</v>
      </c>
      <c r="K672" s="210">
        <v>2022</v>
      </c>
      <c r="L672" s="268" t="str">
        <f t="shared" si="140"/>
        <v>Simple</v>
      </c>
      <c r="M672" s="197">
        <v>28341.781166073746</v>
      </c>
      <c r="N672" s="197">
        <v>0</v>
      </c>
      <c r="O672" s="257">
        <f>IF(ISNA(MATCH(H672,'Operating leases'!$B$32:$B$43,0)),0,INDEX('Operating leases'!$M$32:$S$43,MATCH(H672,'Operating leases'!$B$32:$B$43,0),MATCH(J672,'Operating leases'!$M$11:$S$11,0)))</f>
        <v>0</v>
      </c>
      <c r="P672" s="257">
        <f t="shared" si="141"/>
        <v>28341.781166073746</v>
      </c>
      <c r="Q672" s="257">
        <f t="shared" si="142"/>
        <v>28341.781166073746</v>
      </c>
      <c r="R672" s="258">
        <f>INDEX('Escalators '!$M$124:$S$129,MATCH(I672,'Escalators '!$B$124:$B$129,0),MATCH(J672,'Escalators '!$M$113:$S$113,0))</f>
        <v>1.0272672933956697</v>
      </c>
      <c r="S672" s="257">
        <f t="shared" si="143"/>
        <v>0</v>
      </c>
      <c r="T672" s="257">
        <f t="shared" si="144"/>
        <v>0</v>
      </c>
      <c r="U672" s="269">
        <f t="shared" si="145"/>
        <v>29114.584828484945</v>
      </c>
      <c r="V672" s="269">
        <f t="shared" si="146"/>
        <v>29114.584828484945</v>
      </c>
      <c r="W672" s="269">
        <f t="shared" si="147"/>
        <v>29114.584828484945</v>
      </c>
      <c r="X672" s="257">
        <f t="shared" si="148"/>
        <v>29114.584828484945</v>
      </c>
      <c r="Y672" s="270">
        <f>IF(L672="Complex",(INDEX('Escalators '!$M$176:$S$176,MATCH('Forecast capex'!J672,'Escalators '!$M$178:$S$178,0))/12+1)^((K672-J672)*12)-1,0)</f>
        <v>0</v>
      </c>
      <c r="Z672" s="257">
        <f t="shared" si="149"/>
        <v>0</v>
      </c>
      <c r="AA672" s="257">
        <f t="shared" si="150"/>
        <v>0</v>
      </c>
      <c r="AB672" s="269">
        <f t="shared" si="151"/>
        <v>0</v>
      </c>
      <c r="AC672" s="269">
        <f t="shared" si="152"/>
        <v>0</v>
      </c>
      <c r="AD672" s="271" t="str">
        <f>INDEX('Global inputs'!$C$134:$C$171,MATCH(F672,'Global inputs'!$B$134:$B$171,0))</f>
        <v xml:space="preserve">System growth </v>
      </c>
      <c r="AE672" s="272">
        <f>IF(OR(H672='Operating leases'!$B$32,H672='Operating leases'!$B$33),"",INDEX('Global inputs'!$C$186:$C$243,MATCH(E672,'Global inputs'!$B$186:$B$243,0)))</f>
        <v>0.1</v>
      </c>
    </row>
    <row r="673" spans="1:31" s="27" customFormat="1" x14ac:dyDescent="0.2">
      <c r="A673" s="250"/>
      <c r="B673" s="210" t="s">
        <v>746</v>
      </c>
      <c r="C673" s="210" t="s">
        <v>287</v>
      </c>
      <c r="D673" s="210" t="s">
        <v>715</v>
      </c>
      <c r="E673" s="210" t="s">
        <v>150</v>
      </c>
      <c r="F673" s="210" t="s">
        <v>86</v>
      </c>
      <c r="G673" s="210" t="s">
        <v>717</v>
      </c>
      <c r="H673" s="197">
        <v>0</v>
      </c>
      <c r="I673" s="210" t="s">
        <v>229</v>
      </c>
      <c r="J673" s="210">
        <v>2022</v>
      </c>
      <c r="K673" s="210">
        <v>2022</v>
      </c>
      <c r="L673" s="268" t="str">
        <f t="shared" si="140"/>
        <v>Simple</v>
      </c>
      <c r="M673" s="197">
        <v>42512.671749110617</v>
      </c>
      <c r="N673" s="197">
        <v>0</v>
      </c>
      <c r="O673" s="257">
        <f>IF(ISNA(MATCH(H673,'Operating leases'!$B$32:$B$43,0)),0,INDEX('Operating leases'!$M$32:$S$43,MATCH(H673,'Operating leases'!$B$32:$B$43,0),MATCH(J673,'Operating leases'!$M$11:$S$11,0)))</f>
        <v>0</v>
      </c>
      <c r="P673" s="257">
        <f t="shared" si="141"/>
        <v>42512.671749110617</v>
      </c>
      <c r="Q673" s="257">
        <f t="shared" si="142"/>
        <v>42512.671749110617</v>
      </c>
      <c r="R673" s="258">
        <f>INDEX('Escalators '!$M$124:$S$129,MATCH(I673,'Escalators '!$B$124:$B$129,0),MATCH(J673,'Escalators '!$M$113:$S$113,0))</f>
        <v>1.0379818100112963</v>
      </c>
      <c r="S673" s="257">
        <f t="shared" si="143"/>
        <v>0</v>
      </c>
      <c r="T673" s="257">
        <f t="shared" si="144"/>
        <v>0</v>
      </c>
      <c r="U673" s="269">
        <f t="shared" si="145"/>
        <v>44127.379970557944</v>
      </c>
      <c r="V673" s="269">
        <f t="shared" si="146"/>
        <v>44127.379970557944</v>
      </c>
      <c r="W673" s="269">
        <f t="shared" si="147"/>
        <v>44127.379970557944</v>
      </c>
      <c r="X673" s="257">
        <f t="shared" si="148"/>
        <v>44127.379970557944</v>
      </c>
      <c r="Y673" s="270">
        <f>IF(L673="Complex",(INDEX('Escalators '!$M$176:$S$176,MATCH('Forecast capex'!J673,'Escalators '!$M$178:$S$178,0))/12+1)^((K673-J673)*12)-1,0)</f>
        <v>0</v>
      </c>
      <c r="Z673" s="257">
        <f t="shared" si="149"/>
        <v>0</v>
      </c>
      <c r="AA673" s="257">
        <f t="shared" si="150"/>
        <v>0</v>
      </c>
      <c r="AB673" s="269">
        <f t="shared" si="151"/>
        <v>0</v>
      </c>
      <c r="AC673" s="269">
        <f t="shared" si="152"/>
        <v>0</v>
      </c>
      <c r="AD673" s="271" t="str">
        <f>INDEX('Global inputs'!$C$134:$C$171,MATCH(F673,'Global inputs'!$B$134:$B$171,0))</f>
        <v xml:space="preserve">System growth </v>
      </c>
      <c r="AE673" s="272">
        <f>IF(OR(H673='Operating leases'!$B$32,H673='Operating leases'!$B$33),"",INDEX('Global inputs'!$C$186:$C$243,MATCH(E673,'Global inputs'!$B$186:$B$243,0)))</f>
        <v>0.08</v>
      </c>
    </row>
    <row r="674" spans="1:31" s="27" customFormat="1" x14ac:dyDescent="0.2">
      <c r="A674" s="250"/>
      <c r="B674" s="210" t="s">
        <v>746</v>
      </c>
      <c r="C674" s="210" t="s">
        <v>287</v>
      </c>
      <c r="D674" s="210" t="s">
        <v>715</v>
      </c>
      <c r="E674" s="210" t="s">
        <v>150</v>
      </c>
      <c r="F674" s="210" t="s">
        <v>86</v>
      </c>
      <c r="G674" s="210" t="s">
        <v>717</v>
      </c>
      <c r="H674" s="197">
        <v>0</v>
      </c>
      <c r="I674" s="210" t="s">
        <v>221</v>
      </c>
      <c r="J674" s="210">
        <v>2022</v>
      </c>
      <c r="K674" s="210">
        <v>2022</v>
      </c>
      <c r="L674" s="268" t="str">
        <f t="shared" si="140"/>
        <v>Simple</v>
      </c>
      <c r="M674" s="197">
        <v>42512.671749110617</v>
      </c>
      <c r="N674" s="197">
        <v>0</v>
      </c>
      <c r="O674" s="257">
        <f>IF(ISNA(MATCH(H674,'Operating leases'!$B$32:$B$43,0)),0,INDEX('Operating leases'!$M$32:$S$43,MATCH(H674,'Operating leases'!$B$32:$B$43,0),MATCH(J674,'Operating leases'!$M$11:$S$11,0)))</f>
        <v>0</v>
      </c>
      <c r="P674" s="257">
        <f t="shared" si="141"/>
        <v>42512.671749110617</v>
      </c>
      <c r="Q674" s="257">
        <f t="shared" si="142"/>
        <v>42512.671749110617</v>
      </c>
      <c r="R674" s="258">
        <f>INDEX('Escalators '!$M$124:$S$129,MATCH(I674,'Escalators '!$B$124:$B$129,0),MATCH(J674,'Escalators '!$M$113:$S$113,0))</f>
        <v>1.0272672933956697</v>
      </c>
      <c r="S674" s="257">
        <f t="shared" si="143"/>
        <v>0</v>
      </c>
      <c r="T674" s="257">
        <f t="shared" si="144"/>
        <v>0</v>
      </c>
      <c r="U674" s="269">
        <f t="shared" si="145"/>
        <v>43671.877242727416</v>
      </c>
      <c r="V674" s="269">
        <f t="shared" si="146"/>
        <v>43671.877242727416</v>
      </c>
      <c r="W674" s="269">
        <f t="shared" si="147"/>
        <v>43671.877242727416</v>
      </c>
      <c r="X674" s="257">
        <f t="shared" si="148"/>
        <v>43671.877242727416</v>
      </c>
      <c r="Y674" s="270">
        <f>IF(L674="Complex",(INDEX('Escalators '!$M$176:$S$176,MATCH('Forecast capex'!J674,'Escalators '!$M$178:$S$178,0))/12+1)^((K674-J674)*12)-1,0)</f>
        <v>0</v>
      </c>
      <c r="Z674" s="257">
        <f t="shared" si="149"/>
        <v>0</v>
      </c>
      <c r="AA674" s="257">
        <f t="shared" si="150"/>
        <v>0</v>
      </c>
      <c r="AB674" s="269">
        <f t="shared" si="151"/>
        <v>0</v>
      </c>
      <c r="AC674" s="269">
        <f t="shared" si="152"/>
        <v>0</v>
      </c>
      <c r="AD674" s="271" t="str">
        <f>INDEX('Global inputs'!$C$134:$C$171,MATCH(F674,'Global inputs'!$B$134:$B$171,0))</f>
        <v xml:space="preserve">System growth </v>
      </c>
      <c r="AE674" s="272">
        <f>IF(OR(H674='Operating leases'!$B$32,H674='Operating leases'!$B$33),"",INDEX('Global inputs'!$C$186:$C$243,MATCH(E674,'Global inputs'!$B$186:$B$243,0)))</f>
        <v>0.08</v>
      </c>
    </row>
    <row r="675" spans="1:31" s="27" customFormat="1" x14ac:dyDescent="0.2">
      <c r="A675" s="250"/>
      <c r="B675" s="210" t="s">
        <v>746</v>
      </c>
      <c r="C675" s="210" t="s">
        <v>287</v>
      </c>
      <c r="D675" s="210" t="s">
        <v>715</v>
      </c>
      <c r="E675" s="210" t="s">
        <v>151</v>
      </c>
      <c r="F675" s="210" t="s">
        <v>86</v>
      </c>
      <c r="G675" s="210" t="s">
        <v>717</v>
      </c>
      <c r="H675" s="197">
        <v>0</v>
      </c>
      <c r="I675" s="210" t="s">
        <v>229</v>
      </c>
      <c r="J675" s="210">
        <v>2022</v>
      </c>
      <c r="K675" s="210">
        <v>2022</v>
      </c>
      <c r="L675" s="268" t="str">
        <f t="shared" si="140"/>
        <v>Simple</v>
      </c>
      <c r="M675" s="197">
        <v>42512.671749110617</v>
      </c>
      <c r="N675" s="197">
        <v>0</v>
      </c>
      <c r="O675" s="257">
        <f>IF(ISNA(MATCH(H675,'Operating leases'!$B$32:$B$43,0)),0,INDEX('Operating leases'!$M$32:$S$43,MATCH(H675,'Operating leases'!$B$32:$B$43,0),MATCH(J675,'Operating leases'!$M$11:$S$11,0)))</f>
        <v>0</v>
      </c>
      <c r="P675" s="257">
        <f t="shared" si="141"/>
        <v>42512.671749110617</v>
      </c>
      <c r="Q675" s="257">
        <f t="shared" si="142"/>
        <v>42512.671749110617</v>
      </c>
      <c r="R675" s="258">
        <f>INDEX('Escalators '!$M$124:$S$129,MATCH(I675,'Escalators '!$B$124:$B$129,0),MATCH(J675,'Escalators '!$M$113:$S$113,0))</f>
        <v>1.0379818100112963</v>
      </c>
      <c r="S675" s="257">
        <f t="shared" si="143"/>
        <v>0</v>
      </c>
      <c r="T675" s="257">
        <f t="shared" si="144"/>
        <v>0</v>
      </c>
      <c r="U675" s="269">
        <f t="shared" si="145"/>
        <v>44127.379970557944</v>
      </c>
      <c r="V675" s="269">
        <f t="shared" si="146"/>
        <v>44127.379970557944</v>
      </c>
      <c r="W675" s="269">
        <f t="shared" si="147"/>
        <v>44127.379970557944</v>
      </c>
      <c r="X675" s="257">
        <f t="shared" si="148"/>
        <v>44127.379970557944</v>
      </c>
      <c r="Y675" s="270">
        <f>IF(L675="Complex",(INDEX('Escalators '!$M$176:$S$176,MATCH('Forecast capex'!J675,'Escalators '!$M$178:$S$178,0))/12+1)^((K675-J675)*12)-1,0)</f>
        <v>0</v>
      </c>
      <c r="Z675" s="257">
        <f t="shared" si="149"/>
        <v>0</v>
      </c>
      <c r="AA675" s="257">
        <f t="shared" si="150"/>
        <v>0</v>
      </c>
      <c r="AB675" s="269">
        <f t="shared" si="151"/>
        <v>0</v>
      </c>
      <c r="AC675" s="269">
        <f t="shared" si="152"/>
        <v>0</v>
      </c>
      <c r="AD675" s="271" t="str">
        <f>INDEX('Global inputs'!$C$134:$C$171,MATCH(F675,'Global inputs'!$B$134:$B$171,0))</f>
        <v xml:space="preserve">System growth </v>
      </c>
      <c r="AE675" s="272">
        <f>IF(OR(H675='Operating leases'!$B$32,H675='Operating leases'!$B$33),"",INDEX('Global inputs'!$C$186:$C$243,MATCH(E675,'Global inputs'!$B$186:$B$243,0)))</f>
        <v>0.1</v>
      </c>
    </row>
    <row r="676" spans="1:31" s="27" customFormat="1" x14ac:dyDescent="0.2">
      <c r="A676" s="250"/>
      <c r="B676" s="210" t="s">
        <v>746</v>
      </c>
      <c r="C676" s="210" t="s">
        <v>287</v>
      </c>
      <c r="D676" s="210" t="s">
        <v>715</v>
      </c>
      <c r="E676" s="210" t="s">
        <v>151</v>
      </c>
      <c r="F676" s="210" t="s">
        <v>86</v>
      </c>
      <c r="G676" s="210" t="s">
        <v>717</v>
      </c>
      <c r="H676" s="197">
        <v>0</v>
      </c>
      <c r="I676" s="210" t="s">
        <v>221</v>
      </c>
      <c r="J676" s="210">
        <v>2022</v>
      </c>
      <c r="K676" s="210">
        <v>2022</v>
      </c>
      <c r="L676" s="268" t="str">
        <f t="shared" si="140"/>
        <v>Simple</v>
      </c>
      <c r="M676" s="197">
        <v>42512.671749110617</v>
      </c>
      <c r="N676" s="197">
        <v>0</v>
      </c>
      <c r="O676" s="257">
        <f>IF(ISNA(MATCH(H676,'Operating leases'!$B$32:$B$43,0)),0,INDEX('Operating leases'!$M$32:$S$43,MATCH(H676,'Operating leases'!$B$32:$B$43,0),MATCH(J676,'Operating leases'!$M$11:$S$11,0)))</f>
        <v>0</v>
      </c>
      <c r="P676" s="257">
        <f t="shared" si="141"/>
        <v>42512.671749110617</v>
      </c>
      <c r="Q676" s="257">
        <f t="shared" si="142"/>
        <v>42512.671749110617</v>
      </c>
      <c r="R676" s="258">
        <f>INDEX('Escalators '!$M$124:$S$129,MATCH(I676,'Escalators '!$B$124:$B$129,0),MATCH(J676,'Escalators '!$M$113:$S$113,0))</f>
        <v>1.0272672933956697</v>
      </c>
      <c r="S676" s="257">
        <f t="shared" si="143"/>
        <v>0</v>
      </c>
      <c r="T676" s="257">
        <f t="shared" si="144"/>
        <v>0</v>
      </c>
      <c r="U676" s="269">
        <f t="shared" si="145"/>
        <v>43671.877242727416</v>
      </c>
      <c r="V676" s="269">
        <f t="shared" si="146"/>
        <v>43671.877242727416</v>
      </c>
      <c r="W676" s="269">
        <f t="shared" si="147"/>
        <v>43671.877242727416</v>
      </c>
      <c r="X676" s="257">
        <f t="shared" si="148"/>
        <v>43671.877242727416</v>
      </c>
      <c r="Y676" s="270">
        <f>IF(L676="Complex",(INDEX('Escalators '!$M$176:$S$176,MATCH('Forecast capex'!J676,'Escalators '!$M$178:$S$178,0))/12+1)^((K676-J676)*12)-1,0)</f>
        <v>0</v>
      </c>
      <c r="Z676" s="257">
        <f t="shared" si="149"/>
        <v>0</v>
      </c>
      <c r="AA676" s="257">
        <f t="shared" si="150"/>
        <v>0</v>
      </c>
      <c r="AB676" s="269">
        <f t="shared" si="151"/>
        <v>0</v>
      </c>
      <c r="AC676" s="269">
        <f t="shared" si="152"/>
        <v>0</v>
      </c>
      <c r="AD676" s="271" t="str">
        <f>INDEX('Global inputs'!$C$134:$C$171,MATCH(F676,'Global inputs'!$B$134:$B$171,0))</f>
        <v xml:space="preserve">System growth </v>
      </c>
      <c r="AE676" s="272">
        <f>IF(OR(H676='Operating leases'!$B$32,H676='Operating leases'!$B$33),"",INDEX('Global inputs'!$C$186:$C$243,MATCH(E676,'Global inputs'!$B$186:$B$243,0)))</f>
        <v>0.1</v>
      </c>
    </row>
    <row r="677" spans="1:31" s="27" customFormat="1" x14ac:dyDescent="0.2">
      <c r="A677" s="250"/>
      <c r="B677" s="210" t="s">
        <v>746</v>
      </c>
      <c r="C677" s="210" t="s">
        <v>287</v>
      </c>
      <c r="D677" s="210" t="s">
        <v>715</v>
      </c>
      <c r="E677" s="210" t="s">
        <v>153</v>
      </c>
      <c r="F677" s="210" t="s">
        <v>86</v>
      </c>
      <c r="G677" s="210" t="s">
        <v>717</v>
      </c>
      <c r="H677" s="197">
        <v>0</v>
      </c>
      <c r="I677" s="210" t="s">
        <v>229</v>
      </c>
      <c r="J677" s="210">
        <v>2022</v>
      </c>
      <c r="K677" s="210">
        <v>2022</v>
      </c>
      <c r="L677" s="268" t="str">
        <f t="shared" si="140"/>
        <v>Simple</v>
      </c>
      <c r="M677" s="197">
        <v>21256.335874555309</v>
      </c>
      <c r="N677" s="197">
        <v>0</v>
      </c>
      <c r="O677" s="257">
        <f>IF(ISNA(MATCH(H677,'Operating leases'!$B$32:$B$43,0)),0,INDEX('Operating leases'!$M$32:$S$43,MATCH(H677,'Operating leases'!$B$32:$B$43,0),MATCH(J677,'Operating leases'!$M$11:$S$11,0)))</f>
        <v>0</v>
      </c>
      <c r="P677" s="257">
        <f t="shared" si="141"/>
        <v>21256.335874555309</v>
      </c>
      <c r="Q677" s="257">
        <f t="shared" si="142"/>
        <v>21256.335874555309</v>
      </c>
      <c r="R677" s="258">
        <f>INDEX('Escalators '!$M$124:$S$129,MATCH(I677,'Escalators '!$B$124:$B$129,0),MATCH(J677,'Escalators '!$M$113:$S$113,0))</f>
        <v>1.0379818100112963</v>
      </c>
      <c r="S677" s="257">
        <f t="shared" si="143"/>
        <v>0</v>
      </c>
      <c r="T677" s="257">
        <f t="shared" si="144"/>
        <v>0</v>
      </c>
      <c r="U677" s="269">
        <f t="shared" si="145"/>
        <v>22063.689985278972</v>
      </c>
      <c r="V677" s="269">
        <f t="shared" si="146"/>
        <v>22063.689985278972</v>
      </c>
      <c r="W677" s="269">
        <f t="shared" si="147"/>
        <v>22063.689985278972</v>
      </c>
      <c r="X677" s="257">
        <f t="shared" si="148"/>
        <v>22063.689985278972</v>
      </c>
      <c r="Y677" s="270">
        <f>IF(L677="Complex",(INDEX('Escalators '!$M$176:$S$176,MATCH('Forecast capex'!J677,'Escalators '!$M$178:$S$178,0))/12+1)^((K677-J677)*12)-1,0)</f>
        <v>0</v>
      </c>
      <c r="Z677" s="257">
        <f t="shared" si="149"/>
        <v>0</v>
      </c>
      <c r="AA677" s="257">
        <f t="shared" si="150"/>
        <v>0</v>
      </c>
      <c r="AB677" s="269">
        <f t="shared" si="151"/>
        <v>0</v>
      </c>
      <c r="AC677" s="269">
        <f t="shared" si="152"/>
        <v>0</v>
      </c>
      <c r="AD677" s="271" t="str">
        <f>INDEX('Global inputs'!$C$134:$C$171,MATCH(F677,'Global inputs'!$B$134:$B$171,0))</f>
        <v xml:space="preserve">System growth </v>
      </c>
      <c r="AE677" s="272">
        <f>IF(OR(H677='Operating leases'!$B$32,H677='Operating leases'!$B$33),"",INDEX('Global inputs'!$C$186:$C$243,MATCH(E677,'Global inputs'!$B$186:$B$243,0)))</f>
        <v>0.08</v>
      </c>
    </row>
    <row r="678" spans="1:31" s="27" customFormat="1" x14ac:dyDescent="0.2">
      <c r="A678" s="250"/>
      <c r="B678" s="210" t="s">
        <v>746</v>
      </c>
      <c r="C678" s="210" t="s">
        <v>287</v>
      </c>
      <c r="D678" s="210" t="s">
        <v>715</v>
      </c>
      <c r="E678" s="210" t="s">
        <v>153</v>
      </c>
      <c r="F678" s="210" t="s">
        <v>86</v>
      </c>
      <c r="G678" s="210" t="s">
        <v>717</v>
      </c>
      <c r="H678" s="197">
        <v>0</v>
      </c>
      <c r="I678" s="210" t="s">
        <v>221</v>
      </c>
      <c r="J678" s="210">
        <v>2022</v>
      </c>
      <c r="K678" s="210">
        <v>2022</v>
      </c>
      <c r="L678" s="268" t="str">
        <f t="shared" si="140"/>
        <v>Simple</v>
      </c>
      <c r="M678" s="197">
        <v>21256.335874555309</v>
      </c>
      <c r="N678" s="197">
        <v>0</v>
      </c>
      <c r="O678" s="257">
        <f>IF(ISNA(MATCH(H678,'Operating leases'!$B$32:$B$43,0)),0,INDEX('Operating leases'!$M$32:$S$43,MATCH(H678,'Operating leases'!$B$32:$B$43,0),MATCH(J678,'Operating leases'!$M$11:$S$11,0)))</f>
        <v>0</v>
      </c>
      <c r="P678" s="257">
        <f t="shared" si="141"/>
        <v>21256.335874555309</v>
      </c>
      <c r="Q678" s="257">
        <f t="shared" si="142"/>
        <v>21256.335874555309</v>
      </c>
      <c r="R678" s="258">
        <f>INDEX('Escalators '!$M$124:$S$129,MATCH(I678,'Escalators '!$B$124:$B$129,0),MATCH(J678,'Escalators '!$M$113:$S$113,0))</f>
        <v>1.0272672933956697</v>
      </c>
      <c r="S678" s="257">
        <f t="shared" si="143"/>
        <v>0</v>
      </c>
      <c r="T678" s="257">
        <f t="shared" si="144"/>
        <v>0</v>
      </c>
      <c r="U678" s="269">
        <f t="shared" si="145"/>
        <v>21835.938621363708</v>
      </c>
      <c r="V678" s="269">
        <f t="shared" si="146"/>
        <v>21835.938621363708</v>
      </c>
      <c r="W678" s="269">
        <f t="shared" si="147"/>
        <v>21835.938621363708</v>
      </c>
      <c r="X678" s="257">
        <f t="shared" si="148"/>
        <v>21835.938621363708</v>
      </c>
      <c r="Y678" s="270">
        <f>IF(L678="Complex",(INDEX('Escalators '!$M$176:$S$176,MATCH('Forecast capex'!J678,'Escalators '!$M$178:$S$178,0))/12+1)^((K678-J678)*12)-1,0)</f>
        <v>0</v>
      </c>
      <c r="Z678" s="257">
        <f t="shared" si="149"/>
        <v>0</v>
      </c>
      <c r="AA678" s="257">
        <f t="shared" si="150"/>
        <v>0</v>
      </c>
      <c r="AB678" s="269">
        <f t="shared" si="151"/>
        <v>0</v>
      </c>
      <c r="AC678" s="269">
        <f t="shared" si="152"/>
        <v>0</v>
      </c>
      <c r="AD678" s="271" t="str">
        <f>INDEX('Global inputs'!$C$134:$C$171,MATCH(F678,'Global inputs'!$B$134:$B$171,0))</f>
        <v xml:space="preserve">System growth </v>
      </c>
      <c r="AE678" s="272">
        <f>IF(OR(H678='Operating leases'!$B$32,H678='Operating leases'!$B$33),"",INDEX('Global inputs'!$C$186:$C$243,MATCH(E678,'Global inputs'!$B$186:$B$243,0)))</f>
        <v>0.08</v>
      </c>
    </row>
    <row r="679" spans="1:31" s="27" customFormat="1" x14ac:dyDescent="0.2">
      <c r="A679" s="250"/>
      <c r="B679" s="210" t="s">
        <v>746</v>
      </c>
      <c r="C679" s="210" t="s">
        <v>287</v>
      </c>
      <c r="D679" s="210" t="s">
        <v>715</v>
      </c>
      <c r="E679" s="210" t="s">
        <v>154</v>
      </c>
      <c r="F679" s="210" t="s">
        <v>86</v>
      </c>
      <c r="G679" s="210" t="s">
        <v>717</v>
      </c>
      <c r="H679" s="197">
        <v>0</v>
      </c>
      <c r="I679" s="210" t="s">
        <v>229</v>
      </c>
      <c r="J679" s="210">
        <v>2022</v>
      </c>
      <c r="K679" s="210">
        <v>2022</v>
      </c>
      <c r="L679" s="268" t="str">
        <f t="shared" si="140"/>
        <v>Simple</v>
      </c>
      <c r="M679" s="197">
        <v>21256.335874555309</v>
      </c>
      <c r="N679" s="197">
        <v>0</v>
      </c>
      <c r="O679" s="257">
        <f>IF(ISNA(MATCH(H679,'Operating leases'!$B$32:$B$43,0)),0,INDEX('Operating leases'!$M$32:$S$43,MATCH(H679,'Operating leases'!$B$32:$B$43,0),MATCH(J679,'Operating leases'!$M$11:$S$11,0)))</f>
        <v>0</v>
      </c>
      <c r="P679" s="257">
        <f t="shared" si="141"/>
        <v>21256.335874555309</v>
      </c>
      <c r="Q679" s="257">
        <f t="shared" si="142"/>
        <v>21256.335874555309</v>
      </c>
      <c r="R679" s="258">
        <f>INDEX('Escalators '!$M$124:$S$129,MATCH(I679,'Escalators '!$B$124:$B$129,0),MATCH(J679,'Escalators '!$M$113:$S$113,0))</f>
        <v>1.0379818100112963</v>
      </c>
      <c r="S679" s="257">
        <f t="shared" si="143"/>
        <v>0</v>
      </c>
      <c r="T679" s="257">
        <f t="shared" si="144"/>
        <v>0</v>
      </c>
      <c r="U679" s="269">
        <f t="shared" si="145"/>
        <v>22063.689985278972</v>
      </c>
      <c r="V679" s="269">
        <f t="shared" si="146"/>
        <v>22063.689985278972</v>
      </c>
      <c r="W679" s="269">
        <f t="shared" si="147"/>
        <v>22063.689985278972</v>
      </c>
      <c r="X679" s="257">
        <f t="shared" si="148"/>
        <v>22063.689985278972</v>
      </c>
      <c r="Y679" s="270">
        <f>IF(L679="Complex",(INDEX('Escalators '!$M$176:$S$176,MATCH('Forecast capex'!J679,'Escalators '!$M$178:$S$178,0))/12+1)^((K679-J679)*12)-1,0)</f>
        <v>0</v>
      </c>
      <c r="Z679" s="257">
        <f t="shared" si="149"/>
        <v>0</v>
      </c>
      <c r="AA679" s="257">
        <f t="shared" si="150"/>
        <v>0</v>
      </c>
      <c r="AB679" s="269">
        <f t="shared" si="151"/>
        <v>0</v>
      </c>
      <c r="AC679" s="269">
        <f t="shared" si="152"/>
        <v>0</v>
      </c>
      <c r="AD679" s="271" t="str">
        <f>INDEX('Global inputs'!$C$134:$C$171,MATCH(F679,'Global inputs'!$B$134:$B$171,0))</f>
        <v xml:space="preserve">System growth </v>
      </c>
      <c r="AE679" s="272">
        <f>IF(OR(H679='Operating leases'!$B$32,H679='Operating leases'!$B$33),"",INDEX('Global inputs'!$C$186:$C$243,MATCH(E679,'Global inputs'!$B$186:$B$243,0)))</f>
        <v>0.1</v>
      </c>
    </row>
    <row r="680" spans="1:31" s="27" customFormat="1" x14ac:dyDescent="0.2">
      <c r="A680" s="250"/>
      <c r="B680" s="210" t="s">
        <v>746</v>
      </c>
      <c r="C680" s="210" t="s">
        <v>287</v>
      </c>
      <c r="D680" s="210" t="s">
        <v>715</v>
      </c>
      <c r="E680" s="210" t="s">
        <v>154</v>
      </c>
      <c r="F680" s="210" t="s">
        <v>86</v>
      </c>
      <c r="G680" s="210" t="s">
        <v>717</v>
      </c>
      <c r="H680" s="197">
        <v>0</v>
      </c>
      <c r="I680" s="210" t="s">
        <v>221</v>
      </c>
      <c r="J680" s="210">
        <v>2022</v>
      </c>
      <c r="K680" s="210">
        <v>2022</v>
      </c>
      <c r="L680" s="268" t="str">
        <f t="shared" si="140"/>
        <v>Simple</v>
      </c>
      <c r="M680" s="197">
        <v>21256.335874555309</v>
      </c>
      <c r="N680" s="197">
        <v>0</v>
      </c>
      <c r="O680" s="257">
        <f>IF(ISNA(MATCH(H680,'Operating leases'!$B$32:$B$43,0)),0,INDEX('Operating leases'!$M$32:$S$43,MATCH(H680,'Operating leases'!$B$32:$B$43,0),MATCH(J680,'Operating leases'!$M$11:$S$11,0)))</f>
        <v>0</v>
      </c>
      <c r="P680" s="257">
        <f t="shared" si="141"/>
        <v>21256.335874555309</v>
      </c>
      <c r="Q680" s="257">
        <f t="shared" si="142"/>
        <v>21256.335874555309</v>
      </c>
      <c r="R680" s="258">
        <f>INDEX('Escalators '!$M$124:$S$129,MATCH(I680,'Escalators '!$B$124:$B$129,0),MATCH(J680,'Escalators '!$M$113:$S$113,0))</f>
        <v>1.0272672933956697</v>
      </c>
      <c r="S680" s="257">
        <f t="shared" si="143"/>
        <v>0</v>
      </c>
      <c r="T680" s="257">
        <f t="shared" si="144"/>
        <v>0</v>
      </c>
      <c r="U680" s="269">
        <f t="shared" si="145"/>
        <v>21835.938621363708</v>
      </c>
      <c r="V680" s="269">
        <f t="shared" si="146"/>
        <v>21835.938621363708</v>
      </c>
      <c r="W680" s="269">
        <f t="shared" si="147"/>
        <v>21835.938621363708</v>
      </c>
      <c r="X680" s="257">
        <f t="shared" si="148"/>
        <v>21835.938621363708</v>
      </c>
      <c r="Y680" s="270">
        <f>IF(L680="Complex",(INDEX('Escalators '!$M$176:$S$176,MATCH('Forecast capex'!J680,'Escalators '!$M$178:$S$178,0))/12+1)^((K680-J680)*12)-1,0)</f>
        <v>0</v>
      </c>
      <c r="Z680" s="257">
        <f t="shared" si="149"/>
        <v>0</v>
      </c>
      <c r="AA680" s="257">
        <f t="shared" si="150"/>
        <v>0</v>
      </c>
      <c r="AB680" s="269">
        <f t="shared" si="151"/>
        <v>0</v>
      </c>
      <c r="AC680" s="269">
        <f t="shared" si="152"/>
        <v>0</v>
      </c>
      <c r="AD680" s="271" t="str">
        <f>INDEX('Global inputs'!$C$134:$C$171,MATCH(F680,'Global inputs'!$B$134:$B$171,0))</f>
        <v xml:space="preserve">System growth </v>
      </c>
      <c r="AE680" s="272">
        <f>IF(OR(H680='Operating leases'!$B$32,H680='Operating leases'!$B$33),"",INDEX('Global inputs'!$C$186:$C$243,MATCH(E680,'Global inputs'!$B$186:$B$243,0)))</f>
        <v>0.1</v>
      </c>
    </row>
    <row r="681" spans="1:31" s="27" customFormat="1" x14ac:dyDescent="0.2">
      <c r="A681" s="250"/>
      <c r="B681" s="210" t="s">
        <v>746</v>
      </c>
      <c r="C681" s="210" t="s">
        <v>290</v>
      </c>
      <c r="D681" s="210" t="s">
        <v>718</v>
      </c>
      <c r="E681" s="210" t="s">
        <v>169</v>
      </c>
      <c r="F681" s="210" t="s">
        <v>86</v>
      </c>
      <c r="G681" s="210" t="s">
        <v>720</v>
      </c>
      <c r="H681" s="197">
        <v>0</v>
      </c>
      <c r="I681" s="210" t="s">
        <v>229</v>
      </c>
      <c r="J681" s="210">
        <v>2022</v>
      </c>
      <c r="K681" s="210">
        <v>2022</v>
      </c>
      <c r="L681" s="268" t="str">
        <f t="shared" si="140"/>
        <v>Simple</v>
      </c>
      <c r="M681" s="197">
        <v>68020.274798576982</v>
      </c>
      <c r="N681" s="197">
        <v>0</v>
      </c>
      <c r="O681" s="257">
        <f>IF(ISNA(MATCH(H681,'Operating leases'!$B$32:$B$43,0)),0,INDEX('Operating leases'!$M$32:$S$43,MATCH(H681,'Operating leases'!$B$32:$B$43,0),MATCH(J681,'Operating leases'!$M$11:$S$11,0)))</f>
        <v>0</v>
      </c>
      <c r="P681" s="257">
        <f t="shared" si="141"/>
        <v>68020.274798576982</v>
      </c>
      <c r="Q681" s="257">
        <f t="shared" si="142"/>
        <v>68020.274798576982</v>
      </c>
      <c r="R681" s="258">
        <f>INDEX('Escalators '!$M$124:$S$129,MATCH(I681,'Escalators '!$B$124:$B$129,0),MATCH(J681,'Escalators '!$M$113:$S$113,0))</f>
        <v>1.0379818100112963</v>
      </c>
      <c r="S681" s="257">
        <f t="shared" si="143"/>
        <v>0</v>
      </c>
      <c r="T681" s="257">
        <f t="shared" si="144"/>
        <v>0</v>
      </c>
      <c r="U681" s="269">
        <f t="shared" si="145"/>
        <v>70603.807952892705</v>
      </c>
      <c r="V681" s="269">
        <f t="shared" si="146"/>
        <v>70603.807952892705</v>
      </c>
      <c r="W681" s="269">
        <f t="shared" si="147"/>
        <v>70603.807952892705</v>
      </c>
      <c r="X681" s="257">
        <f t="shared" si="148"/>
        <v>70603.807952892705</v>
      </c>
      <c r="Y681" s="270">
        <f>IF(L681="Complex",(INDEX('Escalators '!$M$176:$S$176,MATCH('Forecast capex'!J681,'Escalators '!$M$178:$S$178,0))/12+1)^((K681-J681)*12)-1,0)</f>
        <v>0</v>
      </c>
      <c r="Z681" s="257">
        <f t="shared" si="149"/>
        <v>0</v>
      </c>
      <c r="AA681" s="257">
        <f t="shared" si="150"/>
        <v>0</v>
      </c>
      <c r="AB681" s="269">
        <f t="shared" si="151"/>
        <v>0</v>
      </c>
      <c r="AC681" s="269">
        <f t="shared" si="152"/>
        <v>0</v>
      </c>
      <c r="AD681" s="271" t="str">
        <f>INDEX('Global inputs'!$C$134:$C$171,MATCH(F681,'Global inputs'!$B$134:$B$171,0))</f>
        <v xml:space="preserve">System growth </v>
      </c>
      <c r="AE681" s="272">
        <f>IF(OR(H681='Operating leases'!$B$32,H681='Operating leases'!$B$33),"",INDEX('Global inputs'!$C$186:$C$243,MATCH(E681,'Global inputs'!$B$186:$B$243,0)))</f>
        <v>0.08</v>
      </c>
    </row>
    <row r="682" spans="1:31" s="27" customFormat="1" x14ac:dyDescent="0.2">
      <c r="A682" s="250"/>
      <c r="B682" s="210" t="s">
        <v>746</v>
      </c>
      <c r="C682" s="210" t="s">
        <v>290</v>
      </c>
      <c r="D682" s="210" t="s">
        <v>718</v>
      </c>
      <c r="E682" s="210" t="s">
        <v>169</v>
      </c>
      <c r="F682" s="210" t="s">
        <v>86</v>
      </c>
      <c r="G682" s="210" t="s">
        <v>720</v>
      </c>
      <c r="H682" s="197">
        <v>0</v>
      </c>
      <c r="I682" s="210" t="s">
        <v>221</v>
      </c>
      <c r="J682" s="210">
        <v>2022</v>
      </c>
      <c r="K682" s="210">
        <v>2022</v>
      </c>
      <c r="L682" s="268" t="str">
        <f t="shared" si="140"/>
        <v>Simple</v>
      </c>
      <c r="M682" s="197">
        <v>45346.849865717995</v>
      </c>
      <c r="N682" s="197">
        <v>0</v>
      </c>
      <c r="O682" s="257">
        <f>IF(ISNA(MATCH(H682,'Operating leases'!$B$32:$B$43,0)),0,INDEX('Operating leases'!$M$32:$S$43,MATCH(H682,'Operating leases'!$B$32:$B$43,0),MATCH(J682,'Operating leases'!$M$11:$S$11,0)))</f>
        <v>0</v>
      </c>
      <c r="P682" s="257">
        <f t="shared" si="141"/>
        <v>45346.849865717995</v>
      </c>
      <c r="Q682" s="257">
        <f t="shared" si="142"/>
        <v>45346.849865717995</v>
      </c>
      <c r="R682" s="258">
        <f>INDEX('Escalators '!$M$124:$S$129,MATCH(I682,'Escalators '!$B$124:$B$129,0),MATCH(J682,'Escalators '!$M$113:$S$113,0))</f>
        <v>1.0272672933956697</v>
      </c>
      <c r="S682" s="257">
        <f t="shared" si="143"/>
        <v>0</v>
      </c>
      <c r="T682" s="257">
        <f t="shared" si="144"/>
        <v>0</v>
      </c>
      <c r="U682" s="269">
        <f t="shared" si="145"/>
        <v>46583.335725575911</v>
      </c>
      <c r="V682" s="269">
        <f t="shared" si="146"/>
        <v>46583.335725575911</v>
      </c>
      <c r="W682" s="269">
        <f t="shared" si="147"/>
        <v>46583.335725575911</v>
      </c>
      <c r="X682" s="257">
        <f t="shared" si="148"/>
        <v>46583.335725575911</v>
      </c>
      <c r="Y682" s="270">
        <f>IF(L682="Complex",(INDEX('Escalators '!$M$176:$S$176,MATCH('Forecast capex'!J682,'Escalators '!$M$178:$S$178,0))/12+1)^((K682-J682)*12)-1,0)</f>
        <v>0</v>
      </c>
      <c r="Z682" s="257">
        <f t="shared" si="149"/>
        <v>0</v>
      </c>
      <c r="AA682" s="257">
        <f t="shared" si="150"/>
        <v>0</v>
      </c>
      <c r="AB682" s="269">
        <f t="shared" si="151"/>
        <v>0</v>
      </c>
      <c r="AC682" s="269">
        <f t="shared" si="152"/>
        <v>0</v>
      </c>
      <c r="AD682" s="271" t="str">
        <f>INDEX('Global inputs'!$C$134:$C$171,MATCH(F682,'Global inputs'!$B$134:$B$171,0))</f>
        <v xml:space="preserve">System growth </v>
      </c>
      <c r="AE682" s="272">
        <f>IF(OR(H682='Operating leases'!$B$32,H682='Operating leases'!$B$33),"",INDEX('Global inputs'!$C$186:$C$243,MATCH(E682,'Global inputs'!$B$186:$B$243,0)))</f>
        <v>0.08</v>
      </c>
    </row>
    <row r="683" spans="1:31" s="27" customFormat="1" x14ac:dyDescent="0.2">
      <c r="A683" s="250"/>
      <c r="B683" s="210" t="s">
        <v>746</v>
      </c>
      <c r="C683" s="210" t="s">
        <v>290</v>
      </c>
      <c r="D683" s="210" t="s">
        <v>718</v>
      </c>
      <c r="E683" s="210" t="s">
        <v>171</v>
      </c>
      <c r="F683" s="210" t="s">
        <v>86</v>
      </c>
      <c r="G683" s="210" t="s">
        <v>743</v>
      </c>
      <c r="H683" s="197">
        <v>0</v>
      </c>
      <c r="I683" s="210" t="s">
        <v>229</v>
      </c>
      <c r="J683" s="210">
        <v>2022</v>
      </c>
      <c r="K683" s="210">
        <v>2022</v>
      </c>
      <c r="L683" s="268" t="str">
        <f t="shared" si="140"/>
        <v>Simple</v>
      </c>
      <c r="M683" s="197">
        <v>51015.206098932736</v>
      </c>
      <c r="N683" s="197">
        <v>0</v>
      </c>
      <c r="O683" s="257">
        <f>IF(ISNA(MATCH(H683,'Operating leases'!$B$32:$B$43,0)),0,INDEX('Operating leases'!$M$32:$S$43,MATCH(H683,'Operating leases'!$B$32:$B$43,0),MATCH(J683,'Operating leases'!$M$11:$S$11,0)))</f>
        <v>0</v>
      </c>
      <c r="P683" s="257">
        <f t="shared" si="141"/>
        <v>51015.206098932736</v>
      </c>
      <c r="Q683" s="257">
        <f t="shared" si="142"/>
        <v>51015.206098932736</v>
      </c>
      <c r="R683" s="258">
        <f>INDEX('Escalators '!$M$124:$S$129,MATCH(I683,'Escalators '!$B$124:$B$129,0),MATCH(J683,'Escalators '!$M$113:$S$113,0))</f>
        <v>1.0379818100112963</v>
      </c>
      <c r="S683" s="257">
        <f t="shared" si="143"/>
        <v>0</v>
      </c>
      <c r="T683" s="257">
        <f t="shared" si="144"/>
        <v>0</v>
      </c>
      <c r="U683" s="269">
        <f t="shared" si="145"/>
        <v>52952.855964669521</v>
      </c>
      <c r="V683" s="269">
        <f t="shared" si="146"/>
        <v>52952.855964669521</v>
      </c>
      <c r="W683" s="269">
        <f t="shared" si="147"/>
        <v>52952.855964669521</v>
      </c>
      <c r="X683" s="257">
        <f t="shared" si="148"/>
        <v>52952.855964669521</v>
      </c>
      <c r="Y683" s="270">
        <f>IF(L683="Complex",(INDEX('Escalators '!$M$176:$S$176,MATCH('Forecast capex'!J683,'Escalators '!$M$178:$S$178,0))/12+1)^((K683-J683)*12)-1,0)</f>
        <v>0</v>
      </c>
      <c r="Z683" s="257">
        <f t="shared" si="149"/>
        <v>0</v>
      </c>
      <c r="AA683" s="257">
        <f t="shared" si="150"/>
        <v>0</v>
      </c>
      <c r="AB683" s="269">
        <f t="shared" si="151"/>
        <v>0</v>
      </c>
      <c r="AC683" s="269">
        <f t="shared" si="152"/>
        <v>0</v>
      </c>
      <c r="AD683" s="271" t="str">
        <f>INDEX('Global inputs'!$C$134:$C$171,MATCH(F683,'Global inputs'!$B$134:$B$171,0))</f>
        <v xml:space="preserve">System growth </v>
      </c>
      <c r="AE683" s="272">
        <f>IF(OR(H683='Operating leases'!$B$32,H683='Operating leases'!$B$33),"",INDEX('Global inputs'!$C$186:$C$243,MATCH(E683,'Global inputs'!$B$186:$B$243,0)))</f>
        <v>0.08</v>
      </c>
    </row>
    <row r="684" spans="1:31" s="27" customFormat="1" x14ac:dyDescent="0.2">
      <c r="A684" s="250"/>
      <c r="B684" s="210" t="s">
        <v>746</v>
      </c>
      <c r="C684" s="210" t="s">
        <v>290</v>
      </c>
      <c r="D684" s="210" t="s">
        <v>718</v>
      </c>
      <c r="E684" s="210" t="s">
        <v>171</v>
      </c>
      <c r="F684" s="210" t="s">
        <v>86</v>
      </c>
      <c r="G684" s="210" t="s">
        <v>743</v>
      </c>
      <c r="H684" s="197">
        <v>0</v>
      </c>
      <c r="I684" s="210" t="s">
        <v>221</v>
      </c>
      <c r="J684" s="210">
        <v>2022</v>
      </c>
      <c r="K684" s="210">
        <v>2022</v>
      </c>
      <c r="L684" s="268" t="str">
        <f t="shared" si="140"/>
        <v>Simple</v>
      </c>
      <c r="M684" s="197">
        <v>34010.137399288498</v>
      </c>
      <c r="N684" s="197">
        <v>0</v>
      </c>
      <c r="O684" s="257">
        <f>IF(ISNA(MATCH(H684,'Operating leases'!$B$32:$B$43,0)),0,INDEX('Operating leases'!$M$32:$S$43,MATCH(H684,'Operating leases'!$B$32:$B$43,0),MATCH(J684,'Operating leases'!$M$11:$S$11,0)))</f>
        <v>0</v>
      </c>
      <c r="P684" s="257">
        <f t="shared" si="141"/>
        <v>34010.137399288498</v>
      </c>
      <c r="Q684" s="257">
        <f t="shared" si="142"/>
        <v>34010.137399288498</v>
      </c>
      <c r="R684" s="258">
        <f>INDEX('Escalators '!$M$124:$S$129,MATCH(I684,'Escalators '!$B$124:$B$129,0),MATCH(J684,'Escalators '!$M$113:$S$113,0))</f>
        <v>1.0272672933956697</v>
      </c>
      <c r="S684" s="257">
        <f t="shared" si="143"/>
        <v>0</v>
      </c>
      <c r="T684" s="257">
        <f t="shared" si="144"/>
        <v>0</v>
      </c>
      <c r="U684" s="269">
        <f t="shared" si="145"/>
        <v>34937.501794181939</v>
      </c>
      <c r="V684" s="269">
        <f t="shared" si="146"/>
        <v>34937.501794181939</v>
      </c>
      <c r="W684" s="269">
        <f t="shared" si="147"/>
        <v>34937.501794181939</v>
      </c>
      <c r="X684" s="257">
        <f t="shared" si="148"/>
        <v>34937.501794181939</v>
      </c>
      <c r="Y684" s="270">
        <f>IF(L684="Complex",(INDEX('Escalators '!$M$176:$S$176,MATCH('Forecast capex'!J684,'Escalators '!$M$178:$S$178,0))/12+1)^((K684-J684)*12)-1,0)</f>
        <v>0</v>
      </c>
      <c r="Z684" s="257">
        <f t="shared" si="149"/>
        <v>0</v>
      </c>
      <c r="AA684" s="257">
        <f t="shared" si="150"/>
        <v>0</v>
      </c>
      <c r="AB684" s="269">
        <f t="shared" si="151"/>
        <v>0</v>
      </c>
      <c r="AC684" s="269">
        <f t="shared" si="152"/>
        <v>0</v>
      </c>
      <c r="AD684" s="271" t="str">
        <f>INDEX('Global inputs'!$C$134:$C$171,MATCH(F684,'Global inputs'!$B$134:$B$171,0))</f>
        <v xml:space="preserve">System growth </v>
      </c>
      <c r="AE684" s="272">
        <f>IF(OR(H684='Operating leases'!$B$32,H684='Operating leases'!$B$33),"",INDEX('Global inputs'!$C$186:$C$243,MATCH(E684,'Global inputs'!$B$186:$B$243,0)))</f>
        <v>0.08</v>
      </c>
    </row>
    <row r="685" spans="1:31" s="27" customFormat="1" x14ac:dyDescent="0.2">
      <c r="A685" s="250"/>
      <c r="B685" s="210" t="s">
        <v>746</v>
      </c>
      <c r="C685" s="210" t="s">
        <v>290</v>
      </c>
      <c r="D685" s="210" t="s">
        <v>718</v>
      </c>
      <c r="E685" s="210" t="s">
        <v>170</v>
      </c>
      <c r="F685" s="210" t="s">
        <v>86</v>
      </c>
      <c r="G685" s="210" t="s">
        <v>721</v>
      </c>
      <c r="H685" s="197">
        <v>0</v>
      </c>
      <c r="I685" s="210" t="s">
        <v>229</v>
      </c>
      <c r="J685" s="210">
        <v>2022</v>
      </c>
      <c r="K685" s="210">
        <v>2022</v>
      </c>
      <c r="L685" s="268" t="str">
        <f t="shared" si="140"/>
        <v>Simple</v>
      </c>
      <c r="M685" s="197">
        <v>99196.234081258124</v>
      </c>
      <c r="N685" s="197">
        <v>0</v>
      </c>
      <c r="O685" s="257">
        <f>IF(ISNA(MATCH(H685,'Operating leases'!$B$32:$B$43,0)),0,INDEX('Operating leases'!$M$32:$S$43,MATCH(H685,'Operating leases'!$B$32:$B$43,0),MATCH(J685,'Operating leases'!$M$11:$S$11,0)))</f>
        <v>0</v>
      </c>
      <c r="P685" s="257">
        <f t="shared" si="141"/>
        <v>99196.234081258124</v>
      </c>
      <c r="Q685" s="257">
        <f t="shared" si="142"/>
        <v>99196.234081258124</v>
      </c>
      <c r="R685" s="258">
        <f>INDEX('Escalators '!$M$124:$S$129,MATCH(I685,'Escalators '!$B$124:$B$129,0),MATCH(J685,'Escalators '!$M$113:$S$113,0))</f>
        <v>1.0379818100112963</v>
      </c>
      <c r="S685" s="257">
        <f t="shared" si="143"/>
        <v>0</v>
      </c>
      <c r="T685" s="257">
        <f t="shared" si="144"/>
        <v>0</v>
      </c>
      <c r="U685" s="269">
        <f t="shared" si="145"/>
        <v>102963.88659796855</v>
      </c>
      <c r="V685" s="269">
        <f t="shared" si="146"/>
        <v>102963.88659796855</v>
      </c>
      <c r="W685" s="269">
        <f t="shared" si="147"/>
        <v>102963.88659796855</v>
      </c>
      <c r="X685" s="257">
        <f t="shared" si="148"/>
        <v>102963.88659796855</v>
      </c>
      <c r="Y685" s="270">
        <f>IF(L685="Complex",(INDEX('Escalators '!$M$176:$S$176,MATCH('Forecast capex'!J685,'Escalators '!$M$178:$S$178,0))/12+1)^((K685-J685)*12)-1,0)</f>
        <v>0</v>
      </c>
      <c r="Z685" s="257">
        <f t="shared" si="149"/>
        <v>0</v>
      </c>
      <c r="AA685" s="257">
        <f t="shared" si="150"/>
        <v>0</v>
      </c>
      <c r="AB685" s="269">
        <f t="shared" si="151"/>
        <v>0</v>
      </c>
      <c r="AC685" s="269">
        <f t="shared" si="152"/>
        <v>0</v>
      </c>
      <c r="AD685" s="271" t="str">
        <f>INDEX('Global inputs'!$C$134:$C$171,MATCH(F685,'Global inputs'!$B$134:$B$171,0))</f>
        <v xml:space="preserve">System growth </v>
      </c>
      <c r="AE685" s="272">
        <f>IF(OR(H685='Operating leases'!$B$32,H685='Operating leases'!$B$33),"",INDEX('Global inputs'!$C$186:$C$243,MATCH(E685,'Global inputs'!$B$186:$B$243,0)))</f>
        <v>0.08</v>
      </c>
    </row>
    <row r="686" spans="1:31" s="27" customFormat="1" x14ac:dyDescent="0.2">
      <c r="A686" s="250"/>
      <c r="B686" s="210" t="s">
        <v>746</v>
      </c>
      <c r="C686" s="210" t="s">
        <v>290</v>
      </c>
      <c r="D686" s="210" t="s">
        <v>718</v>
      </c>
      <c r="E686" s="210" t="s">
        <v>170</v>
      </c>
      <c r="F686" s="210" t="s">
        <v>86</v>
      </c>
      <c r="G686" s="210" t="s">
        <v>721</v>
      </c>
      <c r="H686" s="197">
        <v>0</v>
      </c>
      <c r="I686" s="210" t="s">
        <v>221</v>
      </c>
      <c r="J686" s="210">
        <v>2022</v>
      </c>
      <c r="K686" s="210">
        <v>2022</v>
      </c>
      <c r="L686" s="268" t="str">
        <f t="shared" si="140"/>
        <v>Simple</v>
      </c>
      <c r="M686" s="197">
        <v>99196.234081258124</v>
      </c>
      <c r="N686" s="197">
        <v>0</v>
      </c>
      <c r="O686" s="257">
        <f>IF(ISNA(MATCH(H686,'Operating leases'!$B$32:$B$43,0)),0,INDEX('Operating leases'!$M$32:$S$43,MATCH(H686,'Operating leases'!$B$32:$B$43,0),MATCH(J686,'Operating leases'!$M$11:$S$11,0)))</f>
        <v>0</v>
      </c>
      <c r="P686" s="257">
        <f t="shared" si="141"/>
        <v>99196.234081258124</v>
      </c>
      <c r="Q686" s="257">
        <f t="shared" si="142"/>
        <v>99196.234081258124</v>
      </c>
      <c r="R686" s="258">
        <f>INDEX('Escalators '!$M$124:$S$129,MATCH(I686,'Escalators '!$B$124:$B$129,0),MATCH(J686,'Escalators '!$M$113:$S$113,0))</f>
        <v>1.0272672933956697</v>
      </c>
      <c r="S686" s="257">
        <f t="shared" si="143"/>
        <v>0</v>
      </c>
      <c r="T686" s="257">
        <f t="shared" si="144"/>
        <v>0</v>
      </c>
      <c r="U686" s="269">
        <f t="shared" si="145"/>
        <v>101901.04689969732</v>
      </c>
      <c r="V686" s="269">
        <f t="shared" si="146"/>
        <v>101901.04689969732</v>
      </c>
      <c r="W686" s="269">
        <f t="shared" si="147"/>
        <v>101901.04689969732</v>
      </c>
      <c r="X686" s="257">
        <f t="shared" si="148"/>
        <v>101901.04689969732</v>
      </c>
      <c r="Y686" s="270">
        <f>IF(L686="Complex",(INDEX('Escalators '!$M$176:$S$176,MATCH('Forecast capex'!J686,'Escalators '!$M$178:$S$178,0))/12+1)^((K686-J686)*12)-1,0)</f>
        <v>0</v>
      </c>
      <c r="Z686" s="257">
        <f t="shared" si="149"/>
        <v>0</v>
      </c>
      <c r="AA686" s="257">
        <f t="shared" si="150"/>
        <v>0</v>
      </c>
      <c r="AB686" s="269">
        <f t="shared" si="151"/>
        <v>0</v>
      </c>
      <c r="AC686" s="269">
        <f t="shared" si="152"/>
        <v>0</v>
      </c>
      <c r="AD686" s="271" t="str">
        <f>INDEX('Global inputs'!$C$134:$C$171,MATCH(F686,'Global inputs'!$B$134:$B$171,0))</f>
        <v xml:space="preserve">System growth </v>
      </c>
      <c r="AE686" s="272">
        <f>IF(OR(H686='Operating leases'!$B$32,H686='Operating leases'!$B$33),"",INDEX('Global inputs'!$C$186:$C$243,MATCH(E686,'Global inputs'!$B$186:$B$243,0)))</f>
        <v>0.08</v>
      </c>
    </row>
    <row r="687" spans="1:31" s="27" customFormat="1" x14ac:dyDescent="0.2">
      <c r="A687" s="250"/>
      <c r="B687" s="210" t="s">
        <v>746</v>
      </c>
      <c r="C687" s="210" t="s">
        <v>288</v>
      </c>
      <c r="D687" s="210" t="s">
        <v>718</v>
      </c>
      <c r="E687" s="210" t="s">
        <v>160</v>
      </c>
      <c r="F687" s="210" t="s">
        <v>86</v>
      </c>
      <c r="G687" s="210" t="s">
        <v>722</v>
      </c>
      <c r="H687" s="197">
        <v>0</v>
      </c>
      <c r="I687" s="210" t="s">
        <v>229</v>
      </c>
      <c r="J687" s="210">
        <v>2022</v>
      </c>
      <c r="K687" s="210">
        <v>2022</v>
      </c>
      <c r="L687" s="268" t="str">
        <f t="shared" si="140"/>
        <v>Simple</v>
      </c>
      <c r="M687" s="197">
        <v>14170.890583036873</v>
      </c>
      <c r="N687" s="197">
        <v>0</v>
      </c>
      <c r="O687" s="257">
        <f>IF(ISNA(MATCH(H687,'Operating leases'!$B$32:$B$43,0)),0,INDEX('Operating leases'!$M$32:$S$43,MATCH(H687,'Operating leases'!$B$32:$B$43,0),MATCH(J687,'Operating leases'!$M$11:$S$11,0)))</f>
        <v>0</v>
      </c>
      <c r="P687" s="257">
        <f t="shared" si="141"/>
        <v>14170.890583036873</v>
      </c>
      <c r="Q687" s="257">
        <f t="shared" si="142"/>
        <v>14170.890583036873</v>
      </c>
      <c r="R687" s="258">
        <f>INDEX('Escalators '!$M$124:$S$129,MATCH(I687,'Escalators '!$B$124:$B$129,0),MATCH(J687,'Escalators '!$M$113:$S$113,0))</f>
        <v>1.0379818100112963</v>
      </c>
      <c r="S687" s="257">
        <f t="shared" si="143"/>
        <v>0</v>
      </c>
      <c r="T687" s="257">
        <f t="shared" si="144"/>
        <v>0</v>
      </c>
      <c r="U687" s="269">
        <f t="shared" si="145"/>
        <v>14709.126656852648</v>
      </c>
      <c r="V687" s="269">
        <f t="shared" si="146"/>
        <v>14709.126656852648</v>
      </c>
      <c r="W687" s="269">
        <f t="shared" si="147"/>
        <v>14709.126656852648</v>
      </c>
      <c r="X687" s="257">
        <f t="shared" si="148"/>
        <v>14709.126656852648</v>
      </c>
      <c r="Y687" s="270">
        <f>IF(L687="Complex",(INDEX('Escalators '!$M$176:$S$176,MATCH('Forecast capex'!J687,'Escalators '!$M$178:$S$178,0))/12+1)^((K687-J687)*12)-1,0)</f>
        <v>0</v>
      </c>
      <c r="Z687" s="257">
        <f t="shared" si="149"/>
        <v>0</v>
      </c>
      <c r="AA687" s="257">
        <f t="shared" si="150"/>
        <v>0</v>
      </c>
      <c r="AB687" s="269">
        <f t="shared" si="151"/>
        <v>0</v>
      </c>
      <c r="AC687" s="269">
        <f t="shared" si="152"/>
        <v>0</v>
      </c>
      <c r="AD687" s="271" t="str">
        <f>INDEX('Global inputs'!$C$134:$C$171,MATCH(F687,'Global inputs'!$B$134:$B$171,0))</f>
        <v xml:space="preserve">System growth </v>
      </c>
      <c r="AE687" s="272">
        <f>IF(OR(H687='Operating leases'!$B$32,H687='Operating leases'!$B$33),"",INDEX('Global inputs'!$C$186:$C$243,MATCH(E687,'Global inputs'!$B$186:$B$243,0)))</f>
        <v>0.08</v>
      </c>
    </row>
    <row r="688" spans="1:31" s="27" customFormat="1" x14ac:dyDescent="0.2">
      <c r="A688" s="250"/>
      <c r="B688" s="210" t="s">
        <v>746</v>
      </c>
      <c r="C688" s="210" t="s">
        <v>288</v>
      </c>
      <c r="D688" s="210" t="s">
        <v>718</v>
      </c>
      <c r="E688" s="210" t="s">
        <v>160</v>
      </c>
      <c r="F688" s="210" t="s">
        <v>86</v>
      </c>
      <c r="G688" s="210" t="s">
        <v>722</v>
      </c>
      <c r="H688" s="197">
        <v>0</v>
      </c>
      <c r="I688" s="210" t="s">
        <v>221</v>
      </c>
      <c r="J688" s="210">
        <v>2022</v>
      </c>
      <c r="K688" s="210">
        <v>2022</v>
      </c>
      <c r="L688" s="268" t="str">
        <f t="shared" si="140"/>
        <v>Simple</v>
      </c>
      <c r="M688" s="197">
        <v>14170.890583036873</v>
      </c>
      <c r="N688" s="197">
        <v>0</v>
      </c>
      <c r="O688" s="257">
        <f>IF(ISNA(MATCH(H688,'Operating leases'!$B$32:$B$43,0)),0,INDEX('Operating leases'!$M$32:$S$43,MATCH(H688,'Operating leases'!$B$32:$B$43,0),MATCH(J688,'Operating leases'!$M$11:$S$11,0)))</f>
        <v>0</v>
      </c>
      <c r="P688" s="257">
        <f t="shared" si="141"/>
        <v>14170.890583036873</v>
      </c>
      <c r="Q688" s="257">
        <f t="shared" si="142"/>
        <v>14170.890583036873</v>
      </c>
      <c r="R688" s="258">
        <f>INDEX('Escalators '!$M$124:$S$129,MATCH(I688,'Escalators '!$B$124:$B$129,0),MATCH(J688,'Escalators '!$M$113:$S$113,0))</f>
        <v>1.0272672933956697</v>
      </c>
      <c r="S688" s="257">
        <f t="shared" si="143"/>
        <v>0</v>
      </c>
      <c r="T688" s="257">
        <f t="shared" si="144"/>
        <v>0</v>
      </c>
      <c r="U688" s="269">
        <f t="shared" si="145"/>
        <v>14557.292414242473</v>
      </c>
      <c r="V688" s="269">
        <f t="shared" si="146"/>
        <v>14557.292414242473</v>
      </c>
      <c r="W688" s="269">
        <f t="shared" si="147"/>
        <v>14557.292414242473</v>
      </c>
      <c r="X688" s="257">
        <f t="shared" si="148"/>
        <v>14557.292414242473</v>
      </c>
      <c r="Y688" s="270">
        <f>IF(L688="Complex",(INDEX('Escalators '!$M$176:$S$176,MATCH('Forecast capex'!J688,'Escalators '!$M$178:$S$178,0))/12+1)^((K688-J688)*12)-1,0)</f>
        <v>0</v>
      </c>
      <c r="Z688" s="257">
        <f t="shared" si="149"/>
        <v>0</v>
      </c>
      <c r="AA688" s="257">
        <f t="shared" si="150"/>
        <v>0</v>
      </c>
      <c r="AB688" s="269">
        <f t="shared" si="151"/>
        <v>0</v>
      </c>
      <c r="AC688" s="269">
        <f t="shared" si="152"/>
        <v>0</v>
      </c>
      <c r="AD688" s="271" t="str">
        <f>INDEX('Global inputs'!$C$134:$C$171,MATCH(F688,'Global inputs'!$B$134:$B$171,0))</f>
        <v xml:space="preserve">System growth </v>
      </c>
      <c r="AE688" s="272">
        <f>IF(OR(H688='Operating leases'!$B$32,H688='Operating leases'!$B$33),"",INDEX('Global inputs'!$C$186:$C$243,MATCH(E688,'Global inputs'!$B$186:$B$243,0)))</f>
        <v>0.08</v>
      </c>
    </row>
    <row r="689" spans="1:31" s="27" customFormat="1" x14ac:dyDescent="0.2">
      <c r="A689" s="250"/>
      <c r="B689" s="210" t="s">
        <v>746</v>
      </c>
      <c r="C689" s="210" t="s">
        <v>289</v>
      </c>
      <c r="D689" s="210" t="s">
        <v>723</v>
      </c>
      <c r="E689" s="210" t="s">
        <v>164</v>
      </c>
      <c r="F689" s="210" t="s">
        <v>86</v>
      </c>
      <c r="G689" s="210" t="s">
        <v>724</v>
      </c>
      <c r="H689" s="197">
        <v>0</v>
      </c>
      <c r="I689" s="210" t="s">
        <v>139</v>
      </c>
      <c r="J689" s="210">
        <v>2022</v>
      </c>
      <c r="K689" s="210">
        <v>2022</v>
      </c>
      <c r="L689" s="268" t="str">
        <f t="shared" si="140"/>
        <v>Simple</v>
      </c>
      <c r="M689" s="197">
        <v>226734.24932859</v>
      </c>
      <c r="N689" s="197">
        <v>0</v>
      </c>
      <c r="O689" s="257">
        <f>IF(ISNA(MATCH(H689,'Operating leases'!$B$32:$B$43,0)),0,INDEX('Operating leases'!$M$32:$S$43,MATCH(H689,'Operating leases'!$B$32:$B$43,0),MATCH(J689,'Operating leases'!$M$11:$S$11,0)))</f>
        <v>0</v>
      </c>
      <c r="P689" s="257">
        <f t="shared" si="141"/>
        <v>226734.24932859</v>
      </c>
      <c r="Q689" s="257">
        <f t="shared" si="142"/>
        <v>226734.24932859</v>
      </c>
      <c r="R689" s="258">
        <f>INDEX('Escalators '!$M$124:$S$129,MATCH(I689,'Escalators '!$B$124:$B$129,0),MATCH(J689,'Escalators '!$M$113:$S$113,0))</f>
        <v>1.0086968501536033</v>
      </c>
      <c r="S689" s="257">
        <f t="shared" si="143"/>
        <v>0</v>
      </c>
      <c r="T689" s="257">
        <f t="shared" si="144"/>
        <v>0</v>
      </c>
      <c r="U689" s="269">
        <f t="shared" si="145"/>
        <v>228706.12311969048</v>
      </c>
      <c r="V689" s="269">
        <f t="shared" si="146"/>
        <v>228706.12311969048</v>
      </c>
      <c r="W689" s="269">
        <f t="shared" si="147"/>
        <v>228706.12311969048</v>
      </c>
      <c r="X689" s="257">
        <f t="shared" si="148"/>
        <v>228706.12311969048</v>
      </c>
      <c r="Y689" s="270">
        <f>IF(L689="Complex",(INDEX('Escalators '!$M$176:$S$176,MATCH('Forecast capex'!J689,'Escalators '!$M$178:$S$178,0))/12+1)^((K689-J689)*12)-1,0)</f>
        <v>0</v>
      </c>
      <c r="Z689" s="257">
        <f t="shared" si="149"/>
        <v>0</v>
      </c>
      <c r="AA689" s="257">
        <f t="shared" si="150"/>
        <v>0</v>
      </c>
      <c r="AB689" s="269">
        <f t="shared" si="151"/>
        <v>0</v>
      </c>
      <c r="AC689" s="269">
        <f t="shared" si="152"/>
        <v>0</v>
      </c>
      <c r="AD689" s="271" t="str">
        <f>INDEX('Global inputs'!$C$134:$C$171,MATCH(F689,'Global inputs'!$B$134:$B$171,0))</f>
        <v xml:space="preserve">System growth </v>
      </c>
      <c r="AE689" s="272">
        <f>IF(OR(H689='Operating leases'!$B$32,H689='Operating leases'!$B$33),"",INDEX('Global inputs'!$C$186:$C$243,MATCH(E689,'Global inputs'!$B$186:$B$243,0)))</f>
        <v>0.08</v>
      </c>
    </row>
    <row r="690" spans="1:31" s="27" customFormat="1" x14ac:dyDescent="0.2">
      <c r="A690" s="250"/>
      <c r="B690" s="210" t="s">
        <v>746</v>
      </c>
      <c r="C690" s="210" t="s">
        <v>289</v>
      </c>
      <c r="D690" s="210" t="s">
        <v>723</v>
      </c>
      <c r="E690" s="210" t="s">
        <v>164</v>
      </c>
      <c r="F690" s="210" t="s">
        <v>86</v>
      </c>
      <c r="G690" s="210" t="s">
        <v>724</v>
      </c>
      <c r="H690" s="197">
        <v>0</v>
      </c>
      <c r="I690" s="210" t="s">
        <v>221</v>
      </c>
      <c r="J690" s="210">
        <v>2022</v>
      </c>
      <c r="K690" s="210">
        <v>2022</v>
      </c>
      <c r="L690" s="268" t="str">
        <f t="shared" si="140"/>
        <v>Simple</v>
      </c>
      <c r="M690" s="197">
        <v>56683.5623321475</v>
      </c>
      <c r="N690" s="197">
        <v>0</v>
      </c>
      <c r="O690" s="257">
        <f>IF(ISNA(MATCH(H690,'Operating leases'!$B$32:$B$43,0)),0,INDEX('Operating leases'!$M$32:$S$43,MATCH(H690,'Operating leases'!$B$32:$B$43,0),MATCH(J690,'Operating leases'!$M$11:$S$11,0)))</f>
        <v>0</v>
      </c>
      <c r="P690" s="257">
        <f t="shared" si="141"/>
        <v>56683.5623321475</v>
      </c>
      <c r="Q690" s="257">
        <f t="shared" si="142"/>
        <v>56683.5623321475</v>
      </c>
      <c r="R690" s="258">
        <f>INDEX('Escalators '!$M$124:$S$129,MATCH(I690,'Escalators '!$B$124:$B$129,0),MATCH(J690,'Escalators '!$M$113:$S$113,0))</f>
        <v>1.0272672933956697</v>
      </c>
      <c r="S690" s="257">
        <f t="shared" si="143"/>
        <v>0</v>
      </c>
      <c r="T690" s="257">
        <f t="shared" si="144"/>
        <v>0</v>
      </c>
      <c r="U690" s="269">
        <f t="shared" si="145"/>
        <v>58229.169656969898</v>
      </c>
      <c r="V690" s="269">
        <f t="shared" si="146"/>
        <v>58229.169656969898</v>
      </c>
      <c r="W690" s="269">
        <f t="shared" si="147"/>
        <v>58229.169656969898</v>
      </c>
      <c r="X690" s="257">
        <f t="shared" si="148"/>
        <v>58229.169656969898</v>
      </c>
      <c r="Y690" s="270">
        <f>IF(L690="Complex",(INDEX('Escalators '!$M$176:$S$176,MATCH('Forecast capex'!J690,'Escalators '!$M$178:$S$178,0))/12+1)^((K690-J690)*12)-1,0)</f>
        <v>0</v>
      </c>
      <c r="Z690" s="257">
        <f t="shared" si="149"/>
        <v>0</v>
      </c>
      <c r="AA690" s="257">
        <f t="shared" si="150"/>
        <v>0</v>
      </c>
      <c r="AB690" s="269">
        <f t="shared" si="151"/>
        <v>0</v>
      </c>
      <c r="AC690" s="269">
        <f t="shared" si="152"/>
        <v>0</v>
      </c>
      <c r="AD690" s="271" t="str">
        <f>INDEX('Global inputs'!$C$134:$C$171,MATCH(F690,'Global inputs'!$B$134:$B$171,0))</f>
        <v xml:space="preserve">System growth </v>
      </c>
      <c r="AE690" s="272">
        <f>IF(OR(H690='Operating leases'!$B$32,H690='Operating leases'!$B$33),"",INDEX('Global inputs'!$C$186:$C$243,MATCH(E690,'Global inputs'!$B$186:$B$243,0)))</f>
        <v>0.08</v>
      </c>
    </row>
    <row r="691" spans="1:31" s="27" customFormat="1" x14ac:dyDescent="0.2">
      <c r="A691" s="250"/>
      <c r="B691" s="210" t="s">
        <v>746</v>
      </c>
      <c r="C691" s="210" t="s">
        <v>289</v>
      </c>
      <c r="D691" s="210" t="s">
        <v>723</v>
      </c>
      <c r="E691" s="210" t="s">
        <v>163</v>
      </c>
      <c r="F691" s="210" t="s">
        <v>86</v>
      </c>
      <c r="G691" s="210" t="s">
        <v>725</v>
      </c>
      <c r="H691" s="197">
        <v>0</v>
      </c>
      <c r="I691" s="210" t="s">
        <v>139</v>
      </c>
      <c r="J691" s="210">
        <v>2022</v>
      </c>
      <c r="K691" s="210">
        <v>2022</v>
      </c>
      <c r="L691" s="268" t="str">
        <f t="shared" si="140"/>
        <v>Simple</v>
      </c>
      <c r="M691" s="197">
        <v>68020.274798576997</v>
      </c>
      <c r="N691" s="197">
        <v>0</v>
      </c>
      <c r="O691" s="257">
        <f>IF(ISNA(MATCH(H691,'Operating leases'!$B$32:$B$43,0)),0,INDEX('Operating leases'!$M$32:$S$43,MATCH(H691,'Operating leases'!$B$32:$B$43,0),MATCH(J691,'Operating leases'!$M$11:$S$11,0)))</f>
        <v>0</v>
      </c>
      <c r="P691" s="257">
        <f t="shared" si="141"/>
        <v>68020.274798576997</v>
      </c>
      <c r="Q691" s="257">
        <f t="shared" si="142"/>
        <v>68020.274798576997</v>
      </c>
      <c r="R691" s="258">
        <f>INDEX('Escalators '!$M$124:$S$129,MATCH(I691,'Escalators '!$B$124:$B$129,0),MATCH(J691,'Escalators '!$M$113:$S$113,0))</f>
        <v>1.0086968501536033</v>
      </c>
      <c r="S691" s="257">
        <f t="shared" si="143"/>
        <v>0</v>
      </c>
      <c r="T691" s="257">
        <f t="shared" si="144"/>
        <v>0</v>
      </c>
      <c r="U691" s="269">
        <f t="shared" si="145"/>
        <v>68611.836935907137</v>
      </c>
      <c r="V691" s="269">
        <f t="shared" si="146"/>
        <v>68611.836935907137</v>
      </c>
      <c r="W691" s="269">
        <f t="shared" si="147"/>
        <v>68611.836935907137</v>
      </c>
      <c r="X691" s="257">
        <f t="shared" si="148"/>
        <v>68611.836935907137</v>
      </c>
      <c r="Y691" s="270">
        <f>IF(L691="Complex",(INDEX('Escalators '!$M$176:$S$176,MATCH('Forecast capex'!J691,'Escalators '!$M$178:$S$178,0))/12+1)^((K691-J691)*12)-1,0)</f>
        <v>0</v>
      </c>
      <c r="Z691" s="257">
        <f t="shared" si="149"/>
        <v>0</v>
      </c>
      <c r="AA691" s="257">
        <f t="shared" si="150"/>
        <v>0</v>
      </c>
      <c r="AB691" s="269">
        <f t="shared" si="151"/>
        <v>0</v>
      </c>
      <c r="AC691" s="269">
        <f t="shared" si="152"/>
        <v>0</v>
      </c>
      <c r="AD691" s="271" t="str">
        <f>INDEX('Global inputs'!$C$134:$C$171,MATCH(F691,'Global inputs'!$B$134:$B$171,0))</f>
        <v xml:space="preserve">System growth </v>
      </c>
      <c r="AE691" s="272">
        <f>IF(OR(H691='Operating leases'!$B$32,H691='Operating leases'!$B$33),"",INDEX('Global inputs'!$C$186:$C$243,MATCH(E691,'Global inputs'!$B$186:$B$243,0)))</f>
        <v>0.08</v>
      </c>
    </row>
    <row r="692" spans="1:31" s="27" customFormat="1" x14ac:dyDescent="0.2">
      <c r="A692" s="250"/>
      <c r="B692" s="210" t="s">
        <v>746</v>
      </c>
      <c r="C692" s="210" t="s">
        <v>289</v>
      </c>
      <c r="D692" s="210" t="s">
        <v>723</v>
      </c>
      <c r="E692" s="210" t="s">
        <v>163</v>
      </c>
      <c r="F692" s="210" t="s">
        <v>86</v>
      </c>
      <c r="G692" s="210" t="s">
        <v>725</v>
      </c>
      <c r="H692" s="197">
        <v>0</v>
      </c>
      <c r="I692" s="210" t="s">
        <v>221</v>
      </c>
      <c r="J692" s="210">
        <v>2022</v>
      </c>
      <c r="K692" s="210">
        <v>2022</v>
      </c>
      <c r="L692" s="268" t="str">
        <f t="shared" si="140"/>
        <v>Simple</v>
      </c>
      <c r="M692" s="197">
        <v>17005.068699644249</v>
      </c>
      <c r="N692" s="197">
        <v>0</v>
      </c>
      <c r="O692" s="257">
        <f>IF(ISNA(MATCH(H692,'Operating leases'!$B$32:$B$43,0)),0,INDEX('Operating leases'!$M$32:$S$43,MATCH(H692,'Operating leases'!$B$32:$B$43,0),MATCH(J692,'Operating leases'!$M$11:$S$11,0)))</f>
        <v>0</v>
      </c>
      <c r="P692" s="257">
        <f t="shared" si="141"/>
        <v>17005.068699644249</v>
      </c>
      <c r="Q692" s="257">
        <f t="shared" si="142"/>
        <v>17005.068699644249</v>
      </c>
      <c r="R692" s="258">
        <f>INDEX('Escalators '!$M$124:$S$129,MATCH(I692,'Escalators '!$B$124:$B$129,0),MATCH(J692,'Escalators '!$M$113:$S$113,0))</f>
        <v>1.0272672933956697</v>
      </c>
      <c r="S692" s="257">
        <f t="shared" si="143"/>
        <v>0</v>
      </c>
      <c r="T692" s="257">
        <f t="shared" si="144"/>
        <v>0</v>
      </c>
      <c r="U692" s="269">
        <f t="shared" si="145"/>
        <v>17468.750897090969</v>
      </c>
      <c r="V692" s="269">
        <f t="shared" si="146"/>
        <v>17468.750897090969</v>
      </c>
      <c r="W692" s="269">
        <f t="shared" si="147"/>
        <v>17468.750897090969</v>
      </c>
      <c r="X692" s="257">
        <f t="shared" si="148"/>
        <v>17468.750897090969</v>
      </c>
      <c r="Y692" s="270">
        <f>IF(L692="Complex",(INDEX('Escalators '!$M$176:$S$176,MATCH('Forecast capex'!J692,'Escalators '!$M$178:$S$178,0))/12+1)^((K692-J692)*12)-1,0)</f>
        <v>0</v>
      </c>
      <c r="Z692" s="257">
        <f t="shared" si="149"/>
        <v>0</v>
      </c>
      <c r="AA692" s="257">
        <f t="shared" si="150"/>
        <v>0</v>
      </c>
      <c r="AB692" s="269">
        <f t="shared" si="151"/>
        <v>0</v>
      </c>
      <c r="AC692" s="269">
        <f t="shared" si="152"/>
        <v>0</v>
      </c>
      <c r="AD692" s="271" t="str">
        <f>INDEX('Global inputs'!$C$134:$C$171,MATCH(F692,'Global inputs'!$B$134:$B$171,0))</f>
        <v xml:space="preserve">System growth </v>
      </c>
      <c r="AE692" s="272">
        <f>IF(OR(H692='Operating leases'!$B$32,H692='Operating leases'!$B$33),"",INDEX('Global inputs'!$C$186:$C$243,MATCH(E692,'Global inputs'!$B$186:$B$243,0)))</f>
        <v>0.08</v>
      </c>
    </row>
    <row r="693" spans="1:31" s="27" customFormat="1" x14ac:dyDescent="0.2">
      <c r="A693" s="250"/>
      <c r="B693" s="210" t="s">
        <v>746</v>
      </c>
      <c r="C693" s="210" t="s">
        <v>290</v>
      </c>
      <c r="D693" s="210" t="s">
        <v>723</v>
      </c>
      <c r="E693" s="210" t="s">
        <v>172</v>
      </c>
      <c r="F693" s="210" t="s">
        <v>86</v>
      </c>
      <c r="G693" s="210" t="s">
        <v>747</v>
      </c>
      <c r="H693" s="197">
        <v>0</v>
      </c>
      <c r="I693" s="210" t="s">
        <v>139</v>
      </c>
      <c r="J693" s="210">
        <v>2022</v>
      </c>
      <c r="K693" s="210">
        <v>2022</v>
      </c>
      <c r="L693" s="268" t="str">
        <f t="shared" si="140"/>
        <v>Simple</v>
      </c>
      <c r="M693" s="197">
        <v>11336.712466429499</v>
      </c>
      <c r="N693" s="197">
        <v>0</v>
      </c>
      <c r="O693" s="257">
        <f>IF(ISNA(MATCH(H693,'Operating leases'!$B$32:$B$43,0)),0,INDEX('Operating leases'!$M$32:$S$43,MATCH(H693,'Operating leases'!$B$32:$B$43,0),MATCH(J693,'Operating leases'!$M$11:$S$11,0)))</f>
        <v>0</v>
      </c>
      <c r="P693" s="257">
        <f t="shared" si="141"/>
        <v>11336.712466429499</v>
      </c>
      <c r="Q693" s="257">
        <f t="shared" si="142"/>
        <v>11336.712466429499</v>
      </c>
      <c r="R693" s="258">
        <f>INDEX('Escalators '!$M$124:$S$129,MATCH(I693,'Escalators '!$B$124:$B$129,0),MATCH(J693,'Escalators '!$M$113:$S$113,0))</f>
        <v>1.0086968501536033</v>
      </c>
      <c r="S693" s="257">
        <f t="shared" si="143"/>
        <v>0</v>
      </c>
      <c r="T693" s="257">
        <f t="shared" si="144"/>
        <v>0</v>
      </c>
      <c r="U693" s="269">
        <f t="shared" si="145"/>
        <v>11435.306155984523</v>
      </c>
      <c r="V693" s="269">
        <f t="shared" si="146"/>
        <v>11435.306155984523</v>
      </c>
      <c r="W693" s="269">
        <f t="shared" si="147"/>
        <v>11435.306155984523</v>
      </c>
      <c r="X693" s="257">
        <f t="shared" si="148"/>
        <v>11435.306155984523</v>
      </c>
      <c r="Y693" s="270">
        <f>IF(L693="Complex",(INDEX('Escalators '!$M$176:$S$176,MATCH('Forecast capex'!J693,'Escalators '!$M$178:$S$178,0))/12+1)^((K693-J693)*12)-1,0)</f>
        <v>0</v>
      </c>
      <c r="Z693" s="257">
        <f t="shared" si="149"/>
        <v>0</v>
      </c>
      <c r="AA693" s="257">
        <f t="shared" si="150"/>
        <v>0</v>
      </c>
      <c r="AB693" s="269">
        <f t="shared" si="151"/>
        <v>0</v>
      </c>
      <c r="AC693" s="269">
        <f t="shared" si="152"/>
        <v>0</v>
      </c>
      <c r="AD693" s="271" t="str">
        <f>INDEX('Global inputs'!$C$134:$C$171,MATCH(F693,'Global inputs'!$B$134:$B$171,0))</f>
        <v xml:space="preserve">System growth </v>
      </c>
      <c r="AE693" s="272">
        <f>IF(OR(H693='Operating leases'!$B$32,H693='Operating leases'!$B$33),"",INDEX('Global inputs'!$C$186:$C$243,MATCH(E693,'Global inputs'!$B$186:$B$243,0)))</f>
        <v>0.08</v>
      </c>
    </row>
    <row r="694" spans="1:31" s="27" customFormat="1" x14ac:dyDescent="0.2">
      <c r="A694" s="250"/>
      <c r="B694" s="210" t="s">
        <v>746</v>
      </c>
      <c r="C694" s="210" t="s">
        <v>290</v>
      </c>
      <c r="D694" s="210" t="s">
        <v>723</v>
      </c>
      <c r="E694" s="210" t="s">
        <v>172</v>
      </c>
      <c r="F694" s="210" t="s">
        <v>86</v>
      </c>
      <c r="G694" s="210" t="s">
        <v>747</v>
      </c>
      <c r="H694" s="197">
        <v>0</v>
      </c>
      <c r="I694" s="210" t="s">
        <v>221</v>
      </c>
      <c r="J694" s="210">
        <v>2022</v>
      </c>
      <c r="K694" s="210">
        <v>2022</v>
      </c>
      <c r="L694" s="268" t="str">
        <f t="shared" si="140"/>
        <v>Simple</v>
      </c>
      <c r="M694" s="197">
        <v>2834.1781166073747</v>
      </c>
      <c r="N694" s="197">
        <v>0</v>
      </c>
      <c r="O694" s="257">
        <f>IF(ISNA(MATCH(H694,'Operating leases'!$B$32:$B$43,0)),0,INDEX('Operating leases'!$M$32:$S$43,MATCH(H694,'Operating leases'!$B$32:$B$43,0),MATCH(J694,'Operating leases'!$M$11:$S$11,0)))</f>
        <v>0</v>
      </c>
      <c r="P694" s="257">
        <f t="shared" si="141"/>
        <v>2834.1781166073747</v>
      </c>
      <c r="Q694" s="257">
        <f t="shared" si="142"/>
        <v>2834.1781166073747</v>
      </c>
      <c r="R694" s="258">
        <f>INDEX('Escalators '!$M$124:$S$129,MATCH(I694,'Escalators '!$B$124:$B$129,0),MATCH(J694,'Escalators '!$M$113:$S$113,0))</f>
        <v>1.0272672933956697</v>
      </c>
      <c r="S694" s="257">
        <f t="shared" si="143"/>
        <v>0</v>
      </c>
      <c r="T694" s="257">
        <f t="shared" si="144"/>
        <v>0</v>
      </c>
      <c r="U694" s="269">
        <f t="shared" si="145"/>
        <v>2911.4584828484944</v>
      </c>
      <c r="V694" s="269">
        <f t="shared" si="146"/>
        <v>2911.4584828484944</v>
      </c>
      <c r="W694" s="269">
        <f t="shared" si="147"/>
        <v>2911.4584828484944</v>
      </c>
      <c r="X694" s="257">
        <f t="shared" si="148"/>
        <v>2911.4584828484944</v>
      </c>
      <c r="Y694" s="270">
        <f>IF(L694="Complex",(INDEX('Escalators '!$M$176:$S$176,MATCH('Forecast capex'!J694,'Escalators '!$M$178:$S$178,0))/12+1)^((K694-J694)*12)-1,0)</f>
        <v>0</v>
      </c>
      <c r="Z694" s="257">
        <f t="shared" si="149"/>
        <v>0</v>
      </c>
      <c r="AA694" s="257">
        <f t="shared" si="150"/>
        <v>0</v>
      </c>
      <c r="AB694" s="269">
        <f t="shared" si="151"/>
        <v>0</v>
      </c>
      <c r="AC694" s="269">
        <f t="shared" si="152"/>
        <v>0</v>
      </c>
      <c r="AD694" s="271" t="str">
        <f>INDEX('Global inputs'!$C$134:$C$171,MATCH(F694,'Global inputs'!$B$134:$B$171,0))</f>
        <v xml:space="preserve">System growth </v>
      </c>
      <c r="AE694" s="272">
        <f>IF(OR(H694='Operating leases'!$B$32,H694='Operating leases'!$B$33),"",INDEX('Global inputs'!$C$186:$C$243,MATCH(E694,'Global inputs'!$B$186:$B$243,0)))</f>
        <v>0.08</v>
      </c>
    </row>
    <row r="695" spans="1:31" s="27" customFormat="1" x14ac:dyDescent="0.2">
      <c r="A695" s="250"/>
      <c r="B695" s="210" t="s">
        <v>746</v>
      </c>
      <c r="C695" s="210" t="s">
        <v>286</v>
      </c>
      <c r="D695" s="210" t="s">
        <v>735</v>
      </c>
      <c r="E695" s="210" t="s">
        <v>144</v>
      </c>
      <c r="F695" s="210" t="s">
        <v>86</v>
      </c>
      <c r="G695" s="210" t="s">
        <v>736</v>
      </c>
      <c r="H695" s="197">
        <v>0</v>
      </c>
      <c r="I695" s="210" t="s">
        <v>229</v>
      </c>
      <c r="J695" s="210">
        <v>2022</v>
      </c>
      <c r="K695" s="210">
        <v>2022</v>
      </c>
      <c r="L695" s="268" t="str">
        <f t="shared" si="140"/>
        <v>Simple</v>
      </c>
      <c r="M695" s="197">
        <v>5668.3562332147494</v>
      </c>
      <c r="N695" s="197">
        <v>0</v>
      </c>
      <c r="O695" s="257">
        <f>IF(ISNA(MATCH(H695,'Operating leases'!$B$32:$B$43,0)),0,INDEX('Operating leases'!$M$32:$S$43,MATCH(H695,'Operating leases'!$B$32:$B$43,0),MATCH(J695,'Operating leases'!$M$11:$S$11,0)))</f>
        <v>0</v>
      </c>
      <c r="P695" s="257">
        <f t="shared" si="141"/>
        <v>5668.3562332147494</v>
      </c>
      <c r="Q695" s="257">
        <f t="shared" si="142"/>
        <v>5668.3562332147494</v>
      </c>
      <c r="R695" s="258">
        <f>INDEX('Escalators '!$M$124:$S$129,MATCH(I695,'Escalators '!$B$124:$B$129,0),MATCH(J695,'Escalators '!$M$113:$S$113,0))</f>
        <v>1.0379818100112963</v>
      </c>
      <c r="S695" s="257">
        <f t="shared" si="143"/>
        <v>0</v>
      </c>
      <c r="T695" s="257">
        <f t="shared" si="144"/>
        <v>0</v>
      </c>
      <c r="U695" s="269">
        <f t="shared" si="145"/>
        <v>5883.650662741059</v>
      </c>
      <c r="V695" s="269">
        <f t="shared" si="146"/>
        <v>5883.650662741059</v>
      </c>
      <c r="W695" s="269">
        <f t="shared" si="147"/>
        <v>5883.650662741059</v>
      </c>
      <c r="X695" s="257">
        <f t="shared" si="148"/>
        <v>5883.650662741059</v>
      </c>
      <c r="Y695" s="270">
        <f>IF(L695="Complex",(INDEX('Escalators '!$M$176:$S$176,MATCH('Forecast capex'!J695,'Escalators '!$M$178:$S$178,0))/12+1)^((K695-J695)*12)-1,0)</f>
        <v>0</v>
      </c>
      <c r="Z695" s="257">
        <f t="shared" si="149"/>
        <v>0</v>
      </c>
      <c r="AA695" s="257">
        <f t="shared" si="150"/>
        <v>0</v>
      </c>
      <c r="AB695" s="269">
        <f t="shared" si="151"/>
        <v>0</v>
      </c>
      <c r="AC695" s="269">
        <f t="shared" si="152"/>
        <v>0</v>
      </c>
      <c r="AD695" s="271" t="str">
        <f>INDEX('Global inputs'!$C$134:$C$171,MATCH(F695,'Global inputs'!$B$134:$B$171,0))</f>
        <v xml:space="preserve">System growth </v>
      </c>
      <c r="AE695" s="272">
        <f>IF(OR(H695='Operating leases'!$B$32,H695='Operating leases'!$B$33),"",INDEX('Global inputs'!$C$186:$C$243,MATCH(E695,'Global inputs'!$B$186:$B$243,0)))</f>
        <v>0.08</v>
      </c>
    </row>
    <row r="696" spans="1:31" s="27" customFormat="1" x14ac:dyDescent="0.2">
      <c r="A696" s="250"/>
      <c r="B696" s="210" t="s">
        <v>746</v>
      </c>
      <c r="C696" s="210" t="s">
        <v>286</v>
      </c>
      <c r="D696" s="210" t="s">
        <v>735</v>
      </c>
      <c r="E696" s="210" t="s">
        <v>144</v>
      </c>
      <c r="F696" s="210" t="s">
        <v>86</v>
      </c>
      <c r="G696" s="210" t="s">
        <v>736</v>
      </c>
      <c r="H696" s="197">
        <v>0</v>
      </c>
      <c r="I696" s="210" t="s">
        <v>221</v>
      </c>
      <c r="J696" s="210">
        <v>2022</v>
      </c>
      <c r="K696" s="210">
        <v>2022</v>
      </c>
      <c r="L696" s="268" t="str">
        <f t="shared" si="140"/>
        <v>Simple</v>
      </c>
      <c r="M696" s="197">
        <v>22673.424932858998</v>
      </c>
      <c r="N696" s="197">
        <v>0</v>
      </c>
      <c r="O696" s="257">
        <f>IF(ISNA(MATCH(H696,'Operating leases'!$B$32:$B$43,0)),0,INDEX('Operating leases'!$M$32:$S$43,MATCH(H696,'Operating leases'!$B$32:$B$43,0),MATCH(J696,'Operating leases'!$M$11:$S$11,0)))</f>
        <v>0</v>
      </c>
      <c r="P696" s="257">
        <f t="shared" si="141"/>
        <v>22673.424932858998</v>
      </c>
      <c r="Q696" s="257">
        <f t="shared" si="142"/>
        <v>22673.424932858998</v>
      </c>
      <c r="R696" s="258">
        <f>INDEX('Escalators '!$M$124:$S$129,MATCH(I696,'Escalators '!$B$124:$B$129,0),MATCH(J696,'Escalators '!$M$113:$S$113,0))</f>
        <v>1.0272672933956697</v>
      </c>
      <c r="S696" s="257">
        <f t="shared" si="143"/>
        <v>0</v>
      </c>
      <c r="T696" s="257">
        <f t="shared" si="144"/>
        <v>0</v>
      </c>
      <c r="U696" s="269">
        <f t="shared" si="145"/>
        <v>23291.667862787956</v>
      </c>
      <c r="V696" s="269">
        <f t="shared" si="146"/>
        <v>23291.667862787956</v>
      </c>
      <c r="W696" s="269">
        <f t="shared" si="147"/>
        <v>23291.667862787956</v>
      </c>
      <c r="X696" s="257">
        <f t="shared" si="148"/>
        <v>23291.667862787956</v>
      </c>
      <c r="Y696" s="270">
        <f>IF(L696="Complex",(INDEX('Escalators '!$M$176:$S$176,MATCH('Forecast capex'!J696,'Escalators '!$M$178:$S$178,0))/12+1)^((K696-J696)*12)-1,0)</f>
        <v>0</v>
      </c>
      <c r="Z696" s="257">
        <f t="shared" si="149"/>
        <v>0</v>
      </c>
      <c r="AA696" s="257">
        <f t="shared" si="150"/>
        <v>0</v>
      </c>
      <c r="AB696" s="269">
        <f t="shared" si="151"/>
        <v>0</v>
      </c>
      <c r="AC696" s="269">
        <f t="shared" si="152"/>
        <v>0</v>
      </c>
      <c r="AD696" s="271" t="str">
        <f>INDEX('Global inputs'!$C$134:$C$171,MATCH(F696,'Global inputs'!$B$134:$B$171,0))</f>
        <v xml:space="preserve">System growth </v>
      </c>
      <c r="AE696" s="272">
        <f>IF(OR(H696='Operating leases'!$B$32,H696='Operating leases'!$B$33),"",INDEX('Global inputs'!$C$186:$C$243,MATCH(E696,'Global inputs'!$B$186:$B$243,0)))</f>
        <v>0.08</v>
      </c>
    </row>
    <row r="697" spans="1:31" s="27" customFormat="1" x14ac:dyDescent="0.2">
      <c r="A697" s="250"/>
      <c r="B697" s="210" t="s">
        <v>746</v>
      </c>
      <c r="C697" s="210" t="s">
        <v>291</v>
      </c>
      <c r="D697" s="210" t="s">
        <v>735</v>
      </c>
      <c r="E697" s="210" t="s">
        <v>175</v>
      </c>
      <c r="F697" s="210" t="s">
        <v>86</v>
      </c>
      <c r="G697" s="210" t="s">
        <v>748</v>
      </c>
      <c r="H697" s="197">
        <v>0</v>
      </c>
      <c r="I697" s="210" t="s">
        <v>229</v>
      </c>
      <c r="J697" s="210">
        <v>2022</v>
      </c>
      <c r="K697" s="210">
        <v>2022</v>
      </c>
      <c r="L697" s="268" t="str">
        <f t="shared" si="140"/>
        <v>Simple</v>
      </c>
      <c r="M697" s="197">
        <v>2834.1781166073747</v>
      </c>
      <c r="N697" s="197">
        <v>0</v>
      </c>
      <c r="O697" s="257">
        <f>IF(ISNA(MATCH(H697,'Operating leases'!$B$32:$B$43,0)),0,INDEX('Operating leases'!$M$32:$S$43,MATCH(H697,'Operating leases'!$B$32:$B$43,0),MATCH(J697,'Operating leases'!$M$11:$S$11,0)))</f>
        <v>0</v>
      </c>
      <c r="P697" s="257">
        <f t="shared" si="141"/>
        <v>2834.1781166073747</v>
      </c>
      <c r="Q697" s="257">
        <f t="shared" si="142"/>
        <v>2834.1781166073747</v>
      </c>
      <c r="R697" s="258">
        <f>INDEX('Escalators '!$M$124:$S$129,MATCH(I697,'Escalators '!$B$124:$B$129,0),MATCH(J697,'Escalators '!$M$113:$S$113,0))</f>
        <v>1.0379818100112963</v>
      </c>
      <c r="S697" s="257">
        <f t="shared" si="143"/>
        <v>0</v>
      </c>
      <c r="T697" s="257">
        <f t="shared" si="144"/>
        <v>0</v>
      </c>
      <c r="U697" s="269">
        <f t="shared" si="145"/>
        <v>2941.8253313705295</v>
      </c>
      <c r="V697" s="269">
        <f t="shared" si="146"/>
        <v>2941.8253313705295</v>
      </c>
      <c r="W697" s="269">
        <f t="shared" si="147"/>
        <v>2941.8253313705295</v>
      </c>
      <c r="X697" s="257">
        <f t="shared" si="148"/>
        <v>2941.8253313705295</v>
      </c>
      <c r="Y697" s="270">
        <f>IF(L697="Complex",(INDEX('Escalators '!$M$176:$S$176,MATCH('Forecast capex'!J697,'Escalators '!$M$178:$S$178,0))/12+1)^((K697-J697)*12)-1,0)</f>
        <v>0</v>
      </c>
      <c r="Z697" s="257">
        <f t="shared" si="149"/>
        <v>0</v>
      </c>
      <c r="AA697" s="257">
        <f t="shared" si="150"/>
        <v>0</v>
      </c>
      <c r="AB697" s="269">
        <f t="shared" si="151"/>
        <v>0</v>
      </c>
      <c r="AC697" s="269">
        <f t="shared" si="152"/>
        <v>0</v>
      </c>
      <c r="AD697" s="271" t="str">
        <f>INDEX('Global inputs'!$C$134:$C$171,MATCH(F697,'Global inputs'!$B$134:$B$171,0))</f>
        <v xml:space="preserve">System growth </v>
      </c>
      <c r="AE697" s="272">
        <f>IF(OR(H697='Operating leases'!$B$32,H697='Operating leases'!$B$33),"",INDEX('Global inputs'!$C$186:$C$243,MATCH(E697,'Global inputs'!$B$186:$B$243,0)))</f>
        <v>0.1</v>
      </c>
    </row>
    <row r="698" spans="1:31" s="27" customFormat="1" x14ac:dyDescent="0.2">
      <c r="A698" s="250"/>
      <c r="B698" s="210" t="s">
        <v>746</v>
      </c>
      <c r="C698" s="210" t="s">
        <v>291</v>
      </c>
      <c r="D698" s="210" t="s">
        <v>735</v>
      </c>
      <c r="E698" s="210" t="s">
        <v>175</v>
      </c>
      <c r="F698" s="210" t="s">
        <v>86</v>
      </c>
      <c r="G698" s="210" t="s">
        <v>748</v>
      </c>
      <c r="H698" s="197">
        <v>0</v>
      </c>
      <c r="I698" s="210" t="s">
        <v>221</v>
      </c>
      <c r="J698" s="210">
        <v>2022</v>
      </c>
      <c r="K698" s="210">
        <v>2022</v>
      </c>
      <c r="L698" s="268" t="str">
        <f t="shared" si="140"/>
        <v>Simple</v>
      </c>
      <c r="M698" s="197">
        <v>11336.712466429499</v>
      </c>
      <c r="N698" s="197">
        <v>0</v>
      </c>
      <c r="O698" s="257">
        <f>IF(ISNA(MATCH(H698,'Operating leases'!$B$32:$B$43,0)),0,INDEX('Operating leases'!$M$32:$S$43,MATCH(H698,'Operating leases'!$B$32:$B$43,0),MATCH(J698,'Operating leases'!$M$11:$S$11,0)))</f>
        <v>0</v>
      </c>
      <c r="P698" s="257">
        <f t="shared" si="141"/>
        <v>11336.712466429499</v>
      </c>
      <c r="Q698" s="257">
        <f t="shared" si="142"/>
        <v>11336.712466429499</v>
      </c>
      <c r="R698" s="258">
        <f>INDEX('Escalators '!$M$124:$S$129,MATCH(I698,'Escalators '!$B$124:$B$129,0),MATCH(J698,'Escalators '!$M$113:$S$113,0))</f>
        <v>1.0272672933956697</v>
      </c>
      <c r="S698" s="257">
        <f t="shared" si="143"/>
        <v>0</v>
      </c>
      <c r="T698" s="257">
        <f t="shared" si="144"/>
        <v>0</v>
      </c>
      <c r="U698" s="269">
        <f t="shared" si="145"/>
        <v>11645.833931393978</v>
      </c>
      <c r="V698" s="269">
        <f t="shared" si="146"/>
        <v>11645.833931393978</v>
      </c>
      <c r="W698" s="269">
        <f t="shared" si="147"/>
        <v>11645.833931393978</v>
      </c>
      <c r="X698" s="257">
        <f t="shared" si="148"/>
        <v>11645.833931393978</v>
      </c>
      <c r="Y698" s="270">
        <f>IF(L698="Complex",(INDEX('Escalators '!$M$176:$S$176,MATCH('Forecast capex'!J698,'Escalators '!$M$178:$S$178,0))/12+1)^((K698-J698)*12)-1,0)</f>
        <v>0</v>
      </c>
      <c r="Z698" s="257">
        <f t="shared" si="149"/>
        <v>0</v>
      </c>
      <c r="AA698" s="257">
        <f t="shared" si="150"/>
        <v>0</v>
      </c>
      <c r="AB698" s="269">
        <f t="shared" si="151"/>
        <v>0</v>
      </c>
      <c r="AC698" s="269">
        <f t="shared" si="152"/>
        <v>0</v>
      </c>
      <c r="AD698" s="271" t="str">
        <f>INDEX('Global inputs'!$C$134:$C$171,MATCH(F698,'Global inputs'!$B$134:$B$171,0))</f>
        <v xml:space="preserve">System growth </v>
      </c>
      <c r="AE698" s="272">
        <f>IF(OR(H698='Operating leases'!$B$32,H698='Operating leases'!$B$33),"",INDEX('Global inputs'!$C$186:$C$243,MATCH(E698,'Global inputs'!$B$186:$B$243,0)))</f>
        <v>0.1</v>
      </c>
    </row>
    <row r="699" spans="1:31" s="27" customFormat="1" x14ac:dyDescent="0.2">
      <c r="A699" s="250"/>
      <c r="B699" s="210" t="s">
        <v>746</v>
      </c>
      <c r="C699" s="210" t="s">
        <v>288</v>
      </c>
      <c r="D699" s="210" t="s">
        <v>223</v>
      </c>
      <c r="E699" s="210" t="s">
        <v>156</v>
      </c>
      <c r="F699" s="210" t="s">
        <v>86</v>
      </c>
      <c r="G699" s="210" t="s">
        <v>727</v>
      </c>
      <c r="H699" s="197">
        <v>0</v>
      </c>
      <c r="I699" s="210" t="s">
        <v>223</v>
      </c>
      <c r="J699" s="210">
        <v>2022</v>
      </c>
      <c r="K699" s="210">
        <v>2022</v>
      </c>
      <c r="L699" s="268" t="str">
        <f t="shared" si="140"/>
        <v>Simple</v>
      </c>
      <c r="M699" s="197">
        <v>229568.42744519736</v>
      </c>
      <c r="N699" s="197">
        <v>0</v>
      </c>
      <c r="O699" s="257">
        <f>IF(ISNA(MATCH(H699,'Operating leases'!$B$32:$B$43,0)),0,INDEX('Operating leases'!$M$32:$S$43,MATCH(H699,'Operating leases'!$B$32:$B$43,0),MATCH(J699,'Operating leases'!$M$11:$S$11,0)))</f>
        <v>0</v>
      </c>
      <c r="P699" s="257">
        <f t="shared" si="141"/>
        <v>229568.42744519736</v>
      </c>
      <c r="Q699" s="257">
        <f t="shared" si="142"/>
        <v>229568.42744519736</v>
      </c>
      <c r="R699" s="258">
        <f>INDEX('Escalators '!$M$124:$S$129,MATCH(I699,'Escalators '!$B$124:$B$129,0),MATCH(J699,'Escalators '!$M$113:$S$113,0))</f>
        <v>1.0395572483145099</v>
      </c>
      <c r="S699" s="257">
        <f t="shared" si="143"/>
        <v>0</v>
      </c>
      <c r="T699" s="257">
        <f t="shared" si="144"/>
        <v>0</v>
      </c>
      <c r="U699" s="269">
        <f t="shared" si="145"/>
        <v>238649.52273481857</v>
      </c>
      <c r="V699" s="269">
        <f t="shared" si="146"/>
        <v>238649.52273481857</v>
      </c>
      <c r="W699" s="269">
        <f t="shared" si="147"/>
        <v>238649.52273481857</v>
      </c>
      <c r="X699" s="257">
        <f t="shared" si="148"/>
        <v>238649.52273481857</v>
      </c>
      <c r="Y699" s="270">
        <f>IF(L699="Complex",(INDEX('Escalators '!$M$176:$S$176,MATCH('Forecast capex'!J699,'Escalators '!$M$178:$S$178,0))/12+1)^((K699-J699)*12)-1,0)</f>
        <v>0</v>
      </c>
      <c r="Z699" s="257">
        <f t="shared" si="149"/>
        <v>0</v>
      </c>
      <c r="AA699" s="257">
        <f t="shared" si="150"/>
        <v>0</v>
      </c>
      <c r="AB699" s="269">
        <f t="shared" si="151"/>
        <v>0</v>
      </c>
      <c r="AC699" s="269">
        <f t="shared" si="152"/>
        <v>0</v>
      </c>
      <c r="AD699" s="271" t="str">
        <f>INDEX('Global inputs'!$C$134:$C$171,MATCH(F699,'Global inputs'!$B$134:$B$171,0))</f>
        <v xml:space="preserve">System growth </v>
      </c>
      <c r="AE699" s="272">
        <f>IF(OR(H699='Operating leases'!$B$32,H699='Operating leases'!$B$33),"",INDEX('Global inputs'!$C$186:$C$243,MATCH(E699,'Global inputs'!$B$186:$B$243,0)))</f>
        <v>0.08</v>
      </c>
    </row>
    <row r="700" spans="1:31" s="27" customFormat="1" x14ac:dyDescent="0.2">
      <c r="A700" s="250"/>
      <c r="B700" s="210" t="s">
        <v>746</v>
      </c>
      <c r="C700" s="210" t="s">
        <v>288</v>
      </c>
      <c r="D700" s="210" t="s">
        <v>223</v>
      </c>
      <c r="E700" s="210" t="s">
        <v>156</v>
      </c>
      <c r="F700" s="210" t="s">
        <v>86</v>
      </c>
      <c r="G700" s="210" t="s">
        <v>727</v>
      </c>
      <c r="H700" s="197">
        <v>0</v>
      </c>
      <c r="I700" s="210" t="s">
        <v>221</v>
      </c>
      <c r="J700" s="210">
        <v>2022</v>
      </c>
      <c r="K700" s="210">
        <v>2022</v>
      </c>
      <c r="L700" s="268" t="str">
        <f t="shared" si="140"/>
        <v>Simple</v>
      </c>
      <c r="M700" s="197">
        <v>535659.66403879377</v>
      </c>
      <c r="N700" s="197">
        <v>0</v>
      </c>
      <c r="O700" s="257">
        <f>IF(ISNA(MATCH(H700,'Operating leases'!$B$32:$B$43,0)),0,INDEX('Operating leases'!$M$32:$S$43,MATCH(H700,'Operating leases'!$B$32:$B$43,0),MATCH(J700,'Operating leases'!$M$11:$S$11,0)))</f>
        <v>0</v>
      </c>
      <c r="P700" s="257">
        <f t="shared" si="141"/>
        <v>535659.66403879377</v>
      </c>
      <c r="Q700" s="257">
        <f t="shared" si="142"/>
        <v>535659.66403879377</v>
      </c>
      <c r="R700" s="258">
        <f>INDEX('Escalators '!$M$124:$S$129,MATCH(I700,'Escalators '!$B$124:$B$129,0),MATCH(J700,'Escalators '!$M$113:$S$113,0))</f>
        <v>1.0272672933956697</v>
      </c>
      <c r="S700" s="257">
        <f t="shared" si="143"/>
        <v>0</v>
      </c>
      <c r="T700" s="257">
        <f t="shared" si="144"/>
        <v>0</v>
      </c>
      <c r="U700" s="269">
        <f t="shared" si="145"/>
        <v>550265.65325836546</v>
      </c>
      <c r="V700" s="269">
        <f t="shared" si="146"/>
        <v>550265.65325836546</v>
      </c>
      <c r="W700" s="269">
        <f t="shared" si="147"/>
        <v>550265.65325836546</v>
      </c>
      <c r="X700" s="257">
        <f t="shared" si="148"/>
        <v>550265.65325836546</v>
      </c>
      <c r="Y700" s="270">
        <f>IF(L700="Complex",(INDEX('Escalators '!$M$176:$S$176,MATCH('Forecast capex'!J700,'Escalators '!$M$178:$S$178,0))/12+1)^((K700-J700)*12)-1,0)</f>
        <v>0</v>
      </c>
      <c r="Z700" s="257">
        <f t="shared" si="149"/>
        <v>0</v>
      </c>
      <c r="AA700" s="257">
        <f t="shared" si="150"/>
        <v>0</v>
      </c>
      <c r="AB700" s="269">
        <f t="shared" si="151"/>
        <v>0</v>
      </c>
      <c r="AC700" s="269">
        <f t="shared" si="152"/>
        <v>0</v>
      </c>
      <c r="AD700" s="271" t="str">
        <f>INDEX('Global inputs'!$C$134:$C$171,MATCH(F700,'Global inputs'!$B$134:$B$171,0))</f>
        <v xml:space="preserve">System growth </v>
      </c>
      <c r="AE700" s="272">
        <f>IF(OR(H700='Operating leases'!$B$32,H700='Operating leases'!$B$33),"",INDEX('Global inputs'!$C$186:$C$243,MATCH(E700,'Global inputs'!$B$186:$B$243,0)))</f>
        <v>0.08</v>
      </c>
    </row>
    <row r="701" spans="1:31" s="27" customFormat="1" x14ac:dyDescent="0.2">
      <c r="A701" s="250"/>
      <c r="B701" s="210" t="s">
        <v>746</v>
      </c>
      <c r="C701" s="210" t="s">
        <v>288</v>
      </c>
      <c r="D701" s="210" t="s">
        <v>223</v>
      </c>
      <c r="E701" s="210" t="s">
        <v>158</v>
      </c>
      <c r="F701" s="210" t="s">
        <v>86</v>
      </c>
      <c r="G701" s="210" t="s">
        <v>728</v>
      </c>
      <c r="H701" s="197">
        <v>0</v>
      </c>
      <c r="I701" s="210" t="s">
        <v>223</v>
      </c>
      <c r="J701" s="210">
        <v>2022</v>
      </c>
      <c r="K701" s="210">
        <v>2022</v>
      </c>
      <c r="L701" s="268" t="str">
        <f t="shared" si="140"/>
        <v>Simple</v>
      </c>
      <c r="M701" s="197">
        <v>22673.424932858998</v>
      </c>
      <c r="N701" s="197">
        <v>0</v>
      </c>
      <c r="O701" s="257">
        <f>IF(ISNA(MATCH(H701,'Operating leases'!$B$32:$B$43,0)),0,INDEX('Operating leases'!$M$32:$S$43,MATCH(H701,'Operating leases'!$B$32:$B$43,0),MATCH(J701,'Operating leases'!$M$11:$S$11,0)))</f>
        <v>0</v>
      </c>
      <c r="P701" s="257">
        <f t="shared" si="141"/>
        <v>22673.424932858998</v>
      </c>
      <c r="Q701" s="257">
        <f t="shared" si="142"/>
        <v>22673.424932858998</v>
      </c>
      <c r="R701" s="258">
        <f>INDEX('Escalators '!$M$124:$S$129,MATCH(I701,'Escalators '!$B$124:$B$129,0),MATCH(J701,'Escalators '!$M$113:$S$113,0))</f>
        <v>1.0395572483145099</v>
      </c>
      <c r="S701" s="257">
        <f t="shared" si="143"/>
        <v>0</v>
      </c>
      <c r="T701" s="257">
        <f t="shared" si="144"/>
        <v>0</v>
      </c>
      <c r="U701" s="269">
        <f t="shared" si="145"/>
        <v>23570.323233068502</v>
      </c>
      <c r="V701" s="269">
        <f t="shared" si="146"/>
        <v>23570.323233068502</v>
      </c>
      <c r="W701" s="269">
        <f t="shared" si="147"/>
        <v>23570.323233068502</v>
      </c>
      <c r="X701" s="257">
        <f t="shared" si="148"/>
        <v>23570.323233068502</v>
      </c>
      <c r="Y701" s="270">
        <f>IF(L701="Complex",(INDEX('Escalators '!$M$176:$S$176,MATCH('Forecast capex'!J701,'Escalators '!$M$178:$S$178,0))/12+1)^((K701-J701)*12)-1,0)</f>
        <v>0</v>
      </c>
      <c r="Z701" s="257">
        <f t="shared" si="149"/>
        <v>0</v>
      </c>
      <c r="AA701" s="257">
        <f t="shared" si="150"/>
        <v>0</v>
      </c>
      <c r="AB701" s="269">
        <f t="shared" si="151"/>
        <v>0</v>
      </c>
      <c r="AC701" s="269">
        <f t="shared" si="152"/>
        <v>0</v>
      </c>
      <c r="AD701" s="271" t="str">
        <f>INDEX('Global inputs'!$C$134:$C$171,MATCH(F701,'Global inputs'!$B$134:$B$171,0))</f>
        <v xml:space="preserve">System growth </v>
      </c>
      <c r="AE701" s="272">
        <f>IF(OR(H701='Operating leases'!$B$32,H701='Operating leases'!$B$33),"",INDEX('Global inputs'!$C$186:$C$243,MATCH(E701,'Global inputs'!$B$186:$B$243,0)))</f>
        <v>0.08</v>
      </c>
    </row>
    <row r="702" spans="1:31" s="27" customFormat="1" x14ac:dyDescent="0.2">
      <c r="A702" s="250"/>
      <c r="B702" s="210" t="s">
        <v>746</v>
      </c>
      <c r="C702" s="210" t="s">
        <v>288</v>
      </c>
      <c r="D702" s="210" t="s">
        <v>223</v>
      </c>
      <c r="E702" s="210" t="s">
        <v>158</v>
      </c>
      <c r="F702" s="210" t="s">
        <v>86</v>
      </c>
      <c r="G702" s="210" t="s">
        <v>728</v>
      </c>
      <c r="H702" s="197">
        <v>0</v>
      </c>
      <c r="I702" s="210" t="s">
        <v>221</v>
      </c>
      <c r="J702" s="210">
        <v>2022</v>
      </c>
      <c r="K702" s="210">
        <v>2022</v>
      </c>
      <c r="L702" s="268" t="str">
        <f t="shared" si="140"/>
        <v>Simple</v>
      </c>
      <c r="M702" s="197">
        <v>34010.137399288491</v>
      </c>
      <c r="N702" s="197">
        <v>0</v>
      </c>
      <c r="O702" s="257">
        <f>IF(ISNA(MATCH(H702,'Operating leases'!$B$32:$B$43,0)),0,INDEX('Operating leases'!$M$32:$S$43,MATCH(H702,'Operating leases'!$B$32:$B$43,0),MATCH(J702,'Operating leases'!$M$11:$S$11,0)))</f>
        <v>0</v>
      </c>
      <c r="P702" s="257">
        <f t="shared" si="141"/>
        <v>34010.137399288491</v>
      </c>
      <c r="Q702" s="257">
        <f t="shared" si="142"/>
        <v>34010.137399288491</v>
      </c>
      <c r="R702" s="258">
        <f>INDEX('Escalators '!$M$124:$S$129,MATCH(I702,'Escalators '!$B$124:$B$129,0),MATCH(J702,'Escalators '!$M$113:$S$113,0))</f>
        <v>1.0272672933956697</v>
      </c>
      <c r="S702" s="257">
        <f t="shared" si="143"/>
        <v>0</v>
      </c>
      <c r="T702" s="257">
        <f t="shared" si="144"/>
        <v>0</v>
      </c>
      <c r="U702" s="269">
        <f t="shared" si="145"/>
        <v>34937.501794181931</v>
      </c>
      <c r="V702" s="269">
        <f t="shared" si="146"/>
        <v>34937.501794181931</v>
      </c>
      <c r="W702" s="269">
        <f t="shared" si="147"/>
        <v>34937.501794181931</v>
      </c>
      <c r="X702" s="257">
        <f t="shared" si="148"/>
        <v>34937.501794181931</v>
      </c>
      <c r="Y702" s="270">
        <f>IF(L702="Complex",(INDEX('Escalators '!$M$176:$S$176,MATCH('Forecast capex'!J702,'Escalators '!$M$178:$S$178,0))/12+1)^((K702-J702)*12)-1,0)</f>
        <v>0</v>
      </c>
      <c r="Z702" s="257">
        <f t="shared" si="149"/>
        <v>0</v>
      </c>
      <c r="AA702" s="257">
        <f t="shared" si="150"/>
        <v>0</v>
      </c>
      <c r="AB702" s="269">
        <f t="shared" si="151"/>
        <v>0</v>
      </c>
      <c r="AC702" s="269">
        <f t="shared" si="152"/>
        <v>0</v>
      </c>
      <c r="AD702" s="271" t="str">
        <f>INDEX('Global inputs'!$C$134:$C$171,MATCH(F702,'Global inputs'!$B$134:$B$171,0))</f>
        <v xml:space="preserve">System growth </v>
      </c>
      <c r="AE702" s="272">
        <f>IF(OR(H702='Operating leases'!$B$32,H702='Operating leases'!$B$33),"",INDEX('Global inputs'!$C$186:$C$243,MATCH(E702,'Global inputs'!$B$186:$B$243,0)))</f>
        <v>0.08</v>
      </c>
    </row>
    <row r="703" spans="1:31" s="27" customFormat="1" x14ac:dyDescent="0.2">
      <c r="A703" s="250"/>
      <c r="B703" s="210" t="s">
        <v>746</v>
      </c>
      <c r="C703" s="210" t="s">
        <v>287</v>
      </c>
      <c r="D703" s="210" t="s">
        <v>729</v>
      </c>
      <c r="E703" s="210" t="s">
        <v>150</v>
      </c>
      <c r="F703" s="210" t="s">
        <v>86</v>
      </c>
      <c r="G703" s="210" t="s">
        <v>731</v>
      </c>
      <c r="H703" s="197">
        <v>0</v>
      </c>
      <c r="I703" s="210" t="s">
        <v>225</v>
      </c>
      <c r="J703" s="210">
        <v>2022</v>
      </c>
      <c r="K703" s="210">
        <v>2022</v>
      </c>
      <c r="L703" s="268" t="str">
        <f t="shared" si="140"/>
        <v>Simple</v>
      </c>
      <c r="M703" s="197">
        <v>45346.849865717995</v>
      </c>
      <c r="N703" s="197">
        <v>0</v>
      </c>
      <c r="O703" s="257">
        <f>IF(ISNA(MATCH(H703,'Operating leases'!$B$32:$B$43,0)),0,INDEX('Operating leases'!$M$32:$S$43,MATCH(H703,'Operating leases'!$B$32:$B$43,0),MATCH(J703,'Operating leases'!$M$11:$S$11,0)))</f>
        <v>0</v>
      </c>
      <c r="P703" s="257">
        <f t="shared" si="141"/>
        <v>45346.849865717995</v>
      </c>
      <c r="Q703" s="257">
        <f t="shared" si="142"/>
        <v>45346.849865717995</v>
      </c>
      <c r="R703" s="258">
        <f>INDEX('Escalators '!$M$124:$S$129,MATCH(I703,'Escalators '!$B$124:$B$129,0),MATCH(J703,'Escalators '!$M$113:$S$113,0))</f>
        <v>1.0390620061247575</v>
      </c>
      <c r="S703" s="257">
        <f t="shared" si="143"/>
        <v>0</v>
      </c>
      <c r="T703" s="257">
        <f t="shared" si="144"/>
        <v>0</v>
      </c>
      <c r="U703" s="269">
        <f t="shared" si="145"/>
        <v>47118.188792911133</v>
      </c>
      <c r="V703" s="269">
        <f t="shared" si="146"/>
        <v>47118.188792911133</v>
      </c>
      <c r="W703" s="269">
        <f t="shared" si="147"/>
        <v>47118.188792911133</v>
      </c>
      <c r="X703" s="257">
        <f t="shared" si="148"/>
        <v>47118.188792911133</v>
      </c>
      <c r="Y703" s="270">
        <f>IF(L703="Complex",(INDEX('Escalators '!$M$176:$S$176,MATCH('Forecast capex'!J703,'Escalators '!$M$178:$S$178,0))/12+1)^((K703-J703)*12)-1,0)</f>
        <v>0</v>
      </c>
      <c r="Z703" s="257">
        <f t="shared" si="149"/>
        <v>0</v>
      </c>
      <c r="AA703" s="257">
        <f t="shared" si="150"/>
        <v>0</v>
      </c>
      <c r="AB703" s="269">
        <f t="shared" si="151"/>
        <v>0</v>
      </c>
      <c r="AC703" s="269">
        <f t="shared" si="152"/>
        <v>0</v>
      </c>
      <c r="AD703" s="271" t="str">
        <f>INDEX('Global inputs'!$C$134:$C$171,MATCH(F703,'Global inputs'!$B$134:$B$171,0))</f>
        <v xml:space="preserve">System growth </v>
      </c>
      <c r="AE703" s="272">
        <f>IF(OR(H703='Operating leases'!$B$32,H703='Operating leases'!$B$33),"",INDEX('Global inputs'!$C$186:$C$243,MATCH(E703,'Global inputs'!$B$186:$B$243,0)))</f>
        <v>0.08</v>
      </c>
    </row>
    <row r="704" spans="1:31" s="27" customFormat="1" x14ac:dyDescent="0.2">
      <c r="A704" s="250"/>
      <c r="B704" s="210" t="s">
        <v>746</v>
      </c>
      <c r="C704" s="210" t="s">
        <v>287</v>
      </c>
      <c r="D704" s="210" t="s">
        <v>729</v>
      </c>
      <c r="E704" s="210" t="s">
        <v>150</v>
      </c>
      <c r="F704" s="210" t="s">
        <v>86</v>
      </c>
      <c r="G704" s="210" t="s">
        <v>731</v>
      </c>
      <c r="H704" s="197">
        <v>0</v>
      </c>
      <c r="I704" s="210" t="s">
        <v>221</v>
      </c>
      <c r="J704" s="210">
        <v>2022</v>
      </c>
      <c r="K704" s="210">
        <v>2022</v>
      </c>
      <c r="L704" s="268" t="str">
        <f t="shared" si="140"/>
        <v>Simple</v>
      </c>
      <c r="M704" s="197">
        <v>181387.39946287198</v>
      </c>
      <c r="N704" s="197">
        <v>0</v>
      </c>
      <c r="O704" s="257">
        <f>IF(ISNA(MATCH(H704,'Operating leases'!$B$32:$B$43,0)),0,INDEX('Operating leases'!$M$32:$S$43,MATCH(H704,'Operating leases'!$B$32:$B$43,0),MATCH(J704,'Operating leases'!$M$11:$S$11,0)))</f>
        <v>0</v>
      </c>
      <c r="P704" s="257">
        <f t="shared" si="141"/>
        <v>181387.39946287198</v>
      </c>
      <c r="Q704" s="257">
        <f t="shared" si="142"/>
        <v>181387.39946287198</v>
      </c>
      <c r="R704" s="258">
        <f>INDEX('Escalators '!$M$124:$S$129,MATCH(I704,'Escalators '!$B$124:$B$129,0),MATCH(J704,'Escalators '!$M$113:$S$113,0))</f>
        <v>1.0272672933956697</v>
      </c>
      <c r="S704" s="257">
        <f t="shared" si="143"/>
        <v>0</v>
      </c>
      <c r="T704" s="257">
        <f t="shared" si="144"/>
        <v>0</v>
      </c>
      <c r="U704" s="269">
        <f t="shared" si="145"/>
        <v>186333.34290230364</v>
      </c>
      <c r="V704" s="269">
        <f t="shared" si="146"/>
        <v>186333.34290230364</v>
      </c>
      <c r="W704" s="269">
        <f t="shared" si="147"/>
        <v>186333.34290230364</v>
      </c>
      <c r="X704" s="257">
        <f t="shared" si="148"/>
        <v>186333.34290230364</v>
      </c>
      <c r="Y704" s="270">
        <f>IF(L704="Complex",(INDEX('Escalators '!$M$176:$S$176,MATCH('Forecast capex'!J704,'Escalators '!$M$178:$S$178,0))/12+1)^((K704-J704)*12)-1,0)</f>
        <v>0</v>
      </c>
      <c r="Z704" s="257">
        <f t="shared" si="149"/>
        <v>0</v>
      </c>
      <c r="AA704" s="257">
        <f t="shared" si="150"/>
        <v>0</v>
      </c>
      <c r="AB704" s="269">
        <f t="shared" si="151"/>
        <v>0</v>
      </c>
      <c r="AC704" s="269">
        <f t="shared" si="152"/>
        <v>0</v>
      </c>
      <c r="AD704" s="271" t="str">
        <f>INDEX('Global inputs'!$C$134:$C$171,MATCH(F704,'Global inputs'!$B$134:$B$171,0))</f>
        <v xml:space="preserve">System growth </v>
      </c>
      <c r="AE704" s="272">
        <f>IF(OR(H704='Operating leases'!$B$32,H704='Operating leases'!$B$33),"",INDEX('Global inputs'!$C$186:$C$243,MATCH(E704,'Global inputs'!$B$186:$B$243,0)))</f>
        <v>0.08</v>
      </c>
    </row>
    <row r="705" spans="1:31" s="27" customFormat="1" x14ac:dyDescent="0.2">
      <c r="A705" s="250"/>
      <c r="B705" s="210" t="s">
        <v>746</v>
      </c>
      <c r="C705" s="210" t="s">
        <v>287</v>
      </c>
      <c r="D705" s="210" t="s">
        <v>729</v>
      </c>
      <c r="E705" s="210" t="s">
        <v>151</v>
      </c>
      <c r="F705" s="210" t="s">
        <v>86</v>
      </c>
      <c r="G705" s="210" t="s">
        <v>731</v>
      </c>
      <c r="H705" s="197">
        <v>0</v>
      </c>
      <c r="I705" s="210" t="s">
        <v>225</v>
      </c>
      <c r="J705" s="210">
        <v>2022</v>
      </c>
      <c r="K705" s="210">
        <v>2022</v>
      </c>
      <c r="L705" s="268" t="str">
        <f t="shared" si="140"/>
        <v>Simple</v>
      </c>
      <c r="M705" s="197">
        <v>45346.849865717995</v>
      </c>
      <c r="N705" s="197">
        <v>0</v>
      </c>
      <c r="O705" s="257">
        <f>IF(ISNA(MATCH(H705,'Operating leases'!$B$32:$B$43,0)),0,INDEX('Operating leases'!$M$32:$S$43,MATCH(H705,'Operating leases'!$B$32:$B$43,0),MATCH(J705,'Operating leases'!$M$11:$S$11,0)))</f>
        <v>0</v>
      </c>
      <c r="P705" s="257">
        <f t="shared" si="141"/>
        <v>45346.849865717995</v>
      </c>
      <c r="Q705" s="257">
        <f t="shared" si="142"/>
        <v>45346.849865717995</v>
      </c>
      <c r="R705" s="258">
        <f>INDEX('Escalators '!$M$124:$S$129,MATCH(I705,'Escalators '!$B$124:$B$129,0),MATCH(J705,'Escalators '!$M$113:$S$113,0))</f>
        <v>1.0390620061247575</v>
      </c>
      <c r="S705" s="257">
        <f t="shared" si="143"/>
        <v>0</v>
      </c>
      <c r="T705" s="257">
        <f t="shared" si="144"/>
        <v>0</v>
      </c>
      <c r="U705" s="269">
        <f t="shared" si="145"/>
        <v>47118.188792911133</v>
      </c>
      <c r="V705" s="269">
        <f t="shared" si="146"/>
        <v>47118.188792911133</v>
      </c>
      <c r="W705" s="269">
        <f t="shared" si="147"/>
        <v>47118.188792911133</v>
      </c>
      <c r="X705" s="257">
        <f t="shared" si="148"/>
        <v>47118.188792911133</v>
      </c>
      <c r="Y705" s="270">
        <f>IF(L705="Complex",(INDEX('Escalators '!$M$176:$S$176,MATCH('Forecast capex'!J705,'Escalators '!$M$178:$S$178,0))/12+1)^((K705-J705)*12)-1,0)</f>
        <v>0</v>
      </c>
      <c r="Z705" s="257">
        <f t="shared" si="149"/>
        <v>0</v>
      </c>
      <c r="AA705" s="257">
        <f t="shared" si="150"/>
        <v>0</v>
      </c>
      <c r="AB705" s="269">
        <f t="shared" si="151"/>
        <v>0</v>
      </c>
      <c r="AC705" s="269">
        <f t="shared" si="152"/>
        <v>0</v>
      </c>
      <c r="AD705" s="271" t="str">
        <f>INDEX('Global inputs'!$C$134:$C$171,MATCH(F705,'Global inputs'!$B$134:$B$171,0))</f>
        <v xml:space="preserve">System growth </v>
      </c>
      <c r="AE705" s="272">
        <f>IF(OR(H705='Operating leases'!$B$32,H705='Operating leases'!$B$33),"",INDEX('Global inputs'!$C$186:$C$243,MATCH(E705,'Global inputs'!$B$186:$B$243,0)))</f>
        <v>0.1</v>
      </c>
    </row>
    <row r="706" spans="1:31" s="27" customFormat="1" x14ac:dyDescent="0.2">
      <c r="A706" s="250"/>
      <c r="B706" s="210" t="s">
        <v>746</v>
      </c>
      <c r="C706" s="210" t="s">
        <v>287</v>
      </c>
      <c r="D706" s="210" t="s">
        <v>729</v>
      </c>
      <c r="E706" s="210" t="s">
        <v>151</v>
      </c>
      <c r="F706" s="210" t="s">
        <v>86</v>
      </c>
      <c r="G706" s="210" t="s">
        <v>731</v>
      </c>
      <c r="H706" s="197">
        <v>0</v>
      </c>
      <c r="I706" s="210" t="s">
        <v>221</v>
      </c>
      <c r="J706" s="210">
        <v>2022</v>
      </c>
      <c r="K706" s="210">
        <v>2022</v>
      </c>
      <c r="L706" s="268" t="str">
        <f t="shared" si="140"/>
        <v>Simple</v>
      </c>
      <c r="M706" s="197">
        <v>181387.39946287198</v>
      </c>
      <c r="N706" s="197">
        <v>0</v>
      </c>
      <c r="O706" s="257">
        <f>IF(ISNA(MATCH(H706,'Operating leases'!$B$32:$B$43,0)),0,INDEX('Operating leases'!$M$32:$S$43,MATCH(H706,'Operating leases'!$B$32:$B$43,0),MATCH(J706,'Operating leases'!$M$11:$S$11,0)))</f>
        <v>0</v>
      </c>
      <c r="P706" s="257">
        <f t="shared" si="141"/>
        <v>181387.39946287198</v>
      </c>
      <c r="Q706" s="257">
        <f t="shared" si="142"/>
        <v>181387.39946287198</v>
      </c>
      <c r="R706" s="258">
        <f>INDEX('Escalators '!$M$124:$S$129,MATCH(I706,'Escalators '!$B$124:$B$129,0),MATCH(J706,'Escalators '!$M$113:$S$113,0))</f>
        <v>1.0272672933956697</v>
      </c>
      <c r="S706" s="257">
        <f t="shared" si="143"/>
        <v>0</v>
      </c>
      <c r="T706" s="257">
        <f t="shared" si="144"/>
        <v>0</v>
      </c>
      <c r="U706" s="269">
        <f t="shared" si="145"/>
        <v>186333.34290230364</v>
      </c>
      <c r="V706" s="269">
        <f t="shared" si="146"/>
        <v>186333.34290230364</v>
      </c>
      <c r="W706" s="269">
        <f t="shared" si="147"/>
        <v>186333.34290230364</v>
      </c>
      <c r="X706" s="257">
        <f t="shared" si="148"/>
        <v>186333.34290230364</v>
      </c>
      <c r="Y706" s="270">
        <f>IF(L706="Complex",(INDEX('Escalators '!$M$176:$S$176,MATCH('Forecast capex'!J706,'Escalators '!$M$178:$S$178,0))/12+1)^((K706-J706)*12)-1,0)</f>
        <v>0</v>
      </c>
      <c r="Z706" s="257">
        <f t="shared" si="149"/>
        <v>0</v>
      </c>
      <c r="AA706" s="257">
        <f t="shared" si="150"/>
        <v>0</v>
      </c>
      <c r="AB706" s="269">
        <f t="shared" si="151"/>
        <v>0</v>
      </c>
      <c r="AC706" s="269">
        <f t="shared" si="152"/>
        <v>0</v>
      </c>
      <c r="AD706" s="271" t="str">
        <f>INDEX('Global inputs'!$C$134:$C$171,MATCH(F706,'Global inputs'!$B$134:$B$171,0))</f>
        <v xml:space="preserve">System growth </v>
      </c>
      <c r="AE706" s="272">
        <f>IF(OR(H706='Operating leases'!$B$32,H706='Operating leases'!$B$33),"",INDEX('Global inputs'!$C$186:$C$243,MATCH(E706,'Global inputs'!$B$186:$B$243,0)))</f>
        <v>0.1</v>
      </c>
    </row>
    <row r="707" spans="1:31" s="27" customFormat="1" x14ac:dyDescent="0.2">
      <c r="A707" s="250"/>
      <c r="B707" s="210" t="s">
        <v>746</v>
      </c>
      <c r="C707" s="210" t="s">
        <v>287</v>
      </c>
      <c r="D707" s="210" t="s">
        <v>729</v>
      </c>
      <c r="E707" s="210" t="s">
        <v>153</v>
      </c>
      <c r="F707" s="210" t="s">
        <v>86</v>
      </c>
      <c r="G707" s="210" t="s">
        <v>737</v>
      </c>
      <c r="H707" s="197">
        <v>0</v>
      </c>
      <c r="I707" s="210" t="s">
        <v>225</v>
      </c>
      <c r="J707" s="210">
        <v>2022</v>
      </c>
      <c r="K707" s="210">
        <v>2022</v>
      </c>
      <c r="L707" s="268" t="str">
        <f t="shared" si="140"/>
        <v>Simple</v>
      </c>
      <c r="M707" s="197">
        <v>8502.5343498221246</v>
      </c>
      <c r="N707" s="197">
        <v>0</v>
      </c>
      <c r="O707" s="257">
        <f>IF(ISNA(MATCH(H707,'Operating leases'!$B$32:$B$43,0)),0,INDEX('Operating leases'!$M$32:$S$43,MATCH(H707,'Operating leases'!$B$32:$B$43,0),MATCH(J707,'Operating leases'!$M$11:$S$11,0)))</f>
        <v>0</v>
      </c>
      <c r="P707" s="257">
        <f t="shared" si="141"/>
        <v>8502.5343498221246</v>
      </c>
      <c r="Q707" s="257">
        <f t="shared" si="142"/>
        <v>8502.5343498221246</v>
      </c>
      <c r="R707" s="258">
        <f>INDEX('Escalators '!$M$124:$S$129,MATCH(I707,'Escalators '!$B$124:$B$129,0),MATCH(J707,'Escalators '!$M$113:$S$113,0))</f>
        <v>1.0390620061247575</v>
      </c>
      <c r="S707" s="257">
        <f t="shared" si="143"/>
        <v>0</v>
      </c>
      <c r="T707" s="257">
        <f t="shared" si="144"/>
        <v>0</v>
      </c>
      <c r="U707" s="269">
        <f t="shared" si="145"/>
        <v>8834.6603986708378</v>
      </c>
      <c r="V707" s="269">
        <f t="shared" si="146"/>
        <v>8834.6603986708378</v>
      </c>
      <c r="W707" s="269">
        <f t="shared" si="147"/>
        <v>8834.6603986708378</v>
      </c>
      <c r="X707" s="257">
        <f t="shared" si="148"/>
        <v>8834.6603986708378</v>
      </c>
      <c r="Y707" s="270">
        <f>IF(L707="Complex",(INDEX('Escalators '!$M$176:$S$176,MATCH('Forecast capex'!J707,'Escalators '!$M$178:$S$178,0))/12+1)^((K707-J707)*12)-1,0)</f>
        <v>0</v>
      </c>
      <c r="Z707" s="257">
        <f t="shared" si="149"/>
        <v>0</v>
      </c>
      <c r="AA707" s="257">
        <f t="shared" si="150"/>
        <v>0</v>
      </c>
      <c r="AB707" s="269">
        <f t="shared" si="151"/>
        <v>0</v>
      </c>
      <c r="AC707" s="269">
        <f t="shared" si="152"/>
        <v>0</v>
      </c>
      <c r="AD707" s="271" t="str">
        <f>INDEX('Global inputs'!$C$134:$C$171,MATCH(F707,'Global inputs'!$B$134:$B$171,0))</f>
        <v xml:space="preserve">System growth </v>
      </c>
      <c r="AE707" s="272">
        <f>IF(OR(H707='Operating leases'!$B$32,H707='Operating leases'!$B$33),"",INDEX('Global inputs'!$C$186:$C$243,MATCH(E707,'Global inputs'!$B$186:$B$243,0)))</f>
        <v>0.08</v>
      </c>
    </row>
    <row r="708" spans="1:31" s="27" customFormat="1" x14ac:dyDescent="0.2">
      <c r="A708" s="250"/>
      <c r="B708" s="210" t="s">
        <v>746</v>
      </c>
      <c r="C708" s="210" t="s">
        <v>287</v>
      </c>
      <c r="D708" s="210" t="s">
        <v>729</v>
      </c>
      <c r="E708" s="210" t="s">
        <v>153</v>
      </c>
      <c r="F708" s="210" t="s">
        <v>86</v>
      </c>
      <c r="G708" s="210" t="s">
        <v>737</v>
      </c>
      <c r="H708" s="197">
        <v>0</v>
      </c>
      <c r="I708" s="210" t="s">
        <v>221</v>
      </c>
      <c r="J708" s="210">
        <v>2022</v>
      </c>
      <c r="K708" s="210">
        <v>2022</v>
      </c>
      <c r="L708" s="268" t="str">
        <f t="shared" si="140"/>
        <v>Simple</v>
      </c>
      <c r="M708" s="197">
        <v>34010.137399288498</v>
      </c>
      <c r="N708" s="197">
        <v>0</v>
      </c>
      <c r="O708" s="257">
        <f>IF(ISNA(MATCH(H708,'Operating leases'!$B$32:$B$43,0)),0,INDEX('Operating leases'!$M$32:$S$43,MATCH(H708,'Operating leases'!$B$32:$B$43,0),MATCH(J708,'Operating leases'!$M$11:$S$11,0)))</f>
        <v>0</v>
      </c>
      <c r="P708" s="257">
        <f t="shared" si="141"/>
        <v>34010.137399288498</v>
      </c>
      <c r="Q708" s="257">
        <f t="shared" si="142"/>
        <v>34010.137399288498</v>
      </c>
      <c r="R708" s="258">
        <f>INDEX('Escalators '!$M$124:$S$129,MATCH(I708,'Escalators '!$B$124:$B$129,0),MATCH(J708,'Escalators '!$M$113:$S$113,0))</f>
        <v>1.0272672933956697</v>
      </c>
      <c r="S708" s="257">
        <f t="shared" si="143"/>
        <v>0</v>
      </c>
      <c r="T708" s="257">
        <f t="shared" si="144"/>
        <v>0</v>
      </c>
      <c r="U708" s="269">
        <f t="shared" si="145"/>
        <v>34937.501794181939</v>
      </c>
      <c r="V708" s="269">
        <f t="shared" si="146"/>
        <v>34937.501794181939</v>
      </c>
      <c r="W708" s="269">
        <f t="shared" si="147"/>
        <v>34937.501794181939</v>
      </c>
      <c r="X708" s="257">
        <f t="shared" si="148"/>
        <v>34937.501794181939</v>
      </c>
      <c r="Y708" s="270">
        <f>IF(L708="Complex",(INDEX('Escalators '!$M$176:$S$176,MATCH('Forecast capex'!J708,'Escalators '!$M$178:$S$178,0))/12+1)^((K708-J708)*12)-1,0)</f>
        <v>0</v>
      </c>
      <c r="Z708" s="257">
        <f t="shared" si="149"/>
        <v>0</v>
      </c>
      <c r="AA708" s="257">
        <f t="shared" si="150"/>
        <v>0</v>
      </c>
      <c r="AB708" s="269">
        <f t="shared" si="151"/>
        <v>0</v>
      </c>
      <c r="AC708" s="269">
        <f t="shared" si="152"/>
        <v>0</v>
      </c>
      <c r="AD708" s="271" t="str">
        <f>INDEX('Global inputs'!$C$134:$C$171,MATCH(F708,'Global inputs'!$B$134:$B$171,0))</f>
        <v xml:space="preserve">System growth </v>
      </c>
      <c r="AE708" s="272">
        <f>IF(OR(H708='Operating leases'!$B$32,H708='Operating leases'!$B$33),"",INDEX('Global inputs'!$C$186:$C$243,MATCH(E708,'Global inputs'!$B$186:$B$243,0)))</f>
        <v>0.08</v>
      </c>
    </row>
    <row r="709" spans="1:31" s="27" customFormat="1" x14ac:dyDescent="0.2">
      <c r="A709" s="250"/>
      <c r="B709" s="210" t="s">
        <v>746</v>
      </c>
      <c r="C709" s="210" t="s">
        <v>287</v>
      </c>
      <c r="D709" s="210" t="s">
        <v>729</v>
      </c>
      <c r="E709" s="210" t="s">
        <v>154</v>
      </c>
      <c r="F709" s="210" t="s">
        <v>86</v>
      </c>
      <c r="G709" s="210" t="s">
        <v>737</v>
      </c>
      <c r="H709" s="197">
        <v>0</v>
      </c>
      <c r="I709" s="210" t="s">
        <v>225</v>
      </c>
      <c r="J709" s="210">
        <v>2022</v>
      </c>
      <c r="K709" s="210">
        <v>2022</v>
      </c>
      <c r="L709" s="268" t="str">
        <f t="shared" si="140"/>
        <v>Simple</v>
      </c>
      <c r="M709" s="197">
        <v>8502.5343498221246</v>
      </c>
      <c r="N709" s="197">
        <v>0</v>
      </c>
      <c r="O709" s="257">
        <f>IF(ISNA(MATCH(H709,'Operating leases'!$B$32:$B$43,0)),0,INDEX('Operating leases'!$M$32:$S$43,MATCH(H709,'Operating leases'!$B$32:$B$43,0),MATCH(J709,'Operating leases'!$M$11:$S$11,0)))</f>
        <v>0</v>
      </c>
      <c r="P709" s="257">
        <f t="shared" si="141"/>
        <v>8502.5343498221246</v>
      </c>
      <c r="Q709" s="257">
        <f t="shared" si="142"/>
        <v>8502.5343498221246</v>
      </c>
      <c r="R709" s="258">
        <f>INDEX('Escalators '!$M$124:$S$129,MATCH(I709,'Escalators '!$B$124:$B$129,0),MATCH(J709,'Escalators '!$M$113:$S$113,0))</f>
        <v>1.0390620061247575</v>
      </c>
      <c r="S709" s="257">
        <f t="shared" si="143"/>
        <v>0</v>
      </c>
      <c r="T709" s="257">
        <f t="shared" si="144"/>
        <v>0</v>
      </c>
      <c r="U709" s="269">
        <f t="shared" si="145"/>
        <v>8834.6603986708378</v>
      </c>
      <c r="V709" s="269">
        <f t="shared" si="146"/>
        <v>8834.6603986708378</v>
      </c>
      <c r="W709" s="269">
        <f t="shared" si="147"/>
        <v>8834.6603986708378</v>
      </c>
      <c r="X709" s="257">
        <f t="shared" si="148"/>
        <v>8834.6603986708378</v>
      </c>
      <c r="Y709" s="270">
        <f>IF(L709="Complex",(INDEX('Escalators '!$M$176:$S$176,MATCH('Forecast capex'!J709,'Escalators '!$M$178:$S$178,0))/12+1)^((K709-J709)*12)-1,0)</f>
        <v>0</v>
      </c>
      <c r="Z709" s="257">
        <f t="shared" si="149"/>
        <v>0</v>
      </c>
      <c r="AA709" s="257">
        <f t="shared" si="150"/>
        <v>0</v>
      </c>
      <c r="AB709" s="269">
        <f t="shared" si="151"/>
        <v>0</v>
      </c>
      <c r="AC709" s="269">
        <f t="shared" si="152"/>
        <v>0</v>
      </c>
      <c r="AD709" s="271" t="str">
        <f>INDEX('Global inputs'!$C$134:$C$171,MATCH(F709,'Global inputs'!$B$134:$B$171,0))</f>
        <v xml:space="preserve">System growth </v>
      </c>
      <c r="AE709" s="272">
        <f>IF(OR(H709='Operating leases'!$B$32,H709='Operating leases'!$B$33),"",INDEX('Global inputs'!$C$186:$C$243,MATCH(E709,'Global inputs'!$B$186:$B$243,0)))</f>
        <v>0.1</v>
      </c>
    </row>
    <row r="710" spans="1:31" s="27" customFormat="1" x14ac:dyDescent="0.2">
      <c r="A710" s="250"/>
      <c r="B710" s="210" t="s">
        <v>746</v>
      </c>
      <c r="C710" s="210" t="s">
        <v>287</v>
      </c>
      <c r="D710" s="210" t="s">
        <v>729</v>
      </c>
      <c r="E710" s="210" t="s">
        <v>154</v>
      </c>
      <c r="F710" s="210" t="s">
        <v>86</v>
      </c>
      <c r="G710" s="210" t="s">
        <v>737</v>
      </c>
      <c r="H710" s="197">
        <v>0</v>
      </c>
      <c r="I710" s="210" t="s">
        <v>221</v>
      </c>
      <c r="J710" s="210">
        <v>2022</v>
      </c>
      <c r="K710" s="210">
        <v>2022</v>
      </c>
      <c r="L710" s="268" t="str">
        <f t="shared" si="140"/>
        <v>Simple</v>
      </c>
      <c r="M710" s="197">
        <v>34010.137399288498</v>
      </c>
      <c r="N710" s="197">
        <v>0</v>
      </c>
      <c r="O710" s="257">
        <f>IF(ISNA(MATCH(H710,'Operating leases'!$B$32:$B$43,0)),0,INDEX('Operating leases'!$M$32:$S$43,MATCH(H710,'Operating leases'!$B$32:$B$43,0),MATCH(J710,'Operating leases'!$M$11:$S$11,0)))</f>
        <v>0</v>
      </c>
      <c r="P710" s="257">
        <f t="shared" si="141"/>
        <v>34010.137399288498</v>
      </c>
      <c r="Q710" s="257">
        <f t="shared" si="142"/>
        <v>34010.137399288498</v>
      </c>
      <c r="R710" s="258">
        <f>INDEX('Escalators '!$M$124:$S$129,MATCH(I710,'Escalators '!$B$124:$B$129,0),MATCH(J710,'Escalators '!$M$113:$S$113,0))</f>
        <v>1.0272672933956697</v>
      </c>
      <c r="S710" s="257">
        <f t="shared" si="143"/>
        <v>0</v>
      </c>
      <c r="T710" s="257">
        <f t="shared" si="144"/>
        <v>0</v>
      </c>
      <c r="U710" s="269">
        <f t="shared" si="145"/>
        <v>34937.501794181939</v>
      </c>
      <c r="V710" s="269">
        <f t="shared" si="146"/>
        <v>34937.501794181939</v>
      </c>
      <c r="W710" s="269">
        <f t="shared" si="147"/>
        <v>34937.501794181939</v>
      </c>
      <c r="X710" s="257">
        <f t="shared" si="148"/>
        <v>34937.501794181939</v>
      </c>
      <c r="Y710" s="270">
        <f>IF(L710="Complex",(INDEX('Escalators '!$M$176:$S$176,MATCH('Forecast capex'!J710,'Escalators '!$M$178:$S$178,0))/12+1)^((K710-J710)*12)-1,0)</f>
        <v>0</v>
      </c>
      <c r="Z710" s="257">
        <f t="shared" si="149"/>
        <v>0</v>
      </c>
      <c r="AA710" s="257">
        <f t="shared" si="150"/>
        <v>0</v>
      </c>
      <c r="AB710" s="269">
        <f t="shared" si="151"/>
        <v>0</v>
      </c>
      <c r="AC710" s="269">
        <f t="shared" si="152"/>
        <v>0</v>
      </c>
      <c r="AD710" s="271" t="str">
        <f>INDEX('Global inputs'!$C$134:$C$171,MATCH(F710,'Global inputs'!$B$134:$B$171,0))</f>
        <v xml:space="preserve">System growth </v>
      </c>
      <c r="AE710" s="272">
        <f>IF(OR(H710='Operating leases'!$B$32,H710='Operating leases'!$B$33),"",INDEX('Global inputs'!$C$186:$C$243,MATCH(E710,'Global inputs'!$B$186:$B$243,0)))</f>
        <v>0.1</v>
      </c>
    </row>
    <row r="711" spans="1:31" s="27" customFormat="1" x14ac:dyDescent="0.2">
      <c r="A711" s="250"/>
      <c r="B711" s="210" t="s">
        <v>742</v>
      </c>
      <c r="C711" s="210" t="s">
        <v>287</v>
      </c>
      <c r="D711" s="210" t="s">
        <v>715</v>
      </c>
      <c r="E711" s="210" t="s">
        <v>150</v>
      </c>
      <c r="F711" s="210" t="s">
        <v>99</v>
      </c>
      <c r="G711" s="210" t="s">
        <v>716</v>
      </c>
      <c r="H711" s="197">
        <v>0</v>
      </c>
      <c r="I711" s="210" t="s">
        <v>229</v>
      </c>
      <c r="J711" s="210">
        <v>2022</v>
      </c>
      <c r="K711" s="210">
        <v>2022</v>
      </c>
      <c r="L711" s="268" t="str">
        <f t="shared" si="140"/>
        <v>Simple</v>
      </c>
      <c r="M711" s="197">
        <v>5757000</v>
      </c>
      <c r="N711" s="197">
        <v>0</v>
      </c>
      <c r="O711" s="257">
        <f>IF(ISNA(MATCH(H711,'Operating leases'!$B$32:$B$43,0)),0,INDEX('Operating leases'!$M$32:$S$43,MATCH(H711,'Operating leases'!$B$32:$B$43,0),MATCH(J711,'Operating leases'!$M$11:$S$11,0)))</f>
        <v>0</v>
      </c>
      <c r="P711" s="257">
        <f t="shared" si="141"/>
        <v>5757000</v>
      </c>
      <c r="Q711" s="257">
        <f t="shared" si="142"/>
        <v>5757000</v>
      </c>
      <c r="R711" s="258">
        <f>INDEX('Escalators '!$M$124:$S$129,MATCH(I711,'Escalators '!$B$124:$B$129,0),MATCH(J711,'Escalators '!$M$113:$S$113,0))</f>
        <v>1.0379818100112963</v>
      </c>
      <c r="S711" s="257">
        <f t="shared" si="143"/>
        <v>0</v>
      </c>
      <c r="T711" s="257">
        <f t="shared" si="144"/>
        <v>0</v>
      </c>
      <c r="U711" s="269">
        <f t="shared" si="145"/>
        <v>5975661.2802350326</v>
      </c>
      <c r="V711" s="269">
        <f t="shared" si="146"/>
        <v>5975661.2802350326</v>
      </c>
      <c r="W711" s="269">
        <f t="shared" si="147"/>
        <v>5975661.2802350326</v>
      </c>
      <c r="X711" s="257">
        <f t="shared" si="148"/>
        <v>5975661.2802350326</v>
      </c>
      <c r="Y711" s="270">
        <f>IF(L711="Complex",(INDEX('Escalators '!$M$176:$S$176,MATCH('Forecast capex'!J711,'Escalators '!$M$178:$S$178,0))/12+1)^((K711-J711)*12)-1,0)</f>
        <v>0</v>
      </c>
      <c r="Z711" s="257">
        <f t="shared" si="149"/>
        <v>0</v>
      </c>
      <c r="AA711" s="257">
        <f t="shared" si="150"/>
        <v>0</v>
      </c>
      <c r="AB711" s="269">
        <f t="shared" si="151"/>
        <v>0</v>
      </c>
      <c r="AC711" s="269">
        <f t="shared" si="152"/>
        <v>0</v>
      </c>
      <c r="AD711" s="271" t="str">
        <f>INDEX('Global inputs'!$C$134:$C$171,MATCH(F711,'Global inputs'!$B$134:$B$171,0))</f>
        <v>Asset replacement and renewal</v>
      </c>
      <c r="AE711" s="272">
        <f>IF(OR(H711='Operating leases'!$B$32,H711='Operating leases'!$B$33),"",INDEX('Global inputs'!$C$186:$C$243,MATCH(E711,'Global inputs'!$B$186:$B$243,0)))</f>
        <v>0.08</v>
      </c>
    </row>
    <row r="712" spans="1:31" s="27" customFormat="1" x14ac:dyDescent="0.2">
      <c r="A712" s="250"/>
      <c r="B712" s="210" t="s">
        <v>742</v>
      </c>
      <c r="C712" s="210" t="s">
        <v>287</v>
      </c>
      <c r="D712" s="210" t="s">
        <v>715</v>
      </c>
      <c r="E712" s="210" t="s">
        <v>150</v>
      </c>
      <c r="F712" s="210" t="s">
        <v>99</v>
      </c>
      <c r="G712" s="210" t="s">
        <v>716</v>
      </c>
      <c r="H712" s="197">
        <v>0</v>
      </c>
      <c r="I712" s="210" t="s">
        <v>221</v>
      </c>
      <c r="J712" s="210">
        <v>2022</v>
      </c>
      <c r="K712" s="210">
        <v>2022</v>
      </c>
      <c r="L712" s="268" t="str">
        <f t="shared" si="140"/>
        <v>Simple</v>
      </c>
      <c r="M712" s="197">
        <v>5757000</v>
      </c>
      <c r="N712" s="197">
        <v>0</v>
      </c>
      <c r="O712" s="257">
        <f>IF(ISNA(MATCH(H712,'Operating leases'!$B$32:$B$43,0)),0,INDEX('Operating leases'!$M$32:$S$43,MATCH(H712,'Operating leases'!$B$32:$B$43,0),MATCH(J712,'Operating leases'!$M$11:$S$11,0)))</f>
        <v>0</v>
      </c>
      <c r="P712" s="257">
        <f t="shared" si="141"/>
        <v>5757000</v>
      </c>
      <c r="Q712" s="257">
        <f t="shared" si="142"/>
        <v>5757000</v>
      </c>
      <c r="R712" s="258">
        <f>INDEX('Escalators '!$M$124:$S$129,MATCH(I712,'Escalators '!$B$124:$B$129,0),MATCH(J712,'Escalators '!$M$113:$S$113,0))</f>
        <v>1.0272672933956697</v>
      </c>
      <c r="S712" s="257">
        <f t="shared" si="143"/>
        <v>0</v>
      </c>
      <c r="T712" s="257">
        <f t="shared" si="144"/>
        <v>0</v>
      </c>
      <c r="U712" s="269">
        <f t="shared" si="145"/>
        <v>5913977.8080788702</v>
      </c>
      <c r="V712" s="269">
        <f t="shared" si="146"/>
        <v>5913977.8080788702</v>
      </c>
      <c r="W712" s="269">
        <f t="shared" si="147"/>
        <v>5913977.8080788702</v>
      </c>
      <c r="X712" s="257">
        <f t="shared" si="148"/>
        <v>5913977.8080788702</v>
      </c>
      <c r="Y712" s="270">
        <f>IF(L712="Complex",(INDEX('Escalators '!$M$176:$S$176,MATCH('Forecast capex'!J712,'Escalators '!$M$178:$S$178,0))/12+1)^((K712-J712)*12)-1,0)</f>
        <v>0</v>
      </c>
      <c r="Z712" s="257">
        <f t="shared" si="149"/>
        <v>0</v>
      </c>
      <c r="AA712" s="257">
        <f t="shared" si="150"/>
        <v>0</v>
      </c>
      <c r="AB712" s="269">
        <f t="shared" si="151"/>
        <v>0</v>
      </c>
      <c r="AC712" s="269">
        <f t="shared" si="152"/>
        <v>0</v>
      </c>
      <c r="AD712" s="271" t="str">
        <f>INDEX('Global inputs'!$C$134:$C$171,MATCH(F712,'Global inputs'!$B$134:$B$171,0))</f>
        <v>Asset replacement and renewal</v>
      </c>
      <c r="AE712" s="272">
        <f>IF(OR(H712='Operating leases'!$B$32,H712='Operating leases'!$B$33),"",INDEX('Global inputs'!$C$186:$C$243,MATCH(E712,'Global inputs'!$B$186:$B$243,0)))</f>
        <v>0.08</v>
      </c>
    </row>
    <row r="713" spans="1:31" s="27" customFormat="1" x14ac:dyDescent="0.2">
      <c r="A713" s="250"/>
      <c r="B713" s="210" t="s">
        <v>742</v>
      </c>
      <c r="C713" s="210" t="s">
        <v>287</v>
      </c>
      <c r="D713" s="210" t="s">
        <v>715</v>
      </c>
      <c r="E713" s="210" t="s">
        <v>150</v>
      </c>
      <c r="F713" s="210" t="s">
        <v>101</v>
      </c>
      <c r="G713" s="210" t="s">
        <v>717</v>
      </c>
      <c r="H713" s="197">
        <v>0</v>
      </c>
      <c r="I713" s="210" t="s">
        <v>229</v>
      </c>
      <c r="J713" s="210">
        <v>2022</v>
      </c>
      <c r="K713" s="210">
        <v>2022</v>
      </c>
      <c r="L713" s="268" t="str">
        <f t="shared" si="140"/>
        <v>Simple</v>
      </c>
      <c r="M713" s="197">
        <v>3281429.2500000005</v>
      </c>
      <c r="N713" s="197">
        <v>0</v>
      </c>
      <c r="O713" s="257">
        <f>IF(ISNA(MATCH(H713,'Operating leases'!$B$32:$B$43,0)),0,INDEX('Operating leases'!$M$32:$S$43,MATCH(H713,'Operating leases'!$B$32:$B$43,0),MATCH(J713,'Operating leases'!$M$11:$S$11,0)))</f>
        <v>0</v>
      </c>
      <c r="P713" s="257">
        <f t="shared" si="141"/>
        <v>3281429.2500000005</v>
      </c>
      <c r="Q713" s="257">
        <f t="shared" si="142"/>
        <v>3281429.2500000005</v>
      </c>
      <c r="R713" s="258">
        <f>INDEX('Escalators '!$M$124:$S$129,MATCH(I713,'Escalators '!$B$124:$B$129,0),MATCH(J713,'Escalators '!$M$113:$S$113,0))</f>
        <v>1.0379818100112963</v>
      </c>
      <c r="S713" s="257">
        <f t="shared" si="143"/>
        <v>0</v>
      </c>
      <c r="T713" s="257">
        <f t="shared" si="144"/>
        <v>0</v>
      </c>
      <c r="U713" s="269">
        <f t="shared" si="145"/>
        <v>3406063.8723390112</v>
      </c>
      <c r="V713" s="269">
        <f t="shared" si="146"/>
        <v>3406063.8723390112</v>
      </c>
      <c r="W713" s="269">
        <f t="shared" si="147"/>
        <v>3406063.8723390112</v>
      </c>
      <c r="X713" s="257">
        <f t="shared" si="148"/>
        <v>3406063.8723390112</v>
      </c>
      <c r="Y713" s="270">
        <f>IF(L713="Complex",(INDEX('Escalators '!$M$176:$S$176,MATCH('Forecast capex'!J713,'Escalators '!$M$178:$S$178,0))/12+1)^((K713-J713)*12)-1,0)</f>
        <v>0</v>
      </c>
      <c r="Z713" s="257">
        <f t="shared" si="149"/>
        <v>0</v>
      </c>
      <c r="AA713" s="257">
        <f t="shared" si="150"/>
        <v>0</v>
      </c>
      <c r="AB713" s="269">
        <f t="shared" si="151"/>
        <v>0</v>
      </c>
      <c r="AC713" s="269">
        <f t="shared" si="152"/>
        <v>0</v>
      </c>
      <c r="AD713" s="271" t="str">
        <f>INDEX('Global inputs'!$C$134:$C$171,MATCH(F713,'Global inputs'!$B$134:$B$171,0))</f>
        <v>Asset replacement and renewal</v>
      </c>
      <c r="AE713" s="272">
        <f>IF(OR(H713='Operating leases'!$B$32,H713='Operating leases'!$B$33),"",INDEX('Global inputs'!$C$186:$C$243,MATCH(E713,'Global inputs'!$B$186:$B$243,0)))</f>
        <v>0.08</v>
      </c>
    </row>
    <row r="714" spans="1:31" s="27" customFormat="1" x14ac:dyDescent="0.2">
      <c r="A714" s="250"/>
      <c r="B714" s="210" t="s">
        <v>742</v>
      </c>
      <c r="C714" s="210" t="s">
        <v>287</v>
      </c>
      <c r="D714" s="210" t="s">
        <v>715</v>
      </c>
      <c r="E714" s="210" t="s">
        <v>150</v>
      </c>
      <c r="F714" s="210" t="s">
        <v>101</v>
      </c>
      <c r="G714" s="210" t="s">
        <v>717</v>
      </c>
      <c r="H714" s="197">
        <v>0</v>
      </c>
      <c r="I714" s="210" t="s">
        <v>221</v>
      </c>
      <c r="J714" s="210">
        <v>2022</v>
      </c>
      <c r="K714" s="210">
        <v>2022</v>
      </c>
      <c r="L714" s="268" t="str">
        <f t="shared" ref="L714:L777" si="153">IF(J714=K714,"Simple","Complex")</f>
        <v>Simple</v>
      </c>
      <c r="M714" s="197">
        <v>3281429.2500000005</v>
      </c>
      <c r="N714" s="197">
        <v>0</v>
      </c>
      <c r="O714" s="257">
        <f>IF(ISNA(MATCH(H714,'Operating leases'!$B$32:$B$43,0)),0,INDEX('Operating leases'!$M$32:$S$43,MATCH(H714,'Operating leases'!$B$32:$B$43,0),MATCH(J714,'Operating leases'!$M$11:$S$11,0)))</f>
        <v>0</v>
      </c>
      <c r="P714" s="257">
        <f t="shared" ref="P714:P777" si="154">O714+M714</f>
        <v>3281429.2500000005</v>
      </c>
      <c r="Q714" s="257">
        <f t="shared" ref="Q714:Q777" si="155">M714+N714+O714</f>
        <v>3281429.2500000005</v>
      </c>
      <c r="R714" s="258">
        <f>INDEX('Escalators '!$M$124:$S$129,MATCH(I714,'Escalators '!$B$124:$B$129,0),MATCH(J714,'Escalators '!$M$113:$S$113,0))</f>
        <v>1.0272672933956697</v>
      </c>
      <c r="S714" s="257">
        <f t="shared" ref="S714:S777" si="156">O714*R714</f>
        <v>0</v>
      </c>
      <c r="T714" s="257">
        <f t="shared" ref="T714:T777" si="157">N714*R714</f>
        <v>0</v>
      </c>
      <c r="U714" s="269">
        <f t="shared" ref="U714:U777" si="158">W714-S714</f>
        <v>3370904.944116883</v>
      </c>
      <c r="V714" s="269">
        <f t="shared" ref="V714:V777" si="159">U714+T714</f>
        <v>3370904.944116883</v>
      </c>
      <c r="W714" s="269">
        <f t="shared" ref="W714:W777" si="160">X714-T714</f>
        <v>3370904.944116883</v>
      </c>
      <c r="X714" s="257">
        <f t="shared" ref="X714:X777" si="161">Q714*R714</f>
        <v>3370904.944116883</v>
      </c>
      <c r="Y714" s="270">
        <f>IF(L714="Complex",(INDEX('Escalators '!$M$176:$S$176,MATCH('Forecast capex'!J714,'Escalators '!$M$178:$S$178,0))/12+1)^((K714-J714)*12)-1,0)</f>
        <v>0</v>
      </c>
      <c r="Z714" s="257">
        <f t="shared" ref="Z714:Z777" si="162">P714*Y714</f>
        <v>0</v>
      </c>
      <c r="AA714" s="257">
        <f t="shared" ref="AA714:AA777" si="163">W714*Y714</f>
        <v>0</v>
      </c>
      <c r="AB714" s="269">
        <f t="shared" ref="AB714:AB777" si="164">IF(L714="Complex",AC714-T714,0)</f>
        <v>0</v>
      </c>
      <c r="AC714" s="269">
        <f t="shared" ref="AC714:AC777" si="165">IF(L714="Complex",V714+AA714,0)</f>
        <v>0</v>
      </c>
      <c r="AD714" s="271" t="str">
        <f>INDEX('Global inputs'!$C$134:$C$171,MATCH(F714,'Global inputs'!$B$134:$B$171,0))</f>
        <v>Asset replacement and renewal</v>
      </c>
      <c r="AE714" s="272">
        <f>IF(OR(H714='Operating leases'!$B$32,H714='Operating leases'!$B$33),"",INDEX('Global inputs'!$C$186:$C$243,MATCH(E714,'Global inputs'!$B$186:$B$243,0)))</f>
        <v>0.08</v>
      </c>
    </row>
    <row r="715" spans="1:31" s="27" customFormat="1" x14ac:dyDescent="0.2">
      <c r="A715" s="250"/>
      <c r="B715" s="210" t="s">
        <v>742</v>
      </c>
      <c r="C715" s="210" t="s">
        <v>287</v>
      </c>
      <c r="D715" s="210" t="s">
        <v>729</v>
      </c>
      <c r="E715" s="210" t="s">
        <v>150</v>
      </c>
      <c r="F715" s="210" t="s">
        <v>103</v>
      </c>
      <c r="G715" s="210" t="s">
        <v>731</v>
      </c>
      <c r="H715" s="197">
        <v>0</v>
      </c>
      <c r="I715" s="210" t="s">
        <v>225</v>
      </c>
      <c r="J715" s="210">
        <v>2022</v>
      </c>
      <c r="K715" s="210">
        <v>2022</v>
      </c>
      <c r="L715" s="268" t="str">
        <f t="shared" si="153"/>
        <v>Simple</v>
      </c>
      <c r="M715" s="197">
        <v>891480</v>
      </c>
      <c r="N715" s="197">
        <v>0</v>
      </c>
      <c r="O715" s="257">
        <f>IF(ISNA(MATCH(H715,'Operating leases'!$B$32:$B$43,0)),0,INDEX('Operating leases'!$M$32:$S$43,MATCH(H715,'Operating leases'!$B$32:$B$43,0),MATCH(J715,'Operating leases'!$M$11:$S$11,0)))</f>
        <v>0</v>
      </c>
      <c r="P715" s="257">
        <f t="shared" si="154"/>
        <v>891480</v>
      </c>
      <c r="Q715" s="257">
        <f t="shared" si="155"/>
        <v>891480</v>
      </c>
      <c r="R715" s="258">
        <f>INDEX('Escalators '!$M$124:$S$129,MATCH(I715,'Escalators '!$B$124:$B$129,0),MATCH(J715,'Escalators '!$M$113:$S$113,0))</f>
        <v>1.0390620061247575</v>
      </c>
      <c r="S715" s="257">
        <f t="shared" si="156"/>
        <v>0</v>
      </c>
      <c r="T715" s="257">
        <f t="shared" si="157"/>
        <v>0</v>
      </c>
      <c r="U715" s="269">
        <f t="shared" si="158"/>
        <v>926302.99722009886</v>
      </c>
      <c r="V715" s="269">
        <f t="shared" si="159"/>
        <v>926302.99722009886</v>
      </c>
      <c r="W715" s="269">
        <f t="shared" si="160"/>
        <v>926302.99722009886</v>
      </c>
      <c r="X715" s="257">
        <f t="shared" si="161"/>
        <v>926302.99722009886</v>
      </c>
      <c r="Y715" s="270">
        <f>IF(L715="Complex",(INDEX('Escalators '!$M$176:$S$176,MATCH('Forecast capex'!J715,'Escalators '!$M$178:$S$178,0))/12+1)^((K715-J715)*12)-1,0)</f>
        <v>0</v>
      </c>
      <c r="Z715" s="257">
        <f t="shared" si="162"/>
        <v>0</v>
      </c>
      <c r="AA715" s="257">
        <f t="shared" si="163"/>
        <v>0</v>
      </c>
      <c r="AB715" s="269">
        <f t="shared" si="164"/>
        <v>0</v>
      </c>
      <c r="AC715" s="269">
        <f t="shared" si="165"/>
        <v>0</v>
      </c>
      <c r="AD715" s="271" t="str">
        <f>INDEX('Global inputs'!$C$134:$C$171,MATCH(F715,'Global inputs'!$B$134:$B$171,0))</f>
        <v>Asset replacement and renewal</v>
      </c>
      <c r="AE715" s="272">
        <f>IF(OR(H715='Operating leases'!$B$32,H715='Operating leases'!$B$33),"",INDEX('Global inputs'!$C$186:$C$243,MATCH(E715,'Global inputs'!$B$186:$B$243,0)))</f>
        <v>0.08</v>
      </c>
    </row>
    <row r="716" spans="1:31" s="27" customFormat="1" x14ac:dyDescent="0.2">
      <c r="A716" s="250"/>
      <c r="B716" s="210" t="s">
        <v>742</v>
      </c>
      <c r="C716" s="210" t="s">
        <v>287</v>
      </c>
      <c r="D716" s="210" t="s">
        <v>729</v>
      </c>
      <c r="E716" s="210" t="s">
        <v>150</v>
      </c>
      <c r="F716" s="210" t="s">
        <v>103</v>
      </c>
      <c r="G716" s="210" t="s">
        <v>731</v>
      </c>
      <c r="H716" s="197">
        <v>0</v>
      </c>
      <c r="I716" s="210" t="s">
        <v>221</v>
      </c>
      <c r="J716" s="210">
        <v>2022</v>
      </c>
      <c r="K716" s="210">
        <v>2022</v>
      </c>
      <c r="L716" s="268" t="str">
        <f t="shared" si="153"/>
        <v>Simple</v>
      </c>
      <c r="M716" s="197">
        <v>3565920</v>
      </c>
      <c r="N716" s="197">
        <v>0</v>
      </c>
      <c r="O716" s="257">
        <f>IF(ISNA(MATCH(H716,'Operating leases'!$B$32:$B$43,0)),0,INDEX('Operating leases'!$M$32:$S$43,MATCH(H716,'Operating leases'!$B$32:$B$43,0),MATCH(J716,'Operating leases'!$M$11:$S$11,0)))</f>
        <v>0</v>
      </c>
      <c r="P716" s="257">
        <f t="shared" si="154"/>
        <v>3565920</v>
      </c>
      <c r="Q716" s="257">
        <f t="shared" si="155"/>
        <v>3565920</v>
      </c>
      <c r="R716" s="258">
        <f>INDEX('Escalators '!$M$124:$S$129,MATCH(I716,'Escalators '!$B$124:$B$129,0),MATCH(J716,'Escalators '!$M$113:$S$113,0))</f>
        <v>1.0272672933956697</v>
      </c>
      <c r="S716" s="257">
        <f t="shared" si="156"/>
        <v>0</v>
      </c>
      <c r="T716" s="257">
        <f t="shared" si="157"/>
        <v>0</v>
      </c>
      <c r="U716" s="269">
        <f t="shared" si="158"/>
        <v>3663152.9868654865</v>
      </c>
      <c r="V716" s="269">
        <f t="shared" si="159"/>
        <v>3663152.9868654865</v>
      </c>
      <c r="W716" s="269">
        <f t="shared" si="160"/>
        <v>3663152.9868654865</v>
      </c>
      <c r="X716" s="257">
        <f t="shared" si="161"/>
        <v>3663152.9868654865</v>
      </c>
      <c r="Y716" s="270">
        <f>IF(L716="Complex",(INDEX('Escalators '!$M$176:$S$176,MATCH('Forecast capex'!J716,'Escalators '!$M$178:$S$178,0))/12+1)^((K716-J716)*12)-1,0)</f>
        <v>0</v>
      </c>
      <c r="Z716" s="257">
        <f t="shared" si="162"/>
        <v>0</v>
      </c>
      <c r="AA716" s="257">
        <f t="shared" si="163"/>
        <v>0</v>
      </c>
      <c r="AB716" s="269">
        <f t="shared" si="164"/>
        <v>0</v>
      </c>
      <c r="AC716" s="269">
        <f t="shared" si="165"/>
        <v>0</v>
      </c>
      <c r="AD716" s="271" t="str">
        <f>INDEX('Global inputs'!$C$134:$C$171,MATCH(F716,'Global inputs'!$B$134:$B$171,0))</f>
        <v>Asset replacement and renewal</v>
      </c>
      <c r="AE716" s="272">
        <f>IF(OR(H716='Operating leases'!$B$32,H716='Operating leases'!$B$33),"",INDEX('Global inputs'!$C$186:$C$243,MATCH(E716,'Global inputs'!$B$186:$B$243,0)))</f>
        <v>0.08</v>
      </c>
    </row>
    <row r="717" spans="1:31" s="27" customFormat="1" x14ac:dyDescent="0.2">
      <c r="A717" s="250"/>
      <c r="B717" s="210" t="s">
        <v>742</v>
      </c>
      <c r="C717" s="210" t="s">
        <v>287</v>
      </c>
      <c r="D717" s="210" t="s">
        <v>729</v>
      </c>
      <c r="E717" s="210" t="s">
        <v>150</v>
      </c>
      <c r="F717" s="210" t="s">
        <v>104</v>
      </c>
      <c r="G717" s="210" t="s">
        <v>731</v>
      </c>
      <c r="H717" s="197">
        <v>0</v>
      </c>
      <c r="I717" s="210" t="s">
        <v>225</v>
      </c>
      <c r="J717" s="210">
        <v>2022</v>
      </c>
      <c r="K717" s="210">
        <v>2022</v>
      </c>
      <c r="L717" s="268" t="str">
        <f t="shared" si="153"/>
        <v>Simple</v>
      </c>
      <c r="M717" s="197">
        <v>430920</v>
      </c>
      <c r="N717" s="197">
        <v>0</v>
      </c>
      <c r="O717" s="257">
        <f>IF(ISNA(MATCH(H717,'Operating leases'!$B$32:$B$43,0)),0,INDEX('Operating leases'!$M$32:$S$43,MATCH(H717,'Operating leases'!$B$32:$B$43,0),MATCH(J717,'Operating leases'!$M$11:$S$11,0)))</f>
        <v>0</v>
      </c>
      <c r="P717" s="257">
        <f t="shared" si="154"/>
        <v>430920</v>
      </c>
      <c r="Q717" s="257">
        <f t="shared" si="155"/>
        <v>430920</v>
      </c>
      <c r="R717" s="258">
        <f>INDEX('Escalators '!$M$124:$S$129,MATCH(I717,'Escalators '!$B$124:$B$129,0),MATCH(J717,'Escalators '!$M$113:$S$113,0))</f>
        <v>1.0390620061247575</v>
      </c>
      <c r="S717" s="257">
        <f t="shared" si="156"/>
        <v>0</v>
      </c>
      <c r="T717" s="257">
        <f t="shared" si="157"/>
        <v>0</v>
      </c>
      <c r="U717" s="269">
        <f t="shared" si="158"/>
        <v>447752.59967928054</v>
      </c>
      <c r="V717" s="269">
        <f t="shared" si="159"/>
        <v>447752.59967928054</v>
      </c>
      <c r="W717" s="269">
        <f t="shared" si="160"/>
        <v>447752.59967928054</v>
      </c>
      <c r="X717" s="257">
        <f t="shared" si="161"/>
        <v>447752.59967928054</v>
      </c>
      <c r="Y717" s="270">
        <f>IF(L717="Complex",(INDEX('Escalators '!$M$176:$S$176,MATCH('Forecast capex'!J717,'Escalators '!$M$178:$S$178,0))/12+1)^((K717-J717)*12)-1,0)</f>
        <v>0</v>
      </c>
      <c r="Z717" s="257">
        <f t="shared" si="162"/>
        <v>0</v>
      </c>
      <c r="AA717" s="257">
        <f t="shared" si="163"/>
        <v>0</v>
      </c>
      <c r="AB717" s="269">
        <f t="shared" si="164"/>
        <v>0</v>
      </c>
      <c r="AC717" s="269">
        <f t="shared" si="165"/>
        <v>0</v>
      </c>
      <c r="AD717" s="271" t="str">
        <f>INDEX('Global inputs'!$C$134:$C$171,MATCH(F717,'Global inputs'!$B$134:$B$171,0))</f>
        <v>Asset replacement and renewal</v>
      </c>
      <c r="AE717" s="272">
        <f>IF(OR(H717='Operating leases'!$B$32,H717='Operating leases'!$B$33),"",INDEX('Global inputs'!$C$186:$C$243,MATCH(E717,'Global inputs'!$B$186:$B$243,0)))</f>
        <v>0.08</v>
      </c>
    </row>
    <row r="718" spans="1:31" s="27" customFormat="1" x14ac:dyDescent="0.2">
      <c r="A718" s="250"/>
      <c r="B718" s="210" t="s">
        <v>742</v>
      </c>
      <c r="C718" s="210" t="s">
        <v>287</v>
      </c>
      <c r="D718" s="210" t="s">
        <v>729</v>
      </c>
      <c r="E718" s="210" t="s">
        <v>150</v>
      </c>
      <c r="F718" s="210" t="s">
        <v>104</v>
      </c>
      <c r="G718" s="210" t="s">
        <v>731</v>
      </c>
      <c r="H718" s="197">
        <v>0</v>
      </c>
      <c r="I718" s="210" t="s">
        <v>221</v>
      </c>
      <c r="J718" s="210">
        <v>2022</v>
      </c>
      <c r="K718" s="210">
        <v>2022</v>
      </c>
      <c r="L718" s="268" t="str">
        <f t="shared" si="153"/>
        <v>Simple</v>
      </c>
      <c r="M718" s="197">
        <v>1723680</v>
      </c>
      <c r="N718" s="197">
        <v>0</v>
      </c>
      <c r="O718" s="257">
        <f>IF(ISNA(MATCH(H718,'Operating leases'!$B$32:$B$43,0)),0,INDEX('Operating leases'!$M$32:$S$43,MATCH(H718,'Operating leases'!$B$32:$B$43,0),MATCH(J718,'Operating leases'!$M$11:$S$11,0)))</f>
        <v>0</v>
      </c>
      <c r="P718" s="257">
        <f t="shared" si="154"/>
        <v>1723680</v>
      </c>
      <c r="Q718" s="257">
        <f t="shared" si="155"/>
        <v>1723680</v>
      </c>
      <c r="R718" s="258">
        <f>INDEX('Escalators '!$M$124:$S$129,MATCH(I718,'Escalators '!$B$124:$B$129,0),MATCH(J718,'Escalators '!$M$113:$S$113,0))</f>
        <v>1.0272672933956697</v>
      </c>
      <c r="S718" s="257">
        <f t="shared" si="156"/>
        <v>0</v>
      </c>
      <c r="T718" s="257">
        <f t="shared" si="157"/>
        <v>0</v>
      </c>
      <c r="U718" s="269">
        <f t="shared" si="158"/>
        <v>1770680.088280248</v>
      </c>
      <c r="V718" s="269">
        <f t="shared" si="159"/>
        <v>1770680.088280248</v>
      </c>
      <c r="W718" s="269">
        <f t="shared" si="160"/>
        <v>1770680.088280248</v>
      </c>
      <c r="X718" s="257">
        <f t="shared" si="161"/>
        <v>1770680.088280248</v>
      </c>
      <c r="Y718" s="270">
        <f>IF(L718="Complex",(INDEX('Escalators '!$M$176:$S$176,MATCH('Forecast capex'!J718,'Escalators '!$M$178:$S$178,0))/12+1)^((K718-J718)*12)-1,0)</f>
        <v>0</v>
      </c>
      <c r="Z718" s="257">
        <f t="shared" si="162"/>
        <v>0</v>
      </c>
      <c r="AA718" s="257">
        <f t="shared" si="163"/>
        <v>0</v>
      </c>
      <c r="AB718" s="269">
        <f t="shared" si="164"/>
        <v>0</v>
      </c>
      <c r="AC718" s="269">
        <f t="shared" si="165"/>
        <v>0</v>
      </c>
      <c r="AD718" s="271" t="str">
        <f>INDEX('Global inputs'!$C$134:$C$171,MATCH(F718,'Global inputs'!$B$134:$B$171,0))</f>
        <v>Asset replacement and renewal</v>
      </c>
      <c r="AE718" s="272">
        <f>IF(OR(H718='Operating leases'!$B$32,H718='Operating leases'!$B$33),"",INDEX('Global inputs'!$C$186:$C$243,MATCH(E718,'Global inputs'!$B$186:$B$243,0)))</f>
        <v>0.08</v>
      </c>
    </row>
    <row r="719" spans="1:31" s="27" customFormat="1" x14ac:dyDescent="0.2">
      <c r="A719" s="250"/>
      <c r="B719" s="210" t="s">
        <v>742</v>
      </c>
      <c r="C719" s="210" t="s">
        <v>290</v>
      </c>
      <c r="D719" s="210" t="s">
        <v>718</v>
      </c>
      <c r="E719" s="210" t="s">
        <v>173</v>
      </c>
      <c r="F719" s="210" t="s">
        <v>109</v>
      </c>
      <c r="G719" s="210" t="s">
        <v>719</v>
      </c>
      <c r="H719" s="197">
        <v>0</v>
      </c>
      <c r="I719" s="210" t="s">
        <v>142</v>
      </c>
      <c r="J719" s="210">
        <v>2022</v>
      </c>
      <c r="K719" s="210">
        <v>2022</v>
      </c>
      <c r="L719" s="268" t="str">
        <f t="shared" si="153"/>
        <v>Simple</v>
      </c>
      <c r="M719" s="197">
        <v>2354157</v>
      </c>
      <c r="N719" s="197">
        <v>0</v>
      </c>
      <c r="O719" s="257">
        <f>IF(ISNA(MATCH(H719,'Operating leases'!$B$32:$B$43,0)),0,INDEX('Operating leases'!$M$32:$S$43,MATCH(H719,'Operating leases'!$B$32:$B$43,0),MATCH(J719,'Operating leases'!$M$11:$S$11,0)))</f>
        <v>0</v>
      </c>
      <c r="P719" s="257">
        <f t="shared" si="154"/>
        <v>2354157</v>
      </c>
      <c r="Q719" s="257">
        <f t="shared" si="155"/>
        <v>2354157</v>
      </c>
      <c r="R719" s="258">
        <f>INDEX('Escalators '!$M$124:$S$129,MATCH(I719,'Escalators '!$B$124:$B$129,0),MATCH(J719,'Escalators '!$M$113:$S$113,0))</f>
        <v>1.0268090943455099</v>
      </c>
      <c r="S719" s="257">
        <f t="shared" si="156"/>
        <v>0</v>
      </c>
      <c r="T719" s="257">
        <f t="shared" si="157"/>
        <v>0</v>
      </c>
      <c r="U719" s="269">
        <f t="shared" si="158"/>
        <v>2417269.8171171425</v>
      </c>
      <c r="V719" s="269">
        <f t="shared" si="159"/>
        <v>2417269.8171171425</v>
      </c>
      <c r="W719" s="269">
        <f t="shared" si="160"/>
        <v>2417269.8171171425</v>
      </c>
      <c r="X719" s="257">
        <f t="shared" si="161"/>
        <v>2417269.8171171425</v>
      </c>
      <c r="Y719" s="270">
        <f>IF(L719="Complex",(INDEX('Escalators '!$M$176:$S$176,MATCH('Forecast capex'!J719,'Escalators '!$M$178:$S$178,0))/12+1)^((K719-J719)*12)-1,0)</f>
        <v>0</v>
      </c>
      <c r="Z719" s="257">
        <f t="shared" si="162"/>
        <v>0</v>
      </c>
      <c r="AA719" s="257">
        <f t="shared" si="163"/>
        <v>0</v>
      </c>
      <c r="AB719" s="269">
        <f t="shared" si="164"/>
        <v>0</v>
      </c>
      <c r="AC719" s="269">
        <f t="shared" si="165"/>
        <v>0</v>
      </c>
      <c r="AD719" s="271" t="str">
        <f>INDEX('Global inputs'!$C$134:$C$171,MATCH(F719,'Global inputs'!$B$134:$B$171,0))</f>
        <v>Asset replacement and renewal</v>
      </c>
      <c r="AE719" s="272">
        <f>IF(OR(H719='Operating leases'!$B$32,H719='Operating leases'!$B$33),"",INDEX('Global inputs'!$C$186:$C$243,MATCH(E719,'Global inputs'!$B$186:$B$243,0)))</f>
        <v>0.08</v>
      </c>
    </row>
    <row r="720" spans="1:31" s="27" customFormat="1" x14ac:dyDescent="0.2">
      <c r="A720" s="250"/>
      <c r="B720" s="210" t="s">
        <v>742</v>
      </c>
      <c r="C720" s="210" t="s">
        <v>290</v>
      </c>
      <c r="D720" s="210" t="s">
        <v>718</v>
      </c>
      <c r="E720" s="210" t="s">
        <v>173</v>
      </c>
      <c r="F720" s="210" t="s">
        <v>109</v>
      </c>
      <c r="G720" s="210" t="s">
        <v>719</v>
      </c>
      <c r="H720" s="197">
        <v>0</v>
      </c>
      <c r="I720" s="210" t="s">
        <v>221</v>
      </c>
      <c r="J720" s="210">
        <v>2022</v>
      </c>
      <c r="K720" s="210">
        <v>2022</v>
      </c>
      <c r="L720" s="268" t="str">
        <f t="shared" si="153"/>
        <v>Simple</v>
      </c>
      <c r="M720" s="197">
        <v>588539.25</v>
      </c>
      <c r="N720" s="197">
        <v>0</v>
      </c>
      <c r="O720" s="257">
        <f>IF(ISNA(MATCH(H720,'Operating leases'!$B$32:$B$43,0)),0,INDEX('Operating leases'!$M$32:$S$43,MATCH(H720,'Operating leases'!$B$32:$B$43,0),MATCH(J720,'Operating leases'!$M$11:$S$11,0)))</f>
        <v>0</v>
      </c>
      <c r="P720" s="257">
        <f t="shared" si="154"/>
        <v>588539.25</v>
      </c>
      <c r="Q720" s="257">
        <f t="shared" si="155"/>
        <v>588539.25</v>
      </c>
      <c r="R720" s="258">
        <f>INDEX('Escalators '!$M$124:$S$129,MATCH(I720,'Escalators '!$B$124:$B$129,0),MATCH(J720,'Escalators '!$M$113:$S$113,0))</f>
        <v>1.0272672933956697</v>
      </c>
      <c r="S720" s="257">
        <f t="shared" si="156"/>
        <v>0</v>
      </c>
      <c r="T720" s="257">
        <f t="shared" si="157"/>
        <v>0</v>
      </c>
      <c r="U720" s="269">
        <f t="shared" si="158"/>
        <v>604587.12240461737</v>
      </c>
      <c r="V720" s="269">
        <f t="shared" si="159"/>
        <v>604587.12240461737</v>
      </c>
      <c r="W720" s="269">
        <f t="shared" si="160"/>
        <v>604587.12240461737</v>
      </c>
      <c r="X720" s="257">
        <f t="shared" si="161"/>
        <v>604587.12240461737</v>
      </c>
      <c r="Y720" s="270">
        <f>IF(L720="Complex",(INDEX('Escalators '!$M$176:$S$176,MATCH('Forecast capex'!J720,'Escalators '!$M$178:$S$178,0))/12+1)^((K720-J720)*12)-1,0)</f>
        <v>0</v>
      </c>
      <c r="Z720" s="257">
        <f t="shared" si="162"/>
        <v>0</v>
      </c>
      <c r="AA720" s="257">
        <f t="shared" si="163"/>
        <v>0</v>
      </c>
      <c r="AB720" s="269">
        <f t="shared" si="164"/>
        <v>0</v>
      </c>
      <c r="AC720" s="269">
        <f t="shared" si="165"/>
        <v>0</v>
      </c>
      <c r="AD720" s="271" t="str">
        <f>INDEX('Global inputs'!$C$134:$C$171,MATCH(F720,'Global inputs'!$B$134:$B$171,0))</f>
        <v>Asset replacement and renewal</v>
      </c>
      <c r="AE720" s="272">
        <f>IF(OR(H720='Operating leases'!$B$32,H720='Operating leases'!$B$33),"",INDEX('Global inputs'!$C$186:$C$243,MATCH(E720,'Global inputs'!$B$186:$B$243,0)))</f>
        <v>0.08</v>
      </c>
    </row>
    <row r="721" spans="1:31" s="27" customFormat="1" x14ac:dyDescent="0.2">
      <c r="A721" s="250"/>
      <c r="B721" s="210" t="s">
        <v>742</v>
      </c>
      <c r="C721" s="210" t="s">
        <v>288</v>
      </c>
      <c r="D721" s="210" t="s">
        <v>718</v>
      </c>
      <c r="E721" s="210" t="s">
        <v>160</v>
      </c>
      <c r="F721" s="210" t="s">
        <v>112</v>
      </c>
      <c r="G721" s="210" t="s">
        <v>722</v>
      </c>
      <c r="H721" s="197">
        <v>0</v>
      </c>
      <c r="I721" s="210" t="s">
        <v>229</v>
      </c>
      <c r="J721" s="210">
        <v>2022</v>
      </c>
      <c r="K721" s="210">
        <v>2022</v>
      </c>
      <c r="L721" s="268" t="str">
        <f t="shared" si="153"/>
        <v>Simple</v>
      </c>
      <c r="M721" s="197">
        <v>527925</v>
      </c>
      <c r="N721" s="197">
        <v>0</v>
      </c>
      <c r="O721" s="257">
        <f>IF(ISNA(MATCH(H721,'Operating leases'!$B$32:$B$43,0)),0,INDEX('Operating leases'!$M$32:$S$43,MATCH(H721,'Operating leases'!$B$32:$B$43,0),MATCH(J721,'Operating leases'!$M$11:$S$11,0)))</f>
        <v>0</v>
      </c>
      <c r="P721" s="257">
        <f t="shared" si="154"/>
        <v>527925</v>
      </c>
      <c r="Q721" s="257">
        <f t="shared" si="155"/>
        <v>527925</v>
      </c>
      <c r="R721" s="258">
        <f>INDEX('Escalators '!$M$124:$S$129,MATCH(I721,'Escalators '!$B$124:$B$129,0),MATCH(J721,'Escalators '!$M$113:$S$113,0))</f>
        <v>1.0379818100112963</v>
      </c>
      <c r="S721" s="257">
        <f t="shared" si="156"/>
        <v>0</v>
      </c>
      <c r="T721" s="257">
        <f t="shared" si="157"/>
        <v>0</v>
      </c>
      <c r="U721" s="269">
        <f t="shared" si="158"/>
        <v>547976.54705021356</v>
      </c>
      <c r="V721" s="269">
        <f t="shared" si="159"/>
        <v>547976.54705021356</v>
      </c>
      <c r="W721" s="269">
        <f t="shared" si="160"/>
        <v>547976.54705021356</v>
      </c>
      <c r="X721" s="257">
        <f t="shared" si="161"/>
        <v>547976.54705021356</v>
      </c>
      <c r="Y721" s="270">
        <f>IF(L721="Complex",(INDEX('Escalators '!$M$176:$S$176,MATCH('Forecast capex'!J721,'Escalators '!$M$178:$S$178,0))/12+1)^((K721-J721)*12)-1,0)</f>
        <v>0</v>
      </c>
      <c r="Z721" s="257">
        <f t="shared" si="162"/>
        <v>0</v>
      </c>
      <c r="AA721" s="257">
        <f t="shared" si="163"/>
        <v>0</v>
      </c>
      <c r="AB721" s="269">
        <f t="shared" si="164"/>
        <v>0</v>
      </c>
      <c r="AC721" s="269">
        <f t="shared" si="165"/>
        <v>0</v>
      </c>
      <c r="AD721" s="271" t="str">
        <f>INDEX('Global inputs'!$C$134:$C$171,MATCH(F721,'Global inputs'!$B$134:$B$171,0))</f>
        <v>Asset replacement and renewal</v>
      </c>
      <c r="AE721" s="272">
        <f>IF(OR(H721='Operating leases'!$B$32,H721='Operating leases'!$B$33),"",INDEX('Global inputs'!$C$186:$C$243,MATCH(E721,'Global inputs'!$B$186:$B$243,0)))</f>
        <v>0.08</v>
      </c>
    </row>
    <row r="722" spans="1:31" s="27" customFormat="1" x14ac:dyDescent="0.2">
      <c r="A722" s="250"/>
      <c r="B722" s="210" t="s">
        <v>742</v>
      </c>
      <c r="C722" s="210" t="s">
        <v>288</v>
      </c>
      <c r="D722" s="210" t="s">
        <v>718</v>
      </c>
      <c r="E722" s="210" t="s">
        <v>160</v>
      </c>
      <c r="F722" s="210" t="s">
        <v>112</v>
      </c>
      <c r="G722" s="210" t="s">
        <v>722</v>
      </c>
      <c r="H722" s="197">
        <v>0</v>
      </c>
      <c r="I722" s="210" t="s">
        <v>221</v>
      </c>
      <c r="J722" s="210">
        <v>2022</v>
      </c>
      <c r="K722" s="210">
        <v>2022</v>
      </c>
      <c r="L722" s="268" t="str">
        <f t="shared" si="153"/>
        <v>Simple</v>
      </c>
      <c r="M722" s="197">
        <v>527925</v>
      </c>
      <c r="N722" s="197">
        <v>0</v>
      </c>
      <c r="O722" s="257">
        <f>IF(ISNA(MATCH(H722,'Operating leases'!$B$32:$B$43,0)),0,INDEX('Operating leases'!$M$32:$S$43,MATCH(H722,'Operating leases'!$B$32:$B$43,0),MATCH(J722,'Operating leases'!$M$11:$S$11,0)))</f>
        <v>0</v>
      </c>
      <c r="P722" s="257">
        <f t="shared" si="154"/>
        <v>527925</v>
      </c>
      <c r="Q722" s="257">
        <f t="shared" si="155"/>
        <v>527925</v>
      </c>
      <c r="R722" s="258">
        <f>INDEX('Escalators '!$M$124:$S$129,MATCH(I722,'Escalators '!$B$124:$B$129,0),MATCH(J722,'Escalators '!$M$113:$S$113,0))</f>
        <v>1.0272672933956697</v>
      </c>
      <c r="S722" s="257">
        <f t="shared" si="156"/>
        <v>0</v>
      </c>
      <c r="T722" s="257">
        <f t="shared" si="157"/>
        <v>0</v>
      </c>
      <c r="U722" s="269">
        <f t="shared" si="158"/>
        <v>542320.08586590888</v>
      </c>
      <c r="V722" s="269">
        <f t="shared" si="159"/>
        <v>542320.08586590888</v>
      </c>
      <c r="W722" s="269">
        <f t="shared" si="160"/>
        <v>542320.08586590888</v>
      </c>
      <c r="X722" s="257">
        <f t="shared" si="161"/>
        <v>542320.08586590888</v>
      </c>
      <c r="Y722" s="270">
        <f>IF(L722="Complex",(INDEX('Escalators '!$M$176:$S$176,MATCH('Forecast capex'!J722,'Escalators '!$M$178:$S$178,0))/12+1)^((K722-J722)*12)-1,0)</f>
        <v>0</v>
      </c>
      <c r="Z722" s="257">
        <f t="shared" si="162"/>
        <v>0</v>
      </c>
      <c r="AA722" s="257">
        <f t="shared" si="163"/>
        <v>0</v>
      </c>
      <c r="AB722" s="269">
        <f t="shared" si="164"/>
        <v>0</v>
      </c>
      <c r="AC722" s="269">
        <f t="shared" si="165"/>
        <v>0</v>
      </c>
      <c r="AD722" s="271" t="str">
        <f>INDEX('Global inputs'!$C$134:$C$171,MATCH(F722,'Global inputs'!$B$134:$B$171,0))</f>
        <v>Asset replacement and renewal</v>
      </c>
      <c r="AE722" s="272">
        <f>IF(OR(H722='Operating leases'!$B$32,H722='Operating leases'!$B$33),"",INDEX('Global inputs'!$C$186:$C$243,MATCH(E722,'Global inputs'!$B$186:$B$243,0)))</f>
        <v>0.08</v>
      </c>
    </row>
    <row r="723" spans="1:31" s="27" customFormat="1" x14ac:dyDescent="0.2">
      <c r="A723" s="250"/>
      <c r="B723" s="210" t="s">
        <v>742</v>
      </c>
      <c r="C723" s="210" t="s">
        <v>288</v>
      </c>
      <c r="D723" s="210" t="s">
        <v>718</v>
      </c>
      <c r="E723" s="210" t="s">
        <v>161</v>
      </c>
      <c r="F723" s="210" t="s">
        <v>112</v>
      </c>
      <c r="G723" s="210" t="s">
        <v>722</v>
      </c>
      <c r="H723" s="197">
        <v>0</v>
      </c>
      <c r="I723" s="210" t="s">
        <v>229</v>
      </c>
      <c r="J723" s="210">
        <v>2022</v>
      </c>
      <c r="K723" s="210">
        <v>2022</v>
      </c>
      <c r="L723" s="268" t="str">
        <f t="shared" si="153"/>
        <v>Simple</v>
      </c>
      <c r="M723" s="197">
        <v>420000</v>
      </c>
      <c r="N723" s="197">
        <v>0</v>
      </c>
      <c r="O723" s="257">
        <f>IF(ISNA(MATCH(H723,'Operating leases'!$B$32:$B$43,0)),0,INDEX('Operating leases'!$M$32:$S$43,MATCH(H723,'Operating leases'!$B$32:$B$43,0),MATCH(J723,'Operating leases'!$M$11:$S$11,0)))</f>
        <v>0</v>
      </c>
      <c r="P723" s="257">
        <f t="shared" si="154"/>
        <v>420000</v>
      </c>
      <c r="Q723" s="257">
        <f t="shared" si="155"/>
        <v>420000</v>
      </c>
      <c r="R723" s="258">
        <f>INDEX('Escalators '!$M$124:$S$129,MATCH(I723,'Escalators '!$B$124:$B$129,0),MATCH(J723,'Escalators '!$M$113:$S$113,0))</f>
        <v>1.0379818100112963</v>
      </c>
      <c r="S723" s="257">
        <f t="shared" si="156"/>
        <v>0</v>
      </c>
      <c r="T723" s="257">
        <f t="shared" si="157"/>
        <v>0</v>
      </c>
      <c r="U723" s="269">
        <f t="shared" si="158"/>
        <v>435952.36020474444</v>
      </c>
      <c r="V723" s="269">
        <f t="shared" si="159"/>
        <v>435952.36020474444</v>
      </c>
      <c r="W723" s="269">
        <f t="shared" si="160"/>
        <v>435952.36020474444</v>
      </c>
      <c r="X723" s="257">
        <f t="shared" si="161"/>
        <v>435952.36020474444</v>
      </c>
      <c r="Y723" s="270">
        <f>IF(L723="Complex",(INDEX('Escalators '!$M$176:$S$176,MATCH('Forecast capex'!J723,'Escalators '!$M$178:$S$178,0))/12+1)^((K723-J723)*12)-1,0)</f>
        <v>0</v>
      </c>
      <c r="Z723" s="257">
        <f t="shared" si="162"/>
        <v>0</v>
      </c>
      <c r="AA723" s="257">
        <f t="shared" si="163"/>
        <v>0</v>
      </c>
      <c r="AB723" s="269">
        <f t="shared" si="164"/>
        <v>0</v>
      </c>
      <c r="AC723" s="269">
        <f t="shared" si="165"/>
        <v>0</v>
      </c>
      <c r="AD723" s="271" t="str">
        <f>INDEX('Global inputs'!$C$134:$C$171,MATCH(F723,'Global inputs'!$B$134:$B$171,0))</f>
        <v>Asset replacement and renewal</v>
      </c>
      <c r="AE723" s="272">
        <f>IF(OR(H723='Operating leases'!$B$32,H723='Operating leases'!$B$33),"",INDEX('Global inputs'!$C$186:$C$243,MATCH(E723,'Global inputs'!$B$186:$B$243,0)))</f>
        <v>0.08</v>
      </c>
    </row>
    <row r="724" spans="1:31" s="27" customFormat="1" x14ac:dyDescent="0.2">
      <c r="A724" s="250"/>
      <c r="B724" s="210" t="s">
        <v>742</v>
      </c>
      <c r="C724" s="210" t="s">
        <v>288</v>
      </c>
      <c r="D724" s="210" t="s">
        <v>718</v>
      </c>
      <c r="E724" s="210" t="s">
        <v>161</v>
      </c>
      <c r="F724" s="210" t="s">
        <v>112</v>
      </c>
      <c r="G724" s="210" t="s">
        <v>722</v>
      </c>
      <c r="H724" s="197">
        <v>0</v>
      </c>
      <c r="I724" s="210" t="s">
        <v>221</v>
      </c>
      <c r="J724" s="210">
        <v>2022</v>
      </c>
      <c r="K724" s="210">
        <v>2022</v>
      </c>
      <c r="L724" s="268" t="str">
        <f t="shared" si="153"/>
        <v>Simple</v>
      </c>
      <c r="M724" s="197">
        <v>420000</v>
      </c>
      <c r="N724" s="197">
        <v>0</v>
      </c>
      <c r="O724" s="257">
        <f>IF(ISNA(MATCH(H724,'Operating leases'!$B$32:$B$43,0)),0,INDEX('Operating leases'!$M$32:$S$43,MATCH(H724,'Operating leases'!$B$32:$B$43,0),MATCH(J724,'Operating leases'!$M$11:$S$11,0)))</f>
        <v>0</v>
      </c>
      <c r="P724" s="257">
        <f t="shared" si="154"/>
        <v>420000</v>
      </c>
      <c r="Q724" s="257">
        <f t="shared" si="155"/>
        <v>420000</v>
      </c>
      <c r="R724" s="258">
        <f>INDEX('Escalators '!$M$124:$S$129,MATCH(I724,'Escalators '!$B$124:$B$129,0),MATCH(J724,'Escalators '!$M$113:$S$113,0))</f>
        <v>1.0272672933956697</v>
      </c>
      <c r="S724" s="257">
        <f t="shared" si="156"/>
        <v>0</v>
      </c>
      <c r="T724" s="257">
        <f t="shared" si="157"/>
        <v>0</v>
      </c>
      <c r="U724" s="269">
        <f t="shared" si="158"/>
        <v>431452.26322618127</v>
      </c>
      <c r="V724" s="269">
        <f t="shared" si="159"/>
        <v>431452.26322618127</v>
      </c>
      <c r="W724" s="269">
        <f t="shared" si="160"/>
        <v>431452.26322618127</v>
      </c>
      <c r="X724" s="257">
        <f t="shared" si="161"/>
        <v>431452.26322618127</v>
      </c>
      <c r="Y724" s="270">
        <f>IF(L724="Complex",(INDEX('Escalators '!$M$176:$S$176,MATCH('Forecast capex'!J724,'Escalators '!$M$178:$S$178,0))/12+1)^((K724-J724)*12)-1,0)</f>
        <v>0</v>
      </c>
      <c r="Z724" s="257">
        <f t="shared" si="162"/>
        <v>0</v>
      </c>
      <c r="AA724" s="257">
        <f t="shared" si="163"/>
        <v>0</v>
      </c>
      <c r="AB724" s="269">
        <f t="shared" si="164"/>
        <v>0</v>
      </c>
      <c r="AC724" s="269">
        <f t="shared" si="165"/>
        <v>0</v>
      </c>
      <c r="AD724" s="271" t="str">
        <f>INDEX('Global inputs'!$C$134:$C$171,MATCH(F724,'Global inputs'!$B$134:$B$171,0))</f>
        <v>Asset replacement and renewal</v>
      </c>
      <c r="AE724" s="272">
        <f>IF(OR(H724='Operating leases'!$B$32,H724='Operating leases'!$B$33),"",INDEX('Global inputs'!$C$186:$C$243,MATCH(E724,'Global inputs'!$B$186:$B$243,0)))</f>
        <v>0.08</v>
      </c>
    </row>
    <row r="725" spans="1:31" s="27" customFormat="1" x14ac:dyDescent="0.2">
      <c r="A725" s="250"/>
      <c r="B725" s="210" t="s">
        <v>742</v>
      </c>
      <c r="C725" s="210" t="s">
        <v>286</v>
      </c>
      <c r="D725" s="210" t="s">
        <v>735</v>
      </c>
      <c r="E725" s="210" t="s">
        <v>144</v>
      </c>
      <c r="F725" s="210" t="s">
        <v>117</v>
      </c>
      <c r="G725" s="210" t="s">
        <v>736</v>
      </c>
      <c r="H725" s="197">
        <v>0</v>
      </c>
      <c r="I725" s="210" t="s">
        <v>229</v>
      </c>
      <c r="J725" s="210">
        <v>2022</v>
      </c>
      <c r="K725" s="210">
        <v>2022</v>
      </c>
      <c r="L725" s="268" t="str">
        <f t="shared" si="153"/>
        <v>Simple</v>
      </c>
      <c r="M725" s="197">
        <v>448400</v>
      </c>
      <c r="N725" s="197">
        <v>0</v>
      </c>
      <c r="O725" s="257">
        <f>IF(ISNA(MATCH(H725,'Operating leases'!$B$32:$B$43,0)),0,INDEX('Operating leases'!$M$32:$S$43,MATCH(H725,'Operating leases'!$B$32:$B$43,0),MATCH(J725,'Operating leases'!$M$11:$S$11,0)))</f>
        <v>0</v>
      </c>
      <c r="P725" s="257">
        <f t="shared" si="154"/>
        <v>448400</v>
      </c>
      <c r="Q725" s="257">
        <f t="shared" si="155"/>
        <v>448400</v>
      </c>
      <c r="R725" s="258">
        <f>INDEX('Escalators '!$M$124:$S$129,MATCH(I725,'Escalators '!$B$124:$B$129,0),MATCH(J725,'Escalators '!$M$113:$S$113,0))</f>
        <v>1.0379818100112963</v>
      </c>
      <c r="S725" s="257">
        <f t="shared" si="156"/>
        <v>0</v>
      </c>
      <c r="T725" s="257">
        <f t="shared" si="157"/>
        <v>0</v>
      </c>
      <c r="U725" s="269">
        <f t="shared" si="158"/>
        <v>465431.04360906524</v>
      </c>
      <c r="V725" s="269">
        <f t="shared" si="159"/>
        <v>465431.04360906524</v>
      </c>
      <c r="W725" s="269">
        <f t="shared" si="160"/>
        <v>465431.04360906524</v>
      </c>
      <c r="X725" s="257">
        <f t="shared" si="161"/>
        <v>465431.04360906524</v>
      </c>
      <c r="Y725" s="270">
        <f>IF(L725="Complex",(INDEX('Escalators '!$M$176:$S$176,MATCH('Forecast capex'!J725,'Escalators '!$M$178:$S$178,0))/12+1)^((K725-J725)*12)-1,0)</f>
        <v>0</v>
      </c>
      <c r="Z725" s="257">
        <f t="shared" si="162"/>
        <v>0</v>
      </c>
      <c r="AA725" s="257">
        <f t="shared" si="163"/>
        <v>0</v>
      </c>
      <c r="AB725" s="269">
        <f t="shared" si="164"/>
        <v>0</v>
      </c>
      <c r="AC725" s="269">
        <f t="shared" si="165"/>
        <v>0</v>
      </c>
      <c r="AD725" s="271" t="str">
        <f>INDEX('Global inputs'!$C$134:$C$171,MATCH(F725,'Global inputs'!$B$134:$B$171,0))</f>
        <v>Asset replacement and renewal</v>
      </c>
      <c r="AE725" s="272">
        <f>IF(OR(H725='Operating leases'!$B$32,H725='Operating leases'!$B$33),"",INDEX('Global inputs'!$C$186:$C$243,MATCH(E725,'Global inputs'!$B$186:$B$243,0)))</f>
        <v>0.08</v>
      </c>
    </row>
    <row r="726" spans="1:31" s="27" customFormat="1" x14ac:dyDescent="0.2">
      <c r="A726" s="250"/>
      <c r="B726" s="210" t="s">
        <v>742</v>
      </c>
      <c r="C726" s="210" t="s">
        <v>286</v>
      </c>
      <c r="D726" s="210" t="s">
        <v>735</v>
      </c>
      <c r="E726" s="210" t="s">
        <v>144</v>
      </c>
      <c r="F726" s="210" t="s">
        <v>117</v>
      </c>
      <c r="G726" s="210" t="s">
        <v>736</v>
      </c>
      <c r="H726" s="197">
        <v>0</v>
      </c>
      <c r="I726" s="210" t="s">
        <v>221</v>
      </c>
      <c r="J726" s="210">
        <v>2022</v>
      </c>
      <c r="K726" s="210">
        <v>2022</v>
      </c>
      <c r="L726" s="268" t="str">
        <f t="shared" si="153"/>
        <v>Simple</v>
      </c>
      <c r="M726" s="197">
        <v>1793600</v>
      </c>
      <c r="N726" s="197">
        <v>0</v>
      </c>
      <c r="O726" s="257">
        <f>IF(ISNA(MATCH(H726,'Operating leases'!$B$32:$B$43,0)),0,INDEX('Operating leases'!$M$32:$S$43,MATCH(H726,'Operating leases'!$B$32:$B$43,0),MATCH(J726,'Operating leases'!$M$11:$S$11,0)))</f>
        <v>0</v>
      </c>
      <c r="P726" s="257">
        <f t="shared" si="154"/>
        <v>1793600</v>
      </c>
      <c r="Q726" s="257">
        <f t="shared" si="155"/>
        <v>1793600</v>
      </c>
      <c r="R726" s="258">
        <f>INDEX('Escalators '!$M$124:$S$129,MATCH(I726,'Escalators '!$B$124:$B$129,0),MATCH(J726,'Escalators '!$M$113:$S$113,0))</f>
        <v>1.0272672933956697</v>
      </c>
      <c r="S726" s="257">
        <f t="shared" si="156"/>
        <v>0</v>
      </c>
      <c r="T726" s="257">
        <f t="shared" si="157"/>
        <v>0</v>
      </c>
      <c r="U726" s="269">
        <f t="shared" si="158"/>
        <v>1842506.6174344732</v>
      </c>
      <c r="V726" s="269">
        <f t="shared" si="159"/>
        <v>1842506.6174344732</v>
      </c>
      <c r="W726" s="269">
        <f t="shared" si="160"/>
        <v>1842506.6174344732</v>
      </c>
      <c r="X726" s="257">
        <f t="shared" si="161"/>
        <v>1842506.6174344732</v>
      </c>
      <c r="Y726" s="270">
        <f>IF(L726="Complex",(INDEX('Escalators '!$M$176:$S$176,MATCH('Forecast capex'!J726,'Escalators '!$M$178:$S$178,0))/12+1)^((K726-J726)*12)-1,0)</f>
        <v>0</v>
      </c>
      <c r="Z726" s="257">
        <f t="shared" si="162"/>
        <v>0</v>
      </c>
      <c r="AA726" s="257">
        <f t="shared" si="163"/>
        <v>0</v>
      </c>
      <c r="AB726" s="269">
        <f t="shared" si="164"/>
        <v>0</v>
      </c>
      <c r="AC726" s="269">
        <f t="shared" si="165"/>
        <v>0</v>
      </c>
      <c r="AD726" s="271" t="str">
        <f>INDEX('Global inputs'!$C$134:$C$171,MATCH(F726,'Global inputs'!$B$134:$B$171,0))</f>
        <v>Asset replacement and renewal</v>
      </c>
      <c r="AE726" s="272">
        <f>IF(OR(H726='Operating leases'!$B$32,H726='Operating leases'!$B$33),"",INDEX('Global inputs'!$C$186:$C$243,MATCH(E726,'Global inputs'!$B$186:$B$243,0)))</f>
        <v>0.08</v>
      </c>
    </row>
    <row r="727" spans="1:31" s="27" customFormat="1" x14ac:dyDescent="0.2">
      <c r="A727" s="250"/>
      <c r="B727" s="210" t="s">
        <v>738</v>
      </c>
      <c r="C727" s="210" t="s">
        <v>292</v>
      </c>
      <c r="D727" s="210" t="s">
        <v>739</v>
      </c>
      <c r="E727" s="210" t="s">
        <v>181</v>
      </c>
      <c r="F727" s="210" t="s">
        <v>89</v>
      </c>
      <c r="G727" s="210" t="s">
        <v>749</v>
      </c>
      <c r="H727" s="197">
        <v>0</v>
      </c>
      <c r="I727" s="210" t="s">
        <v>229</v>
      </c>
      <c r="J727" s="210">
        <v>2022</v>
      </c>
      <c r="K727" s="210">
        <v>2022</v>
      </c>
      <c r="L727" s="268" t="str">
        <f t="shared" si="153"/>
        <v>Simple</v>
      </c>
      <c r="M727" s="197">
        <v>232975</v>
      </c>
      <c r="N727" s="197">
        <v>0</v>
      </c>
      <c r="O727" s="257">
        <f>IF(ISNA(MATCH(H727,'Operating leases'!$B$32:$B$43,0)),0,INDEX('Operating leases'!$M$32:$S$43,MATCH(H727,'Operating leases'!$B$32:$B$43,0),MATCH(J727,'Operating leases'!$M$11:$S$11,0)))</f>
        <v>0</v>
      </c>
      <c r="P727" s="257">
        <f t="shared" si="154"/>
        <v>232975</v>
      </c>
      <c r="Q727" s="257">
        <f t="shared" si="155"/>
        <v>232975</v>
      </c>
      <c r="R727" s="258">
        <f>INDEX('Escalators '!$M$124:$S$129,MATCH(I727,'Escalators '!$B$124:$B$129,0),MATCH(J727,'Escalators '!$M$113:$S$113,0))</f>
        <v>1.0379818100112963</v>
      </c>
      <c r="S727" s="257">
        <f t="shared" si="156"/>
        <v>0</v>
      </c>
      <c r="T727" s="257">
        <f t="shared" si="157"/>
        <v>0</v>
      </c>
      <c r="U727" s="269">
        <f t="shared" si="158"/>
        <v>241823.81218738176</v>
      </c>
      <c r="V727" s="269">
        <f t="shared" si="159"/>
        <v>241823.81218738176</v>
      </c>
      <c r="W727" s="269">
        <f t="shared" si="160"/>
        <v>241823.81218738176</v>
      </c>
      <c r="X727" s="257">
        <f t="shared" si="161"/>
        <v>241823.81218738176</v>
      </c>
      <c r="Y727" s="270">
        <f>IF(L727="Complex",(INDEX('Escalators '!$M$176:$S$176,MATCH('Forecast capex'!J727,'Escalators '!$M$178:$S$178,0))/12+1)^((K727-J727)*12)-1,0)</f>
        <v>0</v>
      </c>
      <c r="Z727" s="257">
        <f t="shared" si="162"/>
        <v>0</v>
      </c>
      <c r="AA727" s="257">
        <f t="shared" si="163"/>
        <v>0</v>
      </c>
      <c r="AB727" s="269">
        <f t="shared" si="164"/>
        <v>0</v>
      </c>
      <c r="AC727" s="269">
        <f t="shared" si="165"/>
        <v>0</v>
      </c>
      <c r="AD727" s="271" t="str">
        <f>INDEX('Global inputs'!$C$134:$C$171,MATCH(F727,'Global inputs'!$B$134:$B$171,0))</f>
        <v>Non-network CAPEX</v>
      </c>
      <c r="AE727" s="272">
        <f>IF(OR(H727='Operating leases'!$B$32,H727='Operating leases'!$B$33),"",INDEX('Global inputs'!$C$186:$C$243,MATCH(E727,'Global inputs'!$B$186:$B$243,0)))</f>
        <v>0.5</v>
      </c>
    </row>
    <row r="728" spans="1:31" s="27" customFormat="1" x14ac:dyDescent="0.2">
      <c r="A728" s="250"/>
      <c r="B728" s="210" t="s">
        <v>738</v>
      </c>
      <c r="C728" s="210" t="s">
        <v>292</v>
      </c>
      <c r="D728" s="210" t="s">
        <v>739</v>
      </c>
      <c r="E728" s="210" t="s">
        <v>183</v>
      </c>
      <c r="F728" s="210" t="s">
        <v>89</v>
      </c>
      <c r="G728" s="210" t="s">
        <v>750</v>
      </c>
      <c r="H728" s="197">
        <v>0</v>
      </c>
      <c r="I728" s="210" t="s">
        <v>229</v>
      </c>
      <c r="J728" s="210">
        <v>2022</v>
      </c>
      <c r="K728" s="210">
        <v>2022</v>
      </c>
      <c r="L728" s="268" t="str">
        <f t="shared" si="153"/>
        <v>Simple</v>
      </c>
      <c r="M728" s="197">
        <v>4426525</v>
      </c>
      <c r="N728" s="197">
        <v>0</v>
      </c>
      <c r="O728" s="257">
        <f>IF(ISNA(MATCH(H728,'Operating leases'!$B$32:$B$43,0)),0,INDEX('Operating leases'!$M$32:$S$43,MATCH(H728,'Operating leases'!$B$32:$B$43,0),MATCH(J728,'Operating leases'!$M$11:$S$11,0)))</f>
        <v>0</v>
      </c>
      <c r="P728" s="257">
        <f t="shared" si="154"/>
        <v>4426525</v>
      </c>
      <c r="Q728" s="257">
        <f t="shared" si="155"/>
        <v>4426525</v>
      </c>
      <c r="R728" s="258">
        <f>INDEX('Escalators '!$M$124:$S$129,MATCH(I728,'Escalators '!$B$124:$B$129,0),MATCH(J728,'Escalators '!$M$113:$S$113,0))</f>
        <v>1.0379818100112963</v>
      </c>
      <c r="S728" s="257">
        <f t="shared" si="156"/>
        <v>0</v>
      </c>
      <c r="T728" s="257">
        <f t="shared" si="157"/>
        <v>0</v>
      </c>
      <c r="U728" s="269">
        <f t="shared" si="158"/>
        <v>4594652.4315602537</v>
      </c>
      <c r="V728" s="269">
        <f t="shared" si="159"/>
        <v>4594652.4315602537</v>
      </c>
      <c r="W728" s="269">
        <f t="shared" si="160"/>
        <v>4594652.4315602537</v>
      </c>
      <c r="X728" s="257">
        <f t="shared" si="161"/>
        <v>4594652.4315602537</v>
      </c>
      <c r="Y728" s="270">
        <f>IF(L728="Complex",(INDEX('Escalators '!$M$176:$S$176,MATCH('Forecast capex'!J728,'Escalators '!$M$178:$S$178,0))/12+1)^((K728-J728)*12)-1,0)</f>
        <v>0</v>
      </c>
      <c r="Z728" s="257">
        <f t="shared" si="162"/>
        <v>0</v>
      </c>
      <c r="AA728" s="257">
        <f t="shared" si="163"/>
        <v>0</v>
      </c>
      <c r="AB728" s="269">
        <f t="shared" si="164"/>
        <v>0</v>
      </c>
      <c r="AC728" s="269">
        <f t="shared" si="165"/>
        <v>0</v>
      </c>
      <c r="AD728" s="271" t="str">
        <f>INDEX('Global inputs'!$C$134:$C$171,MATCH(F728,'Global inputs'!$B$134:$B$171,0))</f>
        <v>Non-network CAPEX</v>
      </c>
      <c r="AE728" s="272">
        <f>IF(OR(H728='Operating leases'!$B$32,H728='Operating leases'!$B$33),"",INDEX('Global inputs'!$C$186:$C$243,MATCH(E728,'Global inputs'!$B$186:$B$243,0)))</f>
        <v>0.5</v>
      </c>
    </row>
    <row r="729" spans="1:31" s="27" customFormat="1" x14ac:dyDescent="0.2">
      <c r="A729" s="250"/>
      <c r="B729" s="210" t="s">
        <v>738</v>
      </c>
      <c r="C729" s="210" t="s">
        <v>292</v>
      </c>
      <c r="D729" s="210" t="s">
        <v>739</v>
      </c>
      <c r="E729" s="210" t="s">
        <v>181</v>
      </c>
      <c r="F729" s="210" t="s">
        <v>89</v>
      </c>
      <c r="G729" s="210" t="s">
        <v>749</v>
      </c>
      <c r="H729" s="197">
        <v>0</v>
      </c>
      <c r="I729" s="210" t="s">
        <v>229</v>
      </c>
      <c r="J729" s="210">
        <v>2022</v>
      </c>
      <c r="K729" s="210">
        <v>2022</v>
      </c>
      <c r="L729" s="268" t="str">
        <f t="shared" si="153"/>
        <v>Simple</v>
      </c>
      <c r="M729" s="197">
        <v>35000</v>
      </c>
      <c r="N729" s="197">
        <v>0</v>
      </c>
      <c r="O729" s="257">
        <f>IF(ISNA(MATCH(H729,'Operating leases'!$B$32:$B$43,0)),0,INDEX('Operating leases'!$M$32:$S$43,MATCH(H729,'Operating leases'!$B$32:$B$43,0),MATCH(J729,'Operating leases'!$M$11:$S$11,0)))</f>
        <v>0</v>
      </c>
      <c r="P729" s="257">
        <f t="shared" si="154"/>
        <v>35000</v>
      </c>
      <c r="Q729" s="257">
        <f t="shared" si="155"/>
        <v>35000</v>
      </c>
      <c r="R729" s="258">
        <f>INDEX('Escalators '!$M$124:$S$129,MATCH(I729,'Escalators '!$B$124:$B$129,0),MATCH(J729,'Escalators '!$M$113:$S$113,0))</f>
        <v>1.0379818100112963</v>
      </c>
      <c r="S729" s="257">
        <f t="shared" si="156"/>
        <v>0</v>
      </c>
      <c r="T729" s="257">
        <f t="shared" si="157"/>
        <v>0</v>
      </c>
      <c r="U729" s="269">
        <f t="shared" si="158"/>
        <v>36329.363350395368</v>
      </c>
      <c r="V729" s="269">
        <f t="shared" si="159"/>
        <v>36329.363350395368</v>
      </c>
      <c r="W729" s="269">
        <f t="shared" si="160"/>
        <v>36329.363350395368</v>
      </c>
      <c r="X729" s="257">
        <f t="shared" si="161"/>
        <v>36329.363350395368</v>
      </c>
      <c r="Y729" s="270">
        <f>IF(L729="Complex",(INDEX('Escalators '!$M$176:$S$176,MATCH('Forecast capex'!J729,'Escalators '!$M$178:$S$178,0))/12+1)^((K729-J729)*12)-1,0)</f>
        <v>0</v>
      </c>
      <c r="Z729" s="257">
        <f t="shared" si="162"/>
        <v>0</v>
      </c>
      <c r="AA729" s="257">
        <f t="shared" si="163"/>
        <v>0</v>
      </c>
      <c r="AB729" s="269">
        <f t="shared" si="164"/>
        <v>0</v>
      </c>
      <c r="AC729" s="269">
        <f t="shared" si="165"/>
        <v>0</v>
      </c>
      <c r="AD729" s="271" t="str">
        <f>INDEX('Global inputs'!$C$134:$C$171,MATCH(F729,'Global inputs'!$B$134:$B$171,0))</f>
        <v>Non-network CAPEX</v>
      </c>
      <c r="AE729" s="272">
        <f>IF(OR(H729='Operating leases'!$B$32,H729='Operating leases'!$B$33),"",INDEX('Global inputs'!$C$186:$C$243,MATCH(E729,'Global inputs'!$B$186:$B$243,0)))</f>
        <v>0.5</v>
      </c>
    </row>
    <row r="730" spans="1:31" s="27" customFormat="1" x14ac:dyDescent="0.2">
      <c r="A730" s="250"/>
      <c r="B730" s="210" t="s">
        <v>738</v>
      </c>
      <c r="C730" s="210" t="s">
        <v>292</v>
      </c>
      <c r="D730" s="210" t="s">
        <v>739</v>
      </c>
      <c r="E730" s="210" t="s">
        <v>183</v>
      </c>
      <c r="F730" s="210" t="s">
        <v>89</v>
      </c>
      <c r="G730" s="210" t="s">
        <v>750</v>
      </c>
      <c r="H730" s="197">
        <v>0</v>
      </c>
      <c r="I730" s="210" t="s">
        <v>229</v>
      </c>
      <c r="J730" s="210">
        <v>2022</v>
      </c>
      <c r="K730" s="210">
        <v>2022</v>
      </c>
      <c r="L730" s="268" t="str">
        <f t="shared" si="153"/>
        <v>Simple</v>
      </c>
      <c r="M730" s="197">
        <v>665000</v>
      </c>
      <c r="N730" s="197">
        <v>0</v>
      </c>
      <c r="O730" s="257">
        <f>IF(ISNA(MATCH(H730,'Operating leases'!$B$32:$B$43,0)),0,INDEX('Operating leases'!$M$32:$S$43,MATCH(H730,'Operating leases'!$B$32:$B$43,0),MATCH(J730,'Operating leases'!$M$11:$S$11,0)))</f>
        <v>0</v>
      </c>
      <c r="P730" s="257">
        <f t="shared" si="154"/>
        <v>665000</v>
      </c>
      <c r="Q730" s="257">
        <f t="shared" si="155"/>
        <v>665000</v>
      </c>
      <c r="R730" s="258">
        <f>INDEX('Escalators '!$M$124:$S$129,MATCH(I730,'Escalators '!$B$124:$B$129,0),MATCH(J730,'Escalators '!$M$113:$S$113,0))</f>
        <v>1.0379818100112963</v>
      </c>
      <c r="S730" s="257">
        <f t="shared" si="156"/>
        <v>0</v>
      </c>
      <c r="T730" s="257">
        <f t="shared" si="157"/>
        <v>0</v>
      </c>
      <c r="U730" s="269">
        <f t="shared" si="158"/>
        <v>690257.90365751204</v>
      </c>
      <c r="V730" s="269">
        <f t="shared" si="159"/>
        <v>690257.90365751204</v>
      </c>
      <c r="W730" s="269">
        <f t="shared" si="160"/>
        <v>690257.90365751204</v>
      </c>
      <c r="X730" s="257">
        <f t="shared" si="161"/>
        <v>690257.90365751204</v>
      </c>
      <c r="Y730" s="270">
        <f>IF(L730="Complex",(INDEX('Escalators '!$M$176:$S$176,MATCH('Forecast capex'!J730,'Escalators '!$M$178:$S$178,0))/12+1)^((K730-J730)*12)-1,0)</f>
        <v>0</v>
      </c>
      <c r="Z730" s="257">
        <f t="shared" si="162"/>
        <v>0</v>
      </c>
      <c r="AA730" s="257">
        <f t="shared" si="163"/>
        <v>0</v>
      </c>
      <c r="AB730" s="269">
        <f t="shared" si="164"/>
        <v>0</v>
      </c>
      <c r="AC730" s="269">
        <f t="shared" si="165"/>
        <v>0</v>
      </c>
      <c r="AD730" s="271" t="str">
        <f>INDEX('Global inputs'!$C$134:$C$171,MATCH(F730,'Global inputs'!$B$134:$B$171,0))</f>
        <v>Non-network CAPEX</v>
      </c>
      <c r="AE730" s="272">
        <f>IF(OR(H730='Operating leases'!$B$32,H730='Operating leases'!$B$33),"",INDEX('Global inputs'!$C$186:$C$243,MATCH(E730,'Global inputs'!$B$186:$B$243,0)))</f>
        <v>0.5</v>
      </c>
    </row>
    <row r="731" spans="1:31" s="27" customFormat="1" x14ac:dyDescent="0.2">
      <c r="A731" s="250"/>
      <c r="B731" s="210" t="s">
        <v>738</v>
      </c>
      <c r="C731" s="210" t="s">
        <v>292</v>
      </c>
      <c r="D731" s="210" t="s">
        <v>739</v>
      </c>
      <c r="E731" s="210" t="s">
        <v>186</v>
      </c>
      <c r="F731" s="210" t="s">
        <v>89</v>
      </c>
      <c r="G731" s="210">
        <v>0</v>
      </c>
      <c r="H731" s="197" t="s">
        <v>89</v>
      </c>
      <c r="I731" s="210" t="s">
        <v>229</v>
      </c>
      <c r="J731" s="210">
        <v>2022</v>
      </c>
      <c r="K731" s="210">
        <v>2022</v>
      </c>
      <c r="L731" s="268" t="str">
        <f t="shared" si="153"/>
        <v>Simple</v>
      </c>
      <c r="M731" s="197">
        <v>0</v>
      </c>
      <c r="N731" s="197">
        <v>0</v>
      </c>
      <c r="O731" s="257">
        <f>IF(ISNA(MATCH(H731,'Operating leases'!$B$32:$B$43,0)),0,INDEX('Operating leases'!$M$32:$S$43,MATCH(H731,'Operating leases'!$B$32:$B$43,0),MATCH(J731,'Operating leases'!$M$11:$S$11,0)))</f>
        <v>0</v>
      </c>
      <c r="P731" s="257">
        <f t="shared" si="154"/>
        <v>0</v>
      </c>
      <c r="Q731" s="257">
        <f t="shared" si="155"/>
        <v>0</v>
      </c>
      <c r="R731" s="258">
        <f>INDEX('Escalators '!$M$124:$S$129,MATCH(I731,'Escalators '!$B$124:$B$129,0),MATCH(J731,'Escalators '!$M$113:$S$113,0))</f>
        <v>1.0379818100112963</v>
      </c>
      <c r="S731" s="257">
        <f t="shared" si="156"/>
        <v>0</v>
      </c>
      <c r="T731" s="257">
        <f t="shared" si="157"/>
        <v>0</v>
      </c>
      <c r="U731" s="269">
        <f t="shared" si="158"/>
        <v>0</v>
      </c>
      <c r="V731" s="269">
        <f t="shared" si="159"/>
        <v>0</v>
      </c>
      <c r="W731" s="269">
        <f t="shared" si="160"/>
        <v>0</v>
      </c>
      <c r="X731" s="257">
        <f t="shared" si="161"/>
        <v>0</v>
      </c>
      <c r="Y731" s="270">
        <f>IF(L731="Complex",(INDEX('Escalators '!$M$176:$S$176,MATCH('Forecast capex'!J731,'Escalators '!$M$178:$S$178,0))/12+1)^((K731-J731)*12)-1,0)</f>
        <v>0</v>
      </c>
      <c r="Z731" s="257">
        <f t="shared" si="162"/>
        <v>0</v>
      </c>
      <c r="AA731" s="257">
        <f t="shared" si="163"/>
        <v>0</v>
      </c>
      <c r="AB731" s="269">
        <f t="shared" si="164"/>
        <v>0</v>
      </c>
      <c r="AC731" s="269">
        <f t="shared" si="165"/>
        <v>0</v>
      </c>
      <c r="AD731" s="271" t="str">
        <f>INDEX('Global inputs'!$C$134:$C$171,MATCH(F731,'Global inputs'!$B$134:$B$171,0))</f>
        <v>Non-network CAPEX</v>
      </c>
      <c r="AE731" s="272" t="str">
        <f>IF(OR(H731='Operating leases'!$B$32,H731='Operating leases'!$B$33),"",INDEX('Global inputs'!$C$186:$C$243,MATCH(E731,'Global inputs'!$B$186:$B$243,0)))</f>
        <v/>
      </c>
    </row>
    <row r="732" spans="1:31" s="27" customFormat="1" x14ac:dyDescent="0.2">
      <c r="A732" s="250"/>
      <c r="B732" s="210" t="s">
        <v>738</v>
      </c>
      <c r="C732" s="210" t="s">
        <v>292</v>
      </c>
      <c r="D732" s="210" t="s">
        <v>739</v>
      </c>
      <c r="E732" s="210" t="s">
        <v>185</v>
      </c>
      <c r="F732" s="210" t="s">
        <v>91</v>
      </c>
      <c r="G732" s="210">
        <v>0</v>
      </c>
      <c r="H732" s="197" t="s">
        <v>91</v>
      </c>
      <c r="I732" s="210" t="s">
        <v>229</v>
      </c>
      <c r="J732" s="210">
        <v>2022</v>
      </c>
      <c r="K732" s="210">
        <v>2022</v>
      </c>
      <c r="L732" s="268" t="str">
        <f t="shared" si="153"/>
        <v>Simple</v>
      </c>
      <c r="M732" s="197">
        <v>0</v>
      </c>
      <c r="N732" s="197">
        <v>0</v>
      </c>
      <c r="O732" s="257">
        <f>IF(ISNA(MATCH(H732,'Operating leases'!$B$32:$B$43,0)),0,INDEX('Operating leases'!$M$32:$S$43,MATCH(H732,'Operating leases'!$B$32:$B$43,0),MATCH(J732,'Operating leases'!$M$11:$S$11,0)))</f>
        <v>459350.29462085513</v>
      </c>
      <c r="P732" s="257">
        <f t="shared" si="154"/>
        <v>459350.29462085513</v>
      </c>
      <c r="Q732" s="257">
        <f t="shared" si="155"/>
        <v>459350.29462085513</v>
      </c>
      <c r="R732" s="258">
        <f>INDEX('Escalators '!$M$124:$S$129,MATCH(I732,'Escalators '!$B$124:$B$129,0),MATCH(J732,'Escalators '!$M$113:$S$113,0))</f>
        <v>1.0379818100112963</v>
      </c>
      <c r="S732" s="257">
        <f t="shared" si="156"/>
        <v>476797.25023977744</v>
      </c>
      <c r="T732" s="257">
        <f t="shared" si="157"/>
        <v>0</v>
      </c>
      <c r="U732" s="269">
        <f t="shared" si="158"/>
        <v>0</v>
      </c>
      <c r="V732" s="269">
        <f t="shared" si="159"/>
        <v>0</v>
      </c>
      <c r="W732" s="269">
        <f t="shared" si="160"/>
        <v>476797.25023977744</v>
      </c>
      <c r="X732" s="257">
        <f t="shared" si="161"/>
        <v>476797.25023977744</v>
      </c>
      <c r="Y732" s="270">
        <f>IF(L732="Complex",(INDEX('Escalators '!$M$176:$S$176,MATCH('Forecast capex'!J732,'Escalators '!$M$178:$S$178,0))/12+1)^((K732-J732)*12)-1,0)</f>
        <v>0</v>
      </c>
      <c r="Z732" s="257">
        <f t="shared" si="162"/>
        <v>0</v>
      </c>
      <c r="AA732" s="257">
        <f t="shared" si="163"/>
        <v>0</v>
      </c>
      <c r="AB732" s="269">
        <f t="shared" si="164"/>
        <v>0</v>
      </c>
      <c r="AC732" s="269">
        <f t="shared" si="165"/>
        <v>0</v>
      </c>
      <c r="AD732" s="271" t="str">
        <f>INDEX('Global inputs'!$C$134:$C$171,MATCH(F732,'Global inputs'!$B$134:$B$171,0))</f>
        <v>Non-network CAPEX</v>
      </c>
      <c r="AE732" s="272" t="str">
        <f>IF(OR(H732='Operating leases'!$B$32,H732='Operating leases'!$B$33),"",INDEX('Global inputs'!$C$186:$C$243,MATCH(E732,'Global inputs'!$B$186:$B$243,0)))</f>
        <v/>
      </c>
    </row>
    <row r="733" spans="1:31" s="27" customFormat="1" x14ac:dyDescent="0.2">
      <c r="A733" s="250"/>
      <c r="B733" s="210" t="s">
        <v>742</v>
      </c>
      <c r="C733" s="210" t="s">
        <v>286</v>
      </c>
      <c r="D733" s="210" t="s">
        <v>732</v>
      </c>
      <c r="E733" s="210" t="s">
        <v>136</v>
      </c>
      <c r="F733" s="210" t="s">
        <v>108</v>
      </c>
      <c r="G733" s="210" t="s">
        <v>751</v>
      </c>
      <c r="H733" s="197">
        <v>0</v>
      </c>
      <c r="I733" s="210" t="s">
        <v>221</v>
      </c>
      <c r="J733" s="210">
        <v>2022</v>
      </c>
      <c r="K733" s="210">
        <v>2022</v>
      </c>
      <c r="L733" s="268" t="str">
        <f t="shared" si="153"/>
        <v>Simple</v>
      </c>
      <c r="M733" s="197">
        <v>867825</v>
      </c>
      <c r="N733" s="197">
        <v>0</v>
      </c>
      <c r="O733" s="257">
        <f>IF(ISNA(MATCH(H733,'Operating leases'!$B$32:$B$43,0)),0,INDEX('Operating leases'!$M$32:$S$43,MATCH(H733,'Operating leases'!$B$32:$B$43,0),MATCH(J733,'Operating leases'!$M$11:$S$11,0)))</f>
        <v>0</v>
      </c>
      <c r="P733" s="257">
        <f t="shared" si="154"/>
        <v>867825</v>
      </c>
      <c r="Q733" s="257">
        <f t="shared" si="155"/>
        <v>867825</v>
      </c>
      <c r="R733" s="258">
        <f>INDEX('Escalators '!$M$124:$S$129,MATCH(I733,'Escalators '!$B$124:$B$129,0),MATCH(J733,'Escalators '!$M$113:$S$113,0))</f>
        <v>1.0272672933956697</v>
      </c>
      <c r="S733" s="257">
        <f t="shared" si="156"/>
        <v>0</v>
      </c>
      <c r="T733" s="257">
        <f t="shared" si="157"/>
        <v>0</v>
      </c>
      <c r="U733" s="269">
        <f t="shared" si="158"/>
        <v>891488.23889109702</v>
      </c>
      <c r="V733" s="269">
        <f t="shared" si="159"/>
        <v>891488.23889109702</v>
      </c>
      <c r="W733" s="269">
        <f t="shared" si="160"/>
        <v>891488.23889109702</v>
      </c>
      <c r="X733" s="257">
        <f t="shared" si="161"/>
        <v>891488.23889109702</v>
      </c>
      <c r="Y733" s="270">
        <f>IF(L733="Complex",(INDEX('Escalators '!$M$176:$S$176,MATCH('Forecast capex'!J733,'Escalators '!$M$178:$S$178,0))/12+1)^((K733-J733)*12)-1,0)</f>
        <v>0</v>
      </c>
      <c r="Z733" s="257">
        <f t="shared" si="162"/>
        <v>0</v>
      </c>
      <c r="AA733" s="257">
        <f t="shared" si="163"/>
        <v>0</v>
      </c>
      <c r="AB733" s="269">
        <f t="shared" si="164"/>
        <v>0</v>
      </c>
      <c r="AC733" s="269">
        <f t="shared" si="165"/>
        <v>0</v>
      </c>
      <c r="AD733" s="271" t="str">
        <f>INDEX('Global inputs'!$C$134:$C$171,MATCH(F733,'Global inputs'!$B$134:$B$171,0))</f>
        <v>Asset replacement and renewal</v>
      </c>
      <c r="AE733" s="272">
        <f>IF(OR(H733='Operating leases'!$B$32,H733='Operating leases'!$B$33),"",INDEX('Global inputs'!$C$186:$C$243,MATCH(E733,'Global inputs'!$B$186:$B$243,0)))</f>
        <v>0</v>
      </c>
    </row>
    <row r="734" spans="1:31" s="27" customFormat="1" x14ac:dyDescent="0.2">
      <c r="A734" s="250"/>
      <c r="B734" s="210" t="s">
        <v>742</v>
      </c>
      <c r="C734" s="210" t="s">
        <v>286</v>
      </c>
      <c r="D734" s="210" t="s">
        <v>732</v>
      </c>
      <c r="E734" s="210" t="s">
        <v>136</v>
      </c>
      <c r="F734" s="210" t="s">
        <v>108</v>
      </c>
      <c r="G734" s="210" t="s">
        <v>751</v>
      </c>
      <c r="H734" s="197">
        <v>0</v>
      </c>
      <c r="I734" s="210" t="s">
        <v>229</v>
      </c>
      <c r="J734" s="210">
        <v>2022</v>
      </c>
      <c r="K734" s="210">
        <v>2022</v>
      </c>
      <c r="L734" s="268" t="str">
        <f t="shared" si="153"/>
        <v>Simple</v>
      </c>
      <c r="M734" s="197">
        <v>867825</v>
      </c>
      <c r="N734" s="197">
        <v>0</v>
      </c>
      <c r="O734" s="257">
        <f>IF(ISNA(MATCH(H734,'Operating leases'!$B$32:$B$43,0)),0,INDEX('Operating leases'!$M$32:$S$43,MATCH(H734,'Operating leases'!$B$32:$B$43,0),MATCH(J734,'Operating leases'!$M$11:$S$11,0)))</f>
        <v>0</v>
      </c>
      <c r="P734" s="257">
        <f t="shared" si="154"/>
        <v>867825</v>
      </c>
      <c r="Q734" s="257">
        <f t="shared" si="155"/>
        <v>867825</v>
      </c>
      <c r="R734" s="258">
        <f>INDEX('Escalators '!$M$124:$S$129,MATCH(I734,'Escalators '!$B$124:$B$129,0),MATCH(J734,'Escalators '!$M$113:$S$113,0))</f>
        <v>1.0379818100112963</v>
      </c>
      <c r="S734" s="257">
        <f t="shared" si="156"/>
        <v>0</v>
      </c>
      <c r="T734" s="257">
        <f t="shared" si="157"/>
        <v>0</v>
      </c>
      <c r="U734" s="269">
        <f t="shared" si="158"/>
        <v>900786.5642730532</v>
      </c>
      <c r="V734" s="269">
        <f t="shared" si="159"/>
        <v>900786.5642730532</v>
      </c>
      <c r="W734" s="269">
        <f t="shared" si="160"/>
        <v>900786.5642730532</v>
      </c>
      <c r="X734" s="257">
        <f t="shared" si="161"/>
        <v>900786.5642730532</v>
      </c>
      <c r="Y734" s="270">
        <f>IF(L734="Complex",(INDEX('Escalators '!$M$176:$S$176,MATCH('Forecast capex'!J734,'Escalators '!$M$178:$S$178,0))/12+1)^((K734-J734)*12)-1,0)</f>
        <v>0</v>
      </c>
      <c r="Z734" s="257">
        <f t="shared" si="162"/>
        <v>0</v>
      </c>
      <c r="AA734" s="257">
        <f t="shared" si="163"/>
        <v>0</v>
      </c>
      <c r="AB734" s="269">
        <f t="shared" si="164"/>
        <v>0</v>
      </c>
      <c r="AC734" s="269">
        <f t="shared" si="165"/>
        <v>0</v>
      </c>
      <c r="AD734" s="271" t="str">
        <f>INDEX('Global inputs'!$C$134:$C$171,MATCH(F734,'Global inputs'!$B$134:$B$171,0))</f>
        <v>Asset replacement and renewal</v>
      </c>
      <c r="AE734" s="272">
        <f>IF(OR(H734='Operating leases'!$B$32,H734='Operating leases'!$B$33),"",INDEX('Global inputs'!$C$186:$C$243,MATCH(E734,'Global inputs'!$B$186:$B$243,0)))</f>
        <v>0</v>
      </c>
    </row>
    <row r="735" spans="1:31" s="27" customFormat="1" x14ac:dyDescent="0.2">
      <c r="A735" s="250"/>
      <c r="B735" s="210" t="s">
        <v>742</v>
      </c>
      <c r="C735" s="210" t="s">
        <v>286</v>
      </c>
      <c r="D735" s="210" t="s">
        <v>732</v>
      </c>
      <c r="E735" s="210" t="s">
        <v>136</v>
      </c>
      <c r="F735" s="210" t="s">
        <v>108</v>
      </c>
      <c r="G735" s="210" t="s">
        <v>751</v>
      </c>
      <c r="H735" s="197">
        <v>0</v>
      </c>
      <c r="I735" s="210" t="s">
        <v>221</v>
      </c>
      <c r="J735" s="210">
        <v>2022</v>
      </c>
      <c r="K735" s="210">
        <v>2022</v>
      </c>
      <c r="L735" s="268" t="str">
        <f t="shared" si="153"/>
        <v>Simple</v>
      </c>
      <c r="M735" s="197">
        <v>516372.5</v>
      </c>
      <c r="N735" s="197">
        <v>0</v>
      </c>
      <c r="O735" s="257">
        <f>IF(ISNA(MATCH(H735,'Operating leases'!$B$32:$B$43,0)),0,INDEX('Operating leases'!$M$32:$S$43,MATCH(H735,'Operating leases'!$B$32:$B$43,0),MATCH(J735,'Operating leases'!$M$11:$S$11,0)))</f>
        <v>0</v>
      </c>
      <c r="P735" s="257">
        <f t="shared" si="154"/>
        <v>516372.5</v>
      </c>
      <c r="Q735" s="257">
        <f t="shared" si="155"/>
        <v>516372.5</v>
      </c>
      <c r="R735" s="258">
        <f>INDEX('Escalators '!$M$124:$S$129,MATCH(I735,'Escalators '!$B$124:$B$129,0),MATCH(J735,'Escalators '!$M$113:$S$113,0))</f>
        <v>1.0272672933956697</v>
      </c>
      <c r="S735" s="257">
        <f t="shared" si="156"/>
        <v>0</v>
      </c>
      <c r="T735" s="257">
        <f t="shared" si="157"/>
        <v>0</v>
      </c>
      <c r="U735" s="269">
        <f t="shared" si="158"/>
        <v>530452.58045895549</v>
      </c>
      <c r="V735" s="269">
        <f t="shared" si="159"/>
        <v>530452.58045895549</v>
      </c>
      <c r="W735" s="269">
        <f t="shared" si="160"/>
        <v>530452.58045895549</v>
      </c>
      <c r="X735" s="257">
        <f t="shared" si="161"/>
        <v>530452.58045895549</v>
      </c>
      <c r="Y735" s="270">
        <f>IF(L735="Complex",(INDEX('Escalators '!$M$176:$S$176,MATCH('Forecast capex'!J735,'Escalators '!$M$178:$S$178,0))/12+1)^((K735-J735)*12)-1,0)</f>
        <v>0</v>
      </c>
      <c r="Z735" s="257">
        <f t="shared" si="162"/>
        <v>0</v>
      </c>
      <c r="AA735" s="257">
        <f t="shared" si="163"/>
        <v>0</v>
      </c>
      <c r="AB735" s="269">
        <f t="shared" si="164"/>
        <v>0</v>
      </c>
      <c r="AC735" s="269">
        <f t="shared" si="165"/>
        <v>0</v>
      </c>
      <c r="AD735" s="271" t="str">
        <f>INDEX('Global inputs'!$C$134:$C$171,MATCH(F735,'Global inputs'!$B$134:$B$171,0))</f>
        <v>Asset replacement and renewal</v>
      </c>
      <c r="AE735" s="272">
        <f>IF(OR(H735='Operating leases'!$B$32,H735='Operating leases'!$B$33),"",INDEX('Global inputs'!$C$186:$C$243,MATCH(E735,'Global inputs'!$B$186:$B$243,0)))</f>
        <v>0</v>
      </c>
    </row>
    <row r="736" spans="1:31" s="27" customFormat="1" x14ac:dyDescent="0.2">
      <c r="A736" s="250"/>
      <c r="B736" s="210" t="s">
        <v>742</v>
      </c>
      <c r="C736" s="210" t="s">
        <v>286</v>
      </c>
      <c r="D736" s="210" t="s">
        <v>732</v>
      </c>
      <c r="E736" s="210" t="s">
        <v>136</v>
      </c>
      <c r="F736" s="210" t="s">
        <v>108</v>
      </c>
      <c r="G736" s="210" t="s">
        <v>751</v>
      </c>
      <c r="H736" s="197">
        <v>0</v>
      </c>
      <c r="I736" s="210" t="s">
        <v>229</v>
      </c>
      <c r="J736" s="210">
        <v>2022</v>
      </c>
      <c r="K736" s="210">
        <v>2022</v>
      </c>
      <c r="L736" s="268" t="str">
        <f t="shared" si="153"/>
        <v>Simple</v>
      </c>
      <c r="M736" s="197">
        <v>516372.5</v>
      </c>
      <c r="N736" s="197">
        <v>0</v>
      </c>
      <c r="O736" s="257">
        <f>IF(ISNA(MATCH(H736,'Operating leases'!$B$32:$B$43,0)),0,INDEX('Operating leases'!$M$32:$S$43,MATCH(H736,'Operating leases'!$B$32:$B$43,0),MATCH(J736,'Operating leases'!$M$11:$S$11,0)))</f>
        <v>0</v>
      </c>
      <c r="P736" s="257">
        <f t="shared" si="154"/>
        <v>516372.5</v>
      </c>
      <c r="Q736" s="257">
        <f t="shared" si="155"/>
        <v>516372.5</v>
      </c>
      <c r="R736" s="258">
        <f>INDEX('Escalators '!$M$124:$S$129,MATCH(I736,'Escalators '!$B$124:$B$129,0),MATCH(J736,'Escalators '!$M$113:$S$113,0))</f>
        <v>1.0379818100112963</v>
      </c>
      <c r="S736" s="257">
        <f t="shared" si="156"/>
        <v>0</v>
      </c>
      <c r="T736" s="257">
        <f t="shared" si="157"/>
        <v>0</v>
      </c>
      <c r="U736" s="269">
        <f t="shared" si="158"/>
        <v>535985.26219005813</v>
      </c>
      <c r="V736" s="269">
        <f t="shared" si="159"/>
        <v>535985.26219005813</v>
      </c>
      <c r="W736" s="269">
        <f t="shared" si="160"/>
        <v>535985.26219005813</v>
      </c>
      <c r="X736" s="257">
        <f t="shared" si="161"/>
        <v>535985.26219005813</v>
      </c>
      <c r="Y736" s="270">
        <f>IF(L736="Complex",(INDEX('Escalators '!$M$176:$S$176,MATCH('Forecast capex'!J736,'Escalators '!$M$178:$S$178,0))/12+1)^((K736-J736)*12)-1,0)</f>
        <v>0</v>
      </c>
      <c r="Z736" s="257">
        <f t="shared" si="162"/>
        <v>0</v>
      </c>
      <c r="AA736" s="257">
        <f t="shared" si="163"/>
        <v>0</v>
      </c>
      <c r="AB736" s="269">
        <f t="shared" si="164"/>
        <v>0</v>
      </c>
      <c r="AC736" s="269">
        <f t="shared" si="165"/>
        <v>0</v>
      </c>
      <c r="AD736" s="271" t="str">
        <f>INDEX('Global inputs'!$C$134:$C$171,MATCH(F736,'Global inputs'!$B$134:$B$171,0))</f>
        <v>Asset replacement and renewal</v>
      </c>
      <c r="AE736" s="272">
        <f>IF(OR(H736='Operating leases'!$B$32,H736='Operating leases'!$B$33),"",INDEX('Global inputs'!$C$186:$C$243,MATCH(E736,'Global inputs'!$B$186:$B$243,0)))</f>
        <v>0</v>
      </c>
    </row>
    <row r="737" spans="1:31" s="27" customFormat="1" x14ac:dyDescent="0.2">
      <c r="A737" s="250"/>
      <c r="B737" s="210" t="s">
        <v>742</v>
      </c>
      <c r="C737" s="210" t="s">
        <v>285</v>
      </c>
      <c r="D737" s="210" t="s">
        <v>223</v>
      </c>
      <c r="E737" s="210" t="s">
        <v>134</v>
      </c>
      <c r="F737" s="210" t="s">
        <v>108</v>
      </c>
      <c r="G737" s="210" t="s">
        <v>726</v>
      </c>
      <c r="H737" s="197">
        <v>0</v>
      </c>
      <c r="I737" s="210" t="s">
        <v>221</v>
      </c>
      <c r="J737" s="210">
        <v>2022</v>
      </c>
      <c r="K737" s="210">
        <v>2022</v>
      </c>
      <c r="L737" s="268" t="str">
        <f t="shared" si="153"/>
        <v>Simple</v>
      </c>
      <c r="M737" s="197">
        <v>9943.08</v>
      </c>
      <c r="N737" s="197">
        <v>0</v>
      </c>
      <c r="O737" s="257">
        <f>IF(ISNA(MATCH(H737,'Operating leases'!$B$32:$B$43,0)),0,INDEX('Operating leases'!$M$32:$S$43,MATCH(H737,'Operating leases'!$B$32:$B$43,0),MATCH(J737,'Operating leases'!$M$11:$S$11,0)))</f>
        <v>0</v>
      </c>
      <c r="P737" s="257">
        <f t="shared" si="154"/>
        <v>9943.08</v>
      </c>
      <c r="Q737" s="257">
        <f t="shared" si="155"/>
        <v>9943.08</v>
      </c>
      <c r="R737" s="258">
        <f>INDEX('Escalators '!$M$124:$S$129,MATCH(I737,'Escalators '!$B$124:$B$129,0),MATCH(J737,'Escalators '!$M$113:$S$113,0))</f>
        <v>1.0272672933956697</v>
      </c>
      <c r="S737" s="257">
        <f t="shared" si="156"/>
        <v>0</v>
      </c>
      <c r="T737" s="257">
        <f t="shared" si="157"/>
        <v>0</v>
      </c>
      <c r="U737" s="269">
        <f t="shared" si="158"/>
        <v>10214.200879616616</v>
      </c>
      <c r="V737" s="269">
        <f t="shared" si="159"/>
        <v>10214.200879616616</v>
      </c>
      <c r="W737" s="269">
        <f t="shared" si="160"/>
        <v>10214.200879616616</v>
      </c>
      <c r="X737" s="257">
        <f t="shared" si="161"/>
        <v>10214.200879616616</v>
      </c>
      <c r="Y737" s="270">
        <f>IF(L737="Complex",(INDEX('Escalators '!$M$176:$S$176,MATCH('Forecast capex'!J737,'Escalators '!$M$178:$S$178,0))/12+1)^((K737-J737)*12)-1,0)</f>
        <v>0</v>
      </c>
      <c r="Z737" s="257">
        <f t="shared" si="162"/>
        <v>0</v>
      </c>
      <c r="AA737" s="257">
        <f t="shared" si="163"/>
        <v>0</v>
      </c>
      <c r="AB737" s="269">
        <f t="shared" si="164"/>
        <v>0</v>
      </c>
      <c r="AC737" s="269">
        <f t="shared" si="165"/>
        <v>0</v>
      </c>
      <c r="AD737" s="271" t="str">
        <f>INDEX('Global inputs'!$C$134:$C$171,MATCH(F737,'Global inputs'!$B$134:$B$171,0))</f>
        <v>Asset replacement and renewal</v>
      </c>
      <c r="AE737" s="272">
        <f>IF(OR(H737='Operating leases'!$B$32,H737='Operating leases'!$B$33),"",INDEX('Global inputs'!$C$186:$C$243,MATCH(E737,'Global inputs'!$B$186:$B$243,0)))</f>
        <v>0.08</v>
      </c>
    </row>
    <row r="738" spans="1:31" s="27" customFormat="1" x14ac:dyDescent="0.2">
      <c r="A738" s="250"/>
      <c r="B738" s="210" t="s">
        <v>742</v>
      </c>
      <c r="C738" s="210" t="s">
        <v>285</v>
      </c>
      <c r="D738" s="210" t="s">
        <v>223</v>
      </c>
      <c r="E738" s="210" t="s">
        <v>134</v>
      </c>
      <c r="F738" s="210" t="s">
        <v>108</v>
      </c>
      <c r="G738" s="210" t="s">
        <v>726</v>
      </c>
      <c r="H738" s="197">
        <v>0</v>
      </c>
      <c r="I738" s="210" t="s">
        <v>223</v>
      </c>
      <c r="J738" s="210">
        <v>2022</v>
      </c>
      <c r="K738" s="210">
        <v>2022</v>
      </c>
      <c r="L738" s="268" t="str">
        <f t="shared" si="153"/>
        <v>Simple</v>
      </c>
      <c r="M738" s="197">
        <v>4261.32</v>
      </c>
      <c r="N738" s="197">
        <v>0</v>
      </c>
      <c r="O738" s="257">
        <f>IF(ISNA(MATCH(H738,'Operating leases'!$B$32:$B$43,0)),0,INDEX('Operating leases'!$M$32:$S$43,MATCH(H738,'Operating leases'!$B$32:$B$43,0),MATCH(J738,'Operating leases'!$M$11:$S$11,0)))</f>
        <v>0</v>
      </c>
      <c r="P738" s="257">
        <f t="shared" si="154"/>
        <v>4261.32</v>
      </c>
      <c r="Q738" s="257">
        <f t="shared" si="155"/>
        <v>4261.32</v>
      </c>
      <c r="R738" s="258">
        <f>INDEX('Escalators '!$M$124:$S$129,MATCH(I738,'Escalators '!$B$124:$B$129,0),MATCH(J738,'Escalators '!$M$113:$S$113,0))</f>
        <v>1.0395572483145099</v>
      </c>
      <c r="S738" s="257">
        <f t="shared" si="156"/>
        <v>0</v>
      </c>
      <c r="T738" s="257">
        <f t="shared" si="157"/>
        <v>0</v>
      </c>
      <c r="U738" s="269">
        <f t="shared" si="158"/>
        <v>4429.8860933875867</v>
      </c>
      <c r="V738" s="269">
        <f t="shared" si="159"/>
        <v>4429.8860933875867</v>
      </c>
      <c r="W738" s="269">
        <f t="shared" si="160"/>
        <v>4429.8860933875867</v>
      </c>
      <c r="X738" s="257">
        <f t="shared" si="161"/>
        <v>4429.8860933875867</v>
      </c>
      <c r="Y738" s="270">
        <f>IF(L738="Complex",(INDEX('Escalators '!$M$176:$S$176,MATCH('Forecast capex'!J738,'Escalators '!$M$178:$S$178,0))/12+1)^((K738-J738)*12)-1,0)</f>
        <v>0</v>
      </c>
      <c r="Z738" s="257">
        <f t="shared" si="162"/>
        <v>0</v>
      </c>
      <c r="AA738" s="257">
        <f t="shared" si="163"/>
        <v>0</v>
      </c>
      <c r="AB738" s="269">
        <f t="shared" si="164"/>
        <v>0</v>
      </c>
      <c r="AC738" s="269">
        <f t="shared" si="165"/>
        <v>0</v>
      </c>
      <c r="AD738" s="271" t="str">
        <f>INDEX('Global inputs'!$C$134:$C$171,MATCH(F738,'Global inputs'!$B$134:$B$171,0))</f>
        <v>Asset replacement and renewal</v>
      </c>
      <c r="AE738" s="272">
        <f>IF(OR(H738='Operating leases'!$B$32,H738='Operating leases'!$B$33),"",INDEX('Global inputs'!$C$186:$C$243,MATCH(E738,'Global inputs'!$B$186:$B$243,0)))</f>
        <v>0.08</v>
      </c>
    </row>
    <row r="739" spans="1:31" s="27" customFormat="1" x14ac:dyDescent="0.2">
      <c r="A739" s="250"/>
      <c r="B739" s="210" t="s">
        <v>742</v>
      </c>
      <c r="C739" s="210" t="s">
        <v>286</v>
      </c>
      <c r="D739" s="210" t="s">
        <v>732</v>
      </c>
      <c r="E739" s="210" t="s">
        <v>138</v>
      </c>
      <c r="F739" s="210" t="s">
        <v>108</v>
      </c>
      <c r="G739" s="210" t="s">
        <v>752</v>
      </c>
      <c r="H739" s="197">
        <v>0</v>
      </c>
      <c r="I739" s="210" t="s">
        <v>221</v>
      </c>
      <c r="J739" s="210">
        <v>2022</v>
      </c>
      <c r="K739" s="210">
        <v>2022</v>
      </c>
      <c r="L739" s="268" t="str">
        <f t="shared" si="153"/>
        <v>Simple</v>
      </c>
      <c r="M739" s="197">
        <v>834548.39999999991</v>
      </c>
      <c r="N739" s="197">
        <v>0</v>
      </c>
      <c r="O739" s="257">
        <f>IF(ISNA(MATCH(H739,'Operating leases'!$B$32:$B$43,0)),0,INDEX('Operating leases'!$M$32:$S$43,MATCH(H739,'Operating leases'!$B$32:$B$43,0),MATCH(J739,'Operating leases'!$M$11:$S$11,0)))</f>
        <v>0</v>
      </c>
      <c r="P739" s="257">
        <f t="shared" si="154"/>
        <v>834548.39999999991</v>
      </c>
      <c r="Q739" s="257">
        <f t="shared" si="155"/>
        <v>834548.39999999991</v>
      </c>
      <c r="R739" s="258">
        <f>INDEX('Escalators '!$M$124:$S$129,MATCH(I739,'Escalators '!$B$124:$B$129,0),MATCH(J739,'Escalators '!$M$113:$S$113,0))</f>
        <v>1.0272672933956697</v>
      </c>
      <c r="S739" s="257">
        <f t="shared" si="156"/>
        <v>0</v>
      </c>
      <c r="T739" s="257">
        <f t="shared" si="157"/>
        <v>0</v>
      </c>
      <c r="U739" s="269">
        <f t="shared" si="158"/>
        <v>857304.27607568656</v>
      </c>
      <c r="V739" s="269">
        <f t="shared" si="159"/>
        <v>857304.27607568656</v>
      </c>
      <c r="W739" s="269">
        <f t="shared" si="160"/>
        <v>857304.27607568656</v>
      </c>
      <c r="X739" s="257">
        <f t="shared" si="161"/>
        <v>857304.27607568656</v>
      </c>
      <c r="Y739" s="270">
        <f>IF(L739="Complex",(INDEX('Escalators '!$M$176:$S$176,MATCH('Forecast capex'!J739,'Escalators '!$M$178:$S$178,0))/12+1)^((K739-J739)*12)-1,0)</f>
        <v>0</v>
      </c>
      <c r="Z739" s="257">
        <f t="shared" si="162"/>
        <v>0</v>
      </c>
      <c r="AA739" s="257">
        <f t="shared" si="163"/>
        <v>0</v>
      </c>
      <c r="AB739" s="269">
        <f t="shared" si="164"/>
        <v>0</v>
      </c>
      <c r="AC739" s="269">
        <f t="shared" si="165"/>
        <v>0</v>
      </c>
      <c r="AD739" s="271" t="str">
        <f>INDEX('Global inputs'!$C$134:$C$171,MATCH(F739,'Global inputs'!$B$134:$B$171,0))</f>
        <v>Asset replacement and renewal</v>
      </c>
      <c r="AE739" s="272">
        <f>IF(OR(H739='Operating leases'!$B$32,H739='Operating leases'!$B$33),"",INDEX('Global inputs'!$C$186:$C$243,MATCH(E739,'Global inputs'!$B$186:$B$243,0)))</f>
        <v>0.08</v>
      </c>
    </row>
    <row r="740" spans="1:31" s="27" customFormat="1" x14ac:dyDescent="0.2">
      <c r="A740" s="250"/>
      <c r="B740" s="210" t="s">
        <v>742</v>
      </c>
      <c r="C740" s="210" t="s">
        <v>286</v>
      </c>
      <c r="D740" s="210" t="s">
        <v>732</v>
      </c>
      <c r="E740" s="210" t="s">
        <v>138</v>
      </c>
      <c r="F740" s="210" t="s">
        <v>108</v>
      </c>
      <c r="G740" s="210" t="s">
        <v>752</v>
      </c>
      <c r="H740" s="197">
        <v>0</v>
      </c>
      <c r="I740" s="210" t="s">
        <v>139</v>
      </c>
      <c r="J740" s="210">
        <v>2022</v>
      </c>
      <c r="K740" s="210">
        <v>2022</v>
      </c>
      <c r="L740" s="268" t="str">
        <f t="shared" si="153"/>
        <v>Simple</v>
      </c>
      <c r="M740" s="197">
        <v>1251822.5999999999</v>
      </c>
      <c r="N740" s="197">
        <v>0</v>
      </c>
      <c r="O740" s="257">
        <f>IF(ISNA(MATCH(H740,'Operating leases'!$B$32:$B$43,0)),0,INDEX('Operating leases'!$M$32:$S$43,MATCH(H740,'Operating leases'!$B$32:$B$43,0),MATCH(J740,'Operating leases'!$M$11:$S$11,0)))</f>
        <v>0</v>
      </c>
      <c r="P740" s="257">
        <f t="shared" si="154"/>
        <v>1251822.5999999999</v>
      </c>
      <c r="Q740" s="257">
        <f t="shared" si="155"/>
        <v>1251822.5999999999</v>
      </c>
      <c r="R740" s="258">
        <f>INDEX('Escalators '!$M$124:$S$129,MATCH(I740,'Escalators '!$B$124:$B$129,0),MATCH(J740,'Escalators '!$M$113:$S$113,0))</f>
        <v>1.0086968501536033</v>
      </c>
      <c r="S740" s="257">
        <f t="shared" si="156"/>
        <v>0</v>
      </c>
      <c r="T740" s="257">
        <f t="shared" si="157"/>
        <v>0</v>
      </c>
      <c r="U740" s="269">
        <f t="shared" si="158"/>
        <v>1262709.513571094</v>
      </c>
      <c r="V740" s="269">
        <f t="shared" si="159"/>
        <v>1262709.513571094</v>
      </c>
      <c r="W740" s="269">
        <f t="shared" si="160"/>
        <v>1262709.513571094</v>
      </c>
      <c r="X740" s="257">
        <f t="shared" si="161"/>
        <v>1262709.513571094</v>
      </c>
      <c r="Y740" s="270">
        <f>IF(L740="Complex",(INDEX('Escalators '!$M$176:$S$176,MATCH('Forecast capex'!J740,'Escalators '!$M$178:$S$178,0))/12+1)^((K740-J740)*12)-1,0)</f>
        <v>0</v>
      </c>
      <c r="Z740" s="257">
        <f t="shared" si="162"/>
        <v>0</v>
      </c>
      <c r="AA740" s="257">
        <f t="shared" si="163"/>
        <v>0</v>
      </c>
      <c r="AB740" s="269">
        <f t="shared" si="164"/>
        <v>0</v>
      </c>
      <c r="AC740" s="269">
        <f t="shared" si="165"/>
        <v>0</v>
      </c>
      <c r="AD740" s="271" t="str">
        <f>INDEX('Global inputs'!$C$134:$C$171,MATCH(F740,'Global inputs'!$B$134:$B$171,0))</f>
        <v>Asset replacement and renewal</v>
      </c>
      <c r="AE740" s="272">
        <f>IF(OR(H740='Operating leases'!$B$32,H740='Operating leases'!$B$33),"",INDEX('Global inputs'!$C$186:$C$243,MATCH(E740,'Global inputs'!$B$186:$B$243,0)))</f>
        <v>0.08</v>
      </c>
    </row>
    <row r="741" spans="1:31" s="27" customFormat="1" x14ac:dyDescent="0.2">
      <c r="A741" s="250"/>
      <c r="B741" s="210" t="s">
        <v>742</v>
      </c>
      <c r="C741" s="210" t="s">
        <v>286</v>
      </c>
      <c r="D741" s="210" t="s">
        <v>732</v>
      </c>
      <c r="E741" s="210" t="s">
        <v>138</v>
      </c>
      <c r="F741" s="210" t="s">
        <v>108</v>
      </c>
      <c r="G741" s="210" t="s">
        <v>752</v>
      </c>
      <c r="H741" s="197">
        <v>0</v>
      </c>
      <c r="I741" s="210" t="s">
        <v>221</v>
      </c>
      <c r="J741" s="210">
        <v>2022</v>
      </c>
      <c r="K741" s="210">
        <v>2022</v>
      </c>
      <c r="L741" s="268" t="str">
        <f t="shared" si="153"/>
        <v>Simple</v>
      </c>
      <c r="M741" s="197">
        <v>109432.4</v>
      </c>
      <c r="N741" s="197">
        <v>0</v>
      </c>
      <c r="O741" s="257">
        <f>IF(ISNA(MATCH(H741,'Operating leases'!$B$32:$B$43,0)),0,INDEX('Operating leases'!$M$32:$S$43,MATCH(H741,'Operating leases'!$B$32:$B$43,0),MATCH(J741,'Operating leases'!$M$11:$S$11,0)))</f>
        <v>0</v>
      </c>
      <c r="P741" s="257">
        <f t="shared" si="154"/>
        <v>109432.4</v>
      </c>
      <c r="Q741" s="257">
        <f t="shared" si="155"/>
        <v>109432.4</v>
      </c>
      <c r="R741" s="258">
        <f>INDEX('Escalators '!$M$124:$S$129,MATCH(I741,'Escalators '!$B$124:$B$129,0),MATCH(J741,'Escalators '!$M$113:$S$113,0))</f>
        <v>1.0272672933956697</v>
      </c>
      <c r="S741" s="257">
        <f t="shared" si="156"/>
        <v>0</v>
      </c>
      <c r="T741" s="257">
        <f t="shared" si="157"/>
        <v>0</v>
      </c>
      <c r="U741" s="269">
        <f t="shared" si="158"/>
        <v>112416.32535779227</v>
      </c>
      <c r="V741" s="269">
        <f t="shared" si="159"/>
        <v>112416.32535779227</v>
      </c>
      <c r="W741" s="269">
        <f t="shared" si="160"/>
        <v>112416.32535779227</v>
      </c>
      <c r="X741" s="257">
        <f t="shared" si="161"/>
        <v>112416.32535779227</v>
      </c>
      <c r="Y741" s="270">
        <f>IF(L741="Complex",(INDEX('Escalators '!$M$176:$S$176,MATCH('Forecast capex'!J741,'Escalators '!$M$178:$S$178,0))/12+1)^((K741-J741)*12)-1,0)</f>
        <v>0</v>
      </c>
      <c r="Z741" s="257">
        <f t="shared" si="162"/>
        <v>0</v>
      </c>
      <c r="AA741" s="257">
        <f t="shared" si="163"/>
        <v>0</v>
      </c>
      <c r="AB741" s="269">
        <f t="shared" si="164"/>
        <v>0</v>
      </c>
      <c r="AC741" s="269">
        <f t="shared" si="165"/>
        <v>0</v>
      </c>
      <c r="AD741" s="271" t="str">
        <f>INDEX('Global inputs'!$C$134:$C$171,MATCH(F741,'Global inputs'!$B$134:$B$171,0))</f>
        <v>Asset replacement and renewal</v>
      </c>
      <c r="AE741" s="272">
        <f>IF(OR(H741='Operating leases'!$B$32,H741='Operating leases'!$B$33),"",INDEX('Global inputs'!$C$186:$C$243,MATCH(E741,'Global inputs'!$B$186:$B$243,0)))</f>
        <v>0.08</v>
      </c>
    </row>
    <row r="742" spans="1:31" s="27" customFormat="1" x14ac:dyDescent="0.2">
      <c r="A742" s="250"/>
      <c r="B742" s="210" t="s">
        <v>742</v>
      </c>
      <c r="C742" s="210" t="s">
        <v>286</v>
      </c>
      <c r="D742" s="210" t="s">
        <v>732</v>
      </c>
      <c r="E742" s="210" t="s">
        <v>138</v>
      </c>
      <c r="F742" s="210" t="s">
        <v>108</v>
      </c>
      <c r="G742" s="210" t="s">
        <v>752</v>
      </c>
      <c r="H742" s="197">
        <v>0</v>
      </c>
      <c r="I742" s="210" t="s">
        <v>139</v>
      </c>
      <c r="J742" s="210">
        <v>2022</v>
      </c>
      <c r="K742" s="210">
        <v>2022</v>
      </c>
      <c r="L742" s="268" t="str">
        <f t="shared" si="153"/>
        <v>Simple</v>
      </c>
      <c r="M742" s="197">
        <v>164148.6</v>
      </c>
      <c r="N742" s="197">
        <v>0</v>
      </c>
      <c r="O742" s="257">
        <f>IF(ISNA(MATCH(H742,'Operating leases'!$B$32:$B$43,0)),0,INDEX('Operating leases'!$M$32:$S$43,MATCH(H742,'Operating leases'!$B$32:$B$43,0),MATCH(J742,'Operating leases'!$M$11:$S$11,0)))</f>
        <v>0</v>
      </c>
      <c r="P742" s="257">
        <f t="shared" si="154"/>
        <v>164148.6</v>
      </c>
      <c r="Q742" s="257">
        <f t="shared" si="155"/>
        <v>164148.6</v>
      </c>
      <c r="R742" s="258">
        <f>INDEX('Escalators '!$M$124:$S$129,MATCH(I742,'Escalators '!$B$124:$B$129,0),MATCH(J742,'Escalators '!$M$113:$S$113,0))</f>
        <v>1.0086968501536033</v>
      </c>
      <c r="S742" s="257">
        <f t="shared" si="156"/>
        <v>0</v>
      </c>
      <c r="T742" s="257">
        <f t="shared" si="157"/>
        <v>0</v>
      </c>
      <c r="U742" s="269">
        <f t="shared" si="158"/>
        <v>165576.17577712378</v>
      </c>
      <c r="V742" s="269">
        <f t="shared" si="159"/>
        <v>165576.17577712378</v>
      </c>
      <c r="W742" s="269">
        <f t="shared" si="160"/>
        <v>165576.17577712378</v>
      </c>
      <c r="X742" s="257">
        <f t="shared" si="161"/>
        <v>165576.17577712378</v>
      </c>
      <c r="Y742" s="270">
        <f>IF(L742="Complex",(INDEX('Escalators '!$M$176:$S$176,MATCH('Forecast capex'!J742,'Escalators '!$M$178:$S$178,0))/12+1)^((K742-J742)*12)-1,0)</f>
        <v>0</v>
      </c>
      <c r="Z742" s="257">
        <f t="shared" si="162"/>
        <v>0</v>
      </c>
      <c r="AA742" s="257">
        <f t="shared" si="163"/>
        <v>0</v>
      </c>
      <c r="AB742" s="269">
        <f t="shared" si="164"/>
        <v>0</v>
      </c>
      <c r="AC742" s="269">
        <f t="shared" si="165"/>
        <v>0</v>
      </c>
      <c r="AD742" s="271" t="str">
        <f>INDEX('Global inputs'!$C$134:$C$171,MATCH(F742,'Global inputs'!$B$134:$B$171,0))</f>
        <v>Asset replacement and renewal</v>
      </c>
      <c r="AE742" s="272">
        <f>IF(OR(H742='Operating leases'!$B$32,H742='Operating leases'!$B$33),"",INDEX('Global inputs'!$C$186:$C$243,MATCH(E742,'Global inputs'!$B$186:$B$243,0)))</f>
        <v>0.08</v>
      </c>
    </row>
    <row r="743" spans="1:31" s="27" customFormat="1" x14ac:dyDescent="0.2">
      <c r="A743" s="250"/>
      <c r="B743" s="210" t="s">
        <v>742</v>
      </c>
      <c r="C743" s="210" t="s">
        <v>286</v>
      </c>
      <c r="D743" s="210" t="s">
        <v>732</v>
      </c>
      <c r="E743" s="210" t="s">
        <v>140</v>
      </c>
      <c r="F743" s="210" t="s">
        <v>108</v>
      </c>
      <c r="G743" s="210" t="s">
        <v>733</v>
      </c>
      <c r="H743" s="197">
        <v>0</v>
      </c>
      <c r="I743" s="210" t="s">
        <v>221</v>
      </c>
      <c r="J743" s="210">
        <v>2022</v>
      </c>
      <c r="K743" s="210">
        <v>2022</v>
      </c>
      <c r="L743" s="268" t="str">
        <f t="shared" si="153"/>
        <v>Simple</v>
      </c>
      <c r="M743" s="197">
        <v>359100</v>
      </c>
      <c r="N743" s="197">
        <v>0</v>
      </c>
      <c r="O743" s="257">
        <f>IF(ISNA(MATCH(H743,'Operating leases'!$B$32:$B$43,0)),0,INDEX('Operating leases'!$M$32:$S$43,MATCH(H743,'Operating leases'!$B$32:$B$43,0),MATCH(J743,'Operating leases'!$M$11:$S$11,0)))</f>
        <v>0</v>
      </c>
      <c r="P743" s="257">
        <f t="shared" si="154"/>
        <v>359100</v>
      </c>
      <c r="Q743" s="257">
        <f t="shared" si="155"/>
        <v>359100</v>
      </c>
      <c r="R743" s="258">
        <f>INDEX('Escalators '!$M$124:$S$129,MATCH(I743,'Escalators '!$B$124:$B$129,0),MATCH(J743,'Escalators '!$M$113:$S$113,0))</f>
        <v>1.0272672933956697</v>
      </c>
      <c r="S743" s="257">
        <f t="shared" si="156"/>
        <v>0</v>
      </c>
      <c r="T743" s="257">
        <f t="shared" si="157"/>
        <v>0</v>
      </c>
      <c r="U743" s="269">
        <f t="shared" si="158"/>
        <v>368891.68505838496</v>
      </c>
      <c r="V743" s="269">
        <f t="shared" si="159"/>
        <v>368891.68505838496</v>
      </c>
      <c r="W743" s="269">
        <f t="shared" si="160"/>
        <v>368891.68505838496</v>
      </c>
      <c r="X743" s="257">
        <f t="shared" si="161"/>
        <v>368891.68505838496</v>
      </c>
      <c r="Y743" s="270">
        <f>IF(L743="Complex",(INDEX('Escalators '!$M$176:$S$176,MATCH('Forecast capex'!J743,'Escalators '!$M$178:$S$178,0))/12+1)^((K743-J743)*12)-1,0)</f>
        <v>0</v>
      </c>
      <c r="Z743" s="257">
        <f t="shared" si="162"/>
        <v>0</v>
      </c>
      <c r="AA743" s="257">
        <f t="shared" si="163"/>
        <v>0</v>
      </c>
      <c r="AB743" s="269">
        <f t="shared" si="164"/>
        <v>0</v>
      </c>
      <c r="AC743" s="269">
        <f t="shared" si="165"/>
        <v>0</v>
      </c>
      <c r="AD743" s="271" t="str">
        <f>INDEX('Global inputs'!$C$134:$C$171,MATCH(F743,'Global inputs'!$B$134:$B$171,0))</f>
        <v>Asset replacement and renewal</v>
      </c>
      <c r="AE743" s="272">
        <f>IF(OR(H743='Operating leases'!$B$32,H743='Operating leases'!$B$33),"",INDEX('Global inputs'!$C$186:$C$243,MATCH(E743,'Global inputs'!$B$186:$B$243,0)))</f>
        <v>0.08</v>
      </c>
    </row>
    <row r="744" spans="1:31" s="27" customFormat="1" x14ac:dyDescent="0.2">
      <c r="A744" s="250"/>
      <c r="B744" s="210" t="s">
        <v>742</v>
      </c>
      <c r="C744" s="210" t="s">
        <v>286</v>
      </c>
      <c r="D744" s="210" t="s">
        <v>732</v>
      </c>
      <c r="E744" s="210" t="s">
        <v>140</v>
      </c>
      <c r="F744" s="210" t="s">
        <v>108</v>
      </c>
      <c r="G744" s="210" t="s">
        <v>733</v>
      </c>
      <c r="H744" s="197">
        <v>0</v>
      </c>
      <c r="I744" s="210" t="s">
        <v>142</v>
      </c>
      <c r="J744" s="210">
        <v>2022</v>
      </c>
      <c r="K744" s="210">
        <v>2022</v>
      </c>
      <c r="L744" s="268" t="str">
        <f t="shared" si="153"/>
        <v>Simple</v>
      </c>
      <c r="M744" s="197">
        <v>538650</v>
      </c>
      <c r="N744" s="197">
        <v>0</v>
      </c>
      <c r="O744" s="257">
        <f>IF(ISNA(MATCH(H744,'Operating leases'!$B$32:$B$43,0)),0,INDEX('Operating leases'!$M$32:$S$43,MATCH(H744,'Operating leases'!$B$32:$B$43,0),MATCH(J744,'Operating leases'!$M$11:$S$11,0)))</f>
        <v>0</v>
      </c>
      <c r="P744" s="257">
        <f t="shared" si="154"/>
        <v>538650</v>
      </c>
      <c r="Q744" s="257">
        <f t="shared" si="155"/>
        <v>538650</v>
      </c>
      <c r="R744" s="258">
        <f>INDEX('Escalators '!$M$124:$S$129,MATCH(I744,'Escalators '!$B$124:$B$129,0),MATCH(J744,'Escalators '!$M$113:$S$113,0))</f>
        <v>1.0268090943455099</v>
      </c>
      <c r="S744" s="257">
        <f t="shared" si="156"/>
        <v>0</v>
      </c>
      <c r="T744" s="257">
        <f t="shared" si="157"/>
        <v>0</v>
      </c>
      <c r="U744" s="269">
        <f t="shared" si="158"/>
        <v>553090.71866920893</v>
      </c>
      <c r="V744" s="269">
        <f t="shared" si="159"/>
        <v>553090.71866920893</v>
      </c>
      <c r="W744" s="269">
        <f t="shared" si="160"/>
        <v>553090.71866920893</v>
      </c>
      <c r="X744" s="257">
        <f t="shared" si="161"/>
        <v>553090.71866920893</v>
      </c>
      <c r="Y744" s="270">
        <f>IF(L744="Complex",(INDEX('Escalators '!$M$176:$S$176,MATCH('Forecast capex'!J744,'Escalators '!$M$178:$S$178,0))/12+1)^((K744-J744)*12)-1,0)</f>
        <v>0</v>
      </c>
      <c r="Z744" s="257">
        <f t="shared" si="162"/>
        <v>0</v>
      </c>
      <c r="AA744" s="257">
        <f t="shared" si="163"/>
        <v>0</v>
      </c>
      <c r="AB744" s="269">
        <f t="shared" si="164"/>
        <v>0</v>
      </c>
      <c r="AC744" s="269">
        <f t="shared" si="165"/>
        <v>0</v>
      </c>
      <c r="AD744" s="271" t="str">
        <f>INDEX('Global inputs'!$C$134:$C$171,MATCH(F744,'Global inputs'!$B$134:$B$171,0))</f>
        <v>Asset replacement and renewal</v>
      </c>
      <c r="AE744" s="272">
        <f>IF(OR(H744='Operating leases'!$B$32,H744='Operating leases'!$B$33),"",INDEX('Global inputs'!$C$186:$C$243,MATCH(E744,'Global inputs'!$B$186:$B$243,0)))</f>
        <v>0.08</v>
      </c>
    </row>
    <row r="745" spans="1:31" s="27" customFormat="1" x14ac:dyDescent="0.2">
      <c r="A745" s="250"/>
      <c r="B745" s="210" t="s">
        <v>742</v>
      </c>
      <c r="C745" s="210" t="s">
        <v>286</v>
      </c>
      <c r="D745" s="210" t="s">
        <v>732</v>
      </c>
      <c r="E745" s="210" t="s">
        <v>140</v>
      </c>
      <c r="F745" s="210" t="s">
        <v>108</v>
      </c>
      <c r="G745" s="210" t="s">
        <v>733</v>
      </c>
      <c r="H745" s="197">
        <v>0</v>
      </c>
      <c r="I745" s="210" t="s">
        <v>221</v>
      </c>
      <c r="J745" s="210">
        <v>2022</v>
      </c>
      <c r="K745" s="210">
        <v>2022</v>
      </c>
      <c r="L745" s="268" t="str">
        <f t="shared" si="153"/>
        <v>Simple</v>
      </c>
      <c r="M745" s="197">
        <v>549024</v>
      </c>
      <c r="N745" s="197">
        <v>0</v>
      </c>
      <c r="O745" s="257">
        <f>IF(ISNA(MATCH(H745,'Operating leases'!$B$32:$B$43,0)),0,INDEX('Operating leases'!$M$32:$S$43,MATCH(H745,'Operating leases'!$B$32:$B$43,0),MATCH(J745,'Operating leases'!$M$11:$S$11,0)))</f>
        <v>0</v>
      </c>
      <c r="P745" s="257">
        <f t="shared" si="154"/>
        <v>549024</v>
      </c>
      <c r="Q745" s="257">
        <f t="shared" si="155"/>
        <v>549024</v>
      </c>
      <c r="R745" s="258">
        <f>INDEX('Escalators '!$M$124:$S$129,MATCH(I745,'Escalators '!$B$124:$B$129,0),MATCH(J745,'Escalators '!$M$113:$S$113,0))</f>
        <v>1.0272672933956697</v>
      </c>
      <c r="S745" s="257">
        <f t="shared" si="156"/>
        <v>0</v>
      </c>
      <c r="T745" s="257">
        <f t="shared" si="157"/>
        <v>0</v>
      </c>
      <c r="U745" s="269">
        <f t="shared" si="158"/>
        <v>563994.39848926419</v>
      </c>
      <c r="V745" s="269">
        <f t="shared" si="159"/>
        <v>563994.39848926419</v>
      </c>
      <c r="W745" s="269">
        <f t="shared" si="160"/>
        <v>563994.39848926419</v>
      </c>
      <c r="X745" s="257">
        <f t="shared" si="161"/>
        <v>563994.39848926419</v>
      </c>
      <c r="Y745" s="270">
        <f>IF(L745="Complex",(INDEX('Escalators '!$M$176:$S$176,MATCH('Forecast capex'!J745,'Escalators '!$M$178:$S$178,0))/12+1)^((K745-J745)*12)-1,0)</f>
        <v>0</v>
      </c>
      <c r="Z745" s="257">
        <f t="shared" si="162"/>
        <v>0</v>
      </c>
      <c r="AA745" s="257">
        <f t="shared" si="163"/>
        <v>0</v>
      </c>
      <c r="AB745" s="269">
        <f t="shared" si="164"/>
        <v>0</v>
      </c>
      <c r="AC745" s="269">
        <f t="shared" si="165"/>
        <v>0</v>
      </c>
      <c r="AD745" s="271" t="str">
        <f>INDEX('Global inputs'!$C$134:$C$171,MATCH(F745,'Global inputs'!$B$134:$B$171,0))</f>
        <v>Asset replacement and renewal</v>
      </c>
      <c r="AE745" s="272">
        <f>IF(OR(H745='Operating leases'!$B$32,H745='Operating leases'!$B$33),"",INDEX('Global inputs'!$C$186:$C$243,MATCH(E745,'Global inputs'!$B$186:$B$243,0)))</f>
        <v>0.08</v>
      </c>
    </row>
    <row r="746" spans="1:31" s="27" customFormat="1" x14ac:dyDescent="0.2">
      <c r="A746" s="250"/>
      <c r="B746" s="210" t="s">
        <v>742</v>
      </c>
      <c r="C746" s="210" t="s">
        <v>286</v>
      </c>
      <c r="D746" s="210" t="s">
        <v>732</v>
      </c>
      <c r="E746" s="210" t="s">
        <v>140</v>
      </c>
      <c r="F746" s="210" t="s">
        <v>108</v>
      </c>
      <c r="G746" s="210" t="s">
        <v>733</v>
      </c>
      <c r="H746" s="197">
        <v>0</v>
      </c>
      <c r="I746" s="210" t="s">
        <v>142</v>
      </c>
      <c r="J746" s="210">
        <v>2022</v>
      </c>
      <c r="K746" s="210">
        <v>2022</v>
      </c>
      <c r="L746" s="268" t="str">
        <f t="shared" si="153"/>
        <v>Simple</v>
      </c>
      <c r="M746" s="197">
        <v>823536</v>
      </c>
      <c r="N746" s="197">
        <v>0</v>
      </c>
      <c r="O746" s="257">
        <f>IF(ISNA(MATCH(H746,'Operating leases'!$B$32:$B$43,0)),0,INDEX('Operating leases'!$M$32:$S$43,MATCH(H746,'Operating leases'!$B$32:$B$43,0),MATCH(J746,'Operating leases'!$M$11:$S$11,0)))</f>
        <v>0</v>
      </c>
      <c r="P746" s="257">
        <f t="shared" si="154"/>
        <v>823536</v>
      </c>
      <c r="Q746" s="257">
        <f t="shared" si="155"/>
        <v>823536</v>
      </c>
      <c r="R746" s="258">
        <f>INDEX('Escalators '!$M$124:$S$129,MATCH(I746,'Escalators '!$B$124:$B$129,0),MATCH(J746,'Escalators '!$M$113:$S$113,0))</f>
        <v>1.0268090943455099</v>
      </c>
      <c r="S746" s="257">
        <f t="shared" si="156"/>
        <v>0</v>
      </c>
      <c r="T746" s="257">
        <f t="shared" si="157"/>
        <v>0</v>
      </c>
      <c r="U746" s="269">
        <f t="shared" si="158"/>
        <v>845614.25432092382</v>
      </c>
      <c r="V746" s="269">
        <f t="shared" si="159"/>
        <v>845614.25432092382</v>
      </c>
      <c r="W746" s="269">
        <f t="shared" si="160"/>
        <v>845614.25432092382</v>
      </c>
      <c r="X746" s="257">
        <f t="shared" si="161"/>
        <v>845614.25432092382</v>
      </c>
      <c r="Y746" s="270">
        <f>IF(L746="Complex",(INDEX('Escalators '!$M$176:$S$176,MATCH('Forecast capex'!J746,'Escalators '!$M$178:$S$178,0))/12+1)^((K746-J746)*12)-1,0)</f>
        <v>0</v>
      </c>
      <c r="Z746" s="257">
        <f t="shared" si="162"/>
        <v>0</v>
      </c>
      <c r="AA746" s="257">
        <f t="shared" si="163"/>
        <v>0</v>
      </c>
      <c r="AB746" s="269">
        <f t="shared" si="164"/>
        <v>0</v>
      </c>
      <c r="AC746" s="269">
        <f t="shared" si="165"/>
        <v>0</v>
      </c>
      <c r="AD746" s="271" t="str">
        <f>INDEX('Global inputs'!$C$134:$C$171,MATCH(F746,'Global inputs'!$B$134:$B$171,0))</f>
        <v>Asset replacement and renewal</v>
      </c>
      <c r="AE746" s="272">
        <f>IF(OR(H746='Operating leases'!$B$32,H746='Operating leases'!$B$33),"",INDEX('Global inputs'!$C$186:$C$243,MATCH(E746,'Global inputs'!$B$186:$B$243,0)))</f>
        <v>0.08</v>
      </c>
    </row>
    <row r="747" spans="1:31" s="27" customFormat="1" x14ac:dyDescent="0.2">
      <c r="A747" s="250"/>
      <c r="B747" s="210" t="s">
        <v>742</v>
      </c>
      <c r="C747" s="210" t="s">
        <v>290</v>
      </c>
      <c r="D747" s="210" t="s">
        <v>718</v>
      </c>
      <c r="E747" s="210" t="s">
        <v>173</v>
      </c>
      <c r="F747" s="210" t="s">
        <v>108</v>
      </c>
      <c r="G747" s="210" t="s">
        <v>719</v>
      </c>
      <c r="H747" s="197">
        <v>0</v>
      </c>
      <c r="I747" s="210" t="s">
        <v>221</v>
      </c>
      <c r="J747" s="210">
        <v>2022</v>
      </c>
      <c r="K747" s="210">
        <v>2022</v>
      </c>
      <c r="L747" s="268" t="str">
        <f t="shared" si="153"/>
        <v>Simple</v>
      </c>
      <c r="M747" s="197">
        <v>9975</v>
      </c>
      <c r="N747" s="197">
        <v>0</v>
      </c>
      <c r="O747" s="257">
        <f>IF(ISNA(MATCH(H747,'Operating leases'!$B$32:$B$43,0)),0,INDEX('Operating leases'!$M$32:$S$43,MATCH(H747,'Operating leases'!$B$32:$B$43,0),MATCH(J747,'Operating leases'!$M$11:$S$11,0)))</f>
        <v>0</v>
      </c>
      <c r="P747" s="257">
        <f t="shared" si="154"/>
        <v>9975</v>
      </c>
      <c r="Q747" s="257">
        <f t="shared" si="155"/>
        <v>9975</v>
      </c>
      <c r="R747" s="258">
        <f>INDEX('Escalators '!$M$124:$S$129,MATCH(I747,'Escalators '!$B$124:$B$129,0),MATCH(J747,'Escalators '!$M$113:$S$113,0))</f>
        <v>1.0272672933956697</v>
      </c>
      <c r="S747" s="257">
        <f t="shared" si="156"/>
        <v>0</v>
      </c>
      <c r="T747" s="257">
        <f t="shared" si="157"/>
        <v>0</v>
      </c>
      <c r="U747" s="269">
        <f t="shared" si="158"/>
        <v>10246.991251621805</v>
      </c>
      <c r="V747" s="269">
        <f t="shared" si="159"/>
        <v>10246.991251621805</v>
      </c>
      <c r="W747" s="269">
        <f t="shared" si="160"/>
        <v>10246.991251621805</v>
      </c>
      <c r="X747" s="257">
        <f t="shared" si="161"/>
        <v>10246.991251621805</v>
      </c>
      <c r="Y747" s="270">
        <f>IF(L747="Complex",(INDEX('Escalators '!$M$176:$S$176,MATCH('Forecast capex'!J747,'Escalators '!$M$178:$S$178,0))/12+1)^((K747-J747)*12)-1,0)</f>
        <v>0</v>
      </c>
      <c r="Z747" s="257">
        <f t="shared" si="162"/>
        <v>0</v>
      </c>
      <c r="AA747" s="257">
        <f t="shared" si="163"/>
        <v>0</v>
      </c>
      <c r="AB747" s="269">
        <f t="shared" si="164"/>
        <v>0</v>
      </c>
      <c r="AC747" s="269">
        <f t="shared" si="165"/>
        <v>0</v>
      </c>
      <c r="AD747" s="271" t="str">
        <f>INDEX('Global inputs'!$C$134:$C$171,MATCH(F747,'Global inputs'!$B$134:$B$171,0))</f>
        <v>Asset replacement and renewal</v>
      </c>
      <c r="AE747" s="272">
        <f>IF(OR(H747='Operating leases'!$B$32,H747='Operating leases'!$B$33),"",INDEX('Global inputs'!$C$186:$C$243,MATCH(E747,'Global inputs'!$B$186:$B$243,0)))</f>
        <v>0.08</v>
      </c>
    </row>
    <row r="748" spans="1:31" s="27" customFormat="1" x14ac:dyDescent="0.2">
      <c r="A748" s="250"/>
      <c r="B748" s="210" t="s">
        <v>742</v>
      </c>
      <c r="C748" s="210" t="s">
        <v>290</v>
      </c>
      <c r="D748" s="210" t="s">
        <v>718</v>
      </c>
      <c r="E748" s="210" t="s">
        <v>173</v>
      </c>
      <c r="F748" s="210" t="s">
        <v>108</v>
      </c>
      <c r="G748" s="210" t="s">
        <v>719</v>
      </c>
      <c r="H748" s="197">
        <v>0</v>
      </c>
      <c r="I748" s="210" t="s">
        <v>142</v>
      </c>
      <c r="J748" s="210">
        <v>2022</v>
      </c>
      <c r="K748" s="210">
        <v>2022</v>
      </c>
      <c r="L748" s="268" t="str">
        <f t="shared" si="153"/>
        <v>Simple</v>
      </c>
      <c r="M748" s="197">
        <v>39900</v>
      </c>
      <c r="N748" s="197">
        <v>0</v>
      </c>
      <c r="O748" s="257">
        <f>IF(ISNA(MATCH(H748,'Operating leases'!$B$32:$B$43,0)),0,INDEX('Operating leases'!$M$32:$S$43,MATCH(H748,'Operating leases'!$B$32:$B$43,0),MATCH(J748,'Operating leases'!$M$11:$S$11,0)))</f>
        <v>0</v>
      </c>
      <c r="P748" s="257">
        <f t="shared" si="154"/>
        <v>39900</v>
      </c>
      <c r="Q748" s="257">
        <f t="shared" si="155"/>
        <v>39900</v>
      </c>
      <c r="R748" s="258">
        <f>INDEX('Escalators '!$M$124:$S$129,MATCH(I748,'Escalators '!$B$124:$B$129,0),MATCH(J748,'Escalators '!$M$113:$S$113,0))</f>
        <v>1.0268090943455099</v>
      </c>
      <c r="S748" s="257">
        <f t="shared" si="156"/>
        <v>0</v>
      </c>
      <c r="T748" s="257">
        <f t="shared" si="157"/>
        <v>0</v>
      </c>
      <c r="U748" s="269">
        <f t="shared" si="158"/>
        <v>40969.682864385846</v>
      </c>
      <c r="V748" s="269">
        <f t="shared" si="159"/>
        <v>40969.682864385846</v>
      </c>
      <c r="W748" s="269">
        <f t="shared" si="160"/>
        <v>40969.682864385846</v>
      </c>
      <c r="X748" s="257">
        <f t="shared" si="161"/>
        <v>40969.682864385846</v>
      </c>
      <c r="Y748" s="270">
        <f>IF(L748="Complex",(INDEX('Escalators '!$M$176:$S$176,MATCH('Forecast capex'!J748,'Escalators '!$M$178:$S$178,0))/12+1)^((K748-J748)*12)-1,0)</f>
        <v>0</v>
      </c>
      <c r="Z748" s="257">
        <f t="shared" si="162"/>
        <v>0</v>
      </c>
      <c r="AA748" s="257">
        <f t="shared" si="163"/>
        <v>0</v>
      </c>
      <c r="AB748" s="269">
        <f t="shared" si="164"/>
        <v>0</v>
      </c>
      <c r="AC748" s="269">
        <f t="shared" si="165"/>
        <v>0</v>
      </c>
      <c r="AD748" s="271" t="str">
        <f>INDEX('Global inputs'!$C$134:$C$171,MATCH(F748,'Global inputs'!$B$134:$B$171,0))</f>
        <v>Asset replacement and renewal</v>
      </c>
      <c r="AE748" s="272">
        <f>IF(OR(H748='Operating leases'!$B$32,H748='Operating leases'!$B$33),"",INDEX('Global inputs'!$C$186:$C$243,MATCH(E748,'Global inputs'!$B$186:$B$243,0)))</f>
        <v>0.08</v>
      </c>
    </row>
    <row r="749" spans="1:31" s="27" customFormat="1" x14ac:dyDescent="0.2">
      <c r="A749" s="250"/>
      <c r="B749" s="210" t="s">
        <v>742</v>
      </c>
      <c r="C749" s="210" t="s">
        <v>286</v>
      </c>
      <c r="D749" s="210" t="s">
        <v>735</v>
      </c>
      <c r="E749" s="210" t="s">
        <v>147</v>
      </c>
      <c r="F749" s="210" t="s">
        <v>108</v>
      </c>
      <c r="G749" s="210" t="s">
        <v>744</v>
      </c>
      <c r="H749" s="197">
        <v>0</v>
      </c>
      <c r="I749" s="210" t="s">
        <v>221</v>
      </c>
      <c r="J749" s="210">
        <v>2022</v>
      </c>
      <c r="K749" s="210">
        <v>2022</v>
      </c>
      <c r="L749" s="268" t="str">
        <f t="shared" si="153"/>
        <v>Simple</v>
      </c>
      <c r="M749" s="197">
        <v>62562.641399999993</v>
      </c>
      <c r="N749" s="197">
        <v>0</v>
      </c>
      <c r="O749" s="257">
        <f>IF(ISNA(MATCH(H749,'Operating leases'!$B$32:$B$43,0)),0,INDEX('Operating leases'!$M$32:$S$43,MATCH(H749,'Operating leases'!$B$32:$B$43,0),MATCH(J749,'Operating leases'!$M$11:$S$11,0)))</f>
        <v>0</v>
      </c>
      <c r="P749" s="257">
        <f t="shared" si="154"/>
        <v>62562.641399999993</v>
      </c>
      <c r="Q749" s="257">
        <f t="shared" si="155"/>
        <v>62562.641399999993</v>
      </c>
      <c r="R749" s="258">
        <f>INDEX('Escalators '!$M$124:$S$129,MATCH(I749,'Escalators '!$B$124:$B$129,0),MATCH(J749,'Escalators '!$M$113:$S$113,0))</f>
        <v>1.0272672933956697</v>
      </c>
      <c r="S749" s="257">
        <f t="shared" si="156"/>
        <v>0</v>
      </c>
      <c r="T749" s="257">
        <f t="shared" si="157"/>
        <v>0</v>
      </c>
      <c r="U749" s="269">
        <f t="shared" si="158"/>
        <v>64268.555298661864</v>
      </c>
      <c r="V749" s="269">
        <f t="shared" si="159"/>
        <v>64268.555298661864</v>
      </c>
      <c r="W749" s="269">
        <f t="shared" si="160"/>
        <v>64268.555298661864</v>
      </c>
      <c r="X749" s="257">
        <f t="shared" si="161"/>
        <v>64268.555298661864</v>
      </c>
      <c r="Y749" s="270">
        <f>IF(L749="Complex",(INDEX('Escalators '!$M$176:$S$176,MATCH('Forecast capex'!J749,'Escalators '!$M$178:$S$178,0))/12+1)^((K749-J749)*12)-1,0)</f>
        <v>0</v>
      </c>
      <c r="Z749" s="257">
        <f t="shared" si="162"/>
        <v>0</v>
      </c>
      <c r="AA749" s="257">
        <f t="shared" si="163"/>
        <v>0</v>
      </c>
      <c r="AB749" s="269">
        <f t="shared" si="164"/>
        <v>0</v>
      </c>
      <c r="AC749" s="269">
        <f t="shared" si="165"/>
        <v>0</v>
      </c>
      <c r="AD749" s="271" t="str">
        <f>INDEX('Global inputs'!$C$134:$C$171,MATCH(F749,'Global inputs'!$B$134:$B$171,0))</f>
        <v>Asset replacement and renewal</v>
      </c>
      <c r="AE749" s="272">
        <f>IF(OR(H749='Operating leases'!$B$32,H749='Operating leases'!$B$33),"",INDEX('Global inputs'!$C$186:$C$243,MATCH(E749,'Global inputs'!$B$186:$B$243,0)))</f>
        <v>0.08</v>
      </c>
    </row>
    <row r="750" spans="1:31" s="27" customFormat="1" x14ac:dyDescent="0.2">
      <c r="A750" s="250"/>
      <c r="B750" s="210" t="s">
        <v>742</v>
      </c>
      <c r="C750" s="210" t="s">
        <v>286</v>
      </c>
      <c r="D750" s="210" t="s">
        <v>735</v>
      </c>
      <c r="E750" s="210" t="s">
        <v>147</v>
      </c>
      <c r="F750" s="210" t="s">
        <v>108</v>
      </c>
      <c r="G750" s="210" t="s">
        <v>744</v>
      </c>
      <c r="H750" s="197">
        <v>0</v>
      </c>
      <c r="I750" s="210" t="s">
        <v>229</v>
      </c>
      <c r="J750" s="210">
        <v>2022</v>
      </c>
      <c r="K750" s="210">
        <v>2022</v>
      </c>
      <c r="L750" s="268" t="str">
        <f t="shared" si="153"/>
        <v>Simple</v>
      </c>
      <c r="M750" s="197">
        <v>15640.660349999998</v>
      </c>
      <c r="N750" s="197">
        <v>0</v>
      </c>
      <c r="O750" s="257">
        <f>IF(ISNA(MATCH(H750,'Operating leases'!$B$32:$B$43,0)),0,INDEX('Operating leases'!$M$32:$S$43,MATCH(H750,'Operating leases'!$B$32:$B$43,0),MATCH(J750,'Operating leases'!$M$11:$S$11,0)))</f>
        <v>0</v>
      </c>
      <c r="P750" s="257">
        <f t="shared" si="154"/>
        <v>15640.660349999998</v>
      </c>
      <c r="Q750" s="257">
        <f t="shared" si="155"/>
        <v>15640.660349999998</v>
      </c>
      <c r="R750" s="258">
        <f>INDEX('Escalators '!$M$124:$S$129,MATCH(I750,'Escalators '!$B$124:$B$129,0),MATCH(J750,'Escalators '!$M$113:$S$113,0))</f>
        <v>1.0379818100112963</v>
      </c>
      <c r="S750" s="257">
        <f t="shared" si="156"/>
        <v>0</v>
      </c>
      <c r="T750" s="257">
        <f t="shared" si="157"/>
        <v>0</v>
      </c>
      <c r="U750" s="269">
        <f t="shared" si="158"/>
        <v>16234.720939864914</v>
      </c>
      <c r="V750" s="269">
        <f t="shared" si="159"/>
        <v>16234.720939864914</v>
      </c>
      <c r="W750" s="269">
        <f t="shared" si="160"/>
        <v>16234.720939864914</v>
      </c>
      <c r="X750" s="257">
        <f t="shared" si="161"/>
        <v>16234.720939864914</v>
      </c>
      <c r="Y750" s="270">
        <f>IF(L750="Complex",(INDEX('Escalators '!$M$176:$S$176,MATCH('Forecast capex'!J750,'Escalators '!$M$178:$S$178,0))/12+1)^((K750-J750)*12)-1,0)</f>
        <v>0</v>
      </c>
      <c r="Z750" s="257">
        <f t="shared" si="162"/>
        <v>0</v>
      </c>
      <c r="AA750" s="257">
        <f t="shared" si="163"/>
        <v>0</v>
      </c>
      <c r="AB750" s="269">
        <f t="shared" si="164"/>
        <v>0</v>
      </c>
      <c r="AC750" s="269">
        <f t="shared" si="165"/>
        <v>0</v>
      </c>
      <c r="AD750" s="271" t="str">
        <f>INDEX('Global inputs'!$C$134:$C$171,MATCH(F750,'Global inputs'!$B$134:$B$171,0))</f>
        <v>Asset replacement and renewal</v>
      </c>
      <c r="AE750" s="272">
        <f>IF(OR(H750='Operating leases'!$B$32,H750='Operating leases'!$B$33),"",INDEX('Global inputs'!$C$186:$C$243,MATCH(E750,'Global inputs'!$B$186:$B$243,0)))</f>
        <v>0.08</v>
      </c>
    </row>
    <row r="751" spans="1:31" s="27" customFormat="1" x14ac:dyDescent="0.2">
      <c r="A751" s="250"/>
      <c r="B751" s="210" t="s">
        <v>742</v>
      </c>
      <c r="C751" s="210" t="s">
        <v>286</v>
      </c>
      <c r="D751" s="210" t="s">
        <v>732</v>
      </c>
      <c r="E751" s="210" t="s">
        <v>143</v>
      </c>
      <c r="F751" s="210" t="s">
        <v>108</v>
      </c>
      <c r="G751" s="210" t="s">
        <v>734</v>
      </c>
      <c r="H751" s="197">
        <v>0</v>
      </c>
      <c r="I751" s="210" t="s">
        <v>221</v>
      </c>
      <c r="J751" s="210">
        <v>2022</v>
      </c>
      <c r="K751" s="210">
        <v>2022</v>
      </c>
      <c r="L751" s="268" t="str">
        <f t="shared" si="153"/>
        <v>Simple</v>
      </c>
      <c r="M751" s="197">
        <v>5586</v>
      </c>
      <c r="N751" s="197">
        <v>0</v>
      </c>
      <c r="O751" s="257">
        <f>IF(ISNA(MATCH(H751,'Operating leases'!$B$32:$B$43,0)),0,INDEX('Operating leases'!$M$32:$S$43,MATCH(H751,'Operating leases'!$B$32:$B$43,0),MATCH(J751,'Operating leases'!$M$11:$S$11,0)))</f>
        <v>0</v>
      </c>
      <c r="P751" s="257">
        <f t="shared" si="154"/>
        <v>5586</v>
      </c>
      <c r="Q751" s="257">
        <f t="shared" si="155"/>
        <v>5586</v>
      </c>
      <c r="R751" s="258">
        <f>INDEX('Escalators '!$M$124:$S$129,MATCH(I751,'Escalators '!$B$124:$B$129,0),MATCH(J751,'Escalators '!$M$113:$S$113,0))</f>
        <v>1.0272672933956697</v>
      </c>
      <c r="S751" s="257">
        <f t="shared" si="156"/>
        <v>0</v>
      </c>
      <c r="T751" s="257">
        <f t="shared" si="157"/>
        <v>0</v>
      </c>
      <c r="U751" s="269">
        <f t="shared" si="158"/>
        <v>5738.3151009082112</v>
      </c>
      <c r="V751" s="269">
        <f t="shared" si="159"/>
        <v>5738.3151009082112</v>
      </c>
      <c r="W751" s="269">
        <f t="shared" si="160"/>
        <v>5738.3151009082112</v>
      </c>
      <c r="X751" s="257">
        <f t="shared" si="161"/>
        <v>5738.3151009082112</v>
      </c>
      <c r="Y751" s="270">
        <f>IF(L751="Complex",(INDEX('Escalators '!$M$176:$S$176,MATCH('Forecast capex'!J751,'Escalators '!$M$178:$S$178,0))/12+1)^((K751-J751)*12)-1,0)</f>
        <v>0</v>
      </c>
      <c r="Z751" s="257">
        <f t="shared" si="162"/>
        <v>0</v>
      </c>
      <c r="AA751" s="257">
        <f t="shared" si="163"/>
        <v>0</v>
      </c>
      <c r="AB751" s="269">
        <f t="shared" si="164"/>
        <v>0</v>
      </c>
      <c r="AC751" s="269">
        <f t="shared" si="165"/>
        <v>0</v>
      </c>
      <c r="AD751" s="271" t="str">
        <f>INDEX('Global inputs'!$C$134:$C$171,MATCH(F751,'Global inputs'!$B$134:$B$171,0))</f>
        <v>Asset replacement and renewal</v>
      </c>
      <c r="AE751" s="272">
        <f>IF(OR(H751='Operating leases'!$B$32,H751='Operating leases'!$B$33),"",INDEX('Global inputs'!$C$186:$C$243,MATCH(E751,'Global inputs'!$B$186:$B$243,0)))</f>
        <v>0.08</v>
      </c>
    </row>
    <row r="752" spans="1:31" s="27" customFormat="1" x14ac:dyDescent="0.2">
      <c r="A752" s="250"/>
      <c r="B752" s="210" t="s">
        <v>742</v>
      </c>
      <c r="C752" s="210" t="s">
        <v>286</v>
      </c>
      <c r="D752" s="210" t="s">
        <v>732</v>
      </c>
      <c r="E752" s="210" t="s">
        <v>143</v>
      </c>
      <c r="F752" s="210" t="s">
        <v>108</v>
      </c>
      <c r="G752" s="210" t="s">
        <v>734</v>
      </c>
      <c r="H752" s="197">
        <v>0</v>
      </c>
      <c r="I752" s="210" t="s">
        <v>142</v>
      </c>
      <c r="J752" s="210">
        <v>2022</v>
      </c>
      <c r="K752" s="210">
        <v>2022</v>
      </c>
      <c r="L752" s="268" t="str">
        <f t="shared" si="153"/>
        <v>Simple</v>
      </c>
      <c r="M752" s="197">
        <v>22344</v>
      </c>
      <c r="N752" s="197">
        <v>0</v>
      </c>
      <c r="O752" s="257">
        <f>IF(ISNA(MATCH(H752,'Operating leases'!$B$32:$B$43,0)),0,INDEX('Operating leases'!$M$32:$S$43,MATCH(H752,'Operating leases'!$B$32:$B$43,0),MATCH(J752,'Operating leases'!$M$11:$S$11,0)))</f>
        <v>0</v>
      </c>
      <c r="P752" s="257">
        <f t="shared" si="154"/>
        <v>22344</v>
      </c>
      <c r="Q752" s="257">
        <f t="shared" si="155"/>
        <v>22344</v>
      </c>
      <c r="R752" s="258">
        <f>INDEX('Escalators '!$M$124:$S$129,MATCH(I752,'Escalators '!$B$124:$B$129,0),MATCH(J752,'Escalators '!$M$113:$S$113,0))</f>
        <v>1.0268090943455099</v>
      </c>
      <c r="S752" s="257">
        <f t="shared" si="156"/>
        <v>0</v>
      </c>
      <c r="T752" s="257">
        <f t="shared" si="157"/>
        <v>0</v>
      </c>
      <c r="U752" s="269">
        <f t="shared" si="158"/>
        <v>22943.022404056075</v>
      </c>
      <c r="V752" s="269">
        <f t="shared" si="159"/>
        <v>22943.022404056075</v>
      </c>
      <c r="W752" s="269">
        <f t="shared" si="160"/>
        <v>22943.022404056075</v>
      </c>
      <c r="X752" s="257">
        <f t="shared" si="161"/>
        <v>22943.022404056075</v>
      </c>
      <c r="Y752" s="270">
        <f>IF(L752="Complex",(INDEX('Escalators '!$M$176:$S$176,MATCH('Forecast capex'!J752,'Escalators '!$M$178:$S$178,0))/12+1)^((K752-J752)*12)-1,0)</f>
        <v>0</v>
      </c>
      <c r="Z752" s="257">
        <f t="shared" si="162"/>
        <v>0</v>
      </c>
      <c r="AA752" s="257">
        <f t="shared" si="163"/>
        <v>0</v>
      </c>
      <c r="AB752" s="269">
        <f t="shared" si="164"/>
        <v>0</v>
      </c>
      <c r="AC752" s="269">
        <f t="shared" si="165"/>
        <v>0</v>
      </c>
      <c r="AD752" s="271" t="str">
        <f>INDEX('Global inputs'!$C$134:$C$171,MATCH(F752,'Global inputs'!$B$134:$B$171,0))</f>
        <v>Asset replacement and renewal</v>
      </c>
      <c r="AE752" s="272">
        <f>IF(OR(H752='Operating leases'!$B$32,H752='Operating leases'!$B$33),"",INDEX('Global inputs'!$C$186:$C$243,MATCH(E752,'Global inputs'!$B$186:$B$243,0)))</f>
        <v>0.08</v>
      </c>
    </row>
    <row r="753" spans="1:31" s="27" customFormat="1" x14ac:dyDescent="0.2">
      <c r="A753" s="250"/>
      <c r="B753" s="210" t="s">
        <v>742</v>
      </c>
      <c r="C753" s="210" t="s">
        <v>286</v>
      </c>
      <c r="D753" s="210" t="s">
        <v>735</v>
      </c>
      <c r="E753" s="210" t="s">
        <v>144</v>
      </c>
      <c r="F753" s="210" t="s">
        <v>108</v>
      </c>
      <c r="G753" s="210" t="s">
        <v>736</v>
      </c>
      <c r="H753" s="197">
        <v>0</v>
      </c>
      <c r="I753" s="210" t="s">
        <v>221</v>
      </c>
      <c r="J753" s="210">
        <v>2022</v>
      </c>
      <c r="K753" s="210">
        <v>2022</v>
      </c>
      <c r="L753" s="268" t="str">
        <f t="shared" si="153"/>
        <v>Simple</v>
      </c>
      <c r="M753" s="197">
        <v>304250.8</v>
      </c>
      <c r="N753" s="197">
        <v>0</v>
      </c>
      <c r="O753" s="257">
        <f>IF(ISNA(MATCH(H753,'Operating leases'!$B$32:$B$43,0)),0,INDEX('Operating leases'!$M$32:$S$43,MATCH(H753,'Operating leases'!$B$32:$B$43,0),MATCH(J753,'Operating leases'!$M$11:$S$11,0)))</f>
        <v>0</v>
      </c>
      <c r="P753" s="257">
        <f t="shared" si="154"/>
        <v>304250.8</v>
      </c>
      <c r="Q753" s="257">
        <f t="shared" si="155"/>
        <v>304250.8</v>
      </c>
      <c r="R753" s="258">
        <f>INDEX('Escalators '!$M$124:$S$129,MATCH(I753,'Escalators '!$B$124:$B$129,0),MATCH(J753,'Escalators '!$M$113:$S$113,0))</f>
        <v>1.0272672933956697</v>
      </c>
      <c r="S753" s="257">
        <f t="shared" si="156"/>
        <v>0</v>
      </c>
      <c r="T753" s="257">
        <f t="shared" si="157"/>
        <v>0</v>
      </c>
      <c r="U753" s="269">
        <f t="shared" si="158"/>
        <v>312546.89582946722</v>
      </c>
      <c r="V753" s="269">
        <f t="shared" si="159"/>
        <v>312546.89582946722</v>
      </c>
      <c r="W753" s="269">
        <f t="shared" si="160"/>
        <v>312546.89582946722</v>
      </c>
      <c r="X753" s="257">
        <f t="shared" si="161"/>
        <v>312546.89582946722</v>
      </c>
      <c r="Y753" s="270">
        <f>IF(L753="Complex",(INDEX('Escalators '!$M$176:$S$176,MATCH('Forecast capex'!J753,'Escalators '!$M$178:$S$178,0))/12+1)^((K753-J753)*12)-1,0)</f>
        <v>0</v>
      </c>
      <c r="Z753" s="257">
        <f t="shared" si="162"/>
        <v>0</v>
      </c>
      <c r="AA753" s="257">
        <f t="shared" si="163"/>
        <v>0</v>
      </c>
      <c r="AB753" s="269">
        <f t="shared" si="164"/>
        <v>0</v>
      </c>
      <c r="AC753" s="269">
        <f t="shared" si="165"/>
        <v>0</v>
      </c>
      <c r="AD753" s="271" t="str">
        <f>INDEX('Global inputs'!$C$134:$C$171,MATCH(F753,'Global inputs'!$B$134:$B$171,0))</f>
        <v>Asset replacement and renewal</v>
      </c>
      <c r="AE753" s="272">
        <f>IF(OR(H753='Operating leases'!$B$32,H753='Operating leases'!$B$33),"",INDEX('Global inputs'!$C$186:$C$243,MATCH(E753,'Global inputs'!$B$186:$B$243,0)))</f>
        <v>0.08</v>
      </c>
    </row>
    <row r="754" spans="1:31" s="27" customFormat="1" x14ac:dyDescent="0.2">
      <c r="A754" s="250"/>
      <c r="B754" s="210" t="s">
        <v>742</v>
      </c>
      <c r="C754" s="210" t="s">
        <v>286</v>
      </c>
      <c r="D754" s="210" t="s">
        <v>735</v>
      </c>
      <c r="E754" s="210" t="s">
        <v>144</v>
      </c>
      <c r="F754" s="210" t="s">
        <v>108</v>
      </c>
      <c r="G754" s="210" t="s">
        <v>736</v>
      </c>
      <c r="H754" s="197">
        <v>0</v>
      </c>
      <c r="I754" s="210" t="s">
        <v>229</v>
      </c>
      <c r="J754" s="210">
        <v>2022</v>
      </c>
      <c r="K754" s="210">
        <v>2022</v>
      </c>
      <c r="L754" s="268" t="str">
        <f t="shared" si="153"/>
        <v>Simple</v>
      </c>
      <c r="M754" s="197">
        <v>76062.7</v>
      </c>
      <c r="N754" s="197">
        <v>0</v>
      </c>
      <c r="O754" s="257">
        <f>IF(ISNA(MATCH(H754,'Operating leases'!$B$32:$B$43,0)),0,INDEX('Operating leases'!$M$32:$S$43,MATCH(H754,'Operating leases'!$B$32:$B$43,0),MATCH(J754,'Operating leases'!$M$11:$S$11,0)))</f>
        <v>0</v>
      </c>
      <c r="P754" s="257">
        <f t="shared" si="154"/>
        <v>76062.7</v>
      </c>
      <c r="Q754" s="257">
        <f t="shared" si="155"/>
        <v>76062.7</v>
      </c>
      <c r="R754" s="258">
        <f>INDEX('Escalators '!$M$124:$S$129,MATCH(I754,'Escalators '!$B$124:$B$129,0),MATCH(J754,'Escalators '!$M$113:$S$113,0))</f>
        <v>1.0379818100112963</v>
      </c>
      <c r="S754" s="257">
        <f t="shared" si="156"/>
        <v>0</v>
      </c>
      <c r="T754" s="257">
        <f t="shared" si="157"/>
        <v>0</v>
      </c>
      <c r="U754" s="269">
        <f t="shared" si="158"/>
        <v>78951.699020346219</v>
      </c>
      <c r="V754" s="269">
        <f t="shared" si="159"/>
        <v>78951.699020346219</v>
      </c>
      <c r="W754" s="269">
        <f t="shared" si="160"/>
        <v>78951.699020346219</v>
      </c>
      <c r="X754" s="257">
        <f t="shared" si="161"/>
        <v>78951.699020346219</v>
      </c>
      <c r="Y754" s="270">
        <f>IF(L754="Complex",(INDEX('Escalators '!$M$176:$S$176,MATCH('Forecast capex'!J754,'Escalators '!$M$178:$S$178,0))/12+1)^((K754-J754)*12)-1,0)</f>
        <v>0</v>
      </c>
      <c r="Z754" s="257">
        <f t="shared" si="162"/>
        <v>0</v>
      </c>
      <c r="AA754" s="257">
        <f t="shared" si="163"/>
        <v>0</v>
      </c>
      <c r="AB754" s="269">
        <f t="shared" si="164"/>
        <v>0</v>
      </c>
      <c r="AC754" s="269">
        <f t="shared" si="165"/>
        <v>0</v>
      </c>
      <c r="AD754" s="271" t="str">
        <f>INDEX('Global inputs'!$C$134:$C$171,MATCH(F754,'Global inputs'!$B$134:$B$171,0))</f>
        <v>Asset replacement and renewal</v>
      </c>
      <c r="AE754" s="272">
        <f>IF(OR(H754='Operating leases'!$B$32,H754='Operating leases'!$B$33),"",INDEX('Global inputs'!$C$186:$C$243,MATCH(E754,'Global inputs'!$B$186:$B$243,0)))</f>
        <v>0.08</v>
      </c>
    </row>
    <row r="755" spans="1:31" s="27" customFormat="1" x14ac:dyDescent="0.2">
      <c r="A755" s="250"/>
      <c r="B755" s="210" t="s">
        <v>742</v>
      </c>
      <c r="C755" s="210" t="s">
        <v>289</v>
      </c>
      <c r="D755" s="210" t="s">
        <v>723</v>
      </c>
      <c r="E755" s="210" t="s">
        <v>164</v>
      </c>
      <c r="F755" s="210" t="s">
        <v>108</v>
      </c>
      <c r="G755" s="210" t="s">
        <v>724</v>
      </c>
      <c r="H755" s="197">
        <v>0</v>
      </c>
      <c r="I755" s="210" t="s">
        <v>221</v>
      </c>
      <c r="J755" s="210">
        <v>2022</v>
      </c>
      <c r="K755" s="210">
        <v>2022</v>
      </c>
      <c r="L755" s="268" t="str">
        <f t="shared" si="153"/>
        <v>Simple</v>
      </c>
      <c r="M755" s="197">
        <v>7235.2</v>
      </c>
      <c r="N755" s="197">
        <v>0</v>
      </c>
      <c r="O755" s="257">
        <f>IF(ISNA(MATCH(H755,'Operating leases'!$B$32:$B$43,0)),0,INDEX('Operating leases'!$M$32:$S$43,MATCH(H755,'Operating leases'!$B$32:$B$43,0),MATCH(J755,'Operating leases'!$M$11:$S$11,0)))</f>
        <v>0</v>
      </c>
      <c r="P755" s="257">
        <f t="shared" si="154"/>
        <v>7235.2</v>
      </c>
      <c r="Q755" s="257">
        <f t="shared" si="155"/>
        <v>7235.2</v>
      </c>
      <c r="R755" s="258">
        <f>INDEX('Escalators '!$M$124:$S$129,MATCH(I755,'Escalators '!$B$124:$B$129,0),MATCH(J755,'Escalators '!$M$113:$S$113,0))</f>
        <v>1.0272672933956697</v>
      </c>
      <c r="S755" s="257">
        <f t="shared" si="156"/>
        <v>0</v>
      </c>
      <c r="T755" s="257">
        <f t="shared" si="157"/>
        <v>0</v>
      </c>
      <c r="U755" s="269">
        <f t="shared" si="158"/>
        <v>7432.4843211763491</v>
      </c>
      <c r="V755" s="269">
        <f t="shared" si="159"/>
        <v>7432.4843211763491</v>
      </c>
      <c r="W755" s="269">
        <f t="shared" si="160"/>
        <v>7432.4843211763491</v>
      </c>
      <c r="X755" s="257">
        <f t="shared" si="161"/>
        <v>7432.4843211763491</v>
      </c>
      <c r="Y755" s="270">
        <f>IF(L755="Complex",(INDEX('Escalators '!$M$176:$S$176,MATCH('Forecast capex'!J755,'Escalators '!$M$178:$S$178,0))/12+1)^((K755-J755)*12)-1,0)</f>
        <v>0</v>
      </c>
      <c r="Z755" s="257">
        <f t="shared" si="162"/>
        <v>0</v>
      </c>
      <c r="AA755" s="257">
        <f t="shared" si="163"/>
        <v>0</v>
      </c>
      <c r="AB755" s="269">
        <f t="shared" si="164"/>
        <v>0</v>
      </c>
      <c r="AC755" s="269">
        <f t="shared" si="165"/>
        <v>0</v>
      </c>
      <c r="AD755" s="271" t="str">
        <f>INDEX('Global inputs'!$C$134:$C$171,MATCH(F755,'Global inputs'!$B$134:$B$171,0))</f>
        <v>Asset replacement and renewal</v>
      </c>
      <c r="AE755" s="272">
        <f>IF(OR(H755='Operating leases'!$B$32,H755='Operating leases'!$B$33),"",INDEX('Global inputs'!$C$186:$C$243,MATCH(E755,'Global inputs'!$B$186:$B$243,0)))</f>
        <v>0.08</v>
      </c>
    </row>
    <row r="756" spans="1:31" s="27" customFormat="1" x14ac:dyDescent="0.2">
      <c r="A756" s="250"/>
      <c r="B756" s="210" t="s">
        <v>742</v>
      </c>
      <c r="C756" s="210" t="s">
        <v>289</v>
      </c>
      <c r="D756" s="210" t="s">
        <v>723</v>
      </c>
      <c r="E756" s="210" t="s">
        <v>164</v>
      </c>
      <c r="F756" s="210" t="s">
        <v>108</v>
      </c>
      <c r="G756" s="210" t="s">
        <v>724</v>
      </c>
      <c r="H756" s="197">
        <v>0</v>
      </c>
      <c r="I756" s="210" t="s">
        <v>139</v>
      </c>
      <c r="J756" s="210">
        <v>2022</v>
      </c>
      <c r="K756" s="210">
        <v>2022</v>
      </c>
      <c r="L756" s="268" t="str">
        <f t="shared" si="153"/>
        <v>Simple</v>
      </c>
      <c r="M756" s="197">
        <v>28940.799999999999</v>
      </c>
      <c r="N756" s="197">
        <v>0</v>
      </c>
      <c r="O756" s="257">
        <f>IF(ISNA(MATCH(H756,'Operating leases'!$B$32:$B$43,0)),0,INDEX('Operating leases'!$M$32:$S$43,MATCH(H756,'Operating leases'!$B$32:$B$43,0),MATCH(J756,'Operating leases'!$M$11:$S$11,0)))</f>
        <v>0</v>
      </c>
      <c r="P756" s="257">
        <f t="shared" si="154"/>
        <v>28940.799999999999</v>
      </c>
      <c r="Q756" s="257">
        <f t="shared" si="155"/>
        <v>28940.799999999999</v>
      </c>
      <c r="R756" s="258">
        <f>INDEX('Escalators '!$M$124:$S$129,MATCH(I756,'Escalators '!$B$124:$B$129,0),MATCH(J756,'Escalators '!$M$113:$S$113,0))</f>
        <v>1.0086968501536033</v>
      </c>
      <c r="S756" s="257">
        <f t="shared" si="156"/>
        <v>0</v>
      </c>
      <c r="T756" s="257">
        <f t="shared" si="157"/>
        <v>0</v>
      </c>
      <c r="U756" s="269">
        <f t="shared" si="158"/>
        <v>29192.493800925404</v>
      </c>
      <c r="V756" s="269">
        <f t="shared" si="159"/>
        <v>29192.493800925404</v>
      </c>
      <c r="W756" s="269">
        <f t="shared" si="160"/>
        <v>29192.493800925404</v>
      </c>
      <c r="X756" s="257">
        <f t="shared" si="161"/>
        <v>29192.493800925404</v>
      </c>
      <c r="Y756" s="270">
        <f>IF(L756="Complex",(INDEX('Escalators '!$M$176:$S$176,MATCH('Forecast capex'!J756,'Escalators '!$M$178:$S$178,0))/12+1)^((K756-J756)*12)-1,0)</f>
        <v>0</v>
      </c>
      <c r="Z756" s="257">
        <f t="shared" si="162"/>
        <v>0</v>
      </c>
      <c r="AA756" s="257">
        <f t="shared" si="163"/>
        <v>0</v>
      </c>
      <c r="AB756" s="269">
        <f t="shared" si="164"/>
        <v>0</v>
      </c>
      <c r="AC756" s="269">
        <f t="shared" si="165"/>
        <v>0</v>
      </c>
      <c r="AD756" s="271" t="str">
        <f>INDEX('Global inputs'!$C$134:$C$171,MATCH(F756,'Global inputs'!$B$134:$B$171,0))</f>
        <v>Asset replacement and renewal</v>
      </c>
      <c r="AE756" s="272">
        <f>IF(OR(H756='Operating leases'!$B$32,H756='Operating leases'!$B$33),"",INDEX('Global inputs'!$C$186:$C$243,MATCH(E756,'Global inputs'!$B$186:$B$243,0)))</f>
        <v>0.08</v>
      </c>
    </row>
    <row r="757" spans="1:31" s="27" customFormat="1" x14ac:dyDescent="0.2">
      <c r="A757" s="250"/>
      <c r="B757" s="210" t="s">
        <v>742</v>
      </c>
      <c r="C757" s="210" t="s">
        <v>286</v>
      </c>
      <c r="D757" s="210" t="s">
        <v>732</v>
      </c>
      <c r="E757" s="210" t="s">
        <v>146</v>
      </c>
      <c r="F757" s="210" t="s">
        <v>108</v>
      </c>
      <c r="G757" s="210" t="s">
        <v>753</v>
      </c>
      <c r="H757" s="197">
        <v>0</v>
      </c>
      <c r="I757" s="210" t="s">
        <v>221</v>
      </c>
      <c r="J757" s="210">
        <v>2022</v>
      </c>
      <c r="K757" s="210">
        <v>2022</v>
      </c>
      <c r="L757" s="268" t="str">
        <f t="shared" si="153"/>
        <v>Simple</v>
      </c>
      <c r="M757" s="197">
        <v>26600</v>
      </c>
      <c r="N757" s="197">
        <v>0</v>
      </c>
      <c r="O757" s="257">
        <f>IF(ISNA(MATCH(H757,'Operating leases'!$B$32:$B$43,0)),0,INDEX('Operating leases'!$M$32:$S$43,MATCH(H757,'Operating leases'!$B$32:$B$43,0),MATCH(J757,'Operating leases'!$M$11:$S$11,0)))</f>
        <v>0</v>
      </c>
      <c r="P757" s="257">
        <f t="shared" si="154"/>
        <v>26600</v>
      </c>
      <c r="Q757" s="257">
        <f t="shared" si="155"/>
        <v>26600</v>
      </c>
      <c r="R757" s="258">
        <f>INDEX('Escalators '!$M$124:$S$129,MATCH(I757,'Escalators '!$B$124:$B$129,0),MATCH(J757,'Escalators '!$M$113:$S$113,0))</f>
        <v>1.0272672933956697</v>
      </c>
      <c r="S757" s="257">
        <f t="shared" si="156"/>
        <v>0</v>
      </c>
      <c r="T757" s="257">
        <f t="shared" si="157"/>
        <v>0</v>
      </c>
      <c r="U757" s="269">
        <f t="shared" si="158"/>
        <v>27325.310004324812</v>
      </c>
      <c r="V757" s="269">
        <f t="shared" si="159"/>
        <v>27325.310004324812</v>
      </c>
      <c r="W757" s="269">
        <f t="shared" si="160"/>
        <v>27325.310004324812</v>
      </c>
      <c r="X757" s="257">
        <f t="shared" si="161"/>
        <v>27325.310004324812</v>
      </c>
      <c r="Y757" s="270">
        <f>IF(L757="Complex",(INDEX('Escalators '!$M$176:$S$176,MATCH('Forecast capex'!J757,'Escalators '!$M$178:$S$178,0))/12+1)^((K757-J757)*12)-1,0)</f>
        <v>0</v>
      </c>
      <c r="Z757" s="257">
        <f t="shared" si="162"/>
        <v>0</v>
      </c>
      <c r="AA757" s="257">
        <f t="shared" si="163"/>
        <v>0</v>
      </c>
      <c r="AB757" s="269">
        <f t="shared" si="164"/>
        <v>0</v>
      </c>
      <c r="AC757" s="269">
        <f t="shared" si="165"/>
        <v>0</v>
      </c>
      <c r="AD757" s="271" t="str">
        <f>INDEX('Global inputs'!$C$134:$C$171,MATCH(F757,'Global inputs'!$B$134:$B$171,0))</f>
        <v>Asset replacement and renewal</v>
      </c>
      <c r="AE757" s="272">
        <f>IF(OR(H757='Operating leases'!$B$32,H757='Operating leases'!$B$33),"",INDEX('Global inputs'!$C$186:$C$243,MATCH(E757,'Global inputs'!$B$186:$B$243,0)))</f>
        <v>0.08</v>
      </c>
    </row>
    <row r="758" spans="1:31" s="27" customFormat="1" x14ac:dyDescent="0.2">
      <c r="A758" s="250"/>
      <c r="B758" s="210" t="s">
        <v>742</v>
      </c>
      <c r="C758" s="210" t="s">
        <v>286</v>
      </c>
      <c r="D758" s="210" t="s">
        <v>732</v>
      </c>
      <c r="E758" s="210" t="s">
        <v>146</v>
      </c>
      <c r="F758" s="210" t="s">
        <v>108</v>
      </c>
      <c r="G758" s="210" t="s">
        <v>753</v>
      </c>
      <c r="H758" s="197">
        <v>0</v>
      </c>
      <c r="I758" s="210" t="s">
        <v>229</v>
      </c>
      <c r="J758" s="210">
        <v>2022</v>
      </c>
      <c r="K758" s="210">
        <v>2022</v>
      </c>
      <c r="L758" s="268" t="str">
        <f t="shared" si="153"/>
        <v>Simple</v>
      </c>
      <c r="M758" s="197">
        <v>39900</v>
      </c>
      <c r="N758" s="197">
        <v>0</v>
      </c>
      <c r="O758" s="257">
        <f>IF(ISNA(MATCH(H758,'Operating leases'!$B$32:$B$43,0)),0,INDEX('Operating leases'!$M$32:$S$43,MATCH(H758,'Operating leases'!$B$32:$B$43,0),MATCH(J758,'Operating leases'!$M$11:$S$11,0)))</f>
        <v>0</v>
      </c>
      <c r="P758" s="257">
        <f t="shared" si="154"/>
        <v>39900</v>
      </c>
      <c r="Q758" s="257">
        <f t="shared" si="155"/>
        <v>39900</v>
      </c>
      <c r="R758" s="258">
        <f>INDEX('Escalators '!$M$124:$S$129,MATCH(I758,'Escalators '!$B$124:$B$129,0),MATCH(J758,'Escalators '!$M$113:$S$113,0))</f>
        <v>1.0379818100112963</v>
      </c>
      <c r="S758" s="257">
        <f t="shared" si="156"/>
        <v>0</v>
      </c>
      <c r="T758" s="257">
        <f t="shared" si="157"/>
        <v>0</v>
      </c>
      <c r="U758" s="269">
        <f t="shared" si="158"/>
        <v>41415.47421945072</v>
      </c>
      <c r="V758" s="269">
        <f t="shared" si="159"/>
        <v>41415.47421945072</v>
      </c>
      <c r="W758" s="269">
        <f t="shared" si="160"/>
        <v>41415.47421945072</v>
      </c>
      <c r="X758" s="257">
        <f t="shared" si="161"/>
        <v>41415.47421945072</v>
      </c>
      <c r="Y758" s="270">
        <f>IF(L758="Complex",(INDEX('Escalators '!$M$176:$S$176,MATCH('Forecast capex'!J758,'Escalators '!$M$178:$S$178,0))/12+1)^((K758-J758)*12)-1,0)</f>
        <v>0</v>
      </c>
      <c r="Z758" s="257">
        <f t="shared" si="162"/>
        <v>0</v>
      </c>
      <c r="AA758" s="257">
        <f t="shared" si="163"/>
        <v>0</v>
      </c>
      <c r="AB758" s="269">
        <f t="shared" si="164"/>
        <v>0</v>
      </c>
      <c r="AC758" s="269">
        <f t="shared" si="165"/>
        <v>0</v>
      </c>
      <c r="AD758" s="271" t="str">
        <f>INDEX('Global inputs'!$C$134:$C$171,MATCH(F758,'Global inputs'!$B$134:$B$171,0))</f>
        <v>Asset replacement and renewal</v>
      </c>
      <c r="AE758" s="272">
        <f>IF(OR(H758='Operating leases'!$B$32,H758='Operating leases'!$B$33),"",INDEX('Global inputs'!$C$186:$C$243,MATCH(E758,'Global inputs'!$B$186:$B$243,0)))</f>
        <v>0.08</v>
      </c>
    </row>
    <row r="759" spans="1:31" s="27" customFormat="1" x14ac:dyDescent="0.2">
      <c r="A759" s="250"/>
      <c r="B759" s="210" t="s">
        <v>742</v>
      </c>
      <c r="C759" s="210" t="s">
        <v>288</v>
      </c>
      <c r="D759" s="210" t="s">
        <v>223</v>
      </c>
      <c r="E759" s="210" t="s">
        <v>156</v>
      </c>
      <c r="F759" s="210" t="s">
        <v>108</v>
      </c>
      <c r="G759" s="210" t="s">
        <v>727</v>
      </c>
      <c r="H759" s="197">
        <v>0</v>
      </c>
      <c r="I759" s="210" t="s">
        <v>221</v>
      </c>
      <c r="J759" s="210">
        <v>2022</v>
      </c>
      <c r="K759" s="210">
        <v>2022</v>
      </c>
      <c r="L759" s="268" t="str">
        <f t="shared" si="153"/>
        <v>Simple</v>
      </c>
      <c r="M759" s="197">
        <v>16702.139999999996</v>
      </c>
      <c r="N759" s="197">
        <v>0</v>
      </c>
      <c r="O759" s="257">
        <f>IF(ISNA(MATCH(H759,'Operating leases'!$B$32:$B$43,0)),0,INDEX('Operating leases'!$M$32:$S$43,MATCH(H759,'Operating leases'!$B$32:$B$43,0),MATCH(J759,'Operating leases'!$M$11:$S$11,0)))</f>
        <v>0</v>
      </c>
      <c r="P759" s="257">
        <f t="shared" si="154"/>
        <v>16702.139999999996</v>
      </c>
      <c r="Q759" s="257">
        <f t="shared" si="155"/>
        <v>16702.139999999996</v>
      </c>
      <c r="R759" s="258">
        <f>INDEX('Escalators '!$M$124:$S$129,MATCH(I759,'Escalators '!$B$124:$B$129,0),MATCH(J759,'Escalators '!$M$113:$S$113,0))</f>
        <v>1.0272672933956697</v>
      </c>
      <c r="S759" s="257">
        <f t="shared" si="156"/>
        <v>0</v>
      </c>
      <c r="T759" s="257">
        <f t="shared" si="157"/>
        <v>0</v>
      </c>
      <c r="U759" s="269">
        <f t="shared" si="158"/>
        <v>17157.562151715545</v>
      </c>
      <c r="V759" s="269">
        <f t="shared" si="159"/>
        <v>17157.562151715545</v>
      </c>
      <c r="W759" s="269">
        <f t="shared" si="160"/>
        <v>17157.562151715545</v>
      </c>
      <c r="X759" s="257">
        <f t="shared" si="161"/>
        <v>17157.562151715545</v>
      </c>
      <c r="Y759" s="270">
        <f>IF(L759="Complex",(INDEX('Escalators '!$M$176:$S$176,MATCH('Forecast capex'!J759,'Escalators '!$M$178:$S$178,0))/12+1)^((K759-J759)*12)-1,0)</f>
        <v>0</v>
      </c>
      <c r="Z759" s="257">
        <f t="shared" si="162"/>
        <v>0</v>
      </c>
      <c r="AA759" s="257">
        <f t="shared" si="163"/>
        <v>0</v>
      </c>
      <c r="AB759" s="269">
        <f t="shared" si="164"/>
        <v>0</v>
      </c>
      <c r="AC759" s="269">
        <f t="shared" si="165"/>
        <v>0</v>
      </c>
      <c r="AD759" s="271" t="str">
        <f>INDEX('Global inputs'!$C$134:$C$171,MATCH(F759,'Global inputs'!$B$134:$B$171,0))</f>
        <v>Asset replacement and renewal</v>
      </c>
      <c r="AE759" s="272">
        <f>IF(OR(H759='Operating leases'!$B$32,H759='Operating leases'!$B$33),"",INDEX('Global inputs'!$C$186:$C$243,MATCH(E759,'Global inputs'!$B$186:$B$243,0)))</f>
        <v>0.08</v>
      </c>
    </row>
    <row r="760" spans="1:31" s="27" customFormat="1" x14ac:dyDescent="0.2">
      <c r="A760" s="250"/>
      <c r="B760" s="210" t="s">
        <v>742</v>
      </c>
      <c r="C760" s="210" t="s">
        <v>288</v>
      </c>
      <c r="D760" s="210" t="s">
        <v>223</v>
      </c>
      <c r="E760" s="210" t="s">
        <v>156</v>
      </c>
      <c r="F760" s="210" t="s">
        <v>108</v>
      </c>
      <c r="G760" s="210" t="s">
        <v>727</v>
      </c>
      <c r="H760" s="197">
        <v>0</v>
      </c>
      <c r="I760" s="210" t="s">
        <v>223</v>
      </c>
      <c r="J760" s="210">
        <v>2022</v>
      </c>
      <c r="K760" s="210">
        <v>2022</v>
      </c>
      <c r="L760" s="268" t="str">
        <f t="shared" si="153"/>
        <v>Simple</v>
      </c>
      <c r="M760" s="197">
        <v>7158.0599999999995</v>
      </c>
      <c r="N760" s="197">
        <v>0</v>
      </c>
      <c r="O760" s="257">
        <f>IF(ISNA(MATCH(H760,'Operating leases'!$B$32:$B$43,0)),0,INDEX('Operating leases'!$M$32:$S$43,MATCH(H760,'Operating leases'!$B$32:$B$43,0),MATCH(J760,'Operating leases'!$M$11:$S$11,0)))</f>
        <v>0</v>
      </c>
      <c r="P760" s="257">
        <f t="shared" si="154"/>
        <v>7158.0599999999995</v>
      </c>
      <c r="Q760" s="257">
        <f t="shared" si="155"/>
        <v>7158.0599999999995</v>
      </c>
      <c r="R760" s="258">
        <f>INDEX('Escalators '!$M$124:$S$129,MATCH(I760,'Escalators '!$B$124:$B$129,0),MATCH(J760,'Escalators '!$M$113:$S$113,0))</f>
        <v>1.0395572483145099</v>
      </c>
      <c r="S760" s="257">
        <f t="shared" si="156"/>
        <v>0</v>
      </c>
      <c r="T760" s="257">
        <f t="shared" si="157"/>
        <v>0</v>
      </c>
      <c r="U760" s="269">
        <f t="shared" si="158"/>
        <v>7441.2131568701607</v>
      </c>
      <c r="V760" s="269">
        <f t="shared" si="159"/>
        <v>7441.2131568701607</v>
      </c>
      <c r="W760" s="269">
        <f t="shared" si="160"/>
        <v>7441.2131568701607</v>
      </c>
      <c r="X760" s="257">
        <f t="shared" si="161"/>
        <v>7441.2131568701607</v>
      </c>
      <c r="Y760" s="270">
        <f>IF(L760="Complex",(INDEX('Escalators '!$M$176:$S$176,MATCH('Forecast capex'!J760,'Escalators '!$M$178:$S$178,0))/12+1)^((K760-J760)*12)-1,0)</f>
        <v>0</v>
      </c>
      <c r="Z760" s="257">
        <f t="shared" si="162"/>
        <v>0</v>
      </c>
      <c r="AA760" s="257">
        <f t="shared" si="163"/>
        <v>0</v>
      </c>
      <c r="AB760" s="269">
        <f t="shared" si="164"/>
        <v>0</v>
      </c>
      <c r="AC760" s="269">
        <f t="shared" si="165"/>
        <v>0</v>
      </c>
      <c r="AD760" s="271" t="str">
        <f>INDEX('Global inputs'!$C$134:$C$171,MATCH(F760,'Global inputs'!$B$134:$B$171,0))</f>
        <v>Asset replacement and renewal</v>
      </c>
      <c r="AE760" s="272">
        <f>IF(OR(H760='Operating leases'!$B$32,H760='Operating leases'!$B$33),"",INDEX('Global inputs'!$C$186:$C$243,MATCH(E760,'Global inputs'!$B$186:$B$243,0)))</f>
        <v>0.08</v>
      </c>
    </row>
    <row r="761" spans="1:31" s="27" customFormat="1" x14ac:dyDescent="0.2">
      <c r="A761" s="250"/>
      <c r="B761" s="210" t="s">
        <v>742</v>
      </c>
      <c r="C761" s="210" t="s">
        <v>291</v>
      </c>
      <c r="D761" s="210" t="s">
        <v>735</v>
      </c>
      <c r="E761" s="210" t="s">
        <v>175</v>
      </c>
      <c r="F761" s="210" t="s">
        <v>108</v>
      </c>
      <c r="G761" s="210" t="s">
        <v>748</v>
      </c>
      <c r="H761" s="197">
        <v>0</v>
      </c>
      <c r="I761" s="210" t="s">
        <v>221</v>
      </c>
      <c r="J761" s="210">
        <v>2022</v>
      </c>
      <c r="K761" s="210">
        <v>2022</v>
      </c>
      <c r="L761" s="268" t="str">
        <f t="shared" si="153"/>
        <v>Simple</v>
      </c>
      <c r="M761" s="197">
        <v>78204</v>
      </c>
      <c r="N761" s="197">
        <v>0</v>
      </c>
      <c r="O761" s="257">
        <f>IF(ISNA(MATCH(H761,'Operating leases'!$B$32:$B$43,0)),0,INDEX('Operating leases'!$M$32:$S$43,MATCH(H761,'Operating leases'!$B$32:$B$43,0),MATCH(J761,'Operating leases'!$M$11:$S$11,0)))</f>
        <v>0</v>
      </c>
      <c r="P761" s="257">
        <f t="shared" si="154"/>
        <v>78204</v>
      </c>
      <c r="Q761" s="257">
        <f t="shared" si="155"/>
        <v>78204</v>
      </c>
      <c r="R761" s="258">
        <f>INDEX('Escalators '!$M$124:$S$129,MATCH(I761,'Escalators '!$B$124:$B$129,0),MATCH(J761,'Escalators '!$M$113:$S$113,0))</f>
        <v>1.0272672933956697</v>
      </c>
      <c r="S761" s="257">
        <f t="shared" si="156"/>
        <v>0</v>
      </c>
      <c r="T761" s="257">
        <f t="shared" si="157"/>
        <v>0</v>
      </c>
      <c r="U761" s="269">
        <f t="shared" si="158"/>
        <v>80336.411412714951</v>
      </c>
      <c r="V761" s="269">
        <f t="shared" si="159"/>
        <v>80336.411412714951</v>
      </c>
      <c r="W761" s="269">
        <f t="shared" si="160"/>
        <v>80336.411412714951</v>
      </c>
      <c r="X761" s="257">
        <f t="shared" si="161"/>
        <v>80336.411412714951</v>
      </c>
      <c r="Y761" s="270">
        <f>IF(L761="Complex",(INDEX('Escalators '!$M$176:$S$176,MATCH('Forecast capex'!J761,'Escalators '!$M$178:$S$178,0))/12+1)^((K761-J761)*12)-1,0)</f>
        <v>0</v>
      </c>
      <c r="Z761" s="257">
        <f t="shared" si="162"/>
        <v>0</v>
      </c>
      <c r="AA761" s="257">
        <f t="shared" si="163"/>
        <v>0</v>
      </c>
      <c r="AB761" s="269">
        <f t="shared" si="164"/>
        <v>0</v>
      </c>
      <c r="AC761" s="269">
        <f t="shared" si="165"/>
        <v>0</v>
      </c>
      <c r="AD761" s="271" t="str">
        <f>INDEX('Global inputs'!$C$134:$C$171,MATCH(F761,'Global inputs'!$B$134:$B$171,0))</f>
        <v>Asset replacement and renewal</v>
      </c>
      <c r="AE761" s="272">
        <f>IF(OR(H761='Operating leases'!$B$32,H761='Operating leases'!$B$33),"",INDEX('Global inputs'!$C$186:$C$243,MATCH(E761,'Global inputs'!$B$186:$B$243,0)))</f>
        <v>0.1</v>
      </c>
    </row>
    <row r="762" spans="1:31" s="27" customFormat="1" x14ac:dyDescent="0.2">
      <c r="A762" s="250"/>
      <c r="B762" s="210" t="s">
        <v>742</v>
      </c>
      <c r="C762" s="210" t="s">
        <v>291</v>
      </c>
      <c r="D762" s="210" t="s">
        <v>735</v>
      </c>
      <c r="E762" s="210" t="s">
        <v>175</v>
      </c>
      <c r="F762" s="210" t="s">
        <v>108</v>
      </c>
      <c r="G762" s="210" t="s">
        <v>748</v>
      </c>
      <c r="H762" s="197">
        <v>0</v>
      </c>
      <c r="I762" s="210" t="s">
        <v>229</v>
      </c>
      <c r="J762" s="210">
        <v>2022</v>
      </c>
      <c r="K762" s="210">
        <v>2022</v>
      </c>
      <c r="L762" s="268" t="str">
        <f t="shared" si="153"/>
        <v>Simple</v>
      </c>
      <c r="M762" s="197">
        <v>19551</v>
      </c>
      <c r="N762" s="197">
        <v>0</v>
      </c>
      <c r="O762" s="257">
        <f>IF(ISNA(MATCH(H762,'Operating leases'!$B$32:$B$43,0)),0,INDEX('Operating leases'!$M$32:$S$43,MATCH(H762,'Operating leases'!$B$32:$B$43,0),MATCH(J762,'Operating leases'!$M$11:$S$11,0)))</f>
        <v>0</v>
      </c>
      <c r="P762" s="257">
        <f t="shared" si="154"/>
        <v>19551</v>
      </c>
      <c r="Q762" s="257">
        <f t="shared" si="155"/>
        <v>19551</v>
      </c>
      <c r="R762" s="258">
        <f>INDEX('Escalators '!$M$124:$S$129,MATCH(I762,'Escalators '!$B$124:$B$129,0),MATCH(J762,'Escalators '!$M$113:$S$113,0))</f>
        <v>1.0379818100112963</v>
      </c>
      <c r="S762" s="257">
        <f t="shared" si="156"/>
        <v>0</v>
      </c>
      <c r="T762" s="257">
        <f t="shared" si="157"/>
        <v>0</v>
      </c>
      <c r="U762" s="269">
        <f t="shared" si="158"/>
        <v>20293.582367530853</v>
      </c>
      <c r="V762" s="269">
        <f t="shared" si="159"/>
        <v>20293.582367530853</v>
      </c>
      <c r="W762" s="269">
        <f t="shared" si="160"/>
        <v>20293.582367530853</v>
      </c>
      <c r="X762" s="257">
        <f t="shared" si="161"/>
        <v>20293.582367530853</v>
      </c>
      <c r="Y762" s="270">
        <f>IF(L762="Complex",(INDEX('Escalators '!$M$176:$S$176,MATCH('Forecast capex'!J762,'Escalators '!$M$178:$S$178,0))/12+1)^((K762-J762)*12)-1,0)</f>
        <v>0</v>
      </c>
      <c r="Z762" s="257">
        <f t="shared" si="162"/>
        <v>0</v>
      </c>
      <c r="AA762" s="257">
        <f t="shared" si="163"/>
        <v>0</v>
      </c>
      <c r="AB762" s="269">
        <f t="shared" si="164"/>
        <v>0</v>
      </c>
      <c r="AC762" s="269">
        <f t="shared" si="165"/>
        <v>0</v>
      </c>
      <c r="AD762" s="271" t="str">
        <f>INDEX('Global inputs'!$C$134:$C$171,MATCH(F762,'Global inputs'!$B$134:$B$171,0))</f>
        <v>Asset replacement and renewal</v>
      </c>
      <c r="AE762" s="272">
        <f>IF(OR(H762='Operating leases'!$B$32,H762='Operating leases'!$B$33),"",INDEX('Global inputs'!$C$186:$C$243,MATCH(E762,'Global inputs'!$B$186:$B$243,0)))</f>
        <v>0.1</v>
      </c>
    </row>
    <row r="763" spans="1:31" s="27" customFormat="1" x14ac:dyDescent="0.2">
      <c r="A763" s="250"/>
      <c r="B763" s="210" t="s">
        <v>742</v>
      </c>
      <c r="C763" s="210" t="s">
        <v>286</v>
      </c>
      <c r="D763" s="210" t="s">
        <v>735</v>
      </c>
      <c r="E763" s="210" t="s">
        <v>147</v>
      </c>
      <c r="F763" s="210" t="s">
        <v>108</v>
      </c>
      <c r="G763" s="210" t="s">
        <v>744</v>
      </c>
      <c r="H763" s="197">
        <v>0</v>
      </c>
      <c r="I763" s="210" t="s">
        <v>221</v>
      </c>
      <c r="J763" s="210">
        <v>2022</v>
      </c>
      <c r="K763" s="210">
        <v>2022</v>
      </c>
      <c r="L763" s="268" t="str">
        <f t="shared" si="153"/>
        <v>Simple</v>
      </c>
      <c r="M763" s="197">
        <v>62562.641399999993</v>
      </c>
      <c r="N763" s="197">
        <v>0</v>
      </c>
      <c r="O763" s="257">
        <f>IF(ISNA(MATCH(H763,'Operating leases'!$B$32:$B$43,0)),0,INDEX('Operating leases'!$M$32:$S$43,MATCH(H763,'Operating leases'!$B$32:$B$43,0),MATCH(J763,'Operating leases'!$M$11:$S$11,0)))</f>
        <v>0</v>
      </c>
      <c r="P763" s="257">
        <f t="shared" si="154"/>
        <v>62562.641399999993</v>
      </c>
      <c r="Q763" s="257">
        <f t="shared" si="155"/>
        <v>62562.641399999993</v>
      </c>
      <c r="R763" s="258">
        <f>INDEX('Escalators '!$M$124:$S$129,MATCH(I763,'Escalators '!$B$124:$B$129,0),MATCH(J763,'Escalators '!$M$113:$S$113,0))</f>
        <v>1.0272672933956697</v>
      </c>
      <c r="S763" s="257">
        <f t="shared" si="156"/>
        <v>0</v>
      </c>
      <c r="T763" s="257">
        <f t="shared" si="157"/>
        <v>0</v>
      </c>
      <c r="U763" s="269">
        <f t="shared" si="158"/>
        <v>64268.555298661864</v>
      </c>
      <c r="V763" s="269">
        <f t="shared" si="159"/>
        <v>64268.555298661864</v>
      </c>
      <c r="W763" s="269">
        <f t="shared" si="160"/>
        <v>64268.555298661864</v>
      </c>
      <c r="X763" s="257">
        <f t="shared" si="161"/>
        <v>64268.555298661864</v>
      </c>
      <c r="Y763" s="270">
        <f>IF(L763="Complex",(INDEX('Escalators '!$M$176:$S$176,MATCH('Forecast capex'!J763,'Escalators '!$M$178:$S$178,0))/12+1)^((K763-J763)*12)-1,0)</f>
        <v>0</v>
      </c>
      <c r="Z763" s="257">
        <f t="shared" si="162"/>
        <v>0</v>
      </c>
      <c r="AA763" s="257">
        <f t="shared" si="163"/>
        <v>0</v>
      </c>
      <c r="AB763" s="269">
        <f t="shared" si="164"/>
        <v>0</v>
      </c>
      <c r="AC763" s="269">
        <f t="shared" si="165"/>
        <v>0</v>
      </c>
      <c r="AD763" s="271" t="str">
        <f>INDEX('Global inputs'!$C$134:$C$171,MATCH(F763,'Global inputs'!$B$134:$B$171,0))</f>
        <v>Asset replacement and renewal</v>
      </c>
      <c r="AE763" s="272">
        <f>IF(OR(H763='Operating leases'!$B$32,H763='Operating leases'!$B$33),"",INDEX('Global inputs'!$C$186:$C$243,MATCH(E763,'Global inputs'!$B$186:$B$243,0)))</f>
        <v>0.08</v>
      </c>
    </row>
    <row r="764" spans="1:31" s="27" customFormat="1" x14ac:dyDescent="0.2">
      <c r="A764" s="250"/>
      <c r="B764" s="210" t="s">
        <v>742</v>
      </c>
      <c r="C764" s="210" t="s">
        <v>286</v>
      </c>
      <c r="D764" s="210" t="s">
        <v>735</v>
      </c>
      <c r="E764" s="210" t="s">
        <v>147</v>
      </c>
      <c r="F764" s="210" t="s">
        <v>108</v>
      </c>
      <c r="G764" s="210" t="s">
        <v>744</v>
      </c>
      <c r="H764" s="197">
        <v>0</v>
      </c>
      <c r="I764" s="210" t="s">
        <v>229</v>
      </c>
      <c r="J764" s="210">
        <v>2022</v>
      </c>
      <c r="K764" s="210">
        <v>2022</v>
      </c>
      <c r="L764" s="268" t="str">
        <f t="shared" si="153"/>
        <v>Simple</v>
      </c>
      <c r="M764" s="197">
        <v>15640.660349999998</v>
      </c>
      <c r="N764" s="197">
        <v>0</v>
      </c>
      <c r="O764" s="257">
        <f>IF(ISNA(MATCH(H764,'Operating leases'!$B$32:$B$43,0)),0,INDEX('Operating leases'!$M$32:$S$43,MATCH(H764,'Operating leases'!$B$32:$B$43,0),MATCH(J764,'Operating leases'!$M$11:$S$11,0)))</f>
        <v>0</v>
      </c>
      <c r="P764" s="257">
        <f t="shared" si="154"/>
        <v>15640.660349999998</v>
      </c>
      <c r="Q764" s="257">
        <f t="shared" si="155"/>
        <v>15640.660349999998</v>
      </c>
      <c r="R764" s="258">
        <f>INDEX('Escalators '!$M$124:$S$129,MATCH(I764,'Escalators '!$B$124:$B$129,0),MATCH(J764,'Escalators '!$M$113:$S$113,0))</f>
        <v>1.0379818100112963</v>
      </c>
      <c r="S764" s="257">
        <f t="shared" si="156"/>
        <v>0</v>
      </c>
      <c r="T764" s="257">
        <f t="shared" si="157"/>
        <v>0</v>
      </c>
      <c r="U764" s="269">
        <f t="shared" si="158"/>
        <v>16234.720939864914</v>
      </c>
      <c r="V764" s="269">
        <f t="shared" si="159"/>
        <v>16234.720939864914</v>
      </c>
      <c r="W764" s="269">
        <f t="shared" si="160"/>
        <v>16234.720939864914</v>
      </c>
      <c r="X764" s="257">
        <f t="shared" si="161"/>
        <v>16234.720939864914</v>
      </c>
      <c r="Y764" s="270">
        <f>IF(L764="Complex",(INDEX('Escalators '!$M$176:$S$176,MATCH('Forecast capex'!J764,'Escalators '!$M$178:$S$178,0))/12+1)^((K764-J764)*12)-1,0)</f>
        <v>0</v>
      </c>
      <c r="Z764" s="257">
        <f t="shared" si="162"/>
        <v>0</v>
      </c>
      <c r="AA764" s="257">
        <f t="shared" si="163"/>
        <v>0</v>
      </c>
      <c r="AB764" s="269">
        <f t="shared" si="164"/>
        <v>0</v>
      </c>
      <c r="AC764" s="269">
        <f t="shared" si="165"/>
        <v>0</v>
      </c>
      <c r="AD764" s="271" t="str">
        <f>INDEX('Global inputs'!$C$134:$C$171,MATCH(F764,'Global inputs'!$B$134:$B$171,0))</f>
        <v>Asset replacement and renewal</v>
      </c>
      <c r="AE764" s="272">
        <f>IF(OR(H764='Operating leases'!$B$32,H764='Operating leases'!$B$33),"",INDEX('Global inputs'!$C$186:$C$243,MATCH(E764,'Global inputs'!$B$186:$B$243,0)))</f>
        <v>0.08</v>
      </c>
    </row>
    <row r="765" spans="1:31" s="27" customFormat="1" x14ac:dyDescent="0.2">
      <c r="A765" s="250"/>
      <c r="B765" s="210" t="s">
        <v>742</v>
      </c>
      <c r="C765" s="210" t="s">
        <v>288</v>
      </c>
      <c r="D765" s="210" t="s">
        <v>223</v>
      </c>
      <c r="E765" s="210" t="s">
        <v>156</v>
      </c>
      <c r="F765" s="210" t="s">
        <v>108</v>
      </c>
      <c r="G765" s="210" t="s">
        <v>727</v>
      </c>
      <c r="H765" s="197">
        <v>0</v>
      </c>
      <c r="I765" s="210" t="s">
        <v>221</v>
      </c>
      <c r="J765" s="210">
        <v>2022</v>
      </c>
      <c r="K765" s="210">
        <v>2022</v>
      </c>
      <c r="L765" s="268" t="str">
        <f t="shared" si="153"/>
        <v>Simple</v>
      </c>
      <c r="M765" s="197">
        <v>74029.628749999989</v>
      </c>
      <c r="N765" s="197">
        <v>0</v>
      </c>
      <c r="O765" s="257">
        <f>IF(ISNA(MATCH(H765,'Operating leases'!$B$32:$B$43,0)),0,INDEX('Operating leases'!$M$32:$S$43,MATCH(H765,'Operating leases'!$B$32:$B$43,0),MATCH(J765,'Operating leases'!$M$11:$S$11,0)))</f>
        <v>0</v>
      </c>
      <c r="P765" s="257">
        <f t="shared" si="154"/>
        <v>74029.628749999989</v>
      </c>
      <c r="Q765" s="257">
        <f t="shared" si="155"/>
        <v>74029.628749999989</v>
      </c>
      <c r="R765" s="258">
        <f>INDEX('Escalators '!$M$124:$S$129,MATCH(I765,'Escalators '!$B$124:$B$129,0),MATCH(J765,'Escalators '!$M$113:$S$113,0))</f>
        <v>1.0272672933956697</v>
      </c>
      <c r="S765" s="257">
        <f t="shared" si="156"/>
        <v>0</v>
      </c>
      <c r="T765" s="257">
        <f t="shared" si="157"/>
        <v>0</v>
      </c>
      <c r="U765" s="269">
        <f t="shared" si="158"/>
        <v>76048.216357098747</v>
      </c>
      <c r="V765" s="269">
        <f t="shared" si="159"/>
        <v>76048.216357098747</v>
      </c>
      <c r="W765" s="269">
        <f t="shared" si="160"/>
        <v>76048.216357098747</v>
      </c>
      <c r="X765" s="257">
        <f t="shared" si="161"/>
        <v>76048.216357098747</v>
      </c>
      <c r="Y765" s="270">
        <f>IF(L765="Complex",(INDEX('Escalators '!$M$176:$S$176,MATCH('Forecast capex'!J765,'Escalators '!$M$178:$S$178,0))/12+1)^((K765-J765)*12)-1,0)</f>
        <v>0</v>
      </c>
      <c r="Z765" s="257">
        <f t="shared" si="162"/>
        <v>0</v>
      </c>
      <c r="AA765" s="257">
        <f t="shared" si="163"/>
        <v>0</v>
      </c>
      <c r="AB765" s="269">
        <f t="shared" si="164"/>
        <v>0</v>
      </c>
      <c r="AC765" s="269">
        <f t="shared" si="165"/>
        <v>0</v>
      </c>
      <c r="AD765" s="271" t="str">
        <f>INDEX('Global inputs'!$C$134:$C$171,MATCH(F765,'Global inputs'!$B$134:$B$171,0))</f>
        <v>Asset replacement and renewal</v>
      </c>
      <c r="AE765" s="272">
        <f>IF(OR(H765='Operating leases'!$B$32,H765='Operating leases'!$B$33),"",INDEX('Global inputs'!$C$186:$C$243,MATCH(E765,'Global inputs'!$B$186:$B$243,0)))</f>
        <v>0.08</v>
      </c>
    </row>
    <row r="766" spans="1:31" s="27" customFormat="1" x14ac:dyDescent="0.2">
      <c r="A766" s="250"/>
      <c r="B766" s="210" t="s">
        <v>742</v>
      </c>
      <c r="C766" s="210" t="s">
        <v>288</v>
      </c>
      <c r="D766" s="210" t="s">
        <v>223</v>
      </c>
      <c r="E766" s="210" t="s">
        <v>156</v>
      </c>
      <c r="F766" s="210" t="s">
        <v>108</v>
      </c>
      <c r="G766" s="210" t="s">
        <v>727</v>
      </c>
      <c r="H766" s="197">
        <v>0</v>
      </c>
      <c r="I766" s="210" t="s">
        <v>223</v>
      </c>
      <c r="J766" s="210">
        <v>2022</v>
      </c>
      <c r="K766" s="210">
        <v>2022</v>
      </c>
      <c r="L766" s="268" t="str">
        <f t="shared" si="153"/>
        <v>Simple</v>
      </c>
      <c r="M766" s="197">
        <v>31726.983749999996</v>
      </c>
      <c r="N766" s="197">
        <v>0</v>
      </c>
      <c r="O766" s="257">
        <f>IF(ISNA(MATCH(H766,'Operating leases'!$B$32:$B$43,0)),0,INDEX('Operating leases'!$M$32:$S$43,MATCH(H766,'Operating leases'!$B$32:$B$43,0),MATCH(J766,'Operating leases'!$M$11:$S$11,0)))</f>
        <v>0</v>
      </c>
      <c r="P766" s="257">
        <f t="shared" si="154"/>
        <v>31726.983749999996</v>
      </c>
      <c r="Q766" s="257">
        <f t="shared" si="155"/>
        <v>31726.983749999996</v>
      </c>
      <c r="R766" s="258">
        <f>INDEX('Escalators '!$M$124:$S$129,MATCH(I766,'Escalators '!$B$124:$B$129,0),MATCH(J766,'Escalators '!$M$113:$S$113,0))</f>
        <v>1.0395572483145099</v>
      </c>
      <c r="S766" s="257">
        <f t="shared" si="156"/>
        <v>0</v>
      </c>
      <c r="T766" s="257">
        <f t="shared" si="157"/>
        <v>0</v>
      </c>
      <c r="U766" s="269">
        <f t="shared" si="158"/>
        <v>32982.015924469168</v>
      </c>
      <c r="V766" s="269">
        <f t="shared" si="159"/>
        <v>32982.015924469168</v>
      </c>
      <c r="W766" s="269">
        <f t="shared" si="160"/>
        <v>32982.015924469168</v>
      </c>
      <c r="X766" s="257">
        <f t="shared" si="161"/>
        <v>32982.015924469168</v>
      </c>
      <c r="Y766" s="270">
        <f>IF(L766="Complex",(INDEX('Escalators '!$M$176:$S$176,MATCH('Forecast capex'!J766,'Escalators '!$M$178:$S$178,0))/12+1)^((K766-J766)*12)-1,0)</f>
        <v>0</v>
      </c>
      <c r="Z766" s="257">
        <f t="shared" si="162"/>
        <v>0</v>
      </c>
      <c r="AA766" s="257">
        <f t="shared" si="163"/>
        <v>0</v>
      </c>
      <c r="AB766" s="269">
        <f t="shared" si="164"/>
        <v>0</v>
      </c>
      <c r="AC766" s="269">
        <f t="shared" si="165"/>
        <v>0</v>
      </c>
      <c r="AD766" s="271" t="str">
        <f>INDEX('Global inputs'!$C$134:$C$171,MATCH(F766,'Global inputs'!$B$134:$B$171,0))</f>
        <v>Asset replacement and renewal</v>
      </c>
      <c r="AE766" s="272">
        <f>IF(OR(H766='Operating leases'!$B$32,H766='Operating leases'!$B$33),"",INDEX('Global inputs'!$C$186:$C$243,MATCH(E766,'Global inputs'!$B$186:$B$243,0)))</f>
        <v>0.08</v>
      </c>
    </row>
    <row r="767" spans="1:31" s="27" customFormat="1" x14ac:dyDescent="0.2">
      <c r="A767" s="250"/>
      <c r="B767" s="210" t="s">
        <v>742</v>
      </c>
      <c r="C767" s="210" t="s">
        <v>290</v>
      </c>
      <c r="D767" s="210" t="s">
        <v>718</v>
      </c>
      <c r="E767" s="210" t="s">
        <v>173</v>
      </c>
      <c r="F767" s="210" t="s">
        <v>108</v>
      </c>
      <c r="G767" s="210" t="s">
        <v>719</v>
      </c>
      <c r="H767" s="197">
        <v>0</v>
      </c>
      <c r="I767" s="210" t="s">
        <v>221</v>
      </c>
      <c r="J767" s="210">
        <v>2022</v>
      </c>
      <c r="K767" s="210">
        <v>2022</v>
      </c>
      <c r="L767" s="268" t="str">
        <f t="shared" si="153"/>
        <v>Simple</v>
      </c>
      <c r="M767" s="197">
        <v>19950</v>
      </c>
      <c r="N767" s="197">
        <v>0</v>
      </c>
      <c r="O767" s="257">
        <f>IF(ISNA(MATCH(H767,'Operating leases'!$B$32:$B$43,0)),0,INDEX('Operating leases'!$M$32:$S$43,MATCH(H767,'Operating leases'!$B$32:$B$43,0),MATCH(J767,'Operating leases'!$M$11:$S$11,0)))</f>
        <v>0</v>
      </c>
      <c r="P767" s="257">
        <f t="shared" si="154"/>
        <v>19950</v>
      </c>
      <c r="Q767" s="257">
        <f t="shared" si="155"/>
        <v>19950</v>
      </c>
      <c r="R767" s="258">
        <f>INDEX('Escalators '!$M$124:$S$129,MATCH(I767,'Escalators '!$B$124:$B$129,0),MATCH(J767,'Escalators '!$M$113:$S$113,0))</f>
        <v>1.0272672933956697</v>
      </c>
      <c r="S767" s="257">
        <f t="shared" si="156"/>
        <v>0</v>
      </c>
      <c r="T767" s="257">
        <f t="shared" si="157"/>
        <v>0</v>
      </c>
      <c r="U767" s="269">
        <f t="shared" si="158"/>
        <v>20493.982503243609</v>
      </c>
      <c r="V767" s="269">
        <f t="shared" si="159"/>
        <v>20493.982503243609</v>
      </c>
      <c r="W767" s="269">
        <f t="shared" si="160"/>
        <v>20493.982503243609</v>
      </c>
      <c r="X767" s="257">
        <f t="shared" si="161"/>
        <v>20493.982503243609</v>
      </c>
      <c r="Y767" s="270">
        <f>IF(L767="Complex",(INDEX('Escalators '!$M$176:$S$176,MATCH('Forecast capex'!J767,'Escalators '!$M$178:$S$178,0))/12+1)^((K767-J767)*12)-1,0)</f>
        <v>0</v>
      </c>
      <c r="Z767" s="257">
        <f t="shared" si="162"/>
        <v>0</v>
      </c>
      <c r="AA767" s="257">
        <f t="shared" si="163"/>
        <v>0</v>
      </c>
      <c r="AB767" s="269">
        <f t="shared" si="164"/>
        <v>0</v>
      </c>
      <c r="AC767" s="269">
        <f t="shared" si="165"/>
        <v>0</v>
      </c>
      <c r="AD767" s="271" t="str">
        <f>INDEX('Global inputs'!$C$134:$C$171,MATCH(F767,'Global inputs'!$B$134:$B$171,0))</f>
        <v>Asset replacement and renewal</v>
      </c>
      <c r="AE767" s="272">
        <f>IF(OR(H767='Operating leases'!$B$32,H767='Operating leases'!$B$33),"",INDEX('Global inputs'!$C$186:$C$243,MATCH(E767,'Global inputs'!$B$186:$B$243,0)))</f>
        <v>0.08</v>
      </c>
    </row>
    <row r="768" spans="1:31" s="27" customFormat="1" x14ac:dyDescent="0.2">
      <c r="A768" s="250"/>
      <c r="B768" s="210" t="s">
        <v>742</v>
      </c>
      <c r="C768" s="210" t="s">
        <v>290</v>
      </c>
      <c r="D768" s="210" t="s">
        <v>718</v>
      </c>
      <c r="E768" s="210" t="s">
        <v>173</v>
      </c>
      <c r="F768" s="210" t="s">
        <v>108</v>
      </c>
      <c r="G768" s="210" t="s">
        <v>719</v>
      </c>
      <c r="H768" s="197">
        <v>0</v>
      </c>
      <c r="I768" s="210" t="s">
        <v>142</v>
      </c>
      <c r="J768" s="210">
        <v>2022</v>
      </c>
      <c r="K768" s="210">
        <v>2022</v>
      </c>
      <c r="L768" s="268" t="str">
        <f t="shared" si="153"/>
        <v>Simple</v>
      </c>
      <c r="M768" s="197">
        <v>79800</v>
      </c>
      <c r="N768" s="197">
        <v>0</v>
      </c>
      <c r="O768" s="257">
        <f>IF(ISNA(MATCH(H768,'Operating leases'!$B$32:$B$43,0)),0,INDEX('Operating leases'!$M$32:$S$43,MATCH(H768,'Operating leases'!$B$32:$B$43,0),MATCH(J768,'Operating leases'!$M$11:$S$11,0)))</f>
        <v>0</v>
      </c>
      <c r="P768" s="257">
        <f t="shared" si="154"/>
        <v>79800</v>
      </c>
      <c r="Q768" s="257">
        <f t="shared" si="155"/>
        <v>79800</v>
      </c>
      <c r="R768" s="258">
        <f>INDEX('Escalators '!$M$124:$S$129,MATCH(I768,'Escalators '!$B$124:$B$129,0),MATCH(J768,'Escalators '!$M$113:$S$113,0))</f>
        <v>1.0268090943455099</v>
      </c>
      <c r="S768" s="257">
        <f t="shared" si="156"/>
        <v>0</v>
      </c>
      <c r="T768" s="257">
        <f t="shared" si="157"/>
        <v>0</v>
      </c>
      <c r="U768" s="269">
        <f t="shared" si="158"/>
        <v>81939.365728771692</v>
      </c>
      <c r="V768" s="269">
        <f t="shared" si="159"/>
        <v>81939.365728771692</v>
      </c>
      <c r="W768" s="269">
        <f t="shared" si="160"/>
        <v>81939.365728771692</v>
      </c>
      <c r="X768" s="257">
        <f t="shared" si="161"/>
        <v>81939.365728771692</v>
      </c>
      <c r="Y768" s="270">
        <f>IF(L768="Complex",(INDEX('Escalators '!$M$176:$S$176,MATCH('Forecast capex'!J768,'Escalators '!$M$178:$S$178,0))/12+1)^((K768-J768)*12)-1,0)</f>
        <v>0</v>
      </c>
      <c r="Z768" s="257">
        <f t="shared" si="162"/>
        <v>0</v>
      </c>
      <c r="AA768" s="257">
        <f t="shared" si="163"/>
        <v>0</v>
      </c>
      <c r="AB768" s="269">
        <f t="shared" si="164"/>
        <v>0</v>
      </c>
      <c r="AC768" s="269">
        <f t="shared" si="165"/>
        <v>0</v>
      </c>
      <c r="AD768" s="271" t="str">
        <f>INDEX('Global inputs'!$C$134:$C$171,MATCH(F768,'Global inputs'!$B$134:$B$171,0))</f>
        <v>Asset replacement and renewal</v>
      </c>
      <c r="AE768" s="272">
        <f>IF(OR(H768='Operating leases'!$B$32,H768='Operating leases'!$B$33),"",INDEX('Global inputs'!$C$186:$C$243,MATCH(E768,'Global inputs'!$B$186:$B$243,0)))</f>
        <v>0.08</v>
      </c>
    </row>
    <row r="769" spans="1:31" s="27" customFormat="1" x14ac:dyDescent="0.2">
      <c r="A769" s="250"/>
      <c r="B769" s="210" t="s">
        <v>742</v>
      </c>
      <c r="C769" s="210" t="s">
        <v>289</v>
      </c>
      <c r="D769" s="210" t="s">
        <v>723</v>
      </c>
      <c r="E769" s="210" t="s">
        <v>164</v>
      </c>
      <c r="F769" s="210" t="s">
        <v>108</v>
      </c>
      <c r="G769" s="210" t="s">
        <v>724</v>
      </c>
      <c r="H769" s="197">
        <v>0</v>
      </c>
      <c r="I769" s="210" t="s">
        <v>221</v>
      </c>
      <c r="J769" s="210">
        <v>2022</v>
      </c>
      <c r="K769" s="210">
        <v>2022</v>
      </c>
      <c r="L769" s="268" t="str">
        <f t="shared" si="153"/>
        <v>Simple</v>
      </c>
      <c r="M769" s="197">
        <v>12129.599999999999</v>
      </c>
      <c r="N769" s="197">
        <v>0</v>
      </c>
      <c r="O769" s="257">
        <f>IF(ISNA(MATCH(H769,'Operating leases'!$B$32:$B$43,0)),0,INDEX('Operating leases'!$M$32:$S$43,MATCH(H769,'Operating leases'!$B$32:$B$43,0),MATCH(J769,'Operating leases'!$M$11:$S$11,0)))</f>
        <v>0</v>
      </c>
      <c r="P769" s="257">
        <f t="shared" si="154"/>
        <v>12129.599999999999</v>
      </c>
      <c r="Q769" s="257">
        <f t="shared" si="155"/>
        <v>12129.599999999999</v>
      </c>
      <c r="R769" s="258">
        <f>INDEX('Escalators '!$M$124:$S$129,MATCH(I769,'Escalators '!$B$124:$B$129,0),MATCH(J769,'Escalators '!$M$113:$S$113,0))</f>
        <v>1.0272672933956697</v>
      </c>
      <c r="S769" s="257">
        <f t="shared" si="156"/>
        <v>0</v>
      </c>
      <c r="T769" s="257">
        <f t="shared" si="157"/>
        <v>0</v>
      </c>
      <c r="U769" s="269">
        <f t="shared" si="158"/>
        <v>12460.341361972114</v>
      </c>
      <c r="V769" s="269">
        <f t="shared" si="159"/>
        <v>12460.341361972114</v>
      </c>
      <c r="W769" s="269">
        <f t="shared" si="160"/>
        <v>12460.341361972114</v>
      </c>
      <c r="X769" s="257">
        <f t="shared" si="161"/>
        <v>12460.341361972114</v>
      </c>
      <c r="Y769" s="270">
        <f>IF(L769="Complex",(INDEX('Escalators '!$M$176:$S$176,MATCH('Forecast capex'!J769,'Escalators '!$M$178:$S$178,0))/12+1)^((K769-J769)*12)-1,0)</f>
        <v>0</v>
      </c>
      <c r="Z769" s="257">
        <f t="shared" si="162"/>
        <v>0</v>
      </c>
      <c r="AA769" s="257">
        <f t="shared" si="163"/>
        <v>0</v>
      </c>
      <c r="AB769" s="269">
        <f t="shared" si="164"/>
        <v>0</v>
      </c>
      <c r="AC769" s="269">
        <f t="shared" si="165"/>
        <v>0</v>
      </c>
      <c r="AD769" s="271" t="str">
        <f>INDEX('Global inputs'!$C$134:$C$171,MATCH(F769,'Global inputs'!$B$134:$B$171,0))</f>
        <v>Asset replacement and renewal</v>
      </c>
      <c r="AE769" s="272">
        <f>IF(OR(H769='Operating leases'!$B$32,H769='Operating leases'!$B$33),"",INDEX('Global inputs'!$C$186:$C$243,MATCH(E769,'Global inputs'!$B$186:$B$243,0)))</f>
        <v>0.08</v>
      </c>
    </row>
    <row r="770" spans="1:31" s="27" customFormat="1" x14ac:dyDescent="0.2">
      <c r="A770" s="250"/>
      <c r="B770" s="210" t="s">
        <v>742</v>
      </c>
      <c r="C770" s="210" t="s">
        <v>289</v>
      </c>
      <c r="D770" s="210" t="s">
        <v>723</v>
      </c>
      <c r="E770" s="210" t="s">
        <v>164</v>
      </c>
      <c r="F770" s="210" t="s">
        <v>108</v>
      </c>
      <c r="G770" s="210" t="s">
        <v>724</v>
      </c>
      <c r="H770" s="197">
        <v>0</v>
      </c>
      <c r="I770" s="210" t="s">
        <v>139</v>
      </c>
      <c r="J770" s="210">
        <v>2022</v>
      </c>
      <c r="K770" s="210">
        <v>2022</v>
      </c>
      <c r="L770" s="268" t="str">
        <f t="shared" si="153"/>
        <v>Simple</v>
      </c>
      <c r="M770" s="197">
        <v>48518.399999999994</v>
      </c>
      <c r="N770" s="197">
        <v>0</v>
      </c>
      <c r="O770" s="257">
        <f>IF(ISNA(MATCH(H770,'Operating leases'!$B$32:$B$43,0)),0,INDEX('Operating leases'!$M$32:$S$43,MATCH(H770,'Operating leases'!$B$32:$B$43,0),MATCH(J770,'Operating leases'!$M$11:$S$11,0)))</f>
        <v>0</v>
      </c>
      <c r="P770" s="257">
        <f t="shared" si="154"/>
        <v>48518.399999999994</v>
      </c>
      <c r="Q770" s="257">
        <f t="shared" si="155"/>
        <v>48518.399999999994</v>
      </c>
      <c r="R770" s="258">
        <f>INDEX('Escalators '!$M$124:$S$129,MATCH(I770,'Escalators '!$B$124:$B$129,0),MATCH(J770,'Escalators '!$M$113:$S$113,0))</f>
        <v>1.0086968501536033</v>
      </c>
      <c r="S770" s="257">
        <f t="shared" si="156"/>
        <v>0</v>
      </c>
      <c r="T770" s="257">
        <f t="shared" si="157"/>
        <v>0</v>
      </c>
      <c r="U770" s="269">
        <f t="shared" si="158"/>
        <v>48940.357254492585</v>
      </c>
      <c r="V770" s="269">
        <f t="shared" si="159"/>
        <v>48940.357254492585</v>
      </c>
      <c r="W770" s="269">
        <f t="shared" si="160"/>
        <v>48940.357254492585</v>
      </c>
      <c r="X770" s="257">
        <f t="shared" si="161"/>
        <v>48940.357254492585</v>
      </c>
      <c r="Y770" s="270">
        <f>IF(L770="Complex",(INDEX('Escalators '!$M$176:$S$176,MATCH('Forecast capex'!J770,'Escalators '!$M$178:$S$178,0))/12+1)^((K770-J770)*12)-1,0)</f>
        <v>0</v>
      </c>
      <c r="Z770" s="257">
        <f t="shared" si="162"/>
        <v>0</v>
      </c>
      <c r="AA770" s="257">
        <f t="shared" si="163"/>
        <v>0</v>
      </c>
      <c r="AB770" s="269">
        <f t="shared" si="164"/>
        <v>0</v>
      </c>
      <c r="AC770" s="269">
        <f t="shared" si="165"/>
        <v>0</v>
      </c>
      <c r="AD770" s="271" t="str">
        <f>INDEX('Global inputs'!$C$134:$C$171,MATCH(F770,'Global inputs'!$B$134:$B$171,0))</f>
        <v>Asset replacement and renewal</v>
      </c>
      <c r="AE770" s="272">
        <f>IF(OR(H770='Operating leases'!$B$32,H770='Operating leases'!$B$33),"",INDEX('Global inputs'!$C$186:$C$243,MATCH(E770,'Global inputs'!$B$186:$B$243,0)))</f>
        <v>0.08</v>
      </c>
    </row>
    <row r="771" spans="1:31" s="27" customFormat="1" x14ac:dyDescent="0.2">
      <c r="A771" s="250"/>
      <c r="B771" s="210" t="s">
        <v>742</v>
      </c>
      <c r="C771" s="210" t="s">
        <v>285</v>
      </c>
      <c r="D771" s="210" t="s">
        <v>223</v>
      </c>
      <c r="E771" s="210" t="s">
        <v>134</v>
      </c>
      <c r="F771" s="210" t="s">
        <v>108</v>
      </c>
      <c r="G771" s="210" t="s">
        <v>726</v>
      </c>
      <c r="H771" s="197">
        <v>0</v>
      </c>
      <c r="I771" s="210" t="s">
        <v>221</v>
      </c>
      <c r="J771" s="210">
        <v>2022</v>
      </c>
      <c r="K771" s="210">
        <v>2022</v>
      </c>
      <c r="L771" s="268" t="str">
        <f t="shared" si="153"/>
        <v>Simple</v>
      </c>
      <c r="M771" s="197">
        <v>71919.75</v>
      </c>
      <c r="N771" s="197">
        <v>0</v>
      </c>
      <c r="O771" s="257">
        <f>IF(ISNA(MATCH(H771,'Operating leases'!$B$32:$B$43,0)),0,INDEX('Operating leases'!$M$32:$S$43,MATCH(H771,'Operating leases'!$B$32:$B$43,0),MATCH(J771,'Operating leases'!$M$11:$S$11,0)))</f>
        <v>0</v>
      </c>
      <c r="P771" s="257">
        <f t="shared" si="154"/>
        <v>71919.75</v>
      </c>
      <c r="Q771" s="257">
        <f t="shared" si="155"/>
        <v>71919.75</v>
      </c>
      <c r="R771" s="258">
        <f>INDEX('Escalators '!$M$124:$S$129,MATCH(I771,'Escalators '!$B$124:$B$129,0),MATCH(J771,'Escalators '!$M$113:$S$113,0))</f>
        <v>1.0272672933956697</v>
      </c>
      <c r="S771" s="257">
        <f t="shared" si="156"/>
        <v>0</v>
      </c>
      <c r="T771" s="257">
        <f t="shared" si="157"/>
        <v>0</v>
      </c>
      <c r="U771" s="269">
        <f t="shared" si="158"/>
        <v>73880.80692419321</v>
      </c>
      <c r="V771" s="269">
        <f t="shared" si="159"/>
        <v>73880.80692419321</v>
      </c>
      <c r="W771" s="269">
        <f t="shared" si="160"/>
        <v>73880.80692419321</v>
      </c>
      <c r="X771" s="257">
        <f t="shared" si="161"/>
        <v>73880.80692419321</v>
      </c>
      <c r="Y771" s="270">
        <f>IF(L771="Complex",(INDEX('Escalators '!$M$176:$S$176,MATCH('Forecast capex'!J771,'Escalators '!$M$178:$S$178,0))/12+1)^((K771-J771)*12)-1,0)</f>
        <v>0</v>
      </c>
      <c r="Z771" s="257">
        <f t="shared" si="162"/>
        <v>0</v>
      </c>
      <c r="AA771" s="257">
        <f t="shared" si="163"/>
        <v>0</v>
      </c>
      <c r="AB771" s="269">
        <f t="shared" si="164"/>
        <v>0</v>
      </c>
      <c r="AC771" s="269">
        <f t="shared" si="165"/>
        <v>0</v>
      </c>
      <c r="AD771" s="271" t="str">
        <f>INDEX('Global inputs'!$C$134:$C$171,MATCH(F771,'Global inputs'!$B$134:$B$171,0))</f>
        <v>Asset replacement and renewal</v>
      </c>
      <c r="AE771" s="272">
        <f>IF(OR(H771='Operating leases'!$B$32,H771='Operating leases'!$B$33),"",INDEX('Global inputs'!$C$186:$C$243,MATCH(E771,'Global inputs'!$B$186:$B$243,0)))</f>
        <v>0.08</v>
      </c>
    </row>
    <row r="772" spans="1:31" s="27" customFormat="1" x14ac:dyDescent="0.2">
      <c r="A772" s="250"/>
      <c r="B772" s="210" t="s">
        <v>742</v>
      </c>
      <c r="C772" s="210" t="s">
        <v>285</v>
      </c>
      <c r="D772" s="210" t="s">
        <v>223</v>
      </c>
      <c r="E772" s="210" t="s">
        <v>134</v>
      </c>
      <c r="F772" s="210" t="s">
        <v>108</v>
      </c>
      <c r="G772" s="210" t="s">
        <v>726</v>
      </c>
      <c r="H772" s="197">
        <v>0</v>
      </c>
      <c r="I772" s="210" t="s">
        <v>223</v>
      </c>
      <c r="J772" s="210">
        <v>2022</v>
      </c>
      <c r="K772" s="210">
        <v>2022</v>
      </c>
      <c r="L772" s="268" t="str">
        <f t="shared" si="153"/>
        <v>Simple</v>
      </c>
      <c r="M772" s="197">
        <v>30822.75</v>
      </c>
      <c r="N772" s="197">
        <v>0</v>
      </c>
      <c r="O772" s="257">
        <f>IF(ISNA(MATCH(H772,'Operating leases'!$B$32:$B$43,0)),0,INDEX('Operating leases'!$M$32:$S$43,MATCH(H772,'Operating leases'!$B$32:$B$43,0),MATCH(J772,'Operating leases'!$M$11:$S$11,0)))</f>
        <v>0</v>
      </c>
      <c r="P772" s="257">
        <f t="shared" si="154"/>
        <v>30822.75</v>
      </c>
      <c r="Q772" s="257">
        <f t="shared" si="155"/>
        <v>30822.75</v>
      </c>
      <c r="R772" s="258">
        <f>INDEX('Escalators '!$M$124:$S$129,MATCH(I772,'Escalators '!$B$124:$B$129,0),MATCH(J772,'Escalators '!$M$113:$S$113,0))</f>
        <v>1.0395572483145099</v>
      </c>
      <c r="S772" s="257">
        <f t="shared" si="156"/>
        <v>0</v>
      </c>
      <c r="T772" s="257">
        <f t="shared" si="157"/>
        <v>0</v>
      </c>
      <c r="U772" s="269">
        <f t="shared" si="158"/>
        <v>32042.013175486059</v>
      </c>
      <c r="V772" s="269">
        <f t="shared" si="159"/>
        <v>32042.013175486059</v>
      </c>
      <c r="W772" s="269">
        <f t="shared" si="160"/>
        <v>32042.013175486059</v>
      </c>
      <c r="X772" s="257">
        <f t="shared" si="161"/>
        <v>32042.013175486059</v>
      </c>
      <c r="Y772" s="270">
        <f>IF(L772="Complex",(INDEX('Escalators '!$M$176:$S$176,MATCH('Forecast capex'!J772,'Escalators '!$M$178:$S$178,0))/12+1)^((K772-J772)*12)-1,0)</f>
        <v>0</v>
      </c>
      <c r="Z772" s="257">
        <f t="shared" si="162"/>
        <v>0</v>
      </c>
      <c r="AA772" s="257">
        <f t="shared" si="163"/>
        <v>0</v>
      </c>
      <c r="AB772" s="269">
        <f t="shared" si="164"/>
        <v>0</v>
      </c>
      <c r="AC772" s="269">
        <f t="shared" si="165"/>
        <v>0</v>
      </c>
      <c r="AD772" s="271" t="str">
        <f>INDEX('Global inputs'!$C$134:$C$171,MATCH(F772,'Global inputs'!$B$134:$B$171,0))</f>
        <v>Asset replacement and renewal</v>
      </c>
      <c r="AE772" s="272">
        <f>IF(OR(H772='Operating leases'!$B$32,H772='Operating leases'!$B$33),"",INDEX('Global inputs'!$C$186:$C$243,MATCH(E772,'Global inputs'!$B$186:$B$243,0)))</f>
        <v>0.08</v>
      </c>
    </row>
    <row r="773" spans="1:31" s="27" customFormat="1" x14ac:dyDescent="0.2">
      <c r="A773" s="250"/>
      <c r="B773" s="210" t="s">
        <v>742</v>
      </c>
      <c r="C773" s="210" t="s">
        <v>291</v>
      </c>
      <c r="D773" s="210" t="s">
        <v>735</v>
      </c>
      <c r="E773" s="210" t="s">
        <v>175</v>
      </c>
      <c r="F773" s="210" t="s">
        <v>108</v>
      </c>
      <c r="G773" s="210" t="s">
        <v>748</v>
      </c>
      <c r="H773" s="197">
        <v>0</v>
      </c>
      <c r="I773" s="210" t="s">
        <v>221</v>
      </c>
      <c r="J773" s="210">
        <v>2022</v>
      </c>
      <c r="K773" s="210">
        <v>2022</v>
      </c>
      <c r="L773" s="268" t="str">
        <f t="shared" si="153"/>
        <v>Simple</v>
      </c>
      <c r="M773" s="197">
        <v>78204</v>
      </c>
      <c r="N773" s="197">
        <v>0</v>
      </c>
      <c r="O773" s="257">
        <f>IF(ISNA(MATCH(H773,'Operating leases'!$B$32:$B$43,0)),0,INDEX('Operating leases'!$M$32:$S$43,MATCH(H773,'Operating leases'!$B$32:$B$43,0),MATCH(J773,'Operating leases'!$M$11:$S$11,0)))</f>
        <v>0</v>
      </c>
      <c r="P773" s="257">
        <f t="shared" si="154"/>
        <v>78204</v>
      </c>
      <c r="Q773" s="257">
        <f t="shared" si="155"/>
        <v>78204</v>
      </c>
      <c r="R773" s="258">
        <f>INDEX('Escalators '!$M$124:$S$129,MATCH(I773,'Escalators '!$B$124:$B$129,0),MATCH(J773,'Escalators '!$M$113:$S$113,0))</f>
        <v>1.0272672933956697</v>
      </c>
      <c r="S773" s="257">
        <f t="shared" si="156"/>
        <v>0</v>
      </c>
      <c r="T773" s="257">
        <f t="shared" si="157"/>
        <v>0</v>
      </c>
      <c r="U773" s="269">
        <f t="shared" si="158"/>
        <v>80336.411412714951</v>
      </c>
      <c r="V773" s="269">
        <f t="shared" si="159"/>
        <v>80336.411412714951</v>
      </c>
      <c r="W773" s="269">
        <f t="shared" si="160"/>
        <v>80336.411412714951</v>
      </c>
      <c r="X773" s="257">
        <f t="shared" si="161"/>
        <v>80336.411412714951</v>
      </c>
      <c r="Y773" s="270">
        <f>IF(L773="Complex",(INDEX('Escalators '!$M$176:$S$176,MATCH('Forecast capex'!J773,'Escalators '!$M$178:$S$178,0))/12+1)^((K773-J773)*12)-1,0)</f>
        <v>0</v>
      </c>
      <c r="Z773" s="257">
        <f t="shared" si="162"/>
        <v>0</v>
      </c>
      <c r="AA773" s="257">
        <f t="shared" si="163"/>
        <v>0</v>
      </c>
      <c r="AB773" s="269">
        <f t="shared" si="164"/>
        <v>0</v>
      </c>
      <c r="AC773" s="269">
        <f t="shared" si="165"/>
        <v>0</v>
      </c>
      <c r="AD773" s="271" t="str">
        <f>INDEX('Global inputs'!$C$134:$C$171,MATCH(F773,'Global inputs'!$B$134:$B$171,0))</f>
        <v>Asset replacement and renewal</v>
      </c>
      <c r="AE773" s="272">
        <f>IF(OR(H773='Operating leases'!$B$32,H773='Operating leases'!$B$33),"",INDEX('Global inputs'!$C$186:$C$243,MATCH(E773,'Global inputs'!$B$186:$B$243,0)))</f>
        <v>0.1</v>
      </c>
    </row>
    <row r="774" spans="1:31" s="27" customFormat="1" x14ac:dyDescent="0.2">
      <c r="A774" s="250"/>
      <c r="B774" s="210" t="s">
        <v>742</v>
      </c>
      <c r="C774" s="210" t="s">
        <v>291</v>
      </c>
      <c r="D774" s="210" t="s">
        <v>735</v>
      </c>
      <c r="E774" s="210" t="s">
        <v>175</v>
      </c>
      <c r="F774" s="210" t="s">
        <v>108</v>
      </c>
      <c r="G774" s="210" t="s">
        <v>748</v>
      </c>
      <c r="H774" s="197">
        <v>0</v>
      </c>
      <c r="I774" s="210" t="s">
        <v>229</v>
      </c>
      <c r="J774" s="210">
        <v>2022</v>
      </c>
      <c r="K774" s="210">
        <v>2022</v>
      </c>
      <c r="L774" s="268" t="str">
        <f t="shared" si="153"/>
        <v>Simple</v>
      </c>
      <c r="M774" s="197">
        <v>19551</v>
      </c>
      <c r="N774" s="197">
        <v>0</v>
      </c>
      <c r="O774" s="257">
        <f>IF(ISNA(MATCH(H774,'Operating leases'!$B$32:$B$43,0)),0,INDEX('Operating leases'!$M$32:$S$43,MATCH(H774,'Operating leases'!$B$32:$B$43,0),MATCH(J774,'Operating leases'!$M$11:$S$11,0)))</f>
        <v>0</v>
      </c>
      <c r="P774" s="257">
        <f t="shared" si="154"/>
        <v>19551</v>
      </c>
      <c r="Q774" s="257">
        <f t="shared" si="155"/>
        <v>19551</v>
      </c>
      <c r="R774" s="258">
        <f>INDEX('Escalators '!$M$124:$S$129,MATCH(I774,'Escalators '!$B$124:$B$129,0),MATCH(J774,'Escalators '!$M$113:$S$113,0))</f>
        <v>1.0379818100112963</v>
      </c>
      <c r="S774" s="257">
        <f t="shared" si="156"/>
        <v>0</v>
      </c>
      <c r="T774" s="257">
        <f t="shared" si="157"/>
        <v>0</v>
      </c>
      <c r="U774" s="269">
        <f t="shared" si="158"/>
        <v>20293.582367530853</v>
      </c>
      <c r="V774" s="269">
        <f t="shared" si="159"/>
        <v>20293.582367530853</v>
      </c>
      <c r="W774" s="269">
        <f t="shared" si="160"/>
        <v>20293.582367530853</v>
      </c>
      <c r="X774" s="257">
        <f t="shared" si="161"/>
        <v>20293.582367530853</v>
      </c>
      <c r="Y774" s="270">
        <f>IF(L774="Complex",(INDEX('Escalators '!$M$176:$S$176,MATCH('Forecast capex'!J774,'Escalators '!$M$178:$S$178,0))/12+1)^((K774-J774)*12)-1,0)</f>
        <v>0</v>
      </c>
      <c r="Z774" s="257">
        <f t="shared" si="162"/>
        <v>0</v>
      </c>
      <c r="AA774" s="257">
        <f t="shared" si="163"/>
        <v>0</v>
      </c>
      <c r="AB774" s="269">
        <f t="shared" si="164"/>
        <v>0</v>
      </c>
      <c r="AC774" s="269">
        <f t="shared" si="165"/>
        <v>0</v>
      </c>
      <c r="AD774" s="271" t="str">
        <f>INDEX('Global inputs'!$C$134:$C$171,MATCH(F774,'Global inputs'!$B$134:$B$171,0))</f>
        <v>Asset replacement and renewal</v>
      </c>
      <c r="AE774" s="272">
        <f>IF(OR(H774='Operating leases'!$B$32,H774='Operating leases'!$B$33),"",INDEX('Global inputs'!$C$186:$C$243,MATCH(E774,'Global inputs'!$B$186:$B$243,0)))</f>
        <v>0.1</v>
      </c>
    </row>
    <row r="775" spans="1:31" s="27" customFormat="1" x14ac:dyDescent="0.2">
      <c r="A775" s="250"/>
      <c r="B775" s="210" t="s">
        <v>742</v>
      </c>
      <c r="C775" s="210" t="s">
        <v>286</v>
      </c>
      <c r="D775" s="210" t="s">
        <v>732</v>
      </c>
      <c r="E775" s="210" t="s">
        <v>141</v>
      </c>
      <c r="F775" s="210" t="s">
        <v>108</v>
      </c>
      <c r="G775" s="210" t="s">
        <v>734</v>
      </c>
      <c r="H775" s="197">
        <v>0</v>
      </c>
      <c r="I775" s="210" t="s">
        <v>221</v>
      </c>
      <c r="J775" s="210">
        <v>2022</v>
      </c>
      <c r="K775" s="210">
        <v>2023</v>
      </c>
      <c r="L775" s="268" t="str">
        <f t="shared" si="153"/>
        <v>Complex</v>
      </c>
      <c r="M775" s="197">
        <v>67032</v>
      </c>
      <c r="N775" s="197">
        <v>0</v>
      </c>
      <c r="O775" s="257">
        <f>IF(ISNA(MATCH(H775,'Operating leases'!$B$32:$B$43,0)),0,INDEX('Operating leases'!$M$32:$S$43,MATCH(H775,'Operating leases'!$B$32:$B$43,0),MATCH(J775,'Operating leases'!$M$11:$S$11,0)))</f>
        <v>0</v>
      </c>
      <c r="P775" s="257">
        <f t="shared" si="154"/>
        <v>67032</v>
      </c>
      <c r="Q775" s="257">
        <f t="shared" si="155"/>
        <v>67032</v>
      </c>
      <c r="R775" s="258">
        <f>INDEX('Escalators '!$M$124:$S$129,MATCH(I775,'Escalators '!$B$124:$B$129,0),MATCH(J775,'Escalators '!$M$113:$S$113,0))</f>
        <v>1.0272672933956697</v>
      </c>
      <c r="S775" s="257">
        <f t="shared" si="156"/>
        <v>0</v>
      </c>
      <c r="T775" s="257">
        <f t="shared" si="157"/>
        <v>0</v>
      </c>
      <c r="U775" s="269">
        <f t="shared" si="158"/>
        <v>68859.781210898524</v>
      </c>
      <c r="V775" s="269">
        <f t="shared" si="159"/>
        <v>68859.781210898524</v>
      </c>
      <c r="W775" s="269">
        <f t="shared" si="160"/>
        <v>68859.781210898524</v>
      </c>
      <c r="X775" s="257">
        <f t="shared" si="161"/>
        <v>68859.781210898524</v>
      </c>
      <c r="Y775" s="270">
        <f>IF(L775="Complex",(INDEX('Escalators '!$M$176:$S$176,MATCH('Forecast capex'!J775,'Escalators '!$M$178:$S$178,0))/12+1)^((K775-J775)*12)-1,0)</f>
        <v>3.5566952945970565E-2</v>
      </c>
      <c r="Z775" s="257">
        <f t="shared" si="162"/>
        <v>2384.1239898742988</v>
      </c>
      <c r="AA775" s="257">
        <f t="shared" si="163"/>
        <v>2449.1325981978557</v>
      </c>
      <c r="AB775" s="269">
        <f t="shared" si="164"/>
        <v>71308.913809096382</v>
      </c>
      <c r="AC775" s="269">
        <f t="shared" si="165"/>
        <v>71308.913809096382</v>
      </c>
      <c r="AD775" s="271" t="str">
        <f>INDEX('Global inputs'!$C$134:$C$171,MATCH(F775,'Global inputs'!$B$134:$B$171,0))</f>
        <v>Asset replacement and renewal</v>
      </c>
      <c r="AE775" s="272">
        <f>IF(OR(H775='Operating leases'!$B$32,H775='Operating leases'!$B$33),"",INDEX('Global inputs'!$C$186:$C$243,MATCH(E775,'Global inputs'!$B$186:$B$243,0)))</f>
        <v>0.08</v>
      </c>
    </row>
    <row r="776" spans="1:31" s="27" customFormat="1" x14ac:dyDescent="0.2">
      <c r="A776" s="250"/>
      <c r="B776" s="210" t="s">
        <v>742</v>
      </c>
      <c r="C776" s="210" t="s">
        <v>286</v>
      </c>
      <c r="D776" s="210" t="s">
        <v>732</v>
      </c>
      <c r="E776" s="210" t="s">
        <v>141</v>
      </c>
      <c r="F776" s="210" t="s">
        <v>108</v>
      </c>
      <c r="G776" s="210" t="s">
        <v>734</v>
      </c>
      <c r="H776" s="197">
        <v>0</v>
      </c>
      <c r="I776" s="210" t="s">
        <v>142</v>
      </c>
      <c r="J776" s="210">
        <v>2022</v>
      </c>
      <c r="K776" s="210">
        <v>2023</v>
      </c>
      <c r="L776" s="268" t="str">
        <f t="shared" si="153"/>
        <v>Complex</v>
      </c>
      <c r="M776" s="197">
        <v>268128</v>
      </c>
      <c r="N776" s="197">
        <v>0</v>
      </c>
      <c r="O776" s="257">
        <f>IF(ISNA(MATCH(H776,'Operating leases'!$B$32:$B$43,0)),0,INDEX('Operating leases'!$M$32:$S$43,MATCH(H776,'Operating leases'!$B$32:$B$43,0),MATCH(J776,'Operating leases'!$M$11:$S$11,0)))</f>
        <v>0</v>
      </c>
      <c r="P776" s="257">
        <f t="shared" si="154"/>
        <v>268128</v>
      </c>
      <c r="Q776" s="257">
        <f t="shared" si="155"/>
        <v>268128</v>
      </c>
      <c r="R776" s="258">
        <f>INDEX('Escalators '!$M$124:$S$129,MATCH(I776,'Escalators '!$B$124:$B$129,0),MATCH(J776,'Escalators '!$M$113:$S$113,0))</f>
        <v>1.0268090943455099</v>
      </c>
      <c r="S776" s="257">
        <f t="shared" si="156"/>
        <v>0</v>
      </c>
      <c r="T776" s="257">
        <f t="shared" si="157"/>
        <v>0</v>
      </c>
      <c r="U776" s="269">
        <f t="shared" si="158"/>
        <v>275316.26884867286</v>
      </c>
      <c r="V776" s="269">
        <f t="shared" si="159"/>
        <v>275316.26884867286</v>
      </c>
      <c r="W776" s="269">
        <f t="shared" si="160"/>
        <v>275316.26884867286</v>
      </c>
      <c r="X776" s="257">
        <f t="shared" si="161"/>
        <v>275316.26884867286</v>
      </c>
      <c r="Y776" s="270">
        <f>IF(L776="Complex",(INDEX('Escalators '!$M$176:$S$176,MATCH('Forecast capex'!J776,'Escalators '!$M$178:$S$178,0))/12+1)^((K776-J776)*12)-1,0)</f>
        <v>3.5566952945970565E-2</v>
      </c>
      <c r="Z776" s="257">
        <f t="shared" si="162"/>
        <v>9536.4959594971951</v>
      </c>
      <c r="AA776" s="257">
        <f t="shared" si="163"/>
        <v>9792.1607794009287</v>
      </c>
      <c r="AB776" s="269">
        <f t="shared" si="164"/>
        <v>285108.42962807376</v>
      </c>
      <c r="AC776" s="269">
        <f t="shared" si="165"/>
        <v>285108.42962807376</v>
      </c>
      <c r="AD776" s="271" t="str">
        <f>INDEX('Global inputs'!$C$134:$C$171,MATCH(F776,'Global inputs'!$B$134:$B$171,0))</f>
        <v>Asset replacement and renewal</v>
      </c>
      <c r="AE776" s="272">
        <f>IF(OR(H776='Operating leases'!$B$32,H776='Operating leases'!$B$33),"",INDEX('Global inputs'!$C$186:$C$243,MATCH(E776,'Global inputs'!$B$186:$B$243,0)))</f>
        <v>0.08</v>
      </c>
    </row>
    <row r="777" spans="1:31" s="27" customFormat="1" x14ac:dyDescent="0.2">
      <c r="A777" s="250"/>
      <c r="B777" s="210" t="s">
        <v>742</v>
      </c>
      <c r="C777" s="210" t="s">
        <v>286</v>
      </c>
      <c r="D777" s="210" t="s">
        <v>732</v>
      </c>
      <c r="E777" s="210" t="s">
        <v>143</v>
      </c>
      <c r="F777" s="210" t="s">
        <v>108</v>
      </c>
      <c r="G777" s="210" t="s">
        <v>734</v>
      </c>
      <c r="H777" s="197">
        <v>0</v>
      </c>
      <c r="I777" s="210" t="s">
        <v>221</v>
      </c>
      <c r="J777" s="210">
        <v>2022</v>
      </c>
      <c r="K777" s="210">
        <v>2023</v>
      </c>
      <c r="L777" s="268" t="str">
        <f t="shared" si="153"/>
        <v>Complex</v>
      </c>
      <c r="M777" s="197">
        <v>12654</v>
      </c>
      <c r="N777" s="197">
        <v>0</v>
      </c>
      <c r="O777" s="257">
        <f>IF(ISNA(MATCH(H777,'Operating leases'!$B$32:$B$43,0)),0,INDEX('Operating leases'!$M$32:$S$43,MATCH(H777,'Operating leases'!$B$32:$B$43,0),MATCH(J777,'Operating leases'!$M$11:$S$11,0)))</f>
        <v>0</v>
      </c>
      <c r="P777" s="257">
        <f t="shared" si="154"/>
        <v>12654</v>
      </c>
      <c r="Q777" s="257">
        <f t="shared" si="155"/>
        <v>12654</v>
      </c>
      <c r="R777" s="258">
        <f>INDEX('Escalators '!$M$124:$S$129,MATCH(I777,'Escalators '!$B$124:$B$129,0),MATCH(J777,'Escalators '!$M$113:$S$113,0))</f>
        <v>1.0272672933956697</v>
      </c>
      <c r="S777" s="257">
        <f t="shared" si="156"/>
        <v>0</v>
      </c>
      <c r="T777" s="257">
        <f t="shared" si="157"/>
        <v>0</v>
      </c>
      <c r="U777" s="269">
        <f t="shared" si="158"/>
        <v>12999.040330628804</v>
      </c>
      <c r="V777" s="269">
        <f t="shared" si="159"/>
        <v>12999.040330628804</v>
      </c>
      <c r="W777" s="269">
        <f t="shared" si="160"/>
        <v>12999.040330628804</v>
      </c>
      <c r="X777" s="257">
        <f t="shared" si="161"/>
        <v>12999.040330628804</v>
      </c>
      <c r="Y777" s="270">
        <f>IF(L777="Complex",(INDEX('Escalators '!$M$176:$S$176,MATCH('Forecast capex'!J777,'Escalators '!$M$178:$S$178,0))/12+1)^((K777-J777)*12)-1,0)</f>
        <v>3.5566952945970565E-2</v>
      </c>
      <c r="Z777" s="257">
        <f t="shared" si="162"/>
        <v>450.0642225783115</v>
      </c>
      <c r="AA777" s="257">
        <f t="shared" si="163"/>
        <v>462.33625578224832</v>
      </c>
      <c r="AB777" s="269">
        <f t="shared" si="164"/>
        <v>13461.376586411052</v>
      </c>
      <c r="AC777" s="269">
        <f t="shared" si="165"/>
        <v>13461.376586411052</v>
      </c>
      <c r="AD777" s="271" t="str">
        <f>INDEX('Global inputs'!$C$134:$C$171,MATCH(F777,'Global inputs'!$B$134:$B$171,0))</f>
        <v>Asset replacement and renewal</v>
      </c>
      <c r="AE777" s="272">
        <f>IF(OR(H777='Operating leases'!$B$32,H777='Operating leases'!$B$33),"",INDEX('Global inputs'!$C$186:$C$243,MATCH(E777,'Global inputs'!$B$186:$B$243,0)))</f>
        <v>0.08</v>
      </c>
    </row>
    <row r="778" spans="1:31" s="27" customFormat="1" x14ac:dyDescent="0.2">
      <c r="A778" s="250"/>
      <c r="B778" s="210" t="s">
        <v>742</v>
      </c>
      <c r="C778" s="210" t="s">
        <v>286</v>
      </c>
      <c r="D778" s="210" t="s">
        <v>732</v>
      </c>
      <c r="E778" s="210" t="s">
        <v>143</v>
      </c>
      <c r="F778" s="210" t="s">
        <v>108</v>
      </c>
      <c r="G778" s="210" t="s">
        <v>734</v>
      </c>
      <c r="H778" s="197">
        <v>0</v>
      </c>
      <c r="I778" s="210" t="s">
        <v>142</v>
      </c>
      <c r="J778" s="210">
        <v>2022</v>
      </c>
      <c r="K778" s="210">
        <v>2023</v>
      </c>
      <c r="L778" s="268" t="str">
        <f t="shared" ref="L778:L841" si="166">IF(J778=K778,"Simple","Complex")</f>
        <v>Complex</v>
      </c>
      <c r="M778" s="197">
        <v>50616</v>
      </c>
      <c r="N778" s="197">
        <v>0</v>
      </c>
      <c r="O778" s="257">
        <f>IF(ISNA(MATCH(H778,'Operating leases'!$B$32:$B$43,0)),0,INDEX('Operating leases'!$M$32:$S$43,MATCH(H778,'Operating leases'!$B$32:$B$43,0),MATCH(J778,'Operating leases'!$M$11:$S$11,0)))</f>
        <v>0</v>
      </c>
      <c r="P778" s="257">
        <f t="shared" ref="P778:P841" si="167">O778+M778</f>
        <v>50616</v>
      </c>
      <c r="Q778" s="257">
        <f t="shared" ref="Q778:Q841" si="168">M778+N778+O778</f>
        <v>50616</v>
      </c>
      <c r="R778" s="258">
        <f>INDEX('Escalators '!$M$124:$S$129,MATCH(I778,'Escalators '!$B$124:$B$129,0),MATCH(J778,'Escalators '!$M$113:$S$113,0))</f>
        <v>1.0268090943455099</v>
      </c>
      <c r="S778" s="257">
        <f t="shared" ref="S778:S841" si="169">O778*R778</f>
        <v>0</v>
      </c>
      <c r="T778" s="257">
        <f t="shared" ref="T778:T841" si="170">N778*R778</f>
        <v>0</v>
      </c>
      <c r="U778" s="269">
        <f t="shared" ref="U778:U841" si="171">W778-S778</f>
        <v>51972.969119392328</v>
      </c>
      <c r="V778" s="269">
        <f t="shared" ref="V778:V841" si="172">U778+T778</f>
        <v>51972.969119392328</v>
      </c>
      <c r="W778" s="269">
        <f t="shared" ref="W778:W841" si="173">X778-T778</f>
        <v>51972.969119392328</v>
      </c>
      <c r="X778" s="257">
        <f t="shared" ref="X778:X841" si="174">Q778*R778</f>
        <v>51972.969119392328</v>
      </c>
      <c r="Y778" s="270">
        <f>IF(L778="Complex",(INDEX('Escalators '!$M$176:$S$176,MATCH('Forecast capex'!J778,'Escalators '!$M$178:$S$178,0))/12+1)^((K778-J778)*12)-1,0)</f>
        <v>3.5566952945970565E-2</v>
      </c>
      <c r="Z778" s="257">
        <f t="shared" ref="Z778:Z841" si="175">P778*Y778</f>
        <v>1800.256890313246</v>
      </c>
      <c r="AA778" s="257">
        <f t="shared" ref="AA778:AA841" si="176">W778*Y778</f>
        <v>1848.5201471318082</v>
      </c>
      <c r="AB778" s="269">
        <f t="shared" ref="AB778:AB841" si="177">IF(L778="Complex",AC778-T778,0)</f>
        <v>53821.489266524135</v>
      </c>
      <c r="AC778" s="269">
        <f t="shared" ref="AC778:AC841" si="178">IF(L778="Complex",V778+AA778,0)</f>
        <v>53821.489266524135</v>
      </c>
      <c r="AD778" s="271" t="str">
        <f>INDEX('Global inputs'!$C$134:$C$171,MATCH(F778,'Global inputs'!$B$134:$B$171,0))</f>
        <v>Asset replacement and renewal</v>
      </c>
      <c r="AE778" s="272">
        <f>IF(OR(H778='Operating leases'!$B$32,H778='Operating leases'!$B$33),"",INDEX('Global inputs'!$C$186:$C$243,MATCH(E778,'Global inputs'!$B$186:$B$243,0)))</f>
        <v>0.08</v>
      </c>
    </row>
    <row r="779" spans="1:31" s="27" customFormat="1" x14ac:dyDescent="0.2">
      <c r="A779" s="250"/>
      <c r="B779" s="210" t="s">
        <v>742</v>
      </c>
      <c r="C779" s="210" t="s">
        <v>286</v>
      </c>
      <c r="D779" s="210" t="s">
        <v>735</v>
      </c>
      <c r="E779" s="210" t="s">
        <v>144</v>
      </c>
      <c r="F779" s="210" t="s">
        <v>108</v>
      </c>
      <c r="G779" s="210" t="s">
        <v>736</v>
      </c>
      <c r="H779" s="197">
        <v>0</v>
      </c>
      <c r="I779" s="210" t="s">
        <v>221</v>
      </c>
      <c r="J779" s="210">
        <v>2022</v>
      </c>
      <c r="K779" s="210">
        <v>2023</v>
      </c>
      <c r="L779" s="268" t="str">
        <f t="shared" si="166"/>
        <v>Complex</v>
      </c>
      <c r="M779" s="197">
        <v>164160</v>
      </c>
      <c r="N779" s="197">
        <v>0</v>
      </c>
      <c r="O779" s="257">
        <f>IF(ISNA(MATCH(H779,'Operating leases'!$B$32:$B$43,0)),0,INDEX('Operating leases'!$M$32:$S$43,MATCH(H779,'Operating leases'!$B$32:$B$43,0),MATCH(J779,'Operating leases'!$M$11:$S$11,0)))</f>
        <v>0</v>
      </c>
      <c r="P779" s="257">
        <f t="shared" si="167"/>
        <v>164160</v>
      </c>
      <c r="Q779" s="257">
        <f t="shared" si="168"/>
        <v>164160</v>
      </c>
      <c r="R779" s="258">
        <f>INDEX('Escalators '!$M$124:$S$129,MATCH(I779,'Escalators '!$B$124:$B$129,0),MATCH(J779,'Escalators '!$M$113:$S$113,0))</f>
        <v>1.0272672933956697</v>
      </c>
      <c r="S779" s="257">
        <f t="shared" si="169"/>
        <v>0</v>
      </c>
      <c r="T779" s="257">
        <f t="shared" si="170"/>
        <v>0</v>
      </c>
      <c r="U779" s="269">
        <f t="shared" si="171"/>
        <v>168636.19888383313</v>
      </c>
      <c r="V779" s="269">
        <f t="shared" si="172"/>
        <v>168636.19888383313</v>
      </c>
      <c r="W779" s="269">
        <f t="shared" si="173"/>
        <v>168636.19888383313</v>
      </c>
      <c r="X779" s="257">
        <f t="shared" si="174"/>
        <v>168636.19888383313</v>
      </c>
      <c r="Y779" s="270">
        <f>IF(L779="Complex",(INDEX('Escalators '!$M$176:$S$176,MATCH('Forecast capex'!J779,'Escalators '!$M$178:$S$178,0))/12+1)^((K779-J779)*12)-1,0)</f>
        <v>3.5566952945970565E-2</v>
      </c>
      <c r="Z779" s="257">
        <f t="shared" si="175"/>
        <v>5838.6709956105278</v>
      </c>
      <c r="AA779" s="257">
        <f t="shared" si="176"/>
        <v>5997.8757506886268</v>
      </c>
      <c r="AB779" s="269">
        <f t="shared" si="177"/>
        <v>174634.07463452176</v>
      </c>
      <c r="AC779" s="269">
        <f t="shared" si="178"/>
        <v>174634.07463452176</v>
      </c>
      <c r="AD779" s="271" t="str">
        <f>INDEX('Global inputs'!$C$134:$C$171,MATCH(F779,'Global inputs'!$B$134:$B$171,0))</f>
        <v>Asset replacement and renewal</v>
      </c>
      <c r="AE779" s="272">
        <f>IF(OR(H779='Operating leases'!$B$32,H779='Operating leases'!$B$33),"",INDEX('Global inputs'!$C$186:$C$243,MATCH(E779,'Global inputs'!$B$186:$B$243,0)))</f>
        <v>0.08</v>
      </c>
    </row>
    <row r="780" spans="1:31" s="27" customFormat="1" x14ac:dyDescent="0.2">
      <c r="A780" s="250"/>
      <c r="B780" s="210" t="s">
        <v>742</v>
      </c>
      <c r="C780" s="210" t="s">
        <v>286</v>
      </c>
      <c r="D780" s="210" t="s">
        <v>735</v>
      </c>
      <c r="E780" s="210" t="s">
        <v>144</v>
      </c>
      <c r="F780" s="210" t="s">
        <v>108</v>
      </c>
      <c r="G780" s="210" t="s">
        <v>736</v>
      </c>
      <c r="H780" s="197">
        <v>0</v>
      </c>
      <c r="I780" s="210" t="s">
        <v>229</v>
      </c>
      <c r="J780" s="210">
        <v>2022</v>
      </c>
      <c r="K780" s="210">
        <v>2023</v>
      </c>
      <c r="L780" s="268" t="str">
        <f t="shared" si="166"/>
        <v>Complex</v>
      </c>
      <c r="M780" s="197">
        <v>41040</v>
      </c>
      <c r="N780" s="197">
        <v>0</v>
      </c>
      <c r="O780" s="257">
        <f>IF(ISNA(MATCH(H780,'Operating leases'!$B$32:$B$43,0)),0,INDEX('Operating leases'!$M$32:$S$43,MATCH(H780,'Operating leases'!$B$32:$B$43,0),MATCH(J780,'Operating leases'!$M$11:$S$11,0)))</f>
        <v>0</v>
      </c>
      <c r="P780" s="257">
        <f t="shared" si="167"/>
        <v>41040</v>
      </c>
      <c r="Q780" s="257">
        <f t="shared" si="168"/>
        <v>41040</v>
      </c>
      <c r="R780" s="258">
        <f>INDEX('Escalators '!$M$124:$S$129,MATCH(I780,'Escalators '!$B$124:$B$129,0),MATCH(J780,'Escalators '!$M$113:$S$113,0))</f>
        <v>1.0379818100112963</v>
      </c>
      <c r="S780" s="257">
        <f t="shared" si="169"/>
        <v>0</v>
      </c>
      <c r="T780" s="257">
        <f t="shared" si="170"/>
        <v>0</v>
      </c>
      <c r="U780" s="269">
        <f t="shared" si="171"/>
        <v>42598.773482863602</v>
      </c>
      <c r="V780" s="269">
        <f t="shared" si="172"/>
        <v>42598.773482863602</v>
      </c>
      <c r="W780" s="269">
        <f t="shared" si="173"/>
        <v>42598.773482863602</v>
      </c>
      <c r="X780" s="257">
        <f t="shared" si="174"/>
        <v>42598.773482863602</v>
      </c>
      <c r="Y780" s="270">
        <f>IF(L780="Complex",(INDEX('Escalators '!$M$176:$S$176,MATCH('Forecast capex'!J780,'Escalators '!$M$178:$S$178,0))/12+1)^((K780-J780)*12)-1,0)</f>
        <v>3.5566952945970565E-2</v>
      </c>
      <c r="Z780" s="257">
        <f t="shared" si="175"/>
        <v>1459.667748902632</v>
      </c>
      <c r="AA780" s="257">
        <f t="shared" si="176"/>
        <v>1515.1085720210683</v>
      </c>
      <c r="AB780" s="269">
        <f t="shared" si="177"/>
        <v>44113.882054884671</v>
      </c>
      <c r="AC780" s="269">
        <f t="shared" si="178"/>
        <v>44113.882054884671</v>
      </c>
      <c r="AD780" s="271" t="str">
        <f>INDEX('Global inputs'!$C$134:$C$171,MATCH(F780,'Global inputs'!$B$134:$B$171,0))</f>
        <v>Asset replacement and renewal</v>
      </c>
      <c r="AE780" s="272">
        <f>IF(OR(H780='Operating leases'!$B$32,H780='Operating leases'!$B$33),"",INDEX('Global inputs'!$C$186:$C$243,MATCH(E780,'Global inputs'!$B$186:$B$243,0)))</f>
        <v>0.08</v>
      </c>
    </row>
    <row r="781" spans="1:31" s="27" customFormat="1" x14ac:dyDescent="0.2">
      <c r="A781" s="250"/>
      <c r="B781" s="210" t="s">
        <v>742</v>
      </c>
      <c r="C781" s="210" t="s">
        <v>286</v>
      </c>
      <c r="D781" s="210" t="s">
        <v>732</v>
      </c>
      <c r="E781" s="210" t="s">
        <v>141</v>
      </c>
      <c r="F781" s="210" t="s">
        <v>108</v>
      </c>
      <c r="G781" s="210" t="s">
        <v>734</v>
      </c>
      <c r="H781" s="197">
        <v>0</v>
      </c>
      <c r="I781" s="210" t="s">
        <v>221</v>
      </c>
      <c r="J781" s="210">
        <v>2022</v>
      </c>
      <c r="K781" s="210">
        <v>2023</v>
      </c>
      <c r="L781" s="268" t="str">
        <f t="shared" si="166"/>
        <v>Complex</v>
      </c>
      <c r="M781" s="197">
        <v>47880</v>
      </c>
      <c r="N781" s="197">
        <v>0</v>
      </c>
      <c r="O781" s="257">
        <f>IF(ISNA(MATCH(H781,'Operating leases'!$B$32:$B$43,0)),0,INDEX('Operating leases'!$M$32:$S$43,MATCH(H781,'Operating leases'!$B$32:$B$43,0),MATCH(J781,'Operating leases'!$M$11:$S$11,0)))</f>
        <v>0</v>
      </c>
      <c r="P781" s="257">
        <f t="shared" si="167"/>
        <v>47880</v>
      </c>
      <c r="Q781" s="257">
        <f t="shared" si="168"/>
        <v>47880</v>
      </c>
      <c r="R781" s="258">
        <f>INDEX('Escalators '!$M$124:$S$129,MATCH(I781,'Escalators '!$B$124:$B$129,0),MATCH(J781,'Escalators '!$M$113:$S$113,0))</f>
        <v>1.0272672933956697</v>
      </c>
      <c r="S781" s="257">
        <f t="shared" si="169"/>
        <v>0</v>
      </c>
      <c r="T781" s="257">
        <f t="shared" si="170"/>
        <v>0</v>
      </c>
      <c r="U781" s="269">
        <f t="shared" si="171"/>
        <v>49185.558007784668</v>
      </c>
      <c r="V781" s="269">
        <f t="shared" si="172"/>
        <v>49185.558007784668</v>
      </c>
      <c r="W781" s="269">
        <f t="shared" si="173"/>
        <v>49185.558007784668</v>
      </c>
      <c r="X781" s="257">
        <f t="shared" si="174"/>
        <v>49185.558007784668</v>
      </c>
      <c r="Y781" s="270">
        <f>IF(L781="Complex",(INDEX('Escalators '!$M$176:$S$176,MATCH('Forecast capex'!J781,'Escalators '!$M$178:$S$178,0))/12+1)^((K781-J781)*12)-1,0)</f>
        <v>3.5566952945970565E-2</v>
      </c>
      <c r="Z781" s="257">
        <f t="shared" si="175"/>
        <v>1702.9457070530707</v>
      </c>
      <c r="AA781" s="257">
        <f t="shared" si="176"/>
        <v>1749.380427284183</v>
      </c>
      <c r="AB781" s="269">
        <f t="shared" si="177"/>
        <v>50934.938435068849</v>
      </c>
      <c r="AC781" s="269">
        <f t="shared" si="178"/>
        <v>50934.938435068849</v>
      </c>
      <c r="AD781" s="271" t="str">
        <f>INDEX('Global inputs'!$C$134:$C$171,MATCH(F781,'Global inputs'!$B$134:$B$171,0))</f>
        <v>Asset replacement and renewal</v>
      </c>
      <c r="AE781" s="272">
        <f>IF(OR(H781='Operating leases'!$B$32,H781='Operating leases'!$B$33),"",INDEX('Global inputs'!$C$186:$C$243,MATCH(E781,'Global inputs'!$B$186:$B$243,0)))</f>
        <v>0.08</v>
      </c>
    </row>
    <row r="782" spans="1:31" s="27" customFormat="1" x14ac:dyDescent="0.2">
      <c r="A782" s="250"/>
      <c r="B782" s="210" t="s">
        <v>742</v>
      </c>
      <c r="C782" s="210" t="s">
        <v>286</v>
      </c>
      <c r="D782" s="210" t="s">
        <v>732</v>
      </c>
      <c r="E782" s="210" t="s">
        <v>141</v>
      </c>
      <c r="F782" s="210" t="s">
        <v>108</v>
      </c>
      <c r="G782" s="210" t="s">
        <v>734</v>
      </c>
      <c r="H782" s="197">
        <v>0</v>
      </c>
      <c r="I782" s="210" t="s">
        <v>142</v>
      </c>
      <c r="J782" s="210">
        <v>2022</v>
      </c>
      <c r="K782" s="210">
        <v>2023</v>
      </c>
      <c r="L782" s="268" t="str">
        <f t="shared" si="166"/>
        <v>Complex</v>
      </c>
      <c r="M782" s="197">
        <v>191520</v>
      </c>
      <c r="N782" s="197">
        <v>0</v>
      </c>
      <c r="O782" s="257">
        <f>IF(ISNA(MATCH(H782,'Operating leases'!$B$32:$B$43,0)),0,INDEX('Operating leases'!$M$32:$S$43,MATCH(H782,'Operating leases'!$B$32:$B$43,0),MATCH(J782,'Operating leases'!$M$11:$S$11,0)))</f>
        <v>0</v>
      </c>
      <c r="P782" s="257">
        <f t="shared" si="167"/>
        <v>191520</v>
      </c>
      <c r="Q782" s="257">
        <f t="shared" si="168"/>
        <v>191520</v>
      </c>
      <c r="R782" s="258">
        <f>INDEX('Escalators '!$M$124:$S$129,MATCH(I782,'Escalators '!$B$124:$B$129,0),MATCH(J782,'Escalators '!$M$113:$S$113,0))</f>
        <v>1.0268090943455099</v>
      </c>
      <c r="S782" s="257">
        <f t="shared" si="169"/>
        <v>0</v>
      </c>
      <c r="T782" s="257">
        <f t="shared" si="170"/>
        <v>0</v>
      </c>
      <c r="U782" s="269">
        <f t="shared" si="171"/>
        <v>196654.47774905205</v>
      </c>
      <c r="V782" s="269">
        <f t="shared" si="172"/>
        <v>196654.47774905205</v>
      </c>
      <c r="W782" s="269">
        <f t="shared" si="173"/>
        <v>196654.47774905205</v>
      </c>
      <c r="X782" s="257">
        <f t="shared" si="174"/>
        <v>196654.47774905205</v>
      </c>
      <c r="Y782" s="270">
        <f>IF(L782="Complex",(INDEX('Escalators '!$M$176:$S$176,MATCH('Forecast capex'!J782,'Escalators '!$M$178:$S$178,0))/12+1)^((K782-J782)*12)-1,0)</f>
        <v>3.5566952945970565E-2</v>
      </c>
      <c r="Z782" s="257">
        <f t="shared" si="175"/>
        <v>6811.7828282122828</v>
      </c>
      <c r="AA782" s="257">
        <f t="shared" si="176"/>
        <v>6994.4005567149497</v>
      </c>
      <c r="AB782" s="269">
        <f t="shared" si="177"/>
        <v>203648.87830576699</v>
      </c>
      <c r="AC782" s="269">
        <f t="shared" si="178"/>
        <v>203648.87830576699</v>
      </c>
      <c r="AD782" s="271" t="str">
        <f>INDEX('Global inputs'!$C$134:$C$171,MATCH(F782,'Global inputs'!$B$134:$B$171,0))</f>
        <v>Asset replacement and renewal</v>
      </c>
      <c r="AE782" s="272">
        <f>IF(OR(H782='Operating leases'!$B$32,H782='Operating leases'!$B$33),"",INDEX('Global inputs'!$C$186:$C$243,MATCH(E782,'Global inputs'!$B$186:$B$243,0)))</f>
        <v>0.08</v>
      </c>
    </row>
    <row r="783" spans="1:31" s="27" customFormat="1" x14ac:dyDescent="0.2">
      <c r="A783" s="250"/>
      <c r="B783" s="210" t="s">
        <v>742</v>
      </c>
      <c r="C783" s="210" t="s">
        <v>286</v>
      </c>
      <c r="D783" s="210" t="s">
        <v>732</v>
      </c>
      <c r="E783" s="210" t="s">
        <v>143</v>
      </c>
      <c r="F783" s="210" t="s">
        <v>108</v>
      </c>
      <c r="G783" s="210" t="s">
        <v>734</v>
      </c>
      <c r="H783" s="197">
        <v>0</v>
      </c>
      <c r="I783" s="210" t="s">
        <v>221</v>
      </c>
      <c r="J783" s="210">
        <v>2022</v>
      </c>
      <c r="K783" s="210">
        <v>2023</v>
      </c>
      <c r="L783" s="268" t="str">
        <f t="shared" si="166"/>
        <v>Complex</v>
      </c>
      <c r="M783" s="197">
        <v>59052</v>
      </c>
      <c r="N783" s="197">
        <v>0</v>
      </c>
      <c r="O783" s="257">
        <f>IF(ISNA(MATCH(H783,'Operating leases'!$B$32:$B$43,0)),0,INDEX('Operating leases'!$M$32:$S$43,MATCH(H783,'Operating leases'!$B$32:$B$43,0),MATCH(J783,'Operating leases'!$M$11:$S$11,0)))</f>
        <v>0</v>
      </c>
      <c r="P783" s="257">
        <f t="shared" si="167"/>
        <v>59052</v>
      </c>
      <c r="Q783" s="257">
        <f t="shared" si="168"/>
        <v>59052</v>
      </c>
      <c r="R783" s="258">
        <f>INDEX('Escalators '!$M$124:$S$129,MATCH(I783,'Escalators '!$B$124:$B$129,0),MATCH(J783,'Escalators '!$M$113:$S$113,0))</f>
        <v>1.0272672933956697</v>
      </c>
      <c r="S783" s="257">
        <f t="shared" si="169"/>
        <v>0</v>
      </c>
      <c r="T783" s="257">
        <f t="shared" si="170"/>
        <v>0</v>
      </c>
      <c r="U783" s="269">
        <f t="shared" si="171"/>
        <v>60662.188209601089</v>
      </c>
      <c r="V783" s="269">
        <f t="shared" si="172"/>
        <v>60662.188209601089</v>
      </c>
      <c r="W783" s="269">
        <f t="shared" si="173"/>
        <v>60662.188209601089</v>
      </c>
      <c r="X783" s="257">
        <f t="shared" si="174"/>
        <v>60662.188209601089</v>
      </c>
      <c r="Y783" s="270">
        <f>IF(L783="Complex",(INDEX('Escalators '!$M$176:$S$176,MATCH('Forecast capex'!J783,'Escalators '!$M$178:$S$178,0))/12+1)^((K783-J783)*12)-1,0)</f>
        <v>3.5566952945970565E-2</v>
      </c>
      <c r="Z783" s="257">
        <f t="shared" si="175"/>
        <v>2100.299705365454</v>
      </c>
      <c r="AA783" s="257">
        <f t="shared" si="176"/>
        <v>2157.5691936504923</v>
      </c>
      <c r="AB783" s="269">
        <f t="shared" si="177"/>
        <v>62819.757403251584</v>
      </c>
      <c r="AC783" s="269">
        <f t="shared" si="178"/>
        <v>62819.757403251584</v>
      </c>
      <c r="AD783" s="271" t="str">
        <f>INDEX('Global inputs'!$C$134:$C$171,MATCH(F783,'Global inputs'!$B$134:$B$171,0))</f>
        <v>Asset replacement and renewal</v>
      </c>
      <c r="AE783" s="272">
        <f>IF(OR(H783='Operating leases'!$B$32,H783='Operating leases'!$B$33),"",INDEX('Global inputs'!$C$186:$C$243,MATCH(E783,'Global inputs'!$B$186:$B$243,0)))</f>
        <v>0.08</v>
      </c>
    </row>
    <row r="784" spans="1:31" s="27" customFormat="1" x14ac:dyDescent="0.2">
      <c r="A784" s="250"/>
      <c r="B784" s="210" t="s">
        <v>742</v>
      </c>
      <c r="C784" s="210" t="s">
        <v>286</v>
      </c>
      <c r="D784" s="210" t="s">
        <v>732</v>
      </c>
      <c r="E784" s="210" t="s">
        <v>143</v>
      </c>
      <c r="F784" s="210" t="s">
        <v>108</v>
      </c>
      <c r="G784" s="210" t="s">
        <v>734</v>
      </c>
      <c r="H784" s="197">
        <v>0</v>
      </c>
      <c r="I784" s="210" t="s">
        <v>142</v>
      </c>
      <c r="J784" s="210">
        <v>2022</v>
      </c>
      <c r="K784" s="210">
        <v>2023</v>
      </c>
      <c r="L784" s="268" t="str">
        <f t="shared" si="166"/>
        <v>Complex</v>
      </c>
      <c r="M784" s="197">
        <v>236208</v>
      </c>
      <c r="N784" s="197">
        <v>0</v>
      </c>
      <c r="O784" s="257">
        <f>IF(ISNA(MATCH(H784,'Operating leases'!$B$32:$B$43,0)),0,INDEX('Operating leases'!$M$32:$S$43,MATCH(H784,'Operating leases'!$B$32:$B$43,0),MATCH(J784,'Operating leases'!$M$11:$S$11,0)))</f>
        <v>0</v>
      </c>
      <c r="P784" s="257">
        <f t="shared" si="167"/>
        <v>236208</v>
      </c>
      <c r="Q784" s="257">
        <f t="shared" si="168"/>
        <v>236208</v>
      </c>
      <c r="R784" s="258">
        <f>INDEX('Escalators '!$M$124:$S$129,MATCH(I784,'Escalators '!$B$124:$B$129,0),MATCH(J784,'Escalators '!$M$113:$S$113,0))</f>
        <v>1.0268090943455099</v>
      </c>
      <c r="S784" s="257">
        <f t="shared" si="169"/>
        <v>0</v>
      </c>
      <c r="T784" s="257">
        <f t="shared" si="170"/>
        <v>0</v>
      </c>
      <c r="U784" s="269">
        <f t="shared" si="171"/>
        <v>242540.52255716422</v>
      </c>
      <c r="V784" s="269">
        <f t="shared" si="172"/>
        <v>242540.52255716422</v>
      </c>
      <c r="W784" s="269">
        <f t="shared" si="173"/>
        <v>242540.52255716422</v>
      </c>
      <c r="X784" s="257">
        <f t="shared" si="174"/>
        <v>242540.52255716422</v>
      </c>
      <c r="Y784" s="270">
        <f>IF(L784="Complex",(INDEX('Escalators '!$M$176:$S$176,MATCH('Forecast capex'!J784,'Escalators '!$M$178:$S$178,0))/12+1)^((K784-J784)*12)-1,0)</f>
        <v>3.5566952945970565E-2</v>
      </c>
      <c r="Z784" s="257">
        <f t="shared" si="175"/>
        <v>8401.1988214618159</v>
      </c>
      <c r="AA784" s="257">
        <f t="shared" si="176"/>
        <v>8626.4273532817715</v>
      </c>
      <c r="AB784" s="269">
        <f t="shared" si="177"/>
        <v>251166.94991044598</v>
      </c>
      <c r="AC784" s="269">
        <f t="shared" si="178"/>
        <v>251166.94991044598</v>
      </c>
      <c r="AD784" s="271" t="str">
        <f>INDEX('Global inputs'!$C$134:$C$171,MATCH(F784,'Global inputs'!$B$134:$B$171,0))</f>
        <v>Asset replacement and renewal</v>
      </c>
      <c r="AE784" s="272">
        <f>IF(OR(H784='Operating leases'!$B$32,H784='Operating leases'!$B$33),"",INDEX('Global inputs'!$C$186:$C$243,MATCH(E784,'Global inputs'!$B$186:$B$243,0)))</f>
        <v>0.08</v>
      </c>
    </row>
    <row r="785" spans="1:31" s="27" customFormat="1" x14ac:dyDescent="0.2">
      <c r="A785" s="250"/>
      <c r="B785" s="210" t="s">
        <v>742</v>
      </c>
      <c r="C785" s="210" t="s">
        <v>286</v>
      </c>
      <c r="D785" s="210" t="s">
        <v>735</v>
      </c>
      <c r="E785" s="210" t="s">
        <v>144</v>
      </c>
      <c r="F785" s="210" t="s">
        <v>108</v>
      </c>
      <c r="G785" s="210" t="s">
        <v>736</v>
      </c>
      <c r="H785" s="197">
        <v>0</v>
      </c>
      <c r="I785" s="210" t="s">
        <v>221</v>
      </c>
      <c r="J785" s="210">
        <v>2022</v>
      </c>
      <c r="K785" s="210">
        <v>2023</v>
      </c>
      <c r="L785" s="268" t="str">
        <f t="shared" si="166"/>
        <v>Complex</v>
      </c>
      <c r="M785" s="197">
        <v>91200</v>
      </c>
      <c r="N785" s="197">
        <v>0</v>
      </c>
      <c r="O785" s="257">
        <f>IF(ISNA(MATCH(H785,'Operating leases'!$B$32:$B$43,0)),0,INDEX('Operating leases'!$M$32:$S$43,MATCH(H785,'Operating leases'!$B$32:$B$43,0),MATCH(J785,'Operating leases'!$M$11:$S$11,0)))</f>
        <v>0</v>
      </c>
      <c r="P785" s="257">
        <f t="shared" si="167"/>
        <v>91200</v>
      </c>
      <c r="Q785" s="257">
        <f t="shared" si="168"/>
        <v>91200</v>
      </c>
      <c r="R785" s="258">
        <f>INDEX('Escalators '!$M$124:$S$129,MATCH(I785,'Escalators '!$B$124:$B$129,0),MATCH(J785,'Escalators '!$M$113:$S$113,0))</f>
        <v>1.0272672933956697</v>
      </c>
      <c r="S785" s="257">
        <f t="shared" si="169"/>
        <v>0</v>
      </c>
      <c r="T785" s="257">
        <f t="shared" si="170"/>
        <v>0</v>
      </c>
      <c r="U785" s="269">
        <f t="shared" si="171"/>
        <v>93686.777157685079</v>
      </c>
      <c r="V785" s="269">
        <f t="shared" si="172"/>
        <v>93686.777157685079</v>
      </c>
      <c r="W785" s="269">
        <f t="shared" si="173"/>
        <v>93686.777157685079</v>
      </c>
      <c r="X785" s="257">
        <f t="shared" si="174"/>
        <v>93686.777157685079</v>
      </c>
      <c r="Y785" s="270">
        <f>IF(L785="Complex",(INDEX('Escalators '!$M$176:$S$176,MATCH('Forecast capex'!J785,'Escalators '!$M$178:$S$178,0))/12+1)^((K785-J785)*12)-1,0)</f>
        <v>3.5566952945970565E-2</v>
      </c>
      <c r="Z785" s="257">
        <f t="shared" si="175"/>
        <v>3243.7061086725157</v>
      </c>
      <c r="AA785" s="257">
        <f t="shared" si="176"/>
        <v>3332.1531948270153</v>
      </c>
      <c r="AB785" s="269">
        <f t="shared" si="177"/>
        <v>97018.930352512092</v>
      </c>
      <c r="AC785" s="269">
        <f t="shared" si="178"/>
        <v>97018.930352512092</v>
      </c>
      <c r="AD785" s="271" t="str">
        <f>INDEX('Global inputs'!$C$134:$C$171,MATCH(F785,'Global inputs'!$B$134:$B$171,0))</f>
        <v>Asset replacement and renewal</v>
      </c>
      <c r="AE785" s="272">
        <f>IF(OR(H785='Operating leases'!$B$32,H785='Operating leases'!$B$33),"",INDEX('Global inputs'!$C$186:$C$243,MATCH(E785,'Global inputs'!$B$186:$B$243,0)))</f>
        <v>0.08</v>
      </c>
    </row>
    <row r="786" spans="1:31" s="27" customFormat="1" x14ac:dyDescent="0.2">
      <c r="A786" s="250"/>
      <c r="B786" s="210" t="s">
        <v>742</v>
      </c>
      <c r="C786" s="210" t="s">
        <v>286</v>
      </c>
      <c r="D786" s="210" t="s">
        <v>735</v>
      </c>
      <c r="E786" s="210" t="s">
        <v>144</v>
      </c>
      <c r="F786" s="210" t="s">
        <v>108</v>
      </c>
      <c r="G786" s="210" t="s">
        <v>736</v>
      </c>
      <c r="H786" s="197">
        <v>0</v>
      </c>
      <c r="I786" s="210" t="s">
        <v>229</v>
      </c>
      <c r="J786" s="210">
        <v>2022</v>
      </c>
      <c r="K786" s="210">
        <v>2023</v>
      </c>
      <c r="L786" s="268" t="str">
        <f t="shared" si="166"/>
        <v>Complex</v>
      </c>
      <c r="M786" s="197">
        <v>22800</v>
      </c>
      <c r="N786" s="197">
        <v>0</v>
      </c>
      <c r="O786" s="257">
        <f>IF(ISNA(MATCH(H786,'Operating leases'!$B$32:$B$43,0)),0,INDEX('Operating leases'!$M$32:$S$43,MATCH(H786,'Operating leases'!$B$32:$B$43,0),MATCH(J786,'Operating leases'!$M$11:$S$11,0)))</f>
        <v>0</v>
      </c>
      <c r="P786" s="257">
        <f t="shared" si="167"/>
        <v>22800</v>
      </c>
      <c r="Q786" s="257">
        <f t="shared" si="168"/>
        <v>22800</v>
      </c>
      <c r="R786" s="258">
        <f>INDEX('Escalators '!$M$124:$S$129,MATCH(I786,'Escalators '!$B$124:$B$129,0),MATCH(J786,'Escalators '!$M$113:$S$113,0))</f>
        <v>1.0379818100112963</v>
      </c>
      <c r="S786" s="257">
        <f t="shared" si="169"/>
        <v>0</v>
      </c>
      <c r="T786" s="257">
        <f t="shared" si="170"/>
        <v>0</v>
      </c>
      <c r="U786" s="269">
        <f t="shared" si="171"/>
        <v>23665.985268257555</v>
      </c>
      <c r="V786" s="269">
        <f t="shared" si="172"/>
        <v>23665.985268257555</v>
      </c>
      <c r="W786" s="269">
        <f t="shared" si="173"/>
        <v>23665.985268257555</v>
      </c>
      <c r="X786" s="257">
        <f t="shared" si="174"/>
        <v>23665.985268257555</v>
      </c>
      <c r="Y786" s="270">
        <f>IF(L786="Complex",(INDEX('Escalators '!$M$176:$S$176,MATCH('Forecast capex'!J786,'Escalators '!$M$178:$S$178,0))/12+1)^((K786-J786)*12)-1,0)</f>
        <v>3.5566952945970565E-2</v>
      </c>
      <c r="Z786" s="257">
        <f t="shared" si="175"/>
        <v>810.92652716812893</v>
      </c>
      <c r="AA786" s="257">
        <f t="shared" si="176"/>
        <v>841.72698445614901</v>
      </c>
      <c r="AB786" s="269">
        <f t="shared" si="177"/>
        <v>24507.712252713703</v>
      </c>
      <c r="AC786" s="269">
        <f t="shared" si="178"/>
        <v>24507.712252713703</v>
      </c>
      <c r="AD786" s="271" t="str">
        <f>INDEX('Global inputs'!$C$134:$C$171,MATCH(F786,'Global inputs'!$B$134:$B$171,0))</f>
        <v>Asset replacement and renewal</v>
      </c>
      <c r="AE786" s="272">
        <f>IF(OR(H786='Operating leases'!$B$32,H786='Operating leases'!$B$33),"",INDEX('Global inputs'!$C$186:$C$243,MATCH(E786,'Global inputs'!$B$186:$B$243,0)))</f>
        <v>0.08</v>
      </c>
    </row>
    <row r="787" spans="1:31" s="27" customFormat="1" x14ac:dyDescent="0.2">
      <c r="A787" s="250"/>
      <c r="B787" s="210" t="s">
        <v>746</v>
      </c>
      <c r="C787" s="210" t="s">
        <v>286</v>
      </c>
      <c r="D787" s="210" t="s">
        <v>732</v>
      </c>
      <c r="E787" s="210" t="s">
        <v>138</v>
      </c>
      <c r="F787" s="210" t="s">
        <v>79</v>
      </c>
      <c r="G787" s="210" t="s">
        <v>752</v>
      </c>
      <c r="H787" s="197">
        <v>0</v>
      </c>
      <c r="I787" s="210" t="s">
        <v>139</v>
      </c>
      <c r="J787" s="210">
        <v>2022</v>
      </c>
      <c r="K787" s="210">
        <v>2024</v>
      </c>
      <c r="L787" s="268" t="str">
        <f t="shared" si="166"/>
        <v>Complex</v>
      </c>
      <c r="M787" s="197">
        <v>24880.944444444442</v>
      </c>
      <c r="N787" s="197">
        <v>0</v>
      </c>
      <c r="O787" s="257">
        <f>IF(ISNA(MATCH(H787,'Operating leases'!$B$32:$B$43,0)),0,INDEX('Operating leases'!$M$32:$S$43,MATCH(H787,'Operating leases'!$B$32:$B$43,0),MATCH(J787,'Operating leases'!$M$11:$S$11,0)))</f>
        <v>0</v>
      </c>
      <c r="P787" s="257">
        <f t="shared" si="167"/>
        <v>24880.944444444442</v>
      </c>
      <c r="Q787" s="257">
        <f t="shared" si="168"/>
        <v>24880.944444444442</v>
      </c>
      <c r="R787" s="258">
        <f>INDEX('Escalators '!$M$124:$S$129,MATCH(I787,'Escalators '!$B$124:$B$129,0),MATCH(J787,'Escalators '!$M$113:$S$113,0))</f>
        <v>1.0086968501536033</v>
      </c>
      <c r="S787" s="257">
        <f t="shared" si="169"/>
        <v>0</v>
      </c>
      <c r="T787" s="257">
        <f t="shared" si="170"/>
        <v>0</v>
      </c>
      <c r="U787" s="269">
        <f t="shared" si="171"/>
        <v>25097.330289957903</v>
      </c>
      <c r="V787" s="269">
        <f t="shared" si="172"/>
        <v>25097.330289957903</v>
      </c>
      <c r="W787" s="269">
        <f t="shared" si="173"/>
        <v>25097.330289957903</v>
      </c>
      <c r="X787" s="257">
        <f t="shared" si="174"/>
        <v>25097.330289957903</v>
      </c>
      <c r="Y787" s="270">
        <f>IF(L787="Complex",(INDEX('Escalators '!$M$176:$S$176,MATCH('Forecast capex'!J787,'Escalators '!$M$178:$S$178,0))/12+1)^((K787-J787)*12)-1,0)</f>
        <v>7.239891403380172E-2</v>
      </c>
      <c r="Z787" s="257">
        <f t="shared" si="175"/>
        <v>1801.3533579131297</v>
      </c>
      <c r="AA787" s="257">
        <f t="shared" si="176"/>
        <v>1817.0194581405901</v>
      </c>
      <c r="AB787" s="269">
        <f t="shared" si="177"/>
        <v>26914.349748098492</v>
      </c>
      <c r="AC787" s="269">
        <f t="shared" si="178"/>
        <v>26914.349748098492</v>
      </c>
      <c r="AD787" s="271" t="str">
        <f>INDEX('Global inputs'!$C$134:$C$171,MATCH(F787,'Global inputs'!$B$134:$B$171,0))</f>
        <v xml:space="preserve">System growth </v>
      </c>
      <c r="AE787" s="272">
        <f>IF(OR(H787='Operating leases'!$B$32,H787='Operating leases'!$B$33),"",INDEX('Global inputs'!$C$186:$C$243,MATCH(E787,'Global inputs'!$B$186:$B$243,0)))</f>
        <v>0.08</v>
      </c>
    </row>
    <row r="788" spans="1:31" s="27" customFormat="1" x14ac:dyDescent="0.2">
      <c r="A788" s="250"/>
      <c r="B788" s="210" t="s">
        <v>746</v>
      </c>
      <c r="C788" s="210" t="s">
        <v>286</v>
      </c>
      <c r="D788" s="210" t="s">
        <v>732</v>
      </c>
      <c r="E788" s="210" t="s">
        <v>138</v>
      </c>
      <c r="F788" s="210" t="s">
        <v>79</v>
      </c>
      <c r="G788" s="210" t="s">
        <v>752</v>
      </c>
      <c r="H788" s="197">
        <v>0</v>
      </c>
      <c r="I788" s="210" t="s">
        <v>221</v>
      </c>
      <c r="J788" s="210">
        <v>2022</v>
      </c>
      <c r="K788" s="210">
        <v>2024</v>
      </c>
      <c r="L788" s="268" t="str">
        <f t="shared" si="166"/>
        <v>Complex</v>
      </c>
      <c r="M788" s="197">
        <v>16587.296296296296</v>
      </c>
      <c r="N788" s="197">
        <v>0</v>
      </c>
      <c r="O788" s="257">
        <f>IF(ISNA(MATCH(H788,'Operating leases'!$B$32:$B$43,0)),0,INDEX('Operating leases'!$M$32:$S$43,MATCH(H788,'Operating leases'!$B$32:$B$43,0),MATCH(J788,'Operating leases'!$M$11:$S$11,0)))</f>
        <v>0</v>
      </c>
      <c r="P788" s="257">
        <f t="shared" si="167"/>
        <v>16587.296296296296</v>
      </c>
      <c r="Q788" s="257">
        <f t="shared" si="168"/>
        <v>16587.296296296296</v>
      </c>
      <c r="R788" s="258">
        <f>INDEX('Escalators '!$M$124:$S$129,MATCH(I788,'Escalators '!$B$124:$B$129,0),MATCH(J788,'Escalators '!$M$113:$S$113,0))</f>
        <v>1.0272672933956697</v>
      </c>
      <c r="S788" s="257">
        <f t="shared" si="169"/>
        <v>0</v>
      </c>
      <c r="T788" s="257">
        <f t="shared" si="170"/>
        <v>0</v>
      </c>
      <c r="U788" s="269">
        <f t="shared" si="171"/>
        <v>17039.586971048313</v>
      </c>
      <c r="V788" s="269">
        <f t="shared" si="172"/>
        <v>17039.586971048313</v>
      </c>
      <c r="W788" s="269">
        <f t="shared" si="173"/>
        <v>17039.586971048313</v>
      </c>
      <c r="X788" s="257">
        <f t="shared" si="174"/>
        <v>17039.586971048313</v>
      </c>
      <c r="Y788" s="270">
        <f>IF(L788="Complex",(INDEX('Escalators '!$M$176:$S$176,MATCH('Forecast capex'!J788,'Escalators '!$M$178:$S$178,0))/12+1)^((K788-J788)*12)-1,0)</f>
        <v>7.239891403380172E-2</v>
      </c>
      <c r="Z788" s="257">
        <f t="shared" si="175"/>
        <v>1200.9022386087531</v>
      </c>
      <c r="AA788" s="257">
        <f t="shared" si="176"/>
        <v>1233.6475922884147</v>
      </c>
      <c r="AB788" s="269">
        <f t="shared" si="177"/>
        <v>18273.234563336729</v>
      </c>
      <c r="AC788" s="269">
        <f t="shared" si="178"/>
        <v>18273.234563336729</v>
      </c>
      <c r="AD788" s="271" t="str">
        <f>INDEX('Global inputs'!$C$134:$C$171,MATCH(F788,'Global inputs'!$B$134:$B$171,0))</f>
        <v xml:space="preserve">System growth </v>
      </c>
      <c r="AE788" s="272">
        <f>IF(OR(H788='Operating leases'!$B$32,H788='Operating leases'!$B$33),"",INDEX('Global inputs'!$C$186:$C$243,MATCH(E788,'Global inputs'!$B$186:$B$243,0)))</f>
        <v>0.08</v>
      </c>
    </row>
    <row r="789" spans="1:31" s="27" customFormat="1" x14ac:dyDescent="0.2">
      <c r="A789" s="250"/>
      <c r="B789" s="210" t="s">
        <v>746</v>
      </c>
      <c r="C789" s="210" t="s">
        <v>286</v>
      </c>
      <c r="D789" s="210" t="s">
        <v>732</v>
      </c>
      <c r="E789" s="210" t="s">
        <v>143</v>
      </c>
      <c r="F789" s="210" t="s">
        <v>79</v>
      </c>
      <c r="G789" s="210" t="s">
        <v>734</v>
      </c>
      <c r="H789" s="197">
        <v>0</v>
      </c>
      <c r="I789" s="210" t="s">
        <v>142</v>
      </c>
      <c r="J789" s="210">
        <v>2022</v>
      </c>
      <c r="K789" s="210">
        <v>2024</v>
      </c>
      <c r="L789" s="268" t="str">
        <f t="shared" si="166"/>
        <v>Complex</v>
      </c>
      <c r="M789" s="197">
        <v>159238.04444444441</v>
      </c>
      <c r="N789" s="197">
        <v>0</v>
      </c>
      <c r="O789" s="257">
        <f>IF(ISNA(MATCH(H789,'Operating leases'!$B$32:$B$43,0)),0,INDEX('Operating leases'!$M$32:$S$43,MATCH(H789,'Operating leases'!$B$32:$B$43,0),MATCH(J789,'Operating leases'!$M$11:$S$11,0)))</f>
        <v>0</v>
      </c>
      <c r="P789" s="257">
        <f t="shared" si="167"/>
        <v>159238.04444444441</v>
      </c>
      <c r="Q789" s="257">
        <f t="shared" si="168"/>
        <v>159238.04444444441</v>
      </c>
      <c r="R789" s="258">
        <f>INDEX('Escalators '!$M$124:$S$129,MATCH(I789,'Escalators '!$B$124:$B$129,0),MATCH(J789,'Escalators '!$M$113:$S$113,0))</f>
        <v>1.0268090943455099</v>
      </c>
      <c r="S789" s="257">
        <f t="shared" si="169"/>
        <v>0</v>
      </c>
      <c r="T789" s="257">
        <f t="shared" si="170"/>
        <v>0</v>
      </c>
      <c r="U789" s="269">
        <f t="shared" si="171"/>
        <v>163507.07220135003</v>
      </c>
      <c r="V789" s="269">
        <f t="shared" si="172"/>
        <v>163507.07220135003</v>
      </c>
      <c r="W789" s="269">
        <f t="shared" si="173"/>
        <v>163507.07220135003</v>
      </c>
      <c r="X789" s="257">
        <f t="shared" si="174"/>
        <v>163507.07220135003</v>
      </c>
      <c r="Y789" s="270">
        <f>IF(L789="Complex",(INDEX('Escalators '!$M$176:$S$176,MATCH('Forecast capex'!J789,'Escalators '!$M$178:$S$178,0))/12+1)^((K789-J789)*12)-1,0)</f>
        <v>7.239891403380172E-2</v>
      </c>
      <c r="Z789" s="257">
        <f t="shared" si="175"/>
        <v>11528.661490644028</v>
      </c>
      <c r="AA789" s="257">
        <f t="shared" si="176"/>
        <v>11837.734464224151</v>
      </c>
      <c r="AB789" s="269">
        <f t="shared" si="177"/>
        <v>175344.8066655742</v>
      </c>
      <c r="AC789" s="269">
        <f t="shared" si="178"/>
        <v>175344.8066655742</v>
      </c>
      <c r="AD789" s="271" t="str">
        <f>INDEX('Global inputs'!$C$134:$C$171,MATCH(F789,'Global inputs'!$B$134:$B$171,0))</f>
        <v xml:space="preserve">System growth </v>
      </c>
      <c r="AE789" s="272">
        <f>IF(OR(H789='Operating leases'!$B$32,H789='Operating leases'!$B$33),"",INDEX('Global inputs'!$C$186:$C$243,MATCH(E789,'Global inputs'!$B$186:$B$243,0)))</f>
        <v>0.08</v>
      </c>
    </row>
    <row r="790" spans="1:31" s="27" customFormat="1" x14ac:dyDescent="0.2">
      <c r="A790" s="250"/>
      <c r="B790" s="210" t="s">
        <v>746</v>
      </c>
      <c r="C790" s="210" t="s">
        <v>286</v>
      </c>
      <c r="D790" s="210" t="s">
        <v>732</v>
      </c>
      <c r="E790" s="210" t="s">
        <v>143</v>
      </c>
      <c r="F790" s="210" t="s">
        <v>79</v>
      </c>
      <c r="G790" s="210" t="s">
        <v>734</v>
      </c>
      <c r="H790" s="197">
        <v>0</v>
      </c>
      <c r="I790" s="210" t="s">
        <v>221</v>
      </c>
      <c r="J790" s="210">
        <v>2022</v>
      </c>
      <c r="K790" s="210">
        <v>2024</v>
      </c>
      <c r="L790" s="268" t="str">
        <f t="shared" si="166"/>
        <v>Complex</v>
      </c>
      <c r="M790" s="197">
        <v>39809.511111111104</v>
      </c>
      <c r="N790" s="197">
        <v>0</v>
      </c>
      <c r="O790" s="257">
        <f>IF(ISNA(MATCH(H790,'Operating leases'!$B$32:$B$43,0)),0,INDEX('Operating leases'!$M$32:$S$43,MATCH(H790,'Operating leases'!$B$32:$B$43,0),MATCH(J790,'Operating leases'!$M$11:$S$11,0)))</f>
        <v>0</v>
      </c>
      <c r="P790" s="257">
        <f t="shared" si="167"/>
        <v>39809.511111111104</v>
      </c>
      <c r="Q790" s="257">
        <f t="shared" si="168"/>
        <v>39809.511111111104</v>
      </c>
      <c r="R790" s="258">
        <f>INDEX('Escalators '!$M$124:$S$129,MATCH(I790,'Escalators '!$B$124:$B$129,0),MATCH(J790,'Escalators '!$M$113:$S$113,0))</f>
        <v>1.0272672933956697</v>
      </c>
      <c r="S790" s="257">
        <f t="shared" si="169"/>
        <v>0</v>
      </c>
      <c r="T790" s="257">
        <f t="shared" si="170"/>
        <v>0</v>
      </c>
      <c r="U790" s="269">
        <f t="shared" si="171"/>
        <v>40895.00873051594</v>
      </c>
      <c r="V790" s="269">
        <f t="shared" si="172"/>
        <v>40895.00873051594</v>
      </c>
      <c r="W790" s="269">
        <f t="shared" si="173"/>
        <v>40895.00873051594</v>
      </c>
      <c r="X790" s="257">
        <f t="shared" si="174"/>
        <v>40895.00873051594</v>
      </c>
      <c r="Y790" s="270">
        <f>IF(L790="Complex",(INDEX('Escalators '!$M$176:$S$176,MATCH('Forecast capex'!J790,'Escalators '!$M$178:$S$178,0))/12+1)^((K790-J790)*12)-1,0)</f>
        <v>7.239891403380172E-2</v>
      </c>
      <c r="Z790" s="257">
        <f t="shared" si="175"/>
        <v>2882.165372661007</v>
      </c>
      <c r="AA790" s="257">
        <f t="shared" si="176"/>
        <v>2960.7542214921941</v>
      </c>
      <c r="AB790" s="269">
        <f t="shared" si="177"/>
        <v>43855.762952008132</v>
      </c>
      <c r="AC790" s="269">
        <f t="shared" si="178"/>
        <v>43855.762952008132</v>
      </c>
      <c r="AD790" s="271" t="str">
        <f>INDEX('Global inputs'!$C$134:$C$171,MATCH(F790,'Global inputs'!$B$134:$B$171,0))</f>
        <v xml:space="preserve">System growth </v>
      </c>
      <c r="AE790" s="272">
        <f>IF(OR(H790='Operating leases'!$B$32,H790='Operating leases'!$B$33),"",INDEX('Global inputs'!$C$186:$C$243,MATCH(E790,'Global inputs'!$B$186:$B$243,0)))</f>
        <v>0.08</v>
      </c>
    </row>
    <row r="791" spans="1:31" s="27" customFormat="1" x14ac:dyDescent="0.2">
      <c r="A791" s="250"/>
      <c r="B791" s="210" t="s">
        <v>746</v>
      </c>
      <c r="C791" s="210" t="s">
        <v>286</v>
      </c>
      <c r="D791" s="210" t="s">
        <v>732</v>
      </c>
      <c r="E791" s="210" t="s">
        <v>136</v>
      </c>
      <c r="F791" s="210" t="s">
        <v>79</v>
      </c>
      <c r="G791" s="210" t="s">
        <v>751</v>
      </c>
      <c r="H791" s="197">
        <v>0</v>
      </c>
      <c r="I791" s="210" t="s">
        <v>229</v>
      </c>
      <c r="J791" s="210">
        <v>2022</v>
      </c>
      <c r="K791" s="210">
        <v>2024</v>
      </c>
      <c r="L791" s="268" t="str">
        <f t="shared" si="166"/>
        <v>Complex</v>
      </c>
      <c r="M791" s="197">
        <v>228075.32407407407</v>
      </c>
      <c r="N791" s="197">
        <v>0</v>
      </c>
      <c r="O791" s="257">
        <f>IF(ISNA(MATCH(H791,'Operating leases'!$B$32:$B$43,0)),0,INDEX('Operating leases'!$M$32:$S$43,MATCH(H791,'Operating leases'!$B$32:$B$43,0),MATCH(J791,'Operating leases'!$M$11:$S$11,0)))</f>
        <v>0</v>
      </c>
      <c r="P791" s="257">
        <f t="shared" si="167"/>
        <v>228075.32407407407</v>
      </c>
      <c r="Q791" s="257">
        <f t="shared" si="168"/>
        <v>228075.32407407407</v>
      </c>
      <c r="R791" s="258">
        <f>INDEX('Escalators '!$M$124:$S$129,MATCH(I791,'Escalators '!$B$124:$B$129,0),MATCH(J791,'Escalators '!$M$113:$S$113,0))</f>
        <v>1.0379818100112963</v>
      </c>
      <c r="S791" s="257">
        <f t="shared" si="169"/>
        <v>0</v>
      </c>
      <c r="T791" s="257">
        <f t="shared" si="170"/>
        <v>0</v>
      </c>
      <c r="U791" s="269">
        <f t="shared" si="171"/>
        <v>236738.0377013204</v>
      </c>
      <c r="V791" s="269">
        <f t="shared" si="172"/>
        <v>236738.0377013204</v>
      </c>
      <c r="W791" s="269">
        <f t="shared" si="173"/>
        <v>236738.0377013204</v>
      </c>
      <c r="X791" s="257">
        <f t="shared" si="174"/>
        <v>236738.0377013204</v>
      </c>
      <c r="Y791" s="270">
        <f>IF(L791="Complex",(INDEX('Escalators '!$M$176:$S$176,MATCH('Forecast capex'!J791,'Escalators '!$M$178:$S$178,0))/12+1)^((K791-J791)*12)-1,0)</f>
        <v>7.239891403380172E-2</v>
      </c>
      <c r="Z791" s="257">
        <f t="shared" si="175"/>
        <v>16512.405780870358</v>
      </c>
      <c r="AA791" s="257">
        <f t="shared" si="176"/>
        <v>17139.576840068807</v>
      </c>
      <c r="AB791" s="269">
        <f t="shared" si="177"/>
        <v>253877.61454138919</v>
      </c>
      <c r="AC791" s="269">
        <f t="shared" si="178"/>
        <v>253877.61454138919</v>
      </c>
      <c r="AD791" s="271" t="str">
        <f>INDEX('Global inputs'!$C$134:$C$171,MATCH(F791,'Global inputs'!$B$134:$B$171,0))</f>
        <v xml:space="preserve">System growth </v>
      </c>
      <c r="AE791" s="272">
        <f>IF(OR(H791='Operating leases'!$B$32,H791='Operating leases'!$B$33),"",INDEX('Global inputs'!$C$186:$C$243,MATCH(E791,'Global inputs'!$B$186:$B$243,0)))</f>
        <v>0</v>
      </c>
    </row>
    <row r="792" spans="1:31" s="27" customFormat="1" x14ac:dyDescent="0.2">
      <c r="A792" s="250"/>
      <c r="B792" s="210" t="s">
        <v>746</v>
      </c>
      <c r="C792" s="210" t="s">
        <v>286</v>
      </c>
      <c r="D792" s="210" t="s">
        <v>732</v>
      </c>
      <c r="E792" s="210" t="s">
        <v>136</v>
      </c>
      <c r="F792" s="210" t="s">
        <v>79</v>
      </c>
      <c r="G792" s="210" t="s">
        <v>751</v>
      </c>
      <c r="H792" s="197">
        <v>0</v>
      </c>
      <c r="I792" s="210" t="s">
        <v>221</v>
      </c>
      <c r="J792" s="210">
        <v>2022</v>
      </c>
      <c r="K792" s="210">
        <v>2024</v>
      </c>
      <c r="L792" s="268" t="str">
        <f t="shared" si="166"/>
        <v>Complex</v>
      </c>
      <c r="M792" s="197">
        <v>228075.32407407407</v>
      </c>
      <c r="N792" s="197">
        <v>0</v>
      </c>
      <c r="O792" s="257">
        <f>IF(ISNA(MATCH(H792,'Operating leases'!$B$32:$B$43,0)),0,INDEX('Operating leases'!$M$32:$S$43,MATCH(H792,'Operating leases'!$B$32:$B$43,0),MATCH(J792,'Operating leases'!$M$11:$S$11,0)))</f>
        <v>0</v>
      </c>
      <c r="P792" s="257">
        <f t="shared" si="167"/>
        <v>228075.32407407407</v>
      </c>
      <c r="Q792" s="257">
        <f t="shared" si="168"/>
        <v>228075.32407407407</v>
      </c>
      <c r="R792" s="258">
        <f>INDEX('Escalators '!$M$124:$S$129,MATCH(I792,'Escalators '!$B$124:$B$129,0),MATCH(J792,'Escalators '!$M$113:$S$113,0))</f>
        <v>1.0272672933956697</v>
      </c>
      <c r="S792" s="257">
        <f t="shared" si="169"/>
        <v>0</v>
      </c>
      <c r="T792" s="257">
        <f t="shared" si="170"/>
        <v>0</v>
      </c>
      <c r="U792" s="269">
        <f t="shared" si="171"/>
        <v>234294.32085191429</v>
      </c>
      <c r="V792" s="269">
        <f t="shared" si="172"/>
        <v>234294.32085191429</v>
      </c>
      <c r="W792" s="269">
        <f t="shared" si="173"/>
        <v>234294.32085191429</v>
      </c>
      <c r="X792" s="257">
        <f t="shared" si="174"/>
        <v>234294.32085191429</v>
      </c>
      <c r="Y792" s="270">
        <f>IF(L792="Complex",(INDEX('Escalators '!$M$176:$S$176,MATCH('Forecast capex'!J792,'Escalators '!$M$178:$S$178,0))/12+1)^((K792-J792)*12)-1,0)</f>
        <v>7.239891403380172E-2</v>
      </c>
      <c r="Z792" s="257">
        <f t="shared" si="175"/>
        <v>16512.405780870358</v>
      </c>
      <c r="AA792" s="257">
        <f t="shared" si="176"/>
        <v>16962.654393965702</v>
      </c>
      <c r="AB792" s="269">
        <f t="shared" si="177"/>
        <v>251256.97524587999</v>
      </c>
      <c r="AC792" s="269">
        <f t="shared" si="178"/>
        <v>251256.97524587999</v>
      </c>
      <c r="AD792" s="271" t="str">
        <f>INDEX('Global inputs'!$C$134:$C$171,MATCH(F792,'Global inputs'!$B$134:$B$171,0))</f>
        <v xml:space="preserve">System growth </v>
      </c>
      <c r="AE792" s="272">
        <f>IF(OR(H792='Operating leases'!$B$32,H792='Operating leases'!$B$33),"",INDEX('Global inputs'!$C$186:$C$243,MATCH(E792,'Global inputs'!$B$186:$B$243,0)))</f>
        <v>0</v>
      </c>
    </row>
    <row r="793" spans="1:31" s="27" customFormat="1" x14ac:dyDescent="0.2">
      <c r="A793" s="250"/>
      <c r="B793" s="210" t="s">
        <v>746</v>
      </c>
      <c r="C793" s="210" t="s">
        <v>286</v>
      </c>
      <c r="D793" s="210" t="s">
        <v>735</v>
      </c>
      <c r="E793" s="210" t="s">
        <v>144</v>
      </c>
      <c r="F793" s="210" t="s">
        <v>79</v>
      </c>
      <c r="G793" s="210" t="s">
        <v>736</v>
      </c>
      <c r="H793" s="197">
        <v>0</v>
      </c>
      <c r="I793" s="210" t="s">
        <v>229</v>
      </c>
      <c r="J793" s="210">
        <v>2022</v>
      </c>
      <c r="K793" s="210">
        <v>2024</v>
      </c>
      <c r="L793" s="268" t="str">
        <f t="shared" si="166"/>
        <v>Complex</v>
      </c>
      <c r="M793" s="197">
        <v>14928.566666666666</v>
      </c>
      <c r="N793" s="197">
        <v>0</v>
      </c>
      <c r="O793" s="257">
        <f>IF(ISNA(MATCH(H793,'Operating leases'!$B$32:$B$43,0)),0,INDEX('Operating leases'!$M$32:$S$43,MATCH(H793,'Operating leases'!$B$32:$B$43,0),MATCH(J793,'Operating leases'!$M$11:$S$11,0)))</f>
        <v>0</v>
      </c>
      <c r="P793" s="257">
        <f t="shared" si="167"/>
        <v>14928.566666666666</v>
      </c>
      <c r="Q793" s="257">
        <f t="shared" si="168"/>
        <v>14928.566666666666</v>
      </c>
      <c r="R793" s="258">
        <f>INDEX('Escalators '!$M$124:$S$129,MATCH(I793,'Escalators '!$B$124:$B$129,0),MATCH(J793,'Escalators '!$M$113:$S$113,0))</f>
        <v>1.0379818100112963</v>
      </c>
      <c r="S793" s="257">
        <f t="shared" si="169"/>
        <v>0</v>
      </c>
      <c r="T793" s="257">
        <f t="shared" si="170"/>
        <v>0</v>
      </c>
      <c r="U793" s="269">
        <f t="shared" si="171"/>
        <v>15495.580649540971</v>
      </c>
      <c r="V793" s="269">
        <f t="shared" si="172"/>
        <v>15495.580649540971</v>
      </c>
      <c r="W793" s="269">
        <f t="shared" si="173"/>
        <v>15495.580649540971</v>
      </c>
      <c r="X793" s="257">
        <f t="shared" si="174"/>
        <v>15495.580649540971</v>
      </c>
      <c r="Y793" s="270">
        <f>IF(L793="Complex",(INDEX('Escalators '!$M$176:$S$176,MATCH('Forecast capex'!J793,'Escalators '!$M$178:$S$178,0))/12+1)^((K793-J793)*12)-1,0)</f>
        <v>7.239891403380172E-2</v>
      </c>
      <c r="Z793" s="257">
        <f t="shared" si="175"/>
        <v>1080.8120147478778</v>
      </c>
      <c r="AA793" s="257">
        <f t="shared" si="176"/>
        <v>1121.8632113499582</v>
      </c>
      <c r="AB793" s="269">
        <f t="shared" si="177"/>
        <v>16617.443860890929</v>
      </c>
      <c r="AC793" s="269">
        <f t="shared" si="178"/>
        <v>16617.443860890929</v>
      </c>
      <c r="AD793" s="271" t="str">
        <f>INDEX('Global inputs'!$C$134:$C$171,MATCH(F793,'Global inputs'!$B$134:$B$171,0))</f>
        <v xml:space="preserve">System growth </v>
      </c>
      <c r="AE793" s="272">
        <f>IF(OR(H793='Operating leases'!$B$32,H793='Operating leases'!$B$33),"",INDEX('Global inputs'!$C$186:$C$243,MATCH(E793,'Global inputs'!$B$186:$B$243,0)))</f>
        <v>0.08</v>
      </c>
    </row>
    <row r="794" spans="1:31" s="27" customFormat="1" x14ac:dyDescent="0.2">
      <c r="A794" s="250"/>
      <c r="B794" s="210" t="s">
        <v>746</v>
      </c>
      <c r="C794" s="210" t="s">
        <v>286</v>
      </c>
      <c r="D794" s="210" t="s">
        <v>735</v>
      </c>
      <c r="E794" s="210" t="s">
        <v>144</v>
      </c>
      <c r="F794" s="210" t="s">
        <v>79</v>
      </c>
      <c r="G794" s="210" t="s">
        <v>736</v>
      </c>
      <c r="H794" s="197">
        <v>0</v>
      </c>
      <c r="I794" s="210" t="s">
        <v>221</v>
      </c>
      <c r="J794" s="210">
        <v>2022</v>
      </c>
      <c r="K794" s="210">
        <v>2024</v>
      </c>
      <c r="L794" s="268" t="str">
        <f t="shared" si="166"/>
        <v>Complex</v>
      </c>
      <c r="M794" s="197">
        <v>59714.266666666663</v>
      </c>
      <c r="N794" s="197">
        <v>0</v>
      </c>
      <c r="O794" s="257">
        <f>IF(ISNA(MATCH(H794,'Operating leases'!$B$32:$B$43,0)),0,INDEX('Operating leases'!$M$32:$S$43,MATCH(H794,'Operating leases'!$B$32:$B$43,0),MATCH(J794,'Operating leases'!$M$11:$S$11,0)))</f>
        <v>0</v>
      </c>
      <c r="P794" s="257">
        <f t="shared" si="167"/>
        <v>59714.266666666663</v>
      </c>
      <c r="Q794" s="257">
        <f t="shared" si="168"/>
        <v>59714.266666666663</v>
      </c>
      <c r="R794" s="258">
        <f>INDEX('Escalators '!$M$124:$S$129,MATCH(I794,'Escalators '!$B$124:$B$129,0),MATCH(J794,'Escalators '!$M$113:$S$113,0))</f>
        <v>1.0272672933956697</v>
      </c>
      <c r="S794" s="257">
        <f t="shared" si="169"/>
        <v>0</v>
      </c>
      <c r="T794" s="257">
        <f t="shared" si="170"/>
        <v>0</v>
      </c>
      <c r="U794" s="269">
        <f t="shared" si="171"/>
        <v>61342.513095773924</v>
      </c>
      <c r="V794" s="269">
        <f t="shared" si="172"/>
        <v>61342.513095773924</v>
      </c>
      <c r="W794" s="269">
        <f t="shared" si="173"/>
        <v>61342.513095773924</v>
      </c>
      <c r="X794" s="257">
        <f t="shared" si="174"/>
        <v>61342.513095773924</v>
      </c>
      <c r="Y794" s="270">
        <f>IF(L794="Complex",(INDEX('Escalators '!$M$176:$S$176,MATCH('Forecast capex'!J794,'Escalators '!$M$178:$S$178,0))/12+1)^((K794-J794)*12)-1,0)</f>
        <v>7.239891403380172E-2</v>
      </c>
      <c r="Z794" s="257">
        <f t="shared" si="175"/>
        <v>4323.2480589915112</v>
      </c>
      <c r="AA794" s="257">
        <f t="shared" si="176"/>
        <v>4441.1313322382921</v>
      </c>
      <c r="AB794" s="269">
        <f t="shared" si="177"/>
        <v>65783.644428012223</v>
      </c>
      <c r="AC794" s="269">
        <f t="shared" si="178"/>
        <v>65783.644428012223</v>
      </c>
      <c r="AD794" s="271" t="str">
        <f>INDEX('Global inputs'!$C$134:$C$171,MATCH(F794,'Global inputs'!$B$134:$B$171,0))</f>
        <v xml:space="preserve">System growth </v>
      </c>
      <c r="AE794" s="272">
        <f>IF(OR(H794='Operating leases'!$B$32,H794='Operating leases'!$B$33),"",INDEX('Global inputs'!$C$186:$C$243,MATCH(E794,'Global inputs'!$B$186:$B$243,0)))</f>
        <v>0.08</v>
      </c>
    </row>
    <row r="795" spans="1:31" s="27" customFormat="1" x14ac:dyDescent="0.2">
      <c r="A795" s="250"/>
      <c r="B795" s="210" t="s">
        <v>746</v>
      </c>
      <c r="C795" s="210" t="s">
        <v>286</v>
      </c>
      <c r="D795" s="210" t="s">
        <v>735</v>
      </c>
      <c r="E795" s="210" t="s">
        <v>147</v>
      </c>
      <c r="F795" s="210" t="s">
        <v>79</v>
      </c>
      <c r="G795" s="210" t="s">
        <v>744</v>
      </c>
      <c r="H795" s="197">
        <v>0</v>
      </c>
      <c r="I795" s="210" t="s">
        <v>229</v>
      </c>
      <c r="J795" s="210">
        <v>2022</v>
      </c>
      <c r="K795" s="210">
        <v>2024</v>
      </c>
      <c r="L795" s="268" t="str">
        <f t="shared" si="166"/>
        <v>Complex</v>
      </c>
      <c r="M795" s="197">
        <v>9288.8859259259243</v>
      </c>
      <c r="N795" s="197">
        <v>0</v>
      </c>
      <c r="O795" s="257">
        <f>IF(ISNA(MATCH(H795,'Operating leases'!$B$32:$B$43,0)),0,INDEX('Operating leases'!$M$32:$S$43,MATCH(H795,'Operating leases'!$B$32:$B$43,0),MATCH(J795,'Operating leases'!$M$11:$S$11,0)))</f>
        <v>0</v>
      </c>
      <c r="P795" s="257">
        <f t="shared" si="167"/>
        <v>9288.8859259259243</v>
      </c>
      <c r="Q795" s="257">
        <f t="shared" si="168"/>
        <v>9288.8859259259243</v>
      </c>
      <c r="R795" s="258">
        <f>INDEX('Escalators '!$M$124:$S$129,MATCH(I795,'Escalators '!$B$124:$B$129,0),MATCH(J795,'Escalators '!$M$113:$S$113,0))</f>
        <v>1.0379818100112963</v>
      </c>
      <c r="S795" s="257">
        <f t="shared" si="169"/>
        <v>0</v>
      </c>
      <c r="T795" s="257">
        <f t="shared" si="170"/>
        <v>0</v>
      </c>
      <c r="U795" s="269">
        <f t="shared" si="171"/>
        <v>9641.6946263810478</v>
      </c>
      <c r="V795" s="269">
        <f t="shared" si="172"/>
        <v>9641.6946263810478</v>
      </c>
      <c r="W795" s="269">
        <f t="shared" si="173"/>
        <v>9641.6946263810478</v>
      </c>
      <c r="X795" s="257">
        <f t="shared" si="174"/>
        <v>9641.6946263810478</v>
      </c>
      <c r="Y795" s="270">
        <f>IF(L795="Complex",(INDEX('Escalators '!$M$176:$S$176,MATCH('Forecast capex'!J795,'Escalators '!$M$178:$S$178,0))/12+1)^((K795-J795)*12)-1,0)</f>
        <v>7.239891403380172E-2</v>
      </c>
      <c r="Z795" s="257">
        <f t="shared" si="175"/>
        <v>672.50525362090173</v>
      </c>
      <c r="AA795" s="257">
        <f t="shared" si="176"/>
        <v>698.04822039552948</v>
      </c>
      <c r="AB795" s="269">
        <f t="shared" si="177"/>
        <v>10339.742846776577</v>
      </c>
      <c r="AC795" s="269">
        <f t="shared" si="178"/>
        <v>10339.742846776577</v>
      </c>
      <c r="AD795" s="271" t="str">
        <f>INDEX('Global inputs'!$C$134:$C$171,MATCH(F795,'Global inputs'!$B$134:$B$171,0))</f>
        <v xml:space="preserve">System growth </v>
      </c>
      <c r="AE795" s="272">
        <f>IF(OR(H795='Operating leases'!$B$32,H795='Operating leases'!$B$33),"",INDEX('Global inputs'!$C$186:$C$243,MATCH(E795,'Global inputs'!$B$186:$B$243,0)))</f>
        <v>0.08</v>
      </c>
    </row>
    <row r="796" spans="1:31" s="27" customFormat="1" x14ac:dyDescent="0.2">
      <c r="A796" s="250"/>
      <c r="B796" s="210" t="s">
        <v>746</v>
      </c>
      <c r="C796" s="210" t="s">
        <v>286</v>
      </c>
      <c r="D796" s="210" t="s">
        <v>735</v>
      </c>
      <c r="E796" s="210" t="s">
        <v>147</v>
      </c>
      <c r="F796" s="210" t="s">
        <v>79</v>
      </c>
      <c r="G796" s="210" t="s">
        <v>744</v>
      </c>
      <c r="H796" s="197">
        <v>0</v>
      </c>
      <c r="I796" s="210" t="s">
        <v>221</v>
      </c>
      <c r="J796" s="210">
        <v>2022</v>
      </c>
      <c r="K796" s="210">
        <v>2024</v>
      </c>
      <c r="L796" s="268" t="str">
        <f t="shared" si="166"/>
        <v>Complex</v>
      </c>
      <c r="M796" s="197">
        <v>37155.543703703697</v>
      </c>
      <c r="N796" s="197">
        <v>0</v>
      </c>
      <c r="O796" s="257">
        <f>IF(ISNA(MATCH(H796,'Operating leases'!$B$32:$B$43,0)),0,INDEX('Operating leases'!$M$32:$S$43,MATCH(H796,'Operating leases'!$B$32:$B$43,0),MATCH(J796,'Operating leases'!$M$11:$S$11,0)))</f>
        <v>0</v>
      </c>
      <c r="P796" s="257">
        <f t="shared" si="167"/>
        <v>37155.543703703697</v>
      </c>
      <c r="Q796" s="257">
        <f t="shared" si="168"/>
        <v>37155.543703703697</v>
      </c>
      <c r="R796" s="258">
        <f>INDEX('Escalators '!$M$124:$S$129,MATCH(I796,'Escalators '!$B$124:$B$129,0),MATCH(J796,'Escalators '!$M$113:$S$113,0))</f>
        <v>1.0272672933956697</v>
      </c>
      <c r="S796" s="257">
        <f t="shared" si="169"/>
        <v>0</v>
      </c>
      <c r="T796" s="257">
        <f t="shared" si="170"/>
        <v>0</v>
      </c>
      <c r="U796" s="269">
        <f t="shared" si="171"/>
        <v>38168.674815148217</v>
      </c>
      <c r="V796" s="269">
        <f t="shared" si="172"/>
        <v>38168.674815148217</v>
      </c>
      <c r="W796" s="269">
        <f t="shared" si="173"/>
        <v>38168.674815148217</v>
      </c>
      <c r="X796" s="257">
        <f t="shared" si="174"/>
        <v>38168.674815148217</v>
      </c>
      <c r="Y796" s="270">
        <f>IF(L796="Complex",(INDEX('Escalators '!$M$176:$S$176,MATCH('Forecast capex'!J796,'Escalators '!$M$178:$S$178,0))/12+1)^((K796-J796)*12)-1,0)</f>
        <v>7.239891403380172E-2</v>
      </c>
      <c r="Z796" s="257">
        <f t="shared" si="175"/>
        <v>2690.0210144836069</v>
      </c>
      <c r="AA796" s="257">
        <f t="shared" si="176"/>
        <v>2763.3706067260487</v>
      </c>
      <c r="AB796" s="269">
        <f t="shared" si="177"/>
        <v>40932.045421874267</v>
      </c>
      <c r="AC796" s="269">
        <f t="shared" si="178"/>
        <v>40932.045421874267</v>
      </c>
      <c r="AD796" s="271" t="str">
        <f>INDEX('Global inputs'!$C$134:$C$171,MATCH(F796,'Global inputs'!$B$134:$B$171,0))</f>
        <v xml:space="preserve">System growth </v>
      </c>
      <c r="AE796" s="272">
        <f>IF(OR(H796='Operating leases'!$B$32,H796='Operating leases'!$B$33),"",INDEX('Global inputs'!$C$186:$C$243,MATCH(E796,'Global inputs'!$B$186:$B$243,0)))</f>
        <v>0.08</v>
      </c>
    </row>
    <row r="797" spans="1:31" s="27" customFormat="1" x14ac:dyDescent="0.2">
      <c r="A797" s="250"/>
      <c r="B797" s="210" t="s">
        <v>746</v>
      </c>
      <c r="C797" s="210" t="s">
        <v>291</v>
      </c>
      <c r="D797" s="210" t="s">
        <v>735</v>
      </c>
      <c r="E797" s="210" t="s">
        <v>175</v>
      </c>
      <c r="F797" s="210" t="s">
        <v>79</v>
      </c>
      <c r="G797" s="210" t="s">
        <v>748</v>
      </c>
      <c r="H797" s="197">
        <v>0</v>
      </c>
      <c r="I797" s="210" t="s">
        <v>229</v>
      </c>
      <c r="J797" s="210">
        <v>2022</v>
      </c>
      <c r="K797" s="210">
        <v>2024</v>
      </c>
      <c r="L797" s="268" t="str">
        <f t="shared" si="166"/>
        <v>Complex</v>
      </c>
      <c r="M797" s="197">
        <v>6634.9185185185179</v>
      </c>
      <c r="N797" s="197">
        <v>0</v>
      </c>
      <c r="O797" s="257">
        <f>IF(ISNA(MATCH(H797,'Operating leases'!$B$32:$B$43,0)),0,INDEX('Operating leases'!$M$32:$S$43,MATCH(H797,'Operating leases'!$B$32:$B$43,0),MATCH(J797,'Operating leases'!$M$11:$S$11,0)))</f>
        <v>0</v>
      </c>
      <c r="P797" s="257">
        <f t="shared" si="167"/>
        <v>6634.9185185185179</v>
      </c>
      <c r="Q797" s="257">
        <f t="shared" si="168"/>
        <v>6634.9185185185179</v>
      </c>
      <c r="R797" s="258">
        <f>INDEX('Escalators '!$M$124:$S$129,MATCH(I797,'Escalators '!$B$124:$B$129,0),MATCH(J797,'Escalators '!$M$113:$S$113,0))</f>
        <v>1.0379818100112963</v>
      </c>
      <c r="S797" s="257">
        <f t="shared" si="169"/>
        <v>0</v>
      </c>
      <c r="T797" s="257">
        <f t="shared" si="170"/>
        <v>0</v>
      </c>
      <c r="U797" s="269">
        <f t="shared" si="171"/>
        <v>6886.92473312932</v>
      </c>
      <c r="V797" s="269">
        <f t="shared" si="172"/>
        <v>6886.92473312932</v>
      </c>
      <c r="W797" s="269">
        <f t="shared" si="173"/>
        <v>6886.92473312932</v>
      </c>
      <c r="X797" s="257">
        <f t="shared" si="174"/>
        <v>6886.92473312932</v>
      </c>
      <c r="Y797" s="270">
        <f>IF(L797="Complex",(INDEX('Escalators '!$M$176:$S$176,MATCH('Forecast capex'!J797,'Escalators '!$M$178:$S$178,0))/12+1)^((K797-J797)*12)-1,0)</f>
        <v>7.239891403380172E-2</v>
      </c>
      <c r="Z797" s="257">
        <f t="shared" si="175"/>
        <v>480.36089544350125</v>
      </c>
      <c r="AA797" s="257">
        <f t="shared" si="176"/>
        <v>498.6058717110925</v>
      </c>
      <c r="AB797" s="269">
        <f t="shared" si="177"/>
        <v>7385.5306048404127</v>
      </c>
      <c r="AC797" s="269">
        <f t="shared" si="178"/>
        <v>7385.5306048404127</v>
      </c>
      <c r="AD797" s="271" t="str">
        <f>INDEX('Global inputs'!$C$134:$C$171,MATCH(F797,'Global inputs'!$B$134:$B$171,0))</f>
        <v xml:space="preserve">System growth </v>
      </c>
      <c r="AE797" s="272">
        <f>IF(OR(H797='Operating leases'!$B$32,H797='Operating leases'!$B$33),"",INDEX('Global inputs'!$C$186:$C$243,MATCH(E797,'Global inputs'!$B$186:$B$243,0)))</f>
        <v>0.1</v>
      </c>
    </row>
    <row r="798" spans="1:31" s="27" customFormat="1" x14ac:dyDescent="0.2">
      <c r="A798" s="250"/>
      <c r="B798" s="210" t="s">
        <v>746</v>
      </c>
      <c r="C798" s="210" t="s">
        <v>291</v>
      </c>
      <c r="D798" s="210" t="s">
        <v>735</v>
      </c>
      <c r="E798" s="210" t="s">
        <v>175</v>
      </c>
      <c r="F798" s="210" t="s">
        <v>79</v>
      </c>
      <c r="G798" s="210" t="s">
        <v>748</v>
      </c>
      <c r="H798" s="197">
        <v>0</v>
      </c>
      <c r="I798" s="210" t="s">
        <v>221</v>
      </c>
      <c r="J798" s="210">
        <v>2022</v>
      </c>
      <c r="K798" s="210">
        <v>2024</v>
      </c>
      <c r="L798" s="268" t="str">
        <f t="shared" si="166"/>
        <v>Complex</v>
      </c>
      <c r="M798" s="197">
        <v>26539.674074074072</v>
      </c>
      <c r="N798" s="197">
        <v>0</v>
      </c>
      <c r="O798" s="257">
        <f>IF(ISNA(MATCH(H798,'Operating leases'!$B$32:$B$43,0)),0,INDEX('Operating leases'!$M$32:$S$43,MATCH(H798,'Operating leases'!$B$32:$B$43,0),MATCH(J798,'Operating leases'!$M$11:$S$11,0)))</f>
        <v>0</v>
      </c>
      <c r="P798" s="257">
        <f t="shared" si="167"/>
        <v>26539.674074074072</v>
      </c>
      <c r="Q798" s="257">
        <f t="shared" si="168"/>
        <v>26539.674074074072</v>
      </c>
      <c r="R798" s="258">
        <f>INDEX('Escalators '!$M$124:$S$129,MATCH(I798,'Escalators '!$B$124:$B$129,0),MATCH(J798,'Escalators '!$M$113:$S$113,0))</f>
        <v>1.0272672933956697</v>
      </c>
      <c r="S798" s="257">
        <f t="shared" si="169"/>
        <v>0</v>
      </c>
      <c r="T798" s="257">
        <f t="shared" si="170"/>
        <v>0</v>
      </c>
      <c r="U798" s="269">
        <f t="shared" si="171"/>
        <v>27263.339153677298</v>
      </c>
      <c r="V798" s="269">
        <f t="shared" si="172"/>
        <v>27263.339153677298</v>
      </c>
      <c r="W798" s="269">
        <f t="shared" si="173"/>
        <v>27263.339153677298</v>
      </c>
      <c r="X798" s="257">
        <f t="shared" si="174"/>
        <v>27263.339153677298</v>
      </c>
      <c r="Y798" s="270">
        <f>IF(L798="Complex",(INDEX('Escalators '!$M$176:$S$176,MATCH('Forecast capex'!J798,'Escalators '!$M$178:$S$178,0))/12+1)^((K798-J798)*12)-1,0)</f>
        <v>7.239891403380172E-2</v>
      </c>
      <c r="Z798" s="257">
        <f t="shared" si="175"/>
        <v>1921.443581774005</v>
      </c>
      <c r="AA798" s="257">
        <f t="shared" si="176"/>
        <v>1973.8361476614632</v>
      </c>
      <c r="AB798" s="269">
        <f t="shared" si="177"/>
        <v>29237.175301338761</v>
      </c>
      <c r="AC798" s="269">
        <f t="shared" si="178"/>
        <v>29237.175301338761</v>
      </c>
      <c r="AD798" s="271" t="str">
        <f>INDEX('Global inputs'!$C$134:$C$171,MATCH(F798,'Global inputs'!$B$134:$B$171,0))</f>
        <v xml:space="preserve">System growth </v>
      </c>
      <c r="AE798" s="272">
        <f>IF(OR(H798='Operating leases'!$B$32,H798='Operating leases'!$B$33),"",INDEX('Global inputs'!$C$186:$C$243,MATCH(E798,'Global inputs'!$B$186:$B$243,0)))</f>
        <v>0.1</v>
      </c>
    </row>
    <row r="799" spans="1:31" s="27" customFormat="1" x14ac:dyDescent="0.2">
      <c r="A799" s="250"/>
      <c r="B799" s="210" t="s">
        <v>714</v>
      </c>
      <c r="C799" s="210" t="s">
        <v>284</v>
      </c>
      <c r="D799" s="210" t="s">
        <v>715</v>
      </c>
      <c r="E799" s="210" t="s">
        <v>127</v>
      </c>
      <c r="F799" s="210" t="s">
        <v>92</v>
      </c>
      <c r="G799" s="210" t="s">
        <v>716</v>
      </c>
      <c r="H799" s="197">
        <v>0</v>
      </c>
      <c r="I799" s="210" t="s">
        <v>229</v>
      </c>
      <c r="J799" s="210">
        <v>2023</v>
      </c>
      <c r="K799" s="210">
        <v>2023</v>
      </c>
      <c r="L799" s="268" t="str">
        <f t="shared" si="166"/>
        <v>Simple</v>
      </c>
      <c r="M799" s="197">
        <v>6202.5245559236391</v>
      </c>
      <c r="N799" s="197">
        <v>9303.7868338854569</v>
      </c>
      <c r="O799" s="257">
        <f>IF(ISNA(MATCH(H799,'Operating leases'!$B$32:$B$43,0)),0,INDEX('Operating leases'!$M$32:$S$43,MATCH(H799,'Operating leases'!$B$32:$B$43,0),MATCH(J799,'Operating leases'!$M$11:$S$11,0)))</f>
        <v>0</v>
      </c>
      <c r="P799" s="257">
        <f t="shared" si="167"/>
        <v>6202.5245559236391</v>
      </c>
      <c r="Q799" s="257">
        <f t="shared" si="168"/>
        <v>15506.311389809096</v>
      </c>
      <c r="R799" s="258">
        <f>INDEX('Escalators '!$M$124:$S$129,MATCH(I799,'Escalators '!$B$124:$B$129,0),MATCH(J799,'Escalators '!$M$113:$S$113,0))</f>
        <v>1.0553567720906862</v>
      </c>
      <c r="S799" s="257">
        <f t="shared" si="169"/>
        <v>0</v>
      </c>
      <c r="T799" s="257">
        <f t="shared" si="170"/>
        <v>9818.8144412291822</v>
      </c>
      <c r="U799" s="269">
        <f t="shared" si="171"/>
        <v>6545.8762941527875</v>
      </c>
      <c r="V799" s="269">
        <f t="shared" si="172"/>
        <v>16364.69073538197</v>
      </c>
      <c r="W799" s="269">
        <f t="shared" si="173"/>
        <v>6545.8762941527875</v>
      </c>
      <c r="X799" s="257">
        <f t="shared" si="174"/>
        <v>16364.69073538197</v>
      </c>
      <c r="Y799" s="270">
        <f>IF(L799="Complex",(INDEX('Escalators '!$M$176:$S$176,MATCH('Forecast capex'!J799,'Escalators '!$M$178:$S$178,0))/12+1)^((K799-J799)*12)-1,0)</f>
        <v>0</v>
      </c>
      <c r="Z799" s="257">
        <f t="shared" si="175"/>
        <v>0</v>
      </c>
      <c r="AA799" s="257">
        <f t="shared" si="176"/>
        <v>0</v>
      </c>
      <c r="AB799" s="269">
        <f t="shared" si="177"/>
        <v>0</v>
      </c>
      <c r="AC799" s="269">
        <f t="shared" si="178"/>
        <v>0</v>
      </c>
      <c r="AD799" s="271" t="str">
        <f>INDEX('Global inputs'!$C$134:$C$171,MATCH(F799,'Global inputs'!$B$134:$B$171,0))</f>
        <v>Asset relocations and undergrounding</v>
      </c>
      <c r="AE799" s="272">
        <f>IF(OR(H799='Operating leases'!$B$32,H799='Operating leases'!$B$33),"",INDEX('Global inputs'!$C$186:$C$243,MATCH(E799,'Global inputs'!$B$186:$B$243,0)))</f>
        <v>0.08</v>
      </c>
    </row>
    <row r="800" spans="1:31" s="27" customFormat="1" x14ac:dyDescent="0.2">
      <c r="A800" s="250"/>
      <c r="B800" s="210" t="s">
        <v>714</v>
      </c>
      <c r="C800" s="210" t="s">
        <v>284</v>
      </c>
      <c r="D800" s="210" t="s">
        <v>715</v>
      </c>
      <c r="E800" s="210" t="s">
        <v>127</v>
      </c>
      <c r="F800" s="210" t="s">
        <v>92</v>
      </c>
      <c r="G800" s="210" t="s">
        <v>716</v>
      </c>
      <c r="H800" s="197">
        <v>0</v>
      </c>
      <c r="I800" s="210" t="s">
        <v>221</v>
      </c>
      <c r="J800" s="210">
        <v>2023</v>
      </c>
      <c r="K800" s="210">
        <v>2023</v>
      </c>
      <c r="L800" s="268" t="str">
        <f t="shared" si="166"/>
        <v>Simple</v>
      </c>
      <c r="M800" s="197">
        <v>6202.5245559236391</v>
      </c>
      <c r="N800" s="197">
        <v>9303.7868338854569</v>
      </c>
      <c r="O800" s="257">
        <f>IF(ISNA(MATCH(H800,'Operating leases'!$B$32:$B$43,0)),0,INDEX('Operating leases'!$M$32:$S$43,MATCH(H800,'Operating leases'!$B$32:$B$43,0),MATCH(J800,'Operating leases'!$M$11:$S$11,0)))</f>
        <v>0</v>
      </c>
      <c r="P800" s="257">
        <f t="shared" si="167"/>
        <v>6202.5245559236391</v>
      </c>
      <c r="Q800" s="257">
        <f t="shared" si="168"/>
        <v>15506.311389809096</v>
      </c>
      <c r="R800" s="258">
        <f>INDEX('Escalators '!$M$124:$S$129,MATCH(I800,'Escalators '!$B$124:$B$129,0),MATCH(J800,'Escalators '!$M$113:$S$113,0))</f>
        <v>1.0486791854231625</v>
      </c>
      <c r="S800" s="257">
        <f t="shared" si="169"/>
        <v>0</v>
      </c>
      <c r="T800" s="257">
        <f t="shared" si="170"/>
        <v>9756.6875983097452</v>
      </c>
      <c r="U800" s="269">
        <f t="shared" si="171"/>
        <v>6504.4583988731647</v>
      </c>
      <c r="V800" s="269">
        <f t="shared" si="172"/>
        <v>16261.14599718291</v>
      </c>
      <c r="W800" s="269">
        <f t="shared" si="173"/>
        <v>6504.4583988731647</v>
      </c>
      <c r="X800" s="257">
        <f t="shared" si="174"/>
        <v>16261.14599718291</v>
      </c>
      <c r="Y800" s="270">
        <f>IF(L800="Complex",(INDEX('Escalators '!$M$176:$S$176,MATCH('Forecast capex'!J800,'Escalators '!$M$178:$S$178,0))/12+1)^((K800-J800)*12)-1,0)</f>
        <v>0</v>
      </c>
      <c r="Z800" s="257">
        <f t="shared" si="175"/>
        <v>0</v>
      </c>
      <c r="AA800" s="257">
        <f t="shared" si="176"/>
        <v>0</v>
      </c>
      <c r="AB800" s="269">
        <f t="shared" si="177"/>
        <v>0</v>
      </c>
      <c r="AC800" s="269">
        <f t="shared" si="178"/>
        <v>0</v>
      </c>
      <c r="AD800" s="271" t="str">
        <f>INDEX('Global inputs'!$C$134:$C$171,MATCH(F800,'Global inputs'!$B$134:$B$171,0))</f>
        <v>Asset relocations and undergrounding</v>
      </c>
      <c r="AE800" s="272">
        <f>IF(OR(H800='Operating leases'!$B$32,H800='Operating leases'!$B$33),"",INDEX('Global inputs'!$C$186:$C$243,MATCH(E800,'Global inputs'!$B$186:$B$243,0)))</f>
        <v>0.08</v>
      </c>
    </row>
    <row r="801" spans="1:31" s="27" customFormat="1" x14ac:dyDescent="0.2">
      <c r="A801" s="250"/>
      <c r="B801" s="210" t="s">
        <v>714</v>
      </c>
      <c r="C801" s="210" t="s">
        <v>284</v>
      </c>
      <c r="D801" s="210" t="s">
        <v>715</v>
      </c>
      <c r="E801" s="210" t="s">
        <v>129</v>
      </c>
      <c r="F801" s="210" t="s">
        <v>92</v>
      </c>
      <c r="G801" s="210" t="s">
        <v>716</v>
      </c>
      <c r="H801" s="197">
        <v>0</v>
      </c>
      <c r="I801" s="210" t="s">
        <v>229</v>
      </c>
      <c r="J801" s="210">
        <v>2023</v>
      </c>
      <c r="K801" s="210">
        <v>2023</v>
      </c>
      <c r="L801" s="268" t="str">
        <f t="shared" si="166"/>
        <v>Simple</v>
      </c>
      <c r="M801" s="197">
        <v>6202.5245559236391</v>
      </c>
      <c r="N801" s="197">
        <v>9303.7868338854569</v>
      </c>
      <c r="O801" s="257">
        <f>IF(ISNA(MATCH(H801,'Operating leases'!$B$32:$B$43,0)),0,INDEX('Operating leases'!$M$32:$S$43,MATCH(H801,'Operating leases'!$B$32:$B$43,0),MATCH(J801,'Operating leases'!$M$11:$S$11,0)))</f>
        <v>0</v>
      </c>
      <c r="P801" s="257">
        <f t="shared" si="167"/>
        <v>6202.5245559236391</v>
      </c>
      <c r="Q801" s="257">
        <f t="shared" si="168"/>
        <v>15506.311389809096</v>
      </c>
      <c r="R801" s="258">
        <f>INDEX('Escalators '!$M$124:$S$129,MATCH(I801,'Escalators '!$B$124:$B$129,0),MATCH(J801,'Escalators '!$M$113:$S$113,0))</f>
        <v>1.0553567720906862</v>
      </c>
      <c r="S801" s="257">
        <f t="shared" si="169"/>
        <v>0</v>
      </c>
      <c r="T801" s="257">
        <f t="shared" si="170"/>
        <v>9818.8144412291822</v>
      </c>
      <c r="U801" s="269">
        <f t="shared" si="171"/>
        <v>6545.8762941527875</v>
      </c>
      <c r="V801" s="269">
        <f t="shared" si="172"/>
        <v>16364.69073538197</v>
      </c>
      <c r="W801" s="269">
        <f t="shared" si="173"/>
        <v>6545.8762941527875</v>
      </c>
      <c r="X801" s="257">
        <f t="shared" si="174"/>
        <v>16364.69073538197</v>
      </c>
      <c r="Y801" s="270">
        <f>IF(L801="Complex",(INDEX('Escalators '!$M$176:$S$176,MATCH('Forecast capex'!J801,'Escalators '!$M$178:$S$178,0))/12+1)^((K801-J801)*12)-1,0)</f>
        <v>0</v>
      </c>
      <c r="Z801" s="257">
        <f t="shared" si="175"/>
        <v>0</v>
      </c>
      <c r="AA801" s="257">
        <f t="shared" si="176"/>
        <v>0</v>
      </c>
      <c r="AB801" s="269">
        <f t="shared" si="177"/>
        <v>0</v>
      </c>
      <c r="AC801" s="269">
        <f t="shared" si="178"/>
        <v>0</v>
      </c>
      <c r="AD801" s="271" t="str">
        <f>INDEX('Global inputs'!$C$134:$C$171,MATCH(F801,'Global inputs'!$B$134:$B$171,0))</f>
        <v>Asset relocations and undergrounding</v>
      </c>
      <c r="AE801" s="272">
        <f>IF(OR(H801='Operating leases'!$B$32,H801='Operating leases'!$B$33),"",INDEX('Global inputs'!$C$186:$C$243,MATCH(E801,'Global inputs'!$B$186:$B$243,0)))</f>
        <v>0.1</v>
      </c>
    </row>
    <row r="802" spans="1:31" s="27" customFormat="1" x14ac:dyDescent="0.2">
      <c r="A802" s="250"/>
      <c r="B802" s="210" t="s">
        <v>714</v>
      </c>
      <c r="C802" s="210" t="s">
        <v>284</v>
      </c>
      <c r="D802" s="210" t="s">
        <v>715</v>
      </c>
      <c r="E802" s="210" t="s">
        <v>129</v>
      </c>
      <c r="F802" s="210" t="s">
        <v>92</v>
      </c>
      <c r="G802" s="210" t="s">
        <v>716</v>
      </c>
      <c r="H802" s="197">
        <v>0</v>
      </c>
      <c r="I802" s="210" t="s">
        <v>221</v>
      </c>
      <c r="J802" s="210">
        <v>2023</v>
      </c>
      <c r="K802" s="210">
        <v>2023</v>
      </c>
      <c r="L802" s="268" t="str">
        <f t="shared" si="166"/>
        <v>Simple</v>
      </c>
      <c r="M802" s="197">
        <v>6202.5245559236391</v>
      </c>
      <c r="N802" s="197">
        <v>9303.7868338854569</v>
      </c>
      <c r="O802" s="257">
        <f>IF(ISNA(MATCH(H802,'Operating leases'!$B$32:$B$43,0)),0,INDEX('Operating leases'!$M$32:$S$43,MATCH(H802,'Operating leases'!$B$32:$B$43,0),MATCH(J802,'Operating leases'!$M$11:$S$11,0)))</f>
        <v>0</v>
      </c>
      <c r="P802" s="257">
        <f t="shared" si="167"/>
        <v>6202.5245559236391</v>
      </c>
      <c r="Q802" s="257">
        <f t="shared" si="168"/>
        <v>15506.311389809096</v>
      </c>
      <c r="R802" s="258">
        <f>INDEX('Escalators '!$M$124:$S$129,MATCH(I802,'Escalators '!$B$124:$B$129,0),MATCH(J802,'Escalators '!$M$113:$S$113,0))</f>
        <v>1.0486791854231625</v>
      </c>
      <c r="S802" s="257">
        <f t="shared" si="169"/>
        <v>0</v>
      </c>
      <c r="T802" s="257">
        <f t="shared" si="170"/>
        <v>9756.6875983097452</v>
      </c>
      <c r="U802" s="269">
        <f t="shared" si="171"/>
        <v>6504.4583988731647</v>
      </c>
      <c r="V802" s="269">
        <f t="shared" si="172"/>
        <v>16261.14599718291</v>
      </c>
      <c r="W802" s="269">
        <f t="shared" si="173"/>
        <v>6504.4583988731647</v>
      </c>
      <c r="X802" s="257">
        <f t="shared" si="174"/>
        <v>16261.14599718291</v>
      </c>
      <c r="Y802" s="270">
        <f>IF(L802="Complex",(INDEX('Escalators '!$M$176:$S$176,MATCH('Forecast capex'!J802,'Escalators '!$M$178:$S$178,0))/12+1)^((K802-J802)*12)-1,0)</f>
        <v>0</v>
      </c>
      <c r="Z802" s="257">
        <f t="shared" si="175"/>
        <v>0</v>
      </c>
      <c r="AA802" s="257">
        <f t="shared" si="176"/>
        <v>0</v>
      </c>
      <c r="AB802" s="269">
        <f t="shared" si="177"/>
        <v>0</v>
      </c>
      <c r="AC802" s="269">
        <f t="shared" si="178"/>
        <v>0</v>
      </c>
      <c r="AD802" s="271" t="str">
        <f>INDEX('Global inputs'!$C$134:$C$171,MATCH(F802,'Global inputs'!$B$134:$B$171,0))</f>
        <v>Asset relocations and undergrounding</v>
      </c>
      <c r="AE802" s="272">
        <f>IF(OR(H802='Operating leases'!$B$32,H802='Operating leases'!$B$33),"",INDEX('Global inputs'!$C$186:$C$243,MATCH(E802,'Global inputs'!$B$186:$B$243,0)))</f>
        <v>0.1</v>
      </c>
    </row>
    <row r="803" spans="1:31" s="27" customFormat="1" x14ac:dyDescent="0.2">
      <c r="A803" s="250"/>
      <c r="B803" s="210" t="s">
        <v>714</v>
      </c>
      <c r="C803" s="210" t="s">
        <v>287</v>
      </c>
      <c r="D803" s="210" t="s">
        <v>715</v>
      </c>
      <c r="E803" s="210" t="s">
        <v>150</v>
      </c>
      <c r="F803" s="210" t="s">
        <v>92</v>
      </c>
      <c r="G803" s="210" t="s">
        <v>716</v>
      </c>
      <c r="H803" s="197">
        <v>0</v>
      </c>
      <c r="I803" s="210" t="s">
        <v>229</v>
      </c>
      <c r="J803" s="210">
        <v>2023</v>
      </c>
      <c r="K803" s="210">
        <v>2023</v>
      </c>
      <c r="L803" s="268" t="str">
        <f t="shared" si="166"/>
        <v>Simple</v>
      </c>
      <c r="M803" s="197">
        <v>24810.098223694557</v>
      </c>
      <c r="N803" s="197">
        <v>37215.147335541827</v>
      </c>
      <c r="O803" s="257">
        <f>IF(ISNA(MATCH(H803,'Operating leases'!$B$32:$B$43,0)),0,INDEX('Operating leases'!$M$32:$S$43,MATCH(H803,'Operating leases'!$B$32:$B$43,0),MATCH(J803,'Operating leases'!$M$11:$S$11,0)))</f>
        <v>0</v>
      </c>
      <c r="P803" s="257">
        <f t="shared" si="167"/>
        <v>24810.098223694557</v>
      </c>
      <c r="Q803" s="257">
        <f t="shared" si="168"/>
        <v>62025.245559236384</v>
      </c>
      <c r="R803" s="258">
        <f>INDEX('Escalators '!$M$124:$S$129,MATCH(I803,'Escalators '!$B$124:$B$129,0),MATCH(J803,'Escalators '!$M$113:$S$113,0))</f>
        <v>1.0553567720906862</v>
      </c>
      <c r="S803" s="257">
        <f t="shared" si="169"/>
        <v>0</v>
      </c>
      <c r="T803" s="257">
        <f t="shared" si="170"/>
        <v>39275.257764916729</v>
      </c>
      <c r="U803" s="269">
        <f t="shared" si="171"/>
        <v>26183.50517661115</v>
      </c>
      <c r="V803" s="269">
        <f t="shared" si="172"/>
        <v>65458.762941527879</v>
      </c>
      <c r="W803" s="269">
        <f t="shared" si="173"/>
        <v>26183.50517661115</v>
      </c>
      <c r="X803" s="257">
        <f t="shared" si="174"/>
        <v>65458.762941527879</v>
      </c>
      <c r="Y803" s="270">
        <f>IF(L803="Complex",(INDEX('Escalators '!$M$176:$S$176,MATCH('Forecast capex'!J803,'Escalators '!$M$178:$S$178,0))/12+1)^((K803-J803)*12)-1,0)</f>
        <v>0</v>
      </c>
      <c r="Z803" s="257">
        <f t="shared" si="175"/>
        <v>0</v>
      </c>
      <c r="AA803" s="257">
        <f t="shared" si="176"/>
        <v>0</v>
      </c>
      <c r="AB803" s="269">
        <f t="shared" si="177"/>
        <v>0</v>
      </c>
      <c r="AC803" s="269">
        <f t="shared" si="178"/>
        <v>0</v>
      </c>
      <c r="AD803" s="271" t="str">
        <f>INDEX('Global inputs'!$C$134:$C$171,MATCH(F803,'Global inputs'!$B$134:$B$171,0))</f>
        <v>Asset relocations and undergrounding</v>
      </c>
      <c r="AE803" s="272">
        <f>IF(OR(H803='Operating leases'!$B$32,H803='Operating leases'!$B$33),"",INDEX('Global inputs'!$C$186:$C$243,MATCH(E803,'Global inputs'!$B$186:$B$243,0)))</f>
        <v>0.08</v>
      </c>
    </row>
    <row r="804" spans="1:31" s="27" customFormat="1" x14ac:dyDescent="0.2">
      <c r="A804" s="250"/>
      <c r="B804" s="210" t="s">
        <v>714</v>
      </c>
      <c r="C804" s="210" t="s">
        <v>287</v>
      </c>
      <c r="D804" s="210" t="s">
        <v>715</v>
      </c>
      <c r="E804" s="210" t="s">
        <v>150</v>
      </c>
      <c r="F804" s="210" t="s">
        <v>92</v>
      </c>
      <c r="G804" s="210" t="s">
        <v>716</v>
      </c>
      <c r="H804" s="197">
        <v>0</v>
      </c>
      <c r="I804" s="210" t="s">
        <v>221</v>
      </c>
      <c r="J804" s="210">
        <v>2023</v>
      </c>
      <c r="K804" s="210">
        <v>2023</v>
      </c>
      <c r="L804" s="268" t="str">
        <f t="shared" si="166"/>
        <v>Simple</v>
      </c>
      <c r="M804" s="197">
        <v>24810.098223694557</v>
      </c>
      <c r="N804" s="197">
        <v>37215.147335541827</v>
      </c>
      <c r="O804" s="257">
        <f>IF(ISNA(MATCH(H804,'Operating leases'!$B$32:$B$43,0)),0,INDEX('Operating leases'!$M$32:$S$43,MATCH(H804,'Operating leases'!$B$32:$B$43,0),MATCH(J804,'Operating leases'!$M$11:$S$11,0)))</f>
        <v>0</v>
      </c>
      <c r="P804" s="257">
        <f t="shared" si="167"/>
        <v>24810.098223694557</v>
      </c>
      <c r="Q804" s="257">
        <f t="shared" si="168"/>
        <v>62025.245559236384</v>
      </c>
      <c r="R804" s="258">
        <f>INDEX('Escalators '!$M$124:$S$129,MATCH(I804,'Escalators '!$B$124:$B$129,0),MATCH(J804,'Escalators '!$M$113:$S$113,0))</f>
        <v>1.0486791854231625</v>
      </c>
      <c r="S804" s="257">
        <f t="shared" si="169"/>
        <v>0</v>
      </c>
      <c r="T804" s="257">
        <f t="shared" si="170"/>
        <v>39026.750393238981</v>
      </c>
      <c r="U804" s="269">
        <f t="shared" si="171"/>
        <v>26017.833595492659</v>
      </c>
      <c r="V804" s="269">
        <f t="shared" si="172"/>
        <v>65044.58398873164</v>
      </c>
      <c r="W804" s="269">
        <f t="shared" si="173"/>
        <v>26017.833595492659</v>
      </c>
      <c r="X804" s="257">
        <f t="shared" si="174"/>
        <v>65044.58398873164</v>
      </c>
      <c r="Y804" s="270">
        <f>IF(L804="Complex",(INDEX('Escalators '!$M$176:$S$176,MATCH('Forecast capex'!J804,'Escalators '!$M$178:$S$178,0))/12+1)^((K804-J804)*12)-1,0)</f>
        <v>0</v>
      </c>
      <c r="Z804" s="257">
        <f t="shared" si="175"/>
        <v>0</v>
      </c>
      <c r="AA804" s="257">
        <f t="shared" si="176"/>
        <v>0</v>
      </c>
      <c r="AB804" s="269">
        <f t="shared" si="177"/>
        <v>0</v>
      </c>
      <c r="AC804" s="269">
        <f t="shared" si="178"/>
        <v>0</v>
      </c>
      <c r="AD804" s="271" t="str">
        <f>INDEX('Global inputs'!$C$134:$C$171,MATCH(F804,'Global inputs'!$B$134:$B$171,0))</f>
        <v>Asset relocations and undergrounding</v>
      </c>
      <c r="AE804" s="272">
        <f>IF(OR(H804='Operating leases'!$B$32,H804='Operating leases'!$B$33),"",INDEX('Global inputs'!$C$186:$C$243,MATCH(E804,'Global inputs'!$B$186:$B$243,0)))</f>
        <v>0.08</v>
      </c>
    </row>
    <row r="805" spans="1:31" s="27" customFormat="1" x14ac:dyDescent="0.2">
      <c r="A805" s="250"/>
      <c r="B805" s="210" t="s">
        <v>714</v>
      </c>
      <c r="C805" s="210" t="s">
        <v>287</v>
      </c>
      <c r="D805" s="210" t="s">
        <v>715</v>
      </c>
      <c r="E805" s="210" t="s">
        <v>151</v>
      </c>
      <c r="F805" s="210" t="s">
        <v>92</v>
      </c>
      <c r="G805" s="210" t="s">
        <v>716</v>
      </c>
      <c r="H805" s="197">
        <v>0</v>
      </c>
      <c r="I805" s="210" t="s">
        <v>229</v>
      </c>
      <c r="J805" s="210">
        <v>2023</v>
      </c>
      <c r="K805" s="210">
        <v>2023</v>
      </c>
      <c r="L805" s="268" t="str">
        <f t="shared" si="166"/>
        <v>Simple</v>
      </c>
      <c r="M805" s="197">
        <v>24810.098223694557</v>
      </c>
      <c r="N805" s="197">
        <v>37215.147335541827</v>
      </c>
      <c r="O805" s="257">
        <f>IF(ISNA(MATCH(H805,'Operating leases'!$B$32:$B$43,0)),0,INDEX('Operating leases'!$M$32:$S$43,MATCH(H805,'Operating leases'!$B$32:$B$43,0),MATCH(J805,'Operating leases'!$M$11:$S$11,0)))</f>
        <v>0</v>
      </c>
      <c r="P805" s="257">
        <f t="shared" si="167"/>
        <v>24810.098223694557</v>
      </c>
      <c r="Q805" s="257">
        <f t="shared" si="168"/>
        <v>62025.245559236384</v>
      </c>
      <c r="R805" s="258">
        <f>INDEX('Escalators '!$M$124:$S$129,MATCH(I805,'Escalators '!$B$124:$B$129,0),MATCH(J805,'Escalators '!$M$113:$S$113,0))</f>
        <v>1.0553567720906862</v>
      </c>
      <c r="S805" s="257">
        <f t="shared" si="169"/>
        <v>0</v>
      </c>
      <c r="T805" s="257">
        <f t="shared" si="170"/>
        <v>39275.257764916729</v>
      </c>
      <c r="U805" s="269">
        <f t="shared" si="171"/>
        <v>26183.50517661115</v>
      </c>
      <c r="V805" s="269">
        <f t="shared" si="172"/>
        <v>65458.762941527879</v>
      </c>
      <c r="W805" s="269">
        <f t="shared" si="173"/>
        <v>26183.50517661115</v>
      </c>
      <c r="X805" s="257">
        <f t="shared" si="174"/>
        <v>65458.762941527879</v>
      </c>
      <c r="Y805" s="270">
        <f>IF(L805="Complex",(INDEX('Escalators '!$M$176:$S$176,MATCH('Forecast capex'!J805,'Escalators '!$M$178:$S$178,0))/12+1)^((K805-J805)*12)-1,0)</f>
        <v>0</v>
      </c>
      <c r="Z805" s="257">
        <f t="shared" si="175"/>
        <v>0</v>
      </c>
      <c r="AA805" s="257">
        <f t="shared" si="176"/>
        <v>0</v>
      </c>
      <c r="AB805" s="269">
        <f t="shared" si="177"/>
        <v>0</v>
      </c>
      <c r="AC805" s="269">
        <f t="shared" si="178"/>
        <v>0</v>
      </c>
      <c r="AD805" s="271" t="str">
        <f>INDEX('Global inputs'!$C$134:$C$171,MATCH(F805,'Global inputs'!$B$134:$B$171,0))</f>
        <v>Asset relocations and undergrounding</v>
      </c>
      <c r="AE805" s="272">
        <f>IF(OR(H805='Operating leases'!$B$32,H805='Operating leases'!$B$33),"",INDEX('Global inputs'!$C$186:$C$243,MATCH(E805,'Global inputs'!$B$186:$B$243,0)))</f>
        <v>0.1</v>
      </c>
    </row>
    <row r="806" spans="1:31" s="27" customFormat="1" x14ac:dyDescent="0.2">
      <c r="A806" s="250"/>
      <c r="B806" s="210" t="s">
        <v>714</v>
      </c>
      <c r="C806" s="210" t="s">
        <v>287</v>
      </c>
      <c r="D806" s="210" t="s">
        <v>715</v>
      </c>
      <c r="E806" s="210" t="s">
        <v>151</v>
      </c>
      <c r="F806" s="210" t="s">
        <v>92</v>
      </c>
      <c r="G806" s="210" t="s">
        <v>716</v>
      </c>
      <c r="H806" s="197">
        <v>0</v>
      </c>
      <c r="I806" s="210" t="s">
        <v>221</v>
      </c>
      <c r="J806" s="210">
        <v>2023</v>
      </c>
      <c r="K806" s="210">
        <v>2023</v>
      </c>
      <c r="L806" s="268" t="str">
        <f t="shared" si="166"/>
        <v>Simple</v>
      </c>
      <c r="M806" s="197">
        <v>24810.098223694557</v>
      </c>
      <c r="N806" s="197">
        <v>37215.147335541827</v>
      </c>
      <c r="O806" s="257">
        <f>IF(ISNA(MATCH(H806,'Operating leases'!$B$32:$B$43,0)),0,INDEX('Operating leases'!$M$32:$S$43,MATCH(H806,'Operating leases'!$B$32:$B$43,0),MATCH(J806,'Operating leases'!$M$11:$S$11,0)))</f>
        <v>0</v>
      </c>
      <c r="P806" s="257">
        <f t="shared" si="167"/>
        <v>24810.098223694557</v>
      </c>
      <c r="Q806" s="257">
        <f t="shared" si="168"/>
        <v>62025.245559236384</v>
      </c>
      <c r="R806" s="258">
        <f>INDEX('Escalators '!$M$124:$S$129,MATCH(I806,'Escalators '!$B$124:$B$129,0),MATCH(J806,'Escalators '!$M$113:$S$113,0))</f>
        <v>1.0486791854231625</v>
      </c>
      <c r="S806" s="257">
        <f t="shared" si="169"/>
        <v>0</v>
      </c>
      <c r="T806" s="257">
        <f t="shared" si="170"/>
        <v>39026.750393238981</v>
      </c>
      <c r="U806" s="269">
        <f t="shared" si="171"/>
        <v>26017.833595492659</v>
      </c>
      <c r="V806" s="269">
        <f t="shared" si="172"/>
        <v>65044.58398873164</v>
      </c>
      <c r="W806" s="269">
        <f t="shared" si="173"/>
        <v>26017.833595492659</v>
      </c>
      <c r="X806" s="257">
        <f t="shared" si="174"/>
        <v>65044.58398873164</v>
      </c>
      <c r="Y806" s="270">
        <f>IF(L806="Complex",(INDEX('Escalators '!$M$176:$S$176,MATCH('Forecast capex'!J806,'Escalators '!$M$178:$S$178,0))/12+1)^((K806-J806)*12)-1,0)</f>
        <v>0</v>
      </c>
      <c r="Z806" s="257">
        <f t="shared" si="175"/>
        <v>0</v>
      </c>
      <c r="AA806" s="257">
        <f t="shared" si="176"/>
        <v>0</v>
      </c>
      <c r="AB806" s="269">
        <f t="shared" si="177"/>
        <v>0</v>
      </c>
      <c r="AC806" s="269">
        <f t="shared" si="178"/>
        <v>0</v>
      </c>
      <c r="AD806" s="271" t="str">
        <f>INDEX('Global inputs'!$C$134:$C$171,MATCH(F806,'Global inputs'!$B$134:$B$171,0))</f>
        <v>Asset relocations and undergrounding</v>
      </c>
      <c r="AE806" s="272">
        <f>IF(OR(H806='Operating leases'!$B$32,H806='Operating leases'!$B$33),"",INDEX('Global inputs'!$C$186:$C$243,MATCH(E806,'Global inputs'!$B$186:$B$243,0)))</f>
        <v>0.1</v>
      </c>
    </row>
    <row r="807" spans="1:31" s="27" customFormat="1" x14ac:dyDescent="0.2">
      <c r="A807" s="250"/>
      <c r="B807" s="210" t="s">
        <v>714</v>
      </c>
      <c r="C807" s="210" t="s">
        <v>287</v>
      </c>
      <c r="D807" s="210" t="s">
        <v>715</v>
      </c>
      <c r="E807" s="210" t="s">
        <v>153</v>
      </c>
      <c r="F807" s="210" t="s">
        <v>92</v>
      </c>
      <c r="G807" s="210" t="s">
        <v>716</v>
      </c>
      <c r="H807" s="197">
        <v>0</v>
      </c>
      <c r="I807" s="210" t="s">
        <v>229</v>
      </c>
      <c r="J807" s="210">
        <v>2023</v>
      </c>
      <c r="K807" s="210">
        <v>2023</v>
      </c>
      <c r="L807" s="268" t="str">
        <f t="shared" si="166"/>
        <v>Simple</v>
      </c>
      <c r="M807" s="197">
        <v>1127.7317374406618</v>
      </c>
      <c r="N807" s="197">
        <v>1691.5976061609927</v>
      </c>
      <c r="O807" s="257">
        <f>IF(ISNA(MATCH(H807,'Operating leases'!$B$32:$B$43,0)),0,INDEX('Operating leases'!$M$32:$S$43,MATCH(H807,'Operating leases'!$B$32:$B$43,0),MATCH(J807,'Operating leases'!$M$11:$S$11,0)))</f>
        <v>0</v>
      </c>
      <c r="P807" s="257">
        <f t="shared" si="167"/>
        <v>1127.7317374406618</v>
      </c>
      <c r="Q807" s="257">
        <f t="shared" si="168"/>
        <v>2819.3293436016547</v>
      </c>
      <c r="R807" s="258">
        <f>INDEX('Escalators '!$M$124:$S$129,MATCH(I807,'Escalators '!$B$124:$B$129,0),MATCH(J807,'Escalators '!$M$113:$S$113,0))</f>
        <v>1.0553567720906862</v>
      </c>
      <c r="S807" s="257">
        <f t="shared" si="169"/>
        <v>0</v>
      </c>
      <c r="T807" s="257">
        <f t="shared" si="170"/>
        <v>1785.238989314397</v>
      </c>
      <c r="U807" s="269">
        <f t="shared" si="171"/>
        <v>1190.1593262095987</v>
      </c>
      <c r="V807" s="269">
        <f t="shared" si="172"/>
        <v>2975.3983155239957</v>
      </c>
      <c r="W807" s="269">
        <f t="shared" si="173"/>
        <v>1190.1593262095987</v>
      </c>
      <c r="X807" s="257">
        <f t="shared" si="174"/>
        <v>2975.3983155239957</v>
      </c>
      <c r="Y807" s="270">
        <f>IF(L807="Complex",(INDEX('Escalators '!$M$176:$S$176,MATCH('Forecast capex'!J807,'Escalators '!$M$178:$S$178,0))/12+1)^((K807-J807)*12)-1,0)</f>
        <v>0</v>
      </c>
      <c r="Z807" s="257">
        <f t="shared" si="175"/>
        <v>0</v>
      </c>
      <c r="AA807" s="257">
        <f t="shared" si="176"/>
        <v>0</v>
      </c>
      <c r="AB807" s="269">
        <f t="shared" si="177"/>
        <v>0</v>
      </c>
      <c r="AC807" s="269">
        <f t="shared" si="178"/>
        <v>0</v>
      </c>
      <c r="AD807" s="271" t="str">
        <f>INDEX('Global inputs'!$C$134:$C$171,MATCH(F807,'Global inputs'!$B$134:$B$171,0))</f>
        <v>Asset relocations and undergrounding</v>
      </c>
      <c r="AE807" s="272">
        <f>IF(OR(H807='Operating leases'!$B$32,H807='Operating leases'!$B$33),"",INDEX('Global inputs'!$C$186:$C$243,MATCH(E807,'Global inputs'!$B$186:$B$243,0)))</f>
        <v>0.08</v>
      </c>
    </row>
    <row r="808" spans="1:31" s="27" customFormat="1" x14ac:dyDescent="0.2">
      <c r="A808" s="250"/>
      <c r="B808" s="210" t="s">
        <v>714</v>
      </c>
      <c r="C808" s="210" t="s">
        <v>287</v>
      </c>
      <c r="D808" s="210" t="s">
        <v>715</v>
      </c>
      <c r="E808" s="210" t="s">
        <v>153</v>
      </c>
      <c r="F808" s="210" t="s">
        <v>92</v>
      </c>
      <c r="G808" s="210" t="s">
        <v>716</v>
      </c>
      <c r="H808" s="197">
        <v>0</v>
      </c>
      <c r="I808" s="210" t="s">
        <v>221</v>
      </c>
      <c r="J808" s="210">
        <v>2023</v>
      </c>
      <c r="K808" s="210">
        <v>2023</v>
      </c>
      <c r="L808" s="268" t="str">
        <f t="shared" si="166"/>
        <v>Simple</v>
      </c>
      <c r="M808" s="197">
        <v>1127.7317374406618</v>
      </c>
      <c r="N808" s="197">
        <v>1691.5976061609927</v>
      </c>
      <c r="O808" s="257">
        <f>IF(ISNA(MATCH(H808,'Operating leases'!$B$32:$B$43,0)),0,INDEX('Operating leases'!$M$32:$S$43,MATCH(H808,'Operating leases'!$B$32:$B$43,0),MATCH(J808,'Operating leases'!$M$11:$S$11,0)))</f>
        <v>0</v>
      </c>
      <c r="P808" s="257">
        <f t="shared" si="167"/>
        <v>1127.7317374406618</v>
      </c>
      <c r="Q808" s="257">
        <f t="shared" si="168"/>
        <v>2819.3293436016547</v>
      </c>
      <c r="R808" s="258">
        <f>INDEX('Escalators '!$M$124:$S$129,MATCH(I808,'Escalators '!$B$124:$B$129,0),MATCH(J808,'Escalators '!$M$113:$S$113,0))</f>
        <v>1.0486791854231625</v>
      </c>
      <c r="S808" s="257">
        <f t="shared" si="169"/>
        <v>0</v>
      </c>
      <c r="T808" s="257">
        <f t="shared" si="170"/>
        <v>1773.9431996926814</v>
      </c>
      <c r="U808" s="269">
        <f t="shared" si="171"/>
        <v>1182.6287997951213</v>
      </c>
      <c r="V808" s="269">
        <f t="shared" si="172"/>
        <v>2956.5719994878027</v>
      </c>
      <c r="W808" s="269">
        <f t="shared" si="173"/>
        <v>1182.6287997951213</v>
      </c>
      <c r="X808" s="257">
        <f t="shared" si="174"/>
        <v>2956.5719994878027</v>
      </c>
      <c r="Y808" s="270">
        <f>IF(L808="Complex",(INDEX('Escalators '!$M$176:$S$176,MATCH('Forecast capex'!J808,'Escalators '!$M$178:$S$178,0))/12+1)^((K808-J808)*12)-1,0)</f>
        <v>0</v>
      </c>
      <c r="Z808" s="257">
        <f t="shared" si="175"/>
        <v>0</v>
      </c>
      <c r="AA808" s="257">
        <f t="shared" si="176"/>
        <v>0</v>
      </c>
      <c r="AB808" s="269">
        <f t="shared" si="177"/>
        <v>0</v>
      </c>
      <c r="AC808" s="269">
        <f t="shared" si="178"/>
        <v>0</v>
      </c>
      <c r="AD808" s="271" t="str">
        <f>INDEX('Global inputs'!$C$134:$C$171,MATCH(F808,'Global inputs'!$B$134:$B$171,0))</f>
        <v>Asset relocations and undergrounding</v>
      </c>
      <c r="AE808" s="272">
        <f>IF(OR(H808='Operating leases'!$B$32,H808='Operating leases'!$B$33),"",INDEX('Global inputs'!$C$186:$C$243,MATCH(E808,'Global inputs'!$B$186:$B$243,0)))</f>
        <v>0.08</v>
      </c>
    </row>
    <row r="809" spans="1:31" s="29" customFormat="1" x14ac:dyDescent="0.2">
      <c r="A809" s="267"/>
      <c r="B809" s="210" t="s">
        <v>714</v>
      </c>
      <c r="C809" s="210" t="s">
        <v>287</v>
      </c>
      <c r="D809" s="210" t="s">
        <v>715</v>
      </c>
      <c r="E809" s="210" t="s">
        <v>154</v>
      </c>
      <c r="F809" s="210" t="s">
        <v>92</v>
      </c>
      <c r="G809" s="210" t="s">
        <v>716</v>
      </c>
      <c r="H809" s="197">
        <v>0</v>
      </c>
      <c r="I809" s="210" t="s">
        <v>229</v>
      </c>
      <c r="J809" s="210">
        <v>2023</v>
      </c>
      <c r="K809" s="210">
        <v>2023</v>
      </c>
      <c r="L809" s="268" t="str">
        <f t="shared" si="166"/>
        <v>Simple</v>
      </c>
      <c r="M809" s="197">
        <v>1127.7317374406618</v>
      </c>
      <c r="N809" s="197">
        <v>1691.5976061609927</v>
      </c>
      <c r="O809" s="257">
        <f>IF(ISNA(MATCH(H809,'Operating leases'!$B$32:$B$43,0)),0,INDEX('Operating leases'!$M$32:$S$43,MATCH(H809,'Operating leases'!$B$32:$B$43,0),MATCH(J809,'Operating leases'!$M$11:$S$11,0)))</f>
        <v>0</v>
      </c>
      <c r="P809" s="257">
        <f t="shared" si="167"/>
        <v>1127.7317374406618</v>
      </c>
      <c r="Q809" s="257">
        <f t="shared" si="168"/>
        <v>2819.3293436016547</v>
      </c>
      <c r="R809" s="258">
        <f>INDEX('Escalators '!$M$124:$S$129,MATCH(I809,'Escalators '!$B$124:$B$129,0),MATCH(J809,'Escalators '!$M$113:$S$113,0))</f>
        <v>1.0553567720906862</v>
      </c>
      <c r="S809" s="257">
        <f t="shared" si="169"/>
        <v>0</v>
      </c>
      <c r="T809" s="257">
        <f t="shared" si="170"/>
        <v>1785.238989314397</v>
      </c>
      <c r="U809" s="269">
        <f t="shared" si="171"/>
        <v>1190.1593262095987</v>
      </c>
      <c r="V809" s="269">
        <f t="shared" si="172"/>
        <v>2975.3983155239957</v>
      </c>
      <c r="W809" s="269">
        <f t="shared" si="173"/>
        <v>1190.1593262095987</v>
      </c>
      <c r="X809" s="257">
        <f t="shared" si="174"/>
        <v>2975.3983155239957</v>
      </c>
      <c r="Y809" s="270">
        <f>IF(L809="Complex",(INDEX('Escalators '!$M$176:$S$176,MATCH('Forecast capex'!J809,'Escalators '!$M$178:$S$178,0))/12+1)^((K809-J809)*12)-1,0)</f>
        <v>0</v>
      </c>
      <c r="Z809" s="257">
        <f t="shared" si="175"/>
        <v>0</v>
      </c>
      <c r="AA809" s="257">
        <f t="shared" si="176"/>
        <v>0</v>
      </c>
      <c r="AB809" s="269">
        <f t="shared" si="177"/>
        <v>0</v>
      </c>
      <c r="AC809" s="269">
        <f t="shared" si="178"/>
        <v>0</v>
      </c>
      <c r="AD809" s="271" t="str">
        <f>INDEX('Global inputs'!$C$134:$C$171,MATCH(F809,'Global inputs'!$B$134:$B$171,0))</f>
        <v>Asset relocations and undergrounding</v>
      </c>
      <c r="AE809" s="272">
        <f>IF(OR(H809='Operating leases'!$B$32,H809='Operating leases'!$B$33),"",INDEX('Global inputs'!$C$186:$C$243,MATCH(E809,'Global inputs'!$B$186:$B$243,0)))</f>
        <v>0.1</v>
      </c>
    </row>
    <row r="810" spans="1:31" s="27" customFormat="1" x14ac:dyDescent="0.2">
      <c r="A810" s="250"/>
      <c r="B810" s="210" t="s">
        <v>714</v>
      </c>
      <c r="C810" s="210" t="s">
        <v>287</v>
      </c>
      <c r="D810" s="210" t="s">
        <v>715</v>
      </c>
      <c r="E810" s="210" t="s">
        <v>154</v>
      </c>
      <c r="F810" s="210" t="s">
        <v>92</v>
      </c>
      <c r="G810" s="210" t="s">
        <v>716</v>
      </c>
      <c r="H810" s="197">
        <v>0</v>
      </c>
      <c r="I810" s="210" t="s">
        <v>221</v>
      </c>
      <c r="J810" s="210">
        <v>2023</v>
      </c>
      <c r="K810" s="210">
        <v>2023</v>
      </c>
      <c r="L810" s="268" t="str">
        <f t="shared" si="166"/>
        <v>Simple</v>
      </c>
      <c r="M810" s="197">
        <v>1127.7317374406618</v>
      </c>
      <c r="N810" s="197">
        <v>1691.5976061609927</v>
      </c>
      <c r="O810" s="257">
        <f>IF(ISNA(MATCH(H810,'Operating leases'!$B$32:$B$43,0)),0,INDEX('Operating leases'!$M$32:$S$43,MATCH(H810,'Operating leases'!$B$32:$B$43,0),MATCH(J810,'Operating leases'!$M$11:$S$11,0)))</f>
        <v>0</v>
      </c>
      <c r="P810" s="257">
        <f t="shared" si="167"/>
        <v>1127.7317374406618</v>
      </c>
      <c r="Q810" s="257">
        <f t="shared" si="168"/>
        <v>2819.3293436016547</v>
      </c>
      <c r="R810" s="258">
        <f>INDEX('Escalators '!$M$124:$S$129,MATCH(I810,'Escalators '!$B$124:$B$129,0),MATCH(J810,'Escalators '!$M$113:$S$113,0))</f>
        <v>1.0486791854231625</v>
      </c>
      <c r="S810" s="257">
        <f t="shared" si="169"/>
        <v>0</v>
      </c>
      <c r="T810" s="257">
        <f t="shared" si="170"/>
        <v>1773.9431996926814</v>
      </c>
      <c r="U810" s="269">
        <f t="shared" si="171"/>
        <v>1182.6287997951213</v>
      </c>
      <c r="V810" s="269">
        <f t="shared" si="172"/>
        <v>2956.5719994878027</v>
      </c>
      <c r="W810" s="269">
        <f t="shared" si="173"/>
        <v>1182.6287997951213</v>
      </c>
      <c r="X810" s="257">
        <f t="shared" si="174"/>
        <v>2956.5719994878027</v>
      </c>
      <c r="Y810" s="270">
        <f>IF(L810="Complex",(INDEX('Escalators '!$M$176:$S$176,MATCH('Forecast capex'!J810,'Escalators '!$M$178:$S$178,0))/12+1)^((K810-J810)*12)-1,0)</f>
        <v>0</v>
      </c>
      <c r="Z810" s="257">
        <f t="shared" si="175"/>
        <v>0</v>
      </c>
      <c r="AA810" s="257">
        <f t="shared" si="176"/>
        <v>0</v>
      </c>
      <c r="AB810" s="269">
        <f t="shared" si="177"/>
        <v>0</v>
      </c>
      <c r="AC810" s="269">
        <f t="shared" si="178"/>
        <v>0</v>
      </c>
      <c r="AD810" s="271" t="str">
        <f>INDEX('Global inputs'!$C$134:$C$171,MATCH(F810,'Global inputs'!$B$134:$B$171,0))</f>
        <v>Asset relocations and undergrounding</v>
      </c>
      <c r="AE810" s="272">
        <f>IF(OR(H810='Operating leases'!$B$32,H810='Operating leases'!$B$33),"",INDEX('Global inputs'!$C$186:$C$243,MATCH(E810,'Global inputs'!$B$186:$B$243,0)))</f>
        <v>0.1</v>
      </c>
    </row>
    <row r="811" spans="1:31" s="27" customFormat="1" x14ac:dyDescent="0.2">
      <c r="A811" s="250"/>
      <c r="B811" s="210" t="s">
        <v>714</v>
      </c>
      <c r="C811" s="210" t="s">
        <v>284</v>
      </c>
      <c r="D811" s="210" t="s">
        <v>715</v>
      </c>
      <c r="E811" s="210" t="s">
        <v>127</v>
      </c>
      <c r="F811" s="210" t="s">
        <v>92</v>
      </c>
      <c r="G811" s="210" t="s">
        <v>717</v>
      </c>
      <c r="H811" s="197">
        <v>0</v>
      </c>
      <c r="I811" s="210" t="s">
        <v>229</v>
      </c>
      <c r="J811" s="210">
        <v>2023</v>
      </c>
      <c r="K811" s="210">
        <v>2023</v>
      </c>
      <c r="L811" s="268" t="str">
        <f t="shared" si="166"/>
        <v>Simple</v>
      </c>
      <c r="M811" s="197">
        <v>1691.5976061609927</v>
      </c>
      <c r="N811" s="197">
        <v>2537.3964092414885</v>
      </c>
      <c r="O811" s="257">
        <f>IF(ISNA(MATCH(H811,'Operating leases'!$B$32:$B$43,0)),0,INDEX('Operating leases'!$M$32:$S$43,MATCH(H811,'Operating leases'!$B$32:$B$43,0),MATCH(J811,'Operating leases'!$M$11:$S$11,0)))</f>
        <v>0</v>
      </c>
      <c r="P811" s="257">
        <f t="shared" si="167"/>
        <v>1691.5976061609927</v>
      </c>
      <c r="Q811" s="257">
        <f t="shared" si="168"/>
        <v>4228.9940154024807</v>
      </c>
      <c r="R811" s="258">
        <f>INDEX('Escalators '!$M$124:$S$129,MATCH(I811,'Escalators '!$B$124:$B$129,0),MATCH(J811,'Escalators '!$M$113:$S$113,0))</f>
        <v>1.0553567720906862</v>
      </c>
      <c r="S811" s="257">
        <f t="shared" si="169"/>
        <v>0</v>
      </c>
      <c r="T811" s="257">
        <f t="shared" si="170"/>
        <v>2677.8584839715954</v>
      </c>
      <c r="U811" s="269">
        <f t="shared" si="171"/>
        <v>1785.2389893143968</v>
      </c>
      <c r="V811" s="269">
        <f t="shared" si="172"/>
        <v>4463.0974732859922</v>
      </c>
      <c r="W811" s="269">
        <f t="shared" si="173"/>
        <v>1785.2389893143968</v>
      </c>
      <c r="X811" s="257">
        <f t="shared" si="174"/>
        <v>4463.0974732859922</v>
      </c>
      <c r="Y811" s="270">
        <f>IF(L811="Complex",(INDEX('Escalators '!$M$176:$S$176,MATCH('Forecast capex'!J811,'Escalators '!$M$178:$S$178,0))/12+1)^((K811-J811)*12)-1,0)</f>
        <v>0</v>
      </c>
      <c r="Z811" s="257">
        <f t="shared" si="175"/>
        <v>0</v>
      </c>
      <c r="AA811" s="257">
        <f t="shared" si="176"/>
        <v>0</v>
      </c>
      <c r="AB811" s="269">
        <f t="shared" si="177"/>
        <v>0</v>
      </c>
      <c r="AC811" s="269">
        <f t="shared" si="178"/>
        <v>0</v>
      </c>
      <c r="AD811" s="271" t="str">
        <f>INDEX('Global inputs'!$C$134:$C$171,MATCH(F811,'Global inputs'!$B$134:$B$171,0))</f>
        <v>Asset relocations and undergrounding</v>
      </c>
      <c r="AE811" s="272">
        <f>IF(OR(H811='Operating leases'!$B$32,H811='Operating leases'!$B$33),"",INDEX('Global inputs'!$C$186:$C$243,MATCH(E811,'Global inputs'!$B$186:$B$243,0)))</f>
        <v>0.08</v>
      </c>
    </row>
    <row r="812" spans="1:31" s="27" customFormat="1" x14ac:dyDescent="0.2">
      <c r="A812" s="250"/>
      <c r="B812" s="210" t="s">
        <v>714</v>
      </c>
      <c r="C812" s="210" t="s">
        <v>284</v>
      </c>
      <c r="D812" s="210" t="s">
        <v>715</v>
      </c>
      <c r="E812" s="210" t="s">
        <v>127</v>
      </c>
      <c r="F812" s="210" t="s">
        <v>92</v>
      </c>
      <c r="G812" s="210" t="s">
        <v>717</v>
      </c>
      <c r="H812" s="197">
        <v>0</v>
      </c>
      <c r="I812" s="210" t="s">
        <v>221</v>
      </c>
      <c r="J812" s="210">
        <v>2023</v>
      </c>
      <c r="K812" s="210">
        <v>2023</v>
      </c>
      <c r="L812" s="268" t="str">
        <f t="shared" si="166"/>
        <v>Simple</v>
      </c>
      <c r="M812" s="197">
        <v>1691.5976061609927</v>
      </c>
      <c r="N812" s="197">
        <v>2537.3964092414885</v>
      </c>
      <c r="O812" s="257">
        <f>IF(ISNA(MATCH(H812,'Operating leases'!$B$32:$B$43,0)),0,INDEX('Operating leases'!$M$32:$S$43,MATCH(H812,'Operating leases'!$B$32:$B$43,0),MATCH(J812,'Operating leases'!$M$11:$S$11,0)))</f>
        <v>0</v>
      </c>
      <c r="P812" s="257">
        <f t="shared" si="167"/>
        <v>1691.5976061609927</v>
      </c>
      <c r="Q812" s="257">
        <f t="shared" si="168"/>
        <v>4228.9940154024807</v>
      </c>
      <c r="R812" s="258">
        <f>INDEX('Escalators '!$M$124:$S$129,MATCH(I812,'Escalators '!$B$124:$B$129,0),MATCH(J812,'Escalators '!$M$113:$S$113,0))</f>
        <v>1.0486791854231625</v>
      </c>
      <c r="S812" s="257">
        <f t="shared" si="169"/>
        <v>0</v>
      </c>
      <c r="T812" s="257">
        <f t="shared" si="170"/>
        <v>2660.9147995390217</v>
      </c>
      <c r="U812" s="269">
        <f t="shared" si="171"/>
        <v>1773.943199692681</v>
      </c>
      <c r="V812" s="269">
        <f t="shared" si="172"/>
        <v>4434.8579992317027</v>
      </c>
      <c r="W812" s="269">
        <f t="shared" si="173"/>
        <v>1773.943199692681</v>
      </c>
      <c r="X812" s="257">
        <f t="shared" si="174"/>
        <v>4434.8579992317027</v>
      </c>
      <c r="Y812" s="270">
        <f>IF(L812="Complex",(INDEX('Escalators '!$M$176:$S$176,MATCH('Forecast capex'!J812,'Escalators '!$M$178:$S$178,0))/12+1)^((K812-J812)*12)-1,0)</f>
        <v>0</v>
      </c>
      <c r="Z812" s="257">
        <f t="shared" si="175"/>
        <v>0</v>
      </c>
      <c r="AA812" s="257">
        <f t="shared" si="176"/>
        <v>0</v>
      </c>
      <c r="AB812" s="269">
        <f t="shared" si="177"/>
        <v>0</v>
      </c>
      <c r="AC812" s="269">
        <f t="shared" si="178"/>
        <v>0</v>
      </c>
      <c r="AD812" s="271" t="str">
        <f>INDEX('Global inputs'!$C$134:$C$171,MATCH(F812,'Global inputs'!$B$134:$B$171,0))</f>
        <v>Asset relocations and undergrounding</v>
      </c>
      <c r="AE812" s="272">
        <f>IF(OR(H812='Operating leases'!$B$32,H812='Operating leases'!$B$33),"",INDEX('Global inputs'!$C$186:$C$243,MATCH(E812,'Global inputs'!$B$186:$B$243,0)))</f>
        <v>0.08</v>
      </c>
    </row>
    <row r="813" spans="1:31" s="27" customFormat="1" x14ac:dyDescent="0.2">
      <c r="A813" s="250"/>
      <c r="B813" s="210" t="s">
        <v>714</v>
      </c>
      <c r="C813" s="210" t="s">
        <v>284</v>
      </c>
      <c r="D813" s="210" t="s">
        <v>715</v>
      </c>
      <c r="E813" s="210" t="s">
        <v>129</v>
      </c>
      <c r="F813" s="210" t="s">
        <v>92</v>
      </c>
      <c r="G813" s="210" t="s">
        <v>717</v>
      </c>
      <c r="H813" s="197">
        <v>0</v>
      </c>
      <c r="I813" s="210" t="s">
        <v>229</v>
      </c>
      <c r="J813" s="210">
        <v>2023</v>
      </c>
      <c r="K813" s="210">
        <v>2023</v>
      </c>
      <c r="L813" s="268" t="str">
        <f t="shared" si="166"/>
        <v>Simple</v>
      </c>
      <c r="M813" s="197">
        <v>1691.5976061609927</v>
      </c>
      <c r="N813" s="197">
        <v>2537.3964092414885</v>
      </c>
      <c r="O813" s="257">
        <f>IF(ISNA(MATCH(H813,'Operating leases'!$B$32:$B$43,0)),0,INDEX('Operating leases'!$M$32:$S$43,MATCH(H813,'Operating leases'!$B$32:$B$43,0),MATCH(J813,'Operating leases'!$M$11:$S$11,0)))</f>
        <v>0</v>
      </c>
      <c r="P813" s="257">
        <f t="shared" si="167"/>
        <v>1691.5976061609927</v>
      </c>
      <c r="Q813" s="257">
        <f t="shared" si="168"/>
        <v>4228.9940154024807</v>
      </c>
      <c r="R813" s="258">
        <f>INDEX('Escalators '!$M$124:$S$129,MATCH(I813,'Escalators '!$B$124:$B$129,0),MATCH(J813,'Escalators '!$M$113:$S$113,0))</f>
        <v>1.0553567720906862</v>
      </c>
      <c r="S813" s="257">
        <f t="shared" si="169"/>
        <v>0</v>
      </c>
      <c r="T813" s="257">
        <f t="shared" si="170"/>
        <v>2677.8584839715954</v>
      </c>
      <c r="U813" s="269">
        <f t="shared" si="171"/>
        <v>1785.2389893143968</v>
      </c>
      <c r="V813" s="269">
        <f t="shared" si="172"/>
        <v>4463.0974732859922</v>
      </c>
      <c r="W813" s="269">
        <f t="shared" si="173"/>
        <v>1785.2389893143968</v>
      </c>
      <c r="X813" s="257">
        <f t="shared" si="174"/>
        <v>4463.0974732859922</v>
      </c>
      <c r="Y813" s="270">
        <f>IF(L813="Complex",(INDEX('Escalators '!$M$176:$S$176,MATCH('Forecast capex'!J813,'Escalators '!$M$178:$S$178,0))/12+1)^((K813-J813)*12)-1,0)</f>
        <v>0</v>
      </c>
      <c r="Z813" s="257">
        <f t="shared" si="175"/>
        <v>0</v>
      </c>
      <c r="AA813" s="257">
        <f t="shared" si="176"/>
        <v>0</v>
      </c>
      <c r="AB813" s="269">
        <f t="shared" si="177"/>
        <v>0</v>
      </c>
      <c r="AC813" s="269">
        <f t="shared" si="178"/>
        <v>0</v>
      </c>
      <c r="AD813" s="271" t="str">
        <f>INDEX('Global inputs'!$C$134:$C$171,MATCH(F813,'Global inputs'!$B$134:$B$171,0))</f>
        <v>Asset relocations and undergrounding</v>
      </c>
      <c r="AE813" s="272">
        <f>IF(OR(H813='Operating leases'!$B$32,H813='Operating leases'!$B$33),"",INDEX('Global inputs'!$C$186:$C$243,MATCH(E813,'Global inputs'!$B$186:$B$243,0)))</f>
        <v>0.1</v>
      </c>
    </row>
    <row r="814" spans="1:31" s="27" customFormat="1" x14ac:dyDescent="0.2">
      <c r="A814" s="250"/>
      <c r="B814" s="210" t="s">
        <v>714</v>
      </c>
      <c r="C814" s="210" t="s">
        <v>284</v>
      </c>
      <c r="D814" s="210" t="s">
        <v>715</v>
      </c>
      <c r="E814" s="210" t="s">
        <v>129</v>
      </c>
      <c r="F814" s="210" t="s">
        <v>92</v>
      </c>
      <c r="G814" s="210" t="s">
        <v>717</v>
      </c>
      <c r="H814" s="197">
        <v>0</v>
      </c>
      <c r="I814" s="210" t="s">
        <v>221</v>
      </c>
      <c r="J814" s="210">
        <v>2023</v>
      </c>
      <c r="K814" s="210">
        <v>2023</v>
      </c>
      <c r="L814" s="268" t="str">
        <f t="shared" si="166"/>
        <v>Simple</v>
      </c>
      <c r="M814" s="197">
        <v>1691.5976061609927</v>
      </c>
      <c r="N814" s="197">
        <v>2537.3964092414885</v>
      </c>
      <c r="O814" s="257">
        <f>IF(ISNA(MATCH(H814,'Operating leases'!$B$32:$B$43,0)),0,INDEX('Operating leases'!$M$32:$S$43,MATCH(H814,'Operating leases'!$B$32:$B$43,0),MATCH(J814,'Operating leases'!$M$11:$S$11,0)))</f>
        <v>0</v>
      </c>
      <c r="P814" s="257">
        <f t="shared" si="167"/>
        <v>1691.5976061609927</v>
      </c>
      <c r="Q814" s="257">
        <f t="shared" si="168"/>
        <v>4228.9940154024807</v>
      </c>
      <c r="R814" s="258">
        <f>INDEX('Escalators '!$M$124:$S$129,MATCH(I814,'Escalators '!$B$124:$B$129,0),MATCH(J814,'Escalators '!$M$113:$S$113,0))</f>
        <v>1.0486791854231625</v>
      </c>
      <c r="S814" s="257">
        <f t="shared" si="169"/>
        <v>0</v>
      </c>
      <c r="T814" s="257">
        <f t="shared" si="170"/>
        <v>2660.9147995390217</v>
      </c>
      <c r="U814" s="269">
        <f t="shared" si="171"/>
        <v>1773.943199692681</v>
      </c>
      <c r="V814" s="269">
        <f t="shared" si="172"/>
        <v>4434.8579992317027</v>
      </c>
      <c r="W814" s="269">
        <f t="shared" si="173"/>
        <v>1773.943199692681</v>
      </c>
      <c r="X814" s="257">
        <f t="shared" si="174"/>
        <v>4434.8579992317027</v>
      </c>
      <c r="Y814" s="270">
        <f>IF(L814="Complex",(INDEX('Escalators '!$M$176:$S$176,MATCH('Forecast capex'!J814,'Escalators '!$M$178:$S$178,0))/12+1)^((K814-J814)*12)-1,0)</f>
        <v>0</v>
      </c>
      <c r="Z814" s="257">
        <f t="shared" si="175"/>
        <v>0</v>
      </c>
      <c r="AA814" s="257">
        <f t="shared" si="176"/>
        <v>0</v>
      </c>
      <c r="AB814" s="269">
        <f t="shared" si="177"/>
        <v>0</v>
      </c>
      <c r="AC814" s="269">
        <f t="shared" si="178"/>
        <v>0</v>
      </c>
      <c r="AD814" s="271" t="str">
        <f>INDEX('Global inputs'!$C$134:$C$171,MATCH(F814,'Global inputs'!$B$134:$B$171,0))</f>
        <v>Asset relocations and undergrounding</v>
      </c>
      <c r="AE814" s="272">
        <f>IF(OR(H814='Operating leases'!$B$32,H814='Operating leases'!$B$33),"",INDEX('Global inputs'!$C$186:$C$243,MATCH(E814,'Global inputs'!$B$186:$B$243,0)))</f>
        <v>0.1</v>
      </c>
    </row>
    <row r="815" spans="1:31" s="27" customFormat="1" x14ac:dyDescent="0.2">
      <c r="A815" s="250"/>
      <c r="B815" s="210" t="s">
        <v>714</v>
      </c>
      <c r="C815" s="210" t="s">
        <v>287</v>
      </c>
      <c r="D815" s="210" t="s">
        <v>715</v>
      </c>
      <c r="E815" s="210" t="s">
        <v>150</v>
      </c>
      <c r="F815" s="210" t="s">
        <v>92</v>
      </c>
      <c r="G815" s="210" t="s">
        <v>717</v>
      </c>
      <c r="H815" s="197">
        <v>0</v>
      </c>
      <c r="I815" s="210" t="s">
        <v>229</v>
      </c>
      <c r="J815" s="210">
        <v>2023</v>
      </c>
      <c r="K815" s="210">
        <v>2023</v>
      </c>
      <c r="L815" s="268" t="str">
        <f t="shared" si="166"/>
        <v>Simple</v>
      </c>
      <c r="M815" s="197">
        <v>11277.317374406619</v>
      </c>
      <c r="N815" s="197">
        <v>16915.976061609927</v>
      </c>
      <c r="O815" s="257">
        <f>IF(ISNA(MATCH(H815,'Operating leases'!$B$32:$B$43,0)),0,INDEX('Operating leases'!$M$32:$S$43,MATCH(H815,'Operating leases'!$B$32:$B$43,0),MATCH(J815,'Operating leases'!$M$11:$S$11,0)))</f>
        <v>0</v>
      </c>
      <c r="P815" s="257">
        <f t="shared" si="167"/>
        <v>11277.317374406619</v>
      </c>
      <c r="Q815" s="257">
        <f t="shared" si="168"/>
        <v>28193.293436016545</v>
      </c>
      <c r="R815" s="258">
        <f>INDEX('Escalators '!$M$124:$S$129,MATCH(I815,'Escalators '!$B$124:$B$129,0),MATCH(J815,'Escalators '!$M$113:$S$113,0))</f>
        <v>1.0553567720906862</v>
      </c>
      <c r="S815" s="257">
        <f t="shared" si="169"/>
        <v>0</v>
      </c>
      <c r="T815" s="257">
        <f t="shared" si="170"/>
        <v>17852.389893143973</v>
      </c>
      <c r="U815" s="269">
        <f t="shared" si="171"/>
        <v>11901.593262095979</v>
      </c>
      <c r="V815" s="269">
        <f t="shared" si="172"/>
        <v>29753.983155239952</v>
      </c>
      <c r="W815" s="269">
        <f t="shared" si="173"/>
        <v>11901.593262095979</v>
      </c>
      <c r="X815" s="257">
        <f t="shared" si="174"/>
        <v>29753.983155239952</v>
      </c>
      <c r="Y815" s="270">
        <f>IF(L815="Complex",(INDEX('Escalators '!$M$176:$S$176,MATCH('Forecast capex'!J815,'Escalators '!$M$178:$S$178,0))/12+1)^((K815-J815)*12)-1,0)</f>
        <v>0</v>
      </c>
      <c r="Z815" s="257">
        <f t="shared" si="175"/>
        <v>0</v>
      </c>
      <c r="AA815" s="257">
        <f t="shared" si="176"/>
        <v>0</v>
      </c>
      <c r="AB815" s="269">
        <f t="shared" si="177"/>
        <v>0</v>
      </c>
      <c r="AC815" s="269">
        <f t="shared" si="178"/>
        <v>0</v>
      </c>
      <c r="AD815" s="271" t="str">
        <f>INDEX('Global inputs'!$C$134:$C$171,MATCH(F815,'Global inputs'!$B$134:$B$171,0))</f>
        <v>Asset relocations and undergrounding</v>
      </c>
      <c r="AE815" s="272">
        <f>IF(OR(H815='Operating leases'!$B$32,H815='Operating leases'!$B$33),"",INDEX('Global inputs'!$C$186:$C$243,MATCH(E815,'Global inputs'!$B$186:$B$243,0)))</f>
        <v>0.08</v>
      </c>
    </row>
    <row r="816" spans="1:31" s="27" customFormat="1" x14ac:dyDescent="0.2">
      <c r="A816" s="250"/>
      <c r="B816" s="210" t="s">
        <v>714</v>
      </c>
      <c r="C816" s="210" t="s">
        <v>287</v>
      </c>
      <c r="D816" s="210" t="s">
        <v>715</v>
      </c>
      <c r="E816" s="210" t="s">
        <v>150</v>
      </c>
      <c r="F816" s="210" t="s">
        <v>92</v>
      </c>
      <c r="G816" s="210" t="s">
        <v>717</v>
      </c>
      <c r="H816" s="197">
        <v>0</v>
      </c>
      <c r="I816" s="210" t="s">
        <v>221</v>
      </c>
      <c r="J816" s="210">
        <v>2023</v>
      </c>
      <c r="K816" s="210">
        <v>2023</v>
      </c>
      <c r="L816" s="268" t="str">
        <f t="shared" si="166"/>
        <v>Simple</v>
      </c>
      <c r="M816" s="197">
        <v>11277.317374406619</v>
      </c>
      <c r="N816" s="197">
        <v>16915.976061609927</v>
      </c>
      <c r="O816" s="257">
        <f>IF(ISNA(MATCH(H816,'Operating leases'!$B$32:$B$43,0)),0,INDEX('Operating leases'!$M$32:$S$43,MATCH(H816,'Operating leases'!$B$32:$B$43,0),MATCH(J816,'Operating leases'!$M$11:$S$11,0)))</f>
        <v>0</v>
      </c>
      <c r="P816" s="257">
        <f t="shared" si="167"/>
        <v>11277.317374406619</v>
      </c>
      <c r="Q816" s="257">
        <f t="shared" si="168"/>
        <v>28193.293436016545</v>
      </c>
      <c r="R816" s="258">
        <f>INDEX('Escalators '!$M$124:$S$129,MATCH(I816,'Escalators '!$B$124:$B$129,0),MATCH(J816,'Escalators '!$M$113:$S$113,0))</f>
        <v>1.0486791854231625</v>
      </c>
      <c r="S816" s="257">
        <f t="shared" si="169"/>
        <v>0</v>
      </c>
      <c r="T816" s="257">
        <f t="shared" si="170"/>
        <v>17739.431996926814</v>
      </c>
      <c r="U816" s="269">
        <f t="shared" si="171"/>
        <v>11826.287997951211</v>
      </c>
      <c r="V816" s="269">
        <f t="shared" si="172"/>
        <v>29565.719994878025</v>
      </c>
      <c r="W816" s="269">
        <f t="shared" si="173"/>
        <v>11826.287997951211</v>
      </c>
      <c r="X816" s="257">
        <f t="shared" si="174"/>
        <v>29565.719994878025</v>
      </c>
      <c r="Y816" s="270">
        <f>IF(L816="Complex",(INDEX('Escalators '!$M$176:$S$176,MATCH('Forecast capex'!J816,'Escalators '!$M$178:$S$178,0))/12+1)^((K816-J816)*12)-1,0)</f>
        <v>0</v>
      </c>
      <c r="Z816" s="257">
        <f t="shared" si="175"/>
        <v>0</v>
      </c>
      <c r="AA816" s="257">
        <f t="shared" si="176"/>
        <v>0</v>
      </c>
      <c r="AB816" s="269">
        <f t="shared" si="177"/>
        <v>0</v>
      </c>
      <c r="AC816" s="269">
        <f t="shared" si="178"/>
        <v>0</v>
      </c>
      <c r="AD816" s="271" t="str">
        <f>INDEX('Global inputs'!$C$134:$C$171,MATCH(F816,'Global inputs'!$B$134:$B$171,0))</f>
        <v>Asset relocations and undergrounding</v>
      </c>
      <c r="AE816" s="272">
        <f>IF(OR(H816='Operating leases'!$B$32,H816='Operating leases'!$B$33),"",INDEX('Global inputs'!$C$186:$C$243,MATCH(E816,'Global inputs'!$B$186:$B$243,0)))</f>
        <v>0.08</v>
      </c>
    </row>
    <row r="817" spans="1:31" s="27" customFormat="1" x14ac:dyDescent="0.2">
      <c r="A817" s="250"/>
      <c r="B817" s="210" t="s">
        <v>714</v>
      </c>
      <c r="C817" s="210" t="s">
        <v>287</v>
      </c>
      <c r="D817" s="210" t="s">
        <v>715</v>
      </c>
      <c r="E817" s="210" t="s">
        <v>151</v>
      </c>
      <c r="F817" s="210" t="s">
        <v>92</v>
      </c>
      <c r="G817" s="210" t="s">
        <v>717</v>
      </c>
      <c r="H817" s="197">
        <v>0</v>
      </c>
      <c r="I817" s="210" t="s">
        <v>229</v>
      </c>
      <c r="J817" s="210">
        <v>2023</v>
      </c>
      <c r="K817" s="210">
        <v>2023</v>
      </c>
      <c r="L817" s="268" t="str">
        <f t="shared" si="166"/>
        <v>Simple</v>
      </c>
      <c r="M817" s="197">
        <v>11277.317374406619</v>
      </c>
      <c r="N817" s="197">
        <v>16915.976061609927</v>
      </c>
      <c r="O817" s="257">
        <f>IF(ISNA(MATCH(H817,'Operating leases'!$B$32:$B$43,0)),0,INDEX('Operating leases'!$M$32:$S$43,MATCH(H817,'Operating leases'!$B$32:$B$43,0),MATCH(J817,'Operating leases'!$M$11:$S$11,0)))</f>
        <v>0</v>
      </c>
      <c r="P817" s="257">
        <f t="shared" si="167"/>
        <v>11277.317374406619</v>
      </c>
      <c r="Q817" s="257">
        <f t="shared" si="168"/>
        <v>28193.293436016545</v>
      </c>
      <c r="R817" s="258">
        <f>INDEX('Escalators '!$M$124:$S$129,MATCH(I817,'Escalators '!$B$124:$B$129,0),MATCH(J817,'Escalators '!$M$113:$S$113,0))</f>
        <v>1.0553567720906862</v>
      </c>
      <c r="S817" s="257">
        <f t="shared" si="169"/>
        <v>0</v>
      </c>
      <c r="T817" s="257">
        <f t="shared" si="170"/>
        <v>17852.389893143973</v>
      </c>
      <c r="U817" s="269">
        <f t="shared" si="171"/>
        <v>11901.593262095979</v>
      </c>
      <c r="V817" s="269">
        <f t="shared" si="172"/>
        <v>29753.983155239952</v>
      </c>
      <c r="W817" s="269">
        <f t="shared" si="173"/>
        <v>11901.593262095979</v>
      </c>
      <c r="X817" s="257">
        <f t="shared" si="174"/>
        <v>29753.983155239952</v>
      </c>
      <c r="Y817" s="270">
        <f>IF(L817="Complex",(INDEX('Escalators '!$M$176:$S$176,MATCH('Forecast capex'!J817,'Escalators '!$M$178:$S$178,0))/12+1)^((K817-J817)*12)-1,0)</f>
        <v>0</v>
      </c>
      <c r="Z817" s="257">
        <f t="shared" si="175"/>
        <v>0</v>
      </c>
      <c r="AA817" s="257">
        <f t="shared" si="176"/>
        <v>0</v>
      </c>
      <c r="AB817" s="269">
        <f t="shared" si="177"/>
        <v>0</v>
      </c>
      <c r="AC817" s="269">
        <f t="shared" si="178"/>
        <v>0</v>
      </c>
      <c r="AD817" s="271" t="str">
        <f>INDEX('Global inputs'!$C$134:$C$171,MATCH(F817,'Global inputs'!$B$134:$B$171,0))</f>
        <v>Asset relocations and undergrounding</v>
      </c>
      <c r="AE817" s="272">
        <f>IF(OR(H817='Operating leases'!$B$32,H817='Operating leases'!$B$33),"",INDEX('Global inputs'!$C$186:$C$243,MATCH(E817,'Global inputs'!$B$186:$B$243,0)))</f>
        <v>0.1</v>
      </c>
    </row>
    <row r="818" spans="1:31" s="27" customFormat="1" x14ac:dyDescent="0.2">
      <c r="A818" s="250"/>
      <c r="B818" s="210" t="s">
        <v>714</v>
      </c>
      <c r="C818" s="210" t="s">
        <v>287</v>
      </c>
      <c r="D818" s="210" t="s">
        <v>715</v>
      </c>
      <c r="E818" s="210" t="s">
        <v>151</v>
      </c>
      <c r="F818" s="210" t="s">
        <v>92</v>
      </c>
      <c r="G818" s="210" t="s">
        <v>717</v>
      </c>
      <c r="H818" s="197">
        <v>0</v>
      </c>
      <c r="I818" s="210" t="s">
        <v>221</v>
      </c>
      <c r="J818" s="210">
        <v>2023</v>
      </c>
      <c r="K818" s="210">
        <v>2023</v>
      </c>
      <c r="L818" s="268" t="str">
        <f t="shared" si="166"/>
        <v>Simple</v>
      </c>
      <c r="M818" s="197">
        <v>11277.317374406619</v>
      </c>
      <c r="N818" s="197">
        <v>16915.976061609927</v>
      </c>
      <c r="O818" s="257">
        <f>IF(ISNA(MATCH(H818,'Operating leases'!$B$32:$B$43,0)),0,INDEX('Operating leases'!$M$32:$S$43,MATCH(H818,'Operating leases'!$B$32:$B$43,0),MATCH(J818,'Operating leases'!$M$11:$S$11,0)))</f>
        <v>0</v>
      </c>
      <c r="P818" s="257">
        <f t="shared" si="167"/>
        <v>11277.317374406619</v>
      </c>
      <c r="Q818" s="257">
        <f t="shared" si="168"/>
        <v>28193.293436016545</v>
      </c>
      <c r="R818" s="258">
        <f>INDEX('Escalators '!$M$124:$S$129,MATCH(I818,'Escalators '!$B$124:$B$129,0),MATCH(J818,'Escalators '!$M$113:$S$113,0))</f>
        <v>1.0486791854231625</v>
      </c>
      <c r="S818" s="257">
        <f t="shared" si="169"/>
        <v>0</v>
      </c>
      <c r="T818" s="257">
        <f t="shared" si="170"/>
        <v>17739.431996926814</v>
      </c>
      <c r="U818" s="269">
        <f t="shared" si="171"/>
        <v>11826.287997951211</v>
      </c>
      <c r="V818" s="269">
        <f t="shared" si="172"/>
        <v>29565.719994878025</v>
      </c>
      <c r="W818" s="269">
        <f t="shared" si="173"/>
        <v>11826.287997951211</v>
      </c>
      <c r="X818" s="257">
        <f t="shared" si="174"/>
        <v>29565.719994878025</v>
      </c>
      <c r="Y818" s="270">
        <f>IF(L818="Complex",(INDEX('Escalators '!$M$176:$S$176,MATCH('Forecast capex'!J818,'Escalators '!$M$178:$S$178,0))/12+1)^((K818-J818)*12)-1,0)</f>
        <v>0</v>
      </c>
      <c r="Z818" s="257">
        <f t="shared" si="175"/>
        <v>0</v>
      </c>
      <c r="AA818" s="257">
        <f t="shared" si="176"/>
        <v>0</v>
      </c>
      <c r="AB818" s="269">
        <f t="shared" si="177"/>
        <v>0</v>
      </c>
      <c r="AC818" s="269">
        <f t="shared" si="178"/>
        <v>0</v>
      </c>
      <c r="AD818" s="271" t="str">
        <f>INDEX('Global inputs'!$C$134:$C$171,MATCH(F818,'Global inputs'!$B$134:$B$171,0))</f>
        <v>Asset relocations and undergrounding</v>
      </c>
      <c r="AE818" s="272">
        <f>IF(OR(H818='Operating leases'!$B$32,H818='Operating leases'!$B$33),"",INDEX('Global inputs'!$C$186:$C$243,MATCH(E818,'Global inputs'!$B$186:$B$243,0)))</f>
        <v>0.1</v>
      </c>
    </row>
    <row r="819" spans="1:31" s="27" customFormat="1" x14ac:dyDescent="0.2">
      <c r="A819" s="250"/>
      <c r="B819" s="210" t="s">
        <v>714</v>
      </c>
      <c r="C819" s="210" t="s">
        <v>287</v>
      </c>
      <c r="D819" s="210" t="s">
        <v>715</v>
      </c>
      <c r="E819" s="210" t="s">
        <v>153</v>
      </c>
      <c r="F819" s="210" t="s">
        <v>92</v>
      </c>
      <c r="G819" s="210" t="s">
        <v>717</v>
      </c>
      <c r="H819" s="197">
        <v>0</v>
      </c>
      <c r="I819" s="210" t="s">
        <v>229</v>
      </c>
      <c r="J819" s="210">
        <v>2023</v>
      </c>
      <c r="K819" s="210">
        <v>2023</v>
      </c>
      <c r="L819" s="268" t="str">
        <f t="shared" si="166"/>
        <v>Simple</v>
      </c>
      <c r="M819" s="197">
        <v>4510.9269497626474</v>
      </c>
      <c r="N819" s="197">
        <v>6766.3904246439706</v>
      </c>
      <c r="O819" s="257">
        <f>IF(ISNA(MATCH(H819,'Operating leases'!$B$32:$B$43,0)),0,INDEX('Operating leases'!$M$32:$S$43,MATCH(H819,'Operating leases'!$B$32:$B$43,0),MATCH(J819,'Operating leases'!$M$11:$S$11,0)))</f>
        <v>0</v>
      </c>
      <c r="P819" s="257">
        <f t="shared" si="167"/>
        <v>4510.9269497626474</v>
      </c>
      <c r="Q819" s="257">
        <f t="shared" si="168"/>
        <v>11277.317374406619</v>
      </c>
      <c r="R819" s="258">
        <f>INDEX('Escalators '!$M$124:$S$129,MATCH(I819,'Escalators '!$B$124:$B$129,0),MATCH(J819,'Escalators '!$M$113:$S$113,0))</f>
        <v>1.0553567720906862</v>
      </c>
      <c r="S819" s="257">
        <f t="shared" si="169"/>
        <v>0</v>
      </c>
      <c r="T819" s="257">
        <f t="shared" si="170"/>
        <v>7140.9559572575881</v>
      </c>
      <c r="U819" s="269">
        <f t="shared" si="171"/>
        <v>4760.6373048383948</v>
      </c>
      <c r="V819" s="269">
        <f t="shared" si="172"/>
        <v>11901.593262095983</v>
      </c>
      <c r="W819" s="269">
        <f t="shared" si="173"/>
        <v>4760.6373048383948</v>
      </c>
      <c r="X819" s="257">
        <f t="shared" si="174"/>
        <v>11901.593262095983</v>
      </c>
      <c r="Y819" s="270">
        <f>IF(L819="Complex",(INDEX('Escalators '!$M$176:$S$176,MATCH('Forecast capex'!J819,'Escalators '!$M$178:$S$178,0))/12+1)^((K819-J819)*12)-1,0)</f>
        <v>0</v>
      </c>
      <c r="Z819" s="257">
        <f t="shared" si="175"/>
        <v>0</v>
      </c>
      <c r="AA819" s="257">
        <f t="shared" si="176"/>
        <v>0</v>
      </c>
      <c r="AB819" s="269">
        <f t="shared" si="177"/>
        <v>0</v>
      </c>
      <c r="AC819" s="269">
        <f t="shared" si="178"/>
        <v>0</v>
      </c>
      <c r="AD819" s="271" t="str">
        <f>INDEX('Global inputs'!$C$134:$C$171,MATCH(F819,'Global inputs'!$B$134:$B$171,0))</f>
        <v>Asset relocations and undergrounding</v>
      </c>
      <c r="AE819" s="272">
        <f>IF(OR(H819='Operating leases'!$B$32,H819='Operating leases'!$B$33),"",INDEX('Global inputs'!$C$186:$C$243,MATCH(E819,'Global inputs'!$B$186:$B$243,0)))</f>
        <v>0.08</v>
      </c>
    </row>
    <row r="820" spans="1:31" s="27" customFormat="1" x14ac:dyDescent="0.2">
      <c r="A820" s="250"/>
      <c r="B820" s="210" t="s">
        <v>714</v>
      </c>
      <c r="C820" s="210" t="s">
        <v>287</v>
      </c>
      <c r="D820" s="210" t="s">
        <v>715</v>
      </c>
      <c r="E820" s="210" t="s">
        <v>153</v>
      </c>
      <c r="F820" s="210" t="s">
        <v>92</v>
      </c>
      <c r="G820" s="210" t="s">
        <v>717</v>
      </c>
      <c r="H820" s="197">
        <v>0</v>
      </c>
      <c r="I820" s="210" t="s">
        <v>221</v>
      </c>
      <c r="J820" s="210">
        <v>2023</v>
      </c>
      <c r="K820" s="210">
        <v>2023</v>
      </c>
      <c r="L820" s="268" t="str">
        <f t="shared" si="166"/>
        <v>Simple</v>
      </c>
      <c r="M820" s="197">
        <v>4510.9269497626474</v>
      </c>
      <c r="N820" s="197">
        <v>6766.3904246439706</v>
      </c>
      <c r="O820" s="257">
        <f>IF(ISNA(MATCH(H820,'Operating leases'!$B$32:$B$43,0)),0,INDEX('Operating leases'!$M$32:$S$43,MATCH(H820,'Operating leases'!$B$32:$B$43,0),MATCH(J820,'Operating leases'!$M$11:$S$11,0)))</f>
        <v>0</v>
      </c>
      <c r="P820" s="257">
        <f t="shared" si="167"/>
        <v>4510.9269497626474</v>
      </c>
      <c r="Q820" s="257">
        <f t="shared" si="168"/>
        <v>11277.317374406619</v>
      </c>
      <c r="R820" s="258">
        <f>INDEX('Escalators '!$M$124:$S$129,MATCH(I820,'Escalators '!$B$124:$B$129,0),MATCH(J820,'Escalators '!$M$113:$S$113,0))</f>
        <v>1.0486791854231625</v>
      </c>
      <c r="S820" s="257">
        <f t="shared" si="169"/>
        <v>0</v>
      </c>
      <c r="T820" s="257">
        <f t="shared" si="170"/>
        <v>7095.7727987707258</v>
      </c>
      <c r="U820" s="269">
        <f t="shared" si="171"/>
        <v>4730.5151991804851</v>
      </c>
      <c r="V820" s="269">
        <f t="shared" si="172"/>
        <v>11826.287997951211</v>
      </c>
      <c r="W820" s="269">
        <f t="shared" si="173"/>
        <v>4730.5151991804851</v>
      </c>
      <c r="X820" s="257">
        <f t="shared" si="174"/>
        <v>11826.287997951211</v>
      </c>
      <c r="Y820" s="270">
        <f>IF(L820="Complex",(INDEX('Escalators '!$M$176:$S$176,MATCH('Forecast capex'!J820,'Escalators '!$M$178:$S$178,0))/12+1)^((K820-J820)*12)-1,0)</f>
        <v>0</v>
      </c>
      <c r="Z820" s="257">
        <f t="shared" si="175"/>
        <v>0</v>
      </c>
      <c r="AA820" s="257">
        <f t="shared" si="176"/>
        <v>0</v>
      </c>
      <c r="AB820" s="269">
        <f t="shared" si="177"/>
        <v>0</v>
      </c>
      <c r="AC820" s="269">
        <f t="shared" si="178"/>
        <v>0</v>
      </c>
      <c r="AD820" s="271" t="str">
        <f>INDEX('Global inputs'!$C$134:$C$171,MATCH(F820,'Global inputs'!$B$134:$B$171,0))</f>
        <v>Asset relocations and undergrounding</v>
      </c>
      <c r="AE820" s="272">
        <f>IF(OR(H820='Operating leases'!$B$32,H820='Operating leases'!$B$33),"",INDEX('Global inputs'!$C$186:$C$243,MATCH(E820,'Global inputs'!$B$186:$B$243,0)))</f>
        <v>0.08</v>
      </c>
    </row>
    <row r="821" spans="1:31" s="27" customFormat="1" x14ac:dyDescent="0.2">
      <c r="A821" s="250"/>
      <c r="B821" s="210" t="s">
        <v>714</v>
      </c>
      <c r="C821" s="210" t="s">
        <v>287</v>
      </c>
      <c r="D821" s="210" t="s">
        <v>715</v>
      </c>
      <c r="E821" s="210" t="s">
        <v>154</v>
      </c>
      <c r="F821" s="210" t="s">
        <v>92</v>
      </c>
      <c r="G821" s="210" t="s">
        <v>717</v>
      </c>
      <c r="H821" s="197">
        <v>0</v>
      </c>
      <c r="I821" s="210" t="s">
        <v>229</v>
      </c>
      <c r="J821" s="210">
        <v>2023</v>
      </c>
      <c r="K821" s="210">
        <v>2023</v>
      </c>
      <c r="L821" s="268" t="str">
        <f t="shared" si="166"/>
        <v>Simple</v>
      </c>
      <c r="M821" s="197">
        <v>4510.9269497626474</v>
      </c>
      <c r="N821" s="197">
        <v>6766.3904246439706</v>
      </c>
      <c r="O821" s="257">
        <f>IF(ISNA(MATCH(H821,'Operating leases'!$B$32:$B$43,0)),0,INDEX('Operating leases'!$M$32:$S$43,MATCH(H821,'Operating leases'!$B$32:$B$43,0),MATCH(J821,'Operating leases'!$M$11:$S$11,0)))</f>
        <v>0</v>
      </c>
      <c r="P821" s="257">
        <f t="shared" si="167"/>
        <v>4510.9269497626474</v>
      </c>
      <c r="Q821" s="257">
        <f t="shared" si="168"/>
        <v>11277.317374406619</v>
      </c>
      <c r="R821" s="258">
        <f>INDEX('Escalators '!$M$124:$S$129,MATCH(I821,'Escalators '!$B$124:$B$129,0),MATCH(J821,'Escalators '!$M$113:$S$113,0))</f>
        <v>1.0553567720906862</v>
      </c>
      <c r="S821" s="257">
        <f t="shared" si="169"/>
        <v>0</v>
      </c>
      <c r="T821" s="257">
        <f t="shared" si="170"/>
        <v>7140.9559572575881</v>
      </c>
      <c r="U821" s="269">
        <f t="shared" si="171"/>
        <v>4760.6373048383948</v>
      </c>
      <c r="V821" s="269">
        <f t="shared" si="172"/>
        <v>11901.593262095983</v>
      </c>
      <c r="W821" s="269">
        <f t="shared" si="173"/>
        <v>4760.6373048383948</v>
      </c>
      <c r="X821" s="257">
        <f t="shared" si="174"/>
        <v>11901.593262095983</v>
      </c>
      <c r="Y821" s="270">
        <f>IF(L821="Complex",(INDEX('Escalators '!$M$176:$S$176,MATCH('Forecast capex'!J821,'Escalators '!$M$178:$S$178,0))/12+1)^((K821-J821)*12)-1,0)</f>
        <v>0</v>
      </c>
      <c r="Z821" s="257">
        <f t="shared" si="175"/>
        <v>0</v>
      </c>
      <c r="AA821" s="257">
        <f t="shared" si="176"/>
        <v>0</v>
      </c>
      <c r="AB821" s="269">
        <f t="shared" si="177"/>
        <v>0</v>
      </c>
      <c r="AC821" s="269">
        <f t="shared" si="178"/>
        <v>0</v>
      </c>
      <c r="AD821" s="271" t="str">
        <f>INDEX('Global inputs'!$C$134:$C$171,MATCH(F821,'Global inputs'!$B$134:$B$171,0))</f>
        <v>Asset relocations and undergrounding</v>
      </c>
      <c r="AE821" s="272">
        <f>IF(OR(H821='Operating leases'!$B$32,H821='Operating leases'!$B$33),"",INDEX('Global inputs'!$C$186:$C$243,MATCH(E821,'Global inputs'!$B$186:$B$243,0)))</f>
        <v>0.1</v>
      </c>
    </row>
    <row r="822" spans="1:31" s="27" customFormat="1" x14ac:dyDescent="0.2">
      <c r="A822" s="250"/>
      <c r="B822" s="210" t="s">
        <v>714</v>
      </c>
      <c r="C822" s="210" t="s">
        <v>287</v>
      </c>
      <c r="D822" s="210" t="s">
        <v>715</v>
      </c>
      <c r="E822" s="210" t="s">
        <v>154</v>
      </c>
      <c r="F822" s="210" t="s">
        <v>92</v>
      </c>
      <c r="G822" s="210" t="s">
        <v>717</v>
      </c>
      <c r="H822" s="197">
        <v>0</v>
      </c>
      <c r="I822" s="210" t="s">
        <v>221</v>
      </c>
      <c r="J822" s="210">
        <v>2023</v>
      </c>
      <c r="K822" s="210">
        <v>2023</v>
      </c>
      <c r="L822" s="268" t="str">
        <f t="shared" si="166"/>
        <v>Simple</v>
      </c>
      <c r="M822" s="197">
        <v>4510.9269497626474</v>
      </c>
      <c r="N822" s="197">
        <v>6766.3904246439706</v>
      </c>
      <c r="O822" s="257">
        <f>IF(ISNA(MATCH(H822,'Operating leases'!$B$32:$B$43,0)),0,INDEX('Operating leases'!$M$32:$S$43,MATCH(H822,'Operating leases'!$B$32:$B$43,0),MATCH(J822,'Operating leases'!$M$11:$S$11,0)))</f>
        <v>0</v>
      </c>
      <c r="P822" s="257">
        <f t="shared" si="167"/>
        <v>4510.9269497626474</v>
      </c>
      <c r="Q822" s="257">
        <f t="shared" si="168"/>
        <v>11277.317374406619</v>
      </c>
      <c r="R822" s="258">
        <f>INDEX('Escalators '!$M$124:$S$129,MATCH(I822,'Escalators '!$B$124:$B$129,0),MATCH(J822,'Escalators '!$M$113:$S$113,0))</f>
        <v>1.0486791854231625</v>
      </c>
      <c r="S822" s="257">
        <f t="shared" si="169"/>
        <v>0</v>
      </c>
      <c r="T822" s="257">
        <f t="shared" si="170"/>
        <v>7095.7727987707258</v>
      </c>
      <c r="U822" s="269">
        <f t="shared" si="171"/>
        <v>4730.5151991804851</v>
      </c>
      <c r="V822" s="269">
        <f t="shared" si="172"/>
        <v>11826.287997951211</v>
      </c>
      <c r="W822" s="269">
        <f t="shared" si="173"/>
        <v>4730.5151991804851</v>
      </c>
      <c r="X822" s="257">
        <f t="shared" si="174"/>
        <v>11826.287997951211</v>
      </c>
      <c r="Y822" s="270">
        <f>IF(L822="Complex",(INDEX('Escalators '!$M$176:$S$176,MATCH('Forecast capex'!J822,'Escalators '!$M$178:$S$178,0))/12+1)^((K822-J822)*12)-1,0)</f>
        <v>0</v>
      </c>
      <c r="Z822" s="257">
        <f t="shared" si="175"/>
        <v>0</v>
      </c>
      <c r="AA822" s="257">
        <f t="shared" si="176"/>
        <v>0</v>
      </c>
      <c r="AB822" s="269">
        <f t="shared" si="177"/>
        <v>0</v>
      </c>
      <c r="AC822" s="269">
        <f t="shared" si="178"/>
        <v>0</v>
      </c>
      <c r="AD822" s="271" t="str">
        <f>INDEX('Global inputs'!$C$134:$C$171,MATCH(F822,'Global inputs'!$B$134:$B$171,0))</f>
        <v>Asset relocations and undergrounding</v>
      </c>
      <c r="AE822" s="272">
        <f>IF(OR(H822='Operating leases'!$B$32,H822='Operating leases'!$B$33),"",INDEX('Global inputs'!$C$186:$C$243,MATCH(E822,'Global inputs'!$B$186:$B$243,0)))</f>
        <v>0.1</v>
      </c>
    </row>
    <row r="823" spans="1:31" s="27" customFormat="1" x14ac:dyDescent="0.2">
      <c r="A823" s="250"/>
      <c r="B823" s="210" t="s">
        <v>714</v>
      </c>
      <c r="C823" s="210" t="s">
        <v>290</v>
      </c>
      <c r="D823" s="210" t="s">
        <v>718</v>
      </c>
      <c r="E823" s="210" t="s">
        <v>173</v>
      </c>
      <c r="F823" s="210" t="s">
        <v>92</v>
      </c>
      <c r="G823" s="210" t="s">
        <v>719</v>
      </c>
      <c r="H823" s="197">
        <v>0</v>
      </c>
      <c r="I823" s="210" t="s">
        <v>142</v>
      </c>
      <c r="J823" s="210">
        <v>2023</v>
      </c>
      <c r="K823" s="210">
        <v>2023</v>
      </c>
      <c r="L823" s="268" t="str">
        <f t="shared" si="166"/>
        <v>Simple</v>
      </c>
      <c r="M823" s="197">
        <v>10826.224679430354</v>
      </c>
      <c r="N823" s="197">
        <v>16239.337019145529</v>
      </c>
      <c r="O823" s="257">
        <f>IF(ISNA(MATCH(H823,'Operating leases'!$B$32:$B$43,0)),0,INDEX('Operating leases'!$M$32:$S$43,MATCH(H823,'Operating leases'!$B$32:$B$43,0),MATCH(J823,'Operating leases'!$M$11:$S$11,0)))</f>
        <v>0</v>
      </c>
      <c r="P823" s="257">
        <f t="shared" si="167"/>
        <v>10826.224679430354</v>
      </c>
      <c r="Q823" s="257">
        <f t="shared" si="168"/>
        <v>27065.561698575882</v>
      </c>
      <c r="R823" s="258">
        <f>INDEX('Escalators '!$M$124:$S$129,MATCH(I823,'Escalators '!$B$124:$B$129,0),MATCH(J823,'Escalators '!$M$113:$S$113,0))</f>
        <v>1.0483686625768949</v>
      </c>
      <c r="S823" s="257">
        <f t="shared" si="169"/>
        <v>0</v>
      </c>
      <c r="T823" s="257">
        <f t="shared" si="170"/>
        <v>17024.812031897058</v>
      </c>
      <c r="U823" s="269">
        <f t="shared" si="171"/>
        <v>11349.874687931369</v>
      </c>
      <c r="V823" s="269">
        <f t="shared" si="172"/>
        <v>28374.686719828427</v>
      </c>
      <c r="W823" s="269">
        <f t="shared" si="173"/>
        <v>11349.874687931369</v>
      </c>
      <c r="X823" s="257">
        <f t="shared" si="174"/>
        <v>28374.686719828427</v>
      </c>
      <c r="Y823" s="270">
        <f>IF(L823="Complex",(INDEX('Escalators '!$M$176:$S$176,MATCH('Forecast capex'!J823,'Escalators '!$M$178:$S$178,0))/12+1)^((K823-J823)*12)-1,0)</f>
        <v>0</v>
      </c>
      <c r="Z823" s="257">
        <f t="shared" si="175"/>
        <v>0</v>
      </c>
      <c r="AA823" s="257">
        <f t="shared" si="176"/>
        <v>0</v>
      </c>
      <c r="AB823" s="269">
        <f t="shared" si="177"/>
        <v>0</v>
      </c>
      <c r="AC823" s="269">
        <f t="shared" si="178"/>
        <v>0</v>
      </c>
      <c r="AD823" s="271" t="str">
        <f>INDEX('Global inputs'!$C$134:$C$171,MATCH(F823,'Global inputs'!$B$134:$B$171,0))</f>
        <v>Asset relocations and undergrounding</v>
      </c>
      <c r="AE823" s="272">
        <f>IF(OR(H823='Operating leases'!$B$32,H823='Operating leases'!$B$33),"",INDEX('Global inputs'!$C$186:$C$243,MATCH(E823,'Global inputs'!$B$186:$B$243,0)))</f>
        <v>0.08</v>
      </c>
    </row>
    <row r="824" spans="1:31" s="27" customFormat="1" x14ac:dyDescent="0.2">
      <c r="A824" s="250"/>
      <c r="B824" s="210" t="s">
        <v>714</v>
      </c>
      <c r="C824" s="210" t="s">
        <v>290</v>
      </c>
      <c r="D824" s="210" t="s">
        <v>718</v>
      </c>
      <c r="E824" s="210" t="s">
        <v>173</v>
      </c>
      <c r="F824" s="210" t="s">
        <v>92</v>
      </c>
      <c r="G824" s="210" t="s">
        <v>719</v>
      </c>
      <c r="H824" s="197">
        <v>0</v>
      </c>
      <c r="I824" s="210" t="s">
        <v>221</v>
      </c>
      <c r="J824" s="210">
        <v>2023</v>
      </c>
      <c r="K824" s="210">
        <v>2023</v>
      </c>
      <c r="L824" s="268" t="str">
        <f t="shared" si="166"/>
        <v>Simple</v>
      </c>
      <c r="M824" s="197">
        <v>2706.5561698575884</v>
      </c>
      <c r="N824" s="197">
        <v>4059.8342547863822</v>
      </c>
      <c r="O824" s="257">
        <f>IF(ISNA(MATCH(H824,'Operating leases'!$B$32:$B$43,0)),0,INDEX('Operating leases'!$M$32:$S$43,MATCH(H824,'Operating leases'!$B$32:$B$43,0),MATCH(J824,'Operating leases'!$M$11:$S$11,0)))</f>
        <v>0</v>
      </c>
      <c r="P824" s="257">
        <f t="shared" si="167"/>
        <v>2706.5561698575884</v>
      </c>
      <c r="Q824" s="257">
        <f t="shared" si="168"/>
        <v>6766.3904246439706</v>
      </c>
      <c r="R824" s="258">
        <f>INDEX('Escalators '!$M$124:$S$129,MATCH(I824,'Escalators '!$B$124:$B$129,0),MATCH(J824,'Escalators '!$M$113:$S$113,0))</f>
        <v>1.0486791854231625</v>
      </c>
      <c r="S824" s="257">
        <f t="shared" si="169"/>
        <v>0</v>
      </c>
      <c r="T824" s="257">
        <f t="shared" si="170"/>
        <v>4257.4636792624351</v>
      </c>
      <c r="U824" s="269">
        <f t="shared" si="171"/>
        <v>2838.3091195082907</v>
      </c>
      <c r="V824" s="269">
        <f t="shared" si="172"/>
        <v>7095.7727987707258</v>
      </c>
      <c r="W824" s="269">
        <f t="shared" si="173"/>
        <v>2838.3091195082907</v>
      </c>
      <c r="X824" s="257">
        <f t="shared" si="174"/>
        <v>7095.7727987707258</v>
      </c>
      <c r="Y824" s="270">
        <f>IF(L824="Complex",(INDEX('Escalators '!$M$176:$S$176,MATCH('Forecast capex'!J824,'Escalators '!$M$178:$S$178,0))/12+1)^((K824-J824)*12)-1,0)</f>
        <v>0</v>
      </c>
      <c r="Z824" s="257">
        <f t="shared" si="175"/>
        <v>0</v>
      </c>
      <c r="AA824" s="257">
        <f t="shared" si="176"/>
        <v>0</v>
      </c>
      <c r="AB824" s="269">
        <f t="shared" si="177"/>
        <v>0</v>
      </c>
      <c r="AC824" s="269">
        <f t="shared" si="178"/>
        <v>0</v>
      </c>
      <c r="AD824" s="271" t="str">
        <f>INDEX('Global inputs'!$C$134:$C$171,MATCH(F824,'Global inputs'!$B$134:$B$171,0))</f>
        <v>Asset relocations and undergrounding</v>
      </c>
      <c r="AE824" s="272">
        <f>IF(OR(H824='Operating leases'!$B$32,H824='Operating leases'!$B$33),"",INDEX('Global inputs'!$C$186:$C$243,MATCH(E824,'Global inputs'!$B$186:$B$243,0)))</f>
        <v>0.08</v>
      </c>
    </row>
    <row r="825" spans="1:31" s="27" customFormat="1" x14ac:dyDescent="0.2">
      <c r="A825" s="250"/>
      <c r="B825" s="210" t="s">
        <v>714</v>
      </c>
      <c r="C825" s="210" t="s">
        <v>290</v>
      </c>
      <c r="D825" s="210" t="s">
        <v>718</v>
      </c>
      <c r="E825" s="210" t="s">
        <v>169</v>
      </c>
      <c r="F825" s="210" t="s">
        <v>92</v>
      </c>
      <c r="G825" s="210" t="s">
        <v>720</v>
      </c>
      <c r="H825" s="197">
        <v>0</v>
      </c>
      <c r="I825" s="210" t="s">
        <v>229</v>
      </c>
      <c r="J825" s="210">
        <v>2023</v>
      </c>
      <c r="K825" s="210">
        <v>2023</v>
      </c>
      <c r="L825" s="268" t="str">
        <f t="shared" si="166"/>
        <v>Simple</v>
      </c>
      <c r="M825" s="197">
        <v>23005.727443789499</v>
      </c>
      <c r="N825" s="197">
        <v>34508.591165684244</v>
      </c>
      <c r="O825" s="257">
        <f>IF(ISNA(MATCH(H825,'Operating leases'!$B$32:$B$43,0)),0,INDEX('Operating leases'!$M$32:$S$43,MATCH(H825,'Operating leases'!$B$32:$B$43,0),MATCH(J825,'Operating leases'!$M$11:$S$11,0)))</f>
        <v>0</v>
      </c>
      <c r="P825" s="257">
        <f t="shared" si="167"/>
        <v>23005.727443789499</v>
      </c>
      <c r="Q825" s="257">
        <f t="shared" si="168"/>
        <v>57514.318609473747</v>
      </c>
      <c r="R825" s="258">
        <f>INDEX('Escalators '!$M$124:$S$129,MATCH(I825,'Escalators '!$B$124:$B$129,0),MATCH(J825,'Escalators '!$M$113:$S$113,0))</f>
        <v>1.0553567720906862</v>
      </c>
      <c r="S825" s="257">
        <f t="shared" si="169"/>
        <v>0</v>
      </c>
      <c r="T825" s="257">
        <f t="shared" si="170"/>
        <v>36418.875382013692</v>
      </c>
      <c r="U825" s="269">
        <f t="shared" si="171"/>
        <v>24279.250254675804</v>
      </c>
      <c r="V825" s="269">
        <f t="shared" si="172"/>
        <v>60698.125636689496</v>
      </c>
      <c r="W825" s="269">
        <f t="shared" si="173"/>
        <v>24279.250254675804</v>
      </c>
      <c r="X825" s="257">
        <f t="shared" si="174"/>
        <v>60698.125636689496</v>
      </c>
      <c r="Y825" s="270">
        <f>IF(L825="Complex",(INDEX('Escalators '!$M$176:$S$176,MATCH('Forecast capex'!J825,'Escalators '!$M$178:$S$178,0))/12+1)^((K825-J825)*12)-1,0)</f>
        <v>0</v>
      </c>
      <c r="Z825" s="257">
        <f t="shared" si="175"/>
        <v>0</v>
      </c>
      <c r="AA825" s="257">
        <f t="shared" si="176"/>
        <v>0</v>
      </c>
      <c r="AB825" s="269">
        <f t="shared" si="177"/>
        <v>0</v>
      </c>
      <c r="AC825" s="269">
        <f t="shared" si="178"/>
        <v>0</v>
      </c>
      <c r="AD825" s="271" t="str">
        <f>INDEX('Global inputs'!$C$134:$C$171,MATCH(F825,'Global inputs'!$B$134:$B$171,0))</f>
        <v>Asset relocations and undergrounding</v>
      </c>
      <c r="AE825" s="272">
        <f>IF(OR(H825='Operating leases'!$B$32,H825='Operating leases'!$B$33),"",INDEX('Global inputs'!$C$186:$C$243,MATCH(E825,'Global inputs'!$B$186:$B$243,0)))</f>
        <v>0.08</v>
      </c>
    </row>
    <row r="826" spans="1:31" s="27" customFormat="1" x14ac:dyDescent="0.2">
      <c r="A826" s="250"/>
      <c r="B826" s="210" t="s">
        <v>714</v>
      </c>
      <c r="C826" s="210" t="s">
        <v>290</v>
      </c>
      <c r="D826" s="210" t="s">
        <v>718</v>
      </c>
      <c r="E826" s="210" t="s">
        <v>169</v>
      </c>
      <c r="F826" s="210" t="s">
        <v>92</v>
      </c>
      <c r="G826" s="210" t="s">
        <v>720</v>
      </c>
      <c r="H826" s="197">
        <v>0</v>
      </c>
      <c r="I826" s="210" t="s">
        <v>221</v>
      </c>
      <c r="J826" s="210">
        <v>2023</v>
      </c>
      <c r="K826" s="210">
        <v>2023</v>
      </c>
      <c r="L826" s="268" t="str">
        <f t="shared" si="166"/>
        <v>Simple</v>
      </c>
      <c r="M826" s="197">
        <v>15337.151629193</v>
      </c>
      <c r="N826" s="197">
        <v>23005.727443789496</v>
      </c>
      <c r="O826" s="257">
        <f>IF(ISNA(MATCH(H826,'Operating leases'!$B$32:$B$43,0)),0,INDEX('Operating leases'!$M$32:$S$43,MATCH(H826,'Operating leases'!$B$32:$B$43,0),MATCH(J826,'Operating leases'!$M$11:$S$11,0)))</f>
        <v>0</v>
      </c>
      <c r="P826" s="257">
        <f t="shared" si="167"/>
        <v>15337.151629193</v>
      </c>
      <c r="Q826" s="257">
        <f t="shared" si="168"/>
        <v>38342.879072982498</v>
      </c>
      <c r="R826" s="258">
        <f>INDEX('Escalators '!$M$124:$S$129,MATCH(I826,'Escalators '!$B$124:$B$129,0),MATCH(J826,'Escalators '!$M$113:$S$113,0))</f>
        <v>1.0486791854231625</v>
      </c>
      <c r="S826" s="257">
        <f t="shared" si="169"/>
        <v>0</v>
      </c>
      <c r="T826" s="257">
        <f t="shared" si="170"/>
        <v>24125.627515820463</v>
      </c>
      <c r="U826" s="269">
        <f t="shared" si="171"/>
        <v>16083.751677213648</v>
      </c>
      <c r="V826" s="269">
        <f t="shared" si="172"/>
        <v>40209.37919303411</v>
      </c>
      <c r="W826" s="269">
        <f t="shared" si="173"/>
        <v>16083.751677213648</v>
      </c>
      <c r="X826" s="257">
        <f t="shared" si="174"/>
        <v>40209.37919303411</v>
      </c>
      <c r="Y826" s="270">
        <f>IF(L826="Complex",(INDEX('Escalators '!$M$176:$S$176,MATCH('Forecast capex'!J826,'Escalators '!$M$178:$S$178,0))/12+1)^((K826-J826)*12)-1,0)</f>
        <v>0</v>
      </c>
      <c r="Z826" s="257">
        <f t="shared" si="175"/>
        <v>0</v>
      </c>
      <c r="AA826" s="257">
        <f t="shared" si="176"/>
        <v>0</v>
      </c>
      <c r="AB826" s="269">
        <f t="shared" si="177"/>
        <v>0</v>
      </c>
      <c r="AC826" s="269">
        <f t="shared" si="178"/>
        <v>0</v>
      </c>
      <c r="AD826" s="271" t="str">
        <f>INDEX('Global inputs'!$C$134:$C$171,MATCH(F826,'Global inputs'!$B$134:$B$171,0))</f>
        <v>Asset relocations and undergrounding</v>
      </c>
      <c r="AE826" s="272">
        <f>IF(OR(H826='Operating leases'!$B$32,H826='Operating leases'!$B$33),"",INDEX('Global inputs'!$C$186:$C$243,MATCH(E826,'Global inputs'!$B$186:$B$243,0)))</f>
        <v>0.08</v>
      </c>
    </row>
    <row r="827" spans="1:31" s="27" customFormat="1" x14ac:dyDescent="0.2">
      <c r="A827" s="250"/>
      <c r="B827" s="210" t="s">
        <v>714</v>
      </c>
      <c r="C827" s="210" t="s">
        <v>290</v>
      </c>
      <c r="D827" s="210" t="s">
        <v>718</v>
      </c>
      <c r="E827" s="210" t="s">
        <v>170</v>
      </c>
      <c r="F827" s="210" t="s">
        <v>92</v>
      </c>
      <c r="G827" s="210" t="s">
        <v>721</v>
      </c>
      <c r="H827" s="197">
        <v>0</v>
      </c>
      <c r="I827" s="210" t="s">
        <v>229</v>
      </c>
      <c r="J827" s="210">
        <v>2023</v>
      </c>
      <c r="K827" s="210">
        <v>2023</v>
      </c>
      <c r="L827" s="268" t="str">
        <f t="shared" si="166"/>
        <v>Simple</v>
      </c>
      <c r="M827" s="197">
        <v>20299.171273931912</v>
      </c>
      <c r="N827" s="197">
        <v>30448.756910897868</v>
      </c>
      <c r="O827" s="257">
        <f>IF(ISNA(MATCH(H827,'Operating leases'!$B$32:$B$43,0)),0,INDEX('Operating leases'!$M$32:$S$43,MATCH(H827,'Operating leases'!$B$32:$B$43,0),MATCH(J827,'Operating leases'!$M$11:$S$11,0)))</f>
        <v>0</v>
      </c>
      <c r="P827" s="257">
        <f t="shared" si="167"/>
        <v>20299.171273931912</v>
      </c>
      <c r="Q827" s="257">
        <f t="shared" si="168"/>
        <v>50747.928184829783</v>
      </c>
      <c r="R827" s="258">
        <f>INDEX('Escalators '!$M$124:$S$129,MATCH(I827,'Escalators '!$B$124:$B$129,0),MATCH(J827,'Escalators '!$M$113:$S$113,0))</f>
        <v>1.0553567720906862</v>
      </c>
      <c r="S827" s="257">
        <f t="shared" si="169"/>
        <v>0</v>
      </c>
      <c r="T827" s="257">
        <f t="shared" si="170"/>
        <v>32134.301807659147</v>
      </c>
      <c r="U827" s="269">
        <f t="shared" si="171"/>
        <v>21422.867871772774</v>
      </c>
      <c r="V827" s="269">
        <f t="shared" si="172"/>
        <v>53557.169679431921</v>
      </c>
      <c r="W827" s="269">
        <f t="shared" si="173"/>
        <v>21422.867871772774</v>
      </c>
      <c r="X827" s="257">
        <f t="shared" si="174"/>
        <v>53557.169679431921</v>
      </c>
      <c r="Y827" s="270">
        <f>IF(L827="Complex",(INDEX('Escalators '!$M$176:$S$176,MATCH('Forecast capex'!J827,'Escalators '!$M$178:$S$178,0))/12+1)^((K827-J827)*12)-1,0)</f>
        <v>0</v>
      </c>
      <c r="Z827" s="257">
        <f t="shared" si="175"/>
        <v>0</v>
      </c>
      <c r="AA827" s="257">
        <f t="shared" si="176"/>
        <v>0</v>
      </c>
      <c r="AB827" s="269">
        <f t="shared" si="177"/>
        <v>0</v>
      </c>
      <c r="AC827" s="269">
        <f t="shared" si="178"/>
        <v>0</v>
      </c>
      <c r="AD827" s="271" t="str">
        <f>INDEX('Global inputs'!$C$134:$C$171,MATCH(F827,'Global inputs'!$B$134:$B$171,0))</f>
        <v>Asset relocations and undergrounding</v>
      </c>
      <c r="AE827" s="272">
        <f>IF(OR(H827='Operating leases'!$B$32,H827='Operating leases'!$B$33),"",INDEX('Global inputs'!$C$186:$C$243,MATCH(E827,'Global inputs'!$B$186:$B$243,0)))</f>
        <v>0.08</v>
      </c>
    </row>
    <row r="828" spans="1:31" s="27" customFormat="1" x14ac:dyDescent="0.2">
      <c r="A828" s="250"/>
      <c r="B828" s="210" t="s">
        <v>714</v>
      </c>
      <c r="C828" s="210" t="s">
        <v>290</v>
      </c>
      <c r="D828" s="210" t="s">
        <v>718</v>
      </c>
      <c r="E828" s="210" t="s">
        <v>170</v>
      </c>
      <c r="F828" s="210" t="s">
        <v>92</v>
      </c>
      <c r="G828" s="210" t="s">
        <v>721</v>
      </c>
      <c r="H828" s="197">
        <v>0</v>
      </c>
      <c r="I828" s="210" t="s">
        <v>221</v>
      </c>
      <c r="J828" s="210">
        <v>2023</v>
      </c>
      <c r="K828" s="210">
        <v>2023</v>
      </c>
      <c r="L828" s="268" t="str">
        <f t="shared" si="166"/>
        <v>Simple</v>
      </c>
      <c r="M828" s="197">
        <v>20299.171273931912</v>
      </c>
      <c r="N828" s="197">
        <v>30448.756910897868</v>
      </c>
      <c r="O828" s="257">
        <f>IF(ISNA(MATCH(H828,'Operating leases'!$B$32:$B$43,0)),0,INDEX('Operating leases'!$M$32:$S$43,MATCH(H828,'Operating leases'!$B$32:$B$43,0),MATCH(J828,'Operating leases'!$M$11:$S$11,0)))</f>
        <v>0</v>
      </c>
      <c r="P828" s="257">
        <f t="shared" si="167"/>
        <v>20299.171273931912</v>
      </c>
      <c r="Q828" s="257">
        <f t="shared" si="168"/>
        <v>50747.928184829783</v>
      </c>
      <c r="R828" s="258">
        <f>INDEX('Escalators '!$M$124:$S$129,MATCH(I828,'Escalators '!$B$124:$B$129,0),MATCH(J828,'Escalators '!$M$113:$S$113,0))</f>
        <v>1.0486791854231625</v>
      </c>
      <c r="S828" s="257">
        <f t="shared" si="169"/>
        <v>0</v>
      </c>
      <c r="T828" s="257">
        <f t="shared" si="170"/>
        <v>31930.977594468266</v>
      </c>
      <c r="U828" s="269">
        <f t="shared" si="171"/>
        <v>21287.318396312181</v>
      </c>
      <c r="V828" s="269">
        <f t="shared" si="172"/>
        <v>53218.295990780447</v>
      </c>
      <c r="W828" s="269">
        <f t="shared" si="173"/>
        <v>21287.318396312181</v>
      </c>
      <c r="X828" s="257">
        <f t="shared" si="174"/>
        <v>53218.295990780447</v>
      </c>
      <c r="Y828" s="270">
        <f>IF(L828="Complex",(INDEX('Escalators '!$M$176:$S$176,MATCH('Forecast capex'!J828,'Escalators '!$M$178:$S$178,0))/12+1)^((K828-J828)*12)-1,0)</f>
        <v>0</v>
      </c>
      <c r="Z828" s="257">
        <f t="shared" si="175"/>
        <v>0</v>
      </c>
      <c r="AA828" s="257">
        <f t="shared" si="176"/>
        <v>0</v>
      </c>
      <c r="AB828" s="269">
        <f t="shared" si="177"/>
        <v>0</v>
      </c>
      <c r="AC828" s="269">
        <f t="shared" si="178"/>
        <v>0</v>
      </c>
      <c r="AD828" s="271" t="str">
        <f>INDEX('Global inputs'!$C$134:$C$171,MATCH(F828,'Global inputs'!$B$134:$B$171,0))</f>
        <v>Asset relocations and undergrounding</v>
      </c>
      <c r="AE828" s="272">
        <f>IF(OR(H828='Operating leases'!$B$32,H828='Operating leases'!$B$33),"",INDEX('Global inputs'!$C$186:$C$243,MATCH(E828,'Global inputs'!$B$186:$B$243,0)))</f>
        <v>0.08</v>
      </c>
    </row>
    <row r="829" spans="1:31" s="27" customFormat="1" x14ac:dyDescent="0.2">
      <c r="A829" s="250"/>
      <c r="B829" s="210" t="s">
        <v>714</v>
      </c>
      <c r="C829" s="210" t="s">
        <v>288</v>
      </c>
      <c r="D829" s="210" t="s">
        <v>718</v>
      </c>
      <c r="E829" s="210" t="s">
        <v>160</v>
      </c>
      <c r="F829" s="210" t="s">
        <v>92</v>
      </c>
      <c r="G829" s="210" t="s">
        <v>722</v>
      </c>
      <c r="H829" s="197">
        <v>0</v>
      </c>
      <c r="I829" s="210" t="s">
        <v>229</v>
      </c>
      <c r="J829" s="210">
        <v>2023</v>
      </c>
      <c r="K829" s="210">
        <v>2023</v>
      </c>
      <c r="L829" s="268" t="str">
        <f t="shared" si="166"/>
        <v>Simple</v>
      </c>
      <c r="M829" s="197">
        <v>12405.049111847278</v>
      </c>
      <c r="N829" s="197">
        <v>18607.573667770914</v>
      </c>
      <c r="O829" s="257">
        <f>IF(ISNA(MATCH(H829,'Operating leases'!$B$32:$B$43,0)),0,INDEX('Operating leases'!$M$32:$S$43,MATCH(H829,'Operating leases'!$B$32:$B$43,0),MATCH(J829,'Operating leases'!$M$11:$S$11,0)))</f>
        <v>0</v>
      </c>
      <c r="P829" s="257">
        <f t="shared" si="167"/>
        <v>12405.049111847278</v>
      </c>
      <c r="Q829" s="257">
        <f t="shared" si="168"/>
        <v>31012.622779618192</v>
      </c>
      <c r="R829" s="258">
        <f>INDEX('Escalators '!$M$124:$S$129,MATCH(I829,'Escalators '!$B$124:$B$129,0),MATCH(J829,'Escalators '!$M$113:$S$113,0))</f>
        <v>1.0553567720906862</v>
      </c>
      <c r="S829" s="257">
        <f t="shared" si="169"/>
        <v>0</v>
      </c>
      <c r="T829" s="257">
        <f t="shared" si="170"/>
        <v>19637.628882458364</v>
      </c>
      <c r="U829" s="269">
        <f t="shared" si="171"/>
        <v>13091.752588305575</v>
      </c>
      <c r="V829" s="269">
        <f t="shared" si="172"/>
        <v>32729.381470763939</v>
      </c>
      <c r="W829" s="269">
        <f t="shared" si="173"/>
        <v>13091.752588305575</v>
      </c>
      <c r="X829" s="257">
        <f t="shared" si="174"/>
        <v>32729.381470763939</v>
      </c>
      <c r="Y829" s="270">
        <f>IF(L829="Complex",(INDEX('Escalators '!$M$176:$S$176,MATCH('Forecast capex'!J829,'Escalators '!$M$178:$S$178,0))/12+1)^((K829-J829)*12)-1,0)</f>
        <v>0</v>
      </c>
      <c r="Z829" s="257">
        <f t="shared" si="175"/>
        <v>0</v>
      </c>
      <c r="AA829" s="257">
        <f t="shared" si="176"/>
        <v>0</v>
      </c>
      <c r="AB829" s="269">
        <f t="shared" si="177"/>
        <v>0</v>
      </c>
      <c r="AC829" s="269">
        <f t="shared" si="178"/>
        <v>0</v>
      </c>
      <c r="AD829" s="271" t="str">
        <f>INDEX('Global inputs'!$C$134:$C$171,MATCH(F829,'Global inputs'!$B$134:$B$171,0))</f>
        <v>Asset relocations and undergrounding</v>
      </c>
      <c r="AE829" s="272">
        <f>IF(OR(H829='Operating leases'!$B$32,H829='Operating leases'!$B$33),"",INDEX('Global inputs'!$C$186:$C$243,MATCH(E829,'Global inputs'!$B$186:$B$243,0)))</f>
        <v>0.08</v>
      </c>
    </row>
    <row r="830" spans="1:31" s="27" customFormat="1" x14ac:dyDescent="0.2">
      <c r="A830" s="250"/>
      <c r="B830" s="210" t="s">
        <v>714</v>
      </c>
      <c r="C830" s="210" t="s">
        <v>288</v>
      </c>
      <c r="D830" s="210" t="s">
        <v>718</v>
      </c>
      <c r="E830" s="210" t="s">
        <v>160</v>
      </c>
      <c r="F830" s="210" t="s">
        <v>92</v>
      </c>
      <c r="G830" s="210" t="s">
        <v>722</v>
      </c>
      <c r="H830" s="197">
        <v>0</v>
      </c>
      <c r="I830" s="210" t="s">
        <v>221</v>
      </c>
      <c r="J830" s="210">
        <v>2023</v>
      </c>
      <c r="K830" s="210">
        <v>2023</v>
      </c>
      <c r="L830" s="268" t="str">
        <f t="shared" si="166"/>
        <v>Simple</v>
      </c>
      <c r="M830" s="197">
        <v>12405.049111847278</v>
      </c>
      <c r="N830" s="197">
        <v>18607.573667770914</v>
      </c>
      <c r="O830" s="257">
        <f>IF(ISNA(MATCH(H830,'Operating leases'!$B$32:$B$43,0)),0,INDEX('Operating leases'!$M$32:$S$43,MATCH(H830,'Operating leases'!$B$32:$B$43,0),MATCH(J830,'Operating leases'!$M$11:$S$11,0)))</f>
        <v>0</v>
      </c>
      <c r="P830" s="257">
        <f t="shared" si="167"/>
        <v>12405.049111847278</v>
      </c>
      <c r="Q830" s="257">
        <f t="shared" si="168"/>
        <v>31012.622779618192</v>
      </c>
      <c r="R830" s="258">
        <f>INDEX('Escalators '!$M$124:$S$129,MATCH(I830,'Escalators '!$B$124:$B$129,0),MATCH(J830,'Escalators '!$M$113:$S$113,0))</f>
        <v>1.0486791854231625</v>
      </c>
      <c r="S830" s="257">
        <f t="shared" si="169"/>
        <v>0</v>
      </c>
      <c r="T830" s="257">
        <f t="shared" si="170"/>
        <v>19513.37519661949</v>
      </c>
      <c r="U830" s="269">
        <f t="shared" si="171"/>
        <v>13008.916797746329</v>
      </c>
      <c r="V830" s="269">
        <f t="shared" si="172"/>
        <v>32522.29199436582</v>
      </c>
      <c r="W830" s="269">
        <f t="shared" si="173"/>
        <v>13008.916797746329</v>
      </c>
      <c r="X830" s="257">
        <f t="shared" si="174"/>
        <v>32522.29199436582</v>
      </c>
      <c r="Y830" s="270">
        <f>IF(L830="Complex",(INDEX('Escalators '!$M$176:$S$176,MATCH('Forecast capex'!J830,'Escalators '!$M$178:$S$178,0))/12+1)^((K830-J830)*12)-1,0)</f>
        <v>0</v>
      </c>
      <c r="Z830" s="257">
        <f t="shared" si="175"/>
        <v>0</v>
      </c>
      <c r="AA830" s="257">
        <f t="shared" si="176"/>
        <v>0</v>
      </c>
      <c r="AB830" s="269">
        <f t="shared" si="177"/>
        <v>0</v>
      </c>
      <c r="AC830" s="269">
        <f t="shared" si="178"/>
        <v>0</v>
      </c>
      <c r="AD830" s="271" t="str">
        <f>INDEX('Global inputs'!$C$134:$C$171,MATCH(F830,'Global inputs'!$B$134:$B$171,0))</f>
        <v>Asset relocations and undergrounding</v>
      </c>
      <c r="AE830" s="272">
        <f>IF(OR(H830='Operating leases'!$B$32,H830='Operating leases'!$B$33),"",INDEX('Global inputs'!$C$186:$C$243,MATCH(E830,'Global inputs'!$B$186:$B$243,0)))</f>
        <v>0.08</v>
      </c>
    </row>
    <row r="831" spans="1:31" s="27" customFormat="1" x14ac:dyDescent="0.2">
      <c r="A831" s="250"/>
      <c r="B831" s="210" t="s">
        <v>714</v>
      </c>
      <c r="C831" s="210" t="s">
        <v>289</v>
      </c>
      <c r="D831" s="210" t="s">
        <v>723</v>
      </c>
      <c r="E831" s="210" t="s">
        <v>164</v>
      </c>
      <c r="F831" s="210" t="s">
        <v>92</v>
      </c>
      <c r="G831" s="210" t="s">
        <v>724</v>
      </c>
      <c r="H831" s="197">
        <v>0</v>
      </c>
      <c r="I831" s="210" t="s">
        <v>139</v>
      </c>
      <c r="J831" s="210">
        <v>2023</v>
      </c>
      <c r="K831" s="210">
        <v>2023</v>
      </c>
      <c r="L831" s="268" t="str">
        <f t="shared" si="166"/>
        <v>Simple</v>
      </c>
      <c r="M831" s="197">
        <v>14434.966239240472</v>
      </c>
      <c r="N831" s="197">
        <v>21652.449358860704</v>
      </c>
      <c r="O831" s="257">
        <f>IF(ISNA(MATCH(H831,'Operating leases'!$B$32:$B$43,0)),0,INDEX('Operating leases'!$M$32:$S$43,MATCH(H831,'Operating leases'!$B$32:$B$43,0),MATCH(J831,'Operating leases'!$M$11:$S$11,0)))</f>
        <v>0</v>
      </c>
      <c r="P831" s="257">
        <f t="shared" si="167"/>
        <v>14434.966239240472</v>
      </c>
      <c r="Q831" s="257">
        <f t="shared" si="168"/>
        <v>36087.415598101172</v>
      </c>
      <c r="R831" s="258">
        <f>INDEX('Escalators '!$M$124:$S$129,MATCH(I831,'Escalators '!$B$124:$B$129,0),MATCH(J831,'Escalators '!$M$113:$S$113,0))</f>
        <v>1.0254948937589263</v>
      </c>
      <c r="S831" s="257">
        <f t="shared" si="169"/>
        <v>0</v>
      </c>
      <c r="T831" s="257">
        <f t="shared" si="170"/>
        <v>22204.476254885391</v>
      </c>
      <c r="U831" s="269">
        <f t="shared" si="171"/>
        <v>14802.984169923591</v>
      </c>
      <c r="V831" s="269">
        <f t="shared" si="172"/>
        <v>37007.460424808982</v>
      </c>
      <c r="W831" s="269">
        <f t="shared" si="173"/>
        <v>14802.984169923591</v>
      </c>
      <c r="X831" s="257">
        <f t="shared" si="174"/>
        <v>37007.460424808982</v>
      </c>
      <c r="Y831" s="270">
        <f>IF(L831="Complex",(INDEX('Escalators '!$M$176:$S$176,MATCH('Forecast capex'!J831,'Escalators '!$M$178:$S$178,0))/12+1)^((K831-J831)*12)-1,0)</f>
        <v>0</v>
      </c>
      <c r="Z831" s="257">
        <f t="shared" si="175"/>
        <v>0</v>
      </c>
      <c r="AA831" s="257">
        <f t="shared" si="176"/>
        <v>0</v>
      </c>
      <c r="AB831" s="269">
        <f t="shared" si="177"/>
        <v>0</v>
      </c>
      <c r="AC831" s="269">
        <f t="shared" si="178"/>
        <v>0</v>
      </c>
      <c r="AD831" s="271" t="str">
        <f>INDEX('Global inputs'!$C$134:$C$171,MATCH(F831,'Global inputs'!$B$134:$B$171,0))</f>
        <v>Asset relocations and undergrounding</v>
      </c>
      <c r="AE831" s="272">
        <f>IF(OR(H831='Operating leases'!$B$32,H831='Operating leases'!$B$33),"",INDEX('Global inputs'!$C$186:$C$243,MATCH(E831,'Global inputs'!$B$186:$B$243,0)))</f>
        <v>0.08</v>
      </c>
    </row>
    <row r="832" spans="1:31" s="27" customFormat="1" x14ac:dyDescent="0.2">
      <c r="A832" s="250"/>
      <c r="B832" s="210" t="s">
        <v>714</v>
      </c>
      <c r="C832" s="210" t="s">
        <v>289</v>
      </c>
      <c r="D832" s="210" t="s">
        <v>723</v>
      </c>
      <c r="E832" s="210" t="s">
        <v>164</v>
      </c>
      <c r="F832" s="210" t="s">
        <v>92</v>
      </c>
      <c r="G832" s="210" t="s">
        <v>724</v>
      </c>
      <c r="H832" s="197">
        <v>0</v>
      </c>
      <c r="I832" s="210" t="s">
        <v>221</v>
      </c>
      <c r="J832" s="210">
        <v>2023</v>
      </c>
      <c r="K832" s="210">
        <v>2023</v>
      </c>
      <c r="L832" s="268" t="str">
        <f t="shared" si="166"/>
        <v>Simple</v>
      </c>
      <c r="M832" s="197">
        <v>3608.7415598101179</v>
      </c>
      <c r="N832" s="197">
        <v>5413.1123397151759</v>
      </c>
      <c r="O832" s="257">
        <f>IF(ISNA(MATCH(H832,'Operating leases'!$B$32:$B$43,0)),0,INDEX('Operating leases'!$M$32:$S$43,MATCH(H832,'Operating leases'!$B$32:$B$43,0),MATCH(J832,'Operating leases'!$M$11:$S$11,0)))</f>
        <v>0</v>
      </c>
      <c r="P832" s="257">
        <f t="shared" si="167"/>
        <v>3608.7415598101179</v>
      </c>
      <c r="Q832" s="257">
        <f t="shared" si="168"/>
        <v>9021.8538995252929</v>
      </c>
      <c r="R832" s="258">
        <f>INDEX('Escalators '!$M$124:$S$129,MATCH(I832,'Escalators '!$B$124:$B$129,0),MATCH(J832,'Escalators '!$M$113:$S$113,0))</f>
        <v>1.0486791854231625</v>
      </c>
      <c r="S832" s="257">
        <f t="shared" si="169"/>
        <v>0</v>
      </c>
      <c r="T832" s="257">
        <f t="shared" si="170"/>
        <v>5676.6182390165804</v>
      </c>
      <c r="U832" s="269">
        <f t="shared" si="171"/>
        <v>3784.4121593443861</v>
      </c>
      <c r="V832" s="269">
        <f t="shared" si="172"/>
        <v>9461.0303983609665</v>
      </c>
      <c r="W832" s="269">
        <f t="shared" si="173"/>
        <v>3784.4121593443861</v>
      </c>
      <c r="X832" s="257">
        <f t="shared" si="174"/>
        <v>9461.0303983609665</v>
      </c>
      <c r="Y832" s="270">
        <f>IF(L832="Complex",(INDEX('Escalators '!$M$176:$S$176,MATCH('Forecast capex'!J832,'Escalators '!$M$178:$S$178,0))/12+1)^((K832-J832)*12)-1,0)</f>
        <v>0</v>
      </c>
      <c r="Z832" s="257">
        <f t="shared" si="175"/>
        <v>0</v>
      </c>
      <c r="AA832" s="257">
        <f t="shared" si="176"/>
        <v>0</v>
      </c>
      <c r="AB832" s="269">
        <f t="shared" si="177"/>
        <v>0</v>
      </c>
      <c r="AC832" s="269">
        <f t="shared" si="178"/>
        <v>0</v>
      </c>
      <c r="AD832" s="271" t="str">
        <f>INDEX('Global inputs'!$C$134:$C$171,MATCH(F832,'Global inputs'!$B$134:$B$171,0))</f>
        <v>Asset relocations and undergrounding</v>
      </c>
      <c r="AE832" s="272">
        <f>IF(OR(H832='Operating leases'!$B$32,H832='Operating leases'!$B$33),"",INDEX('Global inputs'!$C$186:$C$243,MATCH(E832,'Global inputs'!$B$186:$B$243,0)))</f>
        <v>0.08</v>
      </c>
    </row>
    <row r="833" spans="1:31" s="27" customFormat="1" x14ac:dyDescent="0.2">
      <c r="A833" s="250"/>
      <c r="B833" s="210" t="s">
        <v>714</v>
      </c>
      <c r="C833" s="210" t="s">
        <v>289</v>
      </c>
      <c r="D833" s="210" t="s">
        <v>723</v>
      </c>
      <c r="E833" s="210" t="s">
        <v>163</v>
      </c>
      <c r="F833" s="210" t="s">
        <v>92</v>
      </c>
      <c r="G833" s="210" t="s">
        <v>725</v>
      </c>
      <c r="H833" s="197">
        <v>0</v>
      </c>
      <c r="I833" s="210" t="s">
        <v>139</v>
      </c>
      <c r="J833" s="210">
        <v>2023</v>
      </c>
      <c r="K833" s="210">
        <v>2023</v>
      </c>
      <c r="L833" s="268" t="str">
        <f t="shared" si="166"/>
        <v>Simple</v>
      </c>
      <c r="M833" s="197">
        <v>16239.337019145529</v>
      </c>
      <c r="N833" s="197">
        <v>24359.005528718291</v>
      </c>
      <c r="O833" s="257">
        <f>IF(ISNA(MATCH(H833,'Operating leases'!$B$32:$B$43,0)),0,INDEX('Operating leases'!$M$32:$S$43,MATCH(H833,'Operating leases'!$B$32:$B$43,0),MATCH(J833,'Operating leases'!$M$11:$S$11,0)))</f>
        <v>0</v>
      </c>
      <c r="P833" s="257">
        <f t="shared" si="167"/>
        <v>16239.337019145529</v>
      </c>
      <c r="Q833" s="257">
        <f t="shared" si="168"/>
        <v>40598.342547863824</v>
      </c>
      <c r="R833" s="258">
        <f>INDEX('Escalators '!$M$124:$S$129,MATCH(I833,'Escalators '!$B$124:$B$129,0),MATCH(J833,'Escalators '!$M$113:$S$113,0))</f>
        <v>1.0254948937589263</v>
      </c>
      <c r="S833" s="257">
        <f t="shared" si="169"/>
        <v>0</v>
      </c>
      <c r="T833" s="257">
        <f t="shared" si="170"/>
        <v>24980.035786746063</v>
      </c>
      <c r="U833" s="269">
        <f t="shared" si="171"/>
        <v>16653.357191164047</v>
      </c>
      <c r="V833" s="269">
        <f t="shared" si="172"/>
        <v>41633.392977910109</v>
      </c>
      <c r="W833" s="269">
        <f t="shared" si="173"/>
        <v>16653.357191164047</v>
      </c>
      <c r="X833" s="257">
        <f t="shared" si="174"/>
        <v>41633.392977910109</v>
      </c>
      <c r="Y833" s="270">
        <f>IF(L833="Complex",(INDEX('Escalators '!$M$176:$S$176,MATCH('Forecast capex'!J833,'Escalators '!$M$178:$S$178,0))/12+1)^((K833-J833)*12)-1,0)</f>
        <v>0</v>
      </c>
      <c r="Z833" s="257">
        <f t="shared" si="175"/>
        <v>0</v>
      </c>
      <c r="AA833" s="257">
        <f t="shared" si="176"/>
        <v>0</v>
      </c>
      <c r="AB833" s="269">
        <f t="shared" si="177"/>
        <v>0</v>
      </c>
      <c r="AC833" s="269">
        <f t="shared" si="178"/>
        <v>0</v>
      </c>
      <c r="AD833" s="271" t="str">
        <f>INDEX('Global inputs'!$C$134:$C$171,MATCH(F833,'Global inputs'!$B$134:$B$171,0))</f>
        <v>Asset relocations and undergrounding</v>
      </c>
      <c r="AE833" s="272">
        <f>IF(OR(H833='Operating leases'!$B$32,H833='Operating leases'!$B$33),"",INDEX('Global inputs'!$C$186:$C$243,MATCH(E833,'Global inputs'!$B$186:$B$243,0)))</f>
        <v>0.08</v>
      </c>
    </row>
    <row r="834" spans="1:31" s="27" customFormat="1" x14ac:dyDescent="0.2">
      <c r="A834" s="250"/>
      <c r="B834" s="210" t="s">
        <v>714</v>
      </c>
      <c r="C834" s="210" t="s">
        <v>289</v>
      </c>
      <c r="D834" s="210" t="s">
        <v>723</v>
      </c>
      <c r="E834" s="210" t="s">
        <v>163</v>
      </c>
      <c r="F834" s="210" t="s">
        <v>92</v>
      </c>
      <c r="G834" s="210" t="s">
        <v>725</v>
      </c>
      <c r="H834" s="197">
        <v>0</v>
      </c>
      <c r="I834" s="210" t="s">
        <v>221</v>
      </c>
      <c r="J834" s="210">
        <v>2023</v>
      </c>
      <c r="K834" s="210">
        <v>2023</v>
      </c>
      <c r="L834" s="268" t="str">
        <f t="shared" si="166"/>
        <v>Simple</v>
      </c>
      <c r="M834" s="197">
        <v>4059.8342547863822</v>
      </c>
      <c r="N834" s="197">
        <v>6089.7513821795728</v>
      </c>
      <c r="O834" s="257">
        <f>IF(ISNA(MATCH(H834,'Operating leases'!$B$32:$B$43,0)),0,INDEX('Operating leases'!$M$32:$S$43,MATCH(H834,'Operating leases'!$B$32:$B$43,0),MATCH(J834,'Operating leases'!$M$11:$S$11,0)))</f>
        <v>0</v>
      </c>
      <c r="P834" s="257">
        <f t="shared" si="167"/>
        <v>4059.8342547863822</v>
      </c>
      <c r="Q834" s="257">
        <f t="shared" si="168"/>
        <v>10149.585636965956</v>
      </c>
      <c r="R834" s="258">
        <f>INDEX('Escalators '!$M$124:$S$129,MATCH(I834,'Escalators '!$B$124:$B$129,0),MATCH(J834,'Escalators '!$M$113:$S$113,0))</f>
        <v>1.0486791854231625</v>
      </c>
      <c r="S834" s="257">
        <f t="shared" si="169"/>
        <v>0</v>
      </c>
      <c r="T834" s="257">
        <f t="shared" si="170"/>
        <v>6386.1955188936527</v>
      </c>
      <c r="U834" s="269">
        <f t="shared" si="171"/>
        <v>4257.463679262436</v>
      </c>
      <c r="V834" s="269">
        <f t="shared" si="172"/>
        <v>10643.659198156089</v>
      </c>
      <c r="W834" s="269">
        <f t="shared" si="173"/>
        <v>4257.463679262436</v>
      </c>
      <c r="X834" s="257">
        <f t="shared" si="174"/>
        <v>10643.659198156089</v>
      </c>
      <c r="Y834" s="270">
        <f>IF(L834="Complex",(INDEX('Escalators '!$M$176:$S$176,MATCH('Forecast capex'!J834,'Escalators '!$M$178:$S$178,0))/12+1)^((K834-J834)*12)-1,0)</f>
        <v>0</v>
      </c>
      <c r="Z834" s="257">
        <f t="shared" si="175"/>
        <v>0</v>
      </c>
      <c r="AA834" s="257">
        <f t="shared" si="176"/>
        <v>0</v>
      </c>
      <c r="AB834" s="269">
        <f t="shared" si="177"/>
        <v>0</v>
      </c>
      <c r="AC834" s="269">
        <f t="shared" si="178"/>
        <v>0</v>
      </c>
      <c r="AD834" s="271" t="str">
        <f>INDEX('Global inputs'!$C$134:$C$171,MATCH(F834,'Global inputs'!$B$134:$B$171,0))</f>
        <v>Asset relocations and undergrounding</v>
      </c>
      <c r="AE834" s="272">
        <f>IF(OR(H834='Operating leases'!$B$32,H834='Operating leases'!$B$33),"",INDEX('Global inputs'!$C$186:$C$243,MATCH(E834,'Global inputs'!$B$186:$B$243,0)))</f>
        <v>0.08</v>
      </c>
    </row>
    <row r="835" spans="1:31" s="27" customFormat="1" x14ac:dyDescent="0.2">
      <c r="A835" s="250"/>
      <c r="B835" s="210" t="s">
        <v>714</v>
      </c>
      <c r="C835" s="210" t="s">
        <v>285</v>
      </c>
      <c r="D835" s="210" t="s">
        <v>223</v>
      </c>
      <c r="E835" s="210" t="s">
        <v>134</v>
      </c>
      <c r="F835" s="210" t="s">
        <v>92</v>
      </c>
      <c r="G835" s="210" t="s">
        <v>726</v>
      </c>
      <c r="H835" s="197">
        <v>0</v>
      </c>
      <c r="I835" s="210" t="s">
        <v>223</v>
      </c>
      <c r="J835" s="210">
        <v>2023</v>
      </c>
      <c r="K835" s="210">
        <v>2023</v>
      </c>
      <c r="L835" s="268" t="str">
        <f t="shared" si="166"/>
        <v>Simple</v>
      </c>
      <c r="M835" s="197">
        <v>5413.1123397151769</v>
      </c>
      <c r="N835" s="197">
        <v>8119.6685095727644</v>
      </c>
      <c r="O835" s="257">
        <f>IF(ISNA(MATCH(H835,'Operating leases'!$B$32:$B$43,0)),0,INDEX('Operating leases'!$M$32:$S$43,MATCH(H835,'Operating leases'!$B$32:$B$43,0),MATCH(J835,'Operating leases'!$M$11:$S$11,0)))</f>
        <v>0</v>
      </c>
      <c r="P835" s="257">
        <f t="shared" si="167"/>
        <v>5413.1123397151769</v>
      </c>
      <c r="Q835" s="257">
        <f t="shared" si="168"/>
        <v>13532.780849287941</v>
      </c>
      <c r="R835" s="258">
        <f>INDEX('Escalators '!$M$124:$S$129,MATCH(I835,'Escalators '!$B$124:$B$129,0),MATCH(J835,'Escalators '!$M$113:$S$113,0))</f>
        <v>1.0703240765377642</v>
      </c>
      <c r="S835" s="257">
        <f t="shared" si="169"/>
        <v>0</v>
      </c>
      <c r="T835" s="257">
        <f t="shared" si="170"/>
        <v>8690.6766993012334</v>
      </c>
      <c r="U835" s="269">
        <f t="shared" si="171"/>
        <v>5793.7844662008229</v>
      </c>
      <c r="V835" s="269">
        <f t="shared" si="172"/>
        <v>14484.461165502056</v>
      </c>
      <c r="W835" s="269">
        <f t="shared" si="173"/>
        <v>5793.7844662008229</v>
      </c>
      <c r="X835" s="257">
        <f t="shared" si="174"/>
        <v>14484.461165502056</v>
      </c>
      <c r="Y835" s="270">
        <f>IF(L835="Complex",(INDEX('Escalators '!$M$176:$S$176,MATCH('Forecast capex'!J835,'Escalators '!$M$178:$S$178,0))/12+1)^((K835-J835)*12)-1,0)</f>
        <v>0</v>
      </c>
      <c r="Z835" s="257">
        <f t="shared" si="175"/>
        <v>0</v>
      </c>
      <c r="AA835" s="257">
        <f t="shared" si="176"/>
        <v>0</v>
      </c>
      <c r="AB835" s="269">
        <f t="shared" si="177"/>
        <v>0</v>
      </c>
      <c r="AC835" s="269">
        <f t="shared" si="178"/>
        <v>0</v>
      </c>
      <c r="AD835" s="271" t="str">
        <f>INDEX('Global inputs'!$C$134:$C$171,MATCH(F835,'Global inputs'!$B$134:$B$171,0))</f>
        <v>Asset relocations and undergrounding</v>
      </c>
      <c r="AE835" s="272">
        <f>IF(OR(H835='Operating leases'!$B$32,H835='Operating leases'!$B$33),"",INDEX('Global inputs'!$C$186:$C$243,MATCH(E835,'Global inputs'!$B$186:$B$243,0)))</f>
        <v>0.08</v>
      </c>
    </row>
    <row r="836" spans="1:31" s="27" customFormat="1" x14ac:dyDescent="0.2">
      <c r="A836" s="250"/>
      <c r="B836" s="210" t="s">
        <v>714</v>
      </c>
      <c r="C836" s="210" t="s">
        <v>285</v>
      </c>
      <c r="D836" s="210" t="s">
        <v>223</v>
      </c>
      <c r="E836" s="210" t="s">
        <v>134</v>
      </c>
      <c r="F836" s="210" t="s">
        <v>92</v>
      </c>
      <c r="G836" s="210" t="s">
        <v>726</v>
      </c>
      <c r="H836" s="197">
        <v>0</v>
      </c>
      <c r="I836" s="210" t="s">
        <v>221</v>
      </c>
      <c r="J836" s="210">
        <v>2023</v>
      </c>
      <c r="K836" s="210">
        <v>2023</v>
      </c>
      <c r="L836" s="268" t="str">
        <f t="shared" si="166"/>
        <v>Simple</v>
      </c>
      <c r="M836" s="197">
        <v>12630.595459335413</v>
      </c>
      <c r="N836" s="197">
        <v>18945.893189003116</v>
      </c>
      <c r="O836" s="257">
        <f>IF(ISNA(MATCH(H836,'Operating leases'!$B$32:$B$43,0)),0,INDEX('Operating leases'!$M$32:$S$43,MATCH(H836,'Operating leases'!$B$32:$B$43,0),MATCH(J836,'Operating leases'!$M$11:$S$11,0)))</f>
        <v>0</v>
      </c>
      <c r="P836" s="257">
        <f t="shared" si="167"/>
        <v>12630.595459335413</v>
      </c>
      <c r="Q836" s="257">
        <f t="shared" si="168"/>
        <v>31576.488648338527</v>
      </c>
      <c r="R836" s="258">
        <f>INDEX('Escalators '!$M$124:$S$129,MATCH(I836,'Escalators '!$B$124:$B$129,0),MATCH(J836,'Escalators '!$M$113:$S$113,0))</f>
        <v>1.0486791854231625</v>
      </c>
      <c r="S836" s="257">
        <f t="shared" si="169"/>
        <v>0</v>
      </c>
      <c r="T836" s="257">
        <f t="shared" si="170"/>
        <v>19868.163836558029</v>
      </c>
      <c r="U836" s="269">
        <f t="shared" si="171"/>
        <v>13245.442557705355</v>
      </c>
      <c r="V836" s="269">
        <f t="shared" si="172"/>
        <v>33113.606394263385</v>
      </c>
      <c r="W836" s="269">
        <f t="shared" si="173"/>
        <v>13245.442557705355</v>
      </c>
      <c r="X836" s="257">
        <f t="shared" si="174"/>
        <v>33113.606394263385</v>
      </c>
      <c r="Y836" s="270">
        <f>IF(L836="Complex",(INDEX('Escalators '!$M$176:$S$176,MATCH('Forecast capex'!J836,'Escalators '!$M$178:$S$178,0))/12+1)^((K836-J836)*12)-1,0)</f>
        <v>0</v>
      </c>
      <c r="Z836" s="257">
        <f t="shared" si="175"/>
        <v>0</v>
      </c>
      <c r="AA836" s="257">
        <f t="shared" si="176"/>
        <v>0</v>
      </c>
      <c r="AB836" s="269">
        <f t="shared" si="177"/>
        <v>0</v>
      </c>
      <c r="AC836" s="269">
        <f t="shared" si="178"/>
        <v>0</v>
      </c>
      <c r="AD836" s="271" t="str">
        <f>INDEX('Global inputs'!$C$134:$C$171,MATCH(F836,'Global inputs'!$B$134:$B$171,0))</f>
        <v>Asset relocations and undergrounding</v>
      </c>
      <c r="AE836" s="272">
        <f>IF(OR(H836='Operating leases'!$B$32,H836='Operating leases'!$B$33),"",INDEX('Global inputs'!$C$186:$C$243,MATCH(E836,'Global inputs'!$B$186:$B$243,0)))</f>
        <v>0.08</v>
      </c>
    </row>
    <row r="837" spans="1:31" s="27" customFormat="1" x14ac:dyDescent="0.2">
      <c r="A837" s="250"/>
      <c r="B837" s="210" t="s">
        <v>714</v>
      </c>
      <c r="C837" s="210" t="s">
        <v>288</v>
      </c>
      <c r="D837" s="210" t="s">
        <v>223</v>
      </c>
      <c r="E837" s="210" t="s">
        <v>156</v>
      </c>
      <c r="F837" s="210" t="s">
        <v>92</v>
      </c>
      <c r="G837" s="210" t="s">
        <v>727</v>
      </c>
      <c r="H837" s="197">
        <v>0</v>
      </c>
      <c r="I837" s="210" t="s">
        <v>223</v>
      </c>
      <c r="J837" s="210">
        <v>2023</v>
      </c>
      <c r="K837" s="210">
        <v>2023</v>
      </c>
      <c r="L837" s="268" t="str">
        <f t="shared" si="166"/>
        <v>Simple</v>
      </c>
      <c r="M837" s="197">
        <v>58867.596694402542</v>
      </c>
      <c r="N837" s="197">
        <v>88301.395041603799</v>
      </c>
      <c r="O837" s="257">
        <f>IF(ISNA(MATCH(H837,'Operating leases'!$B$32:$B$43,0)),0,INDEX('Operating leases'!$M$32:$S$43,MATCH(H837,'Operating leases'!$B$32:$B$43,0),MATCH(J837,'Operating leases'!$M$11:$S$11,0)))</f>
        <v>0</v>
      </c>
      <c r="P837" s="257">
        <f t="shared" si="167"/>
        <v>58867.596694402542</v>
      </c>
      <c r="Q837" s="257">
        <f t="shared" si="168"/>
        <v>147168.99173600634</v>
      </c>
      <c r="R837" s="258">
        <f>INDEX('Escalators '!$M$124:$S$129,MATCH(I837,'Escalators '!$B$124:$B$129,0),MATCH(J837,'Escalators '!$M$113:$S$113,0))</f>
        <v>1.0703240765377642</v>
      </c>
      <c r="S837" s="257">
        <f t="shared" si="169"/>
        <v>0</v>
      </c>
      <c r="T837" s="257">
        <f t="shared" si="170"/>
        <v>94511.109104900897</v>
      </c>
      <c r="U837" s="269">
        <f t="shared" si="171"/>
        <v>63007.406069933946</v>
      </c>
      <c r="V837" s="269">
        <f t="shared" si="172"/>
        <v>157518.51517483484</v>
      </c>
      <c r="W837" s="269">
        <f t="shared" si="173"/>
        <v>63007.406069933946</v>
      </c>
      <c r="X837" s="257">
        <f t="shared" si="174"/>
        <v>157518.51517483484</v>
      </c>
      <c r="Y837" s="270">
        <f>IF(L837="Complex",(INDEX('Escalators '!$M$176:$S$176,MATCH('Forecast capex'!J837,'Escalators '!$M$178:$S$178,0))/12+1)^((K837-J837)*12)-1,0)</f>
        <v>0</v>
      </c>
      <c r="Z837" s="257">
        <f t="shared" si="175"/>
        <v>0</v>
      </c>
      <c r="AA837" s="257">
        <f t="shared" si="176"/>
        <v>0</v>
      </c>
      <c r="AB837" s="269">
        <f t="shared" si="177"/>
        <v>0</v>
      </c>
      <c r="AC837" s="269">
        <f t="shared" si="178"/>
        <v>0</v>
      </c>
      <c r="AD837" s="271" t="str">
        <f>INDEX('Global inputs'!$C$134:$C$171,MATCH(F837,'Global inputs'!$B$134:$B$171,0))</f>
        <v>Asset relocations and undergrounding</v>
      </c>
      <c r="AE837" s="272">
        <f>IF(OR(H837='Operating leases'!$B$32,H837='Operating leases'!$B$33),"",INDEX('Global inputs'!$C$186:$C$243,MATCH(E837,'Global inputs'!$B$186:$B$243,0)))</f>
        <v>0.08</v>
      </c>
    </row>
    <row r="838" spans="1:31" s="27" customFormat="1" x14ac:dyDescent="0.2">
      <c r="A838" s="250"/>
      <c r="B838" s="210" t="s">
        <v>714</v>
      </c>
      <c r="C838" s="210" t="s">
        <v>288</v>
      </c>
      <c r="D838" s="210" t="s">
        <v>223</v>
      </c>
      <c r="E838" s="210" t="s">
        <v>156</v>
      </c>
      <c r="F838" s="210" t="s">
        <v>92</v>
      </c>
      <c r="G838" s="210" t="s">
        <v>727</v>
      </c>
      <c r="H838" s="197">
        <v>0</v>
      </c>
      <c r="I838" s="210" t="s">
        <v>221</v>
      </c>
      <c r="J838" s="210">
        <v>2023</v>
      </c>
      <c r="K838" s="210">
        <v>2023</v>
      </c>
      <c r="L838" s="268" t="str">
        <f t="shared" si="166"/>
        <v>Simple</v>
      </c>
      <c r="M838" s="197">
        <v>137357.7256202726</v>
      </c>
      <c r="N838" s="197">
        <v>206036.58843040891</v>
      </c>
      <c r="O838" s="257">
        <f>IF(ISNA(MATCH(H838,'Operating leases'!$B$32:$B$43,0)),0,INDEX('Operating leases'!$M$32:$S$43,MATCH(H838,'Operating leases'!$B$32:$B$43,0),MATCH(J838,'Operating leases'!$M$11:$S$11,0)))</f>
        <v>0</v>
      </c>
      <c r="P838" s="257">
        <f t="shared" si="167"/>
        <v>137357.7256202726</v>
      </c>
      <c r="Q838" s="257">
        <f t="shared" si="168"/>
        <v>343394.31405068154</v>
      </c>
      <c r="R838" s="258">
        <f>INDEX('Escalators '!$M$124:$S$129,MATCH(I838,'Escalators '!$B$124:$B$129,0),MATCH(J838,'Escalators '!$M$113:$S$113,0))</f>
        <v>1.0486791854231625</v>
      </c>
      <c r="S838" s="257">
        <f t="shared" si="169"/>
        <v>0</v>
      </c>
      <c r="T838" s="257">
        <f t="shared" si="170"/>
        <v>216066.28172256862</v>
      </c>
      <c r="U838" s="269">
        <f t="shared" si="171"/>
        <v>144044.18781504576</v>
      </c>
      <c r="V838" s="269">
        <f t="shared" si="172"/>
        <v>360110.46953761438</v>
      </c>
      <c r="W838" s="269">
        <f t="shared" si="173"/>
        <v>144044.18781504576</v>
      </c>
      <c r="X838" s="257">
        <f t="shared" si="174"/>
        <v>360110.46953761438</v>
      </c>
      <c r="Y838" s="270">
        <f>IF(L838="Complex",(INDEX('Escalators '!$M$176:$S$176,MATCH('Forecast capex'!J838,'Escalators '!$M$178:$S$178,0))/12+1)^((K838-J838)*12)-1,0)</f>
        <v>0</v>
      </c>
      <c r="Z838" s="257">
        <f t="shared" si="175"/>
        <v>0</v>
      </c>
      <c r="AA838" s="257">
        <f t="shared" si="176"/>
        <v>0</v>
      </c>
      <c r="AB838" s="269">
        <f t="shared" si="177"/>
        <v>0</v>
      </c>
      <c r="AC838" s="269">
        <f t="shared" si="178"/>
        <v>0</v>
      </c>
      <c r="AD838" s="271" t="str">
        <f>INDEX('Global inputs'!$C$134:$C$171,MATCH(F838,'Global inputs'!$B$134:$B$171,0))</f>
        <v>Asset relocations and undergrounding</v>
      </c>
      <c r="AE838" s="272">
        <f>IF(OR(H838='Operating leases'!$B$32,H838='Operating leases'!$B$33),"",INDEX('Global inputs'!$C$186:$C$243,MATCH(E838,'Global inputs'!$B$186:$B$243,0)))</f>
        <v>0.08</v>
      </c>
    </row>
    <row r="839" spans="1:31" s="27" customFormat="1" x14ac:dyDescent="0.2">
      <c r="A839" s="250"/>
      <c r="B839" s="210" t="s">
        <v>714</v>
      </c>
      <c r="C839" s="210" t="s">
        <v>288</v>
      </c>
      <c r="D839" s="210" t="s">
        <v>223</v>
      </c>
      <c r="E839" s="210" t="s">
        <v>158</v>
      </c>
      <c r="F839" s="210" t="s">
        <v>92</v>
      </c>
      <c r="G839" s="210" t="s">
        <v>728</v>
      </c>
      <c r="H839" s="197">
        <v>0</v>
      </c>
      <c r="I839" s="210" t="s">
        <v>223</v>
      </c>
      <c r="J839" s="210">
        <v>2023</v>
      </c>
      <c r="K839" s="210">
        <v>2023</v>
      </c>
      <c r="L839" s="268" t="str">
        <f t="shared" si="166"/>
        <v>Simple</v>
      </c>
      <c r="M839" s="197">
        <v>49620.19644738912</v>
      </c>
      <c r="N839" s="197">
        <v>74430.29467108367</v>
      </c>
      <c r="O839" s="257">
        <f>IF(ISNA(MATCH(H839,'Operating leases'!$B$32:$B$43,0)),0,INDEX('Operating leases'!$M$32:$S$43,MATCH(H839,'Operating leases'!$B$32:$B$43,0),MATCH(J839,'Operating leases'!$M$11:$S$11,0)))</f>
        <v>0</v>
      </c>
      <c r="P839" s="257">
        <f t="shared" si="167"/>
        <v>49620.19644738912</v>
      </c>
      <c r="Q839" s="257">
        <f t="shared" si="168"/>
        <v>124050.4911184728</v>
      </c>
      <c r="R839" s="258">
        <f>INDEX('Escalators '!$M$124:$S$129,MATCH(I839,'Escalators '!$B$124:$B$129,0),MATCH(J839,'Escalators '!$M$113:$S$113,0))</f>
        <v>1.0703240765377642</v>
      </c>
      <c r="S839" s="257">
        <f t="shared" si="169"/>
        <v>0</v>
      </c>
      <c r="T839" s="257">
        <f t="shared" si="170"/>
        <v>79664.536410261295</v>
      </c>
      <c r="U839" s="269">
        <f t="shared" si="171"/>
        <v>53109.690940174216</v>
      </c>
      <c r="V839" s="269">
        <f t="shared" si="172"/>
        <v>132774.22735043551</v>
      </c>
      <c r="W839" s="269">
        <f t="shared" si="173"/>
        <v>53109.690940174216</v>
      </c>
      <c r="X839" s="257">
        <f t="shared" si="174"/>
        <v>132774.22735043551</v>
      </c>
      <c r="Y839" s="270">
        <f>IF(L839="Complex",(INDEX('Escalators '!$M$176:$S$176,MATCH('Forecast capex'!J839,'Escalators '!$M$178:$S$178,0))/12+1)^((K839-J839)*12)-1,0)</f>
        <v>0</v>
      </c>
      <c r="Z839" s="257">
        <f t="shared" si="175"/>
        <v>0</v>
      </c>
      <c r="AA839" s="257">
        <f t="shared" si="176"/>
        <v>0</v>
      </c>
      <c r="AB839" s="269">
        <f t="shared" si="177"/>
        <v>0</v>
      </c>
      <c r="AC839" s="269">
        <f t="shared" si="178"/>
        <v>0</v>
      </c>
      <c r="AD839" s="271" t="str">
        <f>INDEX('Global inputs'!$C$134:$C$171,MATCH(F839,'Global inputs'!$B$134:$B$171,0))</f>
        <v>Asset relocations and undergrounding</v>
      </c>
      <c r="AE839" s="272">
        <f>IF(OR(H839='Operating leases'!$B$32,H839='Operating leases'!$B$33),"",INDEX('Global inputs'!$C$186:$C$243,MATCH(E839,'Global inputs'!$B$186:$B$243,0)))</f>
        <v>0.08</v>
      </c>
    </row>
    <row r="840" spans="1:31" s="27" customFormat="1" x14ac:dyDescent="0.2">
      <c r="A840" s="250"/>
      <c r="B840" s="210" t="s">
        <v>714</v>
      </c>
      <c r="C840" s="210" t="s">
        <v>288</v>
      </c>
      <c r="D840" s="210" t="s">
        <v>223</v>
      </c>
      <c r="E840" s="210" t="s">
        <v>158</v>
      </c>
      <c r="F840" s="210" t="s">
        <v>92</v>
      </c>
      <c r="G840" s="210" t="s">
        <v>728</v>
      </c>
      <c r="H840" s="197">
        <v>0</v>
      </c>
      <c r="I840" s="210" t="s">
        <v>221</v>
      </c>
      <c r="J840" s="210">
        <v>2023</v>
      </c>
      <c r="K840" s="210">
        <v>2023</v>
      </c>
      <c r="L840" s="268" t="str">
        <f t="shared" si="166"/>
        <v>Simple</v>
      </c>
      <c r="M840" s="197">
        <v>74430.29467108367</v>
      </c>
      <c r="N840" s="197">
        <v>111645.44200662551</v>
      </c>
      <c r="O840" s="257">
        <f>IF(ISNA(MATCH(H840,'Operating leases'!$B$32:$B$43,0)),0,INDEX('Operating leases'!$M$32:$S$43,MATCH(H840,'Operating leases'!$B$32:$B$43,0),MATCH(J840,'Operating leases'!$M$11:$S$11,0)))</f>
        <v>0</v>
      </c>
      <c r="P840" s="257">
        <f t="shared" si="167"/>
        <v>74430.29467108367</v>
      </c>
      <c r="Q840" s="257">
        <f t="shared" si="168"/>
        <v>186075.73667770918</v>
      </c>
      <c r="R840" s="258">
        <f>INDEX('Escalators '!$M$124:$S$129,MATCH(I840,'Escalators '!$B$124:$B$129,0),MATCH(J840,'Escalators '!$M$113:$S$113,0))</f>
        <v>1.0486791854231625</v>
      </c>
      <c r="S840" s="257">
        <f t="shared" si="169"/>
        <v>0</v>
      </c>
      <c r="T840" s="257">
        <f t="shared" si="170"/>
        <v>117080.25117971697</v>
      </c>
      <c r="U840" s="269">
        <f t="shared" si="171"/>
        <v>78053.500786477976</v>
      </c>
      <c r="V840" s="269">
        <f t="shared" si="172"/>
        <v>195133.75196619495</v>
      </c>
      <c r="W840" s="269">
        <f t="shared" si="173"/>
        <v>78053.500786477976</v>
      </c>
      <c r="X840" s="257">
        <f t="shared" si="174"/>
        <v>195133.75196619495</v>
      </c>
      <c r="Y840" s="270">
        <f>IF(L840="Complex",(INDEX('Escalators '!$M$176:$S$176,MATCH('Forecast capex'!J840,'Escalators '!$M$178:$S$178,0))/12+1)^((K840-J840)*12)-1,0)</f>
        <v>0</v>
      </c>
      <c r="Z840" s="257">
        <f t="shared" si="175"/>
        <v>0</v>
      </c>
      <c r="AA840" s="257">
        <f t="shared" si="176"/>
        <v>0</v>
      </c>
      <c r="AB840" s="269">
        <f t="shared" si="177"/>
        <v>0</v>
      </c>
      <c r="AC840" s="269">
        <f t="shared" si="178"/>
        <v>0</v>
      </c>
      <c r="AD840" s="271" t="str">
        <f>INDEX('Global inputs'!$C$134:$C$171,MATCH(F840,'Global inputs'!$B$134:$B$171,0))</f>
        <v>Asset relocations and undergrounding</v>
      </c>
      <c r="AE840" s="272">
        <f>IF(OR(H840='Operating leases'!$B$32,H840='Operating leases'!$B$33),"",INDEX('Global inputs'!$C$186:$C$243,MATCH(E840,'Global inputs'!$B$186:$B$243,0)))</f>
        <v>0.08</v>
      </c>
    </row>
    <row r="841" spans="1:31" s="27" customFormat="1" x14ac:dyDescent="0.2">
      <c r="A841" s="250"/>
      <c r="B841" s="210" t="s">
        <v>714</v>
      </c>
      <c r="C841" s="210" t="s">
        <v>284</v>
      </c>
      <c r="D841" s="210" t="s">
        <v>729</v>
      </c>
      <c r="E841" s="210" t="s">
        <v>127</v>
      </c>
      <c r="F841" s="210" t="s">
        <v>92</v>
      </c>
      <c r="G841" s="210" t="s">
        <v>730</v>
      </c>
      <c r="H841" s="197">
        <v>0</v>
      </c>
      <c r="I841" s="210" t="s">
        <v>225</v>
      </c>
      <c r="J841" s="210">
        <v>2023</v>
      </c>
      <c r="K841" s="210">
        <v>2023</v>
      </c>
      <c r="L841" s="268" t="str">
        <f t="shared" si="166"/>
        <v>Simple</v>
      </c>
      <c r="M841" s="197">
        <v>1353.2780849287942</v>
      </c>
      <c r="N841" s="197">
        <v>2029.9171273931911</v>
      </c>
      <c r="O841" s="257">
        <f>IF(ISNA(MATCH(H841,'Operating leases'!$B$32:$B$43,0)),0,INDEX('Operating leases'!$M$32:$S$43,MATCH(H841,'Operating leases'!$B$32:$B$43,0),MATCH(J841,'Operating leases'!$M$11:$S$11,0)))</f>
        <v>0</v>
      </c>
      <c r="P841" s="257">
        <f t="shared" si="167"/>
        <v>1353.2780849287942</v>
      </c>
      <c r="Q841" s="257">
        <f t="shared" si="168"/>
        <v>3383.1952123219853</v>
      </c>
      <c r="R841" s="258">
        <f>INDEX('Escalators '!$M$124:$S$129,MATCH(I841,'Escalators '!$B$124:$B$129,0),MATCH(J841,'Escalators '!$M$113:$S$113,0))</f>
        <v>1.0700187037302984</v>
      </c>
      <c r="S841" s="257">
        <f t="shared" si="169"/>
        <v>0</v>
      </c>
      <c r="T841" s="257">
        <f t="shared" si="170"/>
        <v>2172.0492933331934</v>
      </c>
      <c r="U841" s="269">
        <f t="shared" si="171"/>
        <v>1448.0328622221291</v>
      </c>
      <c r="V841" s="269">
        <f t="shared" si="172"/>
        <v>3620.0821555553225</v>
      </c>
      <c r="W841" s="269">
        <f t="shared" si="173"/>
        <v>1448.0328622221291</v>
      </c>
      <c r="X841" s="257">
        <f t="shared" si="174"/>
        <v>3620.0821555553225</v>
      </c>
      <c r="Y841" s="270">
        <f>IF(L841="Complex",(INDEX('Escalators '!$M$176:$S$176,MATCH('Forecast capex'!J841,'Escalators '!$M$178:$S$178,0))/12+1)^((K841-J841)*12)-1,0)</f>
        <v>0</v>
      </c>
      <c r="Z841" s="257">
        <f t="shared" si="175"/>
        <v>0</v>
      </c>
      <c r="AA841" s="257">
        <f t="shared" si="176"/>
        <v>0</v>
      </c>
      <c r="AB841" s="269">
        <f t="shared" si="177"/>
        <v>0</v>
      </c>
      <c r="AC841" s="269">
        <f t="shared" si="178"/>
        <v>0</v>
      </c>
      <c r="AD841" s="271" t="str">
        <f>INDEX('Global inputs'!$C$134:$C$171,MATCH(F841,'Global inputs'!$B$134:$B$171,0))</f>
        <v>Asset relocations and undergrounding</v>
      </c>
      <c r="AE841" s="272">
        <f>IF(OR(H841='Operating leases'!$B$32,H841='Operating leases'!$B$33),"",INDEX('Global inputs'!$C$186:$C$243,MATCH(E841,'Global inputs'!$B$186:$B$243,0)))</f>
        <v>0.08</v>
      </c>
    </row>
    <row r="842" spans="1:31" s="27" customFormat="1" x14ac:dyDescent="0.2">
      <c r="A842" s="250"/>
      <c r="B842" s="210" t="s">
        <v>714</v>
      </c>
      <c r="C842" s="210" t="s">
        <v>284</v>
      </c>
      <c r="D842" s="210" t="s">
        <v>729</v>
      </c>
      <c r="E842" s="210" t="s">
        <v>127</v>
      </c>
      <c r="F842" s="210" t="s">
        <v>92</v>
      </c>
      <c r="G842" s="210" t="s">
        <v>730</v>
      </c>
      <c r="H842" s="197">
        <v>0</v>
      </c>
      <c r="I842" s="210" t="s">
        <v>221</v>
      </c>
      <c r="J842" s="210">
        <v>2023</v>
      </c>
      <c r="K842" s="210">
        <v>2023</v>
      </c>
      <c r="L842" s="268" t="str">
        <f t="shared" ref="L842:L905" si="179">IF(J842=K842,"Simple","Complex")</f>
        <v>Simple</v>
      </c>
      <c r="M842" s="197">
        <v>5413.1123397151769</v>
      </c>
      <c r="N842" s="197">
        <v>8119.6685095727644</v>
      </c>
      <c r="O842" s="257">
        <f>IF(ISNA(MATCH(H842,'Operating leases'!$B$32:$B$43,0)),0,INDEX('Operating leases'!$M$32:$S$43,MATCH(H842,'Operating leases'!$B$32:$B$43,0),MATCH(J842,'Operating leases'!$M$11:$S$11,0)))</f>
        <v>0</v>
      </c>
      <c r="P842" s="257">
        <f t="shared" ref="P842:P905" si="180">O842+M842</f>
        <v>5413.1123397151769</v>
      </c>
      <c r="Q842" s="257">
        <f t="shared" ref="Q842:Q905" si="181">M842+N842+O842</f>
        <v>13532.780849287941</v>
      </c>
      <c r="R842" s="258">
        <f>INDEX('Escalators '!$M$124:$S$129,MATCH(I842,'Escalators '!$B$124:$B$129,0),MATCH(J842,'Escalators '!$M$113:$S$113,0))</f>
        <v>1.0486791854231625</v>
      </c>
      <c r="S842" s="257">
        <f t="shared" ref="S842:S905" si="182">O842*R842</f>
        <v>0</v>
      </c>
      <c r="T842" s="257">
        <f t="shared" ref="T842:T905" si="183">N842*R842</f>
        <v>8514.9273585248702</v>
      </c>
      <c r="U842" s="269">
        <f t="shared" ref="U842:U905" si="184">W842-S842</f>
        <v>5676.6182390165814</v>
      </c>
      <c r="V842" s="269">
        <f t="shared" ref="V842:V905" si="185">U842+T842</f>
        <v>14191.545597541452</v>
      </c>
      <c r="W842" s="269">
        <f t="shared" ref="W842:W905" si="186">X842-T842</f>
        <v>5676.6182390165814</v>
      </c>
      <c r="X842" s="257">
        <f t="shared" ref="X842:X905" si="187">Q842*R842</f>
        <v>14191.545597541452</v>
      </c>
      <c r="Y842" s="270">
        <f>IF(L842="Complex",(INDEX('Escalators '!$M$176:$S$176,MATCH('Forecast capex'!J842,'Escalators '!$M$178:$S$178,0))/12+1)^((K842-J842)*12)-1,0)</f>
        <v>0</v>
      </c>
      <c r="Z842" s="257">
        <f t="shared" ref="Z842:Z905" si="188">P842*Y842</f>
        <v>0</v>
      </c>
      <c r="AA842" s="257">
        <f t="shared" ref="AA842:AA905" si="189">W842*Y842</f>
        <v>0</v>
      </c>
      <c r="AB842" s="269">
        <f t="shared" ref="AB842:AB905" si="190">IF(L842="Complex",AC842-T842,0)</f>
        <v>0</v>
      </c>
      <c r="AC842" s="269">
        <f t="shared" ref="AC842:AC905" si="191">IF(L842="Complex",V842+AA842,0)</f>
        <v>0</v>
      </c>
      <c r="AD842" s="271" t="str">
        <f>INDEX('Global inputs'!$C$134:$C$171,MATCH(F842,'Global inputs'!$B$134:$B$171,0))</f>
        <v>Asset relocations and undergrounding</v>
      </c>
      <c r="AE842" s="272">
        <f>IF(OR(H842='Operating leases'!$B$32,H842='Operating leases'!$B$33),"",INDEX('Global inputs'!$C$186:$C$243,MATCH(E842,'Global inputs'!$B$186:$B$243,0)))</f>
        <v>0.08</v>
      </c>
    </row>
    <row r="843" spans="1:31" s="27" customFormat="1" x14ac:dyDescent="0.2">
      <c r="A843" s="250"/>
      <c r="B843" s="210" t="s">
        <v>714</v>
      </c>
      <c r="C843" s="210" t="s">
        <v>284</v>
      </c>
      <c r="D843" s="210" t="s">
        <v>729</v>
      </c>
      <c r="E843" s="210" t="s">
        <v>129</v>
      </c>
      <c r="F843" s="210" t="s">
        <v>92</v>
      </c>
      <c r="G843" s="210" t="s">
        <v>730</v>
      </c>
      <c r="H843" s="197">
        <v>0</v>
      </c>
      <c r="I843" s="210" t="s">
        <v>225</v>
      </c>
      <c r="J843" s="210">
        <v>2023</v>
      </c>
      <c r="K843" s="210">
        <v>2023</v>
      </c>
      <c r="L843" s="268" t="str">
        <f t="shared" si="179"/>
        <v>Simple</v>
      </c>
      <c r="M843" s="197">
        <v>1353.2780849287942</v>
      </c>
      <c r="N843" s="197">
        <v>2029.9171273931911</v>
      </c>
      <c r="O843" s="257">
        <f>IF(ISNA(MATCH(H843,'Operating leases'!$B$32:$B$43,0)),0,INDEX('Operating leases'!$M$32:$S$43,MATCH(H843,'Operating leases'!$B$32:$B$43,0),MATCH(J843,'Operating leases'!$M$11:$S$11,0)))</f>
        <v>0</v>
      </c>
      <c r="P843" s="257">
        <f t="shared" si="180"/>
        <v>1353.2780849287942</v>
      </c>
      <c r="Q843" s="257">
        <f t="shared" si="181"/>
        <v>3383.1952123219853</v>
      </c>
      <c r="R843" s="258">
        <f>INDEX('Escalators '!$M$124:$S$129,MATCH(I843,'Escalators '!$B$124:$B$129,0),MATCH(J843,'Escalators '!$M$113:$S$113,0))</f>
        <v>1.0700187037302984</v>
      </c>
      <c r="S843" s="257">
        <f t="shared" si="182"/>
        <v>0</v>
      </c>
      <c r="T843" s="257">
        <f t="shared" si="183"/>
        <v>2172.0492933331934</v>
      </c>
      <c r="U843" s="269">
        <f t="shared" si="184"/>
        <v>1448.0328622221291</v>
      </c>
      <c r="V843" s="269">
        <f t="shared" si="185"/>
        <v>3620.0821555553225</v>
      </c>
      <c r="W843" s="269">
        <f t="shared" si="186"/>
        <v>1448.0328622221291</v>
      </c>
      <c r="X843" s="257">
        <f t="shared" si="187"/>
        <v>3620.0821555553225</v>
      </c>
      <c r="Y843" s="270">
        <f>IF(L843="Complex",(INDEX('Escalators '!$M$176:$S$176,MATCH('Forecast capex'!J843,'Escalators '!$M$178:$S$178,0))/12+1)^((K843-J843)*12)-1,0)</f>
        <v>0</v>
      </c>
      <c r="Z843" s="257">
        <f t="shared" si="188"/>
        <v>0</v>
      </c>
      <c r="AA843" s="257">
        <f t="shared" si="189"/>
        <v>0</v>
      </c>
      <c r="AB843" s="269">
        <f t="shared" si="190"/>
        <v>0</v>
      </c>
      <c r="AC843" s="269">
        <f t="shared" si="191"/>
        <v>0</v>
      </c>
      <c r="AD843" s="271" t="str">
        <f>INDEX('Global inputs'!$C$134:$C$171,MATCH(F843,'Global inputs'!$B$134:$B$171,0))</f>
        <v>Asset relocations and undergrounding</v>
      </c>
      <c r="AE843" s="272">
        <f>IF(OR(H843='Operating leases'!$B$32,H843='Operating leases'!$B$33),"",INDEX('Global inputs'!$C$186:$C$243,MATCH(E843,'Global inputs'!$B$186:$B$243,0)))</f>
        <v>0.1</v>
      </c>
    </row>
    <row r="844" spans="1:31" s="27" customFormat="1" x14ac:dyDescent="0.2">
      <c r="A844" s="250"/>
      <c r="B844" s="210" t="s">
        <v>714</v>
      </c>
      <c r="C844" s="210" t="s">
        <v>284</v>
      </c>
      <c r="D844" s="210" t="s">
        <v>729</v>
      </c>
      <c r="E844" s="210" t="s">
        <v>129</v>
      </c>
      <c r="F844" s="210" t="s">
        <v>92</v>
      </c>
      <c r="G844" s="210" t="s">
        <v>730</v>
      </c>
      <c r="H844" s="197">
        <v>0</v>
      </c>
      <c r="I844" s="210" t="s">
        <v>221</v>
      </c>
      <c r="J844" s="210">
        <v>2023</v>
      </c>
      <c r="K844" s="210">
        <v>2023</v>
      </c>
      <c r="L844" s="268" t="str">
        <f t="shared" si="179"/>
        <v>Simple</v>
      </c>
      <c r="M844" s="197">
        <v>5413.1123397151769</v>
      </c>
      <c r="N844" s="197">
        <v>8119.6685095727644</v>
      </c>
      <c r="O844" s="257">
        <f>IF(ISNA(MATCH(H844,'Operating leases'!$B$32:$B$43,0)),0,INDEX('Operating leases'!$M$32:$S$43,MATCH(H844,'Operating leases'!$B$32:$B$43,0),MATCH(J844,'Operating leases'!$M$11:$S$11,0)))</f>
        <v>0</v>
      </c>
      <c r="P844" s="257">
        <f t="shared" si="180"/>
        <v>5413.1123397151769</v>
      </c>
      <c r="Q844" s="257">
        <f t="shared" si="181"/>
        <v>13532.780849287941</v>
      </c>
      <c r="R844" s="258">
        <f>INDEX('Escalators '!$M$124:$S$129,MATCH(I844,'Escalators '!$B$124:$B$129,0),MATCH(J844,'Escalators '!$M$113:$S$113,0))</f>
        <v>1.0486791854231625</v>
      </c>
      <c r="S844" s="257">
        <f t="shared" si="182"/>
        <v>0</v>
      </c>
      <c r="T844" s="257">
        <f t="shared" si="183"/>
        <v>8514.9273585248702</v>
      </c>
      <c r="U844" s="269">
        <f t="shared" si="184"/>
        <v>5676.6182390165814</v>
      </c>
      <c r="V844" s="269">
        <f t="shared" si="185"/>
        <v>14191.545597541452</v>
      </c>
      <c r="W844" s="269">
        <f t="shared" si="186"/>
        <v>5676.6182390165814</v>
      </c>
      <c r="X844" s="257">
        <f t="shared" si="187"/>
        <v>14191.545597541452</v>
      </c>
      <c r="Y844" s="270">
        <f>IF(L844="Complex",(INDEX('Escalators '!$M$176:$S$176,MATCH('Forecast capex'!J844,'Escalators '!$M$178:$S$178,0))/12+1)^((K844-J844)*12)-1,0)</f>
        <v>0</v>
      </c>
      <c r="Z844" s="257">
        <f t="shared" si="188"/>
        <v>0</v>
      </c>
      <c r="AA844" s="257">
        <f t="shared" si="189"/>
        <v>0</v>
      </c>
      <c r="AB844" s="269">
        <f t="shared" si="190"/>
        <v>0</v>
      </c>
      <c r="AC844" s="269">
        <f t="shared" si="191"/>
        <v>0</v>
      </c>
      <c r="AD844" s="271" t="str">
        <f>INDEX('Global inputs'!$C$134:$C$171,MATCH(F844,'Global inputs'!$B$134:$B$171,0))</f>
        <v>Asset relocations and undergrounding</v>
      </c>
      <c r="AE844" s="272">
        <f>IF(OR(H844='Operating leases'!$B$32,H844='Operating leases'!$B$33),"",INDEX('Global inputs'!$C$186:$C$243,MATCH(E844,'Global inputs'!$B$186:$B$243,0)))</f>
        <v>0.1</v>
      </c>
    </row>
    <row r="845" spans="1:31" s="27" customFormat="1" x14ac:dyDescent="0.2">
      <c r="A845" s="250"/>
      <c r="B845" s="210" t="s">
        <v>714</v>
      </c>
      <c r="C845" s="210" t="s">
        <v>287</v>
      </c>
      <c r="D845" s="210" t="s">
        <v>729</v>
      </c>
      <c r="E845" s="210" t="s">
        <v>150</v>
      </c>
      <c r="F845" s="210" t="s">
        <v>92</v>
      </c>
      <c r="G845" s="210" t="s">
        <v>731</v>
      </c>
      <c r="H845" s="197">
        <v>0</v>
      </c>
      <c r="I845" s="210" t="s">
        <v>225</v>
      </c>
      <c r="J845" s="210">
        <v>2023</v>
      </c>
      <c r="K845" s="210">
        <v>2023</v>
      </c>
      <c r="L845" s="268" t="str">
        <f t="shared" si="179"/>
        <v>Simple</v>
      </c>
      <c r="M845" s="197">
        <v>2255.4634748813237</v>
      </c>
      <c r="N845" s="197">
        <v>3383.1952123219853</v>
      </c>
      <c r="O845" s="257">
        <f>IF(ISNA(MATCH(H845,'Operating leases'!$B$32:$B$43,0)),0,INDEX('Operating leases'!$M$32:$S$43,MATCH(H845,'Operating leases'!$B$32:$B$43,0),MATCH(J845,'Operating leases'!$M$11:$S$11,0)))</f>
        <v>0</v>
      </c>
      <c r="P845" s="257">
        <f t="shared" si="180"/>
        <v>2255.4634748813237</v>
      </c>
      <c r="Q845" s="257">
        <f t="shared" si="181"/>
        <v>5638.6586872033095</v>
      </c>
      <c r="R845" s="258">
        <f>INDEX('Escalators '!$M$124:$S$129,MATCH(I845,'Escalators '!$B$124:$B$129,0),MATCH(J845,'Escalators '!$M$113:$S$113,0))</f>
        <v>1.0700187037302984</v>
      </c>
      <c r="S845" s="257">
        <f t="shared" si="182"/>
        <v>0</v>
      </c>
      <c r="T845" s="257">
        <f t="shared" si="183"/>
        <v>3620.0821555553225</v>
      </c>
      <c r="U845" s="269">
        <f t="shared" si="184"/>
        <v>2413.3881037035485</v>
      </c>
      <c r="V845" s="269">
        <f t="shared" si="185"/>
        <v>6033.470259258871</v>
      </c>
      <c r="W845" s="269">
        <f t="shared" si="186"/>
        <v>2413.3881037035485</v>
      </c>
      <c r="X845" s="257">
        <f t="shared" si="187"/>
        <v>6033.470259258871</v>
      </c>
      <c r="Y845" s="270">
        <f>IF(L845="Complex",(INDEX('Escalators '!$M$176:$S$176,MATCH('Forecast capex'!J845,'Escalators '!$M$178:$S$178,0))/12+1)^((K845-J845)*12)-1,0)</f>
        <v>0</v>
      </c>
      <c r="Z845" s="257">
        <f t="shared" si="188"/>
        <v>0</v>
      </c>
      <c r="AA845" s="257">
        <f t="shared" si="189"/>
        <v>0</v>
      </c>
      <c r="AB845" s="269">
        <f t="shared" si="190"/>
        <v>0</v>
      </c>
      <c r="AC845" s="269">
        <f t="shared" si="191"/>
        <v>0</v>
      </c>
      <c r="AD845" s="271" t="str">
        <f>INDEX('Global inputs'!$C$134:$C$171,MATCH(F845,'Global inputs'!$B$134:$B$171,0))</f>
        <v>Asset relocations and undergrounding</v>
      </c>
      <c r="AE845" s="272">
        <f>IF(OR(H845='Operating leases'!$B$32,H845='Operating leases'!$B$33),"",INDEX('Global inputs'!$C$186:$C$243,MATCH(E845,'Global inputs'!$B$186:$B$243,0)))</f>
        <v>0.08</v>
      </c>
    </row>
    <row r="846" spans="1:31" s="27" customFormat="1" x14ac:dyDescent="0.2">
      <c r="A846" s="250"/>
      <c r="B846" s="210" t="s">
        <v>714</v>
      </c>
      <c r="C846" s="210" t="s">
        <v>287</v>
      </c>
      <c r="D846" s="210" t="s">
        <v>729</v>
      </c>
      <c r="E846" s="210" t="s">
        <v>150</v>
      </c>
      <c r="F846" s="210" t="s">
        <v>92</v>
      </c>
      <c r="G846" s="210" t="s">
        <v>731</v>
      </c>
      <c r="H846" s="197">
        <v>0</v>
      </c>
      <c r="I846" s="210" t="s">
        <v>221</v>
      </c>
      <c r="J846" s="210">
        <v>2023</v>
      </c>
      <c r="K846" s="210">
        <v>2023</v>
      </c>
      <c r="L846" s="268" t="str">
        <f t="shared" si="179"/>
        <v>Simple</v>
      </c>
      <c r="M846" s="197">
        <v>9021.8538995252948</v>
      </c>
      <c r="N846" s="197">
        <v>13532.780849287941</v>
      </c>
      <c r="O846" s="257">
        <f>IF(ISNA(MATCH(H846,'Operating leases'!$B$32:$B$43,0)),0,INDEX('Operating leases'!$M$32:$S$43,MATCH(H846,'Operating leases'!$B$32:$B$43,0),MATCH(J846,'Operating leases'!$M$11:$S$11,0)))</f>
        <v>0</v>
      </c>
      <c r="P846" s="257">
        <f t="shared" si="180"/>
        <v>9021.8538995252948</v>
      </c>
      <c r="Q846" s="257">
        <f t="shared" si="181"/>
        <v>22554.634748813238</v>
      </c>
      <c r="R846" s="258">
        <f>INDEX('Escalators '!$M$124:$S$129,MATCH(I846,'Escalators '!$B$124:$B$129,0),MATCH(J846,'Escalators '!$M$113:$S$113,0))</f>
        <v>1.0486791854231625</v>
      </c>
      <c r="S846" s="257">
        <f t="shared" si="182"/>
        <v>0</v>
      </c>
      <c r="T846" s="257">
        <f t="shared" si="183"/>
        <v>14191.545597541452</v>
      </c>
      <c r="U846" s="269">
        <f t="shared" si="184"/>
        <v>9461.0303983609701</v>
      </c>
      <c r="V846" s="269">
        <f t="shared" si="185"/>
        <v>23652.575995902422</v>
      </c>
      <c r="W846" s="269">
        <f t="shared" si="186"/>
        <v>9461.0303983609701</v>
      </c>
      <c r="X846" s="257">
        <f t="shared" si="187"/>
        <v>23652.575995902422</v>
      </c>
      <c r="Y846" s="270">
        <f>IF(L846="Complex",(INDEX('Escalators '!$M$176:$S$176,MATCH('Forecast capex'!J846,'Escalators '!$M$178:$S$178,0))/12+1)^((K846-J846)*12)-1,0)</f>
        <v>0</v>
      </c>
      <c r="Z846" s="257">
        <f t="shared" si="188"/>
        <v>0</v>
      </c>
      <c r="AA846" s="257">
        <f t="shared" si="189"/>
        <v>0</v>
      </c>
      <c r="AB846" s="269">
        <f t="shared" si="190"/>
        <v>0</v>
      </c>
      <c r="AC846" s="269">
        <f t="shared" si="191"/>
        <v>0</v>
      </c>
      <c r="AD846" s="271" t="str">
        <f>INDEX('Global inputs'!$C$134:$C$171,MATCH(F846,'Global inputs'!$B$134:$B$171,0))</f>
        <v>Asset relocations and undergrounding</v>
      </c>
      <c r="AE846" s="272">
        <f>IF(OR(H846='Operating leases'!$B$32,H846='Operating leases'!$B$33),"",INDEX('Global inputs'!$C$186:$C$243,MATCH(E846,'Global inputs'!$B$186:$B$243,0)))</f>
        <v>0.08</v>
      </c>
    </row>
    <row r="847" spans="1:31" s="27" customFormat="1" x14ac:dyDescent="0.2">
      <c r="A847" s="250"/>
      <c r="B847" s="210" t="s">
        <v>714</v>
      </c>
      <c r="C847" s="210" t="s">
        <v>287</v>
      </c>
      <c r="D847" s="210" t="s">
        <v>729</v>
      </c>
      <c r="E847" s="210" t="s">
        <v>151</v>
      </c>
      <c r="F847" s="210" t="s">
        <v>92</v>
      </c>
      <c r="G847" s="210" t="s">
        <v>731</v>
      </c>
      <c r="H847" s="197">
        <v>0</v>
      </c>
      <c r="I847" s="210" t="s">
        <v>225</v>
      </c>
      <c r="J847" s="210">
        <v>2023</v>
      </c>
      <c r="K847" s="210">
        <v>2023</v>
      </c>
      <c r="L847" s="268" t="str">
        <f t="shared" si="179"/>
        <v>Simple</v>
      </c>
      <c r="M847" s="197">
        <v>2255.4634748813237</v>
      </c>
      <c r="N847" s="197">
        <v>3383.1952123219853</v>
      </c>
      <c r="O847" s="257">
        <f>IF(ISNA(MATCH(H847,'Operating leases'!$B$32:$B$43,0)),0,INDEX('Operating leases'!$M$32:$S$43,MATCH(H847,'Operating leases'!$B$32:$B$43,0),MATCH(J847,'Operating leases'!$M$11:$S$11,0)))</f>
        <v>0</v>
      </c>
      <c r="P847" s="257">
        <f t="shared" si="180"/>
        <v>2255.4634748813237</v>
      </c>
      <c r="Q847" s="257">
        <f t="shared" si="181"/>
        <v>5638.6586872033095</v>
      </c>
      <c r="R847" s="258">
        <f>INDEX('Escalators '!$M$124:$S$129,MATCH(I847,'Escalators '!$B$124:$B$129,0),MATCH(J847,'Escalators '!$M$113:$S$113,0))</f>
        <v>1.0700187037302984</v>
      </c>
      <c r="S847" s="257">
        <f t="shared" si="182"/>
        <v>0</v>
      </c>
      <c r="T847" s="257">
        <f t="shared" si="183"/>
        <v>3620.0821555553225</v>
      </c>
      <c r="U847" s="269">
        <f t="shared" si="184"/>
        <v>2413.3881037035485</v>
      </c>
      <c r="V847" s="269">
        <f t="shared" si="185"/>
        <v>6033.470259258871</v>
      </c>
      <c r="W847" s="269">
        <f t="shared" si="186"/>
        <v>2413.3881037035485</v>
      </c>
      <c r="X847" s="257">
        <f t="shared" si="187"/>
        <v>6033.470259258871</v>
      </c>
      <c r="Y847" s="270">
        <f>IF(L847="Complex",(INDEX('Escalators '!$M$176:$S$176,MATCH('Forecast capex'!J847,'Escalators '!$M$178:$S$178,0))/12+1)^((K847-J847)*12)-1,0)</f>
        <v>0</v>
      </c>
      <c r="Z847" s="257">
        <f t="shared" si="188"/>
        <v>0</v>
      </c>
      <c r="AA847" s="257">
        <f t="shared" si="189"/>
        <v>0</v>
      </c>
      <c r="AB847" s="269">
        <f t="shared" si="190"/>
        <v>0</v>
      </c>
      <c r="AC847" s="269">
        <f t="shared" si="191"/>
        <v>0</v>
      </c>
      <c r="AD847" s="271" t="str">
        <f>INDEX('Global inputs'!$C$134:$C$171,MATCH(F847,'Global inputs'!$B$134:$B$171,0))</f>
        <v>Asset relocations and undergrounding</v>
      </c>
      <c r="AE847" s="272">
        <f>IF(OR(H847='Operating leases'!$B$32,H847='Operating leases'!$B$33),"",INDEX('Global inputs'!$C$186:$C$243,MATCH(E847,'Global inputs'!$B$186:$B$243,0)))</f>
        <v>0.1</v>
      </c>
    </row>
    <row r="848" spans="1:31" s="27" customFormat="1" x14ac:dyDescent="0.2">
      <c r="A848" s="250"/>
      <c r="B848" s="210" t="s">
        <v>714</v>
      </c>
      <c r="C848" s="210" t="s">
        <v>287</v>
      </c>
      <c r="D848" s="210" t="s">
        <v>729</v>
      </c>
      <c r="E848" s="210" t="s">
        <v>151</v>
      </c>
      <c r="F848" s="210" t="s">
        <v>92</v>
      </c>
      <c r="G848" s="210" t="s">
        <v>731</v>
      </c>
      <c r="H848" s="197">
        <v>0</v>
      </c>
      <c r="I848" s="210" t="s">
        <v>221</v>
      </c>
      <c r="J848" s="210">
        <v>2023</v>
      </c>
      <c r="K848" s="210">
        <v>2023</v>
      </c>
      <c r="L848" s="268" t="str">
        <f t="shared" si="179"/>
        <v>Simple</v>
      </c>
      <c r="M848" s="197">
        <v>9021.8538995252948</v>
      </c>
      <c r="N848" s="197">
        <v>13532.780849287941</v>
      </c>
      <c r="O848" s="257">
        <f>IF(ISNA(MATCH(H848,'Operating leases'!$B$32:$B$43,0)),0,INDEX('Operating leases'!$M$32:$S$43,MATCH(H848,'Operating leases'!$B$32:$B$43,0),MATCH(J848,'Operating leases'!$M$11:$S$11,0)))</f>
        <v>0</v>
      </c>
      <c r="P848" s="257">
        <f t="shared" si="180"/>
        <v>9021.8538995252948</v>
      </c>
      <c r="Q848" s="257">
        <f t="shared" si="181"/>
        <v>22554.634748813238</v>
      </c>
      <c r="R848" s="258">
        <f>INDEX('Escalators '!$M$124:$S$129,MATCH(I848,'Escalators '!$B$124:$B$129,0),MATCH(J848,'Escalators '!$M$113:$S$113,0))</f>
        <v>1.0486791854231625</v>
      </c>
      <c r="S848" s="257">
        <f t="shared" si="182"/>
        <v>0</v>
      </c>
      <c r="T848" s="257">
        <f t="shared" si="183"/>
        <v>14191.545597541452</v>
      </c>
      <c r="U848" s="269">
        <f t="shared" si="184"/>
        <v>9461.0303983609701</v>
      </c>
      <c r="V848" s="269">
        <f t="shared" si="185"/>
        <v>23652.575995902422</v>
      </c>
      <c r="W848" s="269">
        <f t="shared" si="186"/>
        <v>9461.0303983609701</v>
      </c>
      <c r="X848" s="257">
        <f t="shared" si="187"/>
        <v>23652.575995902422</v>
      </c>
      <c r="Y848" s="270">
        <f>IF(L848="Complex",(INDEX('Escalators '!$M$176:$S$176,MATCH('Forecast capex'!J848,'Escalators '!$M$178:$S$178,0))/12+1)^((K848-J848)*12)-1,0)</f>
        <v>0</v>
      </c>
      <c r="Z848" s="257">
        <f t="shared" si="188"/>
        <v>0</v>
      </c>
      <c r="AA848" s="257">
        <f t="shared" si="189"/>
        <v>0</v>
      </c>
      <c r="AB848" s="269">
        <f t="shared" si="190"/>
        <v>0</v>
      </c>
      <c r="AC848" s="269">
        <f t="shared" si="191"/>
        <v>0</v>
      </c>
      <c r="AD848" s="271" t="str">
        <f>INDEX('Global inputs'!$C$134:$C$171,MATCH(F848,'Global inputs'!$B$134:$B$171,0))</f>
        <v>Asset relocations and undergrounding</v>
      </c>
      <c r="AE848" s="272">
        <f>IF(OR(H848='Operating leases'!$B$32,H848='Operating leases'!$B$33),"",INDEX('Global inputs'!$C$186:$C$243,MATCH(E848,'Global inputs'!$B$186:$B$243,0)))</f>
        <v>0.1</v>
      </c>
    </row>
    <row r="849" spans="1:31" s="27" customFormat="1" x14ac:dyDescent="0.2">
      <c r="A849" s="250"/>
      <c r="B849" s="210" t="s">
        <v>714</v>
      </c>
      <c r="C849" s="210" t="s">
        <v>284</v>
      </c>
      <c r="D849" s="210" t="s">
        <v>715</v>
      </c>
      <c r="E849" s="210" t="s">
        <v>127</v>
      </c>
      <c r="F849" s="210" t="s">
        <v>94</v>
      </c>
      <c r="G849" s="210" t="s">
        <v>716</v>
      </c>
      <c r="H849" s="197">
        <v>0</v>
      </c>
      <c r="I849" s="210" t="s">
        <v>229</v>
      </c>
      <c r="J849" s="210">
        <v>2023</v>
      </c>
      <c r="K849" s="210">
        <v>2023</v>
      </c>
      <c r="L849" s="268" t="str">
        <f t="shared" si="179"/>
        <v>Simple</v>
      </c>
      <c r="M849" s="197">
        <v>285.3857013836739</v>
      </c>
      <c r="N849" s="197">
        <v>428.0785520755108</v>
      </c>
      <c r="O849" s="257">
        <f>IF(ISNA(MATCH(H849,'Operating leases'!$B$32:$B$43,0)),0,INDEX('Operating leases'!$M$32:$S$43,MATCH(H849,'Operating leases'!$B$32:$B$43,0),MATCH(J849,'Operating leases'!$M$11:$S$11,0)))</f>
        <v>0</v>
      </c>
      <c r="P849" s="257">
        <f t="shared" si="180"/>
        <v>285.3857013836739</v>
      </c>
      <c r="Q849" s="257">
        <f t="shared" si="181"/>
        <v>713.46425345918465</v>
      </c>
      <c r="R849" s="258">
        <f>INDEX('Escalators '!$M$124:$S$129,MATCH(I849,'Escalators '!$B$124:$B$129,0),MATCH(J849,'Escalators '!$M$113:$S$113,0))</f>
        <v>1.0553567720906862</v>
      </c>
      <c r="S849" s="257">
        <f t="shared" si="182"/>
        <v>0</v>
      </c>
      <c r="T849" s="257">
        <f t="shared" si="183"/>
        <v>451.77559891966581</v>
      </c>
      <c r="U849" s="269">
        <f t="shared" si="184"/>
        <v>301.18373261311052</v>
      </c>
      <c r="V849" s="269">
        <f t="shared" si="185"/>
        <v>752.95933153277633</v>
      </c>
      <c r="W849" s="269">
        <f t="shared" si="186"/>
        <v>301.18373261311052</v>
      </c>
      <c r="X849" s="257">
        <f t="shared" si="187"/>
        <v>752.95933153277633</v>
      </c>
      <c r="Y849" s="270">
        <f>IF(L849="Complex",(INDEX('Escalators '!$M$176:$S$176,MATCH('Forecast capex'!J849,'Escalators '!$M$178:$S$178,0))/12+1)^((K849-J849)*12)-1,0)</f>
        <v>0</v>
      </c>
      <c r="Z849" s="257">
        <f t="shared" si="188"/>
        <v>0</v>
      </c>
      <c r="AA849" s="257">
        <f t="shared" si="189"/>
        <v>0</v>
      </c>
      <c r="AB849" s="269">
        <f t="shared" si="190"/>
        <v>0</v>
      </c>
      <c r="AC849" s="269">
        <f t="shared" si="191"/>
        <v>0</v>
      </c>
      <c r="AD849" s="271" t="str">
        <f>INDEX('Global inputs'!$C$134:$C$171,MATCH(F849,'Global inputs'!$B$134:$B$171,0))</f>
        <v>Consumer connection</v>
      </c>
      <c r="AE849" s="272">
        <f>IF(OR(H849='Operating leases'!$B$32,H849='Operating leases'!$B$33),"",INDEX('Global inputs'!$C$186:$C$243,MATCH(E849,'Global inputs'!$B$186:$B$243,0)))</f>
        <v>0.08</v>
      </c>
    </row>
    <row r="850" spans="1:31" s="27" customFormat="1" x14ac:dyDescent="0.2">
      <c r="A850" s="250"/>
      <c r="B850" s="210" t="s">
        <v>714</v>
      </c>
      <c r="C850" s="210" t="s">
        <v>284</v>
      </c>
      <c r="D850" s="210" t="s">
        <v>715</v>
      </c>
      <c r="E850" s="210" t="s">
        <v>127</v>
      </c>
      <c r="F850" s="210" t="s">
        <v>94</v>
      </c>
      <c r="G850" s="210" t="s">
        <v>716</v>
      </c>
      <c r="H850" s="197">
        <v>0</v>
      </c>
      <c r="I850" s="210" t="s">
        <v>221</v>
      </c>
      <c r="J850" s="210">
        <v>2023</v>
      </c>
      <c r="K850" s="210">
        <v>2023</v>
      </c>
      <c r="L850" s="268" t="str">
        <f t="shared" si="179"/>
        <v>Simple</v>
      </c>
      <c r="M850" s="197">
        <v>285.3857013836739</v>
      </c>
      <c r="N850" s="197">
        <v>428.0785520755108</v>
      </c>
      <c r="O850" s="257">
        <f>IF(ISNA(MATCH(H850,'Operating leases'!$B$32:$B$43,0)),0,INDEX('Operating leases'!$M$32:$S$43,MATCH(H850,'Operating leases'!$B$32:$B$43,0),MATCH(J850,'Operating leases'!$M$11:$S$11,0)))</f>
        <v>0</v>
      </c>
      <c r="P850" s="257">
        <f t="shared" si="180"/>
        <v>285.3857013836739</v>
      </c>
      <c r="Q850" s="257">
        <f t="shared" si="181"/>
        <v>713.46425345918465</v>
      </c>
      <c r="R850" s="258">
        <f>INDEX('Escalators '!$M$124:$S$129,MATCH(I850,'Escalators '!$B$124:$B$129,0),MATCH(J850,'Escalators '!$M$113:$S$113,0))</f>
        <v>1.0486791854231625</v>
      </c>
      <c r="S850" s="257">
        <f t="shared" si="182"/>
        <v>0</v>
      </c>
      <c r="T850" s="257">
        <f t="shared" si="183"/>
        <v>448.91706728767355</v>
      </c>
      <c r="U850" s="269">
        <f t="shared" si="184"/>
        <v>299.27804485844894</v>
      </c>
      <c r="V850" s="269">
        <f t="shared" si="185"/>
        <v>748.19511214612248</v>
      </c>
      <c r="W850" s="269">
        <f t="shared" si="186"/>
        <v>299.27804485844894</v>
      </c>
      <c r="X850" s="257">
        <f t="shared" si="187"/>
        <v>748.19511214612248</v>
      </c>
      <c r="Y850" s="270">
        <f>IF(L850="Complex",(INDEX('Escalators '!$M$176:$S$176,MATCH('Forecast capex'!J850,'Escalators '!$M$178:$S$178,0))/12+1)^((K850-J850)*12)-1,0)</f>
        <v>0</v>
      </c>
      <c r="Z850" s="257">
        <f t="shared" si="188"/>
        <v>0</v>
      </c>
      <c r="AA850" s="257">
        <f t="shared" si="189"/>
        <v>0</v>
      </c>
      <c r="AB850" s="269">
        <f t="shared" si="190"/>
        <v>0</v>
      </c>
      <c r="AC850" s="269">
        <f t="shared" si="191"/>
        <v>0</v>
      </c>
      <c r="AD850" s="271" t="str">
        <f>INDEX('Global inputs'!$C$134:$C$171,MATCH(F850,'Global inputs'!$B$134:$B$171,0))</f>
        <v>Consumer connection</v>
      </c>
      <c r="AE850" s="272">
        <f>IF(OR(H850='Operating leases'!$B$32,H850='Operating leases'!$B$33),"",INDEX('Global inputs'!$C$186:$C$243,MATCH(E850,'Global inputs'!$B$186:$B$243,0)))</f>
        <v>0.08</v>
      </c>
    </row>
    <row r="851" spans="1:31" s="27" customFormat="1" x14ac:dyDescent="0.2">
      <c r="A851" s="250"/>
      <c r="B851" s="210" t="s">
        <v>714</v>
      </c>
      <c r="C851" s="210" t="s">
        <v>284</v>
      </c>
      <c r="D851" s="210" t="s">
        <v>715</v>
      </c>
      <c r="E851" s="210" t="s">
        <v>129</v>
      </c>
      <c r="F851" s="210" t="s">
        <v>94</v>
      </c>
      <c r="G851" s="210" t="s">
        <v>716</v>
      </c>
      <c r="H851" s="197">
        <v>0</v>
      </c>
      <c r="I851" s="210" t="s">
        <v>229</v>
      </c>
      <c r="J851" s="210">
        <v>2023</v>
      </c>
      <c r="K851" s="210">
        <v>2023</v>
      </c>
      <c r="L851" s="268" t="str">
        <f t="shared" si="179"/>
        <v>Simple</v>
      </c>
      <c r="M851" s="197">
        <v>285.3857013836739</v>
      </c>
      <c r="N851" s="197">
        <v>428.0785520755108</v>
      </c>
      <c r="O851" s="257">
        <f>IF(ISNA(MATCH(H851,'Operating leases'!$B$32:$B$43,0)),0,INDEX('Operating leases'!$M$32:$S$43,MATCH(H851,'Operating leases'!$B$32:$B$43,0),MATCH(J851,'Operating leases'!$M$11:$S$11,0)))</f>
        <v>0</v>
      </c>
      <c r="P851" s="257">
        <f t="shared" si="180"/>
        <v>285.3857013836739</v>
      </c>
      <c r="Q851" s="257">
        <f t="shared" si="181"/>
        <v>713.46425345918465</v>
      </c>
      <c r="R851" s="258">
        <f>INDEX('Escalators '!$M$124:$S$129,MATCH(I851,'Escalators '!$B$124:$B$129,0),MATCH(J851,'Escalators '!$M$113:$S$113,0))</f>
        <v>1.0553567720906862</v>
      </c>
      <c r="S851" s="257">
        <f t="shared" si="182"/>
        <v>0</v>
      </c>
      <c r="T851" s="257">
        <f t="shared" si="183"/>
        <v>451.77559891966581</v>
      </c>
      <c r="U851" s="269">
        <f t="shared" si="184"/>
        <v>301.18373261311052</v>
      </c>
      <c r="V851" s="269">
        <f t="shared" si="185"/>
        <v>752.95933153277633</v>
      </c>
      <c r="W851" s="269">
        <f t="shared" si="186"/>
        <v>301.18373261311052</v>
      </c>
      <c r="X851" s="257">
        <f t="shared" si="187"/>
        <v>752.95933153277633</v>
      </c>
      <c r="Y851" s="270">
        <f>IF(L851="Complex",(INDEX('Escalators '!$M$176:$S$176,MATCH('Forecast capex'!J851,'Escalators '!$M$178:$S$178,0))/12+1)^((K851-J851)*12)-1,0)</f>
        <v>0</v>
      </c>
      <c r="Z851" s="257">
        <f t="shared" si="188"/>
        <v>0</v>
      </c>
      <c r="AA851" s="257">
        <f t="shared" si="189"/>
        <v>0</v>
      </c>
      <c r="AB851" s="269">
        <f t="shared" si="190"/>
        <v>0</v>
      </c>
      <c r="AC851" s="269">
        <f t="shared" si="191"/>
        <v>0</v>
      </c>
      <c r="AD851" s="271" t="str">
        <f>INDEX('Global inputs'!$C$134:$C$171,MATCH(F851,'Global inputs'!$B$134:$B$171,0))</f>
        <v>Consumer connection</v>
      </c>
      <c r="AE851" s="272">
        <f>IF(OR(H851='Operating leases'!$B$32,H851='Operating leases'!$B$33),"",INDEX('Global inputs'!$C$186:$C$243,MATCH(E851,'Global inputs'!$B$186:$B$243,0)))</f>
        <v>0.1</v>
      </c>
    </row>
    <row r="852" spans="1:31" s="27" customFormat="1" x14ac:dyDescent="0.2">
      <c r="A852" s="250"/>
      <c r="B852" s="210" t="s">
        <v>714</v>
      </c>
      <c r="C852" s="210" t="s">
        <v>284</v>
      </c>
      <c r="D852" s="210" t="s">
        <v>715</v>
      </c>
      <c r="E852" s="210" t="s">
        <v>129</v>
      </c>
      <c r="F852" s="210" t="s">
        <v>94</v>
      </c>
      <c r="G852" s="210" t="s">
        <v>716</v>
      </c>
      <c r="H852" s="197">
        <v>0</v>
      </c>
      <c r="I852" s="210" t="s">
        <v>221</v>
      </c>
      <c r="J852" s="210">
        <v>2023</v>
      </c>
      <c r="K852" s="210">
        <v>2023</v>
      </c>
      <c r="L852" s="268" t="str">
        <f t="shared" si="179"/>
        <v>Simple</v>
      </c>
      <c r="M852" s="197">
        <v>285.3857013836739</v>
      </c>
      <c r="N852" s="197">
        <v>428.0785520755108</v>
      </c>
      <c r="O852" s="257">
        <f>IF(ISNA(MATCH(H852,'Operating leases'!$B$32:$B$43,0)),0,INDEX('Operating leases'!$M$32:$S$43,MATCH(H852,'Operating leases'!$B$32:$B$43,0),MATCH(J852,'Operating leases'!$M$11:$S$11,0)))</f>
        <v>0</v>
      </c>
      <c r="P852" s="257">
        <f t="shared" si="180"/>
        <v>285.3857013836739</v>
      </c>
      <c r="Q852" s="257">
        <f t="shared" si="181"/>
        <v>713.46425345918465</v>
      </c>
      <c r="R852" s="258">
        <f>INDEX('Escalators '!$M$124:$S$129,MATCH(I852,'Escalators '!$B$124:$B$129,0),MATCH(J852,'Escalators '!$M$113:$S$113,0))</f>
        <v>1.0486791854231625</v>
      </c>
      <c r="S852" s="257">
        <f t="shared" si="182"/>
        <v>0</v>
      </c>
      <c r="T852" s="257">
        <f t="shared" si="183"/>
        <v>448.91706728767355</v>
      </c>
      <c r="U852" s="269">
        <f t="shared" si="184"/>
        <v>299.27804485844894</v>
      </c>
      <c r="V852" s="269">
        <f t="shared" si="185"/>
        <v>748.19511214612248</v>
      </c>
      <c r="W852" s="269">
        <f t="shared" si="186"/>
        <v>299.27804485844894</v>
      </c>
      <c r="X852" s="257">
        <f t="shared" si="187"/>
        <v>748.19511214612248</v>
      </c>
      <c r="Y852" s="270">
        <f>IF(L852="Complex",(INDEX('Escalators '!$M$176:$S$176,MATCH('Forecast capex'!J852,'Escalators '!$M$178:$S$178,0))/12+1)^((K852-J852)*12)-1,0)</f>
        <v>0</v>
      </c>
      <c r="Z852" s="257">
        <f t="shared" si="188"/>
        <v>0</v>
      </c>
      <c r="AA852" s="257">
        <f t="shared" si="189"/>
        <v>0</v>
      </c>
      <c r="AB852" s="269">
        <f t="shared" si="190"/>
        <v>0</v>
      </c>
      <c r="AC852" s="269">
        <f t="shared" si="191"/>
        <v>0</v>
      </c>
      <c r="AD852" s="271" t="str">
        <f>INDEX('Global inputs'!$C$134:$C$171,MATCH(F852,'Global inputs'!$B$134:$B$171,0))</f>
        <v>Consumer connection</v>
      </c>
      <c r="AE852" s="272">
        <f>IF(OR(H852='Operating leases'!$B$32,H852='Operating leases'!$B$33),"",INDEX('Global inputs'!$C$186:$C$243,MATCH(E852,'Global inputs'!$B$186:$B$243,0)))</f>
        <v>0.1</v>
      </c>
    </row>
    <row r="853" spans="1:31" s="27" customFormat="1" x14ac:dyDescent="0.2">
      <c r="A853" s="250"/>
      <c r="B853" s="210" t="s">
        <v>714</v>
      </c>
      <c r="C853" s="210" t="s">
        <v>287</v>
      </c>
      <c r="D853" s="210" t="s">
        <v>715</v>
      </c>
      <c r="E853" s="210" t="s">
        <v>150</v>
      </c>
      <c r="F853" s="210" t="s">
        <v>94</v>
      </c>
      <c r="G853" s="210" t="s">
        <v>716</v>
      </c>
      <c r="H853" s="197">
        <v>0</v>
      </c>
      <c r="I853" s="210" t="s">
        <v>229</v>
      </c>
      <c r="J853" s="210">
        <v>2023</v>
      </c>
      <c r="K853" s="210">
        <v>2023</v>
      </c>
      <c r="L853" s="268" t="str">
        <f t="shared" si="179"/>
        <v>Simple</v>
      </c>
      <c r="M853" s="197">
        <v>14269.285069183696</v>
      </c>
      <c r="N853" s="197">
        <v>21403.927603775544</v>
      </c>
      <c r="O853" s="257">
        <f>IF(ISNA(MATCH(H853,'Operating leases'!$B$32:$B$43,0)),0,INDEX('Operating leases'!$M$32:$S$43,MATCH(H853,'Operating leases'!$B$32:$B$43,0),MATCH(J853,'Operating leases'!$M$11:$S$11,0)))</f>
        <v>0</v>
      </c>
      <c r="P853" s="257">
        <f t="shared" si="180"/>
        <v>14269.285069183696</v>
      </c>
      <c r="Q853" s="257">
        <f t="shared" si="181"/>
        <v>35673.212672959242</v>
      </c>
      <c r="R853" s="258">
        <f>INDEX('Escalators '!$M$124:$S$129,MATCH(I853,'Escalators '!$B$124:$B$129,0),MATCH(J853,'Escalators '!$M$113:$S$113,0))</f>
        <v>1.0553567720906862</v>
      </c>
      <c r="S853" s="257">
        <f t="shared" si="182"/>
        <v>0</v>
      </c>
      <c r="T853" s="257">
        <f t="shared" si="183"/>
        <v>22588.779945983297</v>
      </c>
      <c r="U853" s="269">
        <f t="shared" si="184"/>
        <v>15059.186630655531</v>
      </c>
      <c r="V853" s="269">
        <f t="shared" si="185"/>
        <v>37647.966576638828</v>
      </c>
      <c r="W853" s="269">
        <f t="shared" si="186"/>
        <v>15059.186630655531</v>
      </c>
      <c r="X853" s="257">
        <f t="shared" si="187"/>
        <v>37647.966576638828</v>
      </c>
      <c r="Y853" s="270">
        <f>IF(L853="Complex",(INDEX('Escalators '!$M$176:$S$176,MATCH('Forecast capex'!J853,'Escalators '!$M$178:$S$178,0))/12+1)^((K853-J853)*12)-1,0)</f>
        <v>0</v>
      </c>
      <c r="Z853" s="257">
        <f t="shared" si="188"/>
        <v>0</v>
      </c>
      <c r="AA853" s="257">
        <f t="shared" si="189"/>
        <v>0</v>
      </c>
      <c r="AB853" s="269">
        <f t="shared" si="190"/>
        <v>0</v>
      </c>
      <c r="AC853" s="269">
        <f t="shared" si="191"/>
        <v>0</v>
      </c>
      <c r="AD853" s="271" t="str">
        <f>INDEX('Global inputs'!$C$134:$C$171,MATCH(F853,'Global inputs'!$B$134:$B$171,0))</f>
        <v>Consumer connection</v>
      </c>
      <c r="AE853" s="272">
        <f>IF(OR(H853='Operating leases'!$B$32,H853='Operating leases'!$B$33),"",INDEX('Global inputs'!$C$186:$C$243,MATCH(E853,'Global inputs'!$B$186:$B$243,0)))</f>
        <v>0.08</v>
      </c>
    </row>
    <row r="854" spans="1:31" s="27" customFormat="1" x14ac:dyDescent="0.2">
      <c r="A854" s="250"/>
      <c r="B854" s="210" t="s">
        <v>714</v>
      </c>
      <c r="C854" s="210" t="s">
        <v>287</v>
      </c>
      <c r="D854" s="210" t="s">
        <v>715</v>
      </c>
      <c r="E854" s="210" t="s">
        <v>150</v>
      </c>
      <c r="F854" s="210" t="s">
        <v>94</v>
      </c>
      <c r="G854" s="210" t="s">
        <v>716</v>
      </c>
      <c r="H854" s="197">
        <v>0</v>
      </c>
      <c r="I854" s="210" t="s">
        <v>221</v>
      </c>
      <c r="J854" s="210">
        <v>2023</v>
      </c>
      <c r="K854" s="210">
        <v>2023</v>
      </c>
      <c r="L854" s="268" t="str">
        <f t="shared" si="179"/>
        <v>Simple</v>
      </c>
      <c r="M854" s="197">
        <v>14269.285069183696</v>
      </c>
      <c r="N854" s="197">
        <v>21403.927603775544</v>
      </c>
      <c r="O854" s="257">
        <f>IF(ISNA(MATCH(H854,'Operating leases'!$B$32:$B$43,0)),0,INDEX('Operating leases'!$M$32:$S$43,MATCH(H854,'Operating leases'!$B$32:$B$43,0),MATCH(J854,'Operating leases'!$M$11:$S$11,0)))</f>
        <v>0</v>
      </c>
      <c r="P854" s="257">
        <f t="shared" si="180"/>
        <v>14269.285069183696</v>
      </c>
      <c r="Q854" s="257">
        <f t="shared" si="181"/>
        <v>35673.212672959242</v>
      </c>
      <c r="R854" s="258">
        <f>INDEX('Escalators '!$M$124:$S$129,MATCH(I854,'Escalators '!$B$124:$B$129,0),MATCH(J854,'Escalators '!$M$113:$S$113,0))</f>
        <v>1.0486791854231625</v>
      </c>
      <c r="S854" s="257">
        <f t="shared" si="182"/>
        <v>0</v>
      </c>
      <c r="T854" s="257">
        <f t="shared" si="183"/>
        <v>22445.853364383682</v>
      </c>
      <c r="U854" s="269">
        <f t="shared" si="184"/>
        <v>14963.902242922453</v>
      </c>
      <c r="V854" s="269">
        <f t="shared" si="185"/>
        <v>37409.755607306135</v>
      </c>
      <c r="W854" s="269">
        <f t="shared" si="186"/>
        <v>14963.902242922453</v>
      </c>
      <c r="X854" s="257">
        <f t="shared" si="187"/>
        <v>37409.755607306135</v>
      </c>
      <c r="Y854" s="270">
        <f>IF(L854="Complex",(INDEX('Escalators '!$M$176:$S$176,MATCH('Forecast capex'!J854,'Escalators '!$M$178:$S$178,0))/12+1)^((K854-J854)*12)-1,0)</f>
        <v>0</v>
      </c>
      <c r="Z854" s="257">
        <f t="shared" si="188"/>
        <v>0</v>
      </c>
      <c r="AA854" s="257">
        <f t="shared" si="189"/>
        <v>0</v>
      </c>
      <c r="AB854" s="269">
        <f t="shared" si="190"/>
        <v>0</v>
      </c>
      <c r="AC854" s="269">
        <f t="shared" si="191"/>
        <v>0</v>
      </c>
      <c r="AD854" s="271" t="str">
        <f>INDEX('Global inputs'!$C$134:$C$171,MATCH(F854,'Global inputs'!$B$134:$B$171,0))</f>
        <v>Consumer connection</v>
      </c>
      <c r="AE854" s="272">
        <f>IF(OR(H854='Operating leases'!$B$32,H854='Operating leases'!$B$33),"",INDEX('Global inputs'!$C$186:$C$243,MATCH(E854,'Global inputs'!$B$186:$B$243,0)))</f>
        <v>0.08</v>
      </c>
    </row>
    <row r="855" spans="1:31" s="27" customFormat="1" x14ac:dyDescent="0.2">
      <c r="A855" s="250"/>
      <c r="B855" s="210" t="s">
        <v>714</v>
      </c>
      <c r="C855" s="210" t="s">
        <v>287</v>
      </c>
      <c r="D855" s="210" t="s">
        <v>715</v>
      </c>
      <c r="E855" s="210" t="s">
        <v>151</v>
      </c>
      <c r="F855" s="210" t="s">
        <v>94</v>
      </c>
      <c r="G855" s="210" t="s">
        <v>716</v>
      </c>
      <c r="H855" s="197">
        <v>0</v>
      </c>
      <c r="I855" s="210" t="s">
        <v>229</v>
      </c>
      <c r="J855" s="210">
        <v>2023</v>
      </c>
      <c r="K855" s="210">
        <v>2023</v>
      </c>
      <c r="L855" s="268" t="str">
        <f t="shared" si="179"/>
        <v>Simple</v>
      </c>
      <c r="M855" s="197">
        <v>14269.285069183696</v>
      </c>
      <c r="N855" s="197">
        <v>21403.927603775544</v>
      </c>
      <c r="O855" s="257">
        <f>IF(ISNA(MATCH(H855,'Operating leases'!$B$32:$B$43,0)),0,INDEX('Operating leases'!$M$32:$S$43,MATCH(H855,'Operating leases'!$B$32:$B$43,0),MATCH(J855,'Operating leases'!$M$11:$S$11,0)))</f>
        <v>0</v>
      </c>
      <c r="P855" s="257">
        <f t="shared" si="180"/>
        <v>14269.285069183696</v>
      </c>
      <c r="Q855" s="257">
        <f t="shared" si="181"/>
        <v>35673.212672959242</v>
      </c>
      <c r="R855" s="258">
        <f>INDEX('Escalators '!$M$124:$S$129,MATCH(I855,'Escalators '!$B$124:$B$129,0),MATCH(J855,'Escalators '!$M$113:$S$113,0))</f>
        <v>1.0553567720906862</v>
      </c>
      <c r="S855" s="257">
        <f t="shared" si="182"/>
        <v>0</v>
      </c>
      <c r="T855" s="257">
        <f t="shared" si="183"/>
        <v>22588.779945983297</v>
      </c>
      <c r="U855" s="269">
        <f t="shared" si="184"/>
        <v>15059.186630655531</v>
      </c>
      <c r="V855" s="269">
        <f t="shared" si="185"/>
        <v>37647.966576638828</v>
      </c>
      <c r="W855" s="269">
        <f t="shared" si="186"/>
        <v>15059.186630655531</v>
      </c>
      <c r="X855" s="257">
        <f t="shared" si="187"/>
        <v>37647.966576638828</v>
      </c>
      <c r="Y855" s="270">
        <f>IF(L855="Complex",(INDEX('Escalators '!$M$176:$S$176,MATCH('Forecast capex'!J855,'Escalators '!$M$178:$S$178,0))/12+1)^((K855-J855)*12)-1,0)</f>
        <v>0</v>
      </c>
      <c r="Z855" s="257">
        <f t="shared" si="188"/>
        <v>0</v>
      </c>
      <c r="AA855" s="257">
        <f t="shared" si="189"/>
        <v>0</v>
      </c>
      <c r="AB855" s="269">
        <f t="shared" si="190"/>
        <v>0</v>
      </c>
      <c r="AC855" s="269">
        <f t="shared" si="191"/>
        <v>0</v>
      </c>
      <c r="AD855" s="271" t="str">
        <f>INDEX('Global inputs'!$C$134:$C$171,MATCH(F855,'Global inputs'!$B$134:$B$171,0))</f>
        <v>Consumer connection</v>
      </c>
      <c r="AE855" s="272">
        <f>IF(OR(H855='Operating leases'!$B$32,H855='Operating leases'!$B$33),"",INDEX('Global inputs'!$C$186:$C$243,MATCH(E855,'Global inputs'!$B$186:$B$243,0)))</f>
        <v>0.1</v>
      </c>
    </row>
    <row r="856" spans="1:31" s="27" customFormat="1" x14ac:dyDescent="0.2">
      <c r="A856" s="250"/>
      <c r="B856" s="210" t="s">
        <v>714</v>
      </c>
      <c r="C856" s="210" t="s">
        <v>287</v>
      </c>
      <c r="D856" s="210" t="s">
        <v>715</v>
      </c>
      <c r="E856" s="210" t="s">
        <v>151</v>
      </c>
      <c r="F856" s="210" t="s">
        <v>94</v>
      </c>
      <c r="G856" s="210" t="s">
        <v>716</v>
      </c>
      <c r="H856" s="197">
        <v>0</v>
      </c>
      <c r="I856" s="210" t="s">
        <v>221</v>
      </c>
      <c r="J856" s="210">
        <v>2023</v>
      </c>
      <c r="K856" s="210">
        <v>2023</v>
      </c>
      <c r="L856" s="268" t="str">
        <f t="shared" si="179"/>
        <v>Simple</v>
      </c>
      <c r="M856" s="197">
        <v>14269.285069183696</v>
      </c>
      <c r="N856" s="197">
        <v>21403.927603775544</v>
      </c>
      <c r="O856" s="257">
        <f>IF(ISNA(MATCH(H856,'Operating leases'!$B$32:$B$43,0)),0,INDEX('Operating leases'!$M$32:$S$43,MATCH(H856,'Operating leases'!$B$32:$B$43,0),MATCH(J856,'Operating leases'!$M$11:$S$11,0)))</f>
        <v>0</v>
      </c>
      <c r="P856" s="257">
        <f t="shared" si="180"/>
        <v>14269.285069183696</v>
      </c>
      <c r="Q856" s="257">
        <f t="shared" si="181"/>
        <v>35673.212672959242</v>
      </c>
      <c r="R856" s="258">
        <f>INDEX('Escalators '!$M$124:$S$129,MATCH(I856,'Escalators '!$B$124:$B$129,0),MATCH(J856,'Escalators '!$M$113:$S$113,0))</f>
        <v>1.0486791854231625</v>
      </c>
      <c r="S856" s="257">
        <f t="shared" si="182"/>
        <v>0</v>
      </c>
      <c r="T856" s="257">
        <f t="shared" si="183"/>
        <v>22445.853364383682</v>
      </c>
      <c r="U856" s="269">
        <f t="shared" si="184"/>
        <v>14963.902242922453</v>
      </c>
      <c r="V856" s="269">
        <f t="shared" si="185"/>
        <v>37409.755607306135</v>
      </c>
      <c r="W856" s="269">
        <f t="shared" si="186"/>
        <v>14963.902242922453</v>
      </c>
      <c r="X856" s="257">
        <f t="shared" si="187"/>
        <v>37409.755607306135</v>
      </c>
      <c r="Y856" s="270">
        <f>IF(L856="Complex",(INDEX('Escalators '!$M$176:$S$176,MATCH('Forecast capex'!J856,'Escalators '!$M$178:$S$178,0))/12+1)^((K856-J856)*12)-1,0)</f>
        <v>0</v>
      </c>
      <c r="Z856" s="257">
        <f t="shared" si="188"/>
        <v>0</v>
      </c>
      <c r="AA856" s="257">
        <f t="shared" si="189"/>
        <v>0</v>
      </c>
      <c r="AB856" s="269">
        <f t="shared" si="190"/>
        <v>0</v>
      </c>
      <c r="AC856" s="269">
        <f t="shared" si="191"/>
        <v>0</v>
      </c>
      <c r="AD856" s="271" t="str">
        <f>INDEX('Global inputs'!$C$134:$C$171,MATCH(F856,'Global inputs'!$B$134:$B$171,0))</f>
        <v>Consumer connection</v>
      </c>
      <c r="AE856" s="272">
        <f>IF(OR(H856='Operating leases'!$B$32,H856='Operating leases'!$B$33),"",INDEX('Global inputs'!$C$186:$C$243,MATCH(E856,'Global inputs'!$B$186:$B$243,0)))</f>
        <v>0.1</v>
      </c>
    </row>
    <row r="857" spans="1:31" s="27" customFormat="1" x14ac:dyDescent="0.2">
      <c r="A857" s="250"/>
      <c r="B857" s="210" t="s">
        <v>714</v>
      </c>
      <c r="C857" s="210" t="s">
        <v>287</v>
      </c>
      <c r="D857" s="210" t="s">
        <v>715</v>
      </c>
      <c r="E857" s="210" t="s">
        <v>153</v>
      </c>
      <c r="F857" s="210" t="s">
        <v>94</v>
      </c>
      <c r="G857" s="210" t="s">
        <v>716</v>
      </c>
      <c r="H857" s="197">
        <v>0</v>
      </c>
      <c r="I857" s="210" t="s">
        <v>229</v>
      </c>
      <c r="J857" s="210">
        <v>2023</v>
      </c>
      <c r="K857" s="210">
        <v>2023</v>
      </c>
      <c r="L857" s="268" t="str">
        <f t="shared" si="179"/>
        <v>Simple</v>
      </c>
      <c r="M857" s="197">
        <v>5565.0211769816415</v>
      </c>
      <c r="N857" s="197">
        <v>8347.5317654724604</v>
      </c>
      <c r="O857" s="257">
        <f>IF(ISNA(MATCH(H857,'Operating leases'!$B$32:$B$43,0)),0,INDEX('Operating leases'!$M$32:$S$43,MATCH(H857,'Operating leases'!$B$32:$B$43,0),MATCH(J857,'Operating leases'!$M$11:$S$11,0)))</f>
        <v>0</v>
      </c>
      <c r="P857" s="257">
        <f t="shared" si="180"/>
        <v>5565.0211769816415</v>
      </c>
      <c r="Q857" s="257">
        <f t="shared" si="181"/>
        <v>13912.552942454102</v>
      </c>
      <c r="R857" s="258">
        <f>INDEX('Escalators '!$M$124:$S$129,MATCH(I857,'Escalators '!$B$124:$B$129,0),MATCH(J857,'Escalators '!$M$113:$S$113,0))</f>
        <v>1.0553567720906862</v>
      </c>
      <c r="S857" s="257">
        <f t="shared" si="182"/>
        <v>0</v>
      </c>
      <c r="T857" s="257">
        <f t="shared" si="183"/>
        <v>8809.6241789334836</v>
      </c>
      <c r="U857" s="269">
        <f t="shared" si="184"/>
        <v>5873.0827859556557</v>
      </c>
      <c r="V857" s="269">
        <f t="shared" si="185"/>
        <v>14682.706964889139</v>
      </c>
      <c r="W857" s="269">
        <f t="shared" si="186"/>
        <v>5873.0827859556557</v>
      </c>
      <c r="X857" s="257">
        <f t="shared" si="187"/>
        <v>14682.706964889139</v>
      </c>
      <c r="Y857" s="270">
        <f>IF(L857="Complex",(INDEX('Escalators '!$M$176:$S$176,MATCH('Forecast capex'!J857,'Escalators '!$M$178:$S$178,0))/12+1)^((K857-J857)*12)-1,0)</f>
        <v>0</v>
      </c>
      <c r="Z857" s="257">
        <f t="shared" si="188"/>
        <v>0</v>
      </c>
      <c r="AA857" s="257">
        <f t="shared" si="189"/>
        <v>0</v>
      </c>
      <c r="AB857" s="269">
        <f t="shared" si="190"/>
        <v>0</v>
      </c>
      <c r="AC857" s="269">
        <f t="shared" si="191"/>
        <v>0</v>
      </c>
      <c r="AD857" s="271" t="str">
        <f>INDEX('Global inputs'!$C$134:$C$171,MATCH(F857,'Global inputs'!$B$134:$B$171,0))</f>
        <v>Consumer connection</v>
      </c>
      <c r="AE857" s="272">
        <f>IF(OR(H857='Operating leases'!$B$32,H857='Operating leases'!$B$33),"",INDEX('Global inputs'!$C$186:$C$243,MATCH(E857,'Global inputs'!$B$186:$B$243,0)))</f>
        <v>0.08</v>
      </c>
    </row>
    <row r="858" spans="1:31" s="27" customFormat="1" x14ac:dyDescent="0.2">
      <c r="A858" s="250"/>
      <c r="B858" s="210" t="s">
        <v>714</v>
      </c>
      <c r="C858" s="210" t="s">
        <v>287</v>
      </c>
      <c r="D858" s="210" t="s">
        <v>715</v>
      </c>
      <c r="E858" s="210" t="s">
        <v>153</v>
      </c>
      <c r="F858" s="210" t="s">
        <v>94</v>
      </c>
      <c r="G858" s="210" t="s">
        <v>716</v>
      </c>
      <c r="H858" s="197">
        <v>0</v>
      </c>
      <c r="I858" s="210" t="s">
        <v>221</v>
      </c>
      <c r="J858" s="210">
        <v>2023</v>
      </c>
      <c r="K858" s="210">
        <v>2023</v>
      </c>
      <c r="L858" s="268" t="str">
        <f t="shared" si="179"/>
        <v>Simple</v>
      </c>
      <c r="M858" s="197">
        <v>5565.0211769816415</v>
      </c>
      <c r="N858" s="197">
        <v>8347.5317654724604</v>
      </c>
      <c r="O858" s="257">
        <f>IF(ISNA(MATCH(H858,'Operating leases'!$B$32:$B$43,0)),0,INDEX('Operating leases'!$M$32:$S$43,MATCH(H858,'Operating leases'!$B$32:$B$43,0),MATCH(J858,'Operating leases'!$M$11:$S$11,0)))</f>
        <v>0</v>
      </c>
      <c r="P858" s="257">
        <f t="shared" si="180"/>
        <v>5565.0211769816415</v>
      </c>
      <c r="Q858" s="257">
        <f t="shared" si="181"/>
        <v>13912.552942454102</v>
      </c>
      <c r="R858" s="258">
        <f>INDEX('Escalators '!$M$124:$S$129,MATCH(I858,'Escalators '!$B$124:$B$129,0),MATCH(J858,'Escalators '!$M$113:$S$113,0))</f>
        <v>1.0486791854231625</v>
      </c>
      <c r="S858" s="257">
        <f t="shared" si="182"/>
        <v>0</v>
      </c>
      <c r="T858" s="257">
        <f t="shared" si="183"/>
        <v>8753.882812109634</v>
      </c>
      <c r="U858" s="269">
        <f t="shared" si="184"/>
        <v>5835.9218747397572</v>
      </c>
      <c r="V858" s="269">
        <f t="shared" si="185"/>
        <v>14589.804686849391</v>
      </c>
      <c r="W858" s="269">
        <f t="shared" si="186"/>
        <v>5835.9218747397572</v>
      </c>
      <c r="X858" s="257">
        <f t="shared" si="187"/>
        <v>14589.804686849391</v>
      </c>
      <c r="Y858" s="270">
        <f>IF(L858="Complex",(INDEX('Escalators '!$M$176:$S$176,MATCH('Forecast capex'!J858,'Escalators '!$M$178:$S$178,0))/12+1)^((K858-J858)*12)-1,0)</f>
        <v>0</v>
      </c>
      <c r="Z858" s="257">
        <f t="shared" si="188"/>
        <v>0</v>
      </c>
      <c r="AA858" s="257">
        <f t="shared" si="189"/>
        <v>0</v>
      </c>
      <c r="AB858" s="269">
        <f t="shared" si="190"/>
        <v>0</v>
      </c>
      <c r="AC858" s="269">
        <f t="shared" si="191"/>
        <v>0</v>
      </c>
      <c r="AD858" s="271" t="str">
        <f>INDEX('Global inputs'!$C$134:$C$171,MATCH(F858,'Global inputs'!$B$134:$B$171,0))</f>
        <v>Consumer connection</v>
      </c>
      <c r="AE858" s="272">
        <f>IF(OR(H858='Operating leases'!$B$32,H858='Operating leases'!$B$33),"",INDEX('Global inputs'!$C$186:$C$243,MATCH(E858,'Global inputs'!$B$186:$B$243,0)))</f>
        <v>0.08</v>
      </c>
    </row>
    <row r="859" spans="1:31" s="27" customFormat="1" x14ac:dyDescent="0.2">
      <c r="A859" s="250"/>
      <c r="B859" s="210" t="s">
        <v>714</v>
      </c>
      <c r="C859" s="210" t="s">
        <v>287</v>
      </c>
      <c r="D859" s="210" t="s">
        <v>715</v>
      </c>
      <c r="E859" s="210" t="s">
        <v>154</v>
      </c>
      <c r="F859" s="210" t="s">
        <v>94</v>
      </c>
      <c r="G859" s="210" t="s">
        <v>716</v>
      </c>
      <c r="H859" s="197">
        <v>0</v>
      </c>
      <c r="I859" s="210" t="s">
        <v>229</v>
      </c>
      <c r="J859" s="210">
        <v>2023</v>
      </c>
      <c r="K859" s="210">
        <v>2023</v>
      </c>
      <c r="L859" s="268" t="str">
        <f t="shared" si="179"/>
        <v>Simple</v>
      </c>
      <c r="M859" s="197">
        <v>5565.0211769816415</v>
      </c>
      <c r="N859" s="197">
        <v>8347.5317654724604</v>
      </c>
      <c r="O859" s="257">
        <f>IF(ISNA(MATCH(H859,'Operating leases'!$B$32:$B$43,0)),0,INDEX('Operating leases'!$M$32:$S$43,MATCH(H859,'Operating leases'!$B$32:$B$43,0),MATCH(J859,'Operating leases'!$M$11:$S$11,0)))</f>
        <v>0</v>
      </c>
      <c r="P859" s="257">
        <f t="shared" si="180"/>
        <v>5565.0211769816415</v>
      </c>
      <c r="Q859" s="257">
        <f t="shared" si="181"/>
        <v>13912.552942454102</v>
      </c>
      <c r="R859" s="258">
        <f>INDEX('Escalators '!$M$124:$S$129,MATCH(I859,'Escalators '!$B$124:$B$129,0),MATCH(J859,'Escalators '!$M$113:$S$113,0))</f>
        <v>1.0553567720906862</v>
      </c>
      <c r="S859" s="257">
        <f t="shared" si="182"/>
        <v>0</v>
      </c>
      <c r="T859" s="257">
        <f t="shared" si="183"/>
        <v>8809.6241789334836</v>
      </c>
      <c r="U859" s="269">
        <f t="shared" si="184"/>
        <v>5873.0827859556557</v>
      </c>
      <c r="V859" s="269">
        <f t="shared" si="185"/>
        <v>14682.706964889139</v>
      </c>
      <c r="W859" s="269">
        <f t="shared" si="186"/>
        <v>5873.0827859556557</v>
      </c>
      <c r="X859" s="257">
        <f t="shared" si="187"/>
        <v>14682.706964889139</v>
      </c>
      <c r="Y859" s="270">
        <f>IF(L859="Complex",(INDEX('Escalators '!$M$176:$S$176,MATCH('Forecast capex'!J859,'Escalators '!$M$178:$S$178,0))/12+1)^((K859-J859)*12)-1,0)</f>
        <v>0</v>
      </c>
      <c r="Z859" s="257">
        <f t="shared" si="188"/>
        <v>0</v>
      </c>
      <c r="AA859" s="257">
        <f t="shared" si="189"/>
        <v>0</v>
      </c>
      <c r="AB859" s="269">
        <f t="shared" si="190"/>
        <v>0</v>
      </c>
      <c r="AC859" s="269">
        <f t="shared" si="191"/>
        <v>0</v>
      </c>
      <c r="AD859" s="271" t="str">
        <f>INDEX('Global inputs'!$C$134:$C$171,MATCH(F859,'Global inputs'!$B$134:$B$171,0))</f>
        <v>Consumer connection</v>
      </c>
      <c r="AE859" s="272">
        <f>IF(OR(H859='Operating leases'!$B$32,H859='Operating leases'!$B$33),"",INDEX('Global inputs'!$C$186:$C$243,MATCH(E859,'Global inputs'!$B$186:$B$243,0)))</f>
        <v>0.1</v>
      </c>
    </row>
    <row r="860" spans="1:31" s="27" customFormat="1" x14ac:dyDescent="0.2">
      <c r="A860" s="250"/>
      <c r="B860" s="210" t="s">
        <v>714</v>
      </c>
      <c r="C860" s="210" t="s">
        <v>287</v>
      </c>
      <c r="D860" s="210" t="s">
        <v>715</v>
      </c>
      <c r="E860" s="210" t="s">
        <v>154</v>
      </c>
      <c r="F860" s="210" t="s">
        <v>94</v>
      </c>
      <c r="G860" s="210" t="s">
        <v>716</v>
      </c>
      <c r="H860" s="197">
        <v>0</v>
      </c>
      <c r="I860" s="210" t="s">
        <v>221</v>
      </c>
      <c r="J860" s="210">
        <v>2023</v>
      </c>
      <c r="K860" s="210">
        <v>2023</v>
      </c>
      <c r="L860" s="268" t="str">
        <f t="shared" si="179"/>
        <v>Simple</v>
      </c>
      <c r="M860" s="197">
        <v>5565.0211769816415</v>
      </c>
      <c r="N860" s="197">
        <v>8347.5317654724604</v>
      </c>
      <c r="O860" s="257">
        <f>IF(ISNA(MATCH(H860,'Operating leases'!$B$32:$B$43,0)),0,INDEX('Operating leases'!$M$32:$S$43,MATCH(H860,'Operating leases'!$B$32:$B$43,0),MATCH(J860,'Operating leases'!$M$11:$S$11,0)))</f>
        <v>0</v>
      </c>
      <c r="P860" s="257">
        <f t="shared" si="180"/>
        <v>5565.0211769816415</v>
      </c>
      <c r="Q860" s="257">
        <f t="shared" si="181"/>
        <v>13912.552942454102</v>
      </c>
      <c r="R860" s="258">
        <f>INDEX('Escalators '!$M$124:$S$129,MATCH(I860,'Escalators '!$B$124:$B$129,0),MATCH(J860,'Escalators '!$M$113:$S$113,0))</f>
        <v>1.0486791854231625</v>
      </c>
      <c r="S860" s="257">
        <f t="shared" si="182"/>
        <v>0</v>
      </c>
      <c r="T860" s="257">
        <f t="shared" si="183"/>
        <v>8753.882812109634</v>
      </c>
      <c r="U860" s="269">
        <f t="shared" si="184"/>
        <v>5835.9218747397572</v>
      </c>
      <c r="V860" s="269">
        <f t="shared" si="185"/>
        <v>14589.804686849391</v>
      </c>
      <c r="W860" s="269">
        <f t="shared" si="186"/>
        <v>5835.9218747397572</v>
      </c>
      <c r="X860" s="257">
        <f t="shared" si="187"/>
        <v>14589.804686849391</v>
      </c>
      <c r="Y860" s="270">
        <f>IF(L860="Complex",(INDEX('Escalators '!$M$176:$S$176,MATCH('Forecast capex'!J860,'Escalators '!$M$178:$S$178,0))/12+1)^((K860-J860)*12)-1,0)</f>
        <v>0</v>
      </c>
      <c r="Z860" s="257">
        <f t="shared" si="188"/>
        <v>0</v>
      </c>
      <c r="AA860" s="257">
        <f t="shared" si="189"/>
        <v>0</v>
      </c>
      <c r="AB860" s="269">
        <f t="shared" si="190"/>
        <v>0</v>
      </c>
      <c r="AC860" s="269">
        <f t="shared" si="191"/>
        <v>0</v>
      </c>
      <c r="AD860" s="271" t="str">
        <f>INDEX('Global inputs'!$C$134:$C$171,MATCH(F860,'Global inputs'!$B$134:$B$171,0))</f>
        <v>Consumer connection</v>
      </c>
      <c r="AE860" s="272">
        <f>IF(OR(H860='Operating leases'!$B$32,H860='Operating leases'!$B$33),"",INDEX('Global inputs'!$C$186:$C$243,MATCH(E860,'Global inputs'!$B$186:$B$243,0)))</f>
        <v>0.1</v>
      </c>
    </row>
    <row r="861" spans="1:31" s="27" customFormat="1" x14ac:dyDescent="0.2">
      <c r="A861" s="250"/>
      <c r="B861" s="210" t="s">
        <v>714</v>
      </c>
      <c r="C861" s="210" t="s">
        <v>284</v>
      </c>
      <c r="D861" s="210" t="s">
        <v>715</v>
      </c>
      <c r="E861" s="210" t="s">
        <v>127</v>
      </c>
      <c r="F861" s="210" t="s">
        <v>94</v>
      </c>
      <c r="G861" s="210" t="s">
        <v>717</v>
      </c>
      <c r="H861" s="197">
        <v>0</v>
      </c>
      <c r="I861" s="210" t="s">
        <v>229</v>
      </c>
      <c r="J861" s="210">
        <v>2023</v>
      </c>
      <c r="K861" s="210">
        <v>2023</v>
      </c>
      <c r="L861" s="268" t="str">
        <f t="shared" si="179"/>
        <v>Simple</v>
      </c>
      <c r="M861" s="197">
        <v>142.69285069183695</v>
      </c>
      <c r="N861" s="197">
        <v>214.0392760377554</v>
      </c>
      <c r="O861" s="257">
        <f>IF(ISNA(MATCH(H861,'Operating leases'!$B$32:$B$43,0)),0,INDEX('Operating leases'!$M$32:$S$43,MATCH(H861,'Operating leases'!$B$32:$B$43,0),MATCH(J861,'Operating leases'!$M$11:$S$11,0)))</f>
        <v>0</v>
      </c>
      <c r="P861" s="257">
        <f t="shared" si="180"/>
        <v>142.69285069183695</v>
      </c>
      <c r="Q861" s="257">
        <f t="shared" si="181"/>
        <v>356.73212672959232</v>
      </c>
      <c r="R861" s="258">
        <f>INDEX('Escalators '!$M$124:$S$129,MATCH(I861,'Escalators '!$B$124:$B$129,0),MATCH(J861,'Escalators '!$M$113:$S$113,0))</f>
        <v>1.0553567720906862</v>
      </c>
      <c r="S861" s="257">
        <f t="shared" si="182"/>
        <v>0</v>
      </c>
      <c r="T861" s="257">
        <f t="shared" si="183"/>
        <v>225.88779945983291</v>
      </c>
      <c r="U861" s="269">
        <f t="shared" si="184"/>
        <v>150.59186630655526</v>
      </c>
      <c r="V861" s="269">
        <f t="shared" si="185"/>
        <v>376.47966576638817</v>
      </c>
      <c r="W861" s="269">
        <f t="shared" si="186"/>
        <v>150.59186630655526</v>
      </c>
      <c r="X861" s="257">
        <f t="shared" si="187"/>
        <v>376.47966576638817</v>
      </c>
      <c r="Y861" s="270">
        <f>IF(L861="Complex",(INDEX('Escalators '!$M$176:$S$176,MATCH('Forecast capex'!J861,'Escalators '!$M$178:$S$178,0))/12+1)^((K861-J861)*12)-1,0)</f>
        <v>0</v>
      </c>
      <c r="Z861" s="257">
        <f t="shared" si="188"/>
        <v>0</v>
      </c>
      <c r="AA861" s="257">
        <f t="shared" si="189"/>
        <v>0</v>
      </c>
      <c r="AB861" s="269">
        <f t="shared" si="190"/>
        <v>0</v>
      </c>
      <c r="AC861" s="269">
        <f t="shared" si="191"/>
        <v>0</v>
      </c>
      <c r="AD861" s="271" t="str">
        <f>INDEX('Global inputs'!$C$134:$C$171,MATCH(F861,'Global inputs'!$B$134:$B$171,0))</f>
        <v>Consumer connection</v>
      </c>
      <c r="AE861" s="272">
        <f>IF(OR(H861='Operating leases'!$B$32,H861='Operating leases'!$B$33),"",INDEX('Global inputs'!$C$186:$C$243,MATCH(E861,'Global inputs'!$B$186:$B$243,0)))</f>
        <v>0.08</v>
      </c>
    </row>
    <row r="862" spans="1:31" s="27" customFormat="1" x14ac:dyDescent="0.2">
      <c r="A862" s="250"/>
      <c r="B862" s="210" t="s">
        <v>714</v>
      </c>
      <c r="C862" s="210" t="s">
        <v>284</v>
      </c>
      <c r="D862" s="210" t="s">
        <v>715</v>
      </c>
      <c r="E862" s="210" t="s">
        <v>127</v>
      </c>
      <c r="F862" s="210" t="s">
        <v>94</v>
      </c>
      <c r="G862" s="210" t="s">
        <v>717</v>
      </c>
      <c r="H862" s="197">
        <v>0</v>
      </c>
      <c r="I862" s="210" t="s">
        <v>221</v>
      </c>
      <c r="J862" s="210">
        <v>2023</v>
      </c>
      <c r="K862" s="210">
        <v>2023</v>
      </c>
      <c r="L862" s="268" t="str">
        <f t="shared" si="179"/>
        <v>Simple</v>
      </c>
      <c r="M862" s="197">
        <v>142.69285069183695</v>
      </c>
      <c r="N862" s="197">
        <v>214.0392760377554</v>
      </c>
      <c r="O862" s="257">
        <f>IF(ISNA(MATCH(H862,'Operating leases'!$B$32:$B$43,0)),0,INDEX('Operating leases'!$M$32:$S$43,MATCH(H862,'Operating leases'!$B$32:$B$43,0),MATCH(J862,'Operating leases'!$M$11:$S$11,0)))</f>
        <v>0</v>
      </c>
      <c r="P862" s="257">
        <f t="shared" si="180"/>
        <v>142.69285069183695</v>
      </c>
      <c r="Q862" s="257">
        <f t="shared" si="181"/>
        <v>356.73212672959232</v>
      </c>
      <c r="R862" s="258">
        <f>INDEX('Escalators '!$M$124:$S$129,MATCH(I862,'Escalators '!$B$124:$B$129,0),MATCH(J862,'Escalators '!$M$113:$S$113,0))</f>
        <v>1.0486791854231625</v>
      </c>
      <c r="S862" s="257">
        <f t="shared" si="182"/>
        <v>0</v>
      </c>
      <c r="T862" s="257">
        <f t="shared" si="183"/>
        <v>224.45853364383677</v>
      </c>
      <c r="U862" s="269">
        <f t="shared" si="184"/>
        <v>149.63902242922447</v>
      </c>
      <c r="V862" s="269">
        <f t="shared" si="185"/>
        <v>374.09755607306124</v>
      </c>
      <c r="W862" s="269">
        <f t="shared" si="186"/>
        <v>149.63902242922447</v>
      </c>
      <c r="X862" s="257">
        <f t="shared" si="187"/>
        <v>374.09755607306124</v>
      </c>
      <c r="Y862" s="270">
        <f>IF(L862="Complex",(INDEX('Escalators '!$M$176:$S$176,MATCH('Forecast capex'!J862,'Escalators '!$M$178:$S$178,0))/12+1)^((K862-J862)*12)-1,0)</f>
        <v>0</v>
      </c>
      <c r="Z862" s="257">
        <f t="shared" si="188"/>
        <v>0</v>
      </c>
      <c r="AA862" s="257">
        <f t="shared" si="189"/>
        <v>0</v>
      </c>
      <c r="AB862" s="269">
        <f t="shared" si="190"/>
        <v>0</v>
      </c>
      <c r="AC862" s="269">
        <f t="shared" si="191"/>
        <v>0</v>
      </c>
      <c r="AD862" s="271" t="str">
        <f>INDEX('Global inputs'!$C$134:$C$171,MATCH(F862,'Global inputs'!$B$134:$B$171,0))</f>
        <v>Consumer connection</v>
      </c>
      <c r="AE862" s="272">
        <f>IF(OR(H862='Operating leases'!$B$32,H862='Operating leases'!$B$33),"",INDEX('Global inputs'!$C$186:$C$243,MATCH(E862,'Global inputs'!$B$186:$B$243,0)))</f>
        <v>0.08</v>
      </c>
    </row>
    <row r="863" spans="1:31" s="27" customFormat="1" x14ac:dyDescent="0.2">
      <c r="A863" s="250"/>
      <c r="B863" s="210" t="s">
        <v>714</v>
      </c>
      <c r="C863" s="210" t="s">
        <v>284</v>
      </c>
      <c r="D863" s="210" t="s">
        <v>715</v>
      </c>
      <c r="E863" s="210" t="s">
        <v>129</v>
      </c>
      <c r="F863" s="210" t="s">
        <v>94</v>
      </c>
      <c r="G863" s="210" t="s">
        <v>717</v>
      </c>
      <c r="H863" s="197">
        <v>0</v>
      </c>
      <c r="I863" s="210" t="s">
        <v>229</v>
      </c>
      <c r="J863" s="210">
        <v>2023</v>
      </c>
      <c r="K863" s="210">
        <v>2023</v>
      </c>
      <c r="L863" s="268" t="str">
        <f t="shared" si="179"/>
        <v>Simple</v>
      </c>
      <c r="M863" s="197">
        <v>142.69285069183695</v>
      </c>
      <c r="N863" s="197">
        <v>214.0392760377554</v>
      </c>
      <c r="O863" s="257">
        <f>IF(ISNA(MATCH(H863,'Operating leases'!$B$32:$B$43,0)),0,INDEX('Operating leases'!$M$32:$S$43,MATCH(H863,'Operating leases'!$B$32:$B$43,0),MATCH(J863,'Operating leases'!$M$11:$S$11,0)))</f>
        <v>0</v>
      </c>
      <c r="P863" s="257">
        <f t="shared" si="180"/>
        <v>142.69285069183695</v>
      </c>
      <c r="Q863" s="257">
        <f t="shared" si="181"/>
        <v>356.73212672959232</v>
      </c>
      <c r="R863" s="258">
        <f>INDEX('Escalators '!$M$124:$S$129,MATCH(I863,'Escalators '!$B$124:$B$129,0),MATCH(J863,'Escalators '!$M$113:$S$113,0))</f>
        <v>1.0553567720906862</v>
      </c>
      <c r="S863" s="257">
        <f t="shared" si="182"/>
        <v>0</v>
      </c>
      <c r="T863" s="257">
        <f t="shared" si="183"/>
        <v>225.88779945983291</v>
      </c>
      <c r="U863" s="269">
        <f t="shared" si="184"/>
        <v>150.59186630655526</v>
      </c>
      <c r="V863" s="269">
        <f t="shared" si="185"/>
        <v>376.47966576638817</v>
      </c>
      <c r="W863" s="269">
        <f t="shared" si="186"/>
        <v>150.59186630655526</v>
      </c>
      <c r="X863" s="257">
        <f t="shared" si="187"/>
        <v>376.47966576638817</v>
      </c>
      <c r="Y863" s="270">
        <f>IF(L863="Complex",(INDEX('Escalators '!$M$176:$S$176,MATCH('Forecast capex'!J863,'Escalators '!$M$178:$S$178,0))/12+1)^((K863-J863)*12)-1,0)</f>
        <v>0</v>
      </c>
      <c r="Z863" s="257">
        <f t="shared" si="188"/>
        <v>0</v>
      </c>
      <c r="AA863" s="257">
        <f t="shared" si="189"/>
        <v>0</v>
      </c>
      <c r="AB863" s="269">
        <f t="shared" si="190"/>
        <v>0</v>
      </c>
      <c r="AC863" s="269">
        <f t="shared" si="191"/>
        <v>0</v>
      </c>
      <c r="AD863" s="271" t="str">
        <f>INDEX('Global inputs'!$C$134:$C$171,MATCH(F863,'Global inputs'!$B$134:$B$171,0))</f>
        <v>Consumer connection</v>
      </c>
      <c r="AE863" s="272">
        <f>IF(OR(H863='Operating leases'!$B$32,H863='Operating leases'!$B$33),"",INDEX('Global inputs'!$C$186:$C$243,MATCH(E863,'Global inputs'!$B$186:$B$243,0)))</f>
        <v>0.1</v>
      </c>
    </row>
    <row r="864" spans="1:31" s="27" customFormat="1" x14ac:dyDescent="0.2">
      <c r="A864" s="250"/>
      <c r="B864" s="210" t="s">
        <v>714</v>
      </c>
      <c r="C864" s="210" t="s">
        <v>284</v>
      </c>
      <c r="D864" s="210" t="s">
        <v>715</v>
      </c>
      <c r="E864" s="210" t="s">
        <v>129</v>
      </c>
      <c r="F864" s="210" t="s">
        <v>94</v>
      </c>
      <c r="G864" s="210" t="s">
        <v>717</v>
      </c>
      <c r="H864" s="197">
        <v>0</v>
      </c>
      <c r="I864" s="210" t="s">
        <v>221</v>
      </c>
      <c r="J864" s="210">
        <v>2023</v>
      </c>
      <c r="K864" s="210">
        <v>2023</v>
      </c>
      <c r="L864" s="268" t="str">
        <f t="shared" si="179"/>
        <v>Simple</v>
      </c>
      <c r="M864" s="197">
        <v>142.69285069183695</v>
      </c>
      <c r="N864" s="197">
        <v>214.0392760377554</v>
      </c>
      <c r="O864" s="257">
        <f>IF(ISNA(MATCH(H864,'Operating leases'!$B$32:$B$43,0)),0,INDEX('Operating leases'!$M$32:$S$43,MATCH(H864,'Operating leases'!$B$32:$B$43,0),MATCH(J864,'Operating leases'!$M$11:$S$11,0)))</f>
        <v>0</v>
      </c>
      <c r="P864" s="257">
        <f t="shared" si="180"/>
        <v>142.69285069183695</v>
      </c>
      <c r="Q864" s="257">
        <f t="shared" si="181"/>
        <v>356.73212672959232</v>
      </c>
      <c r="R864" s="258">
        <f>INDEX('Escalators '!$M$124:$S$129,MATCH(I864,'Escalators '!$B$124:$B$129,0),MATCH(J864,'Escalators '!$M$113:$S$113,0))</f>
        <v>1.0486791854231625</v>
      </c>
      <c r="S864" s="257">
        <f t="shared" si="182"/>
        <v>0</v>
      </c>
      <c r="T864" s="257">
        <f t="shared" si="183"/>
        <v>224.45853364383677</v>
      </c>
      <c r="U864" s="269">
        <f t="shared" si="184"/>
        <v>149.63902242922447</v>
      </c>
      <c r="V864" s="269">
        <f t="shared" si="185"/>
        <v>374.09755607306124</v>
      </c>
      <c r="W864" s="269">
        <f t="shared" si="186"/>
        <v>149.63902242922447</v>
      </c>
      <c r="X864" s="257">
        <f t="shared" si="187"/>
        <v>374.09755607306124</v>
      </c>
      <c r="Y864" s="270">
        <f>IF(L864="Complex",(INDEX('Escalators '!$M$176:$S$176,MATCH('Forecast capex'!J864,'Escalators '!$M$178:$S$178,0))/12+1)^((K864-J864)*12)-1,0)</f>
        <v>0</v>
      </c>
      <c r="Z864" s="257">
        <f t="shared" si="188"/>
        <v>0</v>
      </c>
      <c r="AA864" s="257">
        <f t="shared" si="189"/>
        <v>0</v>
      </c>
      <c r="AB864" s="269">
        <f t="shared" si="190"/>
        <v>0</v>
      </c>
      <c r="AC864" s="269">
        <f t="shared" si="191"/>
        <v>0</v>
      </c>
      <c r="AD864" s="271" t="str">
        <f>INDEX('Global inputs'!$C$134:$C$171,MATCH(F864,'Global inputs'!$B$134:$B$171,0))</f>
        <v>Consumer connection</v>
      </c>
      <c r="AE864" s="272">
        <f>IF(OR(H864='Operating leases'!$B$32,H864='Operating leases'!$B$33),"",INDEX('Global inputs'!$C$186:$C$243,MATCH(E864,'Global inputs'!$B$186:$B$243,0)))</f>
        <v>0.1</v>
      </c>
    </row>
    <row r="865" spans="1:31" s="27" customFormat="1" x14ac:dyDescent="0.2">
      <c r="A865" s="250"/>
      <c r="B865" s="210" t="s">
        <v>714</v>
      </c>
      <c r="C865" s="210" t="s">
        <v>287</v>
      </c>
      <c r="D865" s="210" t="s">
        <v>715</v>
      </c>
      <c r="E865" s="210" t="s">
        <v>150</v>
      </c>
      <c r="F865" s="210" t="s">
        <v>94</v>
      </c>
      <c r="G865" s="210" t="s">
        <v>717</v>
      </c>
      <c r="H865" s="197">
        <v>0</v>
      </c>
      <c r="I865" s="210" t="s">
        <v>229</v>
      </c>
      <c r="J865" s="210">
        <v>2023</v>
      </c>
      <c r="K865" s="210">
        <v>2023</v>
      </c>
      <c r="L865" s="268" t="str">
        <f t="shared" si="179"/>
        <v>Simple</v>
      </c>
      <c r="M865" s="197">
        <v>8561.5710415102167</v>
      </c>
      <c r="N865" s="197">
        <v>12842.356562265324</v>
      </c>
      <c r="O865" s="257">
        <f>IF(ISNA(MATCH(H865,'Operating leases'!$B$32:$B$43,0)),0,INDEX('Operating leases'!$M$32:$S$43,MATCH(H865,'Operating leases'!$B$32:$B$43,0),MATCH(J865,'Operating leases'!$M$11:$S$11,0)))</f>
        <v>0</v>
      </c>
      <c r="P865" s="257">
        <f t="shared" si="180"/>
        <v>8561.5710415102167</v>
      </c>
      <c r="Q865" s="257">
        <f t="shared" si="181"/>
        <v>21403.927603775541</v>
      </c>
      <c r="R865" s="258">
        <f>INDEX('Escalators '!$M$124:$S$129,MATCH(I865,'Escalators '!$B$124:$B$129,0),MATCH(J865,'Escalators '!$M$113:$S$113,0))</f>
        <v>1.0553567720906862</v>
      </c>
      <c r="S865" s="257">
        <f t="shared" si="182"/>
        <v>0</v>
      </c>
      <c r="T865" s="257">
        <f t="shared" si="183"/>
        <v>13553.267967589974</v>
      </c>
      <c r="U865" s="269">
        <f t="shared" si="184"/>
        <v>9035.5119783933187</v>
      </c>
      <c r="V865" s="269">
        <f t="shared" si="185"/>
        <v>22588.779945983293</v>
      </c>
      <c r="W865" s="269">
        <f t="shared" si="186"/>
        <v>9035.5119783933187</v>
      </c>
      <c r="X865" s="257">
        <f t="shared" si="187"/>
        <v>22588.779945983293</v>
      </c>
      <c r="Y865" s="270">
        <f>IF(L865="Complex",(INDEX('Escalators '!$M$176:$S$176,MATCH('Forecast capex'!J865,'Escalators '!$M$178:$S$178,0))/12+1)^((K865-J865)*12)-1,0)</f>
        <v>0</v>
      </c>
      <c r="Z865" s="257">
        <f t="shared" si="188"/>
        <v>0</v>
      </c>
      <c r="AA865" s="257">
        <f t="shared" si="189"/>
        <v>0</v>
      </c>
      <c r="AB865" s="269">
        <f t="shared" si="190"/>
        <v>0</v>
      </c>
      <c r="AC865" s="269">
        <f t="shared" si="191"/>
        <v>0</v>
      </c>
      <c r="AD865" s="271" t="str">
        <f>INDEX('Global inputs'!$C$134:$C$171,MATCH(F865,'Global inputs'!$B$134:$B$171,0))</f>
        <v>Consumer connection</v>
      </c>
      <c r="AE865" s="272">
        <f>IF(OR(H865='Operating leases'!$B$32,H865='Operating leases'!$B$33),"",INDEX('Global inputs'!$C$186:$C$243,MATCH(E865,'Global inputs'!$B$186:$B$243,0)))</f>
        <v>0.08</v>
      </c>
    </row>
    <row r="866" spans="1:31" s="27" customFormat="1" x14ac:dyDescent="0.2">
      <c r="A866" s="250"/>
      <c r="B866" s="210" t="s">
        <v>714</v>
      </c>
      <c r="C866" s="210" t="s">
        <v>287</v>
      </c>
      <c r="D866" s="210" t="s">
        <v>715</v>
      </c>
      <c r="E866" s="210" t="s">
        <v>150</v>
      </c>
      <c r="F866" s="210" t="s">
        <v>94</v>
      </c>
      <c r="G866" s="210" t="s">
        <v>717</v>
      </c>
      <c r="H866" s="197">
        <v>0</v>
      </c>
      <c r="I866" s="210" t="s">
        <v>221</v>
      </c>
      <c r="J866" s="210">
        <v>2023</v>
      </c>
      <c r="K866" s="210">
        <v>2023</v>
      </c>
      <c r="L866" s="268" t="str">
        <f t="shared" si="179"/>
        <v>Simple</v>
      </c>
      <c r="M866" s="197">
        <v>8561.5710415102167</v>
      </c>
      <c r="N866" s="197">
        <v>12842.356562265324</v>
      </c>
      <c r="O866" s="257">
        <f>IF(ISNA(MATCH(H866,'Operating leases'!$B$32:$B$43,0)),0,INDEX('Operating leases'!$M$32:$S$43,MATCH(H866,'Operating leases'!$B$32:$B$43,0),MATCH(J866,'Operating leases'!$M$11:$S$11,0)))</f>
        <v>0</v>
      </c>
      <c r="P866" s="257">
        <f t="shared" si="180"/>
        <v>8561.5710415102167</v>
      </c>
      <c r="Q866" s="257">
        <f t="shared" si="181"/>
        <v>21403.927603775541</v>
      </c>
      <c r="R866" s="258">
        <f>INDEX('Escalators '!$M$124:$S$129,MATCH(I866,'Escalators '!$B$124:$B$129,0),MATCH(J866,'Escalators '!$M$113:$S$113,0))</f>
        <v>1.0486791854231625</v>
      </c>
      <c r="S866" s="257">
        <f t="shared" si="182"/>
        <v>0</v>
      </c>
      <c r="T866" s="257">
        <f t="shared" si="183"/>
        <v>13467.512018630207</v>
      </c>
      <c r="U866" s="269">
        <f t="shared" si="184"/>
        <v>8978.3413457534716</v>
      </c>
      <c r="V866" s="269">
        <f t="shared" si="185"/>
        <v>22445.853364383678</v>
      </c>
      <c r="W866" s="269">
        <f t="shared" si="186"/>
        <v>8978.3413457534716</v>
      </c>
      <c r="X866" s="257">
        <f t="shared" si="187"/>
        <v>22445.853364383678</v>
      </c>
      <c r="Y866" s="270">
        <f>IF(L866="Complex",(INDEX('Escalators '!$M$176:$S$176,MATCH('Forecast capex'!J866,'Escalators '!$M$178:$S$178,0))/12+1)^((K866-J866)*12)-1,0)</f>
        <v>0</v>
      </c>
      <c r="Z866" s="257">
        <f t="shared" si="188"/>
        <v>0</v>
      </c>
      <c r="AA866" s="257">
        <f t="shared" si="189"/>
        <v>0</v>
      </c>
      <c r="AB866" s="269">
        <f t="shared" si="190"/>
        <v>0</v>
      </c>
      <c r="AC866" s="269">
        <f t="shared" si="191"/>
        <v>0</v>
      </c>
      <c r="AD866" s="271" t="str">
        <f>INDEX('Global inputs'!$C$134:$C$171,MATCH(F866,'Global inputs'!$B$134:$B$171,0))</f>
        <v>Consumer connection</v>
      </c>
      <c r="AE866" s="272">
        <f>IF(OR(H866='Operating leases'!$B$32,H866='Operating leases'!$B$33),"",INDEX('Global inputs'!$C$186:$C$243,MATCH(E866,'Global inputs'!$B$186:$B$243,0)))</f>
        <v>0.08</v>
      </c>
    </row>
    <row r="867" spans="1:31" s="27" customFormat="1" x14ac:dyDescent="0.2">
      <c r="A867" s="250"/>
      <c r="B867" s="210" t="s">
        <v>714</v>
      </c>
      <c r="C867" s="210" t="s">
        <v>287</v>
      </c>
      <c r="D867" s="210" t="s">
        <v>715</v>
      </c>
      <c r="E867" s="210" t="s">
        <v>151</v>
      </c>
      <c r="F867" s="210" t="s">
        <v>94</v>
      </c>
      <c r="G867" s="210" t="s">
        <v>717</v>
      </c>
      <c r="H867" s="197">
        <v>0</v>
      </c>
      <c r="I867" s="210" t="s">
        <v>229</v>
      </c>
      <c r="J867" s="210">
        <v>2023</v>
      </c>
      <c r="K867" s="210">
        <v>2023</v>
      </c>
      <c r="L867" s="268" t="str">
        <f t="shared" si="179"/>
        <v>Simple</v>
      </c>
      <c r="M867" s="197">
        <v>8561.5710415102167</v>
      </c>
      <c r="N867" s="197">
        <v>12842.356562265324</v>
      </c>
      <c r="O867" s="257">
        <f>IF(ISNA(MATCH(H867,'Operating leases'!$B$32:$B$43,0)),0,INDEX('Operating leases'!$M$32:$S$43,MATCH(H867,'Operating leases'!$B$32:$B$43,0),MATCH(J867,'Operating leases'!$M$11:$S$11,0)))</f>
        <v>0</v>
      </c>
      <c r="P867" s="257">
        <f t="shared" si="180"/>
        <v>8561.5710415102167</v>
      </c>
      <c r="Q867" s="257">
        <f t="shared" si="181"/>
        <v>21403.927603775541</v>
      </c>
      <c r="R867" s="258">
        <f>INDEX('Escalators '!$M$124:$S$129,MATCH(I867,'Escalators '!$B$124:$B$129,0),MATCH(J867,'Escalators '!$M$113:$S$113,0))</f>
        <v>1.0553567720906862</v>
      </c>
      <c r="S867" s="257">
        <f t="shared" si="182"/>
        <v>0</v>
      </c>
      <c r="T867" s="257">
        <f t="shared" si="183"/>
        <v>13553.267967589974</v>
      </c>
      <c r="U867" s="269">
        <f t="shared" si="184"/>
        <v>9035.5119783933187</v>
      </c>
      <c r="V867" s="269">
        <f t="shared" si="185"/>
        <v>22588.779945983293</v>
      </c>
      <c r="W867" s="269">
        <f t="shared" si="186"/>
        <v>9035.5119783933187</v>
      </c>
      <c r="X867" s="257">
        <f t="shared" si="187"/>
        <v>22588.779945983293</v>
      </c>
      <c r="Y867" s="270">
        <f>IF(L867="Complex",(INDEX('Escalators '!$M$176:$S$176,MATCH('Forecast capex'!J867,'Escalators '!$M$178:$S$178,0))/12+1)^((K867-J867)*12)-1,0)</f>
        <v>0</v>
      </c>
      <c r="Z867" s="257">
        <f t="shared" si="188"/>
        <v>0</v>
      </c>
      <c r="AA867" s="257">
        <f t="shared" si="189"/>
        <v>0</v>
      </c>
      <c r="AB867" s="269">
        <f t="shared" si="190"/>
        <v>0</v>
      </c>
      <c r="AC867" s="269">
        <f t="shared" si="191"/>
        <v>0</v>
      </c>
      <c r="AD867" s="271" t="str">
        <f>INDEX('Global inputs'!$C$134:$C$171,MATCH(F867,'Global inputs'!$B$134:$B$171,0))</f>
        <v>Consumer connection</v>
      </c>
      <c r="AE867" s="272">
        <f>IF(OR(H867='Operating leases'!$B$32,H867='Operating leases'!$B$33),"",INDEX('Global inputs'!$C$186:$C$243,MATCH(E867,'Global inputs'!$B$186:$B$243,0)))</f>
        <v>0.1</v>
      </c>
    </row>
    <row r="868" spans="1:31" s="27" customFormat="1" x14ac:dyDescent="0.2">
      <c r="A868" s="250"/>
      <c r="B868" s="210" t="s">
        <v>714</v>
      </c>
      <c r="C868" s="210" t="s">
        <v>287</v>
      </c>
      <c r="D868" s="210" t="s">
        <v>715</v>
      </c>
      <c r="E868" s="210" t="s">
        <v>151</v>
      </c>
      <c r="F868" s="210" t="s">
        <v>94</v>
      </c>
      <c r="G868" s="210" t="s">
        <v>717</v>
      </c>
      <c r="H868" s="197">
        <v>0</v>
      </c>
      <c r="I868" s="210" t="s">
        <v>221</v>
      </c>
      <c r="J868" s="210">
        <v>2023</v>
      </c>
      <c r="K868" s="210">
        <v>2023</v>
      </c>
      <c r="L868" s="268" t="str">
        <f t="shared" si="179"/>
        <v>Simple</v>
      </c>
      <c r="M868" s="197">
        <v>8561.5710415102167</v>
      </c>
      <c r="N868" s="197">
        <v>12842.356562265324</v>
      </c>
      <c r="O868" s="257">
        <f>IF(ISNA(MATCH(H868,'Operating leases'!$B$32:$B$43,0)),0,INDEX('Operating leases'!$M$32:$S$43,MATCH(H868,'Operating leases'!$B$32:$B$43,0),MATCH(J868,'Operating leases'!$M$11:$S$11,0)))</f>
        <v>0</v>
      </c>
      <c r="P868" s="257">
        <f t="shared" si="180"/>
        <v>8561.5710415102167</v>
      </c>
      <c r="Q868" s="257">
        <f t="shared" si="181"/>
        <v>21403.927603775541</v>
      </c>
      <c r="R868" s="258">
        <f>INDEX('Escalators '!$M$124:$S$129,MATCH(I868,'Escalators '!$B$124:$B$129,0),MATCH(J868,'Escalators '!$M$113:$S$113,0))</f>
        <v>1.0486791854231625</v>
      </c>
      <c r="S868" s="257">
        <f t="shared" si="182"/>
        <v>0</v>
      </c>
      <c r="T868" s="257">
        <f t="shared" si="183"/>
        <v>13467.512018630207</v>
      </c>
      <c r="U868" s="269">
        <f t="shared" si="184"/>
        <v>8978.3413457534716</v>
      </c>
      <c r="V868" s="269">
        <f t="shared" si="185"/>
        <v>22445.853364383678</v>
      </c>
      <c r="W868" s="269">
        <f t="shared" si="186"/>
        <v>8978.3413457534716</v>
      </c>
      <c r="X868" s="257">
        <f t="shared" si="187"/>
        <v>22445.853364383678</v>
      </c>
      <c r="Y868" s="270">
        <f>IF(L868="Complex",(INDEX('Escalators '!$M$176:$S$176,MATCH('Forecast capex'!J868,'Escalators '!$M$178:$S$178,0))/12+1)^((K868-J868)*12)-1,0)</f>
        <v>0</v>
      </c>
      <c r="Z868" s="257">
        <f t="shared" si="188"/>
        <v>0</v>
      </c>
      <c r="AA868" s="257">
        <f t="shared" si="189"/>
        <v>0</v>
      </c>
      <c r="AB868" s="269">
        <f t="shared" si="190"/>
        <v>0</v>
      </c>
      <c r="AC868" s="269">
        <f t="shared" si="191"/>
        <v>0</v>
      </c>
      <c r="AD868" s="271" t="str">
        <f>INDEX('Global inputs'!$C$134:$C$171,MATCH(F868,'Global inputs'!$B$134:$B$171,0))</f>
        <v>Consumer connection</v>
      </c>
      <c r="AE868" s="272">
        <f>IF(OR(H868='Operating leases'!$B$32,H868='Operating leases'!$B$33),"",INDEX('Global inputs'!$C$186:$C$243,MATCH(E868,'Global inputs'!$B$186:$B$243,0)))</f>
        <v>0.1</v>
      </c>
    </row>
    <row r="869" spans="1:31" s="27" customFormat="1" x14ac:dyDescent="0.2">
      <c r="A869" s="250"/>
      <c r="B869" s="210" t="s">
        <v>714</v>
      </c>
      <c r="C869" s="210" t="s">
        <v>287</v>
      </c>
      <c r="D869" s="210" t="s">
        <v>715</v>
      </c>
      <c r="E869" s="210" t="s">
        <v>153</v>
      </c>
      <c r="F869" s="210" t="s">
        <v>94</v>
      </c>
      <c r="G869" s="210" t="s">
        <v>717</v>
      </c>
      <c r="H869" s="197">
        <v>0</v>
      </c>
      <c r="I869" s="210" t="s">
        <v>229</v>
      </c>
      <c r="J869" s="210">
        <v>2023</v>
      </c>
      <c r="K869" s="210">
        <v>2023</v>
      </c>
      <c r="L869" s="268" t="str">
        <f t="shared" si="179"/>
        <v>Simple</v>
      </c>
      <c r="M869" s="197">
        <v>7420.028235975522</v>
      </c>
      <c r="N869" s="197">
        <v>11130.042353963283</v>
      </c>
      <c r="O869" s="257">
        <f>IF(ISNA(MATCH(H869,'Operating leases'!$B$32:$B$43,0)),0,INDEX('Operating leases'!$M$32:$S$43,MATCH(H869,'Operating leases'!$B$32:$B$43,0),MATCH(J869,'Operating leases'!$M$11:$S$11,0)))</f>
        <v>0</v>
      </c>
      <c r="P869" s="257">
        <f t="shared" si="180"/>
        <v>7420.028235975522</v>
      </c>
      <c r="Q869" s="257">
        <f t="shared" si="181"/>
        <v>18550.070589938805</v>
      </c>
      <c r="R869" s="258">
        <f>INDEX('Escalators '!$M$124:$S$129,MATCH(I869,'Escalators '!$B$124:$B$129,0),MATCH(J869,'Escalators '!$M$113:$S$113,0))</f>
        <v>1.0553567720906862</v>
      </c>
      <c r="S869" s="257">
        <f t="shared" si="182"/>
        <v>0</v>
      </c>
      <c r="T869" s="257">
        <f t="shared" si="183"/>
        <v>11746.165571911313</v>
      </c>
      <c r="U869" s="269">
        <f t="shared" si="184"/>
        <v>7830.7770479408773</v>
      </c>
      <c r="V869" s="269">
        <f t="shared" si="185"/>
        <v>19576.942619852191</v>
      </c>
      <c r="W869" s="269">
        <f t="shared" si="186"/>
        <v>7830.7770479408773</v>
      </c>
      <c r="X869" s="257">
        <f t="shared" si="187"/>
        <v>19576.942619852191</v>
      </c>
      <c r="Y869" s="270">
        <f>IF(L869="Complex",(INDEX('Escalators '!$M$176:$S$176,MATCH('Forecast capex'!J869,'Escalators '!$M$178:$S$178,0))/12+1)^((K869-J869)*12)-1,0)</f>
        <v>0</v>
      </c>
      <c r="Z869" s="257">
        <f t="shared" si="188"/>
        <v>0</v>
      </c>
      <c r="AA869" s="257">
        <f t="shared" si="189"/>
        <v>0</v>
      </c>
      <c r="AB869" s="269">
        <f t="shared" si="190"/>
        <v>0</v>
      </c>
      <c r="AC869" s="269">
        <f t="shared" si="191"/>
        <v>0</v>
      </c>
      <c r="AD869" s="271" t="str">
        <f>INDEX('Global inputs'!$C$134:$C$171,MATCH(F869,'Global inputs'!$B$134:$B$171,0))</f>
        <v>Consumer connection</v>
      </c>
      <c r="AE869" s="272">
        <f>IF(OR(H869='Operating leases'!$B$32,H869='Operating leases'!$B$33),"",INDEX('Global inputs'!$C$186:$C$243,MATCH(E869,'Global inputs'!$B$186:$B$243,0)))</f>
        <v>0.08</v>
      </c>
    </row>
    <row r="870" spans="1:31" s="27" customFormat="1" x14ac:dyDescent="0.2">
      <c r="A870" s="250"/>
      <c r="B870" s="210" t="s">
        <v>714</v>
      </c>
      <c r="C870" s="210" t="s">
        <v>287</v>
      </c>
      <c r="D870" s="210" t="s">
        <v>715</v>
      </c>
      <c r="E870" s="210" t="s">
        <v>153</v>
      </c>
      <c r="F870" s="210" t="s">
        <v>94</v>
      </c>
      <c r="G870" s="210" t="s">
        <v>717</v>
      </c>
      <c r="H870" s="197">
        <v>0</v>
      </c>
      <c r="I870" s="210" t="s">
        <v>221</v>
      </c>
      <c r="J870" s="210">
        <v>2023</v>
      </c>
      <c r="K870" s="210">
        <v>2023</v>
      </c>
      <c r="L870" s="268" t="str">
        <f t="shared" si="179"/>
        <v>Simple</v>
      </c>
      <c r="M870" s="197">
        <v>7420.028235975522</v>
      </c>
      <c r="N870" s="197">
        <v>11130.042353963283</v>
      </c>
      <c r="O870" s="257">
        <f>IF(ISNA(MATCH(H870,'Operating leases'!$B$32:$B$43,0)),0,INDEX('Operating leases'!$M$32:$S$43,MATCH(H870,'Operating leases'!$B$32:$B$43,0),MATCH(J870,'Operating leases'!$M$11:$S$11,0)))</f>
        <v>0</v>
      </c>
      <c r="P870" s="257">
        <f t="shared" si="180"/>
        <v>7420.028235975522</v>
      </c>
      <c r="Q870" s="257">
        <f t="shared" si="181"/>
        <v>18550.070589938805</v>
      </c>
      <c r="R870" s="258">
        <f>INDEX('Escalators '!$M$124:$S$129,MATCH(I870,'Escalators '!$B$124:$B$129,0),MATCH(J870,'Escalators '!$M$113:$S$113,0))</f>
        <v>1.0486791854231625</v>
      </c>
      <c r="S870" s="257">
        <f t="shared" si="182"/>
        <v>0</v>
      </c>
      <c r="T870" s="257">
        <f t="shared" si="183"/>
        <v>11671.843749479514</v>
      </c>
      <c r="U870" s="269">
        <f t="shared" si="184"/>
        <v>7781.2291663196738</v>
      </c>
      <c r="V870" s="269">
        <f t="shared" si="185"/>
        <v>19453.072915799188</v>
      </c>
      <c r="W870" s="269">
        <f t="shared" si="186"/>
        <v>7781.2291663196738</v>
      </c>
      <c r="X870" s="257">
        <f t="shared" si="187"/>
        <v>19453.072915799188</v>
      </c>
      <c r="Y870" s="270">
        <f>IF(L870="Complex",(INDEX('Escalators '!$M$176:$S$176,MATCH('Forecast capex'!J870,'Escalators '!$M$178:$S$178,0))/12+1)^((K870-J870)*12)-1,0)</f>
        <v>0</v>
      </c>
      <c r="Z870" s="257">
        <f t="shared" si="188"/>
        <v>0</v>
      </c>
      <c r="AA870" s="257">
        <f t="shared" si="189"/>
        <v>0</v>
      </c>
      <c r="AB870" s="269">
        <f t="shared" si="190"/>
        <v>0</v>
      </c>
      <c r="AC870" s="269">
        <f t="shared" si="191"/>
        <v>0</v>
      </c>
      <c r="AD870" s="271" t="str">
        <f>INDEX('Global inputs'!$C$134:$C$171,MATCH(F870,'Global inputs'!$B$134:$B$171,0))</f>
        <v>Consumer connection</v>
      </c>
      <c r="AE870" s="272">
        <f>IF(OR(H870='Operating leases'!$B$32,H870='Operating leases'!$B$33),"",INDEX('Global inputs'!$C$186:$C$243,MATCH(E870,'Global inputs'!$B$186:$B$243,0)))</f>
        <v>0.08</v>
      </c>
    </row>
    <row r="871" spans="1:31" s="27" customFormat="1" x14ac:dyDescent="0.2">
      <c r="A871" s="250"/>
      <c r="B871" s="210" t="s">
        <v>714</v>
      </c>
      <c r="C871" s="210" t="s">
        <v>287</v>
      </c>
      <c r="D871" s="210" t="s">
        <v>715</v>
      </c>
      <c r="E871" s="210" t="s">
        <v>154</v>
      </c>
      <c r="F871" s="210" t="s">
        <v>94</v>
      </c>
      <c r="G871" s="210" t="s">
        <v>717</v>
      </c>
      <c r="H871" s="197">
        <v>0</v>
      </c>
      <c r="I871" s="210" t="s">
        <v>229</v>
      </c>
      <c r="J871" s="210">
        <v>2023</v>
      </c>
      <c r="K871" s="210">
        <v>2023</v>
      </c>
      <c r="L871" s="268" t="str">
        <f t="shared" si="179"/>
        <v>Simple</v>
      </c>
      <c r="M871" s="197">
        <v>7420.028235975522</v>
      </c>
      <c r="N871" s="197">
        <v>11130.042353963283</v>
      </c>
      <c r="O871" s="257">
        <f>IF(ISNA(MATCH(H871,'Operating leases'!$B$32:$B$43,0)),0,INDEX('Operating leases'!$M$32:$S$43,MATCH(H871,'Operating leases'!$B$32:$B$43,0),MATCH(J871,'Operating leases'!$M$11:$S$11,0)))</f>
        <v>0</v>
      </c>
      <c r="P871" s="257">
        <f t="shared" si="180"/>
        <v>7420.028235975522</v>
      </c>
      <c r="Q871" s="257">
        <f t="shared" si="181"/>
        <v>18550.070589938805</v>
      </c>
      <c r="R871" s="258">
        <f>INDEX('Escalators '!$M$124:$S$129,MATCH(I871,'Escalators '!$B$124:$B$129,0),MATCH(J871,'Escalators '!$M$113:$S$113,0))</f>
        <v>1.0553567720906862</v>
      </c>
      <c r="S871" s="257">
        <f t="shared" si="182"/>
        <v>0</v>
      </c>
      <c r="T871" s="257">
        <f t="shared" si="183"/>
        <v>11746.165571911313</v>
      </c>
      <c r="U871" s="269">
        <f t="shared" si="184"/>
        <v>7830.7770479408773</v>
      </c>
      <c r="V871" s="269">
        <f t="shared" si="185"/>
        <v>19576.942619852191</v>
      </c>
      <c r="W871" s="269">
        <f t="shared" si="186"/>
        <v>7830.7770479408773</v>
      </c>
      <c r="X871" s="257">
        <f t="shared" si="187"/>
        <v>19576.942619852191</v>
      </c>
      <c r="Y871" s="270">
        <f>IF(L871="Complex",(INDEX('Escalators '!$M$176:$S$176,MATCH('Forecast capex'!J871,'Escalators '!$M$178:$S$178,0))/12+1)^((K871-J871)*12)-1,0)</f>
        <v>0</v>
      </c>
      <c r="Z871" s="257">
        <f t="shared" si="188"/>
        <v>0</v>
      </c>
      <c r="AA871" s="257">
        <f t="shared" si="189"/>
        <v>0</v>
      </c>
      <c r="AB871" s="269">
        <f t="shared" si="190"/>
        <v>0</v>
      </c>
      <c r="AC871" s="269">
        <f t="shared" si="191"/>
        <v>0</v>
      </c>
      <c r="AD871" s="271" t="str">
        <f>INDEX('Global inputs'!$C$134:$C$171,MATCH(F871,'Global inputs'!$B$134:$B$171,0))</f>
        <v>Consumer connection</v>
      </c>
      <c r="AE871" s="272">
        <f>IF(OR(H871='Operating leases'!$B$32,H871='Operating leases'!$B$33),"",INDEX('Global inputs'!$C$186:$C$243,MATCH(E871,'Global inputs'!$B$186:$B$243,0)))</f>
        <v>0.1</v>
      </c>
    </row>
    <row r="872" spans="1:31" s="27" customFormat="1" x14ac:dyDescent="0.2">
      <c r="A872" s="250"/>
      <c r="B872" s="210" t="s">
        <v>714</v>
      </c>
      <c r="C872" s="210" t="s">
        <v>287</v>
      </c>
      <c r="D872" s="210" t="s">
        <v>715</v>
      </c>
      <c r="E872" s="210" t="s">
        <v>154</v>
      </c>
      <c r="F872" s="210" t="s">
        <v>94</v>
      </c>
      <c r="G872" s="210" t="s">
        <v>717</v>
      </c>
      <c r="H872" s="197">
        <v>0</v>
      </c>
      <c r="I872" s="210" t="s">
        <v>221</v>
      </c>
      <c r="J872" s="210">
        <v>2023</v>
      </c>
      <c r="K872" s="210">
        <v>2023</v>
      </c>
      <c r="L872" s="268" t="str">
        <f t="shared" si="179"/>
        <v>Simple</v>
      </c>
      <c r="M872" s="197">
        <v>7420.028235975522</v>
      </c>
      <c r="N872" s="197">
        <v>11130.042353963283</v>
      </c>
      <c r="O872" s="257">
        <f>IF(ISNA(MATCH(H872,'Operating leases'!$B$32:$B$43,0)),0,INDEX('Operating leases'!$M$32:$S$43,MATCH(H872,'Operating leases'!$B$32:$B$43,0),MATCH(J872,'Operating leases'!$M$11:$S$11,0)))</f>
        <v>0</v>
      </c>
      <c r="P872" s="257">
        <f t="shared" si="180"/>
        <v>7420.028235975522</v>
      </c>
      <c r="Q872" s="257">
        <f t="shared" si="181"/>
        <v>18550.070589938805</v>
      </c>
      <c r="R872" s="258">
        <f>INDEX('Escalators '!$M$124:$S$129,MATCH(I872,'Escalators '!$B$124:$B$129,0),MATCH(J872,'Escalators '!$M$113:$S$113,0))</f>
        <v>1.0486791854231625</v>
      </c>
      <c r="S872" s="257">
        <f t="shared" si="182"/>
        <v>0</v>
      </c>
      <c r="T872" s="257">
        <f t="shared" si="183"/>
        <v>11671.843749479514</v>
      </c>
      <c r="U872" s="269">
        <f t="shared" si="184"/>
        <v>7781.2291663196738</v>
      </c>
      <c r="V872" s="269">
        <f t="shared" si="185"/>
        <v>19453.072915799188</v>
      </c>
      <c r="W872" s="269">
        <f t="shared" si="186"/>
        <v>7781.2291663196738</v>
      </c>
      <c r="X872" s="257">
        <f t="shared" si="187"/>
        <v>19453.072915799188</v>
      </c>
      <c r="Y872" s="270">
        <f>IF(L872="Complex",(INDEX('Escalators '!$M$176:$S$176,MATCH('Forecast capex'!J872,'Escalators '!$M$178:$S$178,0))/12+1)^((K872-J872)*12)-1,0)</f>
        <v>0</v>
      </c>
      <c r="Z872" s="257">
        <f t="shared" si="188"/>
        <v>0</v>
      </c>
      <c r="AA872" s="257">
        <f t="shared" si="189"/>
        <v>0</v>
      </c>
      <c r="AB872" s="269">
        <f t="shared" si="190"/>
        <v>0</v>
      </c>
      <c r="AC872" s="269">
        <f t="shared" si="191"/>
        <v>0</v>
      </c>
      <c r="AD872" s="271" t="str">
        <f>INDEX('Global inputs'!$C$134:$C$171,MATCH(F872,'Global inputs'!$B$134:$B$171,0))</f>
        <v>Consumer connection</v>
      </c>
      <c r="AE872" s="272">
        <f>IF(OR(H872='Operating leases'!$B$32,H872='Operating leases'!$B$33),"",INDEX('Global inputs'!$C$186:$C$243,MATCH(E872,'Global inputs'!$B$186:$B$243,0)))</f>
        <v>0.1</v>
      </c>
    </row>
    <row r="873" spans="1:31" s="27" customFormat="1" x14ac:dyDescent="0.2">
      <c r="A873" s="250"/>
      <c r="B873" s="210" t="s">
        <v>714</v>
      </c>
      <c r="C873" s="210" t="s">
        <v>286</v>
      </c>
      <c r="D873" s="210" t="s">
        <v>732</v>
      </c>
      <c r="E873" s="210" t="s">
        <v>140</v>
      </c>
      <c r="F873" s="210" t="s">
        <v>94</v>
      </c>
      <c r="G873" s="210" t="s">
        <v>733</v>
      </c>
      <c r="H873" s="197">
        <v>0</v>
      </c>
      <c r="I873" s="210" t="s">
        <v>142</v>
      </c>
      <c r="J873" s="210">
        <v>2023</v>
      </c>
      <c r="K873" s="210">
        <v>2023</v>
      </c>
      <c r="L873" s="268" t="str">
        <f t="shared" si="179"/>
        <v>Simple</v>
      </c>
      <c r="M873" s="197">
        <v>12671.125141435123</v>
      </c>
      <c r="N873" s="197">
        <v>19006.687712152681</v>
      </c>
      <c r="O873" s="257">
        <f>IF(ISNA(MATCH(H873,'Operating leases'!$B$32:$B$43,0)),0,INDEX('Operating leases'!$M$32:$S$43,MATCH(H873,'Operating leases'!$B$32:$B$43,0),MATCH(J873,'Operating leases'!$M$11:$S$11,0)))</f>
        <v>0</v>
      </c>
      <c r="P873" s="257">
        <f t="shared" si="180"/>
        <v>12671.125141435123</v>
      </c>
      <c r="Q873" s="257">
        <f t="shared" si="181"/>
        <v>31677.812853587806</v>
      </c>
      <c r="R873" s="258">
        <f>INDEX('Escalators '!$M$124:$S$129,MATCH(I873,'Escalators '!$B$124:$B$129,0),MATCH(J873,'Escalators '!$M$113:$S$113,0))</f>
        <v>1.0483686625768949</v>
      </c>
      <c r="S873" s="257">
        <f t="shared" si="182"/>
        <v>0</v>
      </c>
      <c r="T873" s="257">
        <f t="shared" si="183"/>
        <v>19926.015776806209</v>
      </c>
      <c r="U873" s="269">
        <f t="shared" si="184"/>
        <v>13284.010517870807</v>
      </c>
      <c r="V873" s="269">
        <f t="shared" si="185"/>
        <v>33210.026294677016</v>
      </c>
      <c r="W873" s="269">
        <f t="shared" si="186"/>
        <v>13284.010517870807</v>
      </c>
      <c r="X873" s="257">
        <f t="shared" si="187"/>
        <v>33210.026294677016</v>
      </c>
      <c r="Y873" s="270">
        <f>IF(L873="Complex",(INDEX('Escalators '!$M$176:$S$176,MATCH('Forecast capex'!J873,'Escalators '!$M$178:$S$178,0))/12+1)^((K873-J873)*12)-1,0)</f>
        <v>0</v>
      </c>
      <c r="Z873" s="257">
        <f t="shared" si="188"/>
        <v>0</v>
      </c>
      <c r="AA873" s="257">
        <f t="shared" si="189"/>
        <v>0</v>
      </c>
      <c r="AB873" s="269">
        <f t="shared" si="190"/>
        <v>0</v>
      </c>
      <c r="AC873" s="269">
        <f t="shared" si="191"/>
        <v>0</v>
      </c>
      <c r="AD873" s="271" t="str">
        <f>INDEX('Global inputs'!$C$134:$C$171,MATCH(F873,'Global inputs'!$B$134:$B$171,0))</f>
        <v>Consumer connection</v>
      </c>
      <c r="AE873" s="272">
        <f>IF(OR(H873='Operating leases'!$B$32,H873='Operating leases'!$B$33),"",INDEX('Global inputs'!$C$186:$C$243,MATCH(E873,'Global inputs'!$B$186:$B$243,0)))</f>
        <v>0.08</v>
      </c>
    </row>
    <row r="874" spans="1:31" s="27" customFormat="1" x14ac:dyDescent="0.2">
      <c r="A874" s="250"/>
      <c r="B874" s="210" t="s">
        <v>714</v>
      </c>
      <c r="C874" s="210" t="s">
        <v>286</v>
      </c>
      <c r="D874" s="210" t="s">
        <v>732</v>
      </c>
      <c r="E874" s="210" t="s">
        <v>140</v>
      </c>
      <c r="F874" s="210" t="s">
        <v>94</v>
      </c>
      <c r="G874" s="210" t="s">
        <v>733</v>
      </c>
      <c r="H874" s="197">
        <v>0</v>
      </c>
      <c r="I874" s="210" t="s">
        <v>221</v>
      </c>
      <c r="J874" s="210">
        <v>2023</v>
      </c>
      <c r="K874" s="210">
        <v>2023</v>
      </c>
      <c r="L874" s="268" t="str">
        <f t="shared" si="179"/>
        <v>Simple</v>
      </c>
      <c r="M874" s="197">
        <v>8447.4167609567485</v>
      </c>
      <c r="N874" s="197">
        <v>12671.125141435123</v>
      </c>
      <c r="O874" s="257">
        <f>IF(ISNA(MATCH(H874,'Operating leases'!$B$32:$B$43,0)),0,INDEX('Operating leases'!$M$32:$S$43,MATCH(H874,'Operating leases'!$B$32:$B$43,0),MATCH(J874,'Operating leases'!$M$11:$S$11,0)))</f>
        <v>0</v>
      </c>
      <c r="P874" s="257">
        <f t="shared" si="180"/>
        <v>8447.4167609567485</v>
      </c>
      <c r="Q874" s="257">
        <f t="shared" si="181"/>
        <v>21118.541902391873</v>
      </c>
      <c r="R874" s="258">
        <f>INDEX('Escalators '!$M$124:$S$129,MATCH(I874,'Escalators '!$B$124:$B$129,0),MATCH(J874,'Escalators '!$M$113:$S$113,0))</f>
        <v>1.0486791854231625</v>
      </c>
      <c r="S874" s="257">
        <f t="shared" si="182"/>
        <v>0</v>
      </c>
      <c r="T874" s="257">
        <f t="shared" si="183"/>
        <v>13287.94519171514</v>
      </c>
      <c r="U874" s="269">
        <f t="shared" si="184"/>
        <v>8858.6301278100927</v>
      </c>
      <c r="V874" s="269">
        <f t="shared" si="185"/>
        <v>22146.575319525233</v>
      </c>
      <c r="W874" s="269">
        <f t="shared" si="186"/>
        <v>8858.6301278100927</v>
      </c>
      <c r="X874" s="257">
        <f t="shared" si="187"/>
        <v>22146.575319525233</v>
      </c>
      <c r="Y874" s="270">
        <f>IF(L874="Complex",(INDEX('Escalators '!$M$176:$S$176,MATCH('Forecast capex'!J874,'Escalators '!$M$178:$S$178,0))/12+1)^((K874-J874)*12)-1,0)</f>
        <v>0</v>
      </c>
      <c r="Z874" s="257">
        <f t="shared" si="188"/>
        <v>0</v>
      </c>
      <c r="AA874" s="257">
        <f t="shared" si="189"/>
        <v>0</v>
      </c>
      <c r="AB874" s="269">
        <f t="shared" si="190"/>
        <v>0</v>
      </c>
      <c r="AC874" s="269">
        <f t="shared" si="191"/>
        <v>0</v>
      </c>
      <c r="AD874" s="271" t="str">
        <f>INDEX('Global inputs'!$C$134:$C$171,MATCH(F874,'Global inputs'!$B$134:$B$171,0))</f>
        <v>Consumer connection</v>
      </c>
      <c r="AE874" s="272">
        <f>IF(OR(H874='Operating leases'!$B$32,H874='Operating leases'!$B$33),"",INDEX('Global inputs'!$C$186:$C$243,MATCH(E874,'Global inputs'!$B$186:$B$243,0)))</f>
        <v>0.08</v>
      </c>
    </row>
    <row r="875" spans="1:31" s="27" customFormat="1" x14ac:dyDescent="0.2">
      <c r="A875" s="250"/>
      <c r="B875" s="210" t="s">
        <v>714</v>
      </c>
      <c r="C875" s="210" t="s">
        <v>286</v>
      </c>
      <c r="D875" s="210" t="s">
        <v>732</v>
      </c>
      <c r="E875" s="210" t="s">
        <v>141</v>
      </c>
      <c r="F875" s="210" t="s">
        <v>94</v>
      </c>
      <c r="G875" s="210" t="s">
        <v>734</v>
      </c>
      <c r="H875" s="197">
        <v>0</v>
      </c>
      <c r="I875" s="210" t="s">
        <v>142</v>
      </c>
      <c r="J875" s="210">
        <v>2023</v>
      </c>
      <c r="K875" s="210">
        <v>2023</v>
      </c>
      <c r="L875" s="268" t="str">
        <f t="shared" si="179"/>
        <v>Simple</v>
      </c>
      <c r="M875" s="197">
        <v>26940.410210618818</v>
      </c>
      <c r="N875" s="197">
        <v>40410.615315928218</v>
      </c>
      <c r="O875" s="257">
        <f>IF(ISNA(MATCH(H875,'Operating leases'!$B$32:$B$43,0)),0,INDEX('Operating leases'!$M$32:$S$43,MATCH(H875,'Operating leases'!$B$32:$B$43,0),MATCH(J875,'Operating leases'!$M$11:$S$11,0)))</f>
        <v>0</v>
      </c>
      <c r="P875" s="257">
        <f t="shared" si="180"/>
        <v>26940.410210618818</v>
      </c>
      <c r="Q875" s="257">
        <f t="shared" si="181"/>
        <v>67351.025526547033</v>
      </c>
      <c r="R875" s="258">
        <f>INDEX('Escalators '!$M$124:$S$129,MATCH(I875,'Escalators '!$B$124:$B$129,0),MATCH(J875,'Escalators '!$M$113:$S$113,0))</f>
        <v>1.0483686625768949</v>
      </c>
      <c r="S875" s="257">
        <f t="shared" si="182"/>
        <v>0</v>
      </c>
      <c r="T875" s="257">
        <f t="shared" si="183"/>
        <v>42365.222732669048</v>
      </c>
      <c r="U875" s="269">
        <f t="shared" si="184"/>
        <v>28243.481821779365</v>
      </c>
      <c r="V875" s="269">
        <f t="shared" si="185"/>
        <v>70608.704554448414</v>
      </c>
      <c r="W875" s="269">
        <f t="shared" si="186"/>
        <v>28243.481821779365</v>
      </c>
      <c r="X875" s="257">
        <f t="shared" si="187"/>
        <v>70608.704554448414</v>
      </c>
      <c r="Y875" s="270">
        <f>IF(L875="Complex",(INDEX('Escalators '!$M$176:$S$176,MATCH('Forecast capex'!J875,'Escalators '!$M$178:$S$178,0))/12+1)^((K875-J875)*12)-1,0)</f>
        <v>0</v>
      </c>
      <c r="Z875" s="257">
        <f t="shared" si="188"/>
        <v>0</v>
      </c>
      <c r="AA875" s="257">
        <f t="shared" si="189"/>
        <v>0</v>
      </c>
      <c r="AB875" s="269">
        <f t="shared" si="190"/>
        <v>0</v>
      </c>
      <c r="AC875" s="269">
        <f t="shared" si="191"/>
        <v>0</v>
      </c>
      <c r="AD875" s="271" t="str">
        <f>INDEX('Global inputs'!$C$134:$C$171,MATCH(F875,'Global inputs'!$B$134:$B$171,0))</f>
        <v>Consumer connection</v>
      </c>
      <c r="AE875" s="272">
        <f>IF(OR(H875='Operating leases'!$B$32,H875='Operating leases'!$B$33),"",INDEX('Global inputs'!$C$186:$C$243,MATCH(E875,'Global inputs'!$B$186:$B$243,0)))</f>
        <v>0.08</v>
      </c>
    </row>
    <row r="876" spans="1:31" s="27" customFormat="1" x14ac:dyDescent="0.2">
      <c r="A876" s="250"/>
      <c r="B876" s="210" t="s">
        <v>714</v>
      </c>
      <c r="C876" s="210" t="s">
        <v>286</v>
      </c>
      <c r="D876" s="210" t="s">
        <v>732</v>
      </c>
      <c r="E876" s="210" t="s">
        <v>141</v>
      </c>
      <c r="F876" s="210" t="s">
        <v>94</v>
      </c>
      <c r="G876" s="210" t="s">
        <v>734</v>
      </c>
      <c r="H876" s="197">
        <v>0</v>
      </c>
      <c r="I876" s="210" t="s">
        <v>221</v>
      </c>
      <c r="J876" s="210">
        <v>2023</v>
      </c>
      <c r="K876" s="210">
        <v>2023</v>
      </c>
      <c r="L876" s="268" t="str">
        <f t="shared" si="179"/>
        <v>Simple</v>
      </c>
      <c r="M876" s="197">
        <v>6735.1025526547046</v>
      </c>
      <c r="N876" s="197">
        <v>10102.653828982055</v>
      </c>
      <c r="O876" s="257">
        <f>IF(ISNA(MATCH(H876,'Operating leases'!$B$32:$B$43,0)),0,INDEX('Operating leases'!$M$32:$S$43,MATCH(H876,'Operating leases'!$B$32:$B$43,0),MATCH(J876,'Operating leases'!$M$11:$S$11,0)))</f>
        <v>0</v>
      </c>
      <c r="P876" s="257">
        <f t="shared" si="180"/>
        <v>6735.1025526547046</v>
      </c>
      <c r="Q876" s="257">
        <f t="shared" si="181"/>
        <v>16837.756381636758</v>
      </c>
      <c r="R876" s="258">
        <f>INDEX('Escalators '!$M$124:$S$129,MATCH(I876,'Escalators '!$B$124:$B$129,0),MATCH(J876,'Escalators '!$M$113:$S$113,0))</f>
        <v>1.0486791854231625</v>
      </c>
      <c r="S876" s="257">
        <f t="shared" si="182"/>
        <v>0</v>
      </c>
      <c r="T876" s="257">
        <f t="shared" si="183"/>
        <v>10594.442787989095</v>
      </c>
      <c r="U876" s="269">
        <f t="shared" si="184"/>
        <v>7062.9618586593951</v>
      </c>
      <c r="V876" s="269">
        <f t="shared" si="185"/>
        <v>17657.404646648491</v>
      </c>
      <c r="W876" s="269">
        <f t="shared" si="186"/>
        <v>7062.9618586593951</v>
      </c>
      <c r="X876" s="257">
        <f t="shared" si="187"/>
        <v>17657.404646648491</v>
      </c>
      <c r="Y876" s="270">
        <f>IF(L876="Complex",(INDEX('Escalators '!$M$176:$S$176,MATCH('Forecast capex'!J876,'Escalators '!$M$178:$S$178,0))/12+1)^((K876-J876)*12)-1,0)</f>
        <v>0</v>
      </c>
      <c r="Z876" s="257">
        <f t="shared" si="188"/>
        <v>0</v>
      </c>
      <c r="AA876" s="257">
        <f t="shared" si="189"/>
        <v>0</v>
      </c>
      <c r="AB876" s="269">
        <f t="shared" si="190"/>
        <v>0</v>
      </c>
      <c r="AC876" s="269">
        <f t="shared" si="191"/>
        <v>0</v>
      </c>
      <c r="AD876" s="271" t="str">
        <f>INDEX('Global inputs'!$C$134:$C$171,MATCH(F876,'Global inputs'!$B$134:$B$171,0))</f>
        <v>Consumer connection</v>
      </c>
      <c r="AE876" s="272">
        <f>IF(OR(H876='Operating leases'!$B$32,H876='Operating leases'!$B$33),"",INDEX('Global inputs'!$C$186:$C$243,MATCH(E876,'Global inputs'!$B$186:$B$243,0)))</f>
        <v>0.08</v>
      </c>
    </row>
    <row r="877" spans="1:31" s="27" customFormat="1" x14ac:dyDescent="0.2">
      <c r="A877" s="250"/>
      <c r="B877" s="210" t="s">
        <v>714</v>
      </c>
      <c r="C877" s="210" t="s">
        <v>290</v>
      </c>
      <c r="D877" s="210" t="s">
        <v>718</v>
      </c>
      <c r="E877" s="210" t="s">
        <v>173</v>
      </c>
      <c r="F877" s="210" t="s">
        <v>94</v>
      </c>
      <c r="G877" s="210" t="s">
        <v>719</v>
      </c>
      <c r="H877" s="197">
        <v>0</v>
      </c>
      <c r="I877" s="210" t="s">
        <v>142</v>
      </c>
      <c r="J877" s="210">
        <v>2023</v>
      </c>
      <c r="K877" s="210">
        <v>2023</v>
      </c>
      <c r="L877" s="268" t="str">
        <f t="shared" si="179"/>
        <v>Simple</v>
      </c>
      <c r="M877" s="197">
        <v>160272.60989707129</v>
      </c>
      <c r="N877" s="197">
        <v>240408.91484560692</v>
      </c>
      <c r="O877" s="257">
        <f>IF(ISNA(MATCH(H877,'Operating leases'!$B$32:$B$43,0)),0,INDEX('Operating leases'!$M$32:$S$43,MATCH(H877,'Operating leases'!$B$32:$B$43,0),MATCH(J877,'Operating leases'!$M$11:$S$11,0)))</f>
        <v>0</v>
      </c>
      <c r="P877" s="257">
        <f t="shared" si="180"/>
        <v>160272.60989707129</v>
      </c>
      <c r="Q877" s="257">
        <f t="shared" si="181"/>
        <v>400681.52474267822</v>
      </c>
      <c r="R877" s="258">
        <f>INDEX('Escalators '!$M$124:$S$129,MATCH(I877,'Escalators '!$B$124:$B$129,0),MATCH(J877,'Escalators '!$M$113:$S$113,0))</f>
        <v>1.0483686625768949</v>
      </c>
      <c r="S877" s="257">
        <f t="shared" si="182"/>
        <v>0</v>
      </c>
      <c r="T877" s="257">
        <f t="shared" si="183"/>
        <v>252037.17252825154</v>
      </c>
      <c r="U877" s="269">
        <f t="shared" si="184"/>
        <v>168024.78168550105</v>
      </c>
      <c r="V877" s="269">
        <f t="shared" si="185"/>
        <v>420061.95421375259</v>
      </c>
      <c r="W877" s="269">
        <f t="shared" si="186"/>
        <v>168024.78168550105</v>
      </c>
      <c r="X877" s="257">
        <f t="shared" si="187"/>
        <v>420061.95421375259</v>
      </c>
      <c r="Y877" s="270">
        <f>IF(L877="Complex",(INDEX('Escalators '!$M$176:$S$176,MATCH('Forecast capex'!J877,'Escalators '!$M$178:$S$178,0))/12+1)^((K877-J877)*12)-1,0)</f>
        <v>0</v>
      </c>
      <c r="Z877" s="257">
        <f t="shared" si="188"/>
        <v>0</v>
      </c>
      <c r="AA877" s="257">
        <f t="shared" si="189"/>
        <v>0</v>
      </c>
      <c r="AB877" s="269">
        <f t="shared" si="190"/>
        <v>0</v>
      </c>
      <c r="AC877" s="269">
        <f t="shared" si="191"/>
        <v>0</v>
      </c>
      <c r="AD877" s="271" t="str">
        <f>INDEX('Global inputs'!$C$134:$C$171,MATCH(F877,'Global inputs'!$B$134:$B$171,0))</f>
        <v>Consumer connection</v>
      </c>
      <c r="AE877" s="272">
        <f>IF(OR(H877='Operating leases'!$B$32,H877='Operating leases'!$B$33),"",INDEX('Global inputs'!$C$186:$C$243,MATCH(E877,'Global inputs'!$B$186:$B$243,0)))</f>
        <v>0.08</v>
      </c>
    </row>
    <row r="878" spans="1:31" s="27" customFormat="1" x14ac:dyDescent="0.2">
      <c r="A878" s="250"/>
      <c r="B878" s="210" t="s">
        <v>714</v>
      </c>
      <c r="C878" s="210" t="s">
        <v>290</v>
      </c>
      <c r="D878" s="210" t="s">
        <v>718</v>
      </c>
      <c r="E878" s="210" t="s">
        <v>173</v>
      </c>
      <c r="F878" s="210" t="s">
        <v>94</v>
      </c>
      <c r="G878" s="210" t="s">
        <v>719</v>
      </c>
      <c r="H878" s="197">
        <v>0</v>
      </c>
      <c r="I878" s="210" t="s">
        <v>221</v>
      </c>
      <c r="J878" s="210">
        <v>2023</v>
      </c>
      <c r="K878" s="210">
        <v>2023</v>
      </c>
      <c r="L878" s="268" t="str">
        <f t="shared" si="179"/>
        <v>Simple</v>
      </c>
      <c r="M878" s="197">
        <v>40068.152474267823</v>
      </c>
      <c r="N878" s="197">
        <v>60102.228711401731</v>
      </c>
      <c r="O878" s="257">
        <f>IF(ISNA(MATCH(H878,'Operating leases'!$B$32:$B$43,0)),0,INDEX('Operating leases'!$M$32:$S$43,MATCH(H878,'Operating leases'!$B$32:$B$43,0),MATCH(J878,'Operating leases'!$M$11:$S$11,0)))</f>
        <v>0</v>
      </c>
      <c r="P878" s="257">
        <f t="shared" si="180"/>
        <v>40068.152474267823</v>
      </c>
      <c r="Q878" s="257">
        <f t="shared" si="181"/>
        <v>100170.38118566955</v>
      </c>
      <c r="R878" s="258">
        <f>INDEX('Escalators '!$M$124:$S$129,MATCH(I878,'Escalators '!$B$124:$B$129,0),MATCH(J878,'Escalators '!$M$113:$S$113,0))</f>
        <v>1.0486791854231625</v>
      </c>
      <c r="S878" s="257">
        <f t="shared" si="182"/>
        <v>0</v>
      </c>
      <c r="T878" s="257">
        <f t="shared" si="183"/>
        <v>63027.956247189381</v>
      </c>
      <c r="U878" s="269">
        <f t="shared" si="184"/>
        <v>42018.637498126256</v>
      </c>
      <c r="V878" s="269">
        <f t="shared" si="185"/>
        <v>105046.59374531564</v>
      </c>
      <c r="W878" s="269">
        <f t="shared" si="186"/>
        <v>42018.637498126256</v>
      </c>
      <c r="X878" s="257">
        <f t="shared" si="187"/>
        <v>105046.59374531564</v>
      </c>
      <c r="Y878" s="270">
        <f>IF(L878="Complex",(INDEX('Escalators '!$M$176:$S$176,MATCH('Forecast capex'!J878,'Escalators '!$M$178:$S$178,0))/12+1)^((K878-J878)*12)-1,0)</f>
        <v>0</v>
      </c>
      <c r="Z878" s="257">
        <f t="shared" si="188"/>
        <v>0</v>
      </c>
      <c r="AA878" s="257">
        <f t="shared" si="189"/>
        <v>0</v>
      </c>
      <c r="AB878" s="269">
        <f t="shared" si="190"/>
        <v>0</v>
      </c>
      <c r="AC878" s="269">
        <f t="shared" si="191"/>
        <v>0</v>
      </c>
      <c r="AD878" s="271" t="str">
        <f>INDEX('Global inputs'!$C$134:$C$171,MATCH(F878,'Global inputs'!$B$134:$B$171,0))</f>
        <v>Consumer connection</v>
      </c>
      <c r="AE878" s="272">
        <f>IF(OR(H878='Operating leases'!$B$32,H878='Operating leases'!$B$33),"",INDEX('Global inputs'!$C$186:$C$243,MATCH(E878,'Global inputs'!$B$186:$B$243,0)))</f>
        <v>0.08</v>
      </c>
    </row>
    <row r="879" spans="1:31" s="27" customFormat="1" x14ac:dyDescent="0.2">
      <c r="A879" s="250"/>
      <c r="B879" s="210" t="s">
        <v>714</v>
      </c>
      <c r="C879" s="210" t="s">
        <v>290</v>
      </c>
      <c r="D879" s="210" t="s">
        <v>718</v>
      </c>
      <c r="E879" s="210" t="s">
        <v>168</v>
      </c>
      <c r="F879" s="210" t="s">
        <v>94</v>
      </c>
      <c r="G879" s="210" t="s">
        <v>720</v>
      </c>
      <c r="H879" s="197">
        <v>0</v>
      </c>
      <c r="I879" s="210" t="s">
        <v>229</v>
      </c>
      <c r="J879" s="210">
        <v>2023</v>
      </c>
      <c r="K879" s="210">
        <v>2023</v>
      </c>
      <c r="L879" s="268" t="str">
        <f t="shared" si="179"/>
        <v>Simple</v>
      </c>
      <c r="M879" s="197">
        <v>47488.180710243345</v>
      </c>
      <c r="N879" s="197">
        <v>71232.271065364999</v>
      </c>
      <c r="O879" s="257">
        <f>IF(ISNA(MATCH(H879,'Operating leases'!$B$32:$B$43,0)),0,INDEX('Operating leases'!$M$32:$S$43,MATCH(H879,'Operating leases'!$B$32:$B$43,0),MATCH(J879,'Operating leases'!$M$11:$S$11,0)))</f>
        <v>0</v>
      </c>
      <c r="P879" s="257">
        <f t="shared" si="180"/>
        <v>47488.180710243345</v>
      </c>
      <c r="Q879" s="257">
        <f t="shared" si="181"/>
        <v>118720.45177560835</v>
      </c>
      <c r="R879" s="258">
        <f>INDEX('Escalators '!$M$124:$S$129,MATCH(I879,'Escalators '!$B$124:$B$129,0),MATCH(J879,'Escalators '!$M$113:$S$113,0))</f>
        <v>1.0553567720906862</v>
      </c>
      <c r="S879" s="257">
        <f t="shared" si="182"/>
        <v>0</v>
      </c>
      <c r="T879" s="257">
        <f t="shared" si="183"/>
        <v>75175.459660232387</v>
      </c>
      <c r="U879" s="269">
        <f t="shared" si="184"/>
        <v>50116.973106821621</v>
      </c>
      <c r="V879" s="269">
        <f t="shared" si="185"/>
        <v>125292.43276705401</v>
      </c>
      <c r="W879" s="269">
        <f t="shared" si="186"/>
        <v>50116.973106821621</v>
      </c>
      <c r="X879" s="257">
        <f t="shared" si="187"/>
        <v>125292.43276705401</v>
      </c>
      <c r="Y879" s="270">
        <f>IF(L879="Complex",(INDEX('Escalators '!$M$176:$S$176,MATCH('Forecast capex'!J879,'Escalators '!$M$178:$S$178,0))/12+1)^((K879-J879)*12)-1,0)</f>
        <v>0</v>
      </c>
      <c r="Z879" s="257">
        <f t="shared" si="188"/>
        <v>0</v>
      </c>
      <c r="AA879" s="257">
        <f t="shared" si="189"/>
        <v>0</v>
      </c>
      <c r="AB879" s="269">
        <f t="shared" si="190"/>
        <v>0</v>
      </c>
      <c r="AC879" s="269">
        <f t="shared" si="191"/>
        <v>0</v>
      </c>
      <c r="AD879" s="271" t="str">
        <f>INDEX('Global inputs'!$C$134:$C$171,MATCH(F879,'Global inputs'!$B$134:$B$171,0))</f>
        <v>Consumer connection</v>
      </c>
      <c r="AE879" s="272">
        <f>IF(OR(H879='Operating leases'!$B$32,H879='Operating leases'!$B$33),"",INDEX('Global inputs'!$C$186:$C$243,MATCH(E879,'Global inputs'!$B$186:$B$243,0)))</f>
        <v>0.08</v>
      </c>
    </row>
    <row r="880" spans="1:31" s="27" customFormat="1" x14ac:dyDescent="0.2">
      <c r="A880" s="250"/>
      <c r="B880" s="210" t="s">
        <v>714</v>
      </c>
      <c r="C880" s="210" t="s">
        <v>290</v>
      </c>
      <c r="D880" s="210" t="s">
        <v>718</v>
      </c>
      <c r="E880" s="210" t="s">
        <v>168</v>
      </c>
      <c r="F880" s="210" t="s">
        <v>94</v>
      </c>
      <c r="G880" s="210" t="s">
        <v>720</v>
      </c>
      <c r="H880" s="197">
        <v>0</v>
      </c>
      <c r="I880" s="210" t="s">
        <v>221</v>
      </c>
      <c r="J880" s="210">
        <v>2023</v>
      </c>
      <c r="K880" s="210">
        <v>2023</v>
      </c>
      <c r="L880" s="268" t="str">
        <f t="shared" si="179"/>
        <v>Simple</v>
      </c>
      <c r="M880" s="197">
        <v>11872.045177560836</v>
      </c>
      <c r="N880" s="197">
        <v>17808.06776634125</v>
      </c>
      <c r="O880" s="257">
        <f>IF(ISNA(MATCH(H880,'Operating leases'!$B$32:$B$43,0)),0,INDEX('Operating leases'!$M$32:$S$43,MATCH(H880,'Operating leases'!$B$32:$B$43,0),MATCH(J880,'Operating leases'!$M$11:$S$11,0)))</f>
        <v>0</v>
      </c>
      <c r="P880" s="257">
        <f t="shared" si="180"/>
        <v>11872.045177560836</v>
      </c>
      <c r="Q880" s="257">
        <f t="shared" si="181"/>
        <v>29680.112943902088</v>
      </c>
      <c r="R880" s="258">
        <f>INDEX('Escalators '!$M$124:$S$129,MATCH(I880,'Escalators '!$B$124:$B$129,0),MATCH(J880,'Escalators '!$M$113:$S$113,0))</f>
        <v>1.0486791854231625</v>
      </c>
      <c r="S880" s="257">
        <f t="shared" si="182"/>
        <v>0</v>
      </c>
      <c r="T880" s="257">
        <f t="shared" si="183"/>
        <v>18674.94999916722</v>
      </c>
      <c r="U880" s="269">
        <f t="shared" si="184"/>
        <v>12449.966666111482</v>
      </c>
      <c r="V880" s="269">
        <f t="shared" si="185"/>
        <v>31124.916665278703</v>
      </c>
      <c r="W880" s="269">
        <f t="shared" si="186"/>
        <v>12449.966666111482</v>
      </c>
      <c r="X880" s="257">
        <f t="shared" si="187"/>
        <v>31124.916665278703</v>
      </c>
      <c r="Y880" s="270">
        <f>IF(L880="Complex",(INDEX('Escalators '!$M$176:$S$176,MATCH('Forecast capex'!J880,'Escalators '!$M$178:$S$178,0))/12+1)^((K880-J880)*12)-1,0)</f>
        <v>0</v>
      </c>
      <c r="Z880" s="257">
        <f t="shared" si="188"/>
        <v>0</v>
      </c>
      <c r="AA880" s="257">
        <f t="shared" si="189"/>
        <v>0</v>
      </c>
      <c r="AB880" s="269">
        <f t="shared" si="190"/>
        <v>0</v>
      </c>
      <c r="AC880" s="269">
        <f t="shared" si="191"/>
        <v>0</v>
      </c>
      <c r="AD880" s="271" t="str">
        <f>INDEX('Global inputs'!$C$134:$C$171,MATCH(F880,'Global inputs'!$B$134:$B$171,0))</f>
        <v>Consumer connection</v>
      </c>
      <c r="AE880" s="272">
        <f>IF(OR(H880='Operating leases'!$B$32,H880='Operating leases'!$B$33),"",INDEX('Global inputs'!$C$186:$C$243,MATCH(E880,'Global inputs'!$B$186:$B$243,0)))</f>
        <v>0.08</v>
      </c>
    </row>
    <row r="881" spans="1:31" s="27" customFormat="1" x14ac:dyDescent="0.2">
      <c r="A881" s="250"/>
      <c r="B881" s="210" t="s">
        <v>714</v>
      </c>
      <c r="C881" s="210" t="s">
        <v>290</v>
      </c>
      <c r="D881" s="210" t="s">
        <v>718</v>
      </c>
      <c r="E881" s="210" t="s">
        <v>170</v>
      </c>
      <c r="F881" s="210" t="s">
        <v>94</v>
      </c>
      <c r="G881" s="210" t="s">
        <v>721</v>
      </c>
      <c r="H881" s="197">
        <v>0</v>
      </c>
      <c r="I881" s="210" t="s">
        <v>229</v>
      </c>
      <c r="J881" s="210">
        <v>2023</v>
      </c>
      <c r="K881" s="210">
        <v>2023</v>
      </c>
      <c r="L881" s="268" t="str">
        <f t="shared" si="179"/>
        <v>Simple</v>
      </c>
      <c r="M881" s="197">
        <v>79051.839283277659</v>
      </c>
      <c r="N881" s="197">
        <v>118577.7589249165</v>
      </c>
      <c r="O881" s="257">
        <f>IF(ISNA(MATCH(H881,'Operating leases'!$B$32:$B$43,0)),0,INDEX('Operating leases'!$M$32:$S$43,MATCH(H881,'Operating leases'!$B$32:$B$43,0),MATCH(J881,'Operating leases'!$M$11:$S$11,0)))</f>
        <v>0</v>
      </c>
      <c r="P881" s="257">
        <f t="shared" si="180"/>
        <v>79051.839283277659</v>
      </c>
      <c r="Q881" s="257">
        <f t="shared" si="181"/>
        <v>197629.59820819416</v>
      </c>
      <c r="R881" s="258">
        <f>INDEX('Escalators '!$M$124:$S$129,MATCH(I881,'Escalators '!$B$124:$B$129,0),MATCH(J881,'Escalators '!$M$113:$S$113,0))</f>
        <v>1.0553567720906862</v>
      </c>
      <c r="S881" s="257">
        <f t="shared" si="182"/>
        <v>0</v>
      </c>
      <c r="T881" s="257">
        <f t="shared" si="183"/>
        <v>125141.84090074744</v>
      </c>
      <c r="U881" s="269">
        <f t="shared" si="184"/>
        <v>83427.893933831612</v>
      </c>
      <c r="V881" s="269">
        <f t="shared" si="185"/>
        <v>208569.73483457905</v>
      </c>
      <c r="W881" s="269">
        <f t="shared" si="186"/>
        <v>83427.893933831612</v>
      </c>
      <c r="X881" s="257">
        <f t="shared" si="187"/>
        <v>208569.73483457905</v>
      </c>
      <c r="Y881" s="270">
        <f>IF(L881="Complex",(INDEX('Escalators '!$M$176:$S$176,MATCH('Forecast capex'!J881,'Escalators '!$M$178:$S$178,0))/12+1)^((K881-J881)*12)-1,0)</f>
        <v>0</v>
      </c>
      <c r="Z881" s="257">
        <f t="shared" si="188"/>
        <v>0</v>
      </c>
      <c r="AA881" s="257">
        <f t="shared" si="189"/>
        <v>0</v>
      </c>
      <c r="AB881" s="269">
        <f t="shared" si="190"/>
        <v>0</v>
      </c>
      <c r="AC881" s="269">
        <f t="shared" si="191"/>
        <v>0</v>
      </c>
      <c r="AD881" s="271" t="str">
        <f>INDEX('Global inputs'!$C$134:$C$171,MATCH(F881,'Global inputs'!$B$134:$B$171,0))</f>
        <v>Consumer connection</v>
      </c>
      <c r="AE881" s="272">
        <f>IF(OR(H881='Operating leases'!$B$32,H881='Operating leases'!$B$33),"",INDEX('Global inputs'!$C$186:$C$243,MATCH(E881,'Global inputs'!$B$186:$B$243,0)))</f>
        <v>0.08</v>
      </c>
    </row>
    <row r="882" spans="1:31" s="27" customFormat="1" x14ac:dyDescent="0.2">
      <c r="A882" s="250"/>
      <c r="B882" s="210" t="s">
        <v>714</v>
      </c>
      <c r="C882" s="210" t="s">
        <v>290</v>
      </c>
      <c r="D882" s="210" t="s">
        <v>718</v>
      </c>
      <c r="E882" s="210" t="s">
        <v>170</v>
      </c>
      <c r="F882" s="210" t="s">
        <v>94</v>
      </c>
      <c r="G882" s="210" t="s">
        <v>721</v>
      </c>
      <c r="H882" s="197">
        <v>0</v>
      </c>
      <c r="I882" s="210" t="s">
        <v>221</v>
      </c>
      <c r="J882" s="210">
        <v>2023</v>
      </c>
      <c r="K882" s="210">
        <v>2023</v>
      </c>
      <c r="L882" s="268" t="str">
        <f t="shared" si="179"/>
        <v>Simple</v>
      </c>
      <c r="M882" s="197">
        <v>79051.839283277659</v>
      </c>
      <c r="N882" s="197">
        <v>118577.7589249165</v>
      </c>
      <c r="O882" s="257">
        <f>IF(ISNA(MATCH(H882,'Operating leases'!$B$32:$B$43,0)),0,INDEX('Operating leases'!$M$32:$S$43,MATCH(H882,'Operating leases'!$B$32:$B$43,0),MATCH(J882,'Operating leases'!$M$11:$S$11,0)))</f>
        <v>0</v>
      </c>
      <c r="P882" s="257">
        <f t="shared" si="180"/>
        <v>79051.839283277659</v>
      </c>
      <c r="Q882" s="257">
        <f t="shared" si="181"/>
        <v>197629.59820819416</v>
      </c>
      <c r="R882" s="258">
        <f>INDEX('Escalators '!$M$124:$S$129,MATCH(I882,'Escalators '!$B$124:$B$129,0),MATCH(J882,'Escalators '!$M$113:$S$113,0))</f>
        <v>1.0486791854231625</v>
      </c>
      <c r="S882" s="257">
        <f t="shared" si="182"/>
        <v>0</v>
      </c>
      <c r="T882" s="257">
        <f t="shared" si="183"/>
        <v>124350.02763868558</v>
      </c>
      <c r="U882" s="269">
        <f t="shared" si="184"/>
        <v>82900.018425790375</v>
      </c>
      <c r="V882" s="269">
        <f t="shared" si="185"/>
        <v>207250.04606447596</v>
      </c>
      <c r="W882" s="269">
        <f t="shared" si="186"/>
        <v>82900.018425790375</v>
      </c>
      <c r="X882" s="257">
        <f t="shared" si="187"/>
        <v>207250.04606447596</v>
      </c>
      <c r="Y882" s="270">
        <f>IF(L882="Complex",(INDEX('Escalators '!$M$176:$S$176,MATCH('Forecast capex'!J882,'Escalators '!$M$178:$S$178,0))/12+1)^((K882-J882)*12)-1,0)</f>
        <v>0</v>
      </c>
      <c r="Z882" s="257">
        <f t="shared" si="188"/>
        <v>0</v>
      </c>
      <c r="AA882" s="257">
        <f t="shared" si="189"/>
        <v>0</v>
      </c>
      <c r="AB882" s="269">
        <f t="shared" si="190"/>
        <v>0</v>
      </c>
      <c r="AC882" s="269">
        <f t="shared" si="191"/>
        <v>0</v>
      </c>
      <c r="AD882" s="271" t="str">
        <f>INDEX('Global inputs'!$C$134:$C$171,MATCH(F882,'Global inputs'!$B$134:$B$171,0))</f>
        <v>Consumer connection</v>
      </c>
      <c r="AE882" s="272">
        <f>IF(OR(H882='Operating leases'!$B$32,H882='Operating leases'!$B$33),"",INDEX('Global inputs'!$C$186:$C$243,MATCH(E882,'Global inputs'!$B$186:$B$243,0)))</f>
        <v>0.08</v>
      </c>
    </row>
    <row r="883" spans="1:31" s="27" customFormat="1" x14ac:dyDescent="0.2">
      <c r="A883" s="250"/>
      <c r="B883" s="210" t="s">
        <v>714</v>
      </c>
      <c r="C883" s="210" t="s">
        <v>288</v>
      </c>
      <c r="D883" s="210" t="s">
        <v>718</v>
      </c>
      <c r="E883" s="210" t="s">
        <v>160</v>
      </c>
      <c r="F883" s="210" t="s">
        <v>94</v>
      </c>
      <c r="G883" s="210" t="s">
        <v>722</v>
      </c>
      <c r="H883" s="197">
        <v>0</v>
      </c>
      <c r="I883" s="210" t="s">
        <v>229</v>
      </c>
      <c r="J883" s="210">
        <v>2023</v>
      </c>
      <c r="K883" s="210">
        <v>2023</v>
      </c>
      <c r="L883" s="268" t="str">
        <f t="shared" si="179"/>
        <v>Simple</v>
      </c>
      <c r="M883" s="197">
        <v>67921.796929314383</v>
      </c>
      <c r="N883" s="197">
        <v>101882.69539397159</v>
      </c>
      <c r="O883" s="257">
        <f>IF(ISNA(MATCH(H883,'Operating leases'!$B$32:$B$43,0)),0,INDEX('Operating leases'!$M$32:$S$43,MATCH(H883,'Operating leases'!$B$32:$B$43,0),MATCH(J883,'Operating leases'!$M$11:$S$11,0)))</f>
        <v>0</v>
      </c>
      <c r="P883" s="257">
        <f t="shared" si="180"/>
        <v>67921.796929314383</v>
      </c>
      <c r="Q883" s="257">
        <f t="shared" si="181"/>
        <v>169804.49232328596</v>
      </c>
      <c r="R883" s="258">
        <f>INDEX('Escalators '!$M$124:$S$129,MATCH(I883,'Escalators '!$B$124:$B$129,0),MATCH(J883,'Escalators '!$M$113:$S$113,0))</f>
        <v>1.0553567720906862</v>
      </c>
      <c r="S883" s="257">
        <f t="shared" si="182"/>
        <v>0</v>
      </c>
      <c r="T883" s="257">
        <f t="shared" si="183"/>
        <v>107522.59254288048</v>
      </c>
      <c r="U883" s="269">
        <f t="shared" si="184"/>
        <v>71681.728361920308</v>
      </c>
      <c r="V883" s="269">
        <f t="shared" si="185"/>
        <v>179204.32090480078</v>
      </c>
      <c r="W883" s="269">
        <f t="shared" si="186"/>
        <v>71681.728361920308</v>
      </c>
      <c r="X883" s="257">
        <f t="shared" si="187"/>
        <v>179204.32090480078</v>
      </c>
      <c r="Y883" s="270">
        <f>IF(L883="Complex",(INDEX('Escalators '!$M$176:$S$176,MATCH('Forecast capex'!J883,'Escalators '!$M$178:$S$178,0))/12+1)^((K883-J883)*12)-1,0)</f>
        <v>0</v>
      </c>
      <c r="Z883" s="257">
        <f t="shared" si="188"/>
        <v>0</v>
      </c>
      <c r="AA883" s="257">
        <f t="shared" si="189"/>
        <v>0</v>
      </c>
      <c r="AB883" s="269">
        <f t="shared" si="190"/>
        <v>0</v>
      </c>
      <c r="AC883" s="269">
        <f t="shared" si="191"/>
        <v>0</v>
      </c>
      <c r="AD883" s="271" t="str">
        <f>INDEX('Global inputs'!$C$134:$C$171,MATCH(F883,'Global inputs'!$B$134:$B$171,0))</f>
        <v>Consumer connection</v>
      </c>
      <c r="AE883" s="272">
        <f>IF(OR(H883='Operating leases'!$B$32,H883='Operating leases'!$B$33),"",INDEX('Global inputs'!$C$186:$C$243,MATCH(E883,'Global inputs'!$B$186:$B$243,0)))</f>
        <v>0.08</v>
      </c>
    </row>
    <row r="884" spans="1:31" s="27" customFormat="1" x14ac:dyDescent="0.2">
      <c r="A884" s="250"/>
      <c r="B884" s="210" t="s">
        <v>714</v>
      </c>
      <c r="C884" s="210" t="s">
        <v>288</v>
      </c>
      <c r="D884" s="210" t="s">
        <v>718</v>
      </c>
      <c r="E884" s="210" t="s">
        <v>160</v>
      </c>
      <c r="F884" s="210" t="s">
        <v>94</v>
      </c>
      <c r="G884" s="210" t="s">
        <v>722</v>
      </c>
      <c r="H884" s="197">
        <v>0</v>
      </c>
      <c r="I884" s="210" t="s">
        <v>221</v>
      </c>
      <c r="J884" s="210">
        <v>2023</v>
      </c>
      <c r="K884" s="210">
        <v>2023</v>
      </c>
      <c r="L884" s="268" t="str">
        <f t="shared" si="179"/>
        <v>Simple</v>
      </c>
      <c r="M884" s="197">
        <v>67921.796929314383</v>
      </c>
      <c r="N884" s="197">
        <v>101882.69539397159</v>
      </c>
      <c r="O884" s="257">
        <f>IF(ISNA(MATCH(H884,'Operating leases'!$B$32:$B$43,0)),0,INDEX('Operating leases'!$M$32:$S$43,MATCH(H884,'Operating leases'!$B$32:$B$43,0),MATCH(J884,'Operating leases'!$M$11:$S$11,0)))</f>
        <v>0</v>
      </c>
      <c r="P884" s="257">
        <f t="shared" si="180"/>
        <v>67921.796929314383</v>
      </c>
      <c r="Q884" s="257">
        <f t="shared" si="181"/>
        <v>169804.49232328596</v>
      </c>
      <c r="R884" s="258">
        <f>INDEX('Escalators '!$M$124:$S$129,MATCH(I884,'Escalators '!$B$124:$B$129,0),MATCH(J884,'Escalators '!$M$113:$S$113,0))</f>
        <v>1.0486791854231625</v>
      </c>
      <c r="S884" s="257">
        <f t="shared" si="182"/>
        <v>0</v>
      </c>
      <c r="T884" s="257">
        <f t="shared" si="183"/>
        <v>106842.26201446632</v>
      </c>
      <c r="U884" s="269">
        <f t="shared" si="184"/>
        <v>71228.174676310839</v>
      </c>
      <c r="V884" s="269">
        <f t="shared" si="185"/>
        <v>178070.43669077716</v>
      </c>
      <c r="W884" s="269">
        <f t="shared" si="186"/>
        <v>71228.174676310839</v>
      </c>
      <c r="X884" s="257">
        <f t="shared" si="187"/>
        <v>178070.43669077716</v>
      </c>
      <c r="Y884" s="270">
        <f>IF(L884="Complex",(INDEX('Escalators '!$M$176:$S$176,MATCH('Forecast capex'!J884,'Escalators '!$M$178:$S$178,0))/12+1)^((K884-J884)*12)-1,0)</f>
        <v>0</v>
      </c>
      <c r="Z884" s="257">
        <f t="shared" si="188"/>
        <v>0</v>
      </c>
      <c r="AA884" s="257">
        <f t="shared" si="189"/>
        <v>0</v>
      </c>
      <c r="AB884" s="269">
        <f t="shared" si="190"/>
        <v>0</v>
      </c>
      <c r="AC884" s="269">
        <f t="shared" si="191"/>
        <v>0</v>
      </c>
      <c r="AD884" s="271" t="str">
        <f>INDEX('Global inputs'!$C$134:$C$171,MATCH(F884,'Global inputs'!$B$134:$B$171,0))</f>
        <v>Consumer connection</v>
      </c>
      <c r="AE884" s="272">
        <f>IF(OR(H884='Operating leases'!$B$32,H884='Operating leases'!$B$33),"",INDEX('Global inputs'!$C$186:$C$243,MATCH(E884,'Global inputs'!$B$186:$B$243,0)))</f>
        <v>0.08</v>
      </c>
    </row>
    <row r="885" spans="1:31" s="27" customFormat="1" x14ac:dyDescent="0.2">
      <c r="A885" s="250"/>
      <c r="B885" s="210" t="s">
        <v>714</v>
      </c>
      <c r="C885" s="210" t="s">
        <v>289</v>
      </c>
      <c r="D885" s="210" t="s">
        <v>723</v>
      </c>
      <c r="E885" s="210" t="s">
        <v>164</v>
      </c>
      <c r="F885" s="210" t="s">
        <v>94</v>
      </c>
      <c r="G885" s="210" t="s">
        <v>724</v>
      </c>
      <c r="H885" s="197">
        <v>0</v>
      </c>
      <c r="I885" s="210" t="s">
        <v>139</v>
      </c>
      <c r="J885" s="210">
        <v>2023</v>
      </c>
      <c r="K885" s="210">
        <v>2023</v>
      </c>
      <c r="L885" s="268" t="str">
        <f t="shared" si="179"/>
        <v>Simple</v>
      </c>
      <c r="M885" s="197">
        <v>509128.09126847435</v>
      </c>
      <c r="N885" s="197">
        <v>763692.13690271135</v>
      </c>
      <c r="O885" s="257">
        <f>IF(ISNA(MATCH(H885,'Operating leases'!$B$32:$B$43,0)),0,INDEX('Operating leases'!$M$32:$S$43,MATCH(H885,'Operating leases'!$B$32:$B$43,0),MATCH(J885,'Operating leases'!$M$11:$S$11,0)))</f>
        <v>0</v>
      </c>
      <c r="P885" s="257">
        <f t="shared" si="180"/>
        <v>509128.09126847435</v>
      </c>
      <c r="Q885" s="257">
        <f t="shared" si="181"/>
        <v>1272820.2281711856</v>
      </c>
      <c r="R885" s="258">
        <f>INDEX('Escalators '!$M$124:$S$129,MATCH(I885,'Escalators '!$B$124:$B$129,0),MATCH(J885,'Escalators '!$M$113:$S$113,0))</f>
        <v>1.0254948937589263</v>
      </c>
      <c r="S885" s="257">
        <f t="shared" si="182"/>
        <v>0</v>
      </c>
      <c r="T885" s="257">
        <f t="shared" si="183"/>
        <v>783162.38679757342</v>
      </c>
      <c r="U885" s="269">
        <f t="shared" si="184"/>
        <v>522108.25786504894</v>
      </c>
      <c r="V885" s="269">
        <f t="shared" si="185"/>
        <v>1305270.6446626224</v>
      </c>
      <c r="W885" s="269">
        <f t="shared" si="186"/>
        <v>522108.25786504894</v>
      </c>
      <c r="X885" s="257">
        <f t="shared" si="187"/>
        <v>1305270.6446626224</v>
      </c>
      <c r="Y885" s="270">
        <f>IF(L885="Complex",(INDEX('Escalators '!$M$176:$S$176,MATCH('Forecast capex'!J885,'Escalators '!$M$178:$S$178,0))/12+1)^((K885-J885)*12)-1,0)</f>
        <v>0</v>
      </c>
      <c r="Z885" s="257">
        <f t="shared" si="188"/>
        <v>0</v>
      </c>
      <c r="AA885" s="257">
        <f t="shared" si="189"/>
        <v>0</v>
      </c>
      <c r="AB885" s="269">
        <f t="shared" si="190"/>
        <v>0</v>
      </c>
      <c r="AC885" s="269">
        <f t="shared" si="191"/>
        <v>0</v>
      </c>
      <c r="AD885" s="271" t="str">
        <f>INDEX('Global inputs'!$C$134:$C$171,MATCH(F885,'Global inputs'!$B$134:$B$171,0))</f>
        <v>Consumer connection</v>
      </c>
      <c r="AE885" s="272">
        <f>IF(OR(H885='Operating leases'!$B$32,H885='Operating leases'!$B$33),"",INDEX('Global inputs'!$C$186:$C$243,MATCH(E885,'Global inputs'!$B$186:$B$243,0)))</f>
        <v>0.08</v>
      </c>
    </row>
    <row r="886" spans="1:31" s="27" customFormat="1" x14ac:dyDescent="0.2">
      <c r="A886" s="250"/>
      <c r="B886" s="210" t="s">
        <v>714</v>
      </c>
      <c r="C886" s="210" t="s">
        <v>289</v>
      </c>
      <c r="D886" s="210" t="s">
        <v>723</v>
      </c>
      <c r="E886" s="210" t="s">
        <v>164</v>
      </c>
      <c r="F886" s="210" t="s">
        <v>94</v>
      </c>
      <c r="G886" s="210" t="s">
        <v>724</v>
      </c>
      <c r="H886" s="197">
        <v>0</v>
      </c>
      <c r="I886" s="210" t="s">
        <v>221</v>
      </c>
      <c r="J886" s="210">
        <v>2023</v>
      </c>
      <c r="K886" s="210">
        <v>2023</v>
      </c>
      <c r="L886" s="268" t="str">
        <f t="shared" si="179"/>
        <v>Simple</v>
      </c>
      <c r="M886" s="197">
        <v>127282.02281711859</v>
      </c>
      <c r="N886" s="197">
        <v>190923.03422567784</v>
      </c>
      <c r="O886" s="257">
        <f>IF(ISNA(MATCH(H886,'Operating leases'!$B$32:$B$43,0)),0,INDEX('Operating leases'!$M$32:$S$43,MATCH(H886,'Operating leases'!$B$32:$B$43,0),MATCH(J886,'Operating leases'!$M$11:$S$11,0)))</f>
        <v>0</v>
      </c>
      <c r="P886" s="257">
        <f t="shared" si="180"/>
        <v>127282.02281711859</v>
      </c>
      <c r="Q886" s="257">
        <f t="shared" si="181"/>
        <v>318205.0570427964</v>
      </c>
      <c r="R886" s="258">
        <f>INDEX('Escalators '!$M$124:$S$129,MATCH(I886,'Escalators '!$B$124:$B$129,0),MATCH(J886,'Escalators '!$M$113:$S$113,0))</f>
        <v>1.0486791854231625</v>
      </c>
      <c r="S886" s="257">
        <f t="shared" si="182"/>
        <v>0</v>
      </c>
      <c r="T886" s="257">
        <f t="shared" si="183"/>
        <v>200217.01201030242</v>
      </c>
      <c r="U886" s="269">
        <f t="shared" si="184"/>
        <v>133478.00800686827</v>
      </c>
      <c r="V886" s="269">
        <f t="shared" si="185"/>
        <v>333695.0200171707</v>
      </c>
      <c r="W886" s="269">
        <f t="shared" si="186"/>
        <v>133478.00800686827</v>
      </c>
      <c r="X886" s="257">
        <f t="shared" si="187"/>
        <v>333695.0200171707</v>
      </c>
      <c r="Y886" s="270">
        <f>IF(L886="Complex",(INDEX('Escalators '!$M$176:$S$176,MATCH('Forecast capex'!J886,'Escalators '!$M$178:$S$178,0))/12+1)^((K886-J886)*12)-1,0)</f>
        <v>0</v>
      </c>
      <c r="Z886" s="257">
        <f t="shared" si="188"/>
        <v>0</v>
      </c>
      <c r="AA886" s="257">
        <f t="shared" si="189"/>
        <v>0</v>
      </c>
      <c r="AB886" s="269">
        <f t="shared" si="190"/>
        <v>0</v>
      </c>
      <c r="AC886" s="269">
        <f t="shared" si="191"/>
        <v>0</v>
      </c>
      <c r="AD886" s="271" t="str">
        <f>INDEX('Global inputs'!$C$134:$C$171,MATCH(F886,'Global inputs'!$B$134:$B$171,0))</f>
        <v>Consumer connection</v>
      </c>
      <c r="AE886" s="272">
        <f>IF(OR(H886='Operating leases'!$B$32,H886='Operating leases'!$B$33),"",INDEX('Global inputs'!$C$186:$C$243,MATCH(E886,'Global inputs'!$B$186:$B$243,0)))</f>
        <v>0.08</v>
      </c>
    </row>
    <row r="887" spans="1:31" s="27" customFormat="1" x14ac:dyDescent="0.2">
      <c r="A887" s="250"/>
      <c r="B887" s="210" t="s">
        <v>714</v>
      </c>
      <c r="C887" s="210" t="s">
        <v>289</v>
      </c>
      <c r="D887" s="210" t="s">
        <v>723</v>
      </c>
      <c r="E887" s="210" t="s">
        <v>163</v>
      </c>
      <c r="F887" s="210" t="s">
        <v>94</v>
      </c>
      <c r="G887" s="210" t="s">
        <v>725</v>
      </c>
      <c r="H887" s="197">
        <v>0</v>
      </c>
      <c r="I887" s="210" t="s">
        <v>139</v>
      </c>
      <c r="J887" s="210">
        <v>2023</v>
      </c>
      <c r="K887" s="210">
        <v>2023</v>
      </c>
      <c r="L887" s="268" t="str">
        <f t="shared" si="179"/>
        <v>Simple</v>
      </c>
      <c r="M887" s="197">
        <v>331047.41360506177</v>
      </c>
      <c r="N887" s="197">
        <v>496571.12040759256</v>
      </c>
      <c r="O887" s="257">
        <f>IF(ISNA(MATCH(H887,'Operating leases'!$B$32:$B$43,0)),0,INDEX('Operating leases'!$M$32:$S$43,MATCH(H887,'Operating leases'!$B$32:$B$43,0),MATCH(J887,'Operating leases'!$M$11:$S$11,0)))</f>
        <v>0</v>
      </c>
      <c r="P887" s="257">
        <f t="shared" si="180"/>
        <v>331047.41360506177</v>
      </c>
      <c r="Q887" s="257">
        <f t="shared" si="181"/>
        <v>827618.53401265433</v>
      </c>
      <c r="R887" s="258">
        <f>INDEX('Escalators '!$M$124:$S$129,MATCH(I887,'Escalators '!$B$124:$B$129,0),MATCH(J887,'Escalators '!$M$113:$S$113,0))</f>
        <v>1.0254948937589263</v>
      </c>
      <c r="S887" s="257">
        <f t="shared" si="182"/>
        <v>0</v>
      </c>
      <c r="T887" s="257">
        <f t="shared" si="183"/>
        <v>509231.14836613514</v>
      </c>
      <c r="U887" s="269">
        <f t="shared" si="184"/>
        <v>339487.43224409019</v>
      </c>
      <c r="V887" s="269">
        <f t="shared" si="185"/>
        <v>848718.58061022533</v>
      </c>
      <c r="W887" s="269">
        <f t="shared" si="186"/>
        <v>339487.43224409019</v>
      </c>
      <c r="X887" s="257">
        <f t="shared" si="187"/>
        <v>848718.58061022533</v>
      </c>
      <c r="Y887" s="270">
        <f>IF(L887="Complex",(INDEX('Escalators '!$M$176:$S$176,MATCH('Forecast capex'!J887,'Escalators '!$M$178:$S$178,0))/12+1)^((K887-J887)*12)-1,0)</f>
        <v>0</v>
      </c>
      <c r="Z887" s="257">
        <f t="shared" si="188"/>
        <v>0</v>
      </c>
      <c r="AA887" s="257">
        <f t="shared" si="189"/>
        <v>0</v>
      </c>
      <c r="AB887" s="269">
        <f t="shared" si="190"/>
        <v>0</v>
      </c>
      <c r="AC887" s="269">
        <f t="shared" si="191"/>
        <v>0</v>
      </c>
      <c r="AD887" s="271" t="str">
        <f>INDEX('Global inputs'!$C$134:$C$171,MATCH(F887,'Global inputs'!$B$134:$B$171,0))</f>
        <v>Consumer connection</v>
      </c>
      <c r="AE887" s="272">
        <f>IF(OR(H887='Operating leases'!$B$32,H887='Operating leases'!$B$33),"",INDEX('Global inputs'!$C$186:$C$243,MATCH(E887,'Global inputs'!$B$186:$B$243,0)))</f>
        <v>0.08</v>
      </c>
    </row>
    <row r="888" spans="1:31" s="27" customFormat="1" x14ac:dyDescent="0.2">
      <c r="A888" s="250"/>
      <c r="B888" s="210" t="s">
        <v>714</v>
      </c>
      <c r="C888" s="210" t="s">
        <v>289</v>
      </c>
      <c r="D888" s="210" t="s">
        <v>723</v>
      </c>
      <c r="E888" s="210" t="s">
        <v>163</v>
      </c>
      <c r="F888" s="210" t="s">
        <v>94</v>
      </c>
      <c r="G888" s="210" t="s">
        <v>725</v>
      </c>
      <c r="H888" s="197">
        <v>0</v>
      </c>
      <c r="I888" s="210" t="s">
        <v>221</v>
      </c>
      <c r="J888" s="210">
        <v>2023</v>
      </c>
      <c r="K888" s="210">
        <v>2023</v>
      </c>
      <c r="L888" s="268" t="str">
        <f t="shared" si="179"/>
        <v>Simple</v>
      </c>
      <c r="M888" s="197">
        <v>82761.853401265442</v>
      </c>
      <c r="N888" s="197">
        <v>124142.78010189814</v>
      </c>
      <c r="O888" s="257">
        <f>IF(ISNA(MATCH(H888,'Operating leases'!$B$32:$B$43,0)),0,INDEX('Operating leases'!$M$32:$S$43,MATCH(H888,'Operating leases'!$B$32:$B$43,0),MATCH(J888,'Operating leases'!$M$11:$S$11,0)))</f>
        <v>0</v>
      </c>
      <c r="P888" s="257">
        <f t="shared" si="180"/>
        <v>82761.853401265442</v>
      </c>
      <c r="Q888" s="257">
        <f t="shared" si="181"/>
        <v>206904.63350316358</v>
      </c>
      <c r="R888" s="258">
        <f>INDEX('Escalators '!$M$124:$S$129,MATCH(I888,'Escalators '!$B$124:$B$129,0),MATCH(J888,'Escalators '!$M$113:$S$113,0))</f>
        <v>1.0486791854231625</v>
      </c>
      <c r="S888" s="257">
        <f t="shared" si="182"/>
        <v>0</v>
      </c>
      <c r="T888" s="257">
        <f t="shared" si="183"/>
        <v>130185.94951342534</v>
      </c>
      <c r="U888" s="269">
        <f t="shared" si="184"/>
        <v>86790.63300895023</v>
      </c>
      <c r="V888" s="269">
        <f t="shared" si="185"/>
        <v>216976.58252237557</v>
      </c>
      <c r="W888" s="269">
        <f t="shared" si="186"/>
        <v>86790.63300895023</v>
      </c>
      <c r="X888" s="257">
        <f t="shared" si="187"/>
        <v>216976.58252237557</v>
      </c>
      <c r="Y888" s="270">
        <f>IF(L888="Complex",(INDEX('Escalators '!$M$176:$S$176,MATCH('Forecast capex'!J888,'Escalators '!$M$178:$S$178,0))/12+1)^((K888-J888)*12)-1,0)</f>
        <v>0</v>
      </c>
      <c r="Z888" s="257">
        <f t="shared" si="188"/>
        <v>0</v>
      </c>
      <c r="AA888" s="257">
        <f t="shared" si="189"/>
        <v>0</v>
      </c>
      <c r="AB888" s="269">
        <f t="shared" si="190"/>
        <v>0</v>
      </c>
      <c r="AC888" s="269">
        <f t="shared" si="191"/>
        <v>0</v>
      </c>
      <c r="AD888" s="271" t="str">
        <f>INDEX('Global inputs'!$C$134:$C$171,MATCH(F888,'Global inputs'!$B$134:$B$171,0))</f>
        <v>Consumer connection</v>
      </c>
      <c r="AE888" s="272">
        <f>IF(OR(H888='Operating leases'!$B$32,H888='Operating leases'!$B$33),"",INDEX('Global inputs'!$C$186:$C$243,MATCH(E888,'Global inputs'!$B$186:$B$243,0)))</f>
        <v>0.08</v>
      </c>
    </row>
    <row r="889" spans="1:31" s="27" customFormat="1" x14ac:dyDescent="0.2">
      <c r="A889" s="250"/>
      <c r="B889" s="210" t="s">
        <v>714</v>
      </c>
      <c r="C889" s="210" t="s">
        <v>286</v>
      </c>
      <c r="D889" s="210" t="s">
        <v>735</v>
      </c>
      <c r="E889" s="210" t="s">
        <v>144</v>
      </c>
      <c r="F889" s="210" t="s">
        <v>94</v>
      </c>
      <c r="G889" s="210" t="s">
        <v>736</v>
      </c>
      <c r="H889" s="197">
        <v>0</v>
      </c>
      <c r="I889" s="210" t="s">
        <v>229</v>
      </c>
      <c r="J889" s="210">
        <v>2023</v>
      </c>
      <c r="K889" s="210">
        <v>2023</v>
      </c>
      <c r="L889" s="268" t="str">
        <f t="shared" si="179"/>
        <v>Simple</v>
      </c>
      <c r="M889" s="197">
        <v>3424.6284166040864</v>
      </c>
      <c r="N889" s="197">
        <v>5136.9426249061289</v>
      </c>
      <c r="O889" s="257">
        <f>IF(ISNA(MATCH(H889,'Operating leases'!$B$32:$B$43,0)),0,INDEX('Operating leases'!$M$32:$S$43,MATCH(H889,'Operating leases'!$B$32:$B$43,0),MATCH(J889,'Operating leases'!$M$11:$S$11,0)))</f>
        <v>0</v>
      </c>
      <c r="P889" s="257">
        <f t="shared" si="180"/>
        <v>3424.6284166040864</v>
      </c>
      <c r="Q889" s="257">
        <f t="shared" si="181"/>
        <v>8561.5710415102149</v>
      </c>
      <c r="R889" s="258">
        <f>INDEX('Escalators '!$M$124:$S$129,MATCH(I889,'Escalators '!$B$124:$B$129,0),MATCH(J889,'Escalators '!$M$113:$S$113,0))</f>
        <v>1.0553567720906862</v>
      </c>
      <c r="S889" s="257">
        <f t="shared" si="182"/>
        <v>0</v>
      </c>
      <c r="T889" s="257">
        <f t="shared" si="183"/>
        <v>5421.307187035989</v>
      </c>
      <c r="U889" s="269">
        <f t="shared" si="184"/>
        <v>3614.204791357326</v>
      </c>
      <c r="V889" s="269">
        <f t="shared" si="185"/>
        <v>9035.5119783933151</v>
      </c>
      <c r="W889" s="269">
        <f t="shared" si="186"/>
        <v>3614.204791357326</v>
      </c>
      <c r="X889" s="257">
        <f t="shared" si="187"/>
        <v>9035.5119783933151</v>
      </c>
      <c r="Y889" s="270">
        <f>IF(L889="Complex",(INDEX('Escalators '!$M$176:$S$176,MATCH('Forecast capex'!J889,'Escalators '!$M$178:$S$178,0))/12+1)^((K889-J889)*12)-1,0)</f>
        <v>0</v>
      </c>
      <c r="Z889" s="257">
        <f t="shared" si="188"/>
        <v>0</v>
      </c>
      <c r="AA889" s="257">
        <f t="shared" si="189"/>
        <v>0</v>
      </c>
      <c r="AB889" s="269">
        <f t="shared" si="190"/>
        <v>0</v>
      </c>
      <c r="AC889" s="269">
        <f t="shared" si="191"/>
        <v>0</v>
      </c>
      <c r="AD889" s="271" t="str">
        <f>INDEX('Global inputs'!$C$134:$C$171,MATCH(F889,'Global inputs'!$B$134:$B$171,0))</f>
        <v>Consumer connection</v>
      </c>
      <c r="AE889" s="272">
        <f>IF(OR(H889='Operating leases'!$B$32,H889='Operating leases'!$B$33),"",INDEX('Global inputs'!$C$186:$C$243,MATCH(E889,'Global inputs'!$B$186:$B$243,0)))</f>
        <v>0.08</v>
      </c>
    </row>
    <row r="890" spans="1:31" s="27" customFormat="1" x14ac:dyDescent="0.2">
      <c r="A890" s="250"/>
      <c r="B890" s="210" t="s">
        <v>714</v>
      </c>
      <c r="C890" s="210" t="s">
        <v>286</v>
      </c>
      <c r="D890" s="210" t="s">
        <v>735</v>
      </c>
      <c r="E890" s="210" t="s">
        <v>144</v>
      </c>
      <c r="F890" s="210" t="s">
        <v>94</v>
      </c>
      <c r="G890" s="210" t="s">
        <v>736</v>
      </c>
      <c r="H890" s="197">
        <v>0</v>
      </c>
      <c r="I890" s="210" t="s">
        <v>221</v>
      </c>
      <c r="J890" s="210">
        <v>2023</v>
      </c>
      <c r="K890" s="210">
        <v>2023</v>
      </c>
      <c r="L890" s="268" t="str">
        <f t="shared" si="179"/>
        <v>Simple</v>
      </c>
      <c r="M890" s="197">
        <v>13698.513666416346</v>
      </c>
      <c r="N890" s="197">
        <v>20547.770499624516</v>
      </c>
      <c r="O890" s="257">
        <f>IF(ISNA(MATCH(H890,'Operating leases'!$B$32:$B$43,0)),0,INDEX('Operating leases'!$M$32:$S$43,MATCH(H890,'Operating leases'!$B$32:$B$43,0),MATCH(J890,'Operating leases'!$M$11:$S$11,0)))</f>
        <v>0</v>
      </c>
      <c r="P890" s="257">
        <f t="shared" si="180"/>
        <v>13698.513666416346</v>
      </c>
      <c r="Q890" s="257">
        <f t="shared" si="181"/>
        <v>34246.284166040859</v>
      </c>
      <c r="R890" s="258">
        <f>INDEX('Escalators '!$M$124:$S$129,MATCH(I890,'Escalators '!$B$124:$B$129,0),MATCH(J890,'Escalators '!$M$113:$S$113,0))</f>
        <v>1.0486791854231625</v>
      </c>
      <c r="S890" s="257">
        <f t="shared" si="182"/>
        <v>0</v>
      </c>
      <c r="T890" s="257">
        <f t="shared" si="183"/>
        <v>21548.019229808328</v>
      </c>
      <c r="U890" s="269">
        <f t="shared" si="184"/>
        <v>14365.346153205552</v>
      </c>
      <c r="V890" s="269">
        <f t="shared" si="185"/>
        <v>35913.365383013879</v>
      </c>
      <c r="W890" s="269">
        <f t="shared" si="186"/>
        <v>14365.346153205552</v>
      </c>
      <c r="X890" s="257">
        <f t="shared" si="187"/>
        <v>35913.365383013879</v>
      </c>
      <c r="Y890" s="270">
        <f>IF(L890="Complex",(INDEX('Escalators '!$M$176:$S$176,MATCH('Forecast capex'!J890,'Escalators '!$M$178:$S$178,0))/12+1)^((K890-J890)*12)-1,0)</f>
        <v>0</v>
      </c>
      <c r="Z890" s="257">
        <f t="shared" si="188"/>
        <v>0</v>
      </c>
      <c r="AA890" s="257">
        <f t="shared" si="189"/>
        <v>0</v>
      </c>
      <c r="AB890" s="269">
        <f t="shared" si="190"/>
        <v>0</v>
      </c>
      <c r="AC890" s="269">
        <f t="shared" si="191"/>
        <v>0</v>
      </c>
      <c r="AD890" s="271" t="str">
        <f>INDEX('Global inputs'!$C$134:$C$171,MATCH(F890,'Global inputs'!$B$134:$B$171,0))</f>
        <v>Consumer connection</v>
      </c>
      <c r="AE890" s="272">
        <f>IF(OR(H890='Operating leases'!$B$32,H890='Operating leases'!$B$33),"",INDEX('Global inputs'!$C$186:$C$243,MATCH(E890,'Global inputs'!$B$186:$B$243,0)))</f>
        <v>0.08</v>
      </c>
    </row>
    <row r="891" spans="1:31" s="27" customFormat="1" x14ac:dyDescent="0.2">
      <c r="A891" s="250"/>
      <c r="B891" s="210" t="s">
        <v>714</v>
      </c>
      <c r="C891" s="210" t="s">
        <v>285</v>
      </c>
      <c r="D891" s="210" t="s">
        <v>223</v>
      </c>
      <c r="E891" s="210" t="s">
        <v>134</v>
      </c>
      <c r="F891" s="210" t="s">
        <v>94</v>
      </c>
      <c r="G891" s="210" t="s">
        <v>726</v>
      </c>
      <c r="H891" s="197">
        <v>0</v>
      </c>
      <c r="I891" s="210" t="s">
        <v>223</v>
      </c>
      <c r="J891" s="210">
        <v>2023</v>
      </c>
      <c r="K891" s="210">
        <v>2023</v>
      </c>
      <c r="L891" s="268" t="str">
        <f t="shared" si="179"/>
        <v>Simple</v>
      </c>
      <c r="M891" s="197">
        <v>4965.7112040759248</v>
      </c>
      <c r="N891" s="197">
        <v>7448.5668061138867</v>
      </c>
      <c r="O891" s="257">
        <f>IF(ISNA(MATCH(H891,'Operating leases'!$B$32:$B$43,0)),0,INDEX('Operating leases'!$M$32:$S$43,MATCH(H891,'Operating leases'!$B$32:$B$43,0),MATCH(J891,'Operating leases'!$M$11:$S$11,0)))</f>
        <v>0</v>
      </c>
      <c r="P891" s="257">
        <f t="shared" si="180"/>
        <v>4965.7112040759248</v>
      </c>
      <c r="Q891" s="257">
        <f t="shared" si="181"/>
        <v>12414.278010189812</v>
      </c>
      <c r="R891" s="258">
        <f>INDEX('Escalators '!$M$124:$S$129,MATCH(I891,'Escalators '!$B$124:$B$129,0),MATCH(J891,'Escalators '!$M$113:$S$113,0))</f>
        <v>1.0703240765377642</v>
      </c>
      <c r="S891" s="257">
        <f t="shared" si="182"/>
        <v>0</v>
      </c>
      <c r="T891" s="257">
        <f t="shared" si="183"/>
        <v>7972.3803882836892</v>
      </c>
      <c r="U891" s="269">
        <f t="shared" si="184"/>
        <v>5314.9202588557928</v>
      </c>
      <c r="V891" s="269">
        <f t="shared" si="185"/>
        <v>13287.300647139482</v>
      </c>
      <c r="W891" s="269">
        <f t="shared" si="186"/>
        <v>5314.9202588557928</v>
      </c>
      <c r="X891" s="257">
        <f t="shared" si="187"/>
        <v>13287.300647139482</v>
      </c>
      <c r="Y891" s="270">
        <f>IF(L891="Complex",(INDEX('Escalators '!$M$176:$S$176,MATCH('Forecast capex'!J891,'Escalators '!$M$178:$S$178,0))/12+1)^((K891-J891)*12)-1,0)</f>
        <v>0</v>
      </c>
      <c r="Z891" s="257">
        <f t="shared" si="188"/>
        <v>0</v>
      </c>
      <c r="AA891" s="257">
        <f t="shared" si="189"/>
        <v>0</v>
      </c>
      <c r="AB891" s="269">
        <f t="shared" si="190"/>
        <v>0</v>
      </c>
      <c r="AC891" s="269">
        <f t="shared" si="191"/>
        <v>0</v>
      </c>
      <c r="AD891" s="271" t="str">
        <f>INDEX('Global inputs'!$C$134:$C$171,MATCH(F891,'Global inputs'!$B$134:$B$171,0))</f>
        <v>Consumer connection</v>
      </c>
      <c r="AE891" s="272">
        <f>IF(OR(H891='Operating leases'!$B$32,H891='Operating leases'!$B$33),"",INDEX('Global inputs'!$C$186:$C$243,MATCH(E891,'Global inputs'!$B$186:$B$243,0)))</f>
        <v>0.08</v>
      </c>
    </row>
    <row r="892" spans="1:31" s="27" customFormat="1" x14ac:dyDescent="0.2">
      <c r="A892" s="250"/>
      <c r="B892" s="210" t="s">
        <v>714</v>
      </c>
      <c r="C892" s="210" t="s">
        <v>285</v>
      </c>
      <c r="D892" s="210" t="s">
        <v>223</v>
      </c>
      <c r="E892" s="210" t="s">
        <v>134</v>
      </c>
      <c r="F892" s="210" t="s">
        <v>94</v>
      </c>
      <c r="G892" s="210" t="s">
        <v>726</v>
      </c>
      <c r="H892" s="197">
        <v>0</v>
      </c>
      <c r="I892" s="210" t="s">
        <v>221</v>
      </c>
      <c r="J892" s="210">
        <v>2023</v>
      </c>
      <c r="K892" s="210">
        <v>2023</v>
      </c>
      <c r="L892" s="268" t="str">
        <f t="shared" si="179"/>
        <v>Simple</v>
      </c>
      <c r="M892" s="197">
        <v>11586.659476177161</v>
      </c>
      <c r="N892" s="197">
        <v>17379.989214265737</v>
      </c>
      <c r="O892" s="257">
        <f>IF(ISNA(MATCH(H892,'Operating leases'!$B$32:$B$43,0)),0,INDEX('Operating leases'!$M$32:$S$43,MATCH(H892,'Operating leases'!$B$32:$B$43,0),MATCH(J892,'Operating leases'!$M$11:$S$11,0)))</f>
        <v>0</v>
      </c>
      <c r="P892" s="257">
        <f t="shared" si="180"/>
        <v>11586.659476177161</v>
      </c>
      <c r="Q892" s="257">
        <f t="shared" si="181"/>
        <v>28966.648690442897</v>
      </c>
      <c r="R892" s="258">
        <f>INDEX('Escalators '!$M$124:$S$129,MATCH(I892,'Escalators '!$B$124:$B$129,0),MATCH(J892,'Escalators '!$M$113:$S$113,0))</f>
        <v>1.0486791854231625</v>
      </c>
      <c r="S892" s="257">
        <f t="shared" si="182"/>
        <v>0</v>
      </c>
      <c r="T892" s="257">
        <f t="shared" si="183"/>
        <v>18226.032931879545</v>
      </c>
      <c r="U892" s="269">
        <f t="shared" si="184"/>
        <v>12150.68862125303</v>
      </c>
      <c r="V892" s="269">
        <f t="shared" si="185"/>
        <v>30376.721553132575</v>
      </c>
      <c r="W892" s="269">
        <f t="shared" si="186"/>
        <v>12150.68862125303</v>
      </c>
      <c r="X892" s="257">
        <f t="shared" si="187"/>
        <v>30376.721553132575</v>
      </c>
      <c r="Y892" s="270">
        <f>IF(L892="Complex",(INDEX('Escalators '!$M$176:$S$176,MATCH('Forecast capex'!J892,'Escalators '!$M$178:$S$178,0))/12+1)^((K892-J892)*12)-1,0)</f>
        <v>0</v>
      </c>
      <c r="Z892" s="257">
        <f t="shared" si="188"/>
        <v>0</v>
      </c>
      <c r="AA892" s="257">
        <f t="shared" si="189"/>
        <v>0</v>
      </c>
      <c r="AB892" s="269">
        <f t="shared" si="190"/>
        <v>0</v>
      </c>
      <c r="AC892" s="269">
        <f t="shared" si="191"/>
        <v>0</v>
      </c>
      <c r="AD892" s="271" t="str">
        <f>INDEX('Global inputs'!$C$134:$C$171,MATCH(F892,'Global inputs'!$B$134:$B$171,0))</f>
        <v>Consumer connection</v>
      </c>
      <c r="AE892" s="272">
        <f>IF(OR(H892='Operating leases'!$B$32,H892='Operating leases'!$B$33),"",INDEX('Global inputs'!$C$186:$C$243,MATCH(E892,'Global inputs'!$B$186:$B$243,0)))</f>
        <v>0.08</v>
      </c>
    </row>
    <row r="893" spans="1:31" s="27" customFormat="1" x14ac:dyDescent="0.2">
      <c r="A893" s="250"/>
      <c r="B893" s="210" t="s">
        <v>714</v>
      </c>
      <c r="C893" s="210" t="s">
        <v>288</v>
      </c>
      <c r="D893" s="210" t="s">
        <v>223</v>
      </c>
      <c r="E893" s="210" t="s">
        <v>157</v>
      </c>
      <c r="F893" s="210" t="s">
        <v>94</v>
      </c>
      <c r="G893" s="210" t="s">
        <v>727</v>
      </c>
      <c r="H893" s="197">
        <v>0</v>
      </c>
      <c r="I893" s="210" t="s">
        <v>223</v>
      </c>
      <c r="J893" s="210">
        <v>2023</v>
      </c>
      <c r="K893" s="210">
        <v>2023</v>
      </c>
      <c r="L893" s="268" t="str">
        <f t="shared" si="179"/>
        <v>Simple</v>
      </c>
      <c r="M893" s="197">
        <v>90410.190198347875</v>
      </c>
      <c r="N893" s="197">
        <v>135615.28529752183</v>
      </c>
      <c r="O893" s="257">
        <f>IF(ISNA(MATCH(H893,'Operating leases'!$B$32:$B$43,0)),0,INDEX('Operating leases'!$M$32:$S$43,MATCH(H893,'Operating leases'!$B$32:$B$43,0),MATCH(J893,'Operating leases'!$M$11:$S$11,0)))</f>
        <v>0</v>
      </c>
      <c r="P893" s="257">
        <f t="shared" si="180"/>
        <v>90410.190198347875</v>
      </c>
      <c r="Q893" s="257">
        <f t="shared" si="181"/>
        <v>226025.4754958697</v>
      </c>
      <c r="R893" s="258">
        <f>INDEX('Escalators '!$M$124:$S$129,MATCH(I893,'Escalators '!$B$124:$B$129,0),MATCH(J893,'Escalators '!$M$113:$S$113,0))</f>
        <v>1.0703240765377642</v>
      </c>
      <c r="S893" s="257">
        <f t="shared" si="182"/>
        <v>0</v>
      </c>
      <c r="T893" s="257">
        <f t="shared" si="183"/>
        <v>145152.30500047546</v>
      </c>
      <c r="U893" s="269">
        <f t="shared" si="184"/>
        <v>96768.203333650308</v>
      </c>
      <c r="V893" s="269">
        <f t="shared" si="185"/>
        <v>241920.50833412577</v>
      </c>
      <c r="W893" s="269">
        <f t="shared" si="186"/>
        <v>96768.203333650308</v>
      </c>
      <c r="X893" s="257">
        <f t="shared" si="187"/>
        <v>241920.50833412577</v>
      </c>
      <c r="Y893" s="270">
        <f>IF(L893="Complex",(INDEX('Escalators '!$M$176:$S$176,MATCH('Forecast capex'!J893,'Escalators '!$M$178:$S$178,0))/12+1)^((K893-J893)*12)-1,0)</f>
        <v>0</v>
      </c>
      <c r="Z893" s="257">
        <f t="shared" si="188"/>
        <v>0</v>
      </c>
      <c r="AA893" s="257">
        <f t="shared" si="189"/>
        <v>0</v>
      </c>
      <c r="AB893" s="269">
        <f t="shared" si="190"/>
        <v>0</v>
      </c>
      <c r="AC893" s="269">
        <f t="shared" si="191"/>
        <v>0</v>
      </c>
      <c r="AD893" s="271" t="str">
        <f>INDEX('Global inputs'!$C$134:$C$171,MATCH(F893,'Global inputs'!$B$134:$B$171,0))</f>
        <v>Consumer connection</v>
      </c>
      <c r="AE893" s="272">
        <f>IF(OR(H893='Operating leases'!$B$32,H893='Operating leases'!$B$33),"",INDEX('Global inputs'!$C$186:$C$243,MATCH(E893,'Global inputs'!$B$186:$B$243,0)))</f>
        <v>0.08</v>
      </c>
    </row>
    <row r="894" spans="1:31" s="27" customFormat="1" x14ac:dyDescent="0.2">
      <c r="A894" s="250"/>
      <c r="B894" s="210" t="s">
        <v>714</v>
      </c>
      <c r="C894" s="210" t="s">
        <v>288</v>
      </c>
      <c r="D894" s="210" t="s">
        <v>223</v>
      </c>
      <c r="E894" s="210" t="s">
        <v>157</v>
      </c>
      <c r="F894" s="210" t="s">
        <v>94</v>
      </c>
      <c r="G894" s="210" t="s">
        <v>727</v>
      </c>
      <c r="H894" s="197">
        <v>0</v>
      </c>
      <c r="I894" s="210" t="s">
        <v>221</v>
      </c>
      <c r="J894" s="210">
        <v>2023</v>
      </c>
      <c r="K894" s="210">
        <v>2023</v>
      </c>
      <c r="L894" s="268" t="str">
        <f t="shared" si="179"/>
        <v>Simple</v>
      </c>
      <c r="M894" s="197">
        <v>210957.11046281172</v>
      </c>
      <c r="N894" s="197">
        <v>316435.66569421761</v>
      </c>
      <c r="O894" s="257">
        <f>IF(ISNA(MATCH(H894,'Operating leases'!$B$32:$B$43,0)),0,INDEX('Operating leases'!$M$32:$S$43,MATCH(H894,'Operating leases'!$B$32:$B$43,0),MATCH(J894,'Operating leases'!$M$11:$S$11,0)))</f>
        <v>0</v>
      </c>
      <c r="P894" s="257">
        <f t="shared" si="180"/>
        <v>210957.11046281172</v>
      </c>
      <c r="Q894" s="257">
        <f t="shared" si="181"/>
        <v>527392.77615702932</v>
      </c>
      <c r="R894" s="258">
        <f>INDEX('Escalators '!$M$124:$S$129,MATCH(I894,'Escalators '!$B$124:$B$129,0),MATCH(J894,'Escalators '!$M$113:$S$113,0))</f>
        <v>1.0486791854231625</v>
      </c>
      <c r="S894" s="257">
        <f t="shared" si="182"/>
        <v>0</v>
      </c>
      <c r="T894" s="257">
        <f t="shared" si="183"/>
        <v>331839.49613904831</v>
      </c>
      <c r="U894" s="269">
        <f t="shared" si="184"/>
        <v>221226.33075936552</v>
      </c>
      <c r="V894" s="269">
        <f t="shared" si="185"/>
        <v>553065.82689841383</v>
      </c>
      <c r="W894" s="269">
        <f t="shared" si="186"/>
        <v>221226.33075936552</v>
      </c>
      <c r="X894" s="257">
        <f t="shared" si="187"/>
        <v>553065.82689841383</v>
      </c>
      <c r="Y894" s="270">
        <f>IF(L894="Complex",(INDEX('Escalators '!$M$176:$S$176,MATCH('Forecast capex'!J894,'Escalators '!$M$178:$S$178,0))/12+1)^((K894-J894)*12)-1,0)</f>
        <v>0</v>
      </c>
      <c r="Z894" s="257">
        <f t="shared" si="188"/>
        <v>0</v>
      </c>
      <c r="AA894" s="257">
        <f t="shared" si="189"/>
        <v>0</v>
      </c>
      <c r="AB894" s="269">
        <f t="shared" si="190"/>
        <v>0</v>
      </c>
      <c r="AC894" s="269">
        <f t="shared" si="191"/>
        <v>0</v>
      </c>
      <c r="AD894" s="271" t="str">
        <f>INDEX('Global inputs'!$C$134:$C$171,MATCH(F894,'Global inputs'!$B$134:$B$171,0))</f>
        <v>Consumer connection</v>
      </c>
      <c r="AE894" s="272">
        <f>IF(OR(H894='Operating leases'!$B$32,H894='Operating leases'!$B$33),"",INDEX('Global inputs'!$C$186:$C$243,MATCH(E894,'Global inputs'!$B$186:$B$243,0)))</f>
        <v>0.08</v>
      </c>
    </row>
    <row r="895" spans="1:31" s="27" customFormat="1" x14ac:dyDescent="0.2">
      <c r="A895" s="250"/>
      <c r="B895" s="210" t="s">
        <v>714</v>
      </c>
      <c r="C895" s="210" t="s">
        <v>288</v>
      </c>
      <c r="D895" s="210" t="s">
        <v>223</v>
      </c>
      <c r="E895" s="210" t="s">
        <v>159</v>
      </c>
      <c r="F895" s="210" t="s">
        <v>94</v>
      </c>
      <c r="G895" s="210" t="s">
        <v>728</v>
      </c>
      <c r="H895" s="197">
        <v>0</v>
      </c>
      <c r="I895" s="210" t="s">
        <v>223</v>
      </c>
      <c r="J895" s="210">
        <v>2023</v>
      </c>
      <c r="K895" s="210">
        <v>2023</v>
      </c>
      <c r="L895" s="268" t="str">
        <f t="shared" si="179"/>
        <v>Simple</v>
      </c>
      <c r="M895" s="197">
        <v>257303.74836752037</v>
      </c>
      <c r="N895" s="197">
        <v>385955.62255128054</v>
      </c>
      <c r="O895" s="257">
        <f>IF(ISNA(MATCH(H895,'Operating leases'!$B$32:$B$43,0)),0,INDEX('Operating leases'!$M$32:$S$43,MATCH(H895,'Operating leases'!$B$32:$B$43,0),MATCH(J895,'Operating leases'!$M$11:$S$11,0)))</f>
        <v>0</v>
      </c>
      <c r="P895" s="257">
        <f t="shared" si="180"/>
        <v>257303.74836752037</v>
      </c>
      <c r="Q895" s="257">
        <f t="shared" si="181"/>
        <v>643259.37091880094</v>
      </c>
      <c r="R895" s="258">
        <f>INDEX('Escalators '!$M$124:$S$129,MATCH(I895,'Escalators '!$B$124:$B$129,0),MATCH(J895,'Escalators '!$M$113:$S$113,0))</f>
        <v>1.0703240765377642</v>
      </c>
      <c r="S895" s="257">
        <f t="shared" si="182"/>
        <v>0</v>
      </c>
      <c r="T895" s="257">
        <f t="shared" si="183"/>
        <v>413097.5952917572</v>
      </c>
      <c r="U895" s="269">
        <f t="shared" si="184"/>
        <v>275398.39686117152</v>
      </c>
      <c r="V895" s="269">
        <f t="shared" si="185"/>
        <v>688495.99215292872</v>
      </c>
      <c r="W895" s="269">
        <f t="shared" si="186"/>
        <v>275398.39686117152</v>
      </c>
      <c r="X895" s="257">
        <f t="shared" si="187"/>
        <v>688495.99215292872</v>
      </c>
      <c r="Y895" s="270">
        <f>IF(L895="Complex",(INDEX('Escalators '!$M$176:$S$176,MATCH('Forecast capex'!J895,'Escalators '!$M$178:$S$178,0))/12+1)^((K895-J895)*12)-1,0)</f>
        <v>0</v>
      </c>
      <c r="Z895" s="257">
        <f t="shared" si="188"/>
        <v>0</v>
      </c>
      <c r="AA895" s="257">
        <f t="shared" si="189"/>
        <v>0</v>
      </c>
      <c r="AB895" s="269">
        <f t="shared" si="190"/>
        <v>0</v>
      </c>
      <c r="AC895" s="269">
        <f t="shared" si="191"/>
        <v>0</v>
      </c>
      <c r="AD895" s="271" t="str">
        <f>INDEX('Global inputs'!$C$134:$C$171,MATCH(F895,'Global inputs'!$B$134:$B$171,0))</f>
        <v>Consumer connection</v>
      </c>
      <c r="AE895" s="272">
        <f>IF(OR(H895='Operating leases'!$B$32,H895='Operating leases'!$B$33),"",INDEX('Global inputs'!$C$186:$C$243,MATCH(E895,'Global inputs'!$B$186:$B$243,0)))</f>
        <v>0.08</v>
      </c>
    </row>
    <row r="896" spans="1:31" s="27" customFormat="1" x14ac:dyDescent="0.2">
      <c r="A896" s="250"/>
      <c r="B896" s="210" t="s">
        <v>714</v>
      </c>
      <c r="C896" s="210" t="s">
        <v>288</v>
      </c>
      <c r="D896" s="210" t="s">
        <v>223</v>
      </c>
      <c r="E896" s="210" t="s">
        <v>159</v>
      </c>
      <c r="F896" s="210" t="s">
        <v>94</v>
      </c>
      <c r="G896" s="210" t="s">
        <v>728</v>
      </c>
      <c r="H896" s="197">
        <v>0</v>
      </c>
      <c r="I896" s="210" t="s">
        <v>221</v>
      </c>
      <c r="J896" s="210">
        <v>2023</v>
      </c>
      <c r="K896" s="210">
        <v>2023</v>
      </c>
      <c r="L896" s="268" t="str">
        <f t="shared" si="179"/>
        <v>Simple</v>
      </c>
      <c r="M896" s="197">
        <v>385955.6225512806</v>
      </c>
      <c r="N896" s="197">
        <v>578933.43382692081</v>
      </c>
      <c r="O896" s="257">
        <f>IF(ISNA(MATCH(H896,'Operating leases'!$B$32:$B$43,0)),0,INDEX('Operating leases'!$M$32:$S$43,MATCH(H896,'Operating leases'!$B$32:$B$43,0),MATCH(J896,'Operating leases'!$M$11:$S$11,0)))</f>
        <v>0</v>
      </c>
      <c r="P896" s="257">
        <f t="shared" si="180"/>
        <v>385955.6225512806</v>
      </c>
      <c r="Q896" s="257">
        <f t="shared" si="181"/>
        <v>964889.05637820135</v>
      </c>
      <c r="R896" s="258">
        <f>INDEX('Escalators '!$M$124:$S$129,MATCH(I896,'Escalators '!$B$124:$B$129,0),MATCH(J896,'Escalators '!$M$113:$S$113,0))</f>
        <v>1.0486791854231625</v>
      </c>
      <c r="S896" s="257">
        <f t="shared" si="182"/>
        <v>0</v>
      </c>
      <c r="T896" s="257">
        <f t="shared" si="183"/>
        <v>607115.44179984962</v>
      </c>
      <c r="U896" s="269">
        <f t="shared" si="184"/>
        <v>404743.62786656653</v>
      </c>
      <c r="V896" s="269">
        <f t="shared" si="185"/>
        <v>1011859.0696664162</v>
      </c>
      <c r="W896" s="269">
        <f t="shared" si="186"/>
        <v>404743.62786656653</v>
      </c>
      <c r="X896" s="257">
        <f t="shared" si="187"/>
        <v>1011859.0696664162</v>
      </c>
      <c r="Y896" s="270">
        <f>IF(L896="Complex",(INDEX('Escalators '!$M$176:$S$176,MATCH('Forecast capex'!J896,'Escalators '!$M$178:$S$178,0))/12+1)^((K896-J896)*12)-1,0)</f>
        <v>0</v>
      </c>
      <c r="Z896" s="257">
        <f t="shared" si="188"/>
        <v>0</v>
      </c>
      <c r="AA896" s="257">
        <f t="shared" si="189"/>
        <v>0</v>
      </c>
      <c r="AB896" s="269">
        <f t="shared" si="190"/>
        <v>0</v>
      </c>
      <c r="AC896" s="269">
        <f t="shared" si="191"/>
        <v>0</v>
      </c>
      <c r="AD896" s="271" t="str">
        <f>INDEX('Global inputs'!$C$134:$C$171,MATCH(F896,'Global inputs'!$B$134:$B$171,0))</f>
        <v>Consumer connection</v>
      </c>
      <c r="AE896" s="272">
        <f>IF(OR(H896='Operating leases'!$B$32,H896='Operating leases'!$B$33),"",INDEX('Global inputs'!$C$186:$C$243,MATCH(E896,'Global inputs'!$B$186:$B$243,0)))</f>
        <v>0.08</v>
      </c>
    </row>
    <row r="897" spans="1:31" s="27" customFormat="1" x14ac:dyDescent="0.2">
      <c r="A897" s="250"/>
      <c r="B897" s="210" t="s">
        <v>714</v>
      </c>
      <c r="C897" s="210" t="s">
        <v>287</v>
      </c>
      <c r="D897" s="210" t="s">
        <v>729</v>
      </c>
      <c r="E897" s="210" t="s">
        <v>150</v>
      </c>
      <c r="F897" s="210" t="s">
        <v>94</v>
      </c>
      <c r="G897" s="210" t="s">
        <v>731</v>
      </c>
      <c r="H897" s="197">
        <v>0</v>
      </c>
      <c r="I897" s="210" t="s">
        <v>225</v>
      </c>
      <c r="J897" s="210">
        <v>2023</v>
      </c>
      <c r="K897" s="210">
        <v>2023</v>
      </c>
      <c r="L897" s="268" t="str">
        <f t="shared" si="179"/>
        <v>Simple</v>
      </c>
      <c r="M897" s="197">
        <v>2910.9341541134741</v>
      </c>
      <c r="N897" s="197">
        <v>4366.4012311702108</v>
      </c>
      <c r="O897" s="257">
        <f>IF(ISNA(MATCH(H897,'Operating leases'!$B$32:$B$43,0)),0,INDEX('Operating leases'!$M$32:$S$43,MATCH(H897,'Operating leases'!$B$32:$B$43,0),MATCH(J897,'Operating leases'!$M$11:$S$11,0)))</f>
        <v>0</v>
      </c>
      <c r="P897" s="257">
        <f t="shared" si="180"/>
        <v>2910.9341541134741</v>
      </c>
      <c r="Q897" s="257">
        <f t="shared" si="181"/>
        <v>7277.3353852836844</v>
      </c>
      <c r="R897" s="258">
        <f>INDEX('Escalators '!$M$124:$S$129,MATCH(I897,'Escalators '!$B$124:$B$129,0),MATCH(J897,'Escalators '!$M$113:$S$113,0))</f>
        <v>1.0700187037302984</v>
      </c>
      <c r="S897" s="257">
        <f t="shared" si="182"/>
        <v>0</v>
      </c>
      <c r="T897" s="257">
        <f t="shared" si="183"/>
        <v>4672.1309853431276</v>
      </c>
      <c r="U897" s="269">
        <f t="shared" si="184"/>
        <v>3114.7539902287517</v>
      </c>
      <c r="V897" s="269">
        <f t="shared" si="185"/>
        <v>7786.8849755718793</v>
      </c>
      <c r="W897" s="269">
        <f t="shared" si="186"/>
        <v>3114.7539902287517</v>
      </c>
      <c r="X897" s="257">
        <f t="shared" si="187"/>
        <v>7786.8849755718793</v>
      </c>
      <c r="Y897" s="270">
        <f>IF(L897="Complex",(INDEX('Escalators '!$M$176:$S$176,MATCH('Forecast capex'!J897,'Escalators '!$M$178:$S$178,0))/12+1)^((K897-J897)*12)-1,0)</f>
        <v>0</v>
      </c>
      <c r="Z897" s="257">
        <f t="shared" si="188"/>
        <v>0</v>
      </c>
      <c r="AA897" s="257">
        <f t="shared" si="189"/>
        <v>0</v>
      </c>
      <c r="AB897" s="269">
        <f t="shared" si="190"/>
        <v>0</v>
      </c>
      <c r="AC897" s="269">
        <f t="shared" si="191"/>
        <v>0</v>
      </c>
      <c r="AD897" s="271" t="str">
        <f>INDEX('Global inputs'!$C$134:$C$171,MATCH(F897,'Global inputs'!$B$134:$B$171,0))</f>
        <v>Consumer connection</v>
      </c>
      <c r="AE897" s="272">
        <f>IF(OR(H897='Operating leases'!$B$32,H897='Operating leases'!$B$33),"",INDEX('Global inputs'!$C$186:$C$243,MATCH(E897,'Global inputs'!$B$186:$B$243,0)))</f>
        <v>0.08</v>
      </c>
    </row>
    <row r="898" spans="1:31" s="27" customFormat="1" x14ac:dyDescent="0.2">
      <c r="A898" s="250"/>
      <c r="B898" s="210" t="s">
        <v>714</v>
      </c>
      <c r="C898" s="210" t="s">
        <v>287</v>
      </c>
      <c r="D898" s="210" t="s">
        <v>729</v>
      </c>
      <c r="E898" s="210" t="s">
        <v>150</v>
      </c>
      <c r="F898" s="210" t="s">
        <v>94</v>
      </c>
      <c r="G898" s="210" t="s">
        <v>731</v>
      </c>
      <c r="H898" s="197">
        <v>0</v>
      </c>
      <c r="I898" s="210" t="s">
        <v>221</v>
      </c>
      <c r="J898" s="210">
        <v>2023</v>
      </c>
      <c r="K898" s="210">
        <v>2023</v>
      </c>
      <c r="L898" s="268" t="str">
        <f t="shared" si="179"/>
        <v>Simple</v>
      </c>
      <c r="M898" s="197">
        <v>11643.736616453896</v>
      </c>
      <c r="N898" s="197">
        <v>17465.604924680843</v>
      </c>
      <c r="O898" s="257">
        <f>IF(ISNA(MATCH(H898,'Operating leases'!$B$32:$B$43,0)),0,INDEX('Operating leases'!$M$32:$S$43,MATCH(H898,'Operating leases'!$B$32:$B$43,0),MATCH(J898,'Operating leases'!$M$11:$S$11,0)))</f>
        <v>0</v>
      </c>
      <c r="P898" s="257">
        <f t="shared" si="180"/>
        <v>11643.736616453896</v>
      </c>
      <c r="Q898" s="257">
        <f t="shared" si="181"/>
        <v>29109.341541134738</v>
      </c>
      <c r="R898" s="258">
        <f>INDEX('Escalators '!$M$124:$S$129,MATCH(I898,'Escalators '!$B$124:$B$129,0),MATCH(J898,'Escalators '!$M$113:$S$113,0))</f>
        <v>1.0486791854231625</v>
      </c>
      <c r="S898" s="257">
        <f t="shared" si="182"/>
        <v>0</v>
      </c>
      <c r="T898" s="257">
        <f t="shared" si="183"/>
        <v>18315.816345337083</v>
      </c>
      <c r="U898" s="269">
        <f t="shared" si="184"/>
        <v>12210.544230224721</v>
      </c>
      <c r="V898" s="269">
        <f t="shared" si="185"/>
        <v>30526.360575561805</v>
      </c>
      <c r="W898" s="269">
        <f t="shared" si="186"/>
        <v>12210.544230224721</v>
      </c>
      <c r="X898" s="257">
        <f t="shared" si="187"/>
        <v>30526.360575561805</v>
      </c>
      <c r="Y898" s="270">
        <f>IF(L898="Complex",(INDEX('Escalators '!$M$176:$S$176,MATCH('Forecast capex'!J898,'Escalators '!$M$178:$S$178,0))/12+1)^((K898-J898)*12)-1,0)</f>
        <v>0</v>
      </c>
      <c r="Z898" s="257">
        <f t="shared" si="188"/>
        <v>0</v>
      </c>
      <c r="AA898" s="257">
        <f t="shared" si="189"/>
        <v>0</v>
      </c>
      <c r="AB898" s="269">
        <f t="shared" si="190"/>
        <v>0</v>
      </c>
      <c r="AC898" s="269">
        <f t="shared" si="191"/>
        <v>0</v>
      </c>
      <c r="AD898" s="271" t="str">
        <f>INDEX('Global inputs'!$C$134:$C$171,MATCH(F898,'Global inputs'!$B$134:$B$171,0))</f>
        <v>Consumer connection</v>
      </c>
      <c r="AE898" s="272">
        <f>IF(OR(H898='Operating leases'!$B$32,H898='Operating leases'!$B$33),"",INDEX('Global inputs'!$C$186:$C$243,MATCH(E898,'Global inputs'!$B$186:$B$243,0)))</f>
        <v>0.08</v>
      </c>
    </row>
    <row r="899" spans="1:31" s="27" customFormat="1" x14ac:dyDescent="0.2">
      <c r="A899" s="250"/>
      <c r="B899" s="210" t="s">
        <v>714</v>
      </c>
      <c r="C899" s="210" t="s">
        <v>287</v>
      </c>
      <c r="D899" s="210" t="s">
        <v>729</v>
      </c>
      <c r="E899" s="210" t="s">
        <v>151</v>
      </c>
      <c r="F899" s="210" t="s">
        <v>94</v>
      </c>
      <c r="G899" s="210" t="s">
        <v>731</v>
      </c>
      <c r="H899" s="197">
        <v>0</v>
      </c>
      <c r="I899" s="210" t="s">
        <v>225</v>
      </c>
      <c r="J899" s="210">
        <v>2023</v>
      </c>
      <c r="K899" s="210">
        <v>2023</v>
      </c>
      <c r="L899" s="268" t="str">
        <f t="shared" si="179"/>
        <v>Simple</v>
      </c>
      <c r="M899" s="197">
        <v>2910.9341541134741</v>
      </c>
      <c r="N899" s="197">
        <v>4366.4012311702108</v>
      </c>
      <c r="O899" s="257">
        <f>IF(ISNA(MATCH(H899,'Operating leases'!$B$32:$B$43,0)),0,INDEX('Operating leases'!$M$32:$S$43,MATCH(H899,'Operating leases'!$B$32:$B$43,0),MATCH(J899,'Operating leases'!$M$11:$S$11,0)))</f>
        <v>0</v>
      </c>
      <c r="P899" s="257">
        <f t="shared" si="180"/>
        <v>2910.9341541134741</v>
      </c>
      <c r="Q899" s="257">
        <f t="shared" si="181"/>
        <v>7277.3353852836844</v>
      </c>
      <c r="R899" s="258">
        <f>INDEX('Escalators '!$M$124:$S$129,MATCH(I899,'Escalators '!$B$124:$B$129,0),MATCH(J899,'Escalators '!$M$113:$S$113,0))</f>
        <v>1.0700187037302984</v>
      </c>
      <c r="S899" s="257">
        <f t="shared" si="182"/>
        <v>0</v>
      </c>
      <c r="T899" s="257">
        <f t="shared" si="183"/>
        <v>4672.1309853431276</v>
      </c>
      <c r="U899" s="269">
        <f t="shared" si="184"/>
        <v>3114.7539902287517</v>
      </c>
      <c r="V899" s="269">
        <f t="shared" si="185"/>
        <v>7786.8849755718793</v>
      </c>
      <c r="W899" s="269">
        <f t="shared" si="186"/>
        <v>3114.7539902287517</v>
      </c>
      <c r="X899" s="257">
        <f t="shared" si="187"/>
        <v>7786.8849755718793</v>
      </c>
      <c r="Y899" s="270">
        <f>IF(L899="Complex",(INDEX('Escalators '!$M$176:$S$176,MATCH('Forecast capex'!J899,'Escalators '!$M$178:$S$178,0))/12+1)^((K899-J899)*12)-1,0)</f>
        <v>0</v>
      </c>
      <c r="Z899" s="257">
        <f t="shared" si="188"/>
        <v>0</v>
      </c>
      <c r="AA899" s="257">
        <f t="shared" si="189"/>
        <v>0</v>
      </c>
      <c r="AB899" s="269">
        <f t="shared" si="190"/>
        <v>0</v>
      </c>
      <c r="AC899" s="269">
        <f t="shared" si="191"/>
        <v>0</v>
      </c>
      <c r="AD899" s="271" t="str">
        <f>INDEX('Global inputs'!$C$134:$C$171,MATCH(F899,'Global inputs'!$B$134:$B$171,0))</f>
        <v>Consumer connection</v>
      </c>
      <c r="AE899" s="272">
        <f>IF(OR(H899='Operating leases'!$B$32,H899='Operating leases'!$B$33),"",INDEX('Global inputs'!$C$186:$C$243,MATCH(E899,'Global inputs'!$B$186:$B$243,0)))</f>
        <v>0.1</v>
      </c>
    </row>
    <row r="900" spans="1:31" s="27" customFormat="1" x14ac:dyDescent="0.2">
      <c r="A900" s="250"/>
      <c r="B900" s="210" t="s">
        <v>714</v>
      </c>
      <c r="C900" s="210" t="s">
        <v>287</v>
      </c>
      <c r="D900" s="210" t="s">
        <v>729</v>
      </c>
      <c r="E900" s="210" t="s">
        <v>151</v>
      </c>
      <c r="F900" s="210" t="s">
        <v>94</v>
      </c>
      <c r="G900" s="210" t="s">
        <v>731</v>
      </c>
      <c r="H900" s="197">
        <v>0</v>
      </c>
      <c r="I900" s="210" t="s">
        <v>221</v>
      </c>
      <c r="J900" s="210">
        <v>2023</v>
      </c>
      <c r="K900" s="210">
        <v>2023</v>
      </c>
      <c r="L900" s="268" t="str">
        <f t="shared" si="179"/>
        <v>Simple</v>
      </c>
      <c r="M900" s="197">
        <v>11643.736616453896</v>
      </c>
      <c r="N900" s="197">
        <v>17465.604924680843</v>
      </c>
      <c r="O900" s="257">
        <f>IF(ISNA(MATCH(H900,'Operating leases'!$B$32:$B$43,0)),0,INDEX('Operating leases'!$M$32:$S$43,MATCH(H900,'Operating leases'!$B$32:$B$43,0),MATCH(J900,'Operating leases'!$M$11:$S$11,0)))</f>
        <v>0</v>
      </c>
      <c r="P900" s="257">
        <f t="shared" si="180"/>
        <v>11643.736616453896</v>
      </c>
      <c r="Q900" s="257">
        <f t="shared" si="181"/>
        <v>29109.341541134738</v>
      </c>
      <c r="R900" s="258">
        <f>INDEX('Escalators '!$M$124:$S$129,MATCH(I900,'Escalators '!$B$124:$B$129,0),MATCH(J900,'Escalators '!$M$113:$S$113,0))</f>
        <v>1.0486791854231625</v>
      </c>
      <c r="S900" s="257">
        <f t="shared" si="182"/>
        <v>0</v>
      </c>
      <c r="T900" s="257">
        <f t="shared" si="183"/>
        <v>18315.816345337083</v>
      </c>
      <c r="U900" s="269">
        <f t="shared" si="184"/>
        <v>12210.544230224721</v>
      </c>
      <c r="V900" s="269">
        <f t="shared" si="185"/>
        <v>30526.360575561805</v>
      </c>
      <c r="W900" s="269">
        <f t="shared" si="186"/>
        <v>12210.544230224721</v>
      </c>
      <c r="X900" s="257">
        <f t="shared" si="187"/>
        <v>30526.360575561805</v>
      </c>
      <c r="Y900" s="270">
        <f>IF(L900="Complex",(INDEX('Escalators '!$M$176:$S$176,MATCH('Forecast capex'!J900,'Escalators '!$M$178:$S$178,0))/12+1)^((K900-J900)*12)-1,0)</f>
        <v>0</v>
      </c>
      <c r="Z900" s="257">
        <f t="shared" si="188"/>
        <v>0</v>
      </c>
      <c r="AA900" s="257">
        <f t="shared" si="189"/>
        <v>0</v>
      </c>
      <c r="AB900" s="269">
        <f t="shared" si="190"/>
        <v>0</v>
      </c>
      <c r="AC900" s="269">
        <f t="shared" si="191"/>
        <v>0</v>
      </c>
      <c r="AD900" s="271" t="str">
        <f>INDEX('Global inputs'!$C$134:$C$171,MATCH(F900,'Global inputs'!$B$134:$B$171,0))</f>
        <v>Consumer connection</v>
      </c>
      <c r="AE900" s="272">
        <f>IF(OR(H900='Operating leases'!$B$32,H900='Operating leases'!$B$33),"",INDEX('Global inputs'!$C$186:$C$243,MATCH(E900,'Global inputs'!$B$186:$B$243,0)))</f>
        <v>0.1</v>
      </c>
    </row>
    <row r="901" spans="1:31" s="27" customFormat="1" x14ac:dyDescent="0.2">
      <c r="A901" s="250"/>
      <c r="B901" s="210" t="s">
        <v>714</v>
      </c>
      <c r="C901" s="210" t="s">
        <v>287</v>
      </c>
      <c r="D901" s="210" t="s">
        <v>729</v>
      </c>
      <c r="E901" s="210" t="s">
        <v>153</v>
      </c>
      <c r="F901" s="210" t="s">
        <v>94</v>
      </c>
      <c r="G901" s="210" t="s">
        <v>737</v>
      </c>
      <c r="H901" s="197">
        <v>0</v>
      </c>
      <c r="I901" s="210" t="s">
        <v>225</v>
      </c>
      <c r="J901" s="210">
        <v>2023</v>
      </c>
      <c r="K901" s="210">
        <v>2023</v>
      </c>
      <c r="L901" s="268" t="str">
        <f t="shared" si="179"/>
        <v>Simple</v>
      </c>
      <c r="M901" s="197">
        <v>2739.7027332832699</v>
      </c>
      <c r="N901" s="197">
        <v>4109.5540999249042</v>
      </c>
      <c r="O901" s="257">
        <f>IF(ISNA(MATCH(H901,'Operating leases'!$B$32:$B$43,0)),0,INDEX('Operating leases'!$M$32:$S$43,MATCH(H901,'Operating leases'!$B$32:$B$43,0),MATCH(J901,'Operating leases'!$M$11:$S$11,0)))</f>
        <v>0</v>
      </c>
      <c r="P901" s="257">
        <f t="shared" si="180"/>
        <v>2739.7027332832699</v>
      </c>
      <c r="Q901" s="257">
        <f t="shared" si="181"/>
        <v>6849.2568332081737</v>
      </c>
      <c r="R901" s="258">
        <f>INDEX('Escalators '!$M$124:$S$129,MATCH(I901,'Escalators '!$B$124:$B$129,0),MATCH(J901,'Escalators '!$M$113:$S$113,0))</f>
        <v>1.0700187037302984</v>
      </c>
      <c r="S901" s="257">
        <f t="shared" si="182"/>
        <v>0</v>
      </c>
      <c r="T901" s="257">
        <f t="shared" si="183"/>
        <v>4397.2997509111792</v>
      </c>
      <c r="U901" s="269">
        <f t="shared" si="184"/>
        <v>2931.5331672741195</v>
      </c>
      <c r="V901" s="269">
        <f t="shared" si="185"/>
        <v>7328.8329181852987</v>
      </c>
      <c r="W901" s="269">
        <f t="shared" si="186"/>
        <v>2931.5331672741195</v>
      </c>
      <c r="X901" s="257">
        <f t="shared" si="187"/>
        <v>7328.8329181852987</v>
      </c>
      <c r="Y901" s="270">
        <f>IF(L901="Complex",(INDEX('Escalators '!$M$176:$S$176,MATCH('Forecast capex'!J901,'Escalators '!$M$178:$S$178,0))/12+1)^((K901-J901)*12)-1,0)</f>
        <v>0</v>
      </c>
      <c r="Z901" s="257">
        <f t="shared" si="188"/>
        <v>0</v>
      </c>
      <c r="AA901" s="257">
        <f t="shared" si="189"/>
        <v>0</v>
      </c>
      <c r="AB901" s="269">
        <f t="shared" si="190"/>
        <v>0</v>
      </c>
      <c r="AC901" s="269">
        <f t="shared" si="191"/>
        <v>0</v>
      </c>
      <c r="AD901" s="271" t="str">
        <f>INDEX('Global inputs'!$C$134:$C$171,MATCH(F901,'Global inputs'!$B$134:$B$171,0))</f>
        <v>Consumer connection</v>
      </c>
      <c r="AE901" s="272">
        <f>IF(OR(H901='Operating leases'!$B$32,H901='Operating leases'!$B$33),"",INDEX('Global inputs'!$C$186:$C$243,MATCH(E901,'Global inputs'!$B$186:$B$243,0)))</f>
        <v>0.08</v>
      </c>
    </row>
    <row r="902" spans="1:31" s="27" customFormat="1" x14ac:dyDescent="0.2">
      <c r="A902" s="250"/>
      <c r="B902" s="210" t="s">
        <v>714</v>
      </c>
      <c r="C902" s="210" t="s">
        <v>287</v>
      </c>
      <c r="D902" s="210" t="s">
        <v>729</v>
      </c>
      <c r="E902" s="210" t="s">
        <v>153</v>
      </c>
      <c r="F902" s="210" t="s">
        <v>94</v>
      </c>
      <c r="G902" s="210" t="s">
        <v>737</v>
      </c>
      <c r="H902" s="197">
        <v>0</v>
      </c>
      <c r="I902" s="210" t="s">
        <v>221</v>
      </c>
      <c r="J902" s="210">
        <v>2023</v>
      </c>
      <c r="K902" s="210">
        <v>2023</v>
      </c>
      <c r="L902" s="268" t="str">
        <f t="shared" si="179"/>
        <v>Simple</v>
      </c>
      <c r="M902" s="197">
        <v>10958.81093313308</v>
      </c>
      <c r="N902" s="197">
        <v>16438.216399699617</v>
      </c>
      <c r="O902" s="257">
        <f>IF(ISNA(MATCH(H902,'Operating leases'!$B$32:$B$43,0)),0,INDEX('Operating leases'!$M$32:$S$43,MATCH(H902,'Operating leases'!$B$32:$B$43,0),MATCH(J902,'Operating leases'!$M$11:$S$11,0)))</f>
        <v>0</v>
      </c>
      <c r="P902" s="257">
        <f t="shared" si="180"/>
        <v>10958.81093313308</v>
      </c>
      <c r="Q902" s="257">
        <f t="shared" si="181"/>
        <v>27397.027332832695</v>
      </c>
      <c r="R902" s="258">
        <f>INDEX('Escalators '!$M$124:$S$129,MATCH(I902,'Escalators '!$B$124:$B$129,0),MATCH(J902,'Escalators '!$M$113:$S$113,0))</f>
        <v>1.0486791854231625</v>
      </c>
      <c r="S902" s="257">
        <f t="shared" si="182"/>
        <v>0</v>
      </c>
      <c r="T902" s="257">
        <f t="shared" si="183"/>
        <v>17238.415383846666</v>
      </c>
      <c r="U902" s="269">
        <f t="shared" si="184"/>
        <v>11492.276922564444</v>
      </c>
      <c r="V902" s="269">
        <f t="shared" si="185"/>
        <v>28730.692306411111</v>
      </c>
      <c r="W902" s="269">
        <f t="shared" si="186"/>
        <v>11492.276922564444</v>
      </c>
      <c r="X902" s="257">
        <f t="shared" si="187"/>
        <v>28730.692306411111</v>
      </c>
      <c r="Y902" s="270">
        <f>IF(L902="Complex",(INDEX('Escalators '!$M$176:$S$176,MATCH('Forecast capex'!J902,'Escalators '!$M$178:$S$178,0))/12+1)^((K902-J902)*12)-1,0)</f>
        <v>0</v>
      </c>
      <c r="Z902" s="257">
        <f t="shared" si="188"/>
        <v>0</v>
      </c>
      <c r="AA902" s="257">
        <f t="shared" si="189"/>
        <v>0</v>
      </c>
      <c r="AB902" s="269">
        <f t="shared" si="190"/>
        <v>0</v>
      </c>
      <c r="AC902" s="269">
        <f t="shared" si="191"/>
        <v>0</v>
      </c>
      <c r="AD902" s="271" t="str">
        <f>INDEX('Global inputs'!$C$134:$C$171,MATCH(F902,'Global inputs'!$B$134:$B$171,0))</f>
        <v>Consumer connection</v>
      </c>
      <c r="AE902" s="272">
        <f>IF(OR(H902='Operating leases'!$B$32,H902='Operating leases'!$B$33),"",INDEX('Global inputs'!$C$186:$C$243,MATCH(E902,'Global inputs'!$B$186:$B$243,0)))</f>
        <v>0.08</v>
      </c>
    </row>
    <row r="903" spans="1:31" s="27" customFormat="1" x14ac:dyDescent="0.2">
      <c r="A903" s="250"/>
      <c r="B903" s="210" t="s">
        <v>714</v>
      </c>
      <c r="C903" s="210" t="s">
        <v>287</v>
      </c>
      <c r="D903" s="210" t="s">
        <v>729</v>
      </c>
      <c r="E903" s="210" t="s">
        <v>154</v>
      </c>
      <c r="F903" s="210" t="s">
        <v>94</v>
      </c>
      <c r="G903" s="210" t="s">
        <v>737</v>
      </c>
      <c r="H903" s="197">
        <v>0</v>
      </c>
      <c r="I903" s="210" t="s">
        <v>225</v>
      </c>
      <c r="J903" s="210">
        <v>2023</v>
      </c>
      <c r="K903" s="210">
        <v>2023</v>
      </c>
      <c r="L903" s="268" t="str">
        <f t="shared" si="179"/>
        <v>Simple</v>
      </c>
      <c r="M903" s="197">
        <v>2739.7027332832699</v>
      </c>
      <c r="N903" s="197">
        <v>4109.5540999249042</v>
      </c>
      <c r="O903" s="257">
        <f>IF(ISNA(MATCH(H903,'Operating leases'!$B$32:$B$43,0)),0,INDEX('Operating leases'!$M$32:$S$43,MATCH(H903,'Operating leases'!$B$32:$B$43,0),MATCH(J903,'Operating leases'!$M$11:$S$11,0)))</f>
        <v>0</v>
      </c>
      <c r="P903" s="257">
        <f t="shared" si="180"/>
        <v>2739.7027332832699</v>
      </c>
      <c r="Q903" s="257">
        <f t="shared" si="181"/>
        <v>6849.2568332081737</v>
      </c>
      <c r="R903" s="258">
        <f>INDEX('Escalators '!$M$124:$S$129,MATCH(I903,'Escalators '!$B$124:$B$129,0),MATCH(J903,'Escalators '!$M$113:$S$113,0))</f>
        <v>1.0700187037302984</v>
      </c>
      <c r="S903" s="257">
        <f t="shared" si="182"/>
        <v>0</v>
      </c>
      <c r="T903" s="257">
        <f t="shared" si="183"/>
        <v>4397.2997509111792</v>
      </c>
      <c r="U903" s="269">
        <f t="shared" si="184"/>
        <v>2931.5331672741195</v>
      </c>
      <c r="V903" s="269">
        <f t="shared" si="185"/>
        <v>7328.8329181852987</v>
      </c>
      <c r="W903" s="269">
        <f t="shared" si="186"/>
        <v>2931.5331672741195</v>
      </c>
      <c r="X903" s="257">
        <f t="shared" si="187"/>
        <v>7328.8329181852987</v>
      </c>
      <c r="Y903" s="270">
        <f>IF(L903="Complex",(INDEX('Escalators '!$M$176:$S$176,MATCH('Forecast capex'!J903,'Escalators '!$M$178:$S$178,0))/12+1)^((K903-J903)*12)-1,0)</f>
        <v>0</v>
      </c>
      <c r="Z903" s="257">
        <f t="shared" si="188"/>
        <v>0</v>
      </c>
      <c r="AA903" s="257">
        <f t="shared" si="189"/>
        <v>0</v>
      </c>
      <c r="AB903" s="269">
        <f t="shared" si="190"/>
        <v>0</v>
      </c>
      <c r="AC903" s="269">
        <f t="shared" si="191"/>
        <v>0</v>
      </c>
      <c r="AD903" s="271" t="str">
        <f>INDEX('Global inputs'!$C$134:$C$171,MATCH(F903,'Global inputs'!$B$134:$B$171,0))</f>
        <v>Consumer connection</v>
      </c>
      <c r="AE903" s="272">
        <f>IF(OR(H903='Operating leases'!$B$32,H903='Operating leases'!$B$33),"",INDEX('Global inputs'!$C$186:$C$243,MATCH(E903,'Global inputs'!$B$186:$B$243,0)))</f>
        <v>0.1</v>
      </c>
    </row>
    <row r="904" spans="1:31" s="27" customFormat="1" x14ac:dyDescent="0.2">
      <c r="A904" s="250"/>
      <c r="B904" s="210" t="s">
        <v>714</v>
      </c>
      <c r="C904" s="210" t="s">
        <v>287</v>
      </c>
      <c r="D904" s="210" t="s">
        <v>729</v>
      </c>
      <c r="E904" s="210" t="s">
        <v>154</v>
      </c>
      <c r="F904" s="210" t="s">
        <v>94</v>
      </c>
      <c r="G904" s="210" t="s">
        <v>737</v>
      </c>
      <c r="H904" s="197">
        <v>0</v>
      </c>
      <c r="I904" s="210" t="s">
        <v>221</v>
      </c>
      <c r="J904" s="210">
        <v>2023</v>
      </c>
      <c r="K904" s="210">
        <v>2023</v>
      </c>
      <c r="L904" s="268" t="str">
        <f t="shared" si="179"/>
        <v>Simple</v>
      </c>
      <c r="M904" s="197">
        <v>10958.81093313308</v>
      </c>
      <c r="N904" s="197">
        <v>16438.216399699617</v>
      </c>
      <c r="O904" s="257">
        <f>IF(ISNA(MATCH(H904,'Operating leases'!$B$32:$B$43,0)),0,INDEX('Operating leases'!$M$32:$S$43,MATCH(H904,'Operating leases'!$B$32:$B$43,0),MATCH(J904,'Operating leases'!$M$11:$S$11,0)))</f>
        <v>0</v>
      </c>
      <c r="P904" s="257">
        <f t="shared" si="180"/>
        <v>10958.81093313308</v>
      </c>
      <c r="Q904" s="257">
        <f t="shared" si="181"/>
        <v>27397.027332832695</v>
      </c>
      <c r="R904" s="258">
        <f>INDEX('Escalators '!$M$124:$S$129,MATCH(I904,'Escalators '!$B$124:$B$129,0),MATCH(J904,'Escalators '!$M$113:$S$113,0))</f>
        <v>1.0486791854231625</v>
      </c>
      <c r="S904" s="257">
        <f t="shared" si="182"/>
        <v>0</v>
      </c>
      <c r="T904" s="257">
        <f t="shared" si="183"/>
        <v>17238.415383846666</v>
      </c>
      <c r="U904" s="269">
        <f t="shared" si="184"/>
        <v>11492.276922564444</v>
      </c>
      <c r="V904" s="269">
        <f t="shared" si="185"/>
        <v>28730.692306411111</v>
      </c>
      <c r="W904" s="269">
        <f t="shared" si="186"/>
        <v>11492.276922564444</v>
      </c>
      <c r="X904" s="257">
        <f t="shared" si="187"/>
        <v>28730.692306411111</v>
      </c>
      <c r="Y904" s="270">
        <f>IF(L904="Complex",(INDEX('Escalators '!$M$176:$S$176,MATCH('Forecast capex'!J904,'Escalators '!$M$178:$S$178,0))/12+1)^((K904-J904)*12)-1,0)</f>
        <v>0</v>
      </c>
      <c r="Z904" s="257">
        <f t="shared" si="188"/>
        <v>0</v>
      </c>
      <c r="AA904" s="257">
        <f t="shared" si="189"/>
        <v>0</v>
      </c>
      <c r="AB904" s="269">
        <f t="shared" si="190"/>
        <v>0</v>
      </c>
      <c r="AC904" s="269">
        <f t="shared" si="191"/>
        <v>0</v>
      </c>
      <c r="AD904" s="271" t="str">
        <f>INDEX('Global inputs'!$C$134:$C$171,MATCH(F904,'Global inputs'!$B$134:$B$171,0))</f>
        <v>Consumer connection</v>
      </c>
      <c r="AE904" s="272">
        <f>IF(OR(H904='Operating leases'!$B$32,H904='Operating leases'!$B$33),"",INDEX('Global inputs'!$C$186:$C$243,MATCH(E904,'Global inputs'!$B$186:$B$243,0)))</f>
        <v>0.1</v>
      </c>
    </row>
    <row r="905" spans="1:31" s="27" customFormat="1" x14ac:dyDescent="0.2">
      <c r="A905" s="250"/>
      <c r="B905" s="210" t="s">
        <v>714</v>
      </c>
      <c r="C905" s="210" t="s">
        <v>291</v>
      </c>
      <c r="D905" s="210">
        <v>0</v>
      </c>
      <c r="E905" s="210" t="s">
        <v>176</v>
      </c>
      <c r="F905" s="210" t="s">
        <v>94</v>
      </c>
      <c r="G905" s="210" t="s">
        <v>229</v>
      </c>
      <c r="H905" s="197">
        <v>0</v>
      </c>
      <c r="I905" s="210" t="s">
        <v>229</v>
      </c>
      <c r="J905" s="210">
        <v>2023</v>
      </c>
      <c r="K905" s="210">
        <v>2023</v>
      </c>
      <c r="L905" s="268" t="str">
        <f t="shared" si="179"/>
        <v>Simple</v>
      </c>
      <c r="M905" s="197">
        <v>1712.3142083020434</v>
      </c>
      <c r="N905" s="197">
        <v>2568.4713124530649</v>
      </c>
      <c r="O905" s="257">
        <f>IF(ISNA(MATCH(H905,'Operating leases'!$B$32:$B$43,0)),0,INDEX('Operating leases'!$M$32:$S$43,MATCH(H905,'Operating leases'!$B$32:$B$43,0),MATCH(J905,'Operating leases'!$M$11:$S$11,0)))</f>
        <v>0</v>
      </c>
      <c r="P905" s="257">
        <f t="shared" si="180"/>
        <v>1712.3142083020434</v>
      </c>
      <c r="Q905" s="257">
        <f t="shared" si="181"/>
        <v>4280.7855207551083</v>
      </c>
      <c r="R905" s="258">
        <f>INDEX('Escalators '!$M$124:$S$129,MATCH(I905,'Escalators '!$B$124:$B$129,0),MATCH(J905,'Escalators '!$M$113:$S$113,0))</f>
        <v>1.0553567720906862</v>
      </c>
      <c r="S905" s="257">
        <f t="shared" si="182"/>
        <v>0</v>
      </c>
      <c r="T905" s="257">
        <f t="shared" si="183"/>
        <v>2710.653593517995</v>
      </c>
      <c r="U905" s="269">
        <f t="shared" si="184"/>
        <v>1807.1023956786635</v>
      </c>
      <c r="V905" s="269">
        <f t="shared" si="185"/>
        <v>4517.7559891966584</v>
      </c>
      <c r="W905" s="269">
        <f t="shared" si="186"/>
        <v>1807.1023956786635</v>
      </c>
      <c r="X905" s="257">
        <f t="shared" si="187"/>
        <v>4517.7559891966584</v>
      </c>
      <c r="Y905" s="270">
        <f>IF(L905="Complex",(INDEX('Escalators '!$M$176:$S$176,MATCH('Forecast capex'!J905,'Escalators '!$M$178:$S$178,0))/12+1)^((K905-J905)*12)-1,0)</f>
        <v>0</v>
      </c>
      <c r="Z905" s="257">
        <f t="shared" si="188"/>
        <v>0</v>
      </c>
      <c r="AA905" s="257">
        <f t="shared" si="189"/>
        <v>0</v>
      </c>
      <c r="AB905" s="269">
        <f t="shared" si="190"/>
        <v>0</v>
      </c>
      <c r="AC905" s="269">
        <f t="shared" si="191"/>
        <v>0</v>
      </c>
      <c r="AD905" s="271" t="str">
        <f>INDEX('Global inputs'!$C$134:$C$171,MATCH(F905,'Global inputs'!$B$134:$B$171,0))</f>
        <v>Consumer connection</v>
      </c>
      <c r="AE905" s="272">
        <f>IF(OR(H905='Operating leases'!$B$32,H905='Operating leases'!$B$33),"",INDEX('Global inputs'!$C$186:$C$243,MATCH(E905,'Global inputs'!$B$186:$B$243,0)))</f>
        <v>0.1</v>
      </c>
    </row>
    <row r="906" spans="1:31" s="27" customFormat="1" x14ac:dyDescent="0.2">
      <c r="A906" s="250"/>
      <c r="B906" s="210" t="s">
        <v>738</v>
      </c>
      <c r="C906" s="210" t="s">
        <v>292</v>
      </c>
      <c r="D906" s="210" t="s">
        <v>739</v>
      </c>
      <c r="E906" s="210" t="s">
        <v>178</v>
      </c>
      <c r="F906" s="210" t="s">
        <v>91</v>
      </c>
      <c r="G906" s="210" t="s">
        <v>137</v>
      </c>
      <c r="H906" s="197">
        <v>0</v>
      </c>
      <c r="I906" s="210" t="s">
        <v>229</v>
      </c>
      <c r="J906" s="210">
        <v>2023</v>
      </c>
      <c r="K906" s="210">
        <v>2023</v>
      </c>
      <c r="L906" s="268" t="str">
        <f t="shared" ref="L906:L969" si="192">IF(J906=K906,"Simple","Complex")</f>
        <v>Simple</v>
      </c>
      <c r="M906" s="197">
        <v>55984.032351474874</v>
      </c>
      <c r="N906" s="197">
        <v>0</v>
      </c>
      <c r="O906" s="257">
        <f>IF(ISNA(MATCH(H906,'Operating leases'!$B$32:$B$43,0)),0,INDEX('Operating leases'!$M$32:$S$43,MATCH(H906,'Operating leases'!$B$32:$B$43,0),MATCH(J906,'Operating leases'!$M$11:$S$11,0)))</f>
        <v>0</v>
      </c>
      <c r="P906" s="257">
        <f t="shared" ref="P906:P969" si="193">O906+M906</f>
        <v>55984.032351474874</v>
      </c>
      <c r="Q906" s="257">
        <f t="shared" ref="Q906:Q969" si="194">M906+N906+O906</f>
        <v>55984.032351474874</v>
      </c>
      <c r="R906" s="258">
        <f>INDEX('Escalators '!$M$124:$S$129,MATCH(I906,'Escalators '!$B$124:$B$129,0),MATCH(J906,'Escalators '!$M$113:$S$113,0))</f>
        <v>1.0553567720906862</v>
      </c>
      <c r="S906" s="257">
        <f t="shared" ref="S906:S969" si="195">O906*R906</f>
        <v>0</v>
      </c>
      <c r="T906" s="257">
        <f t="shared" ref="T906:T969" si="196">N906*R906</f>
        <v>0</v>
      </c>
      <c r="U906" s="269">
        <f t="shared" ref="U906:U969" si="197">W906-S906</f>
        <v>59083.127671073074</v>
      </c>
      <c r="V906" s="269">
        <f t="shared" ref="V906:V969" si="198">U906+T906</f>
        <v>59083.127671073074</v>
      </c>
      <c r="W906" s="269">
        <f t="shared" ref="W906:W969" si="199">X906-T906</f>
        <v>59083.127671073074</v>
      </c>
      <c r="X906" s="257">
        <f t="shared" ref="X906:X969" si="200">Q906*R906</f>
        <v>59083.127671073074</v>
      </c>
      <c r="Y906" s="270">
        <f>IF(L906="Complex",(INDEX('Escalators '!$M$176:$S$176,MATCH('Forecast capex'!J906,'Escalators '!$M$178:$S$178,0))/12+1)^((K906-J906)*12)-1,0)</f>
        <v>0</v>
      </c>
      <c r="Z906" s="257">
        <f t="shared" ref="Z906:Z969" si="201">P906*Y906</f>
        <v>0</v>
      </c>
      <c r="AA906" s="257">
        <f t="shared" ref="AA906:AA969" si="202">W906*Y906</f>
        <v>0</v>
      </c>
      <c r="AB906" s="269">
        <f t="shared" ref="AB906:AB969" si="203">IF(L906="Complex",AC906-T906,0)</f>
        <v>0</v>
      </c>
      <c r="AC906" s="269">
        <f t="shared" ref="AC906:AC969" si="204">IF(L906="Complex",V906+AA906,0)</f>
        <v>0</v>
      </c>
      <c r="AD906" s="271" t="str">
        <f>INDEX('Global inputs'!$C$134:$C$171,MATCH(F906,'Global inputs'!$B$134:$B$171,0))</f>
        <v>Non-network CAPEX</v>
      </c>
      <c r="AE906" s="272">
        <f>IF(OR(H906='Operating leases'!$B$32,H906='Operating leases'!$B$33),"",INDEX('Global inputs'!$C$186:$C$243,MATCH(E906,'Global inputs'!$B$186:$B$243,0)))</f>
        <v>0</v>
      </c>
    </row>
    <row r="907" spans="1:31" s="27" customFormat="1" x14ac:dyDescent="0.2">
      <c r="A907" s="250"/>
      <c r="B907" s="210" t="s">
        <v>738</v>
      </c>
      <c r="C907" s="210" t="s">
        <v>292</v>
      </c>
      <c r="D907" s="210" t="s">
        <v>739</v>
      </c>
      <c r="E907" s="210" t="s">
        <v>179</v>
      </c>
      <c r="F907" s="210" t="s">
        <v>91</v>
      </c>
      <c r="G907" s="210" t="s">
        <v>740</v>
      </c>
      <c r="H907" s="197">
        <v>0</v>
      </c>
      <c r="I907" s="210" t="s">
        <v>229</v>
      </c>
      <c r="J907" s="210">
        <v>2023</v>
      </c>
      <c r="K907" s="210">
        <v>2023</v>
      </c>
      <c r="L907" s="268" t="str">
        <f t="shared" si="192"/>
        <v>Simple</v>
      </c>
      <c r="M907" s="197">
        <v>279920.16175737436</v>
      </c>
      <c r="N907" s="197">
        <v>0</v>
      </c>
      <c r="O907" s="257">
        <f>IF(ISNA(MATCH(H907,'Operating leases'!$B$32:$B$43,0)),0,INDEX('Operating leases'!$M$32:$S$43,MATCH(H907,'Operating leases'!$B$32:$B$43,0),MATCH(J907,'Operating leases'!$M$11:$S$11,0)))</f>
        <v>0</v>
      </c>
      <c r="P907" s="257">
        <f t="shared" si="193"/>
        <v>279920.16175737436</v>
      </c>
      <c r="Q907" s="257">
        <f t="shared" si="194"/>
        <v>279920.16175737436</v>
      </c>
      <c r="R907" s="258">
        <f>INDEX('Escalators '!$M$124:$S$129,MATCH(I907,'Escalators '!$B$124:$B$129,0),MATCH(J907,'Escalators '!$M$113:$S$113,0))</f>
        <v>1.0553567720906862</v>
      </c>
      <c r="S907" s="257">
        <f t="shared" si="195"/>
        <v>0</v>
      </c>
      <c r="T907" s="257">
        <f t="shared" si="196"/>
        <v>0</v>
      </c>
      <c r="U907" s="269">
        <f t="shared" si="197"/>
        <v>295415.63835536537</v>
      </c>
      <c r="V907" s="269">
        <f t="shared" si="198"/>
        <v>295415.63835536537</v>
      </c>
      <c r="W907" s="269">
        <f t="shared" si="199"/>
        <v>295415.63835536537</v>
      </c>
      <c r="X907" s="257">
        <f t="shared" si="200"/>
        <v>295415.63835536537</v>
      </c>
      <c r="Y907" s="270">
        <f>IF(L907="Complex",(INDEX('Escalators '!$M$176:$S$176,MATCH('Forecast capex'!J907,'Escalators '!$M$178:$S$178,0))/12+1)^((K907-J907)*12)-1,0)</f>
        <v>0</v>
      </c>
      <c r="Z907" s="257">
        <f t="shared" si="201"/>
        <v>0</v>
      </c>
      <c r="AA907" s="257">
        <f t="shared" si="202"/>
        <v>0</v>
      </c>
      <c r="AB907" s="269">
        <f t="shared" si="203"/>
        <v>0</v>
      </c>
      <c r="AC907" s="269">
        <f t="shared" si="204"/>
        <v>0</v>
      </c>
      <c r="AD907" s="271" t="str">
        <f>INDEX('Global inputs'!$C$134:$C$171,MATCH(F907,'Global inputs'!$B$134:$B$171,0))</f>
        <v>Non-network CAPEX</v>
      </c>
      <c r="AE907" s="272">
        <f>IF(OR(H907='Operating leases'!$B$32,H907='Operating leases'!$B$33),"",INDEX('Global inputs'!$C$186:$C$243,MATCH(E907,'Global inputs'!$B$186:$B$243,0)))</f>
        <v>0.13</v>
      </c>
    </row>
    <row r="908" spans="1:31" s="27" customFormat="1" x14ac:dyDescent="0.2">
      <c r="A908" s="250"/>
      <c r="B908" s="210" t="s">
        <v>738</v>
      </c>
      <c r="C908" s="210" t="s">
        <v>292</v>
      </c>
      <c r="D908" s="210" t="s">
        <v>739</v>
      </c>
      <c r="E908" s="210" t="s">
        <v>185</v>
      </c>
      <c r="F908" s="210" t="s">
        <v>91</v>
      </c>
      <c r="G908" s="210" t="s">
        <v>741</v>
      </c>
      <c r="H908" s="197">
        <v>0</v>
      </c>
      <c r="I908" s="210" t="s">
        <v>229</v>
      </c>
      <c r="J908" s="210">
        <v>2023</v>
      </c>
      <c r="K908" s="210">
        <v>2023</v>
      </c>
      <c r="L908" s="268" t="str">
        <f t="shared" si="192"/>
        <v>Simple</v>
      </c>
      <c r="M908" s="197">
        <v>223936.1294058995</v>
      </c>
      <c r="N908" s="197">
        <v>0</v>
      </c>
      <c r="O908" s="257">
        <f>IF(ISNA(MATCH(H908,'Operating leases'!$B$32:$B$43,0)),0,INDEX('Operating leases'!$M$32:$S$43,MATCH(H908,'Operating leases'!$B$32:$B$43,0),MATCH(J908,'Operating leases'!$M$11:$S$11,0)))</f>
        <v>0</v>
      </c>
      <c r="P908" s="257">
        <f t="shared" si="193"/>
        <v>223936.1294058995</v>
      </c>
      <c r="Q908" s="257">
        <f t="shared" si="194"/>
        <v>223936.1294058995</v>
      </c>
      <c r="R908" s="258">
        <f>INDEX('Escalators '!$M$124:$S$129,MATCH(I908,'Escalators '!$B$124:$B$129,0),MATCH(J908,'Escalators '!$M$113:$S$113,0))</f>
        <v>1.0553567720906862</v>
      </c>
      <c r="S908" s="257">
        <f t="shared" si="195"/>
        <v>0</v>
      </c>
      <c r="T908" s="257">
        <f t="shared" si="196"/>
        <v>0</v>
      </c>
      <c r="U908" s="269">
        <f t="shared" si="197"/>
        <v>236332.5106842923</v>
      </c>
      <c r="V908" s="269">
        <f t="shared" si="198"/>
        <v>236332.5106842923</v>
      </c>
      <c r="W908" s="269">
        <f t="shared" si="199"/>
        <v>236332.5106842923</v>
      </c>
      <c r="X908" s="257">
        <f t="shared" si="200"/>
        <v>236332.5106842923</v>
      </c>
      <c r="Y908" s="270">
        <f>IF(L908="Complex",(INDEX('Escalators '!$M$176:$S$176,MATCH('Forecast capex'!J908,'Escalators '!$M$178:$S$178,0))/12+1)^((K908-J908)*12)-1,0)</f>
        <v>0</v>
      </c>
      <c r="Z908" s="257">
        <f t="shared" si="201"/>
        <v>0</v>
      </c>
      <c r="AA908" s="257">
        <f t="shared" si="202"/>
        <v>0</v>
      </c>
      <c r="AB908" s="269">
        <f t="shared" si="203"/>
        <v>0</v>
      </c>
      <c r="AC908" s="269">
        <f t="shared" si="204"/>
        <v>0</v>
      </c>
      <c r="AD908" s="271" t="str">
        <f>INDEX('Global inputs'!$C$134:$C$171,MATCH(F908,'Global inputs'!$B$134:$B$171,0))</f>
        <v>Non-network CAPEX</v>
      </c>
      <c r="AE908" s="272">
        <f>IF(OR(H908='Operating leases'!$B$32,H908='Operating leases'!$B$33),"",INDEX('Global inputs'!$C$186:$C$243,MATCH(E908,'Global inputs'!$B$186:$B$243,0)))</f>
        <v>0.2</v>
      </c>
    </row>
    <row r="909" spans="1:31" s="27" customFormat="1" x14ac:dyDescent="0.2">
      <c r="A909" s="250"/>
      <c r="B909" s="210" t="s">
        <v>714</v>
      </c>
      <c r="C909" s="210" t="s">
        <v>291</v>
      </c>
      <c r="D909" s="210">
        <v>0</v>
      </c>
      <c r="E909" s="210" t="s">
        <v>176</v>
      </c>
      <c r="F909" s="210" t="s">
        <v>96</v>
      </c>
      <c r="G909" s="210" t="s">
        <v>229</v>
      </c>
      <c r="H909" s="197">
        <v>0</v>
      </c>
      <c r="I909" s="210" t="s">
        <v>229</v>
      </c>
      <c r="J909" s="210">
        <v>2023</v>
      </c>
      <c r="K909" s="210">
        <v>2023</v>
      </c>
      <c r="L909" s="268" t="str">
        <f t="shared" si="192"/>
        <v>Simple</v>
      </c>
      <c r="M909" s="197">
        <v>435174.41666666663</v>
      </c>
      <c r="N909" s="197">
        <v>0</v>
      </c>
      <c r="O909" s="257">
        <f>IF(ISNA(MATCH(H909,'Operating leases'!$B$32:$B$43,0)),0,INDEX('Operating leases'!$M$32:$S$43,MATCH(H909,'Operating leases'!$B$32:$B$43,0),MATCH(J909,'Operating leases'!$M$11:$S$11,0)))</f>
        <v>0</v>
      </c>
      <c r="P909" s="257">
        <f t="shared" si="193"/>
        <v>435174.41666666663</v>
      </c>
      <c r="Q909" s="257">
        <f t="shared" si="194"/>
        <v>435174.41666666663</v>
      </c>
      <c r="R909" s="258">
        <f>INDEX('Escalators '!$M$124:$S$129,MATCH(I909,'Escalators '!$B$124:$B$129,0),MATCH(J909,'Escalators '!$M$113:$S$113,0))</f>
        <v>1.0553567720906862</v>
      </c>
      <c r="S909" s="257">
        <f t="shared" si="195"/>
        <v>0</v>
      </c>
      <c r="T909" s="257">
        <f t="shared" si="196"/>
        <v>0</v>
      </c>
      <c r="U909" s="269">
        <f t="shared" si="197"/>
        <v>459264.26766978065</v>
      </c>
      <c r="V909" s="269">
        <f t="shared" si="198"/>
        <v>459264.26766978065</v>
      </c>
      <c r="W909" s="269">
        <f t="shared" si="199"/>
        <v>459264.26766978065</v>
      </c>
      <c r="X909" s="257">
        <f t="shared" si="200"/>
        <v>459264.26766978065</v>
      </c>
      <c r="Y909" s="270">
        <f>IF(L909="Complex",(INDEX('Escalators '!$M$176:$S$176,MATCH('Forecast capex'!J909,'Escalators '!$M$178:$S$178,0))/12+1)^((K909-J909)*12)-1,0)</f>
        <v>0</v>
      </c>
      <c r="Z909" s="257">
        <f t="shared" si="201"/>
        <v>0</v>
      </c>
      <c r="AA909" s="257">
        <f t="shared" si="202"/>
        <v>0</v>
      </c>
      <c r="AB909" s="269">
        <f t="shared" si="203"/>
        <v>0</v>
      </c>
      <c r="AC909" s="269">
        <f t="shared" si="204"/>
        <v>0</v>
      </c>
      <c r="AD909" s="271" t="str">
        <f>INDEX('Global inputs'!$C$134:$C$171,MATCH(F909,'Global inputs'!$B$134:$B$171,0))</f>
        <v>Quality of supply</v>
      </c>
      <c r="AE909" s="272">
        <f>IF(OR(H909='Operating leases'!$B$32,H909='Operating leases'!$B$33),"",INDEX('Global inputs'!$C$186:$C$243,MATCH(E909,'Global inputs'!$B$186:$B$243,0)))</f>
        <v>0.1</v>
      </c>
    </row>
    <row r="910" spans="1:31" s="27" customFormat="1" x14ac:dyDescent="0.2">
      <c r="A910" s="250"/>
      <c r="B910" s="210" t="s">
        <v>742</v>
      </c>
      <c r="C910" s="210" t="s">
        <v>289</v>
      </c>
      <c r="D910" s="210" t="s">
        <v>723</v>
      </c>
      <c r="E910" s="210" t="s">
        <v>163</v>
      </c>
      <c r="F910" s="210" t="s">
        <v>115</v>
      </c>
      <c r="G910" s="210" t="s">
        <v>725</v>
      </c>
      <c r="H910" s="197">
        <v>0</v>
      </c>
      <c r="I910" s="210" t="s">
        <v>139</v>
      </c>
      <c r="J910" s="210">
        <v>2023</v>
      </c>
      <c r="K910" s="210">
        <v>2023</v>
      </c>
      <c r="L910" s="268" t="str">
        <f t="shared" si="192"/>
        <v>Simple</v>
      </c>
      <c r="M910" s="197">
        <v>1768835.4</v>
      </c>
      <c r="N910" s="197">
        <v>0</v>
      </c>
      <c r="O910" s="257">
        <f>IF(ISNA(MATCH(H910,'Operating leases'!$B$32:$B$43,0)),0,INDEX('Operating leases'!$M$32:$S$43,MATCH(H910,'Operating leases'!$B$32:$B$43,0),MATCH(J910,'Operating leases'!$M$11:$S$11,0)))</f>
        <v>0</v>
      </c>
      <c r="P910" s="257">
        <f t="shared" si="193"/>
        <v>1768835.4</v>
      </c>
      <c r="Q910" s="257">
        <f t="shared" si="194"/>
        <v>1768835.4</v>
      </c>
      <c r="R910" s="258">
        <f>INDEX('Escalators '!$M$124:$S$129,MATCH(I910,'Escalators '!$B$124:$B$129,0),MATCH(J910,'Escalators '!$M$113:$S$113,0))</f>
        <v>1.0254948937589263</v>
      </c>
      <c r="S910" s="257">
        <f t="shared" si="195"/>
        <v>0</v>
      </c>
      <c r="T910" s="257">
        <f t="shared" si="196"/>
        <v>0</v>
      </c>
      <c r="U910" s="269">
        <f t="shared" si="197"/>
        <v>1813931.6706000278</v>
      </c>
      <c r="V910" s="269">
        <f t="shared" si="198"/>
        <v>1813931.6706000278</v>
      </c>
      <c r="W910" s="269">
        <f t="shared" si="199"/>
        <v>1813931.6706000278</v>
      </c>
      <c r="X910" s="257">
        <f t="shared" si="200"/>
        <v>1813931.6706000278</v>
      </c>
      <c r="Y910" s="270">
        <f>IF(L910="Complex",(INDEX('Escalators '!$M$176:$S$176,MATCH('Forecast capex'!J910,'Escalators '!$M$178:$S$178,0))/12+1)^((K910-J910)*12)-1,0)</f>
        <v>0</v>
      </c>
      <c r="Z910" s="257">
        <f t="shared" si="201"/>
        <v>0</v>
      </c>
      <c r="AA910" s="257">
        <f t="shared" si="202"/>
        <v>0</v>
      </c>
      <c r="AB910" s="269">
        <f t="shared" si="203"/>
        <v>0</v>
      </c>
      <c r="AC910" s="269">
        <f t="shared" si="204"/>
        <v>0</v>
      </c>
      <c r="AD910" s="271" t="str">
        <f>INDEX('Global inputs'!$C$134:$C$171,MATCH(F910,'Global inputs'!$B$134:$B$171,0))</f>
        <v>Asset replacement and renewal</v>
      </c>
      <c r="AE910" s="272">
        <f>IF(OR(H910='Operating leases'!$B$32,H910='Operating leases'!$B$33),"",INDEX('Global inputs'!$C$186:$C$243,MATCH(E910,'Global inputs'!$B$186:$B$243,0)))</f>
        <v>0.08</v>
      </c>
    </row>
    <row r="911" spans="1:31" s="27" customFormat="1" x14ac:dyDescent="0.2">
      <c r="A911" s="250"/>
      <c r="B911" s="210" t="s">
        <v>742</v>
      </c>
      <c r="C911" s="210" t="s">
        <v>289</v>
      </c>
      <c r="D911" s="210" t="s">
        <v>723</v>
      </c>
      <c r="E911" s="210" t="s">
        <v>163</v>
      </c>
      <c r="F911" s="210" t="s">
        <v>115</v>
      </c>
      <c r="G911" s="210" t="s">
        <v>725</v>
      </c>
      <c r="H911" s="197">
        <v>0</v>
      </c>
      <c r="I911" s="210" t="s">
        <v>221</v>
      </c>
      <c r="J911" s="210">
        <v>2023</v>
      </c>
      <c r="K911" s="210">
        <v>2023</v>
      </c>
      <c r="L911" s="268" t="str">
        <f t="shared" si="192"/>
        <v>Simple</v>
      </c>
      <c r="M911" s="197">
        <v>442208.85</v>
      </c>
      <c r="N911" s="197">
        <v>0</v>
      </c>
      <c r="O911" s="257">
        <f>IF(ISNA(MATCH(H911,'Operating leases'!$B$32:$B$43,0)),0,INDEX('Operating leases'!$M$32:$S$43,MATCH(H911,'Operating leases'!$B$32:$B$43,0),MATCH(J911,'Operating leases'!$M$11:$S$11,0)))</f>
        <v>0</v>
      </c>
      <c r="P911" s="257">
        <f t="shared" si="193"/>
        <v>442208.85</v>
      </c>
      <c r="Q911" s="257">
        <f t="shared" si="194"/>
        <v>442208.85</v>
      </c>
      <c r="R911" s="258">
        <f>INDEX('Escalators '!$M$124:$S$129,MATCH(I911,'Escalators '!$B$124:$B$129,0),MATCH(J911,'Escalators '!$M$113:$S$113,0))</f>
        <v>1.0486791854231625</v>
      </c>
      <c r="S911" s="257">
        <f t="shared" si="195"/>
        <v>0</v>
      </c>
      <c r="T911" s="257">
        <f t="shared" si="196"/>
        <v>0</v>
      </c>
      <c r="U911" s="269">
        <f t="shared" si="197"/>
        <v>463735.21660491341</v>
      </c>
      <c r="V911" s="269">
        <f t="shared" si="198"/>
        <v>463735.21660491341</v>
      </c>
      <c r="W911" s="269">
        <f t="shared" si="199"/>
        <v>463735.21660491341</v>
      </c>
      <c r="X911" s="257">
        <f t="shared" si="200"/>
        <v>463735.21660491341</v>
      </c>
      <c r="Y911" s="270">
        <f>IF(L911="Complex",(INDEX('Escalators '!$M$176:$S$176,MATCH('Forecast capex'!J911,'Escalators '!$M$178:$S$178,0))/12+1)^((K911-J911)*12)-1,0)</f>
        <v>0</v>
      </c>
      <c r="Z911" s="257">
        <f t="shared" si="201"/>
        <v>0</v>
      </c>
      <c r="AA911" s="257">
        <f t="shared" si="202"/>
        <v>0</v>
      </c>
      <c r="AB911" s="269">
        <f t="shared" si="203"/>
        <v>0</v>
      </c>
      <c r="AC911" s="269">
        <f t="shared" si="204"/>
        <v>0</v>
      </c>
      <c r="AD911" s="271" t="str">
        <f>INDEX('Global inputs'!$C$134:$C$171,MATCH(F911,'Global inputs'!$B$134:$B$171,0))</f>
        <v>Asset replacement and renewal</v>
      </c>
      <c r="AE911" s="272">
        <f>IF(OR(H911='Operating leases'!$B$32,H911='Operating leases'!$B$33),"",INDEX('Global inputs'!$C$186:$C$243,MATCH(E911,'Global inputs'!$B$186:$B$243,0)))</f>
        <v>0.08</v>
      </c>
    </row>
    <row r="912" spans="1:31" s="27" customFormat="1" x14ac:dyDescent="0.2">
      <c r="A912" s="250"/>
      <c r="B912" s="210" t="s">
        <v>742</v>
      </c>
      <c r="C912" s="210" t="s">
        <v>284</v>
      </c>
      <c r="D912" s="210" t="s">
        <v>729</v>
      </c>
      <c r="E912" s="210" t="s">
        <v>127</v>
      </c>
      <c r="F912" s="210" t="s">
        <v>102</v>
      </c>
      <c r="G912" s="210" t="s">
        <v>730</v>
      </c>
      <c r="H912" s="197">
        <v>0</v>
      </c>
      <c r="I912" s="210" t="s">
        <v>225</v>
      </c>
      <c r="J912" s="210">
        <v>2023</v>
      </c>
      <c r="K912" s="210">
        <v>2023</v>
      </c>
      <c r="L912" s="268" t="str">
        <f t="shared" si="192"/>
        <v>Simple</v>
      </c>
      <c r="M912" s="197">
        <v>1496250.76</v>
      </c>
      <c r="N912" s="197">
        <v>0</v>
      </c>
      <c r="O912" s="257">
        <f>IF(ISNA(MATCH(H912,'Operating leases'!$B$32:$B$43,0)),0,INDEX('Operating leases'!$M$32:$S$43,MATCH(H912,'Operating leases'!$B$32:$B$43,0),MATCH(J912,'Operating leases'!$M$11:$S$11,0)))</f>
        <v>0</v>
      </c>
      <c r="P912" s="257">
        <f t="shared" si="193"/>
        <v>1496250.76</v>
      </c>
      <c r="Q912" s="257">
        <f t="shared" si="194"/>
        <v>1496250.76</v>
      </c>
      <c r="R912" s="258">
        <f>INDEX('Escalators '!$M$124:$S$129,MATCH(I912,'Escalators '!$B$124:$B$129,0),MATCH(J912,'Escalators '!$M$113:$S$113,0))</f>
        <v>1.0700187037302984</v>
      </c>
      <c r="S912" s="257">
        <f t="shared" si="195"/>
        <v>0</v>
      </c>
      <c r="T912" s="257">
        <f t="shared" si="196"/>
        <v>0</v>
      </c>
      <c r="U912" s="269">
        <f t="shared" si="197"/>
        <v>1601016.2986706737</v>
      </c>
      <c r="V912" s="269">
        <f t="shared" si="198"/>
        <v>1601016.2986706737</v>
      </c>
      <c r="W912" s="269">
        <f t="shared" si="199"/>
        <v>1601016.2986706737</v>
      </c>
      <c r="X912" s="257">
        <f t="shared" si="200"/>
        <v>1601016.2986706737</v>
      </c>
      <c r="Y912" s="270">
        <f>IF(L912="Complex",(INDEX('Escalators '!$M$176:$S$176,MATCH('Forecast capex'!J912,'Escalators '!$M$178:$S$178,0))/12+1)^((K912-J912)*12)-1,0)</f>
        <v>0</v>
      </c>
      <c r="Z912" s="257">
        <f t="shared" si="201"/>
        <v>0</v>
      </c>
      <c r="AA912" s="257">
        <f t="shared" si="202"/>
        <v>0</v>
      </c>
      <c r="AB912" s="269">
        <f t="shared" si="203"/>
        <v>0</v>
      </c>
      <c r="AC912" s="269">
        <f t="shared" si="204"/>
        <v>0</v>
      </c>
      <c r="AD912" s="271" t="str">
        <f>INDEX('Global inputs'!$C$134:$C$171,MATCH(F912,'Global inputs'!$B$134:$B$171,0))</f>
        <v>Asset replacement and renewal</v>
      </c>
      <c r="AE912" s="272">
        <f>IF(OR(H912='Operating leases'!$B$32,H912='Operating leases'!$B$33),"",INDEX('Global inputs'!$C$186:$C$243,MATCH(E912,'Global inputs'!$B$186:$B$243,0)))</f>
        <v>0.08</v>
      </c>
    </row>
    <row r="913" spans="1:31" s="27" customFormat="1" x14ac:dyDescent="0.2">
      <c r="A913" s="250"/>
      <c r="B913" s="210" t="s">
        <v>742</v>
      </c>
      <c r="C913" s="210" t="s">
        <v>284</v>
      </c>
      <c r="D913" s="210" t="s">
        <v>729</v>
      </c>
      <c r="E913" s="210" t="s">
        <v>127</v>
      </c>
      <c r="F913" s="210" t="s">
        <v>102</v>
      </c>
      <c r="G913" s="210" t="s">
        <v>730</v>
      </c>
      <c r="H913" s="197">
        <v>0</v>
      </c>
      <c r="I913" s="210" t="s">
        <v>221</v>
      </c>
      <c r="J913" s="210">
        <v>2023</v>
      </c>
      <c r="K913" s="210">
        <v>2023</v>
      </c>
      <c r="L913" s="268" t="str">
        <f t="shared" si="192"/>
        <v>Simple</v>
      </c>
      <c r="M913" s="197">
        <v>5985003.04</v>
      </c>
      <c r="N913" s="197">
        <v>0</v>
      </c>
      <c r="O913" s="257">
        <f>IF(ISNA(MATCH(H913,'Operating leases'!$B$32:$B$43,0)),0,INDEX('Operating leases'!$M$32:$S$43,MATCH(H913,'Operating leases'!$B$32:$B$43,0),MATCH(J913,'Operating leases'!$M$11:$S$11,0)))</f>
        <v>0</v>
      </c>
      <c r="P913" s="257">
        <f t="shared" si="193"/>
        <v>5985003.04</v>
      </c>
      <c r="Q913" s="257">
        <f t="shared" si="194"/>
        <v>5985003.04</v>
      </c>
      <c r="R913" s="258">
        <f>INDEX('Escalators '!$M$124:$S$129,MATCH(I913,'Escalators '!$B$124:$B$129,0),MATCH(J913,'Escalators '!$M$113:$S$113,0))</f>
        <v>1.0486791854231625</v>
      </c>
      <c r="S913" s="257">
        <f t="shared" si="195"/>
        <v>0</v>
      </c>
      <c r="T913" s="257">
        <f t="shared" si="196"/>
        <v>0</v>
      </c>
      <c r="U913" s="269">
        <f t="shared" si="197"/>
        <v>6276348.1127423514</v>
      </c>
      <c r="V913" s="269">
        <f t="shared" si="198"/>
        <v>6276348.1127423514</v>
      </c>
      <c r="W913" s="269">
        <f t="shared" si="199"/>
        <v>6276348.1127423514</v>
      </c>
      <c r="X913" s="257">
        <f t="shared" si="200"/>
        <v>6276348.1127423514</v>
      </c>
      <c r="Y913" s="270">
        <f>IF(L913="Complex",(INDEX('Escalators '!$M$176:$S$176,MATCH('Forecast capex'!J913,'Escalators '!$M$178:$S$178,0))/12+1)^((K913-J913)*12)-1,0)</f>
        <v>0</v>
      </c>
      <c r="Z913" s="257">
        <f t="shared" si="201"/>
        <v>0</v>
      </c>
      <c r="AA913" s="257">
        <f t="shared" si="202"/>
        <v>0</v>
      </c>
      <c r="AB913" s="269">
        <f t="shared" si="203"/>
        <v>0</v>
      </c>
      <c r="AC913" s="269">
        <f t="shared" si="204"/>
        <v>0</v>
      </c>
      <c r="AD913" s="271" t="str">
        <f>INDEX('Global inputs'!$C$134:$C$171,MATCH(F913,'Global inputs'!$B$134:$B$171,0))</f>
        <v>Asset replacement and renewal</v>
      </c>
      <c r="AE913" s="272">
        <f>IF(OR(H913='Operating leases'!$B$32,H913='Operating leases'!$B$33),"",INDEX('Global inputs'!$C$186:$C$243,MATCH(E913,'Global inputs'!$B$186:$B$243,0)))</f>
        <v>0.08</v>
      </c>
    </row>
    <row r="914" spans="1:31" s="27" customFormat="1" x14ac:dyDescent="0.2">
      <c r="A914" s="250"/>
      <c r="B914" s="210" t="s">
        <v>742</v>
      </c>
      <c r="C914" s="210" t="s">
        <v>286</v>
      </c>
      <c r="D914" s="210" t="s">
        <v>735</v>
      </c>
      <c r="E914" s="210" t="s">
        <v>147</v>
      </c>
      <c r="F914" s="210" t="s">
        <v>118</v>
      </c>
      <c r="G914" s="210" t="s">
        <v>744</v>
      </c>
      <c r="H914" s="197">
        <v>0</v>
      </c>
      <c r="I914" s="210" t="s">
        <v>229</v>
      </c>
      <c r="J914" s="210">
        <v>2023</v>
      </c>
      <c r="K914" s="210">
        <v>2023</v>
      </c>
      <c r="L914" s="268" t="str">
        <f t="shared" si="192"/>
        <v>Simple</v>
      </c>
      <c r="M914" s="197">
        <v>143985.13500000001</v>
      </c>
      <c r="N914" s="197">
        <v>0</v>
      </c>
      <c r="O914" s="257">
        <f>IF(ISNA(MATCH(H914,'Operating leases'!$B$32:$B$43,0)),0,INDEX('Operating leases'!$M$32:$S$43,MATCH(H914,'Operating leases'!$B$32:$B$43,0),MATCH(J914,'Operating leases'!$M$11:$S$11,0)))</f>
        <v>0</v>
      </c>
      <c r="P914" s="257">
        <f t="shared" si="193"/>
        <v>143985.13500000001</v>
      </c>
      <c r="Q914" s="257">
        <f t="shared" si="194"/>
        <v>143985.13500000001</v>
      </c>
      <c r="R914" s="258">
        <f>INDEX('Escalators '!$M$124:$S$129,MATCH(I914,'Escalators '!$B$124:$B$129,0),MATCH(J914,'Escalators '!$M$113:$S$113,0))</f>
        <v>1.0553567720906862</v>
      </c>
      <c r="S914" s="257">
        <f t="shared" si="195"/>
        <v>0</v>
      </c>
      <c r="T914" s="257">
        <f t="shared" si="196"/>
        <v>0</v>
      </c>
      <c r="U914" s="269">
        <f t="shared" si="197"/>
        <v>151955.68730264169</v>
      </c>
      <c r="V914" s="269">
        <f t="shared" si="198"/>
        <v>151955.68730264169</v>
      </c>
      <c r="W914" s="269">
        <f t="shared" si="199"/>
        <v>151955.68730264169</v>
      </c>
      <c r="X914" s="257">
        <f t="shared" si="200"/>
        <v>151955.68730264169</v>
      </c>
      <c r="Y914" s="270">
        <f>IF(L914="Complex",(INDEX('Escalators '!$M$176:$S$176,MATCH('Forecast capex'!J914,'Escalators '!$M$178:$S$178,0))/12+1)^((K914-J914)*12)-1,0)</f>
        <v>0</v>
      </c>
      <c r="Z914" s="257">
        <f t="shared" si="201"/>
        <v>0</v>
      </c>
      <c r="AA914" s="257">
        <f t="shared" si="202"/>
        <v>0</v>
      </c>
      <c r="AB914" s="269">
        <f t="shared" si="203"/>
        <v>0</v>
      </c>
      <c r="AC914" s="269">
        <f t="shared" si="204"/>
        <v>0</v>
      </c>
      <c r="AD914" s="271" t="str">
        <f>INDEX('Global inputs'!$C$134:$C$171,MATCH(F914,'Global inputs'!$B$134:$B$171,0))</f>
        <v>Asset replacement and renewal</v>
      </c>
      <c r="AE914" s="272">
        <f>IF(OR(H914='Operating leases'!$B$32,H914='Operating leases'!$B$33),"",INDEX('Global inputs'!$C$186:$C$243,MATCH(E914,'Global inputs'!$B$186:$B$243,0)))</f>
        <v>0.08</v>
      </c>
    </row>
    <row r="915" spans="1:31" s="27" customFormat="1" x14ac:dyDescent="0.2">
      <c r="A915" s="250"/>
      <c r="B915" s="210" t="s">
        <v>742</v>
      </c>
      <c r="C915" s="210" t="s">
        <v>286</v>
      </c>
      <c r="D915" s="210" t="s">
        <v>735</v>
      </c>
      <c r="E915" s="210" t="s">
        <v>147</v>
      </c>
      <c r="F915" s="210" t="s">
        <v>118</v>
      </c>
      <c r="G915" s="210" t="s">
        <v>744</v>
      </c>
      <c r="H915" s="197">
        <v>0</v>
      </c>
      <c r="I915" s="210" t="s">
        <v>221</v>
      </c>
      <c r="J915" s="210">
        <v>2023</v>
      </c>
      <c r="K915" s="210">
        <v>2023</v>
      </c>
      <c r="L915" s="268" t="str">
        <f t="shared" si="192"/>
        <v>Simple</v>
      </c>
      <c r="M915" s="197">
        <v>575940.54</v>
      </c>
      <c r="N915" s="197">
        <v>0</v>
      </c>
      <c r="O915" s="257">
        <f>IF(ISNA(MATCH(H915,'Operating leases'!$B$32:$B$43,0)),0,INDEX('Operating leases'!$M$32:$S$43,MATCH(H915,'Operating leases'!$B$32:$B$43,0),MATCH(J915,'Operating leases'!$M$11:$S$11,0)))</f>
        <v>0</v>
      </c>
      <c r="P915" s="257">
        <f t="shared" si="193"/>
        <v>575940.54</v>
      </c>
      <c r="Q915" s="257">
        <f t="shared" si="194"/>
        <v>575940.54</v>
      </c>
      <c r="R915" s="258">
        <f>INDEX('Escalators '!$M$124:$S$129,MATCH(I915,'Escalators '!$B$124:$B$129,0),MATCH(J915,'Escalators '!$M$113:$S$113,0))</f>
        <v>1.0486791854231625</v>
      </c>
      <c r="S915" s="257">
        <f t="shared" si="195"/>
        <v>0</v>
      </c>
      <c r="T915" s="257">
        <f t="shared" si="196"/>
        <v>0</v>
      </c>
      <c r="U915" s="269">
        <f t="shared" si="197"/>
        <v>603976.85633937642</v>
      </c>
      <c r="V915" s="269">
        <f t="shared" si="198"/>
        <v>603976.85633937642</v>
      </c>
      <c r="W915" s="269">
        <f t="shared" si="199"/>
        <v>603976.85633937642</v>
      </c>
      <c r="X915" s="257">
        <f t="shared" si="200"/>
        <v>603976.85633937642</v>
      </c>
      <c r="Y915" s="270">
        <f>IF(L915="Complex",(INDEX('Escalators '!$M$176:$S$176,MATCH('Forecast capex'!J915,'Escalators '!$M$178:$S$178,0))/12+1)^((K915-J915)*12)-1,0)</f>
        <v>0</v>
      </c>
      <c r="Z915" s="257">
        <f t="shared" si="201"/>
        <v>0</v>
      </c>
      <c r="AA915" s="257">
        <f t="shared" si="202"/>
        <v>0</v>
      </c>
      <c r="AB915" s="269">
        <f t="shared" si="203"/>
        <v>0</v>
      </c>
      <c r="AC915" s="269">
        <f t="shared" si="204"/>
        <v>0</v>
      </c>
      <c r="AD915" s="271" t="str">
        <f>INDEX('Global inputs'!$C$134:$C$171,MATCH(F915,'Global inputs'!$B$134:$B$171,0))</f>
        <v>Asset replacement and renewal</v>
      </c>
      <c r="AE915" s="272">
        <f>IF(OR(H915='Operating leases'!$B$32,H915='Operating leases'!$B$33),"",INDEX('Global inputs'!$C$186:$C$243,MATCH(E915,'Global inputs'!$B$186:$B$243,0)))</f>
        <v>0.08</v>
      </c>
    </row>
    <row r="916" spans="1:31" s="27" customFormat="1" x14ac:dyDescent="0.2">
      <c r="A916" s="250"/>
      <c r="B916" s="210" t="s">
        <v>742</v>
      </c>
      <c r="C916" s="210" t="s">
        <v>289</v>
      </c>
      <c r="D916" s="210" t="s">
        <v>723</v>
      </c>
      <c r="E916" s="210" t="s">
        <v>163</v>
      </c>
      <c r="F916" s="210" t="s">
        <v>106</v>
      </c>
      <c r="G916" s="210" t="s">
        <v>725</v>
      </c>
      <c r="H916" s="197">
        <v>0</v>
      </c>
      <c r="I916" s="210" t="s">
        <v>139</v>
      </c>
      <c r="J916" s="210">
        <v>2023</v>
      </c>
      <c r="K916" s="210">
        <v>2023</v>
      </c>
      <c r="L916" s="268" t="str">
        <f t="shared" si="192"/>
        <v>Simple</v>
      </c>
      <c r="M916" s="197">
        <v>1346439.56</v>
      </c>
      <c r="N916" s="197">
        <v>0</v>
      </c>
      <c r="O916" s="257">
        <f>IF(ISNA(MATCH(H916,'Operating leases'!$B$32:$B$43,0)),0,INDEX('Operating leases'!$M$32:$S$43,MATCH(H916,'Operating leases'!$B$32:$B$43,0),MATCH(J916,'Operating leases'!$M$11:$S$11,0)))</f>
        <v>0</v>
      </c>
      <c r="P916" s="257">
        <f t="shared" si="193"/>
        <v>1346439.56</v>
      </c>
      <c r="Q916" s="257">
        <f t="shared" si="194"/>
        <v>1346439.56</v>
      </c>
      <c r="R916" s="258">
        <f>INDEX('Escalators '!$M$124:$S$129,MATCH(I916,'Escalators '!$B$124:$B$129,0),MATCH(J916,'Escalators '!$M$113:$S$113,0))</f>
        <v>1.0254948937589263</v>
      </c>
      <c r="S916" s="257">
        <f t="shared" si="195"/>
        <v>0</v>
      </c>
      <c r="T916" s="257">
        <f t="shared" si="196"/>
        <v>0</v>
      </c>
      <c r="U916" s="269">
        <f t="shared" si="197"/>
        <v>1380766.8935350156</v>
      </c>
      <c r="V916" s="269">
        <f t="shared" si="198"/>
        <v>1380766.8935350156</v>
      </c>
      <c r="W916" s="269">
        <f t="shared" si="199"/>
        <v>1380766.8935350156</v>
      </c>
      <c r="X916" s="257">
        <f t="shared" si="200"/>
        <v>1380766.8935350156</v>
      </c>
      <c r="Y916" s="270">
        <f>IF(L916="Complex",(INDEX('Escalators '!$M$176:$S$176,MATCH('Forecast capex'!J916,'Escalators '!$M$178:$S$178,0))/12+1)^((K916-J916)*12)-1,0)</f>
        <v>0</v>
      </c>
      <c r="Z916" s="257">
        <f t="shared" si="201"/>
        <v>0</v>
      </c>
      <c r="AA916" s="257">
        <f t="shared" si="202"/>
        <v>0</v>
      </c>
      <c r="AB916" s="269">
        <f t="shared" si="203"/>
        <v>0</v>
      </c>
      <c r="AC916" s="269">
        <f t="shared" si="204"/>
        <v>0</v>
      </c>
      <c r="AD916" s="271" t="str">
        <f>INDEX('Global inputs'!$C$134:$C$171,MATCH(F916,'Global inputs'!$B$134:$B$171,0))</f>
        <v>Asset replacement and renewal</v>
      </c>
      <c r="AE916" s="272">
        <f>IF(OR(H916='Operating leases'!$B$32,H916='Operating leases'!$B$33),"",INDEX('Global inputs'!$C$186:$C$243,MATCH(E916,'Global inputs'!$B$186:$B$243,0)))</f>
        <v>0.08</v>
      </c>
    </row>
    <row r="917" spans="1:31" s="27" customFormat="1" x14ac:dyDescent="0.2">
      <c r="A917" s="250"/>
      <c r="B917" s="210" t="s">
        <v>742</v>
      </c>
      <c r="C917" s="210" t="s">
        <v>289</v>
      </c>
      <c r="D917" s="210" t="s">
        <v>723</v>
      </c>
      <c r="E917" s="210" t="s">
        <v>163</v>
      </c>
      <c r="F917" s="210" t="s">
        <v>106</v>
      </c>
      <c r="G917" s="210" t="s">
        <v>725</v>
      </c>
      <c r="H917" s="197">
        <v>0</v>
      </c>
      <c r="I917" s="210" t="s">
        <v>221</v>
      </c>
      <c r="J917" s="210">
        <v>2023</v>
      </c>
      <c r="K917" s="210">
        <v>2023</v>
      </c>
      <c r="L917" s="268" t="str">
        <f t="shared" si="192"/>
        <v>Simple</v>
      </c>
      <c r="M917" s="197">
        <v>336609.88999999996</v>
      </c>
      <c r="N917" s="197">
        <v>0</v>
      </c>
      <c r="O917" s="257">
        <f>IF(ISNA(MATCH(H917,'Operating leases'!$B$32:$B$43,0)),0,INDEX('Operating leases'!$M$32:$S$43,MATCH(H917,'Operating leases'!$B$32:$B$43,0),MATCH(J917,'Operating leases'!$M$11:$S$11,0)))</f>
        <v>0</v>
      </c>
      <c r="P917" s="257">
        <f t="shared" si="193"/>
        <v>336609.88999999996</v>
      </c>
      <c r="Q917" s="257">
        <f t="shared" si="194"/>
        <v>336609.88999999996</v>
      </c>
      <c r="R917" s="258">
        <f>INDEX('Escalators '!$M$124:$S$129,MATCH(I917,'Escalators '!$B$124:$B$129,0),MATCH(J917,'Escalators '!$M$113:$S$113,0))</f>
        <v>1.0486791854231625</v>
      </c>
      <c r="S917" s="257">
        <f t="shared" si="195"/>
        <v>0</v>
      </c>
      <c r="T917" s="257">
        <f t="shared" si="196"/>
        <v>0</v>
      </c>
      <c r="U917" s="269">
        <f t="shared" si="197"/>
        <v>352995.78525058029</v>
      </c>
      <c r="V917" s="269">
        <f t="shared" si="198"/>
        <v>352995.78525058029</v>
      </c>
      <c r="W917" s="269">
        <f t="shared" si="199"/>
        <v>352995.78525058029</v>
      </c>
      <c r="X917" s="257">
        <f t="shared" si="200"/>
        <v>352995.78525058029</v>
      </c>
      <c r="Y917" s="270">
        <f>IF(L917="Complex",(INDEX('Escalators '!$M$176:$S$176,MATCH('Forecast capex'!J917,'Escalators '!$M$178:$S$178,0))/12+1)^((K917-J917)*12)-1,0)</f>
        <v>0</v>
      </c>
      <c r="Z917" s="257">
        <f t="shared" si="201"/>
        <v>0</v>
      </c>
      <c r="AA917" s="257">
        <f t="shared" si="202"/>
        <v>0</v>
      </c>
      <c r="AB917" s="269">
        <f t="shared" si="203"/>
        <v>0</v>
      </c>
      <c r="AC917" s="269">
        <f t="shared" si="204"/>
        <v>0</v>
      </c>
      <c r="AD917" s="271" t="str">
        <f>INDEX('Global inputs'!$C$134:$C$171,MATCH(F917,'Global inputs'!$B$134:$B$171,0))</f>
        <v>Asset replacement and renewal</v>
      </c>
      <c r="AE917" s="272">
        <f>IF(OR(H917='Operating leases'!$B$32,H917='Operating leases'!$B$33),"",INDEX('Global inputs'!$C$186:$C$243,MATCH(E917,'Global inputs'!$B$186:$B$243,0)))</f>
        <v>0.08</v>
      </c>
    </row>
    <row r="918" spans="1:31" s="27" customFormat="1" x14ac:dyDescent="0.2">
      <c r="A918" s="250"/>
      <c r="B918" s="210" t="s">
        <v>742</v>
      </c>
      <c r="C918" s="210" t="s">
        <v>289</v>
      </c>
      <c r="D918" s="210" t="s">
        <v>723</v>
      </c>
      <c r="E918" s="210" t="s">
        <v>164</v>
      </c>
      <c r="F918" s="210" t="s">
        <v>114</v>
      </c>
      <c r="G918" s="210" t="s">
        <v>724</v>
      </c>
      <c r="H918" s="197">
        <v>0</v>
      </c>
      <c r="I918" s="210" t="s">
        <v>139</v>
      </c>
      <c r="J918" s="210">
        <v>2023</v>
      </c>
      <c r="K918" s="210">
        <v>2023</v>
      </c>
      <c r="L918" s="268" t="str">
        <f t="shared" si="192"/>
        <v>Simple</v>
      </c>
      <c r="M918" s="197">
        <v>248064</v>
      </c>
      <c r="N918" s="197">
        <v>0</v>
      </c>
      <c r="O918" s="257">
        <f>IF(ISNA(MATCH(H918,'Operating leases'!$B$32:$B$43,0)),0,INDEX('Operating leases'!$M$32:$S$43,MATCH(H918,'Operating leases'!$B$32:$B$43,0),MATCH(J918,'Operating leases'!$M$11:$S$11,0)))</f>
        <v>0</v>
      </c>
      <c r="P918" s="257">
        <f t="shared" si="193"/>
        <v>248064</v>
      </c>
      <c r="Q918" s="257">
        <f t="shared" si="194"/>
        <v>248064</v>
      </c>
      <c r="R918" s="258">
        <f>INDEX('Escalators '!$M$124:$S$129,MATCH(I918,'Escalators '!$B$124:$B$129,0),MATCH(J918,'Escalators '!$M$113:$S$113,0))</f>
        <v>1.0254948937589263</v>
      </c>
      <c r="S918" s="257">
        <f t="shared" si="195"/>
        <v>0</v>
      </c>
      <c r="T918" s="257">
        <f t="shared" si="196"/>
        <v>0</v>
      </c>
      <c r="U918" s="269">
        <f t="shared" si="197"/>
        <v>254388.36532541431</v>
      </c>
      <c r="V918" s="269">
        <f t="shared" si="198"/>
        <v>254388.36532541431</v>
      </c>
      <c r="W918" s="269">
        <f t="shared" si="199"/>
        <v>254388.36532541431</v>
      </c>
      <c r="X918" s="257">
        <f t="shared" si="200"/>
        <v>254388.36532541431</v>
      </c>
      <c r="Y918" s="270">
        <f>IF(L918="Complex",(INDEX('Escalators '!$M$176:$S$176,MATCH('Forecast capex'!J918,'Escalators '!$M$178:$S$178,0))/12+1)^((K918-J918)*12)-1,0)</f>
        <v>0</v>
      </c>
      <c r="Z918" s="257">
        <f t="shared" si="201"/>
        <v>0</v>
      </c>
      <c r="AA918" s="257">
        <f t="shared" si="202"/>
        <v>0</v>
      </c>
      <c r="AB918" s="269">
        <f t="shared" si="203"/>
        <v>0</v>
      </c>
      <c r="AC918" s="269">
        <f t="shared" si="204"/>
        <v>0</v>
      </c>
      <c r="AD918" s="271" t="str">
        <f>INDEX('Global inputs'!$C$134:$C$171,MATCH(F918,'Global inputs'!$B$134:$B$171,0))</f>
        <v>Asset replacement and renewal</v>
      </c>
      <c r="AE918" s="272">
        <f>IF(OR(H918='Operating leases'!$B$32,H918='Operating leases'!$B$33),"",INDEX('Global inputs'!$C$186:$C$243,MATCH(E918,'Global inputs'!$B$186:$B$243,0)))</f>
        <v>0.08</v>
      </c>
    </row>
    <row r="919" spans="1:31" s="27" customFormat="1" x14ac:dyDescent="0.2">
      <c r="A919" s="250"/>
      <c r="B919" s="210" t="s">
        <v>742</v>
      </c>
      <c r="C919" s="210" t="s">
        <v>289</v>
      </c>
      <c r="D919" s="210" t="s">
        <v>723</v>
      </c>
      <c r="E919" s="210" t="s">
        <v>164</v>
      </c>
      <c r="F919" s="210" t="s">
        <v>114</v>
      </c>
      <c r="G919" s="210" t="s">
        <v>724</v>
      </c>
      <c r="H919" s="197">
        <v>0</v>
      </c>
      <c r="I919" s="210" t="s">
        <v>221</v>
      </c>
      <c r="J919" s="210">
        <v>2023</v>
      </c>
      <c r="K919" s="210">
        <v>2023</v>
      </c>
      <c r="L919" s="268" t="str">
        <f t="shared" si="192"/>
        <v>Simple</v>
      </c>
      <c r="M919" s="197">
        <v>62016</v>
      </c>
      <c r="N919" s="197">
        <v>0</v>
      </c>
      <c r="O919" s="257">
        <f>IF(ISNA(MATCH(H919,'Operating leases'!$B$32:$B$43,0)),0,INDEX('Operating leases'!$M$32:$S$43,MATCH(H919,'Operating leases'!$B$32:$B$43,0),MATCH(J919,'Operating leases'!$M$11:$S$11,0)))</f>
        <v>0</v>
      </c>
      <c r="P919" s="257">
        <f t="shared" si="193"/>
        <v>62016</v>
      </c>
      <c r="Q919" s="257">
        <f t="shared" si="194"/>
        <v>62016</v>
      </c>
      <c r="R919" s="258">
        <f>INDEX('Escalators '!$M$124:$S$129,MATCH(I919,'Escalators '!$B$124:$B$129,0),MATCH(J919,'Escalators '!$M$113:$S$113,0))</f>
        <v>1.0486791854231625</v>
      </c>
      <c r="S919" s="257">
        <f t="shared" si="195"/>
        <v>0</v>
      </c>
      <c r="T919" s="257">
        <f t="shared" si="196"/>
        <v>0</v>
      </c>
      <c r="U919" s="269">
        <f t="shared" si="197"/>
        <v>65034.888363202845</v>
      </c>
      <c r="V919" s="269">
        <f t="shared" si="198"/>
        <v>65034.888363202845</v>
      </c>
      <c r="W919" s="269">
        <f t="shared" si="199"/>
        <v>65034.888363202845</v>
      </c>
      <c r="X919" s="257">
        <f t="shared" si="200"/>
        <v>65034.888363202845</v>
      </c>
      <c r="Y919" s="270">
        <f>IF(L919="Complex",(INDEX('Escalators '!$M$176:$S$176,MATCH('Forecast capex'!J919,'Escalators '!$M$178:$S$178,0))/12+1)^((K919-J919)*12)-1,0)</f>
        <v>0</v>
      </c>
      <c r="Z919" s="257">
        <f t="shared" si="201"/>
        <v>0</v>
      </c>
      <c r="AA919" s="257">
        <f t="shared" si="202"/>
        <v>0</v>
      </c>
      <c r="AB919" s="269">
        <f t="shared" si="203"/>
        <v>0</v>
      </c>
      <c r="AC919" s="269">
        <f t="shared" si="204"/>
        <v>0</v>
      </c>
      <c r="AD919" s="271" t="str">
        <f>INDEX('Global inputs'!$C$134:$C$171,MATCH(F919,'Global inputs'!$B$134:$B$171,0))</f>
        <v>Asset replacement and renewal</v>
      </c>
      <c r="AE919" s="272">
        <f>IF(OR(H919='Operating leases'!$B$32,H919='Operating leases'!$B$33),"",INDEX('Global inputs'!$C$186:$C$243,MATCH(E919,'Global inputs'!$B$186:$B$243,0)))</f>
        <v>0.08</v>
      </c>
    </row>
    <row r="920" spans="1:31" s="27" customFormat="1" x14ac:dyDescent="0.2">
      <c r="A920" s="250"/>
      <c r="B920" s="210" t="s">
        <v>742</v>
      </c>
      <c r="C920" s="210" t="s">
        <v>290</v>
      </c>
      <c r="D920" s="210" t="s">
        <v>718</v>
      </c>
      <c r="E920" s="210" t="s">
        <v>170</v>
      </c>
      <c r="F920" s="210" t="s">
        <v>110</v>
      </c>
      <c r="G920" s="210" t="s">
        <v>721</v>
      </c>
      <c r="H920" s="197">
        <v>0</v>
      </c>
      <c r="I920" s="210" t="s">
        <v>229</v>
      </c>
      <c r="J920" s="210">
        <v>2023</v>
      </c>
      <c r="K920" s="210">
        <v>2023</v>
      </c>
      <c r="L920" s="268" t="str">
        <f t="shared" si="192"/>
        <v>Simple</v>
      </c>
      <c r="M920" s="197">
        <v>97375</v>
      </c>
      <c r="N920" s="197">
        <v>0</v>
      </c>
      <c r="O920" s="257">
        <f>IF(ISNA(MATCH(H920,'Operating leases'!$B$32:$B$43,0)),0,INDEX('Operating leases'!$M$32:$S$43,MATCH(H920,'Operating leases'!$B$32:$B$43,0),MATCH(J920,'Operating leases'!$M$11:$S$11,0)))</f>
        <v>0</v>
      </c>
      <c r="P920" s="257">
        <f t="shared" si="193"/>
        <v>97375</v>
      </c>
      <c r="Q920" s="257">
        <f t="shared" si="194"/>
        <v>97375</v>
      </c>
      <c r="R920" s="258">
        <f>INDEX('Escalators '!$M$124:$S$129,MATCH(I920,'Escalators '!$B$124:$B$129,0),MATCH(J920,'Escalators '!$M$113:$S$113,0))</f>
        <v>1.0553567720906862</v>
      </c>
      <c r="S920" s="257">
        <f t="shared" si="195"/>
        <v>0</v>
      </c>
      <c r="T920" s="257">
        <f t="shared" si="196"/>
        <v>0</v>
      </c>
      <c r="U920" s="269">
        <f t="shared" si="197"/>
        <v>102765.36568233058</v>
      </c>
      <c r="V920" s="269">
        <f t="shared" si="198"/>
        <v>102765.36568233058</v>
      </c>
      <c r="W920" s="269">
        <f t="shared" si="199"/>
        <v>102765.36568233058</v>
      </c>
      <c r="X920" s="257">
        <f t="shared" si="200"/>
        <v>102765.36568233058</v>
      </c>
      <c r="Y920" s="270">
        <f>IF(L920="Complex",(INDEX('Escalators '!$M$176:$S$176,MATCH('Forecast capex'!J920,'Escalators '!$M$178:$S$178,0))/12+1)^((K920-J920)*12)-1,0)</f>
        <v>0</v>
      </c>
      <c r="Z920" s="257">
        <f t="shared" si="201"/>
        <v>0</v>
      </c>
      <c r="AA920" s="257">
        <f t="shared" si="202"/>
        <v>0</v>
      </c>
      <c r="AB920" s="269">
        <f t="shared" si="203"/>
        <v>0</v>
      </c>
      <c r="AC920" s="269">
        <f t="shared" si="204"/>
        <v>0</v>
      </c>
      <c r="AD920" s="271" t="str">
        <f>INDEX('Global inputs'!$C$134:$C$171,MATCH(F920,'Global inputs'!$B$134:$B$171,0))</f>
        <v>Asset replacement and renewal</v>
      </c>
      <c r="AE920" s="272">
        <f>IF(OR(H920='Operating leases'!$B$32,H920='Operating leases'!$B$33),"",INDEX('Global inputs'!$C$186:$C$243,MATCH(E920,'Global inputs'!$B$186:$B$243,0)))</f>
        <v>0.08</v>
      </c>
    </row>
    <row r="921" spans="1:31" s="27" customFormat="1" x14ac:dyDescent="0.2">
      <c r="A921" s="250"/>
      <c r="B921" s="210" t="s">
        <v>742</v>
      </c>
      <c r="C921" s="210" t="s">
        <v>290</v>
      </c>
      <c r="D921" s="210" t="s">
        <v>718</v>
      </c>
      <c r="E921" s="210" t="s">
        <v>170</v>
      </c>
      <c r="F921" s="210" t="s">
        <v>110</v>
      </c>
      <c r="G921" s="210" t="s">
        <v>721</v>
      </c>
      <c r="H921" s="197">
        <v>0</v>
      </c>
      <c r="I921" s="210" t="s">
        <v>221</v>
      </c>
      <c r="J921" s="210">
        <v>2023</v>
      </c>
      <c r="K921" s="210">
        <v>2023</v>
      </c>
      <c r="L921" s="268" t="str">
        <f t="shared" si="192"/>
        <v>Simple</v>
      </c>
      <c r="M921" s="197">
        <v>97375</v>
      </c>
      <c r="N921" s="197">
        <v>0</v>
      </c>
      <c r="O921" s="257">
        <f>IF(ISNA(MATCH(H921,'Operating leases'!$B$32:$B$43,0)),0,INDEX('Operating leases'!$M$32:$S$43,MATCH(H921,'Operating leases'!$B$32:$B$43,0),MATCH(J921,'Operating leases'!$M$11:$S$11,0)))</f>
        <v>0</v>
      </c>
      <c r="P921" s="257">
        <f t="shared" si="193"/>
        <v>97375</v>
      </c>
      <c r="Q921" s="257">
        <f t="shared" si="194"/>
        <v>97375</v>
      </c>
      <c r="R921" s="258">
        <f>INDEX('Escalators '!$M$124:$S$129,MATCH(I921,'Escalators '!$B$124:$B$129,0),MATCH(J921,'Escalators '!$M$113:$S$113,0))</f>
        <v>1.0486791854231625</v>
      </c>
      <c r="S921" s="257">
        <f t="shared" si="195"/>
        <v>0</v>
      </c>
      <c r="T921" s="257">
        <f t="shared" si="196"/>
        <v>0</v>
      </c>
      <c r="U921" s="269">
        <f t="shared" si="197"/>
        <v>102115.13568058045</v>
      </c>
      <c r="V921" s="269">
        <f t="shared" si="198"/>
        <v>102115.13568058045</v>
      </c>
      <c r="W921" s="269">
        <f t="shared" si="199"/>
        <v>102115.13568058045</v>
      </c>
      <c r="X921" s="257">
        <f t="shared" si="200"/>
        <v>102115.13568058045</v>
      </c>
      <c r="Y921" s="270">
        <f>IF(L921="Complex",(INDEX('Escalators '!$M$176:$S$176,MATCH('Forecast capex'!J921,'Escalators '!$M$178:$S$178,0))/12+1)^((K921-J921)*12)-1,0)</f>
        <v>0</v>
      </c>
      <c r="Z921" s="257">
        <f t="shared" si="201"/>
        <v>0</v>
      </c>
      <c r="AA921" s="257">
        <f t="shared" si="202"/>
        <v>0</v>
      </c>
      <c r="AB921" s="269">
        <f t="shared" si="203"/>
        <v>0</v>
      </c>
      <c r="AC921" s="269">
        <f t="shared" si="204"/>
        <v>0</v>
      </c>
      <c r="AD921" s="271" t="str">
        <f>INDEX('Global inputs'!$C$134:$C$171,MATCH(F921,'Global inputs'!$B$134:$B$171,0))</f>
        <v>Asset replacement and renewal</v>
      </c>
      <c r="AE921" s="272">
        <f>IF(OR(H921='Operating leases'!$B$32,H921='Operating leases'!$B$33),"",INDEX('Global inputs'!$C$186:$C$243,MATCH(E921,'Global inputs'!$B$186:$B$243,0)))</f>
        <v>0.08</v>
      </c>
    </row>
    <row r="922" spans="1:31" s="27" customFormat="1" x14ac:dyDescent="0.2">
      <c r="A922" s="250"/>
      <c r="B922" s="210" t="s">
        <v>742</v>
      </c>
      <c r="C922" s="210" t="s">
        <v>288</v>
      </c>
      <c r="D922" s="210" t="s">
        <v>223</v>
      </c>
      <c r="E922" s="210" t="s">
        <v>158</v>
      </c>
      <c r="F922" s="210" t="s">
        <v>107</v>
      </c>
      <c r="G922" s="210" t="s">
        <v>728</v>
      </c>
      <c r="H922" s="197">
        <v>0</v>
      </c>
      <c r="I922" s="210" t="s">
        <v>223</v>
      </c>
      <c r="J922" s="210">
        <v>2023</v>
      </c>
      <c r="K922" s="210">
        <v>2023</v>
      </c>
      <c r="L922" s="268" t="str">
        <f t="shared" si="192"/>
        <v>Simple</v>
      </c>
      <c r="M922" s="197">
        <v>113821.02</v>
      </c>
      <c r="N922" s="197">
        <v>0</v>
      </c>
      <c r="O922" s="257">
        <f>IF(ISNA(MATCH(H922,'Operating leases'!$B$32:$B$43,0)),0,INDEX('Operating leases'!$M$32:$S$43,MATCH(H922,'Operating leases'!$B$32:$B$43,0),MATCH(J922,'Operating leases'!$M$11:$S$11,0)))</f>
        <v>0</v>
      </c>
      <c r="P922" s="257">
        <f t="shared" si="193"/>
        <v>113821.02</v>
      </c>
      <c r="Q922" s="257">
        <f t="shared" si="194"/>
        <v>113821.02</v>
      </c>
      <c r="R922" s="258">
        <f>INDEX('Escalators '!$M$124:$S$129,MATCH(I922,'Escalators '!$B$124:$B$129,0),MATCH(J922,'Escalators '!$M$113:$S$113,0))</f>
        <v>1.0703240765377642</v>
      </c>
      <c r="S922" s="257">
        <f t="shared" si="195"/>
        <v>0</v>
      </c>
      <c r="T922" s="257">
        <f t="shared" si="196"/>
        <v>0</v>
      </c>
      <c r="U922" s="269">
        <f t="shared" si="197"/>
        <v>121825.37812208639</v>
      </c>
      <c r="V922" s="269">
        <f t="shared" si="198"/>
        <v>121825.37812208639</v>
      </c>
      <c r="W922" s="269">
        <f t="shared" si="199"/>
        <v>121825.37812208639</v>
      </c>
      <c r="X922" s="257">
        <f t="shared" si="200"/>
        <v>121825.37812208639</v>
      </c>
      <c r="Y922" s="270">
        <f>IF(L922="Complex",(INDEX('Escalators '!$M$176:$S$176,MATCH('Forecast capex'!J922,'Escalators '!$M$178:$S$178,0))/12+1)^((K922-J922)*12)-1,0)</f>
        <v>0</v>
      </c>
      <c r="Z922" s="257">
        <f t="shared" si="201"/>
        <v>0</v>
      </c>
      <c r="AA922" s="257">
        <f t="shared" si="202"/>
        <v>0</v>
      </c>
      <c r="AB922" s="269">
        <f t="shared" si="203"/>
        <v>0</v>
      </c>
      <c r="AC922" s="269">
        <f t="shared" si="204"/>
        <v>0</v>
      </c>
      <c r="AD922" s="271" t="str">
        <f>INDEX('Global inputs'!$C$134:$C$171,MATCH(F922,'Global inputs'!$B$134:$B$171,0))</f>
        <v>Asset replacement and renewal</v>
      </c>
      <c r="AE922" s="272">
        <f>IF(OR(H922='Operating leases'!$B$32,H922='Operating leases'!$B$33),"",INDEX('Global inputs'!$C$186:$C$243,MATCH(E922,'Global inputs'!$B$186:$B$243,0)))</f>
        <v>0.08</v>
      </c>
    </row>
    <row r="923" spans="1:31" s="27" customFormat="1" x14ac:dyDescent="0.2">
      <c r="A923" s="250"/>
      <c r="B923" s="210" t="s">
        <v>742</v>
      </c>
      <c r="C923" s="210" t="s">
        <v>288</v>
      </c>
      <c r="D923" s="210" t="s">
        <v>223</v>
      </c>
      <c r="E923" s="210" t="s">
        <v>158</v>
      </c>
      <c r="F923" s="210" t="s">
        <v>107</v>
      </c>
      <c r="G923" s="210" t="s">
        <v>728</v>
      </c>
      <c r="H923" s="197">
        <v>0</v>
      </c>
      <c r="I923" s="210" t="s">
        <v>221</v>
      </c>
      <c r="J923" s="210">
        <v>2023</v>
      </c>
      <c r="K923" s="210">
        <v>2023</v>
      </c>
      <c r="L923" s="268" t="str">
        <f t="shared" si="192"/>
        <v>Simple</v>
      </c>
      <c r="M923" s="197">
        <v>170731.53000000003</v>
      </c>
      <c r="N923" s="197">
        <v>0</v>
      </c>
      <c r="O923" s="257">
        <f>IF(ISNA(MATCH(H923,'Operating leases'!$B$32:$B$43,0)),0,INDEX('Operating leases'!$M$32:$S$43,MATCH(H923,'Operating leases'!$B$32:$B$43,0),MATCH(J923,'Operating leases'!$M$11:$S$11,0)))</f>
        <v>0</v>
      </c>
      <c r="P923" s="257">
        <f t="shared" si="193"/>
        <v>170731.53000000003</v>
      </c>
      <c r="Q923" s="257">
        <f t="shared" si="194"/>
        <v>170731.53000000003</v>
      </c>
      <c r="R923" s="258">
        <f>INDEX('Escalators '!$M$124:$S$129,MATCH(I923,'Escalators '!$B$124:$B$129,0),MATCH(J923,'Escalators '!$M$113:$S$113,0))</f>
        <v>1.0486791854231625</v>
      </c>
      <c r="S923" s="257">
        <f t="shared" si="195"/>
        <v>0</v>
      </c>
      <c r="T923" s="257">
        <f t="shared" si="196"/>
        <v>0</v>
      </c>
      <c r="U923" s="269">
        <f t="shared" si="197"/>
        <v>179042.60180645026</v>
      </c>
      <c r="V923" s="269">
        <f t="shared" si="198"/>
        <v>179042.60180645026</v>
      </c>
      <c r="W923" s="269">
        <f t="shared" si="199"/>
        <v>179042.60180645026</v>
      </c>
      <c r="X923" s="257">
        <f t="shared" si="200"/>
        <v>179042.60180645026</v>
      </c>
      <c r="Y923" s="270">
        <f>IF(L923="Complex",(INDEX('Escalators '!$M$176:$S$176,MATCH('Forecast capex'!J923,'Escalators '!$M$178:$S$178,0))/12+1)^((K923-J923)*12)-1,0)</f>
        <v>0</v>
      </c>
      <c r="Z923" s="257">
        <f t="shared" si="201"/>
        <v>0</v>
      </c>
      <c r="AA923" s="257">
        <f t="shared" si="202"/>
        <v>0</v>
      </c>
      <c r="AB923" s="269">
        <f t="shared" si="203"/>
        <v>0</v>
      </c>
      <c r="AC923" s="269">
        <f t="shared" si="204"/>
        <v>0</v>
      </c>
      <c r="AD923" s="271" t="str">
        <f>INDEX('Global inputs'!$C$134:$C$171,MATCH(F923,'Global inputs'!$B$134:$B$171,0))</f>
        <v>Asset replacement and renewal</v>
      </c>
      <c r="AE923" s="272">
        <f>IF(OR(H923='Operating leases'!$B$32,H923='Operating leases'!$B$33),"",INDEX('Global inputs'!$C$186:$C$243,MATCH(E923,'Global inputs'!$B$186:$B$243,0)))</f>
        <v>0.08</v>
      </c>
    </row>
    <row r="924" spans="1:31" s="27" customFormat="1" x14ac:dyDescent="0.2">
      <c r="A924" s="250"/>
      <c r="B924" s="210" t="s">
        <v>742</v>
      </c>
      <c r="C924" s="210" t="s">
        <v>290</v>
      </c>
      <c r="D924" s="210" t="s">
        <v>718</v>
      </c>
      <c r="E924" s="210" t="s">
        <v>168</v>
      </c>
      <c r="F924" s="210" t="s">
        <v>111</v>
      </c>
      <c r="G924" s="210" t="s">
        <v>720</v>
      </c>
      <c r="H924" s="197">
        <v>0</v>
      </c>
      <c r="I924" s="210" t="s">
        <v>229</v>
      </c>
      <c r="J924" s="210">
        <v>2023</v>
      </c>
      <c r="K924" s="210">
        <v>2023</v>
      </c>
      <c r="L924" s="268" t="str">
        <f t="shared" si="192"/>
        <v>Simple</v>
      </c>
      <c r="M924" s="197">
        <v>411160</v>
      </c>
      <c r="N924" s="197">
        <v>0</v>
      </c>
      <c r="O924" s="257">
        <f>IF(ISNA(MATCH(H924,'Operating leases'!$B$32:$B$43,0)),0,INDEX('Operating leases'!$M$32:$S$43,MATCH(H924,'Operating leases'!$B$32:$B$43,0),MATCH(J924,'Operating leases'!$M$11:$S$11,0)))</f>
        <v>0</v>
      </c>
      <c r="P924" s="257">
        <f t="shared" si="193"/>
        <v>411160</v>
      </c>
      <c r="Q924" s="257">
        <f t="shared" si="194"/>
        <v>411160</v>
      </c>
      <c r="R924" s="258">
        <f>INDEX('Escalators '!$M$124:$S$129,MATCH(I924,'Escalators '!$B$124:$B$129,0),MATCH(J924,'Escalators '!$M$113:$S$113,0))</f>
        <v>1.0553567720906862</v>
      </c>
      <c r="S924" s="257">
        <f t="shared" si="195"/>
        <v>0</v>
      </c>
      <c r="T924" s="257">
        <f t="shared" si="196"/>
        <v>0</v>
      </c>
      <c r="U924" s="269">
        <f t="shared" si="197"/>
        <v>433920.49041280657</v>
      </c>
      <c r="V924" s="269">
        <f t="shared" si="198"/>
        <v>433920.49041280657</v>
      </c>
      <c r="W924" s="269">
        <f t="shared" si="199"/>
        <v>433920.49041280657</v>
      </c>
      <c r="X924" s="257">
        <f t="shared" si="200"/>
        <v>433920.49041280657</v>
      </c>
      <c r="Y924" s="270">
        <f>IF(L924="Complex",(INDEX('Escalators '!$M$176:$S$176,MATCH('Forecast capex'!J924,'Escalators '!$M$178:$S$178,0))/12+1)^((K924-J924)*12)-1,0)</f>
        <v>0</v>
      </c>
      <c r="Z924" s="257">
        <f t="shared" si="201"/>
        <v>0</v>
      </c>
      <c r="AA924" s="257">
        <f t="shared" si="202"/>
        <v>0</v>
      </c>
      <c r="AB924" s="269">
        <f t="shared" si="203"/>
        <v>0</v>
      </c>
      <c r="AC924" s="269">
        <f t="shared" si="204"/>
        <v>0</v>
      </c>
      <c r="AD924" s="271" t="str">
        <f>INDEX('Global inputs'!$C$134:$C$171,MATCH(F924,'Global inputs'!$B$134:$B$171,0))</f>
        <v>Asset replacement and renewal</v>
      </c>
      <c r="AE924" s="272">
        <f>IF(OR(H924='Operating leases'!$B$32,H924='Operating leases'!$B$33),"",INDEX('Global inputs'!$C$186:$C$243,MATCH(E924,'Global inputs'!$B$186:$B$243,0)))</f>
        <v>0.08</v>
      </c>
    </row>
    <row r="925" spans="1:31" s="27" customFormat="1" x14ac:dyDescent="0.2">
      <c r="A925" s="250"/>
      <c r="B925" s="210" t="s">
        <v>742</v>
      </c>
      <c r="C925" s="210" t="s">
        <v>290</v>
      </c>
      <c r="D925" s="210" t="s">
        <v>718</v>
      </c>
      <c r="E925" s="210" t="s">
        <v>168</v>
      </c>
      <c r="F925" s="210" t="s">
        <v>111</v>
      </c>
      <c r="G925" s="210" t="s">
        <v>720</v>
      </c>
      <c r="H925" s="197">
        <v>0</v>
      </c>
      <c r="I925" s="210" t="s">
        <v>221</v>
      </c>
      <c r="J925" s="210">
        <v>2023</v>
      </c>
      <c r="K925" s="210">
        <v>2023</v>
      </c>
      <c r="L925" s="268" t="str">
        <f t="shared" si="192"/>
        <v>Simple</v>
      </c>
      <c r="M925" s="197">
        <v>102790</v>
      </c>
      <c r="N925" s="197">
        <v>0</v>
      </c>
      <c r="O925" s="257">
        <f>IF(ISNA(MATCH(H925,'Operating leases'!$B$32:$B$43,0)),0,INDEX('Operating leases'!$M$32:$S$43,MATCH(H925,'Operating leases'!$B$32:$B$43,0),MATCH(J925,'Operating leases'!$M$11:$S$11,0)))</f>
        <v>0</v>
      </c>
      <c r="P925" s="257">
        <f t="shared" si="193"/>
        <v>102790</v>
      </c>
      <c r="Q925" s="257">
        <f t="shared" si="194"/>
        <v>102790</v>
      </c>
      <c r="R925" s="258">
        <f>INDEX('Escalators '!$M$124:$S$129,MATCH(I925,'Escalators '!$B$124:$B$129,0),MATCH(J925,'Escalators '!$M$113:$S$113,0))</f>
        <v>1.0486791854231625</v>
      </c>
      <c r="S925" s="257">
        <f t="shared" si="195"/>
        <v>0</v>
      </c>
      <c r="T925" s="257">
        <f t="shared" si="196"/>
        <v>0</v>
      </c>
      <c r="U925" s="269">
        <f t="shared" si="197"/>
        <v>107793.73346964688</v>
      </c>
      <c r="V925" s="269">
        <f t="shared" si="198"/>
        <v>107793.73346964688</v>
      </c>
      <c r="W925" s="269">
        <f t="shared" si="199"/>
        <v>107793.73346964688</v>
      </c>
      <c r="X925" s="257">
        <f t="shared" si="200"/>
        <v>107793.73346964688</v>
      </c>
      <c r="Y925" s="270">
        <f>IF(L925="Complex",(INDEX('Escalators '!$M$176:$S$176,MATCH('Forecast capex'!J925,'Escalators '!$M$178:$S$178,0))/12+1)^((K925-J925)*12)-1,0)</f>
        <v>0</v>
      </c>
      <c r="Z925" s="257">
        <f t="shared" si="201"/>
        <v>0</v>
      </c>
      <c r="AA925" s="257">
        <f t="shared" si="202"/>
        <v>0</v>
      </c>
      <c r="AB925" s="269">
        <f t="shared" si="203"/>
        <v>0</v>
      </c>
      <c r="AC925" s="269">
        <f t="shared" si="204"/>
        <v>0</v>
      </c>
      <c r="AD925" s="271" t="str">
        <f>INDEX('Global inputs'!$C$134:$C$171,MATCH(F925,'Global inputs'!$B$134:$B$171,0))</f>
        <v>Asset replacement and renewal</v>
      </c>
      <c r="AE925" s="272">
        <f>IF(OR(H925='Operating leases'!$B$32,H925='Operating leases'!$B$33),"",INDEX('Global inputs'!$C$186:$C$243,MATCH(E925,'Global inputs'!$B$186:$B$243,0)))</f>
        <v>0.08</v>
      </c>
    </row>
    <row r="926" spans="1:31" s="27" customFormat="1" x14ac:dyDescent="0.2">
      <c r="A926" s="250"/>
      <c r="B926" s="210" t="s">
        <v>742</v>
      </c>
      <c r="C926" s="210" t="s">
        <v>291</v>
      </c>
      <c r="D926" s="210" t="s">
        <v>735</v>
      </c>
      <c r="E926" s="210" t="s">
        <v>175</v>
      </c>
      <c r="F926" s="210" t="s">
        <v>119</v>
      </c>
      <c r="G926" s="210" t="s">
        <v>748</v>
      </c>
      <c r="H926" s="197">
        <v>0</v>
      </c>
      <c r="I926" s="210" t="s">
        <v>229</v>
      </c>
      <c r="J926" s="210">
        <v>2023</v>
      </c>
      <c r="K926" s="210">
        <v>2023</v>
      </c>
      <c r="L926" s="268" t="str">
        <f t="shared" si="192"/>
        <v>Simple</v>
      </c>
      <c r="M926" s="197">
        <v>15960</v>
      </c>
      <c r="N926" s="197">
        <v>0</v>
      </c>
      <c r="O926" s="257">
        <f>IF(ISNA(MATCH(H926,'Operating leases'!$B$32:$B$43,0)),0,INDEX('Operating leases'!$M$32:$S$43,MATCH(H926,'Operating leases'!$B$32:$B$43,0),MATCH(J926,'Operating leases'!$M$11:$S$11,0)))</f>
        <v>0</v>
      </c>
      <c r="P926" s="257">
        <f t="shared" si="193"/>
        <v>15960</v>
      </c>
      <c r="Q926" s="257">
        <f t="shared" si="194"/>
        <v>15960</v>
      </c>
      <c r="R926" s="258">
        <f>INDEX('Escalators '!$M$124:$S$129,MATCH(I926,'Escalators '!$B$124:$B$129,0),MATCH(J926,'Escalators '!$M$113:$S$113,0))</f>
        <v>1.0553567720906862</v>
      </c>
      <c r="S926" s="257">
        <f t="shared" si="195"/>
        <v>0</v>
      </c>
      <c r="T926" s="257">
        <f t="shared" si="196"/>
        <v>0</v>
      </c>
      <c r="U926" s="269">
        <f t="shared" si="197"/>
        <v>16843.494082567351</v>
      </c>
      <c r="V926" s="269">
        <f t="shared" si="198"/>
        <v>16843.494082567351</v>
      </c>
      <c r="W926" s="269">
        <f t="shared" si="199"/>
        <v>16843.494082567351</v>
      </c>
      <c r="X926" s="257">
        <f t="shared" si="200"/>
        <v>16843.494082567351</v>
      </c>
      <c r="Y926" s="270">
        <f>IF(L926="Complex",(INDEX('Escalators '!$M$176:$S$176,MATCH('Forecast capex'!J926,'Escalators '!$M$178:$S$178,0))/12+1)^((K926-J926)*12)-1,0)</f>
        <v>0</v>
      </c>
      <c r="Z926" s="257">
        <f t="shared" si="201"/>
        <v>0</v>
      </c>
      <c r="AA926" s="257">
        <f t="shared" si="202"/>
        <v>0</v>
      </c>
      <c r="AB926" s="269">
        <f t="shared" si="203"/>
        <v>0</v>
      </c>
      <c r="AC926" s="269">
        <f t="shared" si="204"/>
        <v>0</v>
      </c>
      <c r="AD926" s="271" t="str">
        <f>INDEX('Global inputs'!$C$134:$C$171,MATCH(F926,'Global inputs'!$B$134:$B$171,0))</f>
        <v>Asset replacement and renewal</v>
      </c>
      <c r="AE926" s="272">
        <f>IF(OR(H926='Operating leases'!$B$32,H926='Operating leases'!$B$33),"",INDEX('Global inputs'!$C$186:$C$243,MATCH(E926,'Global inputs'!$B$186:$B$243,0)))</f>
        <v>0.1</v>
      </c>
    </row>
    <row r="927" spans="1:31" s="27" customFormat="1" x14ac:dyDescent="0.2">
      <c r="A927" s="250"/>
      <c r="B927" s="210" t="s">
        <v>742</v>
      </c>
      <c r="C927" s="210" t="s">
        <v>291</v>
      </c>
      <c r="D927" s="210" t="s">
        <v>735</v>
      </c>
      <c r="E927" s="210" t="s">
        <v>175</v>
      </c>
      <c r="F927" s="210" t="s">
        <v>119</v>
      </c>
      <c r="G927" s="210" t="s">
        <v>748</v>
      </c>
      <c r="H927" s="197">
        <v>0</v>
      </c>
      <c r="I927" s="210" t="s">
        <v>221</v>
      </c>
      <c r="J927" s="210">
        <v>2023</v>
      </c>
      <c r="K927" s="210">
        <v>2023</v>
      </c>
      <c r="L927" s="268" t="str">
        <f t="shared" si="192"/>
        <v>Simple</v>
      </c>
      <c r="M927" s="197">
        <v>63840</v>
      </c>
      <c r="N927" s="197">
        <v>0</v>
      </c>
      <c r="O927" s="257">
        <f>IF(ISNA(MATCH(H927,'Operating leases'!$B$32:$B$43,0)),0,INDEX('Operating leases'!$M$32:$S$43,MATCH(H927,'Operating leases'!$B$32:$B$43,0),MATCH(J927,'Operating leases'!$M$11:$S$11,0)))</f>
        <v>0</v>
      </c>
      <c r="P927" s="257">
        <f t="shared" si="193"/>
        <v>63840</v>
      </c>
      <c r="Q927" s="257">
        <f t="shared" si="194"/>
        <v>63840</v>
      </c>
      <c r="R927" s="258">
        <f>INDEX('Escalators '!$M$124:$S$129,MATCH(I927,'Escalators '!$B$124:$B$129,0),MATCH(J927,'Escalators '!$M$113:$S$113,0))</f>
        <v>1.0486791854231625</v>
      </c>
      <c r="S927" s="257">
        <f t="shared" si="195"/>
        <v>0</v>
      </c>
      <c r="T927" s="257">
        <f t="shared" si="196"/>
        <v>0</v>
      </c>
      <c r="U927" s="269">
        <f t="shared" si="197"/>
        <v>66947.679197414691</v>
      </c>
      <c r="V927" s="269">
        <f t="shared" si="198"/>
        <v>66947.679197414691</v>
      </c>
      <c r="W927" s="269">
        <f t="shared" si="199"/>
        <v>66947.679197414691</v>
      </c>
      <c r="X927" s="257">
        <f t="shared" si="200"/>
        <v>66947.679197414691</v>
      </c>
      <c r="Y927" s="270">
        <f>IF(L927="Complex",(INDEX('Escalators '!$M$176:$S$176,MATCH('Forecast capex'!J927,'Escalators '!$M$178:$S$178,0))/12+1)^((K927-J927)*12)-1,0)</f>
        <v>0</v>
      </c>
      <c r="Z927" s="257">
        <f t="shared" si="201"/>
        <v>0</v>
      </c>
      <c r="AA927" s="257">
        <f t="shared" si="202"/>
        <v>0</v>
      </c>
      <c r="AB927" s="269">
        <f t="shared" si="203"/>
        <v>0</v>
      </c>
      <c r="AC927" s="269">
        <f t="shared" si="204"/>
        <v>0</v>
      </c>
      <c r="AD927" s="271" t="str">
        <f>INDEX('Global inputs'!$C$134:$C$171,MATCH(F927,'Global inputs'!$B$134:$B$171,0))</f>
        <v>Asset replacement and renewal</v>
      </c>
      <c r="AE927" s="272">
        <f>IF(OR(H927='Operating leases'!$B$32,H927='Operating leases'!$B$33),"",INDEX('Global inputs'!$C$186:$C$243,MATCH(E927,'Global inputs'!$B$186:$B$243,0)))</f>
        <v>0.1</v>
      </c>
    </row>
    <row r="928" spans="1:31" s="27" customFormat="1" x14ac:dyDescent="0.2">
      <c r="A928" s="250"/>
      <c r="B928" s="210" t="s">
        <v>742</v>
      </c>
      <c r="C928" s="210" t="s">
        <v>289</v>
      </c>
      <c r="D928" s="210" t="s">
        <v>718</v>
      </c>
      <c r="E928" s="210" t="s">
        <v>165</v>
      </c>
      <c r="F928" s="210" t="s">
        <v>113</v>
      </c>
      <c r="G928" s="210" t="s">
        <v>745</v>
      </c>
      <c r="H928" s="197">
        <v>0</v>
      </c>
      <c r="I928" s="210" t="s">
        <v>229</v>
      </c>
      <c r="J928" s="210">
        <v>2023</v>
      </c>
      <c r="K928" s="210">
        <v>2023</v>
      </c>
      <c r="L928" s="268" t="str">
        <f t="shared" si="192"/>
        <v>Simple</v>
      </c>
      <c r="M928" s="197">
        <v>469194.07499999995</v>
      </c>
      <c r="N928" s="197">
        <v>0</v>
      </c>
      <c r="O928" s="257">
        <f>IF(ISNA(MATCH(H928,'Operating leases'!$B$32:$B$43,0)),0,INDEX('Operating leases'!$M$32:$S$43,MATCH(H928,'Operating leases'!$B$32:$B$43,0),MATCH(J928,'Operating leases'!$M$11:$S$11,0)))</f>
        <v>0</v>
      </c>
      <c r="P928" s="257">
        <f t="shared" si="193"/>
        <v>469194.07499999995</v>
      </c>
      <c r="Q928" s="257">
        <f t="shared" si="194"/>
        <v>469194.07499999995</v>
      </c>
      <c r="R928" s="258">
        <f>INDEX('Escalators '!$M$124:$S$129,MATCH(I928,'Escalators '!$B$124:$B$129,0),MATCH(J928,'Escalators '!$M$113:$S$113,0))</f>
        <v>1.0553567720906862</v>
      </c>
      <c r="S928" s="257">
        <f t="shared" si="195"/>
        <v>0</v>
      </c>
      <c r="T928" s="257">
        <f t="shared" si="196"/>
        <v>0</v>
      </c>
      <c r="U928" s="269">
        <f t="shared" si="197"/>
        <v>495167.14447607531</v>
      </c>
      <c r="V928" s="269">
        <f t="shared" si="198"/>
        <v>495167.14447607531</v>
      </c>
      <c r="W928" s="269">
        <f t="shared" si="199"/>
        <v>495167.14447607531</v>
      </c>
      <c r="X928" s="257">
        <f t="shared" si="200"/>
        <v>495167.14447607531</v>
      </c>
      <c r="Y928" s="270">
        <f>IF(L928="Complex",(INDEX('Escalators '!$M$176:$S$176,MATCH('Forecast capex'!J928,'Escalators '!$M$178:$S$178,0))/12+1)^((K928-J928)*12)-1,0)</f>
        <v>0</v>
      </c>
      <c r="Z928" s="257">
        <f t="shared" si="201"/>
        <v>0</v>
      </c>
      <c r="AA928" s="257">
        <f t="shared" si="202"/>
        <v>0</v>
      </c>
      <c r="AB928" s="269">
        <f t="shared" si="203"/>
        <v>0</v>
      </c>
      <c r="AC928" s="269">
        <f t="shared" si="204"/>
        <v>0</v>
      </c>
      <c r="AD928" s="271" t="str">
        <f>INDEX('Global inputs'!$C$134:$C$171,MATCH(F928,'Global inputs'!$B$134:$B$171,0))</f>
        <v>Asset replacement and renewal</v>
      </c>
      <c r="AE928" s="272">
        <f>IF(OR(H928='Operating leases'!$B$32,H928='Operating leases'!$B$33),"",INDEX('Global inputs'!$C$186:$C$243,MATCH(E928,'Global inputs'!$B$186:$B$243,0)))</f>
        <v>0.1</v>
      </c>
    </row>
    <row r="929" spans="1:31" s="27" customFormat="1" x14ac:dyDescent="0.2">
      <c r="A929" s="250"/>
      <c r="B929" s="210" t="s">
        <v>742</v>
      </c>
      <c r="C929" s="210" t="s">
        <v>289</v>
      </c>
      <c r="D929" s="210" t="s">
        <v>718</v>
      </c>
      <c r="E929" s="210" t="s">
        <v>165</v>
      </c>
      <c r="F929" s="210" t="s">
        <v>113</v>
      </c>
      <c r="G929" s="210" t="s">
        <v>745</v>
      </c>
      <c r="H929" s="197">
        <v>0</v>
      </c>
      <c r="I929" s="210" t="s">
        <v>221</v>
      </c>
      <c r="J929" s="210">
        <v>2023</v>
      </c>
      <c r="K929" s="210">
        <v>2023</v>
      </c>
      <c r="L929" s="268" t="str">
        <f t="shared" si="192"/>
        <v>Simple</v>
      </c>
      <c r="M929" s="197">
        <v>469194.07499999995</v>
      </c>
      <c r="N929" s="197">
        <v>0</v>
      </c>
      <c r="O929" s="257">
        <f>IF(ISNA(MATCH(H929,'Operating leases'!$B$32:$B$43,0)),0,INDEX('Operating leases'!$M$32:$S$43,MATCH(H929,'Operating leases'!$B$32:$B$43,0),MATCH(J929,'Operating leases'!$M$11:$S$11,0)))</f>
        <v>0</v>
      </c>
      <c r="P929" s="257">
        <f t="shared" si="193"/>
        <v>469194.07499999995</v>
      </c>
      <c r="Q929" s="257">
        <f t="shared" si="194"/>
        <v>469194.07499999995</v>
      </c>
      <c r="R929" s="258">
        <f>INDEX('Escalators '!$M$124:$S$129,MATCH(I929,'Escalators '!$B$124:$B$129,0),MATCH(J929,'Escalators '!$M$113:$S$113,0))</f>
        <v>1.0486791854231625</v>
      </c>
      <c r="S929" s="257">
        <f t="shared" si="195"/>
        <v>0</v>
      </c>
      <c r="T929" s="257">
        <f t="shared" si="196"/>
        <v>0</v>
      </c>
      <c r="U929" s="269">
        <f t="shared" si="197"/>
        <v>492034.06037637417</v>
      </c>
      <c r="V929" s="269">
        <f t="shared" si="198"/>
        <v>492034.06037637417</v>
      </c>
      <c r="W929" s="269">
        <f t="shared" si="199"/>
        <v>492034.06037637417</v>
      </c>
      <c r="X929" s="257">
        <f t="shared" si="200"/>
        <v>492034.06037637417</v>
      </c>
      <c r="Y929" s="270">
        <f>IF(L929="Complex",(INDEX('Escalators '!$M$176:$S$176,MATCH('Forecast capex'!J929,'Escalators '!$M$178:$S$178,0))/12+1)^((K929-J929)*12)-1,0)</f>
        <v>0</v>
      </c>
      <c r="Z929" s="257">
        <f t="shared" si="201"/>
        <v>0</v>
      </c>
      <c r="AA929" s="257">
        <f t="shared" si="202"/>
        <v>0</v>
      </c>
      <c r="AB929" s="269">
        <f t="shared" si="203"/>
        <v>0</v>
      </c>
      <c r="AC929" s="269">
        <f t="shared" si="204"/>
        <v>0</v>
      </c>
      <c r="AD929" s="271" t="str">
        <f>INDEX('Global inputs'!$C$134:$C$171,MATCH(F929,'Global inputs'!$B$134:$B$171,0))</f>
        <v>Asset replacement and renewal</v>
      </c>
      <c r="AE929" s="272">
        <f>IF(OR(H929='Operating leases'!$B$32,H929='Operating leases'!$B$33),"",INDEX('Global inputs'!$C$186:$C$243,MATCH(E929,'Global inputs'!$B$186:$B$243,0)))</f>
        <v>0.1</v>
      </c>
    </row>
    <row r="930" spans="1:31" s="27" customFormat="1" x14ac:dyDescent="0.2">
      <c r="A930" s="250"/>
      <c r="B930" s="210" t="s">
        <v>742</v>
      </c>
      <c r="C930" s="210" t="s">
        <v>285</v>
      </c>
      <c r="D930" s="210" t="s">
        <v>718</v>
      </c>
      <c r="E930" s="210" t="s">
        <v>132</v>
      </c>
      <c r="F930" s="210" t="s">
        <v>113</v>
      </c>
      <c r="G930" s="210" t="s">
        <v>745</v>
      </c>
      <c r="H930" s="197">
        <v>0</v>
      </c>
      <c r="I930" s="210" t="s">
        <v>229</v>
      </c>
      <c r="J930" s="210">
        <v>2023</v>
      </c>
      <c r="K930" s="210">
        <v>2023</v>
      </c>
      <c r="L930" s="268" t="str">
        <f t="shared" si="192"/>
        <v>Simple</v>
      </c>
      <c r="M930" s="197">
        <v>142500</v>
      </c>
      <c r="N930" s="197">
        <v>0</v>
      </c>
      <c r="O930" s="257">
        <f>IF(ISNA(MATCH(H930,'Operating leases'!$B$32:$B$43,0)),0,INDEX('Operating leases'!$M$32:$S$43,MATCH(H930,'Operating leases'!$B$32:$B$43,0),MATCH(J930,'Operating leases'!$M$11:$S$11,0)))</f>
        <v>0</v>
      </c>
      <c r="P930" s="257">
        <f t="shared" si="193"/>
        <v>142500</v>
      </c>
      <c r="Q930" s="257">
        <f t="shared" si="194"/>
        <v>142500</v>
      </c>
      <c r="R930" s="258">
        <f>INDEX('Escalators '!$M$124:$S$129,MATCH(I930,'Escalators '!$B$124:$B$129,0),MATCH(J930,'Escalators '!$M$113:$S$113,0))</f>
        <v>1.0553567720906862</v>
      </c>
      <c r="S930" s="257">
        <f t="shared" si="195"/>
        <v>0</v>
      </c>
      <c r="T930" s="257">
        <f t="shared" si="196"/>
        <v>0</v>
      </c>
      <c r="U930" s="269">
        <f t="shared" si="197"/>
        <v>150388.34002292278</v>
      </c>
      <c r="V930" s="269">
        <f t="shared" si="198"/>
        <v>150388.34002292278</v>
      </c>
      <c r="W930" s="269">
        <f t="shared" si="199"/>
        <v>150388.34002292278</v>
      </c>
      <c r="X930" s="257">
        <f t="shared" si="200"/>
        <v>150388.34002292278</v>
      </c>
      <c r="Y930" s="270">
        <f>IF(L930="Complex",(INDEX('Escalators '!$M$176:$S$176,MATCH('Forecast capex'!J930,'Escalators '!$M$178:$S$178,0))/12+1)^((K930-J930)*12)-1,0)</f>
        <v>0</v>
      </c>
      <c r="Z930" s="257">
        <f t="shared" si="201"/>
        <v>0</v>
      </c>
      <c r="AA930" s="257">
        <f t="shared" si="202"/>
        <v>0</v>
      </c>
      <c r="AB930" s="269">
        <f t="shared" si="203"/>
        <v>0</v>
      </c>
      <c r="AC930" s="269">
        <f t="shared" si="204"/>
        <v>0</v>
      </c>
      <c r="AD930" s="271" t="str">
        <f>INDEX('Global inputs'!$C$134:$C$171,MATCH(F930,'Global inputs'!$B$134:$B$171,0))</f>
        <v>Asset replacement and renewal</v>
      </c>
      <c r="AE930" s="272">
        <f>IF(OR(H930='Operating leases'!$B$32,H930='Operating leases'!$B$33),"",INDEX('Global inputs'!$C$186:$C$243,MATCH(E930,'Global inputs'!$B$186:$B$243,0)))</f>
        <v>0.08</v>
      </c>
    </row>
    <row r="931" spans="1:31" s="27" customFormat="1" x14ac:dyDescent="0.2">
      <c r="A931" s="250"/>
      <c r="B931" s="210" t="s">
        <v>742</v>
      </c>
      <c r="C931" s="210" t="s">
        <v>285</v>
      </c>
      <c r="D931" s="210" t="s">
        <v>718</v>
      </c>
      <c r="E931" s="210" t="s">
        <v>132</v>
      </c>
      <c r="F931" s="210" t="s">
        <v>113</v>
      </c>
      <c r="G931" s="210" t="s">
        <v>745</v>
      </c>
      <c r="H931" s="197">
        <v>0</v>
      </c>
      <c r="I931" s="210" t="s">
        <v>221</v>
      </c>
      <c r="J931" s="210">
        <v>2023</v>
      </c>
      <c r="K931" s="210">
        <v>2023</v>
      </c>
      <c r="L931" s="268" t="str">
        <f t="shared" si="192"/>
        <v>Simple</v>
      </c>
      <c r="M931" s="197">
        <v>142500</v>
      </c>
      <c r="N931" s="197">
        <v>0</v>
      </c>
      <c r="O931" s="257">
        <f>IF(ISNA(MATCH(H931,'Operating leases'!$B$32:$B$43,0)),0,INDEX('Operating leases'!$M$32:$S$43,MATCH(H931,'Operating leases'!$B$32:$B$43,0),MATCH(J931,'Operating leases'!$M$11:$S$11,0)))</f>
        <v>0</v>
      </c>
      <c r="P931" s="257">
        <f t="shared" si="193"/>
        <v>142500</v>
      </c>
      <c r="Q931" s="257">
        <f t="shared" si="194"/>
        <v>142500</v>
      </c>
      <c r="R931" s="258">
        <f>INDEX('Escalators '!$M$124:$S$129,MATCH(I931,'Escalators '!$B$124:$B$129,0),MATCH(J931,'Escalators '!$M$113:$S$113,0))</f>
        <v>1.0486791854231625</v>
      </c>
      <c r="S931" s="257">
        <f t="shared" si="195"/>
        <v>0</v>
      </c>
      <c r="T931" s="257">
        <f t="shared" si="196"/>
        <v>0</v>
      </c>
      <c r="U931" s="269">
        <f t="shared" si="197"/>
        <v>149436.78392280065</v>
      </c>
      <c r="V931" s="269">
        <f t="shared" si="198"/>
        <v>149436.78392280065</v>
      </c>
      <c r="W931" s="269">
        <f t="shared" si="199"/>
        <v>149436.78392280065</v>
      </c>
      <c r="X931" s="257">
        <f t="shared" si="200"/>
        <v>149436.78392280065</v>
      </c>
      <c r="Y931" s="270">
        <f>IF(L931="Complex",(INDEX('Escalators '!$M$176:$S$176,MATCH('Forecast capex'!J931,'Escalators '!$M$178:$S$178,0))/12+1)^((K931-J931)*12)-1,0)</f>
        <v>0</v>
      </c>
      <c r="Z931" s="257">
        <f t="shared" si="201"/>
        <v>0</v>
      </c>
      <c r="AA931" s="257">
        <f t="shared" si="202"/>
        <v>0</v>
      </c>
      <c r="AB931" s="269">
        <f t="shared" si="203"/>
        <v>0</v>
      </c>
      <c r="AC931" s="269">
        <f t="shared" si="204"/>
        <v>0</v>
      </c>
      <c r="AD931" s="271" t="str">
        <f>INDEX('Global inputs'!$C$134:$C$171,MATCH(F931,'Global inputs'!$B$134:$B$171,0))</f>
        <v>Asset replacement and renewal</v>
      </c>
      <c r="AE931" s="272">
        <f>IF(OR(H931='Operating leases'!$B$32,H931='Operating leases'!$B$33),"",INDEX('Global inputs'!$C$186:$C$243,MATCH(E931,'Global inputs'!$B$186:$B$243,0)))</f>
        <v>0.08</v>
      </c>
    </row>
    <row r="932" spans="1:31" s="27" customFormat="1" x14ac:dyDescent="0.2">
      <c r="A932" s="250"/>
      <c r="B932" s="210" t="s">
        <v>746</v>
      </c>
      <c r="C932" s="210" t="s">
        <v>287</v>
      </c>
      <c r="D932" s="210" t="s">
        <v>715</v>
      </c>
      <c r="E932" s="210" t="s">
        <v>150</v>
      </c>
      <c r="F932" s="210" t="s">
        <v>86</v>
      </c>
      <c r="G932" s="210" t="s">
        <v>716</v>
      </c>
      <c r="H932" s="197">
        <v>0</v>
      </c>
      <c r="I932" s="210" t="s">
        <v>229</v>
      </c>
      <c r="J932" s="210">
        <v>2023</v>
      </c>
      <c r="K932" s="210">
        <v>2023</v>
      </c>
      <c r="L932" s="268" t="str">
        <f t="shared" si="192"/>
        <v>Simple</v>
      </c>
      <c r="M932" s="197">
        <v>50351.936549466365</v>
      </c>
      <c r="N932" s="197">
        <v>0</v>
      </c>
      <c r="O932" s="257">
        <f>IF(ISNA(MATCH(H932,'Operating leases'!$B$32:$B$43,0)),0,INDEX('Operating leases'!$M$32:$S$43,MATCH(H932,'Operating leases'!$B$32:$B$43,0),MATCH(J932,'Operating leases'!$M$11:$S$11,0)))</f>
        <v>0</v>
      </c>
      <c r="P932" s="257">
        <f t="shared" si="193"/>
        <v>50351.936549466365</v>
      </c>
      <c r="Q932" s="257">
        <f t="shared" si="194"/>
        <v>50351.936549466365</v>
      </c>
      <c r="R932" s="258">
        <f>INDEX('Escalators '!$M$124:$S$129,MATCH(I932,'Escalators '!$B$124:$B$129,0),MATCH(J932,'Escalators '!$M$113:$S$113,0))</f>
        <v>1.0553567720906862</v>
      </c>
      <c r="S932" s="257">
        <f t="shared" si="195"/>
        <v>0</v>
      </c>
      <c r="T932" s="257">
        <f t="shared" si="196"/>
        <v>0</v>
      </c>
      <c r="U932" s="269">
        <f t="shared" si="197"/>
        <v>53139.25722535987</v>
      </c>
      <c r="V932" s="269">
        <f t="shared" si="198"/>
        <v>53139.25722535987</v>
      </c>
      <c r="W932" s="269">
        <f t="shared" si="199"/>
        <v>53139.25722535987</v>
      </c>
      <c r="X932" s="257">
        <f t="shared" si="200"/>
        <v>53139.25722535987</v>
      </c>
      <c r="Y932" s="270">
        <f>IF(L932="Complex",(INDEX('Escalators '!$M$176:$S$176,MATCH('Forecast capex'!J932,'Escalators '!$M$178:$S$178,0))/12+1)^((K932-J932)*12)-1,0)</f>
        <v>0</v>
      </c>
      <c r="Z932" s="257">
        <f t="shared" si="201"/>
        <v>0</v>
      </c>
      <c r="AA932" s="257">
        <f t="shared" si="202"/>
        <v>0</v>
      </c>
      <c r="AB932" s="269">
        <f t="shared" si="203"/>
        <v>0</v>
      </c>
      <c r="AC932" s="269">
        <f t="shared" si="204"/>
        <v>0</v>
      </c>
      <c r="AD932" s="271" t="str">
        <f>INDEX('Global inputs'!$C$134:$C$171,MATCH(F932,'Global inputs'!$B$134:$B$171,0))</f>
        <v xml:space="preserve">System growth </v>
      </c>
      <c r="AE932" s="272">
        <f>IF(OR(H932='Operating leases'!$B$32,H932='Operating leases'!$B$33),"",INDEX('Global inputs'!$C$186:$C$243,MATCH(E932,'Global inputs'!$B$186:$B$243,0)))</f>
        <v>0.08</v>
      </c>
    </row>
    <row r="933" spans="1:31" s="27" customFormat="1" x14ac:dyDescent="0.2">
      <c r="A933" s="250"/>
      <c r="B933" s="210" t="s">
        <v>746</v>
      </c>
      <c r="C933" s="210" t="s">
        <v>287</v>
      </c>
      <c r="D933" s="210" t="s">
        <v>715</v>
      </c>
      <c r="E933" s="210" t="s">
        <v>150</v>
      </c>
      <c r="F933" s="210" t="s">
        <v>86</v>
      </c>
      <c r="G933" s="210" t="s">
        <v>716</v>
      </c>
      <c r="H933" s="197">
        <v>0</v>
      </c>
      <c r="I933" s="210" t="s">
        <v>221</v>
      </c>
      <c r="J933" s="210">
        <v>2023</v>
      </c>
      <c r="K933" s="210">
        <v>2023</v>
      </c>
      <c r="L933" s="268" t="str">
        <f t="shared" si="192"/>
        <v>Simple</v>
      </c>
      <c r="M933" s="197">
        <v>50351.936549466365</v>
      </c>
      <c r="N933" s="197">
        <v>0</v>
      </c>
      <c r="O933" s="257">
        <f>IF(ISNA(MATCH(H933,'Operating leases'!$B$32:$B$43,0)),0,INDEX('Operating leases'!$M$32:$S$43,MATCH(H933,'Operating leases'!$B$32:$B$43,0),MATCH(J933,'Operating leases'!$M$11:$S$11,0)))</f>
        <v>0</v>
      </c>
      <c r="P933" s="257">
        <f t="shared" si="193"/>
        <v>50351.936549466365</v>
      </c>
      <c r="Q933" s="257">
        <f t="shared" si="194"/>
        <v>50351.936549466365</v>
      </c>
      <c r="R933" s="258">
        <f>INDEX('Escalators '!$M$124:$S$129,MATCH(I933,'Escalators '!$B$124:$B$129,0),MATCH(J933,'Escalators '!$M$113:$S$113,0))</f>
        <v>1.0486791854231625</v>
      </c>
      <c r="S933" s="257">
        <f t="shared" si="195"/>
        <v>0</v>
      </c>
      <c r="T933" s="257">
        <f t="shared" si="196"/>
        <v>0</v>
      </c>
      <c r="U933" s="269">
        <f t="shared" si="197"/>
        <v>52803.027805173151</v>
      </c>
      <c r="V933" s="269">
        <f t="shared" si="198"/>
        <v>52803.027805173151</v>
      </c>
      <c r="W933" s="269">
        <f t="shared" si="199"/>
        <v>52803.027805173151</v>
      </c>
      <c r="X933" s="257">
        <f t="shared" si="200"/>
        <v>52803.027805173151</v>
      </c>
      <c r="Y933" s="270">
        <f>IF(L933="Complex",(INDEX('Escalators '!$M$176:$S$176,MATCH('Forecast capex'!J933,'Escalators '!$M$178:$S$178,0))/12+1)^((K933-J933)*12)-1,0)</f>
        <v>0</v>
      </c>
      <c r="Z933" s="257">
        <f t="shared" si="201"/>
        <v>0</v>
      </c>
      <c r="AA933" s="257">
        <f t="shared" si="202"/>
        <v>0</v>
      </c>
      <c r="AB933" s="269">
        <f t="shared" si="203"/>
        <v>0</v>
      </c>
      <c r="AC933" s="269">
        <f t="shared" si="204"/>
        <v>0</v>
      </c>
      <c r="AD933" s="271" t="str">
        <f>INDEX('Global inputs'!$C$134:$C$171,MATCH(F933,'Global inputs'!$B$134:$B$171,0))</f>
        <v xml:space="preserve">System growth </v>
      </c>
      <c r="AE933" s="272">
        <f>IF(OR(H933='Operating leases'!$B$32,H933='Operating leases'!$B$33),"",INDEX('Global inputs'!$C$186:$C$243,MATCH(E933,'Global inputs'!$B$186:$B$243,0)))</f>
        <v>0.08</v>
      </c>
    </row>
    <row r="934" spans="1:31" s="27" customFormat="1" x14ac:dyDescent="0.2">
      <c r="A934" s="250"/>
      <c r="B934" s="210" t="s">
        <v>746</v>
      </c>
      <c r="C934" s="210" t="s">
        <v>287</v>
      </c>
      <c r="D934" s="210" t="s">
        <v>715</v>
      </c>
      <c r="E934" s="210" t="s">
        <v>151</v>
      </c>
      <c r="F934" s="210" t="s">
        <v>86</v>
      </c>
      <c r="G934" s="210" t="s">
        <v>716</v>
      </c>
      <c r="H934" s="197">
        <v>0</v>
      </c>
      <c r="I934" s="210" t="s">
        <v>229</v>
      </c>
      <c r="J934" s="210">
        <v>2023</v>
      </c>
      <c r="K934" s="210">
        <v>2023</v>
      </c>
      <c r="L934" s="268" t="str">
        <f t="shared" si="192"/>
        <v>Simple</v>
      </c>
      <c r="M934" s="197">
        <v>50351.936549466365</v>
      </c>
      <c r="N934" s="197">
        <v>0</v>
      </c>
      <c r="O934" s="257">
        <f>IF(ISNA(MATCH(H934,'Operating leases'!$B$32:$B$43,0)),0,INDEX('Operating leases'!$M$32:$S$43,MATCH(H934,'Operating leases'!$B$32:$B$43,0),MATCH(J934,'Operating leases'!$M$11:$S$11,0)))</f>
        <v>0</v>
      </c>
      <c r="P934" s="257">
        <f t="shared" si="193"/>
        <v>50351.936549466365</v>
      </c>
      <c r="Q934" s="257">
        <f t="shared" si="194"/>
        <v>50351.936549466365</v>
      </c>
      <c r="R934" s="258">
        <f>INDEX('Escalators '!$M$124:$S$129,MATCH(I934,'Escalators '!$B$124:$B$129,0),MATCH(J934,'Escalators '!$M$113:$S$113,0))</f>
        <v>1.0553567720906862</v>
      </c>
      <c r="S934" s="257">
        <f t="shared" si="195"/>
        <v>0</v>
      </c>
      <c r="T934" s="257">
        <f t="shared" si="196"/>
        <v>0</v>
      </c>
      <c r="U934" s="269">
        <f t="shared" si="197"/>
        <v>53139.25722535987</v>
      </c>
      <c r="V934" s="269">
        <f t="shared" si="198"/>
        <v>53139.25722535987</v>
      </c>
      <c r="W934" s="269">
        <f t="shared" si="199"/>
        <v>53139.25722535987</v>
      </c>
      <c r="X934" s="257">
        <f t="shared" si="200"/>
        <v>53139.25722535987</v>
      </c>
      <c r="Y934" s="270">
        <f>IF(L934="Complex",(INDEX('Escalators '!$M$176:$S$176,MATCH('Forecast capex'!J934,'Escalators '!$M$178:$S$178,0))/12+1)^((K934-J934)*12)-1,0)</f>
        <v>0</v>
      </c>
      <c r="Z934" s="257">
        <f t="shared" si="201"/>
        <v>0</v>
      </c>
      <c r="AA934" s="257">
        <f t="shared" si="202"/>
        <v>0</v>
      </c>
      <c r="AB934" s="269">
        <f t="shared" si="203"/>
        <v>0</v>
      </c>
      <c r="AC934" s="269">
        <f t="shared" si="204"/>
        <v>0</v>
      </c>
      <c r="AD934" s="271" t="str">
        <f>INDEX('Global inputs'!$C$134:$C$171,MATCH(F934,'Global inputs'!$B$134:$B$171,0))</f>
        <v xml:space="preserve">System growth </v>
      </c>
      <c r="AE934" s="272">
        <f>IF(OR(H934='Operating leases'!$B$32,H934='Operating leases'!$B$33),"",INDEX('Global inputs'!$C$186:$C$243,MATCH(E934,'Global inputs'!$B$186:$B$243,0)))</f>
        <v>0.1</v>
      </c>
    </row>
    <row r="935" spans="1:31" s="27" customFormat="1" x14ac:dyDescent="0.2">
      <c r="A935" s="250"/>
      <c r="B935" s="210" t="s">
        <v>746</v>
      </c>
      <c r="C935" s="210" t="s">
        <v>287</v>
      </c>
      <c r="D935" s="210" t="s">
        <v>715</v>
      </c>
      <c r="E935" s="210" t="s">
        <v>151</v>
      </c>
      <c r="F935" s="210" t="s">
        <v>86</v>
      </c>
      <c r="G935" s="210" t="s">
        <v>716</v>
      </c>
      <c r="H935" s="197">
        <v>0</v>
      </c>
      <c r="I935" s="210" t="s">
        <v>221</v>
      </c>
      <c r="J935" s="210">
        <v>2023</v>
      </c>
      <c r="K935" s="210">
        <v>2023</v>
      </c>
      <c r="L935" s="268" t="str">
        <f t="shared" si="192"/>
        <v>Simple</v>
      </c>
      <c r="M935" s="197">
        <v>50351.936549466365</v>
      </c>
      <c r="N935" s="197">
        <v>0</v>
      </c>
      <c r="O935" s="257">
        <f>IF(ISNA(MATCH(H935,'Operating leases'!$B$32:$B$43,0)),0,INDEX('Operating leases'!$M$32:$S$43,MATCH(H935,'Operating leases'!$B$32:$B$43,0),MATCH(J935,'Operating leases'!$M$11:$S$11,0)))</f>
        <v>0</v>
      </c>
      <c r="P935" s="257">
        <f t="shared" si="193"/>
        <v>50351.936549466365</v>
      </c>
      <c r="Q935" s="257">
        <f t="shared" si="194"/>
        <v>50351.936549466365</v>
      </c>
      <c r="R935" s="258">
        <f>INDEX('Escalators '!$M$124:$S$129,MATCH(I935,'Escalators '!$B$124:$B$129,0),MATCH(J935,'Escalators '!$M$113:$S$113,0))</f>
        <v>1.0486791854231625</v>
      </c>
      <c r="S935" s="257">
        <f t="shared" si="195"/>
        <v>0</v>
      </c>
      <c r="T935" s="257">
        <f t="shared" si="196"/>
        <v>0</v>
      </c>
      <c r="U935" s="269">
        <f t="shared" si="197"/>
        <v>52803.027805173151</v>
      </c>
      <c r="V935" s="269">
        <f t="shared" si="198"/>
        <v>52803.027805173151</v>
      </c>
      <c r="W935" s="269">
        <f t="shared" si="199"/>
        <v>52803.027805173151</v>
      </c>
      <c r="X935" s="257">
        <f t="shared" si="200"/>
        <v>52803.027805173151</v>
      </c>
      <c r="Y935" s="270">
        <f>IF(L935="Complex",(INDEX('Escalators '!$M$176:$S$176,MATCH('Forecast capex'!J935,'Escalators '!$M$178:$S$178,0))/12+1)^((K935-J935)*12)-1,0)</f>
        <v>0</v>
      </c>
      <c r="Z935" s="257">
        <f t="shared" si="201"/>
        <v>0</v>
      </c>
      <c r="AA935" s="257">
        <f t="shared" si="202"/>
        <v>0</v>
      </c>
      <c r="AB935" s="269">
        <f t="shared" si="203"/>
        <v>0</v>
      </c>
      <c r="AC935" s="269">
        <f t="shared" si="204"/>
        <v>0</v>
      </c>
      <c r="AD935" s="271" t="str">
        <f>INDEX('Global inputs'!$C$134:$C$171,MATCH(F935,'Global inputs'!$B$134:$B$171,0))</f>
        <v xml:space="preserve">System growth </v>
      </c>
      <c r="AE935" s="272">
        <f>IF(OR(H935='Operating leases'!$B$32,H935='Operating leases'!$B$33),"",INDEX('Global inputs'!$C$186:$C$243,MATCH(E935,'Global inputs'!$B$186:$B$243,0)))</f>
        <v>0.1</v>
      </c>
    </row>
    <row r="936" spans="1:31" s="27" customFormat="1" x14ac:dyDescent="0.2">
      <c r="A936" s="250"/>
      <c r="B936" s="210" t="s">
        <v>746</v>
      </c>
      <c r="C936" s="210" t="s">
        <v>287</v>
      </c>
      <c r="D936" s="210" t="s">
        <v>715</v>
      </c>
      <c r="E936" s="210" t="s">
        <v>153</v>
      </c>
      <c r="F936" s="210" t="s">
        <v>86</v>
      </c>
      <c r="G936" s="210" t="s">
        <v>716</v>
      </c>
      <c r="H936" s="197">
        <v>0</v>
      </c>
      <c r="I936" s="210" t="s">
        <v>229</v>
      </c>
      <c r="J936" s="210">
        <v>2023</v>
      </c>
      <c r="K936" s="210">
        <v>2023</v>
      </c>
      <c r="L936" s="268" t="str">
        <f t="shared" si="192"/>
        <v>Simple</v>
      </c>
      <c r="M936" s="197">
        <v>22378.6384664295</v>
      </c>
      <c r="N936" s="197">
        <v>0</v>
      </c>
      <c r="O936" s="257">
        <f>IF(ISNA(MATCH(H936,'Operating leases'!$B$32:$B$43,0)),0,INDEX('Operating leases'!$M$32:$S$43,MATCH(H936,'Operating leases'!$B$32:$B$43,0),MATCH(J936,'Operating leases'!$M$11:$S$11,0)))</f>
        <v>0</v>
      </c>
      <c r="P936" s="257">
        <f t="shared" si="193"/>
        <v>22378.6384664295</v>
      </c>
      <c r="Q936" s="257">
        <f t="shared" si="194"/>
        <v>22378.6384664295</v>
      </c>
      <c r="R936" s="258">
        <f>INDEX('Escalators '!$M$124:$S$129,MATCH(I936,'Escalators '!$B$124:$B$129,0),MATCH(J936,'Escalators '!$M$113:$S$113,0))</f>
        <v>1.0553567720906862</v>
      </c>
      <c r="S936" s="257">
        <f t="shared" si="195"/>
        <v>0</v>
      </c>
      <c r="T936" s="257">
        <f t="shared" si="196"/>
        <v>0</v>
      </c>
      <c r="U936" s="269">
        <f t="shared" si="197"/>
        <v>23617.447655715503</v>
      </c>
      <c r="V936" s="269">
        <f t="shared" si="198"/>
        <v>23617.447655715503</v>
      </c>
      <c r="W936" s="269">
        <f t="shared" si="199"/>
        <v>23617.447655715503</v>
      </c>
      <c r="X936" s="257">
        <f t="shared" si="200"/>
        <v>23617.447655715503</v>
      </c>
      <c r="Y936" s="270">
        <f>IF(L936="Complex",(INDEX('Escalators '!$M$176:$S$176,MATCH('Forecast capex'!J936,'Escalators '!$M$178:$S$178,0))/12+1)^((K936-J936)*12)-1,0)</f>
        <v>0</v>
      </c>
      <c r="Z936" s="257">
        <f t="shared" si="201"/>
        <v>0</v>
      </c>
      <c r="AA936" s="257">
        <f t="shared" si="202"/>
        <v>0</v>
      </c>
      <c r="AB936" s="269">
        <f t="shared" si="203"/>
        <v>0</v>
      </c>
      <c r="AC936" s="269">
        <f t="shared" si="204"/>
        <v>0</v>
      </c>
      <c r="AD936" s="271" t="str">
        <f>INDEX('Global inputs'!$C$134:$C$171,MATCH(F936,'Global inputs'!$B$134:$B$171,0))</f>
        <v xml:space="preserve">System growth </v>
      </c>
      <c r="AE936" s="272">
        <f>IF(OR(H936='Operating leases'!$B$32,H936='Operating leases'!$B$33),"",INDEX('Global inputs'!$C$186:$C$243,MATCH(E936,'Global inputs'!$B$186:$B$243,0)))</f>
        <v>0.08</v>
      </c>
    </row>
    <row r="937" spans="1:31" s="27" customFormat="1" x14ac:dyDescent="0.2">
      <c r="A937" s="250"/>
      <c r="B937" s="210" t="s">
        <v>746</v>
      </c>
      <c r="C937" s="210" t="s">
        <v>287</v>
      </c>
      <c r="D937" s="210" t="s">
        <v>715</v>
      </c>
      <c r="E937" s="210" t="s">
        <v>153</v>
      </c>
      <c r="F937" s="210" t="s">
        <v>86</v>
      </c>
      <c r="G937" s="210" t="s">
        <v>716</v>
      </c>
      <c r="H937" s="197">
        <v>0</v>
      </c>
      <c r="I937" s="210" t="s">
        <v>221</v>
      </c>
      <c r="J937" s="210">
        <v>2023</v>
      </c>
      <c r="K937" s="210">
        <v>2023</v>
      </c>
      <c r="L937" s="268" t="str">
        <f t="shared" si="192"/>
        <v>Simple</v>
      </c>
      <c r="M937" s="197">
        <v>22378.6384664295</v>
      </c>
      <c r="N937" s="197">
        <v>0</v>
      </c>
      <c r="O937" s="257">
        <f>IF(ISNA(MATCH(H937,'Operating leases'!$B$32:$B$43,0)),0,INDEX('Operating leases'!$M$32:$S$43,MATCH(H937,'Operating leases'!$B$32:$B$43,0),MATCH(J937,'Operating leases'!$M$11:$S$11,0)))</f>
        <v>0</v>
      </c>
      <c r="P937" s="257">
        <f t="shared" si="193"/>
        <v>22378.6384664295</v>
      </c>
      <c r="Q937" s="257">
        <f t="shared" si="194"/>
        <v>22378.6384664295</v>
      </c>
      <c r="R937" s="258">
        <f>INDEX('Escalators '!$M$124:$S$129,MATCH(I937,'Escalators '!$B$124:$B$129,0),MATCH(J937,'Escalators '!$M$113:$S$113,0))</f>
        <v>1.0486791854231625</v>
      </c>
      <c r="S937" s="257">
        <f t="shared" si="195"/>
        <v>0</v>
      </c>
      <c r="T937" s="257">
        <f t="shared" si="196"/>
        <v>0</v>
      </c>
      <c r="U937" s="269">
        <f t="shared" si="197"/>
        <v>23468.012357854739</v>
      </c>
      <c r="V937" s="269">
        <f t="shared" si="198"/>
        <v>23468.012357854739</v>
      </c>
      <c r="W937" s="269">
        <f t="shared" si="199"/>
        <v>23468.012357854739</v>
      </c>
      <c r="X937" s="257">
        <f t="shared" si="200"/>
        <v>23468.012357854739</v>
      </c>
      <c r="Y937" s="270">
        <f>IF(L937="Complex",(INDEX('Escalators '!$M$176:$S$176,MATCH('Forecast capex'!J937,'Escalators '!$M$178:$S$178,0))/12+1)^((K937-J937)*12)-1,0)</f>
        <v>0</v>
      </c>
      <c r="Z937" s="257">
        <f t="shared" si="201"/>
        <v>0</v>
      </c>
      <c r="AA937" s="257">
        <f t="shared" si="202"/>
        <v>0</v>
      </c>
      <c r="AB937" s="269">
        <f t="shared" si="203"/>
        <v>0</v>
      </c>
      <c r="AC937" s="269">
        <f t="shared" si="204"/>
        <v>0</v>
      </c>
      <c r="AD937" s="271" t="str">
        <f>INDEX('Global inputs'!$C$134:$C$171,MATCH(F937,'Global inputs'!$B$134:$B$171,0))</f>
        <v xml:space="preserve">System growth </v>
      </c>
      <c r="AE937" s="272">
        <f>IF(OR(H937='Operating leases'!$B$32,H937='Operating leases'!$B$33),"",INDEX('Global inputs'!$C$186:$C$243,MATCH(E937,'Global inputs'!$B$186:$B$243,0)))</f>
        <v>0.08</v>
      </c>
    </row>
    <row r="938" spans="1:31" s="27" customFormat="1" x14ac:dyDescent="0.2">
      <c r="A938" s="250"/>
      <c r="B938" s="210" t="s">
        <v>746</v>
      </c>
      <c r="C938" s="210" t="s">
        <v>287</v>
      </c>
      <c r="D938" s="210" t="s">
        <v>715</v>
      </c>
      <c r="E938" s="210" t="s">
        <v>154</v>
      </c>
      <c r="F938" s="210" t="s">
        <v>86</v>
      </c>
      <c r="G938" s="210" t="s">
        <v>716</v>
      </c>
      <c r="H938" s="197">
        <v>0</v>
      </c>
      <c r="I938" s="210" t="s">
        <v>229</v>
      </c>
      <c r="J938" s="210">
        <v>2023</v>
      </c>
      <c r="K938" s="210">
        <v>2023</v>
      </c>
      <c r="L938" s="268" t="str">
        <f t="shared" si="192"/>
        <v>Simple</v>
      </c>
      <c r="M938" s="197">
        <v>22378.6384664295</v>
      </c>
      <c r="N938" s="197">
        <v>0</v>
      </c>
      <c r="O938" s="257">
        <f>IF(ISNA(MATCH(H938,'Operating leases'!$B$32:$B$43,0)),0,INDEX('Operating leases'!$M$32:$S$43,MATCH(H938,'Operating leases'!$B$32:$B$43,0),MATCH(J938,'Operating leases'!$M$11:$S$11,0)))</f>
        <v>0</v>
      </c>
      <c r="P938" s="257">
        <f t="shared" si="193"/>
        <v>22378.6384664295</v>
      </c>
      <c r="Q938" s="257">
        <f t="shared" si="194"/>
        <v>22378.6384664295</v>
      </c>
      <c r="R938" s="258">
        <f>INDEX('Escalators '!$M$124:$S$129,MATCH(I938,'Escalators '!$B$124:$B$129,0),MATCH(J938,'Escalators '!$M$113:$S$113,0))</f>
        <v>1.0553567720906862</v>
      </c>
      <c r="S938" s="257">
        <f t="shared" si="195"/>
        <v>0</v>
      </c>
      <c r="T938" s="257">
        <f t="shared" si="196"/>
        <v>0</v>
      </c>
      <c r="U938" s="269">
        <f t="shared" si="197"/>
        <v>23617.447655715503</v>
      </c>
      <c r="V938" s="269">
        <f t="shared" si="198"/>
        <v>23617.447655715503</v>
      </c>
      <c r="W938" s="269">
        <f t="shared" si="199"/>
        <v>23617.447655715503</v>
      </c>
      <c r="X938" s="257">
        <f t="shared" si="200"/>
        <v>23617.447655715503</v>
      </c>
      <c r="Y938" s="270">
        <f>IF(L938="Complex",(INDEX('Escalators '!$M$176:$S$176,MATCH('Forecast capex'!J938,'Escalators '!$M$178:$S$178,0))/12+1)^((K938-J938)*12)-1,0)</f>
        <v>0</v>
      </c>
      <c r="Z938" s="257">
        <f t="shared" si="201"/>
        <v>0</v>
      </c>
      <c r="AA938" s="257">
        <f t="shared" si="202"/>
        <v>0</v>
      </c>
      <c r="AB938" s="269">
        <f t="shared" si="203"/>
        <v>0</v>
      </c>
      <c r="AC938" s="269">
        <f t="shared" si="204"/>
        <v>0</v>
      </c>
      <c r="AD938" s="271" t="str">
        <f>INDEX('Global inputs'!$C$134:$C$171,MATCH(F938,'Global inputs'!$B$134:$B$171,0))</f>
        <v xml:space="preserve">System growth </v>
      </c>
      <c r="AE938" s="272">
        <f>IF(OR(H938='Operating leases'!$B$32,H938='Operating leases'!$B$33),"",INDEX('Global inputs'!$C$186:$C$243,MATCH(E938,'Global inputs'!$B$186:$B$243,0)))</f>
        <v>0.1</v>
      </c>
    </row>
    <row r="939" spans="1:31" s="27" customFormat="1" x14ac:dyDescent="0.2">
      <c r="A939" s="250"/>
      <c r="B939" s="210" t="s">
        <v>746</v>
      </c>
      <c r="C939" s="210" t="s">
        <v>287</v>
      </c>
      <c r="D939" s="210" t="s">
        <v>715</v>
      </c>
      <c r="E939" s="210" t="s">
        <v>154</v>
      </c>
      <c r="F939" s="210" t="s">
        <v>86</v>
      </c>
      <c r="G939" s="210" t="s">
        <v>716</v>
      </c>
      <c r="H939" s="197">
        <v>0</v>
      </c>
      <c r="I939" s="210" t="s">
        <v>221</v>
      </c>
      <c r="J939" s="210">
        <v>2023</v>
      </c>
      <c r="K939" s="210">
        <v>2023</v>
      </c>
      <c r="L939" s="268" t="str">
        <f t="shared" si="192"/>
        <v>Simple</v>
      </c>
      <c r="M939" s="197">
        <v>22378.6384664295</v>
      </c>
      <c r="N939" s="197">
        <v>0</v>
      </c>
      <c r="O939" s="257">
        <f>IF(ISNA(MATCH(H939,'Operating leases'!$B$32:$B$43,0)),0,INDEX('Operating leases'!$M$32:$S$43,MATCH(H939,'Operating leases'!$B$32:$B$43,0),MATCH(J939,'Operating leases'!$M$11:$S$11,0)))</f>
        <v>0</v>
      </c>
      <c r="P939" s="257">
        <f t="shared" si="193"/>
        <v>22378.6384664295</v>
      </c>
      <c r="Q939" s="257">
        <f t="shared" si="194"/>
        <v>22378.6384664295</v>
      </c>
      <c r="R939" s="258">
        <f>INDEX('Escalators '!$M$124:$S$129,MATCH(I939,'Escalators '!$B$124:$B$129,0),MATCH(J939,'Escalators '!$M$113:$S$113,0))</f>
        <v>1.0486791854231625</v>
      </c>
      <c r="S939" s="257">
        <f t="shared" si="195"/>
        <v>0</v>
      </c>
      <c r="T939" s="257">
        <f t="shared" si="196"/>
        <v>0</v>
      </c>
      <c r="U939" s="269">
        <f t="shared" si="197"/>
        <v>23468.012357854739</v>
      </c>
      <c r="V939" s="269">
        <f t="shared" si="198"/>
        <v>23468.012357854739</v>
      </c>
      <c r="W939" s="269">
        <f t="shared" si="199"/>
        <v>23468.012357854739</v>
      </c>
      <c r="X939" s="257">
        <f t="shared" si="200"/>
        <v>23468.012357854739</v>
      </c>
      <c r="Y939" s="270">
        <f>IF(L939="Complex",(INDEX('Escalators '!$M$176:$S$176,MATCH('Forecast capex'!J939,'Escalators '!$M$178:$S$178,0))/12+1)^((K939-J939)*12)-1,0)</f>
        <v>0</v>
      </c>
      <c r="Z939" s="257">
        <f t="shared" si="201"/>
        <v>0</v>
      </c>
      <c r="AA939" s="257">
        <f t="shared" si="202"/>
        <v>0</v>
      </c>
      <c r="AB939" s="269">
        <f t="shared" si="203"/>
        <v>0</v>
      </c>
      <c r="AC939" s="269">
        <f t="shared" si="204"/>
        <v>0</v>
      </c>
      <c r="AD939" s="271" t="str">
        <f>INDEX('Global inputs'!$C$134:$C$171,MATCH(F939,'Global inputs'!$B$134:$B$171,0))</f>
        <v xml:space="preserve">System growth </v>
      </c>
      <c r="AE939" s="272">
        <f>IF(OR(H939='Operating leases'!$B$32,H939='Operating leases'!$B$33),"",INDEX('Global inputs'!$C$186:$C$243,MATCH(E939,'Global inputs'!$B$186:$B$243,0)))</f>
        <v>0.1</v>
      </c>
    </row>
    <row r="940" spans="1:31" s="27" customFormat="1" x14ac:dyDescent="0.2">
      <c r="A940" s="250"/>
      <c r="B940" s="210" t="s">
        <v>746</v>
      </c>
      <c r="C940" s="210" t="s">
        <v>287</v>
      </c>
      <c r="D940" s="210" t="s">
        <v>715</v>
      </c>
      <c r="E940" s="210" t="s">
        <v>150</v>
      </c>
      <c r="F940" s="210" t="s">
        <v>86</v>
      </c>
      <c r="G940" s="210" t="s">
        <v>717</v>
      </c>
      <c r="H940" s="197">
        <v>0</v>
      </c>
      <c r="I940" s="210" t="s">
        <v>229</v>
      </c>
      <c r="J940" s="210">
        <v>2023</v>
      </c>
      <c r="K940" s="210">
        <v>2023</v>
      </c>
      <c r="L940" s="268" t="str">
        <f t="shared" si="192"/>
        <v>Simple</v>
      </c>
      <c r="M940" s="197">
        <v>33567.957699644248</v>
      </c>
      <c r="N940" s="197">
        <v>0</v>
      </c>
      <c r="O940" s="257">
        <f>IF(ISNA(MATCH(H940,'Operating leases'!$B$32:$B$43,0)),0,INDEX('Operating leases'!$M$32:$S$43,MATCH(H940,'Operating leases'!$B$32:$B$43,0),MATCH(J940,'Operating leases'!$M$11:$S$11,0)))</f>
        <v>0</v>
      </c>
      <c r="P940" s="257">
        <f t="shared" si="193"/>
        <v>33567.957699644248</v>
      </c>
      <c r="Q940" s="257">
        <f t="shared" si="194"/>
        <v>33567.957699644248</v>
      </c>
      <c r="R940" s="258">
        <f>INDEX('Escalators '!$M$124:$S$129,MATCH(I940,'Escalators '!$B$124:$B$129,0),MATCH(J940,'Escalators '!$M$113:$S$113,0))</f>
        <v>1.0553567720906862</v>
      </c>
      <c r="S940" s="257">
        <f t="shared" si="195"/>
        <v>0</v>
      </c>
      <c r="T940" s="257">
        <f t="shared" si="196"/>
        <v>0</v>
      </c>
      <c r="U940" s="269">
        <f t="shared" si="197"/>
        <v>35426.171483573249</v>
      </c>
      <c r="V940" s="269">
        <f t="shared" si="198"/>
        <v>35426.171483573249</v>
      </c>
      <c r="W940" s="269">
        <f t="shared" si="199"/>
        <v>35426.171483573249</v>
      </c>
      <c r="X940" s="257">
        <f t="shared" si="200"/>
        <v>35426.171483573249</v>
      </c>
      <c r="Y940" s="270">
        <f>IF(L940="Complex",(INDEX('Escalators '!$M$176:$S$176,MATCH('Forecast capex'!J940,'Escalators '!$M$178:$S$178,0))/12+1)^((K940-J940)*12)-1,0)</f>
        <v>0</v>
      </c>
      <c r="Z940" s="257">
        <f t="shared" si="201"/>
        <v>0</v>
      </c>
      <c r="AA940" s="257">
        <f t="shared" si="202"/>
        <v>0</v>
      </c>
      <c r="AB940" s="269">
        <f t="shared" si="203"/>
        <v>0</v>
      </c>
      <c r="AC940" s="269">
        <f t="shared" si="204"/>
        <v>0</v>
      </c>
      <c r="AD940" s="271" t="str">
        <f>INDEX('Global inputs'!$C$134:$C$171,MATCH(F940,'Global inputs'!$B$134:$B$171,0))</f>
        <v xml:space="preserve">System growth </v>
      </c>
      <c r="AE940" s="272">
        <f>IF(OR(H940='Operating leases'!$B$32,H940='Operating leases'!$B$33),"",INDEX('Global inputs'!$C$186:$C$243,MATCH(E940,'Global inputs'!$B$186:$B$243,0)))</f>
        <v>0.08</v>
      </c>
    </row>
    <row r="941" spans="1:31" s="27" customFormat="1" x14ac:dyDescent="0.2">
      <c r="A941" s="250"/>
      <c r="B941" s="210" t="s">
        <v>746</v>
      </c>
      <c r="C941" s="210" t="s">
        <v>287</v>
      </c>
      <c r="D941" s="210" t="s">
        <v>715</v>
      </c>
      <c r="E941" s="210" t="s">
        <v>150</v>
      </c>
      <c r="F941" s="210" t="s">
        <v>86</v>
      </c>
      <c r="G941" s="210" t="s">
        <v>717</v>
      </c>
      <c r="H941" s="197">
        <v>0</v>
      </c>
      <c r="I941" s="210" t="s">
        <v>221</v>
      </c>
      <c r="J941" s="210">
        <v>2023</v>
      </c>
      <c r="K941" s="210">
        <v>2023</v>
      </c>
      <c r="L941" s="268" t="str">
        <f t="shared" si="192"/>
        <v>Simple</v>
      </c>
      <c r="M941" s="197">
        <v>33567.957699644248</v>
      </c>
      <c r="N941" s="197">
        <v>0</v>
      </c>
      <c r="O941" s="257">
        <f>IF(ISNA(MATCH(H941,'Operating leases'!$B$32:$B$43,0)),0,INDEX('Operating leases'!$M$32:$S$43,MATCH(H941,'Operating leases'!$B$32:$B$43,0),MATCH(J941,'Operating leases'!$M$11:$S$11,0)))</f>
        <v>0</v>
      </c>
      <c r="P941" s="257">
        <f t="shared" si="193"/>
        <v>33567.957699644248</v>
      </c>
      <c r="Q941" s="257">
        <f t="shared" si="194"/>
        <v>33567.957699644248</v>
      </c>
      <c r="R941" s="258">
        <f>INDEX('Escalators '!$M$124:$S$129,MATCH(I941,'Escalators '!$B$124:$B$129,0),MATCH(J941,'Escalators '!$M$113:$S$113,0))</f>
        <v>1.0486791854231625</v>
      </c>
      <c r="S941" s="257">
        <f t="shared" si="195"/>
        <v>0</v>
      </c>
      <c r="T941" s="257">
        <f t="shared" si="196"/>
        <v>0</v>
      </c>
      <c r="U941" s="269">
        <f t="shared" si="197"/>
        <v>35202.018536782103</v>
      </c>
      <c r="V941" s="269">
        <f t="shared" si="198"/>
        <v>35202.018536782103</v>
      </c>
      <c r="W941" s="269">
        <f t="shared" si="199"/>
        <v>35202.018536782103</v>
      </c>
      <c r="X941" s="257">
        <f t="shared" si="200"/>
        <v>35202.018536782103</v>
      </c>
      <c r="Y941" s="270">
        <f>IF(L941="Complex",(INDEX('Escalators '!$M$176:$S$176,MATCH('Forecast capex'!J941,'Escalators '!$M$178:$S$178,0))/12+1)^((K941-J941)*12)-1,0)</f>
        <v>0</v>
      </c>
      <c r="Z941" s="257">
        <f t="shared" si="201"/>
        <v>0</v>
      </c>
      <c r="AA941" s="257">
        <f t="shared" si="202"/>
        <v>0</v>
      </c>
      <c r="AB941" s="269">
        <f t="shared" si="203"/>
        <v>0</v>
      </c>
      <c r="AC941" s="269">
        <f t="shared" si="204"/>
        <v>0</v>
      </c>
      <c r="AD941" s="271" t="str">
        <f>INDEX('Global inputs'!$C$134:$C$171,MATCH(F941,'Global inputs'!$B$134:$B$171,0))</f>
        <v xml:space="preserve">System growth </v>
      </c>
      <c r="AE941" s="272">
        <f>IF(OR(H941='Operating leases'!$B$32,H941='Operating leases'!$B$33),"",INDEX('Global inputs'!$C$186:$C$243,MATCH(E941,'Global inputs'!$B$186:$B$243,0)))</f>
        <v>0.08</v>
      </c>
    </row>
    <row r="942" spans="1:31" s="27" customFormat="1" x14ac:dyDescent="0.2">
      <c r="A942" s="250"/>
      <c r="B942" s="210" t="s">
        <v>746</v>
      </c>
      <c r="C942" s="210" t="s">
        <v>287</v>
      </c>
      <c r="D942" s="210" t="s">
        <v>715</v>
      </c>
      <c r="E942" s="210" t="s">
        <v>151</v>
      </c>
      <c r="F942" s="210" t="s">
        <v>86</v>
      </c>
      <c r="G942" s="210" t="s">
        <v>717</v>
      </c>
      <c r="H942" s="197">
        <v>0</v>
      </c>
      <c r="I942" s="210" t="s">
        <v>229</v>
      </c>
      <c r="J942" s="210">
        <v>2023</v>
      </c>
      <c r="K942" s="210">
        <v>2023</v>
      </c>
      <c r="L942" s="268" t="str">
        <f t="shared" si="192"/>
        <v>Simple</v>
      </c>
      <c r="M942" s="197">
        <v>33567.957699644248</v>
      </c>
      <c r="N942" s="197">
        <v>0</v>
      </c>
      <c r="O942" s="257">
        <f>IF(ISNA(MATCH(H942,'Operating leases'!$B$32:$B$43,0)),0,INDEX('Operating leases'!$M$32:$S$43,MATCH(H942,'Operating leases'!$B$32:$B$43,0),MATCH(J942,'Operating leases'!$M$11:$S$11,0)))</f>
        <v>0</v>
      </c>
      <c r="P942" s="257">
        <f t="shared" si="193"/>
        <v>33567.957699644248</v>
      </c>
      <c r="Q942" s="257">
        <f t="shared" si="194"/>
        <v>33567.957699644248</v>
      </c>
      <c r="R942" s="258">
        <f>INDEX('Escalators '!$M$124:$S$129,MATCH(I942,'Escalators '!$B$124:$B$129,0),MATCH(J942,'Escalators '!$M$113:$S$113,0))</f>
        <v>1.0553567720906862</v>
      </c>
      <c r="S942" s="257">
        <f t="shared" si="195"/>
        <v>0</v>
      </c>
      <c r="T942" s="257">
        <f t="shared" si="196"/>
        <v>0</v>
      </c>
      <c r="U942" s="269">
        <f t="shared" si="197"/>
        <v>35426.171483573249</v>
      </c>
      <c r="V942" s="269">
        <f t="shared" si="198"/>
        <v>35426.171483573249</v>
      </c>
      <c r="W942" s="269">
        <f t="shared" si="199"/>
        <v>35426.171483573249</v>
      </c>
      <c r="X942" s="257">
        <f t="shared" si="200"/>
        <v>35426.171483573249</v>
      </c>
      <c r="Y942" s="270">
        <f>IF(L942="Complex",(INDEX('Escalators '!$M$176:$S$176,MATCH('Forecast capex'!J942,'Escalators '!$M$178:$S$178,0))/12+1)^((K942-J942)*12)-1,0)</f>
        <v>0</v>
      </c>
      <c r="Z942" s="257">
        <f t="shared" si="201"/>
        <v>0</v>
      </c>
      <c r="AA942" s="257">
        <f t="shared" si="202"/>
        <v>0</v>
      </c>
      <c r="AB942" s="269">
        <f t="shared" si="203"/>
        <v>0</v>
      </c>
      <c r="AC942" s="269">
        <f t="shared" si="204"/>
        <v>0</v>
      </c>
      <c r="AD942" s="271" t="str">
        <f>INDEX('Global inputs'!$C$134:$C$171,MATCH(F942,'Global inputs'!$B$134:$B$171,0))</f>
        <v xml:space="preserve">System growth </v>
      </c>
      <c r="AE942" s="272">
        <f>IF(OR(H942='Operating leases'!$B$32,H942='Operating leases'!$B$33),"",INDEX('Global inputs'!$C$186:$C$243,MATCH(E942,'Global inputs'!$B$186:$B$243,0)))</f>
        <v>0.1</v>
      </c>
    </row>
    <row r="943" spans="1:31" s="27" customFormat="1" x14ac:dyDescent="0.2">
      <c r="A943" s="250"/>
      <c r="B943" s="210" t="s">
        <v>746</v>
      </c>
      <c r="C943" s="210" t="s">
        <v>287</v>
      </c>
      <c r="D943" s="210" t="s">
        <v>715</v>
      </c>
      <c r="E943" s="210" t="s">
        <v>151</v>
      </c>
      <c r="F943" s="210" t="s">
        <v>86</v>
      </c>
      <c r="G943" s="210" t="s">
        <v>717</v>
      </c>
      <c r="H943" s="197">
        <v>0</v>
      </c>
      <c r="I943" s="210" t="s">
        <v>221</v>
      </c>
      <c r="J943" s="210">
        <v>2023</v>
      </c>
      <c r="K943" s="210">
        <v>2023</v>
      </c>
      <c r="L943" s="268" t="str">
        <f t="shared" si="192"/>
        <v>Simple</v>
      </c>
      <c r="M943" s="197">
        <v>33567.957699644248</v>
      </c>
      <c r="N943" s="197">
        <v>0</v>
      </c>
      <c r="O943" s="257">
        <f>IF(ISNA(MATCH(H943,'Operating leases'!$B$32:$B$43,0)),0,INDEX('Operating leases'!$M$32:$S$43,MATCH(H943,'Operating leases'!$B$32:$B$43,0),MATCH(J943,'Operating leases'!$M$11:$S$11,0)))</f>
        <v>0</v>
      </c>
      <c r="P943" s="257">
        <f t="shared" si="193"/>
        <v>33567.957699644248</v>
      </c>
      <c r="Q943" s="257">
        <f t="shared" si="194"/>
        <v>33567.957699644248</v>
      </c>
      <c r="R943" s="258">
        <f>INDEX('Escalators '!$M$124:$S$129,MATCH(I943,'Escalators '!$B$124:$B$129,0),MATCH(J943,'Escalators '!$M$113:$S$113,0))</f>
        <v>1.0486791854231625</v>
      </c>
      <c r="S943" s="257">
        <f t="shared" si="195"/>
        <v>0</v>
      </c>
      <c r="T943" s="257">
        <f t="shared" si="196"/>
        <v>0</v>
      </c>
      <c r="U943" s="269">
        <f t="shared" si="197"/>
        <v>35202.018536782103</v>
      </c>
      <c r="V943" s="269">
        <f t="shared" si="198"/>
        <v>35202.018536782103</v>
      </c>
      <c r="W943" s="269">
        <f t="shared" si="199"/>
        <v>35202.018536782103</v>
      </c>
      <c r="X943" s="257">
        <f t="shared" si="200"/>
        <v>35202.018536782103</v>
      </c>
      <c r="Y943" s="270">
        <f>IF(L943="Complex",(INDEX('Escalators '!$M$176:$S$176,MATCH('Forecast capex'!J943,'Escalators '!$M$178:$S$178,0))/12+1)^((K943-J943)*12)-1,0)</f>
        <v>0</v>
      </c>
      <c r="Z943" s="257">
        <f t="shared" si="201"/>
        <v>0</v>
      </c>
      <c r="AA943" s="257">
        <f t="shared" si="202"/>
        <v>0</v>
      </c>
      <c r="AB943" s="269">
        <f t="shared" si="203"/>
        <v>0</v>
      </c>
      <c r="AC943" s="269">
        <f t="shared" si="204"/>
        <v>0</v>
      </c>
      <c r="AD943" s="271" t="str">
        <f>INDEX('Global inputs'!$C$134:$C$171,MATCH(F943,'Global inputs'!$B$134:$B$171,0))</f>
        <v xml:space="preserve">System growth </v>
      </c>
      <c r="AE943" s="272">
        <f>IF(OR(H943='Operating leases'!$B$32,H943='Operating leases'!$B$33),"",INDEX('Global inputs'!$C$186:$C$243,MATCH(E943,'Global inputs'!$B$186:$B$243,0)))</f>
        <v>0.1</v>
      </c>
    </row>
    <row r="944" spans="1:31" s="27" customFormat="1" x14ac:dyDescent="0.2">
      <c r="A944" s="250"/>
      <c r="B944" s="210" t="s">
        <v>746</v>
      </c>
      <c r="C944" s="210" t="s">
        <v>287</v>
      </c>
      <c r="D944" s="210" t="s">
        <v>715</v>
      </c>
      <c r="E944" s="210" t="s">
        <v>153</v>
      </c>
      <c r="F944" s="210" t="s">
        <v>86</v>
      </c>
      <c r="G944" s="210" t="s">
        <v>717</v>
      </c>
      <c r="H944" s="197">
        <v>0</v>
      </c>
      <c r="I944" s="210" t="s">
        <v>229</v>
      </c>
      <c r="J944" s="210">
        <v>2023</v>
      </c>
      <c r="K944" s="210">
        <v>2023</v>
      </c>
      <c r="L944" s="268" t="str">
        <f t="shared" si="192"/>
        <v>Simple</v>
      </c>
      <c r="M944" s="197">
        <v>16783.978849822124</v>
      </c>
      <c r="N944" s="197">
        <v>0</v>
      </c>
      <c r="O944" s="257">
        <f>IF(ISNA(MATCH(H944,'Operating leases'!$B$32:$B$43,0)),0,INDEX('Operating leases'!$M$32:$S$43,MATCH(H944,'Operating leases'!$B$32:$B$43,0),MATCH(J944,'Operating leases'!$M$11:$S$11,0)))</f>
        <v>0</v>
      </c>
      <c r="P944" s="257">
        <f t="shared" si="193"/>
        <v>16783.978849822124</v>
      </c>
      <c r="Q944" s="257">
        <f t="shared" si="194"/>
        <v>16783.978849822124</v>
      </c>
      <c r="R944" s="258">
        <f>INDEX('Escalators '!$M$124:$S$129,MATCH(I944,'Escalators '!$B$124:$B$129,0),MATCH(J944,'Escalators '!$M$113:$S$113,0))</f>
        <v>1.0553567720906862</v>
      </c>
      <c r="S944" s="257">
        <f t="shared" si="195"/>
        <v>0</v>
      </c>
      <c r="T944" s="257">
        <f t="shared" si="196"/>
        <v>0</v>
      </c>
      <c r="U944" s="269">
        <f t="shared" si="197"/>
        <v>17713.085741786625</v>
      </c>
      <c r="V944" s="269">
        <f t="shared" si="198"/>
        <v>17713.085741786625</v>
      </c>
      <c r="W944" s="269">
        <f t="shared" si="199"/>
        <v>17713.085741786625</v>
      </c>
      <c r="X944" s="257">
        <f t="shared" si="200"/>
        <v>17713.085741786625</v>
      </c>
      <c r="Y944" s="270">
        <f>IF(L944="Complex",(INDEX('Escalators '!$M$176:$S$176,MATCH('Forecast capex'!J944,'Escalators '!$M$178:$S$178,0))/12+1)^((K944-J944)*12)-1,0)</f>
        <v>0</v>
      </c>
      <c r="Z944" s="257">
        <f t="shared" si="201"/>
        <v>0</v>
      </c>
      <c r="AA944" s="257">
        <f t="shared" si="202"/>
        <v>0</v>
      </c>
      <c r="AB944" s="269">
        <f t="shared" si="203"/>
        <v>0</v>
      </c>
      <c r="AC944" s="269">
        <f t="shared" si="204"/>
        <v>0</v>
      </c>
      <c r="AD944" s="271" t="str">
        <f>INDEX('Global inputs'!$C$134:$C$171,MATCH(F944,'Global inputs'!$B$134:$B$171,0))</f>
        <v xml:space="preserve">System growth </v>
      </c>
      <c r="AE944" s="272">
        <f>IF(OR(H944='Operating leases'!$B$32,H944='Operating leases'!$B$33),"",INDEX('Global inputs'!$C$186:$C$243,MATCH(E944,'Global inputs'!$B$186:$B$243,0)))</f>
        <v>0.08</v>
      </c>
    </row>
    <row r="945" spans="1:31" s="27" customFormat="1" x14ac:dyDescent="0.2">
      <c r="A945" s="250"/>
      <c r="B945" s="210" t="s">
        <v>746</v>
      </c>
      <c r="C945" s="210" t="s">
        <v>287</v>
      </c>
      <c r="D945" s="210" t="s">
        <v>715</v>
      </c>
      <c r="E945" s="210" t="s">
        <v>153</v>
      </c>
      <c r="F945" s="210" t="s">
        <v>86</v>
      </c>
      <c r="G945" s="210" t="s">
        <v>717</v>
      </c>
      <c r="H945" s="197">
        <v>0</v>
      </c>
      <c r="I945" s="210" t="s">
        <v>221</v>
      </c>
      <c r="J945" s="210">
        <v>2023</v>
      </c>
      <c r="K945" s="210">
        <v>2023</v>
      </c>
      <c r="L945" s="268" t="str">
        <f t="shared" si="192"/>
        <v>Simple</v>
      </c>
      <c r="M945" s="197">
        <v>16783.978849822124</v>
      </c>
      <c r="N945" s="197">
        <v>0</v>
      </c>
      <c r="O945" s="257">
        <f>IF(ISNA(MATCH(H945,'Operating leases'!$B$32:$B$43,0)),0,INDEX('Operating leases'!$M$32:$S$43,MATCH(H945,'Operating leases'!$B$32:$B$43,0),MATCH(J945,'Operating leases'!$M$11:$S$11,0)))</f>
        <v>0</v>
      </c>
      <c r="P945" s="257">
        <f t="shared" si="193"/>
        <v>16783.978849822124</v>
      </c>
      <c r="Q945" s="257">
        <f t="shared" si="194"/>
        <v>16783.978849822124</v>
      </c>
      <c r="R945" s="258">
        <f>INDEX('Escalators '!$M$124:$S$129,MATCH(I945,'Escalators '!$B$124:$B$129,0),MATCH(J945,'Escalators '!$M$113:$S$113,0))</f>
        <v>1.0486791854231625</v>
      </c>
      <c r="S945" s="257">
        <f t="shared" si="195"/>
        <v>0</v>
      </c>
      <c r="T945" s="257">
        <f t="shared" si="196"/>
        <v>0</v>
      </c>
      <c r="U945" s="269">
        <f t="shared" si="197"/>
        <v>17601.009268391052</v>
      </c>
      <c r="V945" s="269">
        <f t="shared" si="198"/>
        <v>17601.009268391052</v>
      </c>
      <c r="W945" s="269">
        <f t="shared" si="199"/>
        <v>17601.009268391052</v>
      </c>
      <c r="X945" s="257">
        <f t="shared" si="200"/>
        <v>17601.009268391052</v>
      </c>
      <c r="Y945" s="270">
        <f>IF(L945="Complex",(INDEX('Escalators '!$M$176:$S$176,MATCH('Forecast capex'!J945,'Escalators '!$M$178:$S$178,0))/12+1)^((K945-J945)*12)-1,0)</f>
        <v>0</v>
      </c>
      <c r="Z945" s="257">
        <f t="shared" si="201"/>
        <v>0</v>
      </c>
      <c r="AA945" s="257">
        <f t="shared" si="202"/>
        <v>0</v>
      </c>
      <c r="AB945" s="269">
        <f t="shared" si="203"/>
        <v>0</v>
      </c>
      <c r="AC945" s="269">
        <f t="shared" si="204"/>
        <v>0</v>
      </c>
      <c r="AD945" s="271" t="str">
        <f>INDEX('Global inputs'!$C$134:$C$171,MATCH(F945,'Global inputs'!$B$134:$B$171,0))</f>
        <v xml:space="preserve">System growth </v>
      </c>
      <c r="AE945" s="272">
        <f>IF(OR(H945='Operating leases'!$B$32,H945='Operating leases'!$B$33),"",INDEX('Global inputs'!$C$186:$C$243,MATCH(E945,'Global inputs'!$B$186:$B$243,0)))</f>
        <v>0.08</v>
      </c>
    </row>
    <row r="946" spans="1:31" s="27" customFormat="1" x14ac:dyDescent="0.2">
      <c r="A946" s="250"/>
      <c r="B946" s="210" t="s">
        <v>746</v>
      </c>
      <c r="C946" s="210" t="s">
        <v>287</v>
      </c>
      <c r="D946" s="210" t="s">
        <v>715</v>
      </c>
      <c r="E946" s="210" t="s">
        <v>154</v>
      </c>
      <c r="F946" s="210" t="s">
        <v>86</v>
      </c>
      <c r="G946" s="210" t="s">
        <v>717</v>
      </c>
      <c r="H946" s="197">
        <v>0</v>
      </c>
      <c r="I946" s="210" t="s">
        <v>229</v>
      </c>
      <c r="J946" s="210">
        <v>2023</v>
      </c>
      <c r="K946" s="210">
        <v>2023</v>
      </c>
      <c r="L946" s="268" t="str">
        <f t="shared" si="192"/>
        <v>Simple</v>
      </c>
      <c r="M946" s="197">
        <v>16783.978849822124</v>
      </c>
      <c r="N946" s="197">
        <v>0</v>
      </c>
      <c r="O946" s="257">
        <f>IF(ISNA(MATCH(H946,'Operating leases'!$B$32:$B$43,0)),0,INDEX('Operating leases'!$M$32:$S$43,MATCH(H946,'Operating leases'!$B$32:$B$43,0),MATCH(J946,'Operating leases'!$M$11:$S$11,0)))</f>
        <v>0</v>
      </c>
      <c r="P946" s="257">
        <f t="shared" si="193"/>
        <v>16783.978849822124</v>
      </c>
      <c r="Q946" s="257">
        <f t="shared" si="194"/>
        <v>16783.978849822124</v>
      </c>
      <c r="R946" s="258">
        <f>INDEX('Escalators '!$M$124:$S$129,MATCH(I946,'Escalators '!$B$124:$B$129,0),MATCH(J946,'Escalators '!$M$113:$S$113,0))</f>
        <v>1.0553567720906862</v>
      </c>
      <c r="S946" s="257">
        <f t="shared" si="195"/>
        <v>0</v>
      </c>
      <c r="T946" s="257">
        <f t="shared" si="196"/>
        <v>0</v>
      </c>
      <c r="U946" s="269">
        <f t="shared" si="197"/>
        <v>17713.085741786625</v>
      </c>
      <c r="V946" s="269">
        <f t="shared" si="198"/>
        <v>17713.085741786625</v>
      </c>
      <c r="W946" s="269">
        <f t="shared" si="199"/>
        <v>17713.085741786625</v>
      </c>
      <c r="X946" s="257">
        <f t="shared" si="200"/>
        <v>17713.085741786625</v>
      </c>
      <c r="Y946" s="270">
        <f>IF(L946="Complex",(INDEX('Escalators '!$M$176:$S$176,MATCH('Forecast capex'!J946,'Escalators '!$M$178:$S$178,0))/12+1)^((K946-J946)*12)-1,0)</f>
        <v>0</v>
      </c>
      <c r="Z946" s="257">
        <f t="shared" si="201"/>
        <v>0</v>
      </c>
      <c r="AA946" s="257">
        <f t="shared" si="202"/>
        <v>0</v>
      </c>
      <c r="AB946" s="269">
        <f t="shared" si="203"/>
        <v>0</v>
      </c>
      <c r="AC946" s="269">
        <f t="shared" si="204"/>
        <v>0</v>
      </c>
      <c r="AD946" s="271" t="str">
        <f>INDEX('Global inputs'!$C$134:$C$171,MATCH(F946,'Global inputs'!$B$134:$B$171,0))</f>
        <v xml:space="preserve">System growth </v>
      </c>
      <c r="AE946" s="272">
        <f>IF(OR(H946='Operating leases'!$B$32,H946='Operating leases'!$B$33),"",INDEX('Global inputs'!$C$186:$C$243,MATCH(E946,'Global inputs'!$B$186:$B$243,0)))</f>
        <v>0.1</v>
      </c>
    </row>
    <row r="947" spans="1:31" s="27" customFormat="1" x14ac:dyDescent="0.2">
      <c r="A947" s="250"/>
      <c r="B947" s="210" t="s">
        <v>746</v>
      </c>
      <c r="C947" s="210" t="s">
        <v>287</v>
      </c>
      <c r="D947" s="210" t="s">
        <v>715</v>
      </c>
      <c r="E947" s="210" t="s">
        <v>154</v>
      </c>
      <c r="F947" s="210" t="s">
        <v>86</v>
      </c>
      <c r="G947" s="210" t="s">
        <v>717</v>
      </c>
      <c r="H947" s="197">
        <v>0</v>
      </c>
      <c r="I947" s="210" t="s">
        <v>221</v>
      </c>
      <c r="J947" s="210">
        <v>2023</v>
      </c>
      <c r="K947" s="210">
        <v>2023</v>
      </c>
      <c r="L947" s="268" t="str">
        <f t="shared" si="192"/>
        <v>Simple</v>
      </c>
      <c r="M947" s="197">
        <v>16783.978849822124</v>
      </c>
      <c r="N947" s="197">
        <v>0</v>
      </c>
      <c r="O947" s="257">
        <f>IF(ISNA(MATCH(H947,'Operating leases'!$B$32:$B$43,0)),0,INDEX('Operating leases'!$M$32:$S$43,MATCH(H947,'Operating leases'!$B$32:$B$43,0),MATCH(J947,'Operating leases'!$M$11:$S$11,0)))</f>
        <v>0</v>
      </c>
      <c r="P947" s="257">
        <f t="shared" si="193"/>
        <v>16783.978849822124</v>
      </c>
      <c r="Q947" s="257">
        <f t="shared" si="194"/>
        <v>16783.978849822124</v>
      </c>
      <c r="R947" s="258">
        <f>INDEX('Escalators '!$M$124:$S$129,MATCH(I947,'Escalators '!$B$124:$B$129,0),MATCH(J947,'Escalators '!$M$113:$S$113,0))</f>
        <v>1.0486791854231625</v>
      </c>
      <c r="S947" s="257">
        <f t="shared" si="195"/>
        <v>0</v>
      </c>
      <c r="T947" s="257">
        <f t="shared" si="196"/>
        <v>0</v>
      </c>
      <c r="U947" s="269">
        <f t="shared" si="197"/>
        <v>17601.009268391052</v>
      </c>
      <c r="V947" s="269">
        <f t="shared" si="198"/>
        <v>17601.009268391052</v>
      </c>
      <c r="W947" s="269">
        <f t="shared" si="199"/>
        <v>17601.009268391052</v>
      </c>
      <c r="X947" s="257">
        <f t="shared" si="200"/>
        <v>17601.009268391052</v>
      </c>
      <c r="Y947" s="270">
        <f>IF(L947="Complex",(INDEX('Escalators '!$M$176:$S$176,MATCH('Forecast capex'!J947,'Escalators '!$M$178:$S$178,0))/12+1)^((K947-J947)*12)-1,0)</f>
        <v>0</v>
      </c>
      <c r="Z947" s="257">
        <f t="shared" si="201"/>
        <v>0</v>
      </c>
      <c r="AA947" s="257">
        <f t="shared" si="202"/>
        <v>0</v>
      </c>
      <c r="AB947" s="269">
        <f t="shared" si="203"/>
        <v>0</v>
      </c>
      <c r="AC947" s="269">
        <f t="shared" si="204"/>
        <v>0</v>
      </c>
      <c r="AD947" s="271" t="str">
        <f>INDEX('Global inputs'!$C$134:$C$171,MATCH(F947,'Global inputs'!$B$134:$B$171,0))</f>
        <v xml:space="preserve">System growth </v>
      </c>
      <c r="AE947" s="272">
        <f>IF(OR(H947='Operating leases'!$B$32,H947='Operating leases'!$B$33),"",INDEX('Global inputs'!$C$186:$C$243,MATCH(E947,'Global inputs'!$B$186:$B$243,0)))</f>
        <v>0.1</v>
      </c>
    </row>
    <row r="948" spans="1:31" s="27" customFormat="1" x14ac:dyDescent="0.2">
      <c r="A948" s="250"/>
      <c r="B948" s="210" t="s">
        <v>746</v>
      </c>
      <c r="C948" s="210" t="s">
        <v>290</v>
      </c>
      <c r="D948" s="210" t="s">
        <v>718</v>
      </c>
      <c r="E948" s="210" t="s">
        <v>169</v>
      </c>
      <c r="F948" s="210" t="s">
        <v>86</v>
      </c>
      <c r="G948" s="210" t="s">
        <v>720</v>
      </c>
      <c r="H948" s="197">
        <v>0</v>
      </c>
      <c r="I948" s="210" t="s">
        <v>229</v>
      </c>
      <c r="J948" s="210">
        <v>2023</v>
      </c>
      <c r="K948" s="210">
        <v>2023</v>
      </c>
      <c r="L948" s="268" t="str">
        <f t="shared" si="192"/>
        <v>Simple</v>
      </c>
      <c r="M948" s="197">
        <v>53708.732319430797</v>
      </c>
      <c r="N948" s="197">
        <v>0</v>
      </c>
      <c r="O948" s="257">
        <f>IF(ISNA(MATCH(H948,'Operating leases'!$B$32:$B$43,0)),0,INDEX('Operating leases'!$M$32:$S$43,MATCH(H948,'Operating leases'!$B$32:$B$43,0),MATCH(J948,'Operating leases'!$M$11:$S$11,0)))</f>
        <v>0</v>
      </c>
      <c r="P948" s="257">
        <f t="shared" si="193"/>
        <v>53708.732319430797</v>
      </c>
      <c r="Q948" s="257">
        <f t="shared" si="194"/>
        <v>53708.732319430797</v>
      </c>
      <c r="R948" s="258">
        <f>INDEX('Escalators '!$M$124:$S$129,MATCH(I948,'Escalators '!$B$124:$B$129,0),MATCH(J948,'Escalators '!$M$113:$S$113,0))</f>
        <v>1.0553567720906862</v>
      </c>
      <c r="S948" s="257">
        <f t="shared" si="195"/>
        <v>0</v>
      </c>
      <c r="T948" s="257">
        <f t="shared" si="196"/>
        <v>0</v>
      </c>
      <c r="U948" s="269">
        <f t="shared" si="197"/>
        <v>56681.874373717204</v>
      </c>
      <c r="V948" s="269">
        <f t="shared" si="198"/>
        <v>56681.874373717204</v>
      </c>
      <c r="W948" s="269">
        <f t="shared" si="199"/>
        <v>56681.874373717204</v>
      </c>
      <c r="X948" s="257">
        <f t="shared" si="200"/>
        <v>56681.874373717204</v>
      </c>
      <c r="Y948" s="270">
        <f>IF(L948="Complex",(INDEX('Escalators '!$M$176:$S$176,MATCH('Forecast capex'!J948,'Escalators '!$M$178:$S$178,0))/12+1)^((K948-J948)*12)-1,0)</f>
        <v>0</v>
      </c>
      <c r="Z948" s="257">
        <f t="shared" si="201"/>
        <v>0</v>
      </c>
      <c r="AA948" s="257">
        <f t="shared" si="202"/>
        <v>0</v>
      </c>
      <c r="AB948" s="269">
        <f t="shared" si="203"/>
        <v>0</v>
      </c>
      <c r="AC948" s="269">
        <f t="shared" si="204"/>
        <v>0</v>
      </c>
      <c r="AD948" s="271" t="str">
        <f>INDEX('Global inputs'!$C$134:$C$171,MATCH(F948,'Global inputs'!$B$134:$B$171,0))</f>
        <v xml:space="preserve">System growth </v>
      </c>
      <c r="AE948" s="272">
        <f>IF(OR(H948='Operating leases'!$B$32,H948='Operating leases'!$B$33),"",INDEX('Global inputs'!$C$186:$C$243,MATCH(E948,'Global inputs'!$B$186:$B$243,0)))</f>
        <v>0.08</v>
      </c>
    </row>
    <row r="949" spans="1:31" s="27" customFormat="1" x14ac:dyDescent="0.2">
      <c r="A949" s="250"/>
      <c r="B949" s="210" t="s">
        <v>746</v>
      </c>
      <c r="C949" s="210" t="s">
        <v>290</v>
      </c>
      <c r="D949" s="210" t="s">
        <v>718</v>
      </c>
      <c r="E949" s="210" t="s">
        <v>169</v>
      </c>
      <c r="F949" s="210" t="s">
        <v>86</v>
      </c>
      <c r="G949" s="210" t="s">
        <v>720</v>
      </c>
      <c r="H949" s="197">
        <v>0</v>
      </c>
      <c r="I949" s="210" t="s">
        <v>221</v>
      </c>
      <c r="J949" s="210">
        <v>2023</v>
      </c>
      <c r="K949" s="210">
        <v>2023</v>
      </c>
      <c r="L949" s="268" t="str">
        <f t="shared" si="192"/>
        <v>Simple</v>
      </c>
      <c r="M949" s="197">
        <v>35805.821546287196</v>
      </c>
      <c r="N949" s="197">
        <v>0</v>
      </c>
      <c r="O949" s="257">
        <f>IF(ISNA(MATCH(H949,'Operating leases'!$B$32:$B$43,0)),0,INDEX('Operating leases'!$M$32:$S$43,MATCH(H949,'Operating leases'!$B$32:$B$43,0),MATCH(J949,'Operating leases'!$M$11:$S$11,0)))</f>
        <v>0</v>
      </c>
      <c r="P949" s="257">
        <f t="shared" si="193"/>
        <v>35805.821546287196</v>
      </c>
      <c r="Q949" s="257">
        <f t="shared" si="194"/>
        <v>35805.821546287196</v>
      </c>
      <c r="R949" s="258">
        <f>INDEX('Escalators '!$M$124:$S$129,MATCH(I949,'Escalators '!$B$124:$B$129,0),MATCH(J949,'Escalators '!$M$113:$S$113,0))</f>
        <v>1.0486791854231625</v>
      </c>
      <c r="S949" s="257">
        <f t="shared" si="195"/>
        <v>0</v>
      </c>
      <c r="T949" s="257">
        <f t="shared" si="196"/>
        <v>0</v>
      </c>
      <c r="U949" s="269">
        <f t="shared" si="197"/>
        <v>37548.819772567578</v>
      </c>
      <c r="V949" s="269">
        <f t="shared" si="198"/>
        <v>37548.819772567578</v>
      </c>
      <c r="W949" s="269">
        <f t="shared" si="199"/>
        <v>37548.819772567578</v>
      </c>
      <c r="X949" s="257">
        <f t="shared" si="200"/>
        <v>37548.819772567578</v>
      </c>
      <c r="Y949" s="270">
        <f>IF(L949="Complex",(INDEX('Escalators '!$M$176:$S$176,MATCH('Forecast capex'!J949,'Escalators '!$M$178:$S$178,0))/12+1)^((K949-J949)*12)-1,0)</f>
        <v>0</v>
      </c>
      <c r="Z949" s="257">
        <f t="shared" si="201"/>
        <v>0</v>
      </c>
      <c r="AA949" s="257">
        <f t="shared" si="202"/>
        <v>0</v>
      </c>
      <c r="AB949" s="269">
        <f t="shared" si="203"/>
        <v>0</v>
      </c>
      <c r="AC949" s="269">
        <f t="shared" si="204"/>
        <v>0</v>
      </c>
      <c r="AD949" s="271" t="str">
        <f>INDEX('Global inputs'!$C$134:$C$171,MATCH(F949,'Global inputs'!$B$134:$B$171,0))</f>
        <v xml:space="preserve">System growth </v>
      </c>
      <c r="AE949" s="272">
        <f>IF(OR(H949='Operating leases'!$B$32,H949='Operating leases'!$B$33),"",INDEX('Global inputs'!$C$186:$C$243,MATCH(E949,'Global inputs'!$B$186:$B$243,0)))</f>
        <v>0.08</v>
      </c>
    </row>
    <row r="950" spans="1:31" s="27" customFormat="1" x14ac:dyDescent="0.2">
      <c r="A950" s="250"/>
      <c r="B950" s="210" t="s">
        <v>746</v>
      </c>
      <c r="C950" s="210" t="s">
        <v>290</v>
      </c>
      <c r="D950" s="210" t="s">
        <v>718</v>
      </c>
      <c r="E950" s="210" t="s">
        <v>171</v>
      </c>
      <c r="F950" s="210" t="s">
        <v>86</v>
      </c>
      <c r="G950" s="210" t="s">
        <v>743</v>
      </c>
      <c r="H950" s="197">
        <v>0</v>
      </c>
      <c r="I950" s="210" t="s">
        <v>229</v>
      </c>
      <c r="J950" s="210">
        <v>2023</v>
      </c>
      <c r="K950" s="210">
        <v>2023</v>
      </c>
      <c r="L950" s="268" t="str">
        <f t="shared" si="192"/>
        <v>Simple</v>
      </c>
      <c r="M950" s="197">
        <v>40281.549239573091</v>
      </c>
      <c r="N950" s="197">
        <v>0</v>
      </c>
      <c r="O950" s="257">
        <f>IF(ISNA(MATCH(H950,'Operating leases'!$B$32:$B$43,0)),0,INDEX('Operating leases'!$M$32:$S$43,MATCH(H950,'Operating leases'!$B$32:$B$43,0),MATCH(J950,'Operating leases'!$M$11:$S$11,0)))</f>
        <v>0</v>
      </c>
      <c r="P950" s="257">
        <f t="shared" si="193"/>
        <v>40281.549239573091</v>
      </c>
      <c r="Q950" s="257">
        <f t="shared" si="194"/>
        <v>40281.549239573091</v>
      </c>
      <c r="R950" s="258">
        <f>INDEX('Escalators '!$M$124:$S$129,MATCH(I950,'Escalators '!$B$124:$B$129,0),MATCH(J950,'Escalators '!$M$113:$S$113,0))</f>
        <v>1.0553567720906862</v>
      </c>
      <c r="S950" s="257">
        <f t="shared" si="195"/>
        <v>0</v>
      </c>
      <c r="T950" s="257">
        <f t="shared" si="196"/>
        <v>0</v>
      </c>
      <c r="U950" s="269">
        <f t="shared" si="197"/>
        <v>42511.405780287896</v>
      </c>
      <c r="V950" s="269">
        <f t="shared" si="198"/>
        <v>42511.405780287896</v>
      </c>
      <c r="W950" s="269">
        <f t="shared" si="199"/>
        <v>42511.405780287896</v>
      </c>
      <c r="X950" s="257">
        <f t="shared" si="200"/>
        <v>42511.405780287896</v>
      </c>
      <c r="Y950" s="270">
        <f>IF(L950="Complex",(INDEX('Escalators '!$M$176:$S$176,MATCH('Forecast capex'!J950,'Escalators '!$M$178:$S$178,0))/12+1)^((K950-J950)*12)-1,0)</f>
        <v>0</v>
      </c>
      <c r="Z950" s="257">
        <f t="shared" si="201"/>
        <v>0</v>
      </c>
      <c r="AA950" s="257">
        <f t="shared" si="202"/>
        <v>0</v>
      </c>
      <c r="AB950" s="269">
        <f t="shared" si="203"/>
        <v>0</v>
      </c>
      <c r="AC950" s="269">
        <f t="shared" si="204"/>
        <v>0</v>
      </c>
      <c r="AD950" s="271" t="str">
        <f>INDEX('Global inputs'!$C$134:$C$171,MATCH(F950,'Global inputs'!$B$134:$B$171,0))</f>
        <v xml:space="preserve">System growth </v>
      </c>
      <c r="AE950" s="272">
        <f>IF(OR(H950='Operating leases'!$B$32,H950='Operating leases'!$B$33),"",INDEX('Global inputs'!$C$186:$C$243,MATCH(E950,'Global inputs'!$B$186:$B$243,0)))</f>
        <v>0.08</v>
      </c>
    </row>
    <row r="951" spans="1:31" s="27" customFormat="1" x14ac:dyDescent="0.2">
      <c r="A951" s="250"/>
      <c r="B951" s="210" t="s">
        <v>746</v>
      </c>
      <c r="C951" s="210" t="s">
        <v>290</v>
      </c>
      <c r="D951" s="210" t="s">
        <v>718</v>
      </c>
      <c r="E951" s="210" t="s">
        <v>171</v>
      </c>
      <c r="F951" s="210" t="s">
        <v>86</v>
      </c>
      <c r="G951" s="210" t="s">
        <v>743</v>
      </c>
      <c r="H951" s="197">
        <v>0</v>
      </c>
      <c r="I951" s="210" t="s">
        <v>221</v>
      </c>
      <c r="J951" s="210">
        <v>2023</v>
      </c>
      <c r="K951" s="210">
        <v>2023</v>
      </c>
      <c r="L951" s="268" t="str">
        <f t="shared" si="192"/>
        <v>Simple</v>
      </c>
      <c r="M951" s="197">
        <v>26854.366159715399</v>
      </c>
      <c r="N951" s="197">
        <v>0</v>
      </c>
      <c r="O951" s="257">
        <f>IF(ISNA(MATCH(H951,'Operating leases'!$B$32:$B$43,0)),0,INDEX('Operating leases'!$M$32:$S$43,MATCH(H951,'Operating leases'!$B$32:$B$43,0),MATCH(J951,'Operating leases'!$M$11:$S$11,0)))</f>
        <v>0</v>
      </c>
      <c r="P951" s="257">
        <f t="shared" si="193"/>
        <v>26854.366159715399</v>
      </c>
      <c r="Q951" s="257">
        <f t="shared" si="194"/>
        <v>26854.366159715399</v>
      </c>
      <c r="R951" s="258">
        <f>INDEX('Escalators '!$M$124:$S$129,MATCH(I951,'Escalators '!$B$124:$B$129,0),MATCH(J951,'Escalators '!$M$113:$S$113,0))</f>
        <v>1.0486791854231625</v>
      </c>
      <c r="S951" s="257">
        <f t="shared" si="195"/>
        <v>0</v>
      </c>
      <c r="T951" s="257">
        <f t="shared" si="196"/>
        <v>0</v>
      </c>
      <c r="U951" s="269">
        <f t="shared" si="197"/>
        <v>28161.614829425685</v>
      </c>
      <c r="V951" s="269">
        <f t="shared" si="198"/>
        <v>28161.614829425685</v>
      </c>
      <c r="W951" s="269">
        <f t="shared" si="199"/>
        <v>28161.614829425685</v>
      </c>
      <c r="X951" s="257">
        <f t="shared" si="200"/>
        <v>28161.614829425685</v>
      </c>
      <c r="Y951" s="270">
        <f>IF(L951="Complex",(INDEX('Escalators '!$M$176:$S$176,MATCH('Forecast capex'!J951,'Escalators '!$M$178:$S$178,0))/12+1)^((K951-J951)*12)-1,0)</f>
        <v>0</v>
      </c>
      <c r="Z951" s="257">
        <f t="shared" si="201"/>
        <v>0</v>
      </c>
      <c r="AA951" s="257">
        <f t="shared" si="202"/>
        <v>0</v>
      </c>
      <c r="AB951" s="269">
        <f t="shared" si="203"/>
        <v>0</v>
      </c>
      <c r="AC951" s="269">
        <f t="shared" si="204"/>
        <v>0</v>
      </c>
      <c r="AD951" s="271" t="str">
        <f>INDEX('Global inputs'!$C$134:$C$171,MATCH(F951,'Global inputs'!$B$134:$B$171,0))</f>
        <v xml:space="preserve">System growth </v>
      </c>
      <c r="AE951" s="272">
        <f>IF(OR(H951='Operating leases'!$B$32,H951='Operating leases'!$B$33),"",INDEX('Global inputs'!$C$186:$C$243,MATCH(E951,'Global inputs'!$B$186:$B$243,0)))</f>
        <v>0.08</v>
      </c>
    </row>
    <row r="952" spans="1:31" s="27" customFormat="1" x14ac:dyDescent="0.2">
      <c r="A952" s="250"/>
      <c r="B952" s="210" t="s">
        <v>746</v>
      </c>
      <c r="C952" s="210" t="s">
        <v>290</v>
      </c>
      <c r="D952" s="210" t="s">
        <v>718</v>
      </c>
      <c r="E952" s="210" t="s">
        <v>170</v>
      </c>
      <c r="F952" s="210" t="s">
        <v>86</v>
      </c>
      <c r="G952" s="210" t="s">
        <v>721</v>
      </c>
      <c r="H952" s="197">
        <v>0</v>
      </c>
      <c r="I952" s="210" t="s">
        <v>229</v>
      </c>
      <c r="J952" s="210">
        <v>2023</v>
      </c>
      <c r="K952" s="210">
        <v>2023</v>
      </c>
      <c r="L952" s="268" t="str">
        <f t="shared" si="192"/>
        <v>Simple</v>
      </c>
      <c r="M952" s="197">
        <v>78325.234632503241</v>
      </c>
      <c r="N952" s="197">
        <v>0</v>
      </c>
      <c r="O952" s="257">
        <f>IF(ISNA(MATCH(H952,'Operating leases'!$B$32:$B$43,0)),0,INDEX('Operating leases'!$M$32:$S$43,MATCH(H952,'Operating leases'!$B$32:$B$43,0),MATCH(J952,'Operating leases'!$M$11:$S$11,0)))</f>
        <v>0</v>
      </c>
      <c r="P952" s="257">
        <f t="shared" si="193"/>
        <v>78325.234632503241</v>
      </c>
      <c r="Q952" s="257">
        <f t="shared" si="194"/>
        <v>78325.234632503241</v>
      </c>
      <c r="R952" s="258">
        <f>INDEX('Escalators '!$M$124:$S$129,MATCH(I952,'Escalators '!$B$124:$B$129,0),MATCH(J952,'Escalators '!$M$113:$S$113,0))</f>
        <v>1.0553567720906862</v>
      </c>
      <c r="S952" s="257">
        <f t="shared" si="195"/>
        <v>0</v>
      </c>
      <c r="T952" s="257">
        <f t="shared" si="196"/>
        <v>0</v>
      </c>
      <c r="U952" s="269">
        <f t="shared" si="197"/>
        <v>82661.066795004241</v>
      </c>
      <c r="V952" s="269">
        <f t="shared" si="198"/>
        <v>82661.066795004241</v>
      </c>
      <c r="W952" s="269">
        <f t="shared" si="199"/>
        <v>82661.066795004241</v>
      </c>
      <c r="X952" s="257">
        <f t="shared" si="200"/>
        <v>82661.066795004241</v>
      </c>
      <c r="Y952" s="270">
        <f>IF(L952="Complex",(INDEX('Escalators '!$M$176:$S$176,MATCH('Forecast capex'!J952,'Escalators '!$M$178:$S$178,0))/12+1)^((K952-J952)*12)-1,0)</f>
        <v>0</v>
      </c>
      <c r="Z952" s="257">
        <f t="shared" si="201"/>
        <v>0</v>
      </c>
      <c r="AA952" s="257">
        <f t="shared" si="202"/>
        <v>0</v>
      </c>
      <c r="AB952" s="269">
        <f t="shared" si="203"/>
        <v>0</v>
      </c>
      <c r="AC952" s="269">
        <f t="shared" si="204"/>
        <v>0</v>
      </c>
      <c r="AD952" s="271" t="str">
        <f>INDEX('Global inputs'!$C$134:$C$171,MATCH(F952,'Global inputs'!$B$134:$B$171,0))</f>
        <v xml:space="preserve">System growth </v>
      </c>
      <c r="AE952" s="272">
        <f>IF(OR(H952='Operating leases'!$B$32,H952='Operating leases'!$B$33),"",INDEX('Global inputs'!$C$186:$C$243,MATCH(E952,'Global inputs'!$B$186:$B$243,0)))</f>
        <v>0.08</v>
      </c>
    </row>
    <row r="953" spans="1:31" s="27" customFormat="1" x14ac:dyDescent="0.2">
      <c r="A953" s="250"/>
      <c r="B953" s="210" t="s">
        <v>746</v>
      </c>
      <c r="C953" s="210" t="s">
        <v>290</v>
      </c>
      <c r="D953" s="210" t="s">
        <v>718</v>
      </c>
      <c r="E953" s="210" t="s">
        <v>170</v>
      </c>
      <c r="F953" s="210" t="s">
        <v>86</v>
      </c>
      <c r="G953" s="210" t="s">
        <v>721</v>
      </c>
      <c r="H953" s="197">
        <v>0</v>
      </c>
      <c r="I953" s="210" t="s">
        <v>221</v>
      </c>
      <c r="J953" s="210">
        <v>2023</v>
      </c>
      <c r="K953" s="210">
        <v>2023</v>
      </c>
      <c r="L953" s="268" t="str">
        <f t="shared" si="192"/>
        <v>Simple</v>
      </c>
      <c r="M953" s="197">
        <v>78325.234632503241</v>
      </c>
      <c r="N953" s="197">
        <v>0</v>
      </c>
      <c r="O953" s="257">
        <f>IF(ISNA(MATCH(H953,'Operating leases'!$B$32:$B$43,0)),0,INDEX('Operating leases'!$M$32:$S$43,MATCH(H953,'Operating leases'!$B$32:$B$43,0),MATCH(J953,'Operating leases'!$M$11:$S$11,0)))</f>
        <v>0</v>
      </c>
      <c r="P953" s="257">
        <f t="shared" si="193"/>
        <v>78325.234632503241</v>
      </c>
      <c r="Q953" s="257">
        <f t="shared" si="194"/>
        <v>78325.234632503241</v>
      </c>
      <c r="R953" s="258">
        <f>INDEX('Escalators '!$M$124:$S$129,MATCH(I953,'Escalators '!$B$124:$B$129,0),MATCH(J953,'Escalators '!$M$113:$S$113,0))</f>
        <v>1.0486791854231625</v>
      </c>
      <c r="S953" s="257">
        <f t="shared" si="195"/>
        <v>0</v>
      </c>
      <c r="T953" s="257">
        <f t="shared" si="196"/>
        <v>0</v>
      </c>
      <c r="U953" s="269">
        <f t="shared" si="197"/>
        <v>82138.043252491581</v>
      </c>
      <c r="V953" s="269">
        <f t="shared" si="198"/>
        <v>82138.043252491581</v>
      </c>
      <c r="W953" s="269">
        <f t="shared" si="199"/>
        <v>82138.043252491581</v>
      </c>
      <c r="X953" s="257">
        <f t="shared" si="200"/>
        <v>82138.043252491581</v>
      </c>
      <c r="Y953" s="270">
        <f>IF(L953="Complex",(INDEX('Escalators '!$M$176:$S$176,MATCH('Forecast capex'!J953,'Escalators '!$M$178:$S$178,0))/12+1)^((K953-J953)*12)-1,0)</f>
        <v>0</v>
      </c>
      <c r="Z953" s="257">
        <f t="shared" si="201"/>
        <v>0</v>
      </c>
      <c r="AA953" s="257">
        <f t="shared" si="202"/>
        <v>0</v>
      </c>
      <c r="AB953" s="269">
        <f t="shared" si="203"/>
        <v>0</v>
      </c>
      <c r="AC953" s="269">
        <f t="shared" si="204"/>
        <v>0</v>
      </c>
      <c r="AD953" s="271" t="str">
        <f>INDEX('Global inputs'!$C$134:$C$171,MATCH(F953,'Global inputs'!$B$134:$B$171,0))</f>
        <v xml:space="preserve">System growth </v>
      </c>
      <c r="AE953" s="272">
        <f>IF(OR(H953='Operating leases'!$B$32,H953='Operating leases'!$B$33),"",INDEX('Global inputs'!$C$186:$C$243,MATCH(E953,'Global inputs'!$B$186:$B$243,0)))</f>
        <v>0.08</v>
      </c>
    </row>
    <row r="954" spans="1:31" s="27" customFormat="1" x14ac:dyDescent="0.2">
      <c r="A954" s="250"/>
      <c r="B954" s="210" t="s">
        <v>746</v>
      </c>
      <c r="C954" s="210" t="s">
        <v>288</v>
      </c>
      <c r="D954" s="210" t="s">
        <v>718</v>
      </c>
      <c r="E954" s="210" t="s">
        <v>160</v>
      </c>
      <c r="F954" s="210" t="s">
        <v>86</v>
      </c>
      <c r="G954" s="210" t="s">
        <v>722</v>
      </c>
      <c r="H954" s="197">
        <v>0</v>
      </c>
      <c r="I954" s="210" t="s">
        <v>229</v>
      </c>
      <c r="J954" s="210">
        <v>2023</v>
      </c>
      <c r="K954" s="210">
        <v>2023</v>
      </c>
      <c r="L954" s="268" t="str">
        <f t="shared" si="192"/>
        <v>Simple</v>
      </c>
      <c r="M954" s="197">
        <v>11189.31923321475</v>
      </c>
      <c r="N954" s="197">
        <v>0</v>
      </c>
      <c r="O954" s="257">
        <f>IF(ISNA(MATCH(H954,'Operating leases'!$B$32:$B$43,0)),0,INDEX('Operating leases'!$M$32:$S$43,MATCH(H954,'Operating leases'!$B$32:$B$43,0),MATCH(J954,'Operating leases'!$M$11:$S$11,0)))</f>
        <v>0</v>
      </c>
      <c r="P954" s="257">
        <f t="shared" si="193"/>
        <v>11189.31923321475</v>
      </c>
      <c r="Q954" s="257">
        <f t="shared" si="194"/>
        <v>11189.31923321475</v>
      </c>
      <c r="R954" s="258">
        <f>INDEX('Escalators '!$M$124:$S$129,MATCH(I954,'Escalators '!$B$124:$B$129,0),MATCH(J954,'Escalators '!$M$113:$S$113,0))</f>
        <v>1.0553567720906862</v>
      </c>
      <c r="S954" s="257">
        <f t="shared" si="195"/>
        <v>0</v>
      </c>
      <c r="T954" s="257">
        <f t="shared" si="196"/>
        <v>0</v>
      </c>
      <c r="U954" s="269">
        <f t="shared" si="197"/>
        <v>11808.723827857752</v>
      </c>
      <c r="V954" s="269">
        <f t="shared" si="198"/>
        <v>11808.723827857752</v>
      </c>
      <c r="W954" s="269">
        <f t="shared" si="199"/>
        <v>11808.723827857752</v>
      </c>
      <c r="X954" s="257">
        <f t="shared" si="200"/>
        <v>11808.723827857752</v>
      </c>
      <c r="Y954" s="270">
        <f>IF(L954="Complex",(INDEX('Escalators '!$M$176:$S$176,MATCH('Forecast capex'!J954,'Escalators '!$M$178:$S$178,0))/12+1)^((K954-J954)*12)-1,0)</f>
        <v>0</v>
      </c>
      <c r="Z954" s="257">
        <f t="shared" si="201"/>
        <v>0</v>
      </c>
      <c r="AA954" s="257">
        <f t="shared" si="202"/>
        <v>0</v>
      </c>
      <c r="AB954" s="269">
        <f t="shared" si="203"/>
        <v>0</v>
      </c>
      <c r="AC954" s="269">
        <f t="shared" si="204"/>
        <v>0</v>
      </c>
      <c r="AD954" s="271" t="str">
        <f>INDEX('Global inputs'!$C$134:$C$171,MATCH(F954,'Global inputs'!$B$134:$B$171,0))</f>
        <v xml:space="preserve">System growth </v>
      </c>
      <c r="AE954" s="272">
        <f>IF(OR(H954='Operating leases'!$B$32,H954='Operating leases'!$B$33),"",INDEX('Global inputs'!$C$186:$C$243,MATCH(E954,'Global inputs'!$B$186:$B$243,0)))</f>
        <v>0.08</v>
      </c>
    </row>
    <row r="955" spans="1:31" s="27" customFormat="1" x14ac:dyDescent="0.2">
      <c r="A955" s="250"/>
      <c r="B955" s="210" t="s">
        <v>746</v>
      </c>
      <c r="C955" s="210" t="s">
        <v>288</v>
      </c>
      <c r="D955" s="210" t="s">
        <v>718</v>
      </c>
      <c r="E955" s="210" t="s">
        <v>160</v>
      </c>
      <c r="F955" s="210" t="s">
        <v>86</v>
      </c>
      <c r="G955" s="210" t="s">
        <v>722</v>
      </c>
      <c r="H955" s="197">
        <v>0</v>
      </c>
      <c r="I955" s="210" t="s">
        <v>221</v>
      </c>
      <c r="J955" s="210">
        <v>2023</v>
      </c>
      <c r="K955" s="210">
        <v>2023</v>
      </c>
      <c r="L955" s="268" t="str">
        <f t="shared" si="192"/>
        <v>Simple</v>
      </c>
      <c r="M955" s="197">
        <v>11189.31923321475</v>
      </c>
      <c r="N955" s="197">
        <v>0</v>
      </c>
      <c r="O955" s="257">
        <f>IF(ISNA(MATCH(H955,'Operating leases'!$B$32:$B$43,0)),0,INDEX('Operating leases'!$M$32:$S$43,MATCH(H955,'Operating leases'!$B$32:$B$43,0),MATCH(J955,'Operating leases'!$M$11:$S$11,0)))</f>
        <v>0</v>
      </c>
      <c r="P955" s="257">
        <f t="shared" si="193"/>
        <v>11189.31923321475</v>
      </c>
      <c r="Q955" s="257">
        <f t="shared" si="194"/>
        <v>11189.31923321475</v>
      </c>
      <c r="R955" s="258">
        <f>INDEX('Escalators '!$M$124:$S$129,MATCH(I955,'Escalators '!$B$124:$B$129,0),MATCH(J955,'Escalators '!$M$113:$S$113,0))</f>
        <v>1.0486791854231625</v>
      </c>
      <c r="S955" s="257">
        <f t="shared" si="195"/>
        <v>0</v>
      </c>
      <c r="T955" s="257">
        <f t="shared" si="196"/>
        <v>0</v>
      </c>
      <c r="U955" s="269">
        <f t="shared" si="197"/>
        <v>11734.00617892737</v>
      </c>
      <c r="V955" s="269">
        <f t="shared" si="198"/>
        <v>11734.00617892737</v>
      </c>
      <c r="W955" s="269">
        <f t="shared" si="199"/>
        <v>11734.00617892737</v>
      </c>
      <c r="X955" s="257">
        <f t="shared" si="200"/>
        <v>11734.00617892737</v>
      </c>
      <c r="Y955" s="270">
        <f>IF(L955="Complex",(INDEX('Escalators '!$M$176:$S$176,MATCH('Forecast capex'!J955,'Escalators '!$M$178:$S$178,0))/12+1)^((K955-J955)*12)-1,0)</f>
        <v>0</v>
      </c>
      <c r="Z955" s="257">
        <f t="shared" si="201"/>
        <v>0</v>
      </c>
      <c r="AA955" s="257">
        <f t="shared" si="202"/>
        <v>0</v>
      </c>
      <c r="AB955" s="269">
        <f t="shared" si="203"/>
        <v>0</v>
      </c>
      <c r="AC955" s="269">
        <f t="shared" si="204"/>
        <v>0</v>
      </c>
      <c r="AD955" s="271" t="str">
        <f>INDEX('Global inputs'!$C$134:$C$171,MATCH(F955,'Global inputs'!$B$134:$B$171,0))</f>
        <v xml:space="preserve">System growth </v>
      </c>
      <c r="AE955" s="272">
        <f>IF(OR(H955='Operating leases'!$B$32,H955='Operating leases'!$B$33),"",INDEX('Global inputs'!$C$186:$C$243,MATCH(E955,'Global inputs'!$B$186:$B$243,0)))</f>
        <v>0.08</v>
      </c>
    </row>
    <row r="956" spans="1:31" s="27" customFormat="1" x14ac:dyDescent="0.2">
      <c r="A956" s="250"/>
      <c r="B956" s="210" t="s">
        <v>746</v>
      </c>
      <c r="C956" s="210" t="s">
        <v>289</v>
      </c>
      <c r="D956" s="210" t="s">
        <v>723</v>
      </c>
      <c r="E956" s="210" t="s">
        <v>164</v>
      </c>
      <c r="F956" s="210" t="s">
        <v>86</v>
      </c>
      <c r="G956" s="210" t="s">
        <v>724</v>
      </c>
      <c r="H956" s="197">
        <v>0</v>
      </c>
      <c r="I956" s="210" t="s">
        <v>139</v>
      </c>
      <c r="J956" s="210">
        <v>2023</v>
      </c>
      <c r="K956" s="210">
        <v>2023</v>
      </c>
      <c r="L956" s="268" t="str">
        <f t="shared" si="192"/>
        <v>Simple</v>
      </c>
      <c r="M956" s="197">
        <v>179029.107731436</v>
      </c>
      <c r="N956" s="197">
        <v>0</v>
      </c>
      <c r="O956" s="257">
        <f>IF(ISNA(MATCH(H956,'Operating leases'!$B$32:$B$43,0)),0,INDEX('Operating leases'!$M$32:$S$43,MATCH(H956,'Operating leases'!$B$32:$B$43,0),MATCH(J956,'Operating leases'!$M$11:$S$11,0)))</f>
        <v>0</v>
      </c>
      <c r="P956" s="257">
        <f t="shared" si="193"/>
        <v>179029.107731436</v>
      </c>
      <c r="Q956" s="257">
        <f t="shared" si="194"/>
        <v>179029.107731436</v>
      </c>
      <c r="R956" s="258">
        <f>INDEX('Escalators '!$M$124:$S$129,MATCH(I956,'Escalators '!$B$124:$B$129,0),MATCH(J956,'Escalators '!$M$113:$S$113,0))</f>
        <v>1.0254948937589263</v>
      </c>
      <c r="S956" s="257">
        <f t="shared" si="195"/>
        <v>0</v>
      </c>
      <c r="T956" s="257">
        <f t="shared" si="196"/>
        <v>0</v>
      </c>
      <c r="U956" s="269">
        <f t="shared" si="197"/>
        <v>183593.43581280432</v>
      </c>
      <c r="V956" s="269">
        <f t="shared" si="198"/>
        <v>183593.43581280432</v>
      </c>
      <c r="W956" s="269">
        <f t="shared" si="199"/>
        <v>183593.43581280432</v>
      </c>
      <c r="X956" s="257">
        <f t="shared" si="200"/>
        <v>183593.43581280432</v>
      </c>
      <c r="Y956" s="270">
        <f>IF(L956="Complex",(INDEX('Escalators '!$M$176:$S$176,MATCH('Forecast capex'!J956,'Escalators '!$M$178:$S$178,0))/12+1)^((K956-J956)*12)-1,0)</f>
        <v>0</v>
      </c>
      <c r="Z956" s="257">
        <f t="shared" si="201"/>
        <v>0</v>
      </c>
      <c r="AA956" s="257">
        <f t="shared" si="202"/>
        <v>0</v>
      </c>
      <c r="AB956" s="269">
        <f t="shared" si="203"/>
        <v>0</v>
      </c>
      <c r="AC956" s="269">
        <f t="shared" si="204"/>
        <v>0</v>
      </c>
      <c r="AD956" s="271" t="str">
        <f>INDEX('Global inputs'!$C$134:$C$171,MATCH(F956,'Global inputs'!$B$134:$B$171,0))</f>
        <v xml:space="preserve">System growth </v>
      </c>
      <c r="AE956" s="272">
        <f>IF(OR(H956='Operating leases'!$B$32,H956='Operating leases'!$B$33),"",INDEX('Global inputs'!$C$186:$C$243,MATCH(E956,'Global inputs'!$B$186:$B$243,0)))</f>
        <v>0.08</v>
      </c>
    </row>
    <row r="957" spans="1:31" s="27" customFormat="1" x14ac:dyDescent="0.2">
      <c r="A957" s="250"/>
      <c r="B957" s="210" t="s">
        <v>746</v>
      </c>
      <c r="C957" s="210" t="s">
        <v>289</v>
      </c>
      <c r="D957" s="210" t="s">
        <v>723</v>
      </c>
      <c r="E957" s="210" t="s">
        <v>164</v>
      </c>
      <c r="F957" s="210" t="s">
        <v>86</v>
      </c>
      <c r="G957" s="210" t="s">
        <v>724</v>
      </c>
      <c r="H957" s="197">
        <v>0</v>
      </c>
      <c r="I957" s="210" t="s">
        <v>221</v>
      </c>
      <c r="J957" s="210">
        <v>2023</v>
      </c>
      <c r="K957" s="210">
        <v>2023</v>
      </c>
      <c r="L957" s="268" t="str">
        <f t="shared" si="192"/>
        <v>Simple</v>
      </c>
      <c r="M957" s="197">
        <v>44757.276932859</v>
      </c>
      <c r="N957" s="197">
        <v>0</v>
      </c>
      <c r="O957" s="257">
        <f>IF(ISNA(MATCH(H957,'Operating leases'!$B$32:$B$43,0)),0,INDEX('Operating leases'!$M$32:$S$43,MATCH(H957,'Operating leases'!$B$32:$B$43,0),MATCH(J957,'Operating leases'!$M$11:$S$11,0)))</f>
        <v>0</v>
      </c>
      <c r="P957" s="257">
        <f t="shared" si="193"/>
        <v>44757.276932859</v>
      </c>
      <c r="Q957" s="257">
        <f t="shared" si="194"/>
        <v>44757.276932859</v>
      </c>
      <c r="R957" s="258">
        <f>INDEX('Escalators '!$M$124:$S$129,MATCH(I957,'Escalators '!$B$124:$B$129,0),MATCH(J957,'Escalators '!$M$113:$S$113,0))</f>
        <v>1.0486791854231625</v>
      </c>
      <c r="S957" s="257">
        <f t="shared" si="195"/>
        <v>0</v>
      </c>
      <c r="T957" s="257">
        <f t="shared" si="196"/>
        <v>0</v>
      </c>
      <c r="U957" s="269">
        <f t="shared" si="197"/>
        <v>46936.024715709478</v>
      </c>
      <c r="V957" s="269">
        <f t="shared" si="198"/>
        <v>46936.024715709478</v>
      </c>
      <c r="W957" s="269">
        <f t="shared" si="199"/>
        <v>46936.024715709478</v>
      </c>
      <c r="X957" s="257">
        <f t="shared" si="200"/>
        <v>46936.024715709478</v>
      </c>
      <c r="Y957" s="270">
        <f>IF(L957="Complex",(INDEX('Escalators '!$M$176:$S$176,MATCH('Forecast capex'!J957,'Escalators '!$M$178:$S$178,0))/12+1)^((K957-J957)*12)-1,0)</f>
        <v>0</v>
      </c>
      <c r="Z957" s="257">
        <f t="shared" si="201"/>
        <v>0</v>
      </c>
      <c r="AA957" s="257">
        <f t="shared" si="202"/>
        <v>0</v>
      </c>
      <c r="AB957" s="269">
        <f t="shared" si="203"/>
        <v>0</v>
      </c>
      <c r="AC957" s="269">
        <f t="shared" si="204"/>
        <v>0</v>
      </c>
      <c r="AD957" s="271" t="str">
        <f>INDEX('Global inputs'!$C$134:$C$171,MATCH(F957,'Global inputs'!$B$134:$B$171,0))</f>
        <v xml:space="preserve">System growth </v>
      </c>
      <c r="AE957" s="272">
        <f>IF(OR(H957='Operating leases'!$B$32,H957='Operating leases'!$B$33),"",INDEX('Global inputs'!$C$186:$C$243,MATCH(E957,'Global inputs'!$B$186:$B$243,0)))</f>
        <v>0.08</v>
      </c>
    </row>
    <row r="958" spans="1:31" s="27" customFormat="1" x14ac:dyDescent="0.2">
      <c r="A958" s="250"/>
      <c r="B958" s="210" t="s">
        <v>746</v>
      </c>
      <c r="C958" s="210" t="s">
        <v>289</v>
      </c>
      <c r="D958" s="210" t="s">
        <v>723</v>
      </c>
      <c r="E958" s="210" t="s">
        <v>163</v>
      </c>
      <c r="F958" s="210" t="s">
        <v>86</v>
      </c>
      <c r="G958" s="210" t="s">
        <v>725</v>
      </c>
      <c r="H958" s="197">
        <v>0</v>
      </c>
      <c r="I958" s="210" t="s">
        <v>139</v>
      </c>
      <c r="J958" s="210">
        <v>2023</v>
      </c>
      <c r="K958" s="210">
        <v>2023</v>
      </c>
      <c r="L958" s="268" t="str">
        <f t="shared" si="192"/>
        <v>Simple</v>
      </c>
      <c r="M958" s="197">
        <v>53708.732319430797</v>
      </c>
      <c r="N958" s="197">
        <v>0</v>
      </c>
      <c r="O958" s="257">
        <f>IF(ISNA(MATCH(H958,'Operating leases'!$B$32:$B$43,0)),0,INDEX('Operating leases'!$M$32:$S$43,MATCH(H958,'Operating leases'!$B$32:$B$43,0),MATCH(J958,'Operating leases'!$M$11:$S$11,0)))</f>
        <v>0</v>
      </c>
      <c r="P958" s="257">
        <f t="shared" si="193"/>
        <v>53708.732319430797</v>
      </c>
      <c r="Q958" s="257">
        <f t="shared" si="194"/>
        <v>53708.732319430797</v>
      </c>
      <c r="R958" s="258">
        <f>INDEX('Escalators '!$M$124:$S$129,MATCH(I958,'Escalators '!$B$124:$B$129,0),MATCH(J958,'Escalators '!$M$113:$S$113,0))</f>
        <v>1.0254948937589263</v>
      </c>
      <c r="S958" s="257">
        <f t="shared" si="195"/>
        <v>0</v>
      </c>
      <c r="T958" s="257">
        <f t="shared" si="196"/>
        <v>0</v>
      </c>
      <c r="U958" s="269">
        <f t="shared" si="197"/>
        <v>55078.0307438413</v>
      </c>
      <c r="V958" s="269">
        <f t="shared" si="198"/>
        <v>55078.0307438413</v>
      </c>
      <c r="W958" s="269">
        <f t="shared" si="199"/>
        <v>55078.0307438413</v>
      </c>
      <c r="X958" s="257">
        <f t="shared" si="200"/>
        <v>55078.0307438413</v>
      </c>
      <c r="Y958" s="270">
        <f>IF(L958="Complex",(INDEX('Escalators '!$M$176:$S$176,MATCH('Forecast capex'!J958,'Escalators '!$M$178:$S$178,0))/12+1)^((K958-J958)*12)-1,0)</f>
        <v>0</v>
      </c>
      <c r="Z958" s="257">
        <f t="shared" si="201"/>
        <v>0</v>
      </c>
      <c r="AA958" s="257">
        <f t="shared" si="202"/>
        <v>0</v>
      </c>
      <c r="AB958" s="269">
        <f t="shared" si="203"/>
        <v>0</v>
      </c>
      <c r="AC958" s="269">
        <f t="shared" si="204"/>
        <v>0</v>
      </c>
      <c r="AD958" s="271" t="str">
        <f>INDEX('Global inputs'!$C$134:$C$171,MATCH(F958,'Global inputs'!$B$134:$B$171,0))</f>
        <v xml:space="preserve">System growth </v>
      </c>
      <c r="AE958" s="272">
        <f>IF(OR(H958='Operating leases'!$B$32,H958='Operating leases'!$B$33),"",INDEX('Global inputs'!$C$186:$C$243,MATCH(E958,'Global inputs'!$B$186:$B$243,0)))</f>
        <v>0.08</v>
      </c>
    </row>
    <row r="959" spans="1:31" s="27" customFormat="1" x14ac:dyDescent="0.2">
      <c r="A959" s="250"/>
      <c r="B959" s="210" t="s">
        <v>746</v>
      </c>
      <c r="C959" s="210" t="s">
        <v>289</v>
      </c>
      <c r="D959" s="210" t="s">
        <v>723</v>
      </c>
      <c r="E959" s="210" t="s">
        <v>163</v>
      </c>
      <c r="F959" s="210" t="s">
        <v>86</v>
      </c>
      <c r="G959" s="210" t="s">
        <v>725</v>
      </c>
      <c r="H959" s="197">
        <v>0</v>
      </c>
      <c r="I959" s="210" t="s">
        <v>221</v>
      </c>
      <c r="J959" s="210">
        <v>2023</v>
      </c>
      <c r="K959" s="210">
        <v>2023</v>
      </c>
      <c r="L959" s="268" t="str">
        <f t="shared" si="192"/>
        <v>Simple</v>
      </c>
      <c r="M959" s="197">
        <v>13427.183079857699</v>
      </c>
      <c r="N959" s="197">
        <v>0</v>
      </c>
      <c r="O959" s="257">
        <f>IF(ISNA(MATCH(H959,'Operating leases'!$B$32:$B$43,0)),0,INDEX('Operating leases'!$M$32:$S$43,MATCH(H959,'Operating leases'!$B$32:$B$43,0),MATCH(J959,'Operating leases'!$M$11:$S$11,0)))</f>
        <v>0</v>
      </c>
      <c r="P959" s="257">
        <f t="shared" si="193"/>
        <v>13427.183079857699</v>
      </c>
      <c r="Q959" s="257">
        <f t="shared" si="194"/>
        <v>13427.183079857699</v>
      </c>
      <c r="R959" s="258">
        <f>INDEX('Escalators '!$M$124:$S$129,MATCH(I959,'Escalators '!$B$124:$B$129,0),MATCH(J959,'Escalators '!$M$113:$S$113,0))</f>
        <v>1.0486791854231625</v>
      </c>
      <c r="S959" s="257">
        <f t="shared" si="195"/>
        <v>0</v>
      </c>
      <c r="T959" s="257">
        <f t="shared" si="196"/>
        <v>0</v>
      </c>
      <c r="U959" s="269">
        <f t="shared" si="197"/>
        <v>14080.807414712843</v>
      </c>
      <c r="V959" s="269">
        <f t="shared" si="198"/>
        <v>14080.807414712843</v>
      </c>
      <c r="W959" s="269">
        <f t="shared" si="199"/>
        <v>14080.807414712843</v>
      </c>
      <c r="X959" s="257">
        <f t="shared" si="200"/>
        <v>14080.807414712843</v>
      </c>
      <c r="Y959" s="270">
        <f>IF(L959="Complex",(INDEX('Escalators '!$M$176:$S$176,MATCH('Forecast capex'!J959,'Escalators '!$M$178:$S$178,0))/12+1)^((K959-J959)*12)-1,0)</f>
        <v>0</v>
      </c>
      <c r="Z959" s="257">
        <f t="shared" si="201"/>
        <v>0</v>
      </c>
      <c r="AA959" s="257">
        <f t="shared" si="202"/>
        <v>0</v>
      </c>
      <c r="AB959" s="269">
        <f t="shared" si="203"/>
        <v>0</v>
      </c>
      <c r="AC959" s="269">
        <f t="shared" si="204"/>
        <v>0</v>
      </c>
      <c r="AD959" s="271" t="str">
        <f>INDEX('Global inputs'!$C$134:$C$171,MATCH(F959,'Global inputs'!$B$134:$B$171,0))</f>
        <v xml:space="preserve">System growth </v>
      </c>
      <c r="AE959" s="272">
        <f>IF(OR(H959='Operating leases'!$B$32,H959='Operating leases'!$B$33),"",INDEX('Global inputs'!$C$186:$C$243,MATCH(E959,'Global inputs'!$B$186:$B$243,0)))</f>
        <v>0.08</v>
      </c>
    </row>
    <row r="960" spans="1:31" s="27" customFormat="1" x14ac:dyDescent="0.2">
      <c r="A960" s="250"/>
      <c r="B960" s="210" t="s">
        <v>746</v>
      </c>
      <c r="C960" s="210" t="s">
        <v>290</v>
      </c>
      <c r="D960" s="210" t="s">
        <v>723</v>
      </c>
      <c r="E960" s="210" t="s">
        <v>172</v>
      </c>
      <c r="F960" s="210" t="s">
        <v>86</v>
      </c>
      <c r="G960" s="210" t="s">
        <v>747</v>
      </c>
      <c r="H960" s="197">
        <v>0</v>
      </c>
      <c r="I960" s="210" t="s">
        <v>139</v>
      </c>
      <c r="J960" s="210">
        <v>2023</v>
      </c>
      <c r="K960" s="210">
        <v>2023</v>
      </c>
      <c r="L960" s="268" t="str">
        <f t="shared" si="192"/>
        <v>Simple</v>
      </c>
      <c r="M960" s="197">
        <v>8951.455386571799</v>
      </c>
      <c r="N960" s="197">
        <v>0</v>
      </c>
      <c r="O960" s="257">
        <f>IF(ISNA(MATCH(H960,'Operating leases'!$B$32:$B$43,0)),0,INDEX('Operating leases'!$M$32:$S$43,MATCH(H960,'Operating leases'!$B$32:$B$43,0),MATCH(J960,'Operating leases'!$M$11:$S$11,0)))</f>
        <v>0</v>
      </c>
      <c r="P960" s="257">
        <f t="shared" si="193"/>
        <v>8951.455386571799</v>
      </c>
      <c r="Q960" s="257">
        <f t="shared" si="194"/>
        <v>8951.455386571799</v>
      </c>
      <c r="R960" s="258">
        <f>INDEX('Escalators '!$M$124:$S$129,MATCH(I960,'Escalators '!$B$124:$B$129,0),MATCH(J960,'Escalators '!$M$113:$S$113,0))</f>
        <v>1.0254948937589263</v>
      </c>
      <c r="S960" s="257">
        <f t="shared" si="195"/>
        <v>0</v>
      </c>
      <c r="T960" s="257">
        <f t="shared" si="196"/>
        <v>0</v>
      </c>
      <c r="U960" s="269">
        <f t="shared" si="197"/>
        <v>9179.6717906402155</v>
      </c>
      <c r="V960" s="269">
        <f t="shared" si="198"/>
        <v>9179.6717906402155</v>
      </c>
      <c r="W960" s="269">
        <f t="shared" si="199"/>
        <v>9179.6717906402155</v>
      </c>
      <c r="X960" s="257">
        <f t="shared" si="200"/>
        <v>9179.6717906402155</v>
      </c>
      <c r="Y960" s="270">
        <f>IF(L960="Complex",(INDEX('Escalators '!$M$176:$S$176,MATCH('Forecast capex'!J960,'Escalators '!$M$178:$S$178,0))/12+1)^((K960-J960)*12)-1,0)</f>
        <v>0</v>
      </c>
      <c r="Z960" s="257">
        <f t="shared" si="201"/>
        <v>0</v>
      </c>
      <c r="AA960" s="257">
        <f t="shared" si="202"/>
        <v>0</v>
      </c>
      <c r="AB960" s="269">
        <f t="shared" si="203"/>
        <v>0</v>
      </c>
      <c r="AC960" s="269">
        <f t="shared" si="204"/>
        <v>0</v>
      </c>
      <c r="AD960" s="271" t="str">
        <f>INDEX('Global inputs'!$C$134:$C$171,MATCH(F960,'Global inputs'!$B$134:$B$171,0))</f>
        <v xml:space="preserve">System growth </v>
      </c>
      <c r="AE960" s="272">
        <f>IF(OR(H960='Operating leases'!$B$32,H960='Operating leases'!$B$33),"",INDEX('Global inputs'!$C$186:$C$243,MATCH(E960,'Global inputs'!$B$186:$B$243,0)))</f>
        <v>0.08</v>
      </c>
    </row>
    <row r="961" spans="1:31" s="27" customFormat="1" x14ac:dyDescent="0.2">
      <c r="A961" s="250"/>
      <c r="B961" s="210" t="s">
        <v>746</v>
      </c>
      <c r="C961" s="210" t="s">
        <v>290</v>
      </c>
      <c r="D961" s="210" t="s">
        <v>723</v>
      </c>
      <c r="E961" s="210" t="s">
        <v>172</v>
      </c>
      <c r="F961" s="210" t="s">
        <v>86</v>
      </c>
      <c r="G961" s="210" t="s">
        <v>747</v>
      </c>
      <c r="H961" s="197">
        <v>0</v>
      </c>
      <c r="I961" s="210" t="s">
        <v>221</v>
      </c>
      <c r="J961" s="210">
        <v>2023</v>
      </c>
      <c r="K961" s="210">
        <v>2023</v>
      </c>
      <c r="L961" s="268" t="str">
        <f t="shared" si="192"/>
        <v>Simple</v>
      </c>
      <c r="M961" s="197">
        <v>2237.8638466429497</v>
      </c>
      <c r="N961" s="197">
        <v>0</v>
      </c>
      <c r="O961" s="257">
        <f>IF(ISNA(MATCH(H961,'Operating leases'!$B$32:$B$43,0)),0,INDEX('Operating leases'!$M$32:$S$43,MATCH(H961,'Operating leases'!$B$32:$B$43,0),MATCH(J961,'Operating leases'!$M$11:$S$11,0)))</f>
        <v>0</v>
      </c>
      <c r="P961" s="257">
        <f t="shared" si="193"/>
        <v>2237.8638466429497</v>
      </c>
      <c r="Q961" s="257">
        <f t="shared" si="194"/>
        <v>2237.8638466429497</v>
      </c>
      <c r="R961" s="258">
        <f>INDEX('Escalators '!$M$124:$S$129,MATCH(I961,'Escalators '!$B$124:$B$129,0),MATCH(J961,'Escalators '!$M$113:$S$113,0))</f>
        <v>1.0486791854231625</v>
      </c>
      <c r="S961" s="257">
        <f t="shared" si="195"/>
        <v>0</v>
      </c>
      <c r="T961" s="257">
        <f t="shared" si="196"/>
        <v>0</v>
      </c>
      <c r="U961" s="269">
        <f t="shared" si="197"/>
        <v>2346.8012357854736</v>
      </c>
      <c r="V961" s="269">
        <f t="shared" si="198"/>
        <v>2346.8012357854736</v>
      </c>
      <c r="W961" s="269">
        <f t="shared" si="199"/>
        <v>2346.8012357854736</v>
      </c>
      <c r="X961" s="257">
        <f t="shared" si="200"/>
        <v>2346.8012357854736</v>
      </c>
      <c r="Y961" s="270">
        <f>IF(L961="Complex",(INDEX('Escalators '!$M$176:$S$176,MATCH('Forecast capex'!J961,'Escalators '!$M$178:$S$178,0))/12+1)^((K961-J961)*12)-1,0)</f>
        <v>0</v>
      </c>
      <c r="Z961" s="257">
        <f t="shared" si="201"/>
        <v>0</v>
      </c>
      <c r="AA961" s="257">
        <f t="shared" si="202"/>
        <v>0</v>
      </c>
      <c r="AB961" s="269">
        <f t="shared" si="203"/>
        <v>0</v>
      </c>
      <c r="AC961" s="269">
        <f t="shared" si="204"/>
        <v>0</v>
      </c>
      <c r="AD961" s="271" t="str">
        <f>INDEX('Global inputs'!$C$134:$C$171,MATCH(F961,'Global inputs'!$B$134:$B$171,0))</f>
        <v xml:space="preserve">System growth </v>
      </c>
      <c r="AE961" s="272">
        <f>IF(OR(H961='Operating leases'!$B$32,H961='Operating leases'!$B$33),"",INDEX('Global inputs'!$C$186:$C$243,MATCH(E961,'Global inputs'!$B$186:$B$243,0)))</f>
        <v>0.08</v>
      </c>
    </row>
    <row r="962" spans="1:31" s="27" customFormat="1" x14ac:dyDescent="0.2">
      <c r="A962" s="250"/>
      <c r="B962" s="210" t="s">
        <v>746</v>
      </c>
      <c r="C962" s="210" t="s">
        <v>286</v>
      </c>
      <c r="D962" s="210" t="s">
        <v>735</v>
      </c>
      <c r="E962" s="210" t="s">
        <v>144</v>
      </c>
      <c r="F962" s="210" t="s">
        <v>86</v>
      </c>
      <c r="G962" s="210" t="s">
        <v>736</v>
      </c>
      <c r="H962" s="197">
        <v>0</v>
      </c>
      <c r="I962" s="210" t="s">
        <v>229</v>
      </c>
      <c r="J962" s="210">
        <v>2023</v>
      </c>
      <c r="K962" s="210">
        <v>2023</v>
      </c>
      <c r="L962" s="268" t="str">
        <f t="shared" si="192"/>
        <v>Simple</v>
      </c>
      <c r="M962" s="197">
        <v>4475.7276932858995</v>
      </c>
      <c r="N962" s="197">
        <v>0</v>
      </c>
      <c r="O962" s="257">
        <f>IF(ISNA(MATCH(H962,'Operating leases'!$B$32:$B$43,0)),0,INDEX('Operating leases'!$M$32:$S$43,MATCH(H962,'Operating leases'!$B$32:$B$43,0),MATCH(J962,'Operating leases'!$M$11:$S$11,0)))</f>
        <v>0</v>
      </c>
      <c r="P962" s="257">
        <f t="shared" si="193"/>
        <v>4475.7276932858995</v>
      </c>
      <c r="Q962" s="257">
        <f t="shared" si="194"/>
        <v>4475.7276932858995</v>
      </c>
      <c r="R962" s="258">
        <f>INDEX('Escalators '!$M$124:$S$129,MATCH(I962,'Escalators '!$B$124:$B$129,0),MATCH(J962,'Escalators '!$M$113:$S$113,0))</f>
        <v>1.0553567720906862</v>
      </c>
      <c r="S962" s="257">
        <f t="shared" si="195"/>
        <v>0</v>
      </c>
      <c r="T962" s="257">
        <f t="shared" si="196"/>
        <v>0</v>
      </c>
      <c r="U962" s="269">
        <f t="shared" si="197"/>
        <v>4723.4895311431001</v>
      </c>
      <c r="V962" s="269">
        <f t="shared" si="198"/>
        <v>4723.4895311431001</v>
      </c>
      <c r="W962" s="269">
        <f t="shared" si="199"/>
        <v>4723.4895311431001</v>
      </c>
      <c r="X962" s="257">
        <f t="shared" si="200"/>
        <v>4723.4895311431001</v>
      </c>
      <c r="Y962" s="270">
        <f>IF(L962="Complex",(INDEX('Escalators '!$M$176:$S$176,MATCH('Forecast capex'!J962,'Escalators '!$M$178:$S$178,0))/12+1)^((K962-J962)*12)-1,0)</f>
        <v>0</v>
      </c>
      <c r="Z962" s="257">
        <f t="shared" si="201"/>
        <v>0</v>
      </c>
      <c r="AA962" s="257">
        <f t="shared" si="202"/>
        <v>0</v>
      </c>
      <c r="AB962" s="269">
        <f t="shared" si="203"/>
        <v>0</v>
      </c>
      <c r="AC962" s="269">
        <f t="shared" si="204"/>
        <v>0</v>
      </c>
      <c r="AD962" s="271" t="str">
        <f>INDEX('Global inputs'!$C$134:$C$171,MATCH(F962,'Global inputs'!$B$134:$B$171,0))</f>
        <v xml:space="preserve">System growth </v>
      </c>
      <c r="AE962" s="272">
        <f>IF(OR(H962='Operating leases'!$B$32,H962='Operating leases'!$B$33),"",INDEX('Global inputs'!$C$186:$C$243,MATCH(E962,'Global inputs'!$B$186:$B$243,0)))</f>
        <v>0.08</v>
      </c>
    </row>
    <row r="963" spans="1:31" s="27" customFormat="1" x14ac:dyDescent="0.2">
      <c r="A963" s="250"/>
      <c r="B963" s="210" t="s">
        <v>746</v>
      </c>
      <c r="C963" s="210" t="s">
        <v>286</v>
      </c>
      <c r="D963" s="210" t="s">
        <v>735</v>
      </c>
      <c r="E963" s="210" t="s">
        <v>144</v>
      </c>
      <c r="F963" s="210" t="s">
        <v>86</v>
      </c>
      <c r="G963" s="210" t="s">
        <v>736</v>
      </c>
      <c r="H963" s="197">
        <v>0</v>
      </c>
      <c r="I963" s="210" t="s">
        <v>221</v>
      </c>
      <c r="J963" s="210">
        <v>2023</v>
      </c>
      <c r="K963" s="210">
        <v>2023</v>
      </c>
      <c r="L963" s="268" t="str">
        <f t="shared" si="192"/>
        <v>Simple</v>
      </c>
      <c r="M963" s="197">
        <v>17902.910773143598</v>
      </c>
      <c r="N963" s="197">
        <v>0</v>
      </c>
      <c r="O963" s="257">
        <f>IF(ISNA(MATCH(H963,'Operating leases'!$B$32:$B$43,0)),0,INDEX('Operating leases'!$M$32:$S$43,MATCH(H963,'Operating leases'!$B$32:$B$43,0),MATCH(J963,'Operating leases'!$M$11:$S$11,0)))</f>
        <v>0</v>
      </c>
      <c r="P963" s="257">
        <f t="shared" si="193"/>
        <v>17902.910773143598</v>
      </c>
      <c r="Q963" s="257">
        <f t="shared" si="194"/>
        <v>17902.910773143598</v>
      </c>
      <c r="R963" s="258">
        <f>INDEX('Escalators '!$M$124:$S$129,MATCH(I963,'Escalators '!$B$124:$B$129,0),MATCH(J963,'Escalators '!$M$113:$S$113,0))</f>
        <v>1.0486791854231625</v>
      </c>
      <c r="S963" s="257">
        <f t="shared" si="195"/>
        <v>0</v>
      </c>
      <c r="T963" s="257">
        <f t="shared" si="196"/>
        <v>0</v>
      </c>
      <c r="U963" s="269">
        <f t="shared" si="197"/>
        <v>18774.409886283789</v>
      </c>
      <c r="V963" s="269">
        <f t="shared" si="198"/>
        <v>18774.409886283789</v>
      </c>
      <c r="W963" s="269">
        <f t="shared" si="199"/>
        <v>18774.409886283789</v>
      </c>
      <c r="X963" s="257">
        <f t="shared" si="200"/>
        <v>18774.409886283789</v>
      </c>
      <c r="Y963" s="270">
        <f>IF(L963="Complex",(INDEX('Escalators '!$M$176:$S$176,MATCH('Forecast capex'!J963,'Escalators '!$M$178:$S$178,0))/12+1)^((K963-J963)*12)-1,0)</f>
        <v>0</v>
      </c>
      <c r="Z963" s="257">
        <f t="shared" si="201"/>
        <v>0</v>
      </c>
      <c r="AA963" s="257">
        <f t="shared" si="202"/>
        <v>0</v>
      </c>
      <c r="AB963" s="269">
        <f t="shared" si="203"/>
        <v>0</v>
      </c>
      <c r="AC963" s="269">
        <f t="shared" si="204"/>
        <v>0</v>
      </c>
      <c r="AD963" s="271" t="str">
        <f>INDEX('Global inputs'!$C$134:$C$171,MATCH(F963,'Global inputs'!$B$134:$B$171,0))</f>
        <v xml:space="preserve">System growth </v>
      </c>
      <c r="AE963" s="272">
        <f>IF(OR(H963='Operating leases'!$B$32,H963='Operating leases'!$B$33),"",INDEX('Global inputs'!$C$186:$C$243,MATCH(E963,'Global inputs'!$B$186:$B$243,0)))</f>
        <v>0.08</v>
      </c>
    </row>
    <row r="964" spans="1:31" s="27" customFormat="1" x14ac:dyDescent="0.2">
      <c r="A964" s="250"/>
      <c r="B964" s="210" t="s">
        <v>746</v>
      </c>
      <c r="C964" s="210" t="s">
        <v>291</v>
      </c>
      <c r="D964" s="210" t="s">
        <v>735</v>
      </c>
      <c r="E964" s="210" t="s">
        <v>175</v>
      </c>
      <c r="F964" s="210" t="s">
        <v>86</v>
      </c>
      <c r="G964" s="210" t="s">
        <v>748</v>
      </c>
      <c r="H964" s="197">
        <v>0</v>
      </c>
      <c r="I964" s="210" t="s">
        <v>229</v>
      </c>
      <c r="J964" s="210">
        <v>2023</v>
      </c>
      <c r="K964" s="210">
        <v>2023</v>
      </c>
      <c r="L964" s="268" t="str">
        <f t="shared" si="192"/>
        <v>Simple</v>
      </c>
      <c r="M964" s="197">
        <v>2237.8638466429497</v>
      </c>
      <c r="N964" s="197">
        <v>0</v>
      </c>
      <c r="O964" s="257">
        <f>IF(ISNA(MATCH(H964,'Operating leases'!$B$32:$B$43,0)),0,INDEX('Operating leases'!$M$32:$S$43,MATCH(H964,'Operating leases'!$B$32:$B$43,0),MATCH(J964,'Operating leases'!$M$11:$S$11,0)))</f>
        <v>0</v>
      </c>
      <c r="P964" s="257">
        <f t="shared" si="193"/>
        <v>2237.8638466429497</v>
      </c>
      <c r="Q964" s="257">
        <f t="shared" si="194"/>
        <v>2237.8638466429497</v>
      </c>
      <c r="R964" s="258">
        <f>INDEX('Escalators '!$M$124:$S$129,MATCH(I964,'Escalators '!$B$124:$B$129,0),MATCH(J964,'Escalators '!$M$113:$S$113,0))</f>
        <v>1.0553567720906862</v>
      </c>
      <c r="S964" s="257">
        <f t="shared" si="195"/>
        <v>0</v>
      </c>
      <c r="T964" s="257">
        <f t="shared" si="196"/>
        <v>0</v>
      </c>
      <c r="U964" s="269">
        <f t="shared" si="197"/>
        <v>2361.74476557155</v>
      </c>
      <c r="V964" s="269">
        <f t="shared" si="198"/>
        <v>2361.74476557155</v>
      </c>
      <c r="W964" s="269">
        <f t="shared" si="199"/>
        <v>2361.74476557155</v>
      </c>
      <c r="X964" s="257">
        <f t="shared" si="200"/>
        <v>2361.74476557155</v>
      </c>
      <c r="Y964" s="270">
        <f>IF(L964="Complex",(INDEX('Escalators '!$M$176:$S$176,MATCH('Forecast capex'!J964,'Escalators '!$M$178:$S$178,0))/12+1)^((K964-J964)*12)-1,0)</f>
        <v>0</v>
      </c>
      <c r="Z964" s="257">
        <f t="shared" si="201"/>
        <v>0</v>
      </c>
      <c r="AA964" s="257">
        <f t="shared" si="202"/>
        <v>0</v>
      </c>
      <c r="AB964" s="269">
        <f t="shared" si="203"/>
        <v>0</v>
      </c>
      <c r="AC964" s="269">
        <f t="shared" si="204"/>
        <v>0</v>
      </c>
      <c r="AD964" s="271" t="str">
        <f>INDEX('Global inputs'!$C$134:$C$171,MATCH(F964,'Global inputs'!$B$134:$B$171,0))</f>
        <v xml:space="preserve">System growth </v>
      </c>
      <c r="AE964" s="272">
        <f>IF(OR(H964='Operating leases'!$B$32,H964='Operating leases'!$B$33),"",INDEX('Global inputs'!$C$186:$C$243,MATCH(E964,'Global inputs'!$B$186:$B$243,0)))</f>
        <v>0.1</v>
      </c>
    </row>
    <row r="965" spans="1:31" s="27" customFormat="1" x14ac:dyDescent="0.2">
      <c r="A965" s="250"/>
      <c r="B965" s="210" t="s">
        <v>746</v>
      </c>
      <c r="C965" s="210" t="s">
        <v>291</v>
      </c>
      <c r="D965" s="210" t="s">
        <v>735</v>
      </c>
      <c r="E965" s="210" t="s">
        <v>175</v>
      </c>
      <c r="F965" s="210" t="s">
        <v>86</v>
      </c>
      <c r="G965" s="210" t="s">
        <v>748</v>
      </c>
      <c r="H965" s="197">
        <v>0</v>
      </c>
      <c r="I965" s="210" t="s">
        <v>221</v>
      </c>
      <c r="J965" s="210">
        <v>2023</v>
      </c>
      <c r="K965" s="210">
        <v>2023</v>
      </c>
      <c r="L965" s="268" t="str">
        <f t="shared" si="192"/>
        <v>Simple</v>
      </c>
      <c r="M965" s="197">
        <v>8951.455386571799</v>
      </c>
      <c r="N965" s="197">
        <v>0</v>
      </c>
      <c r="O965" s="257">
        <f>IF(ISNA(MATCH(H965,'Operating leases'!$B$32:$B$43,0)),0,INDEX('Operating leases'!$M$32:$S$43,MATCH(H965,'Operating leases'!$B$32:$B$43,0),MATCH(J965,'Operating leases'!$M$11:$S$11,0)))</f>
        <v>0</v>
      </c>
      <c r="P965" s="257">
        <f t="shared" si="193"/>
        <v>8951.455386571799</v>
      </c>
      <c r="Q965" s="257">
        <f t="shared" si="194"/>
        <v>8951.455386571799</v>
      </c>
      <c r="R965" s="258">
        <f>INDEX('Escalators '!$M$124:$S$129,MATCH(I965,'Escalators '!$B$124:$B$129,0),MATCH(J965,'Escalators '!$M$113:$S$113,0))</f>
        <v>1.0486791854231625</v>
      </c>
      <c r="S965" s="257">
        <f t="shared" si="195"/>
        <v>0</v>
      </c>
      <c r="T965" s="257">
        <f t="shared" si="196"/>
        <v>0</v>
      </c>
      <c r="U965" s="269">
        <f t="shared" si="197"/>
        <v>9387.2049431418945</v>
      </c>
      <c r="V965" s="269">
        <f t="shared" si="198"/>
        <v>9387.2049431418945</v>
      </c>
      <c r="W965" s="269">
        <f t="shared" si="199"/>
        <v>9387.2049431418945</v>
      </c>
      <c r="X965" s="257">
        <f t="shared" si="200"/>
        <v>9387.2049431418945</v>
      </c>
      <c r="Y965" s="270">
        <f>IF(L965="Complex",(INDEX('Escalators '!$M$176:$S$176,MATCH('Forecast capex'!J965,'Escalators '!$M$178:$S$178,0))/12+1)^((K965-J965)*12)-1,0)</f>
        <v>0</v>
      </c>
      <c r="Z965" s="257">
        <f t="shared" si="201"/>
        <v>0</v>
      </c>
      <c r="AA965" s="257">
        <f t="shared" si="202"/>
        <v>0</v>
      </c>
      <c r="AB965" s="269">
        <f t="shared" si="203"/>
        <v>0</v>
      </c>
      <c r="AC965" s="269">
        <f t="shared" si="204"/>
        <v>0</v>
      </c>
      <c r="AD965" s="271" t="str">
        <f>INDEX('Global inputs'!$C$134:$C$171,MATCH(F965,'Global inputs'!$B$134:$B$171,0))</f>
        <v xml:space="preserve">System growth </v>
      </c>
      <c r="AE965" s="272">
        <f>IF(OR(H965='Operating leases'!$B$32,H965='Operating leases'!$B$33),"",INDEX('Global inputs'!$C$186:$C$243,MATCH(E965,'Global inputs'!$B$186:$B$243,0)))</f>
        <v>0.1</v>
      </c>
    </row>
    <row r="966" spans="1:31" s="27" customFormat="1" x14ac:dyDescent="0.2">
      <c r="A966" s="250"/>
      <c r="B966" s="210" t="s">
        <v>746</v>
      </c>
      <c r="C966" s="210" t="s">
        <v>288</v>
      </c>
      <c r="D966" s="210" t="s">
        <v>223</v>
      </c>
      <c r="E966" s="210" t="s">
        <v>156</v>
      </c>
      <c r="F966" s="210" t="s">
        <v>86</v>
      </c>
      <c r="G966" s="210" t="s">
        <v>727</v>
      </c>
      <c r="H966" s="197">
        <v>0</v>
      </c>
      <c r="I966" s="210" t="s">
        <v>223</v>
      </c>
      <c r="J966" s="210">
        <v>2023</v>
      </c>
      <c r="K966" s="210">
        <v>2023</v>
      </c>
      <c r="L966" s="268" t="str">
        <f t="shared" si="192"/>
        <v>Simple</v>
      </c>
      <c r="M966" s="197">
        <v>181266.97157807893</v>
      </c>
      <c r="N966" s="197">
        <v>0</v>
      </c>
      <c r="O966" s="257">
        <f>IF(ISNA(MATCH(H966,'Operating leases'!$B$32:$B$43,0)),0,INDEX('Operating leases'!$M$32:$S$43,MATCH(H966,'Operating leases'!$B$32:$B$43,0),MATCH(J966,'Operating leases'!$M$11:$S$11,0)))</f>
        <v>0</v>
      </c>
      <c r="P966" s="257">
        <f t="shared" si="193"/>
        <v>181266.97157807893</v>
      </c>
      <c r="Q966" s="257">
        <f t="shared" si="194"/>
        <v>181266.97157807893</v>
      </c>
      <c r="R966" s="258">
        <f>INDEX('Escalators '!$M$124:$S$129,MATCH(I966,'Escalators '!$B$124:$B$129,0),MATCH(J966,'Escalators '!$M$113:$S$113,0))</f>
        <v>1.0703240765377642</v>
      </c>
      <c r="S966" s="257">
        <f t="shared" si="195"/>
        <v>0</v>
      </c>
      <c r="T966" s="257">
        <f t="shared" si="196"/>
        <v>0</v>
      </c>
      <c r="U966" s="269">
        <f t="shared" si="197"/>
        <v>194014.40396110449</v>
      </c>
      <c r="V966" s="269">
        <f t="shared" si="198"/>
        <v>194014.40396110449</v>
      </c>
      <c r="W966" s="269">
        <f t="shared" si="199"/>
        <v>194014.40396110449</v>
      </c>
      <c r="X966" s="257">
        <f t="shared" si="200"/>
        <v>194014.40396110449</v>
      </c>
      <c r="Y966" s="270">
        <f>IF(L966="Complex",(INDEX('Escalators '!$M$176:$S$176,MATCH('Forecast capex'!J966,'Escalators '!$M$178:$S$178,0))/12+1)^((K966-J966)*12)-1,0)</f>
        <v>0</v>
      </c>
      <c r="Z966" s="257">
        <f t="shared" si="201"/>
        <v>0</v>
      </c>
      <c r="AA966" s="257">
        <f t="shared" si="202"/>
        <v>0</v>
      </c>
      <c r="AB966" s="269">
        <f t="shared" si="203"/>
        <v>0</v>
      </c>
      <c r="AC966" s="269">
        <f t="shared" si="204"/>
        <v>0</v>
      </c>
      <c r="AD966" s="271" t="str">
        <f>INDEX('Global inputs'!$C$134:$C$171,MATCH(F966,'Global inputs'!$B$134:$B$171,0))</f>
        <v xml:space="preserve">System growth </v>
      </c>
      <c r="AE966" s="272">
        <f>IF(OR(H966='Operating leases'!$B$32,H966='Operating leases'!$B$33),"",INDEX('Global inputs'!$C$186:$C$243,MATCH(E966,'Global inputs'!$B$186:$B$243,0)))</f>
        <v>0.08</v>
      </c>
    </row>
    <row r="967" spans="1:31" s="27" customFormat="1" x14ac:dyDescent="0.2">
      <c r="A967" s="250"/>
      <c r="B967" s="210" t="s">
        <v>746</v>
      </c>
      <c r="C967" s="210" t="s">
        <v>288</v>
      </c>
      <c r="D967" s="210" t="s">
        <v>223</v>
      </c>
      <c r="E967" s="210" t="s">
        <v>156</v>
      </c>
      <c r="F967" s="210" t="s">
        <v>86</v>
      </c>
      <c r="G967" s="210" t="s">
        <v>727</v>
      </c>
      <c r="H967" s="197">
        <v>0</v>
      </c>
      <c r="I967" s="210" t="s">
        <v>221</v>
      </c>
      <c r="J967" s="210">
        <v>2023</v>
      </c>
      <c r="K967" s="210">
        <v>2023</v>
      </c>
      <c r="L967" s="268" t="str">
        <f t="shared" si="192"/>
        <v>Simple</v>
      </c>
      <c r="M967" s="197">
        <v>422956.26701551751</v>
      </c>
      <c r="N967" s="197">
        <v>0</v>
      </c>
      <c r="O967" s="257">
        <f>IF(ISNA(MATCH(H967,'Operating leases'!$B$32:$B$43,0)),0,INDEX('Operating leases'!$M$32:$S$43,MATCH(H967,'Operating leases'!$B$32:$B$43,0),MATCH(J967,'Operating leases'!$M$11:$S$11,0)))</f>
        <v>0</v>
      </c>
      <c r="P967" s="257">
        <f t="shared" si="193"/>
        <v>422956.26701551751</v>
      </c>
      <c r="Q967" s="257">
        <f t="shared" si="194"/>
        <v>422956.26701551751</v>
      </c>
      <c r="R967" s="258">
        <f>INDEX('Escalators '!$M$124:$S$129,MATCH(I967,'Escalators '!$B$124:$B$129,0),MATCH(J967,'Escalators '!$M$113:$S$113,0))</f>
        <v>1.0486791854231625</v>
      </c>
      <c r="S967" s="257">
        <f t="shared" si="195"/>
        <v>0</v>
      </c>
      <c r="T967" s="257">
        <f t="shared" si="196"/>
        <v>0</v>
      </c>
      <c r="U967" s="269">
        <f t="shared" si="197"/>
        <v>443545.43356345454</v>
      </c>
      <c r="V967" s="269">
        <f t="shared" si="198"/>
        <v>443545.43356345454</v>
      </c>
      <c r="W967" s="269">
        <f t="shared" si="199"/>
        <v>443545.43356345454</v>
      </c>
      <c r="X967" s="257">
        <f t="shared" si="200"/>
        <v>443545.43356345454</v>
      </c>
      <c r="Y967" s="270">
        <f>IF(L967="Complex",(INDEX('Escalators '!$M$176:$S$176,MATCH('Forecast capex'!J967,'Escalators '!$M$178:$S$178,0))/12+1)^((K967-J967)*12)-1,0)</f>
        <v>0</v>
      </c>
      <c r="Z967" s="257">
        <f t="shared" si="201"/>
        <v>0</v>
      </c>
      <c r="AA967" s="257">
        <f t="shared" si="202"/>
        <v>0</v>
      </c>
      <c r="AB967" s="269">
        <f t="shared" si="203"/>
        <v>0</v>
      </c>
      <c r="AC967" s="269">
        <f t="shared" si="204"/>
        <v>0</v>
      </c>
      <c r="AD967" s="271" t="str">
        <f>INDEX('Global inputs'!$C$134:$C$171,MATCH(F967,'Global inputs'!$B$134:$B$171,0))</f>
        <v xml:space="preserve">System growth </v>
      </c>
      <c r="AE967" s="272">
        <f>IF(OR(H967='Operating leases'!$B$32,H967='Operating leases'!$B$33),"",INDEX('Global inputs'!$C$186:$C$243,MATCH(E967,'Global inputs'!$B$186:$B$243,0)))</f>
        <v>0.08</v>
      </c>
    </row>
    <row r="968" spans="1:31" s="27" customFormat="1" x14ac:dyDescent="0.2">
      <c r="A968" s="250"/>
      <c r="B968" s="210" t="s">
        <v>746</v>
      </c>
      <c r="C968" s="210" t="s">
        <v>288</v>
      </c>
      <c r="D968" s="210" t="s">
        <v>223</v>
      </c>
      <c r="E968" s="210" t="s">
        <v>158</v>
      </c>
      <c r="F968" s="210" t="s">
        <v>86</v>
      </c>
      <c r="G968" s="210" t="s">
        <v>728</v>
      </c>
      <c r="H968" s="197">
        <v>0</v>
      </c>
      <c r="I968" s="210" t="s">
        <v>223</v>
      </c>
      <c r="J968" s="210">
        <v>2023</v>
      </c>
      <c r="K968" s="210">
        <v>2023</v>
      </c>
      <c r="L968" s="268" t="str">
        <f t="shared" si="192"/>
        <v>Simple</v>
      </c>
      <c r="M968" s="197">
        <v>17902.910773143598</v>
      </c>
      <c r="N968" s="197">
        <v>0</v>
      </c>
      <c r="O968" s="257">
        <f>IF(ISNA(MATCH(H968,'Operating leases'!$B$32:$B$43,0)),0,INDEX('Operating leases'!$M$32:$S$43,MATCH(H968,'Operating leases'!$B$32:$B$43,0),MATCH(J968,'Operating leases'!$M$11:$S$11,0)))</f>
        <v>0</v>
      </c>
      <c r="P968" s="257">
        <f t="shared" si="193"/>
        <v>17902.910773143598</v>
      </c>
      <c r="Q968" s="257">
        <f t="shared" si="194"/>
        <v>17902.910773143598</v>
      </c>
      <c r="R968" s="258">
        <f>INDEX('Escalators '!$M$124:$S$129,MATCH(I968,'Escalators '!$B$124:$B$129,0),MATCH(J968,'Escalators '!$M$113:$S$113,0))</f>
        <v>1.0703240765377642</v>
      </c>
      <c r="S968" s="257">
        <f t="shared" si="195"/>
        <v>0</v>
      </c>
      <c r="T968" s="257">
        <f t="shared" si="196"/>
        <v>0</v>
      </c>
      <c r="U968" s="269">
        <f t="shared" si="197"/>
        <v>19161.916440602912</v>
      </c>
      <c r="V968" s="269">
        <f t="shared" si="198"/>
        <v>19161.916440602912</v>
      </c>
      <c r="W968" s="269">
        <f t="shared" si="199"/>
        <v>19161.916440602912</v>
      </c>
      <c r="X968" s="257">
        <f t="shared" si="200"/>
        <v>19161.916440602912</v>
      </c>
      <c r="Y968" s="270">
        <f>IF(L968="Complex",(INDEX('Escalators '!$M$176:$S$176,MATCH('Forecast capex'!J968,'Escalators '!$M$178:$S$178,0))/12+1)^((K968-J968)*12)-1,0)</f>
        <v>0</v>
      </c>
      <c r="Z968" s="257">
        <f t="shared" si="201"/>
        <v>0</v>
      </c>
      <c r="AA968" s="257">
        <f t="shared" si="202"/>
        <v>0</v>
      </c>
      <c r="AB968" s="269">
        <f t="shared" si="203"/>
        <v>0</v>
      </c>
      <c r="AC968" s="269">
        <f t="shared" si="204"/>
        <v>0</v>
      </c>
      <c r="AD968" s="271" t="str">
        <f>INDEX('Global inputs'!$C$134:$C$171,MATCH(F968,'Global inputs'!$B$134:$B$171,0))</f>
        <v xml:space="preserve">System growth </v>
      </c>
      <c r="AE968" s="272">
        <f>IF(OR(H968='Operating leases'!$B$32,H968='Operating leases'!$B$33),"",INDEX('Global inputs'!$C$186:$C$243,MATCH(E968,'Global inputs'!$B$186:$B$243,0)))</f>
        <v>0.08</v>
      </c>
    </row>
    <row r="969" spans="1:31" s="27" customFormat="1" x14ac:dyDescent="0.2">
      <c r="A969" s="250"/>
      <c r="B969" s="210" t="s">
        <v>746</v>
      </c>
      <c r="C969" s="210" t="s">
        <v>288</v>
      </c>
      <c r="D969" s="210" t="s">
        <v>223</v>
      </c>
      <c r="E969" s="210" t="s">
        <v>158</v>
      </c>
      <c r="F969" s="210" t="s">
        <v>86</v>
      </c>
      <c r="G969" s="210" t="s">
        <v>728</v>
      </c>
      <c r="H969" s="197">
        <v>0</v>
      </c>
      <c r="I969" s="210" t="s">
        <v>221</v>
      </c>
      <c r="J969" s="210">
        <v>2023</v>
      </c>
      <c r="K969" s="210">
        <v>2023</v>
      </c>
      <c r="L969" s="268" t="str">
        <f t="shared" si="192"/>
        <v>Simple</v>
      </c>
      <c r="M969" s="197">
        <v>26854.366159715399</v>
      </c>
      <c r="N969" s="197">
        <v>0</v>
      </c>
      <c r="O969" s="257">
        <f>IF(ISNA(MATCH(H969,'Operating leases'!$B$32:$B$43,0)),0,INDEX('Operating leases'!$M$32:$S$43,MATCH(H969,'Operating leases'!$B$32:$B$43,0),MATCH(J969,'Operating leases'!$M$11:$S$11,0)))</f>
        <v>0</v>
      </c>
      <c r="P969" s="257">
        <f t="shared" si="193"/>
        <v>26854.366159715399</v>
      </c>
      <c r="Q969" s="257">
        <f t="shared" si="194"/>
        <v>26854.366159715399</v>
      </c>
      <c r="R969" s="258">
        <f>INDEX('Escalators '!$M$124:$S$129,MATCH(I969,'Escalators '!$B$124:$B$129,0),MATCH(J969,'Escalators '!$M$113:$S$113,0))</f>
        <v>1.0486791854231625</v>
      </c>
      <c r="S969" s="257">
        <f t="shared" si="195"/>
        <v>0</v>
      </c>
      <c r="T969" s="257">
        <f t="shared" si="196"/>
        <v>0</v>
      </c>
      <c r="U969" s="269">
        <f t="shared" si="197"/>
        <v>28161.614829425685</v>
      </c>
      <c r="V969" s="269">
        <f t="shared" si="198"/>
        <v>28161.614829425685</v>
      </c>
      <c r="W969" s="269">
        <f t="shared" si="199"/>
        <v>28161.614829425685</v>
      </c>
      <c r="X969" s="257">
        <f t="shared" si="200"/>
        <v>28161.614829425685</v>
      </c>
      <c r="Y969" s="270">
        <f>IF(L969="Complex",(INDEX('Escalators '!$M$176:$S$176,MATCH('Forecast capex'!J969,'Escalators '!$M$178:$S$178,0))/12+1)^((K969-J969)*12)-1,0)</f>
        <v>0</v>
      </c>
      <c r="Z969" s="257">
        <f t="shared" si="201"/>
        <v>0</v>
      </c>
      <c r="AA969" s="257">
        <f t="shared" si="202"/>
        <v>0</v>
      </c>
      <c r="AB969" s="269">
        <f t="shared" si="203"/>
        <v>0</v>
      </c>
      <c r="AC969" s="269">
        <f t="shared" si="204"/>
        <v>0</v>
      </c>
      <c r="AD969" s="271" t="str">
        <f>INDEX('Global inputs'!$C$134:$C$171,MATCH(F969,'Global inputs'!$B$134:$B$171,0))</f>
        <v xml:space="preserve">System growth </v>
      </c>
      <c r="AE969" s="272">
        <f>IF(OR(H969='Operating leases'!$B$32,H969='Operating leases'!$B$33),"",INDEX('Global inputs'!$C$186:$C$243,MATCH(E969,'Global inputs'!$B$186:$B$243,0)))</f>
        <v>0.08</v>
      </c>
    </row>
    <row r="970" spans="1:31" s="27" customFormat="1" x14ac:dyDescent="0.2">
      <c r="A970" s="250"/>
      <c r="B970" s="210" t="s">
        <v>746</v>
      </c>
      <c r="C970" s="210" t="s">
        <v>287</v>
      </c>
      <c r="D970" s="210" t="s">
        <v>729</v>
      </c>
      <c r="E970" s="210" t="s">
        <v>150</v>
      </c>
      <c r="F970" s="210" t="s">
        <v>86</v>
      </c>
      <c r="G970" s="210" t="s">
        <v>731</v>
      </c>
      <c r="H970" s="197">
        <v>0</v>
      </c>
      <c r="I970" s="210" t="s">
        <v>225</v>
      </c>
      <c r="J970" s="210">
        <v>2023</v>
      </c>
      <c r="K970" s="210">
        <v>2023</v>
      </c>
      <c r="L970" s="268" t="str">
        <f t="shared" ref="L970:L1033" si="205">IF(J970=K970,"Simple","Complex")</f>
        <v>Simple</v>
      </c>
      <c r="M970" s="197">
        <v>35805.821546287196</v>
      </c>
      <c r="N970" s="197">
        <v>0</v>
      </c>
      <c r="O970" s="257">
        <f>IF(ISNA(MATCH(H970,'Operating leases'!$B$32:$B$43,0)),0,INDEX('Operating leases'!$M$32:$S$43,MATCH(H970,'Operating leases'!$B$32:$B$43,0),MATCH(J970,'Operating leases'!$M$11:$S$11,0)))</f>
        <v>0</v>
      </c>
      <c r="P970" s="257">
        <f t="shared" ref="P970:P1033" si="206">O970+M970</f>
        <v>35805.821546287196</v>
      </c>
      <c r="Q970" s="257">
        <f t="shared" ref="Q970:Q1033" si="207">M970+N970+O970</f>
        <v>35805.821546287196</v>
      </c>
      <c r="R970" s="258">
        <f>INDEX('Escalators '!$M$124:$S$129,MATCH(I970,'Escalators '!$B$124:$B$129,0),MATCH(J970,'Escalators '!$M$113:$S$113,0))</f>
        <v>1.0700187037302984</v>
      </c>
      <c r="S970" s="257">
        <f t="shared" ref="S970:S1033" si="208">O970*R970</f>
        <v>0</v>
      </c>
      <c r="T970" s="257">
        <f t="shared" ref="T970:T1033" si="209">N970*R970</f>
        <v>0</v>
      </c>
      <c r="U970" s="269">
        <f t="shared" ref="U970:U1033" si="210">W970-S970</f>
        <v>38312.898756956616</v>
      </c>
      <c r="V970" s="269">
        <f t="shared" ref="V970:V1033" si="211">U970+T970</f>
        <v>38312.898756956616</v>
      </c>
      <c r="W970" s="269">
        <f t="shared" ref="W970:W1033" si="212">X970-T970</f>
        <v>38312.898756956616</v>
      </c>
      <c r="X970" s="257">
        <f t="shared" ref="X970:X1033" si="213">Q970*R970</f>
        <v>38312.898756956616</v>
      </c>
      <c r="Y970" s="270">
        <f>IF(L970="Complex",(INDEX('Escalators '!$M$176:$S$176,MATCH('Forecast capex'!J970,'Escalators '!$M$178:$S$178,0))/12+1)^((K970-J970)*12)-1,0)</f>
        <v>0</v>
      </c>
      <c r="Z970" s="257">
        <f t="shared" ref="Z970:Z1033" si="214">P970*Y970</f>
        <v>0</v>
      </c>
      <c r="AA970" s="257">
        <f t="shared" ref="AA970:AA1033" si="215">W970*Y970</f>
        <v>0</v>
      </c>
      <c r="AB970" s="269">
        <f t="shared" ref="AB970:AB1033" si="216">IF(L970="Complex",AC970-T970,0)</f>
        <v>0</v>
      </c>
      <c r="AC970" s="269">
        <f t="shared" ref="AC970:AC1033" si="217">IF(L970="Complex",V970+AA970,0)</f>
        <v>0</v>
      </c>
      <c r="AD970" s="271" t="str">
        <f>INDEX('Global inputs'!$C$134:$C$171,MATCH(F970,'Global inputs'!$B$134:$B$171,0))</f>
        <v xml:space="preserve">System growth </v>
      </c>
      <c r="AE970" s="272">
        <f>IF(OR(H970='Operating leases'!$B$32,H970='Operating leases'!$B$33),"",INDEX('Global inputs'!$C$186:$C$243,MATCH(E970,'Global inputs'!$B$186:$B$243,0)))</f>
        <v>0.08</v>
      </c>
    </row>
    <row r="971" spans="1:31" s="27" customFormat="1" x14ac:dyDescent="0.2">
      <c r="A971" s="250"/>
      <c r="B971" s="210" t="s">
        <v>746</v>
      </c>
      <c r="C971" s="210" t="s">
        <v>287</v>
      </c>
      <c r="D971" s="210" t="s">
        <v>729</v>
      </c>
      <c r="E971" s="210" t="s">
        <v>150</v>
      </c>
      <c r="F971" s="210" t="s">
        <v>86</v>
      </c>
      <c r="G971" s="210" t="s">
        <v>731</v>
      </c>
      <c r="H971" s="197">
        <v>0</v>
      </c>
      <c r="I971" s="210" t="s">
        <v>221</v>
      </c>
      <c r="J971" s="210">
        <v>2023</v>
      </c>
      <c r="K971" s="210">
        <v>2023</v>
      </c>
      <c r="L971" s="268" t="str">
        <f t="shared" si="205"/>
        <v>Simple</v>
      </c>
      <c r="M971" s="197">
        <v>143223.28618514878</v>
      </c>
      <c r="N971" s="197">
        <v>0</v>
      </c>
      <c r="O971" s="257">
        <f>IF(ISNA(MATCH(H971,'Operating leases'!$B$32:$B$43,0)),0,INDEX('Operating leases'!$M$32:$S$43,MATCH(H971,'Operating leases'!$B$32:$B$43,0),MATCH(J971,'Operating leases'!$M$11:$S$11,0)))</f>
        <v>0</v>
      </c>
      <c r="P971" s="257">
        <f t="shared" si="206"/>
        <v>143223.28618514878</v>
      </c>
      <c r="Q971" s="257">
        <f t="shared" si="207"/>
        <v>143223.28618514878</v>
      </c>
      <c r="R971" s="258">
        <f>INDEX('Escalators '!$M$124:$S$129,MATCH(I971,'Escalators '!$B$124:$B$129,0),MATCH(J971,'Escalators '!$M$113:$S$113,0))</f>
        <v>1.0486791854231625</v>
      </c>
      <c r="S971" s="257">
        <f t="shared" si="208"/>
        <v>0</v>
      </c>
      <c r="T971" s="257">
        <f t="shared" si="209"/>
        <v>0</v>
      </c>
      <c r="U971" s="269">
        <f t="shared" si="210"/>
        <v>150195.27909027031</v>
      </c>
      <c r="V971" s="269">
        <f t="shared" si="211"/>
        <v>150195.27909027031</v>
      </c>
      <c r="W971" s="269">
        <f t="shared" si="212"/>
        <v>150195.27909027031</v>
      </c>
      <c r="X971" s="257">
        <f t="shared" si="213"/>
        <v>150195.27909027031</v>
      </c>
      <c r="Y971" s="270">
        <f>IF(L971="Complex",(INDEX('Escalators '!$M$176:$S$176,MATCH('Forecast capex'!J971,'Escalators '!$M$178:$S$178,0))/12+1)^((K971-J971)*12)-1,0)</f>
        <v>0</v>
      </c>
      <c r="Z971" s="257">
        <f t="shared" si="214"/>
        <v>0</v>
      </c>
      <c r="AA971" s="257">
        <f t="shared" si="215"/>
        <v>0</v>
      </c>
      <c r="AB971" s="269">
        <f t="shared" si="216"/>
        <v>0</v>
      </c>
      <c r="AC971" s="269">
        <f t="shared" si="217"/>
        <v>0</v>
      </c>
      <c r="AD971" s="271" t="str">
        <f>INDEX('Global inputs'!$C$134:$C$171,MATCH(F971,'Global inputs'!$B$134:$B$171,0))</f>
        <v xml:space="preserve">System growth </v>
      </c>
      <c r="AE971" s="272">
        <f>IF(OR(H971='Operating leases'!$B$32,H971='Operating leases'!$B$33),"",INDEX('Global inputs'!$C$186:$C$243,MATCH(E971,'Global inputs'!$B$186:$B$243,0)))</f>
        <v>0.08</v>
      </c>
    </row>
    <row r="972" spans="1:31" s="27" customFormat="1" x14ac:dyDescent="0.2">
      <c r="A972" s="250"/>
      <c r="B972" s="210" t="s">
        <v>746</v>
      </c>
      <c r="C972" s="210" t="s">
        <v>287</v>
      </c>
      <c r="D972" s="210" t="s">
        <v>729</v>
      </c>
      <c r="E972" s="210" t="s">
        <v>151</v>
      </c>
      <c r="F972" s="210" t="s">
        <v>86</v>
      </c>
      <c r="G972" s="210" t="s">
        <v>731</v>
      </c>
      <c r="H972" s="197">
        <v>0</v>
      </c>
      <c r="I972" s="210" t="s">
        <v>225</v>
      </c>
      <c r="J972" s="210">
        <v>2023</v>
      </c>
      <c r="K972" s="210">
        <v>2023</v>
      </c>
      <c r="L972" s="268" t="str">
        <f t="shared" si="205"/>
        <v>Simple</v>
      </c>
      <c r="M972" s="197">
        <v>35805.821546287196</v>
      </c>
      <c r="N972" s="197">
        <v>0</v>
      </c>
      <c r="O972" s="257">
        <f>IF(ISNA(MATCH(H972,'Operating leases'!$B$32:$B$43,0)),0,INDEX('Operating leases'!$M$32:$S$43,MATCH(H972,'Operating leases'!$B$32:$B$43,0),MATCH(J972,'Operating leases'!$M$11:$S$11,0)))</f>
        <v>0</v>
      </c>
      <c r="P972" s="257">
        <f t="shared" si="206"/>
        <v>35805.821546287196</v>
      </c>
      <c r="Q972" s="257">
        <f t="shared" si="207"/>
        <v>35805.821546287196</v>
      </c>
      <c r="R972" s="258">
        <f>INDEX('Escalators '!$M$124:$S$129,MATCH(I972,'Escalators '!$B$124:$B$129,0),MATCH(J972,'Escalators '!$M$113:$S$113,0))</f>
        <v>1.0700187037302984</v>
      </c>
      <c r="S972" s="257">
        <f t="shared" si="208"/>
        <v>0</v>
      </c>
      <c r="T972" s="257">
        <f t="shared" si="209"/>
        <v>0</v>
      </c>
      <c r="U972" s="269">
        <f t="shared" si="210"/>
        <v>38312.898756956616</v>
      </c>
      <c r="V972" s="269">
        <f t="shared" si="211"/>
        <v>38312.898756956616</v>
      </c>
      <c r="W972" s="269">
        <f t="shared" si="212"/>
        <v>38312.898756956616</v>
      </c>
      <c r="X972" s="257">
        <f t="shared" si="213"/>
        <v>38312.898756956616</v>
      </c>
      <c r="Y972" s="270">
        <f>IF(L972="Complex",(INDEX('Escalators '!$M$176:$S$176,MATCH('Forecast capex'!J972,'Escalators '!$M$178:$S$178,0))/12+1)^((K972-J972)*12)-1,0)</f>
        <v>0</v>
      </c>
      <c r="Z972" s="257">
        <f t="shared" si="214"/>
        <v>0</v>
      </c>
      <c r="AA972" s="257">
        <f t="shared" si="215"/>
        <v>0</v>
      </c>
      <c r="AB972" s="269">
        <f t="shared" si="216"/>
        <v>0</v>
      </c>
      <c r="AC972" s="269">
        <f t="shared" si="217"/>
        <v>0</v>
      </c>
      <c r="AD972" s="271" t="str">
        <f>INDEX('Global inputs'!$C$134:$C$171,MATCH(F972,'Global inputs'!$B$134:$B$171,0))</f>
        <v xml:space="preserve">System growth </v>
      </c>
      <c r="AE972" s="272">
        <f>IF(OR(H972='Operating leases'!$B$32,H972='Operating leases'!$B$33),"",INDEX('Global inputs'!$C$186:$C$243,MATCH(E972,'Global inputs'!$B$186:$B$243,0)))</f>
        <v>0.1</v>
      </c>
    </row>
    <row r="973" spans="1:31" s="27" customFormat="1" x14ac:dyDescent="0.2">
      <c r="A973" s="250"/>
      <c r="B973" s="210" t="s">
        <v>746</v>
      </c>
      <c r="C973" s="210" t="s">
        <v>287</v>
      </c>
      <c r="D973" s="210" t="s">
        <v>729</v>
      </c>
      <c r="E973" s="210" t="s">
        <v>151</v>
      </c>
      <c r="F973" s="210" t="s">
        <v>86</v>
      </c>
      <c r="G973" s="210" t="s">
        <v>731</v>
      </c>
      <c r="H973" s="197">
        <v>0</v>
      </c>
      <c r="I973" s="210" t="s">
        <v>221</v>
      </c>
      <c r="J973" s="210">
        <v>2023</v>
      </c>
      <c r="K973" s="210">
        <v>2023</v>
      </c>
      <c r="L973" s="268" t="str">
        <f t="shared" si="205"/>
        <v>Simple</v>
      </c>
      <c r="M973" s="197">
        <v>143223.28618514878</v>
      </c>
      <c r="N973" s="197">
        <v>0</v>
      </c>
      <c r="O973" s="257">
        <f>IF(ISNA(MATCH(H973,'Operating leases'!$B$32:$B$43,0)),0,INDEX('Operating leases'!$M$32:$S$43,MATCH(H973,'Operating leases'!$B$32:$B$43,0),MATCH(J973,'Operating leases'!$M$11:$S$11,0)))</f>
        <v>0</v>
      </c>
      <c r="P973" s="257">
        <f t="shared" si="206"/>
        <v>143223.28618514878</v>
      </c>
      <c r="Q973" s="257">
        <f t="shared" si="207"/>
        <v>143223.28618514878</v>
      </c>
      <c r="R973" s="258">
        <f>INDEX('Escalators '!$M$124:$S$129,MATCH(I973,'Escalators '!$B$124:$B$129,0),MATCH(J973,'Escalators '!$M$113:$S$113,0))</f>
        <v>1.0486791854231625</v>
      </c>
      <c r="S973" s="257">
        <f t="shared" si="208"/>
        <v>0</v>
      </c>
      <c r="T973" s="257">
        <f t="shared" si="209"/>
        <v>0</v>
      </c>
      <c r="U973" s="269">
        <f t="shared" si="210"/>
        <v>150195.27909027031</v>
      </c>
      <c r="V973" s="269">
        <f t="shared" si="211"/>
        <v>150195.27909027031</v>
      </c>
      <c r="W973" s="269">
        <f t="shared" si="212"/>
        <v>150195.27909027031</v>
      </c>
      <c r="X973" s="257">
        <f t="shared" si="213"/>
        <v>150195.27909027031</v>
      </c>
      <c r="Y973" s="270">
        <f>IF(L973="Complex",(INDEX('Escalators '!$M$176:$S$176,MATCH('Forecast capex'!J973,'Escalators '!$M$178:$S$178,0))/12+1)^((K973-J973)*12)-1,0)</f>
        <v>0</v>
      </c>
      <c r="Z973" s="257">
        <f t="shared" si="214"/>
        <v>0</v>
      </c>
      <c r="AA973" s="257">
        <f t="shared" si="215"/>
        <v>0</v>
      </c>
      <c r="AB973" s="269">
        <f t="shared" si="216"/>
        <v>0</v>
      </c>
      <c r="AC973" s="269">
        <f t="shared" si="217"/>
        <v>0</v>
      </c>
      <c r="AD973" s="271" t="str">
        <f>INDEX('Global inputs'!$C$134:$C$171,MATCH(F973,'Global inputs'!$B$134:$B$171,0))</f>
        <v xml:space="preserve">System growth </v>
      </c>
      <c r="AE973" s="272">
        <f>IF(OR(H973='Operating leases'!$B$32,H973='Operating leases'!$B$33),"",INDEX('Global inputs'!$C$186:$C$243,MATCH(E973,'Global inputs'!$B$186:$B$243,0)))</f>
        <v>0.1</v>
      </c>
    </row>
    <row r="974" spans="1:31" s="27" customFormat="1" x14ac:dyDescent="0.2">
      <c r="A974" s="250"/>
      <c r="B974" s="210" t="s">
        <v>746</v>
      </c>
      <c r="C974" s="210" t="s">
        <v>287</v>
      </c>
      <c r="D974" s="210" t="s">
        <v>729</v>
      </c>
      <c r="E974" s="210" t="s">
        <v>153</v>
      </c>
      <c r="F974" s="210" t="s">
        <v>86</v>
      </c>
      <c r="G974" s="210" t="s">
        <v>737</v>
      </c>
      <c r="H974" s="197">
        <v>0</v>
      </c>
      <c r="I974" s="210" t="s">
        <v>225</v>
      </c>
      <c r="J974" s="210">
        <v>2023</v>
      </c>
      <c r="K974" s="210">
        <v>2023</v>
      </c>
      <c r="L974" s="268" t="str">
        <f t="shared" si="205"/>
        <v>Simple</v>
      </c>
      <c r="M974" s="197">
        <v>6713.5915399288497</v>
      </c>
      <c r="N974" s="197">
        <v>0</v>
      </c>
      <c r="O974" s="257">
        <f>IF(ISNA(MATCH(H974,'Operating leases'!$B$32:$B$43,0)),0,INDEX('Operating leases'!$M$32:$S$43,MATCH(H974,'Operating leases'!$B$32:$B$43,0),MATCH(J974,'Operating leases'!$M$11:$S$11,0)))</f>
        <v>0</v>
      </c>
      <c r="P974" s="257">
        <f t="shared" si="206"/>
        <v>6713.5915399288497</v>
      </c>
      <c r="Q974" s="257">
        <f t="shared" si="207"/>
        <v>6713.5915399288497</v>
      </c>
      <c r="R974" s="258">
        <f>INDEX('Escalators '!$M$124:$S$129,MATCH(I974,'Escalators '!$B$124:$B$129,0),MATCH(J974,'Escalators '!$M$113:$S$113,0))</f>
        <v>1.0700187037302984</v>
      </c>
      <c r="S974" s="257">
        <f t="shared" si="208"/>
        <v>0</v>
      </c>
      <c r="T974" s="257">
        <f t="shared" si="209"/>
        <v>0</v>
      </c>
      <c r="U974" s="269">
        <f t="shared" si="210"/>
        <v>7183.668516929366</v>
      </c>
      <c r="V974" s="269">
        <f t="shared" si="211"/>
        <v>7183.668516929366</v>
      </c>
      <c r="W974" s="269">
        <f t="shared" si="212"/>
        <v>7183.668516929366</v>
      </c>
      <c r="X974" s="257">
        <f t="shared" si="213"/>
        <v>7183.668516929366</v>
      </c>
      <c r="Y974" s="270">
        <f>IF(L974="Complex",(INDEX('Escalators '!$M$176:$S$176,MATCH('Forecast capex'!J974,'Escalators '!$M$178:$S$178,0))/12+1)^((K974-J974)*12)-1,0)</f>
        <v>0</v>
      </c>
      <c r="Z974" s="257">
        <f t="shared" si="214"/>
        <v>0</v>
      </c>
      <c r="AA974" s="257">
        <f t="shared" si="215"/>
        <v>0</v>
      </c>
      <c r="AB974" s="269">
        <f t="shared" si="216"/>
        <v>0</v>
      </c>
      <c r="AC974" s="269">
        <f t="shared" si="217"/>
        <v>0</v>
      </c>
      <c r="AD974" s="271" t="str">
        <f>INDEX('Global inputs'!$C$134:$C$171,MATCH(F974,'Global inputs'!$B$134:$B$171,0))</f>
        <v xml:space="preserve">System growth </v>
      </c>
      <c r="AE974" s="272">
        <f>IF(OR(H974='Operating leases'!$B$32,H974='Operating leases'!$B$33),"",INDEX('Global inputs'!$C$186:$C$243,MATCH(E974,'Global inputs'!$B$186:$B$243,0)))</f>
        <v>0.08</v>
      </c>
    </row>
    <row r="975" spans="1:31" s="27" customFormat="1" x14ac:dyDescent="0.2">
      <c r="A975" s="250"/>
      <c r="B975" s="210" t="s">
        <v>746</v>
      </c>
      <c r="C975" s="210" t="s">
        <v>287</v>
      </c>
      <c r="D975" s="210" t="s">
        <v>729</v>
      </c>
      <c r="E975" s="210" t="s">
        <v>153</v>
      </c>
      <c r="F975" s="210" t="s">
        <v>86</v>
      </c>
      <c r="G975" s="210" t="s">
        <v>737</v>
      </c>
      <c r="H975" s="197">
        <v>0</v>
      </c>
      <c r="I975" s="210" t="s">
        <v>221</v>
      </c>
      <c r="J975" s="210">
        <v>2023</v>
      </c>
      <c r="K975" s="210">
        <v>2023</v>
      </c>
      <c r="L975" s="268" t="str">
        <f t="shared" si="205"/>
        <v>Simple</v>
      </c>
      <c r="M975" s="197">
        <v>26854.366159715399</v>
      </c>
      <c r="N975" s="197">
        <v>0</v>
      </c>
      <c r="O975" s="257">
        <f>IF(ISNA(MATCH(H975,'Operating leases'!$B$32:$B$43,0)),0,INDEX('Operating leases'!$M$32:$S$43,MATCH(H975,'Operating leases'!$B$32:$B$43,0),MATCH(J975,'Operating leases'!$M$11:$S$11,0)))</f>
        <v>0</v>
      </c>
      <c r="P975" s="257">
        <f t="shared" si="206"/>
        <v>26854.366159715399</v>
      </c>
      <c r="Q975" s="257">
        <f t="shared" si="207"/>
        <v>26854.366159715399</v>
      </c>
      <c r="R975" s="258">
        <f>INDEX('Escalators '!$M$124:$S$129,MATCH(I975,'Escalators '!$B$124:$B$129,0),MATCH(J975,'Escalators '!$M$113:$S$113,0))</f>
        <v>1.0486791854231625</v>
      </c>
      <c r="S975" s="257">
        <f t="shared" si="208"/>
        <v>0</v>
      </c>
      <c r="T975" s="257">
        <f t="shared" si="209"/>
        <v>0</v>
      </c>
      <c r="U975" s="269">
        <f t="shared" si="210"/>
        <v>28161.614829425685</v>
      </c>
      <c r="V975" s="269">
        <f t="shared" si="211"/>
        <v>28161.614829425685</v>
      </c>
      <c r="W975" s="269">
        <f t="shared" si="212"/>
        <v>28161.614829425685</v>
      </c>
      <c r="X975" s="257">
        <f t="shared" si="213"/>
        <v>28161.614829425685</v>
      </c>
      <c r="Y975" s="270">
        <f>IF(L975="Complex",(INDEX('Escalators '!$M$176:$S$176,MATCH('Forecast capex'!J975,'Escalators '!$M$178:$S$178,0))/12+1)^((K975-J975)*12)-1,0)</f>
        <v>0</v>
      </c>
      <c r="Z975" s="257">
        <f t="shared" si="214"/>
        <v>0</v>
      </c>
      <c r="AA975" s="257">
        <f t="shared" si="215"/>
        <v>0</v>
      </c>
      <c r="AB975" s="269">
        <f t="shared" si="216"/>
        <v>0</v>
      </c>
      <c r="AC975" s="269">
        <f t="shared" si="217"/>
        <v>0</v>
      </c>
      <c r="AD975" s="271" t="str">
        <f>INDEX('Global inputs'!$C$134:$C$171,MATCH(F975,'Global inputs'!$B$134:$B$171,0))</f>
        <v xml:space="preserve">System growth </v>
      </c>
      <c r="AE975" s="272">
        <f>IF(OR(H975='Operating leases'!$B$32,H975='Operating leases'!$B$33),"",INDEX('Global inputs'!$C$186:$C$243,MATCH(E975,'Global inputs'!$B$186:$B$243,0)))</f>
        <v>0.08</v>
      </c>
    </row>
    <row r="976" spans="1:31" s="27" customFormat="1" x14ac:dyDescent="0.2">
      <c r="A976" s="250"/>
      <c r="B976" s="210" t="s">
        <v>746</v>
      </c>
      <c r="C976" s="210" t="s">
        <v>287</v>
      </c>
      <c r="D976" s="210" t="s">
        <v>729</v>
      </c>
      <c r="E976" s="210" t="s">
        <v>154</v>
      </c>
      <c r="F976" s="210" t="s">
        <v>86</v>
      </c>
      <c r="G976" s="210" t="s">
        <v>737</v>
      </c>
      <c r="H976" s="197">
        <v>0</v>
      </c>
      <c r="I976" s="210" t="s">
        <v>225</v>
      </c>
      <c r="J976" s="210">
        <v>2023</v>
      </c>
      <c r="K976" s="210">
        <v>2023</v>
      </c>
      <c r="L976" s="268" t="str">
        <f t="shared" si="205"/>
        <v>Simple</v>
      </c>
      <c r="M976" s="197">
        <v>6713.5915399288497</v>
      </c>
      <c r="N976" s="197">
        <v>0</v>
      </c>
      <c r="O976" s="257">
        <f>IF(ISNA(MATCH(H976,'Operating leases'!$B$32:$B$43,0)),0,INDEX('Operating leases'!$M$32:$S$43,MATCH(H976,'Operating leases'!$B$32:$B$43,0),MATCH(J976,'Operating leases'!$M$11:$S$11,0)))</f>
        <v>0</v>
      </c>
      <c r="P976" s="257">
        <f t="shared" si="206"/>
        <v>6713.5915399288497</v>
      </c>
      <c r="Q976" s="257">
        <f t="shared" si="207"/>
        <v>6713.5915399288497</v>
      </c>
      <c r="R976" s="258">
        <f>INDEX('Escalators '!$M$124:$S$129,MATCH(I976,'Escalators '!$B$124:$B$129,0),MATCH(J976,'Escalators '!$M$113:$S$113,0))</f>
        <v>1.0700187037302984</v>
      </c>
      <c r="S976" s="257">
        <f t="shared" si="208"/>
        <v>0</v>
      </c>
      <c r="T976" s="257">
        <f t="shared" si="209"/>
        <v>0</v>
      </c>
      <c r="U976" s="269">
        <f t="shared" si="210"/>
        <v>7183.668516929366</v>
      </c>
      <c r="V976" s="269">
        <f t="shared" si="211"/>
        <v>7183.668516929366</v>
      </c>
      <c r="W976" s="269">
        <f t="shared" si="212"/>
        <v>7183.668516929366</v>
      </c>
      <c r="X976" s="257">
        <f t="shared" si="213"/>
        <v>7183.668516929366</v>
      </c>
      <c r="Y976" s="270">
        <f>IF(L976="Complex",(INDEX('Escalators '!$M$176:$S$176,MATCH('Forecast capex'!J976,'Escalators '!$M$178:$S$178,0))/12+1)^((K976-J976)*12)-1,0)</f>
        <v>0</v>
      </c>
      <c r="Z976" s="257">
        <f t="shared" si="214"/>
        <v>0</v>
      </c>
      <c r="AA976" s="257">
        <f t="shared" si="215"/>
        <v>0</v>
      </c>
      <c r="AB976" s="269">
        <f t="shared" si="216"/>
        <v>0</v>
      </c>
      <c r="AC976" s="269">
        <f t="shared" si="217"/>
        <v>0</v>
      </c>
      <c r="AD976" s="271" t="str">
        <f>INDEX('Global inputs'!$C$134:$C$171,MATCH(F976,'Global inputs'!$B$134:$B$171,0))</f>
        <v xml:space="preserve">System growth </v>
      </c>
      <c r="AE976" s="272">
        <f>IF(OR(H976='Operating leases'!$B$32,H976='Operating leases'!$B$33),"",INDEX('Global inputs'!$C$186:$C$243,MATCH(E976,'Global inputs'!$B$186:$B$243,0)))</f>
        <v>0.1</v>
      </c>
    </row>
    <row r="977" spans="1:31" s="27" customFormat="1" x14ac:dyDescent="0.2">
      <c r="A977" s="250"/>
      <c r="B977" s="210" t="s">
        <v>746</v>
      </c>
      <c r="C977" s="210" t="s">
        <v>287</v>
      </c>
      <c r="D977" s="210" t="s">
        <v>729</v>
      </c>
      <c r="E977" s="210" t="s">
        <v>154</v>
      </c>
      <c r="F977" s="210" t="s">
        <v>86</v>
      </c>
      <c r="G977" s="210" t="s">
        <v>737</v>
      </c>
      <c r="H977" s="197">
        <v>0</v>
      </c>
      <c r="I977" s="210" t="s">
        <v>221</v>
      </c>
      <c r="J977" s="210">
        <v>2023</v>
      </c>
      <c r="K977" s="210">
        <v>2023</v>
      </c>
      <c r="L977" s="268" t="str">
        <f t="shared" si="205"/>
        <v>Simple</v>
      </c>
      <c r="M977" s="197">
        <v>26854.366159715399</v>
      </c>
      <c r="N977" s="197">
        <v>0</v>
      </c>
      <c r="O977" s="257">
        <f>IF(ISNA(MATCH(H977,'Operating leases'!$B$32:$B$43,0)),0,INDEX('Operating leases'!$M$32:$S$43,MATCH(H977,'Operating leases'!$B$32:$B$43,0),MATCH(J977,'Operating leases'!$M$11:$S$11,0)))</f>
        <v>0</v>
      </c>
      <c r="P977" s="257">
        <f t="shared" si="206"/>
        <v>26854.366159715399</v>
      </c>
      <c r="Q977" s="257">
        <f t="shared" si="207"/>
        <v>26854.366159715399</v>
      </c>
      <c r="R977" s="258">
        <f>INDEX('Escalators '!$M$124:$S$129,MATCH(I977,'Escalators '!$B$124:$B$129,0),MATCH(J977,'Escalators '!$M$113:$S$113,0))</f>
        <v>1.0486791854231625</v>
      </c>
      <c r="S977" s="257">
        <f t="shared" si="208"/>
        <v>0</v>
      </c>
      <c r="T977" s="257">
        <f t="shared" si="209"/>
        <v>0</v>
      </c>
      <c r="U977" s="269">
        <f t="shared" si="210"/>
        <v>28161.614829425685</v>
      </c>
      <c r="V977" s="269">
        <f t="shared" si="211"/>
        <v>28161.614829425685</v>
      </c>
      <c r="W977" s="269">
        <f t="shared" si="212"/>
        <v>28161.614829425685</v>
      </c>
      <c r="X977" s="257">
        <f t="shared" si="213"/>
        <v>28161.614829425685</v>
      </c>
      <c r="Y977" s="270">
        <f>IF(L977="Complex",(INDEX('Escalators '!$M$176:$S$176,MATCH('Forecast capex'!J977,'Escalators '!$M$178:$S$178,0))/12+1)^((K977-J977)*12)-1,0)</f>
        <v>0</v>
      </c>
      <c r="Z977" s="257">
        <f t="shared" si="214"/>
        <v>0</v>
      </c>
      <c r="AA977" s="257">
        <f t="shared" si="215"/>
        <v>0</v>
      </c>
      <c r="AB977" s="269">
        <f t="shared" si="216"/>
        <v>0</v>
      </c>
      <c r="AC977" s="269">
        <f t="shared" si="217"/>
        <v>0</v>
      </c>
      <c r="AD977" s="271" t="str">
        <f>INDEX('Global inputs'!$C$134:$C$171,MATCH(F977,'Global inputs'!$B$134:$B$171,0))</f>
        <v xml:space="preserve">System growth </v>
      </c>
      <c r="AE977" s="272">
        <f>IF(OR(H977='Operating leases'!$B$32,H977='Operating leases'!$B$33),"",INDEX('Global inputs'!$C$186:$C$243,MATCH(E977,'Global inputs'!$B$186:$B$243,0)))</f>
        <v>0.1</v>
      </c>
    </row>
    <row r="978" spans="1:31" s="27" customFormat="1" x14ac:dyDescent="0.2">
      <c r="A978" s="250"/>
      <c r="B978" s="210" t="s">
        <v>742</v>
      </c>
      <c r="C978" s="210" t="s">
        <v>287</v>
      </c>
      <c r="D978" s="210" t="s">
        <v>715</v>
      </c>
      <c r="E978" s="210" t="s">
        <v>150</v>
      </c>
      <c r="F978" s="210" t="s">
        <v>99</v>
      </c>
      <c r="G978" s="210" t="s">
        <v>716</v>
      </c>
      <c r="H978" s="197">
        <v>0</v>
      </c>
      <c r="I978" s="210" t="s">
        <v>229</v>
      </c>
      <c r="J978" s="210">
        <v>2023</v>
      </c>
      <c r="K978" s="210">
        <v>2023</v>
      </c>
      <c r="L978" s="268" t="str">
        <f t="shared" si="205"/>
        <v>Simple</v>
      </c>
      <c r="M978" s="197">
        <v>5135700</v>
      </c>
      <c r="N978" s="197">
        <v>0</v>
      </c>
      <c r="O978" s="257">
        <f>IF(ISNA(MATCH(H978,'Operating leases'!$B$32:$B$43,0)),0,INDEX('Operating leases'!$M$32:$S$43,MATCH(H978,'Operating leases'!$B$32:$B$43,0),MATCH(J978,'Operating leases'!$M$11:$S$11,0)))</f>
        <v>0</v>
      </c>
      <c r="P978" s="257">
        <f t="shared" si="206"/>
        <v>5135700</v>
      </c>
      <c r="Q978" s="257">
        <f t="shared" si="207"/>
        <v>5135700</v>
      </c>
      <c r="R978" s="258">
        <f>INDEX('Escalators '!$M$124:$S$129,MATCH(I978,'Escalators '!$B$124:$B$129,0),MATCH(J978,'Escalators '!$M$113:$S$113,0))</f>
        <v>1.0553567720906862</v>
      </c>
      <c r="S978" s="257">
        <f t="shared" si="208"/>
        <v>0</v>
      </c>
      <c r="T978" s="257">
        <f t="shared" si="209"/>
        <v>0</v>
      </c>
      <c r="U978" s="269">
        <f t="shared" si="210"/>
        <v>5419995.7744261371</v>
      </c>
      <c r="V978" s="269">
        <f t="shared" si="211"/>
        <v>5419995.7744261371</v>
      </c>
      <c r="W978" s="269">
        <f t="shared" si="212"/>
        <v>5419995.7744261371</v>
      </c>
      <c r="X978" s="257">
        <f t="shared" si="213"/>
        <v>5419995.7744261371</v>
      </c>
      <c r="Y978" s="270">
        <f>IF(L978="Complex",(INDEX('Escalators '!$M$176:$S$176,MATCH('Forecast capex'!J978,'Escalators '!$M$178:$S$178,0))/12+1)^((K978-J978)*12)-1,0)</f>
        <v>0</v>
      </c>
      <c r="Z978" s="257">
        <f t="shared" si="214"/>
        <v>0</v>
      </c>
      <c r="AA978" s="257">
        <f t="shared" si="215"/>
        <v>0</v>
      </c>
      <c r="AB978" s="269">
        <f t="shared" si="216"/>
        <v>0</v>
      </c>
      <c r="AC978" s="269">
        <f t="shared" si="217"/>
        <v>0</v>
      </c>
      <c r="AD978" s="271" t="str">
        <f>INDEX('Global inputs'!$C$134:$C$171,MATCH(F978,'Global inputs'!$B$134:$B$171,0))</f>
        <v>Asset replacement and renewal</v>
      </c>
      <c r="AE978" s="272">
        <f>IF(OR(H978='Operating leases'!$B$32,H978='Operating leases'!$B$33),"",INDEX('Global inputs'!$C$186:$C$243,MATCH(E978,'Global inputs'!$B$186:$B$243,0)))</f>
        <v>0.08</v>
      </c>
    </row>
    <row r="979" spans="1:31" s="27" customFormat="1" x14ac:dyDescent="0.2">
      <c r="A979" s="250"/>
      <c r="B979" s="210" t="s">
        <v>742</v>
      </c>
      <c r="C979" s="210" t="s">
        <v>287</v>
      </c>
      <c r="D979" s="210" t="s">
        <v>715</v>
      </c>
      <c r="E979" s="210" t="s">
        <v>150</v>
      </c>
      <c r="F979" s="210" t="s">
        <v>99</v>
      </c>
      <c r="G979" s="210" t="s">
        <v>716</v>
      </c>
      <c r="H979" s="197">
        <v>0</v>
      </c>
      <c r="I979" s="210" t="s">
        <v>221</v>
      </c>
      <c r="J979" s="210">
        <v>2023</v>
      </c>
      <c r="K979" s="210">
        <v>2023</v>
      </c>
      <c r="L979" s="268" t="str">
        <f t="shared" si="205"/>
        <v>Simple</v>
      </c>
      <c r="M979" s="197">
        <v>5135700</v>
      </c>
      <c r="N979" s="197">
        <v>0</v>
      </c>
      <c r="O979" s="257">
        <f>IF(ISNA(MATCH(H979,'Operating leases'!$B$32:$B$43,0)),0,INDEX('Operating leases'!$M$32:$S$43,MATCH(H979,'Operating leases'!$B$32:$B$43,0),MATCH(J979,'Operating leases'!$M$11:$S$11,0)))</f>
        <v>0</v>
      </c>
      <c r="P979" s="257">
        <f t="shared" si="206"/>
        <v>5135700</v>
      </c>
      <c r="Q979" s="257">
        <f t="shared" si="207"/>
        <v>5135700</v>
      </c>
      <c r="R979" s="258">
        <f>INDEX('Escalators '!$M$124:$S$129,MATCH(I979,'Escalators '!$B$124:$B$129,0),MATCH(J979,'Escalators '!$M$113:$S$113,0))</f>
        <v>1.0486791854231625</v>
      </c>
      <c r="S979" s="257">
        <f t="shared" si="208"/>
        <v>0</v>
      </c>
      <c r="T979" s="257">
        <f t="shared" si="209"/>
        <v>0</v>
      </c>
      <c r="U979" s="269">
        <f t="shared" si="210"/>
        <v>5385701.6925777355</v>
      </c>
      <c r="V979" s="269">
        <f t="shared" si="211"/>
        <v>5385701.6925777355</v>
      </c>
      <c r="W979" s="269">
        <f t="shared" si="212"/>
        <v>5385701.6925777355</v>
      </c>
      <c r="X979" s="257">
        <f t="shared" si="213"/>
        <v>5385701.6925777355</v>
      </c>
      <c r="Y979" s="270">
        <f>IF(L979="Complex",(INDEX('Escalators '!$M$176:$S$176,MATCH('Forecast capex'!J979,'Escalators '!$M$178:$S$178,0))/12+1)^((K979-J979)*12)-1,0)</f>
        <v>0</v>
      </c>
      <c r="Z979" s="257">
        <f t="shared" si="214"/>
        <v>0</v>
      </c>
      <c r="AA979" s="257">
        <f t="shared" si="215"/>
        <v>0</v>
      </c>
      <c r="AB979" s="269">
        <f t="shared" si="216"/>
        <v>0</v>
      </c>
      <c r="AC979" s="269">
        <f t="shared" si="217"/>
        <v>0</v>
      </c>
      <c r="AD979" s="271" t="str">
        <f>INDEX('Global inputs'!$C$134:$C$171,MATCH(F979,'Global inputs'!$B$134:$B$171,0))</f>
        <v>Asset replacement and renewal</v>
      </c>
      <c r="AE979" s="272">
        <f>IF(OR(H979='Operating leases'!$B$32,H979='Operating leases'!$B$33),"",INDEX('Global inputs'!$C$186:$C$243,MATCH(E979,'Global inputs'!$B$186:$B$243,0)))</f>
        <v>0.08</v>
      </c>
    </row>
    <row r="980" spans="1:31" s="27" customFormat="1" x14ac:dyDescent="0.2">
      <c r="A980" s="250"/>
      <c r="B980" s="210" t="s">
        <v>742</v>
      </c>
      <c r="C980" s="210" t="s">
        <v>287</v>
      </c>
      <c r="D980" s="210" t="s">
        <v>715</v>
      </c>
      <c r="E980" s="210" t="s">
        <v>150</v>
      </c>
      <c r="F980" s="210" t="s">
        <v>101</v>
      </c>
      <c r="G980" s="210" t="s">
        <v>717</v>
      </c>
      <c r="H980" s="197">
        <v>0</v>
      </c>
      <c r="I980" s="210" t="s">
        <v>229</v>
      </c>
      <c r="J980" s="210">
        <v>2023</v>
      </c>
      <c r="K980" s="210">
        <v>2023</v>
      </c>
      <c r="L980" s="268" t="str">
        <f t="shared" si="205"/>
        <v>Simple</v>
      </c>
      <c r="M980" s="197">
        <v>4124562.75</v>
      </c>
      <c r="N980" s="197">
        <v>0</v>
      </c>
      <c r="O980" s="257">
        <f>IF(ISNA(MATCH(H980,'Operating leases'!$B$32:$B$43,0)),0,INDEX('Operating leases'!$M$32:$S$43,MATCH(H980,'Operating leases'!$B$32:$B$43,0),MATCH(J980,'Operating leases'!$M$11:$S$11,0)))</f>
        <v>0</v>
      </c>
      <c r="P980" s="257">
        <f t="shared" si="206"/>
        <v>4124562.75</v>
      </c>
      <c r="Q980" s="257">
        <f t="shared" si="207"/>
        <v>4124562.75</v>
      </c>
      <c r="R980" s="258">
        <f>INDEX('Escalators '!$M$124:$S$129,MATCH(I980,'Escalators '!$B$124:$B$129,0),MATCH(J980,'Escalators '!$M$113:$S$113,0))</f>
        <v>1.0553567720906862</v>
      </c>
      <c r="S980" s="257">
        <f t="shared" si="208"/>
        <v>0</v>
      </c>
      <c r="T980" s="257">
        <f t="shared" si="209"/>
        <v>0</v>
      </c>
      <c r="U980" s="269">
        <f t="shared" si="210"/>
        <v>4352885.2301254841</v>
      </c>
      <c r="V980" s="269">
        <f t="shared" si="211"/>
        <v>4352885.2301254841</v>
      </c>
      <c r="W980" s="269">
        <f t="shared" si="212"/>
        <v>4352885.2301254841</v>
      </c>
      <c r="X980" s="257">
        <f t="shared" si="213"/>
        <v>4352885.2301254841</v>
      </c>
      <c r="Y980" s="270">
        <f>IF(L980="Complex",(INDEX('Escalators '!$M$176:$S$176,MATCH('Forecast capex'!J980,'Escalators '!$M$178:$S$178,0))/12+1)^((K980-J980)*12)-1,0)</f>
        <v>0</v>
      </c>
      <c r="Z980" s="257">
        <f t="shared" si="214"/>
        <v>0</v>
      </c>
      <c r="AA980" s="257">
        <f t="shared" si="215"/>
        <v>0</v>
      </c>
      <c r="AB980" s="269">
        <f t="shared" si="216"/>
        <v>0</v>
      </c>
      <c r="AC980" s="269">
        <f t="shared" si="217"/>
        <v>0</v>
      </c>
      <c r="AD980" s="271" t="str">
        <f>INDEX('Global inputs'!$C$134:$C$171,MATCH(F980,'Global inputs'!$B$134:$B$171,0))</f>
        <v>Asset replacement and renewal</v>
      </c>
      <c r="AE980" s="272">
        <f>IF(OR(H980='Operating leases'!$B$32,H980='Operating leases'!$B$33),"",INDEX('Global inputs'!$C$186:$C$243,MATCH(E980,'Global inputs'!$B$186:$B$243,0)))</f>
        <v>0.08</v>
      </c>
    </row>
    <row r="981" spans="1:31" s="27" customFormat="1" x14ac:dyDescent="0.2">
      <c r="A981" s="250"/>
      <c r="B981" s="210" t="s">
        <v>742</v>
      </c>
      <c r="C981" s="210" t="s">
        <v>287</v>
      </c>
      <c r="D981" s="210" t="s">
        <v>715</v>
      </c>
      <c r="E981" s="210" t="s">
        <v>150</v>
      </c>
      <c r="F981" s="210" t="s">
        <v>101</v>
      </c>
      <c r="G981" s="210" t="s">
        <v>717</v>
      </c>
      <c r="H981" s="197">
        <v>0</v>
      </c>
      <c r="I981" s="210" t="s">
        <v>221</v>
      </c>
      <c r="J981" s="210">
        <v>2023</v>
      </c>
      <c r="K981" s="210">
        <v>2023</v>
      </c>
      <c r="L981" s="268" t="str">
        <f t="shared" si="205"/>
        <v>Simple</v>
      </c>
      <c r="M981" s="197">
        <v>4124562.75</v>
      </c>
      <c r="N981" s="197">
        <v>0</v>
      </c>
      <c r="O981" s="257">
        <f>IF(ISNA(MATCH(H981,'Operating leases'!$B$32:$B$43,0)),0,INDEX('Operating leases'!$M$32:$S$43,MATCH(H981,'Operating leases'!$B$32:$B$43,0),MATCH(J981,'Operating leases'!$M$11:$S$11,0)))</f>
        <v>0</v>
      </c>
      <c r="P981" s="257">
        <f t="shared" si="206"/>
        <v>4124562.75</v>
      </c>
      <c r="Q981" s="257">
        <f t="shared" si="207"/>
        <v>4124562.75</v>
      </c>
      <c r="R981" s="258">
        <f>INDEX('Escalators '!$M$124:$S$129,MATCH(I981,'Escalators '!$B$124:$B$129,0),MATCH(J981,'Escalators '!$M$113:$S$113,0))</f>
        <v>1.0486791854231625</v>
      </c>
      <c r="S981" s="257">
        <f t="shared" si="208"/>
        <v>0</v>
      </c>
      <c r="T981" s="257">
        <f t="shared" si="209"/>
        <v>0</v>
      </c>
      <c r="U981" s="269">
        <f t="shared" si="210"/>
        <v>4325343.1048967196</v>
      </c>
      <c r="V981" s="269">
        <f t="shared" si="211"/>
        <v>4325343.1048967196</v>
      </c>
      <c r="W981" s="269">
        <f t="shared" si="212"/>
        <v>4325343.1048967196</v>
      </c>
      <c r="X981" s="257">
        <f t="shared" si="213"/>
        <v>4325343.1048967196</v>
      </c>
      <c r="Y981" s="270">
        <f>IF(L981="Complex",(INDEX('Escalators '!$M$176:$S$176,MATCH('Forecast capex'!J981,'Escalators '!$M$178:$S$178,0))/12+1)^((K981-J981)*12)-1,0)</f>
        <v>0</v>
      </c>
      <c r="Z981" s="257">
        <f t="shared" si="214"/>
        <v>0</v>
      </c>
      <c r="AA981" s="257">
        <f t="shared" si="215"/>
        <v>0</v>
      </c>
      <c r="AB981" s="269">
        <f t="shared" si="216"/>
        <v>0</v>
      </c>
      <c r="AC981" s="269">
        <f t="shared" si="217"/>
        <v>0</v>
      </c>
      <c r="AD981" s="271" t="str">
        <f>INDEX('Global inputs'!$C$134:$C$171,MATCH(F981,'Global inputs'!$B$134:$B$171,0))</f>
        <v>Asset replacement and renewal</v>
      </c>
      <c r="AE981" s="272">
        <f>IF(OR(H981='Operating leases'!$B$32,H981='Operating leases'!$B$33),"",INDEX('Global inputs'!$C$186:$C$243,MATCH(E981,'Global inputs'!$B$186:$B$243,0)))</f>
        <v>0.08</v>
      </c>
    </row>
    <row r="982" spans="1:31" s="27" customFormat="1" x14ac:dyDescent="0.2">
      <c r="A982" s="250"/>
      <c r="B982" s="210" t="s">
        <v>742</v>
      </c>
      <c r="C982" s="210" t="s">
        <v>287</v>
      </c>
      <c r="D982" s="210" t="s">
        <v>729</v>
      </c>
      <c r="E982" s="210" t="s">
        <v>150</v>
      </c>
      <c r="F982" s="210" t="s">
        <v>103</v>
      </c>
      <c r="G982" s="210" t="s">
        <v>731</v>
      </c>
      <c r="H982" s="197">
        <v>0</v>
      </c>
      <c r="I982" s="210" t="s">
        <v>225</v>
      </c>
      <c r="J982" s="210">
        <v>2023</v>
      </c>
      <c r="K982" s="210">
        <v>2023</v>
      </c>
      <c r="L982" s="268" t="str">
        <f t="shared" si="205"/>
        <v>Simple</v>
      </c>
      <c r="M982" s="197">
        <v>1052220</v>
      </c>
      <c r="N982" s="197">
        <v>0</v>
      </c>
      <c r="O982" s="257">
        <f>IF(ISNA(MATCH(H982,'Operating leases'!$B$32:$B$43,0)),0,INDEX('Operating leases'!$M$32:$S$43,MATCH(H982,'Operating leases'!$B$32:$B$43,0),MATCH(J982,'Operating leases'!$M$11:$S$11,0)))</f>
        <v>0</v>
      </c>
      <c r="P982" s="257">
        <f t="shared" si="206"/>
        <v>1052220</v>
      </c>
      <c r="Q982" s="257">
        <f t="shared" si="207"/>
        <v>1052220</v>
      </c>
      <c r="R982" s="258">
        <f>INDEX('Escalators '!$M$124:$S$129,MATCH(I982,'Escalators '!$B$124:$B$129,0),MATCH(J982,'Escalators '!$M$113:$S$113,0))</f>
        <v>1.0700187037302984</v>
      </c>
      <c r="S982" s="257">
        <f t="shared" si="208"/>
        <v>0</v>
      </c>
      <c r="T982" s="257">
        <f t="shared" si="209"/>
        <v>0</v>
      </c>
      <c r="U982" s="269">
        <f t="shared" si="210"/>
        <v>1125895.0804390947</v>
      </c>
      <c r="V982" s="269">
        <f t="shared" si="211"/>
        <v>1125895.0804390947</v>
      </c>
      <c r="W982" s="269">
        <f t="shared" si="212"/>
        <v>1125895.0804390947</v>
      </c>
      <c r="X982" s="257">
        <f t="shared" si="213"/>
        <v>1125895.0804390947</v>
      </c>
      <c r="Y982" s="270">
        <f>IF(L982="Complex",(INDEX('Escalators '!$M$176:$S$176,MATCH('Forecast capex'!J982,'Escalators '!$M$178:$S$178,0))/12+1)^((K982-J982)*12)-1,0)</f>
        <v>0</v>
      </c>
      <c r="Z982" s="257">
        <f t="shared" si="214"/>
        <v>0</v>
      </c>
      <c r="AA982" s="257">
        <f t="shared" si="215"/>
        <v>0</v>
      </c>
      <c r="AB982" s="269">
        <f t="shared" si="216"/>
        <v>0</v>
      </c>
      <c r="AC982" s="269">
        <f t="shared" si="217"/>
        <v>0</v>
      </c>
      <c r="AD982" s="271" t="str">
        <f>INDEX('Global inputs'!$C$134:$C$171,MATCH(F982,'Global inputs'!$B$134:$B$171,0))</f>
        <v>Asset replacement and renewal</v>
      </c>
      <c r="AE982" s="272">
        <f>IF(OR(H982='Operating leases'!$B$32,H982='Operating leases'!$B$33),"",INDEX('Global inputs'!$C$186:$C$243,MATCH(E982,'Global inputs'!$B$186:$B$243,0)))</f>
        <v>0.08</v>
      </c>
    </row>
    <row r="983" spans="1:31" s="27" customFormat="1" x14ac:dyDescent="0.2">
      <c r="A983" s="250"/>
      <c r="B983" s="210" t="s">
        <v>742</v>
      </c>
      <c r="C983" s="210" t="s">
        <v>287</v>
      </c>
      <c r="D983" s="210" t="s">
        <v>729</v>
      </c>
      <c r="E983" s="210" t="s">
        <v>150</v>
      </c>
      <c r="F983" s="210" t="s">
        <v>103</v>
      </c>
      <c r="G983" s="210" t="s">
        <v>731</v>
      </c>
      <c r="H983" s="197">
        <v>0</v>
      </c>
      <c r="I983" s="210" t="s">
        <v>221</v>
      </c>
      <c r="J983" s="210">
        <v>2023</v>
      </c>
      <c r="K983" s="210">
        <v>2023</v>
      </c>
      <c r="L983" s="268" t="str">
        <f t="shared" si="205"/>
        <v>Simple</v>
      </c>
      <c r="M983" s="197">
        <v>4208880</v>
      </c>
      <c r="N983" s="197">
        <v>0</v>
      </c>
      <c r="O983" s="257">
        <f>IF(ISNA(MATCH(H983,'Operating leases'!$B$32:$B$43,0)),0,INDEX('Operating leases'!$M$32:$S$43,MATCH(H983,'Operating leases'!$B$32:$B$43,0),MATCH(J983,'Operating leases'!$M$11:$S$11,0)))</f>
        <v>0</v>
      </c>
      <c r="P983" s="257">
        <f t="shared" si="206"/>
        <v>4208880</v>
      </c>
      <c r="Q983" s="257">
        <f t="shared" si="207"/>
        <v>4208880</v>
      </c>
      <c r="R983" s="258">
        <f>INDEX('Escalators '!$M$124:$S$129,MATCH(I983,'Escalators '!$B$124:$B$129,0),MATCH(J983,'Escalators '!$M$113:$S$113,0))</f>
        <v>1.0486791854231625</v>
      </c>
      <c r="S983" s="257">
        <f t="shared" si="208"/>
        <v>0</v>
      </c>
      <c r="T983" s="257">
        <f t="shared" si="209"/>
        <v>0</v>
      </c>
      <c r="U983" s="269">
        <f t="shared" si="210"/>
        <v>4413764.8499438399</v>
      </c>
      <c r="V983" s="269">
        <f t="shared" si="211"/>
        <v>4413764.8499438399</v>
      </c>
      <c r="W983" s="269">
        <f t="shared" si="212"/>
        <v>4413764.8499438399</v>
      </c>
      <c r="X983" s="257">
        <f t="shared" si="213"/>
        <v>4413764.8499438399</v>
      </c>
      <c r="Y983" s="270">
        <f>IF(L983="Complex",(INDEX('Escalators '!$M$176:$S$176,MATCH('Forecast capex'!J983,'Escalators '!$M$178:$S$178,0))/12+1)^((K983-J983)*12)-1,0)</f>
        <v>0</v>
      </c>
      <c r="Z983" s="257">
        <f t="shared" si="214"/>
        <v>0</v>
      </c>
      <c r="AA983" s="257">
        <f t="shared" si="215"/>
        <v>0</v>
      </c>
      <c r="AB983" s="269">
        <f t="shared" si="216"/>
        <v>0</v>
      </c>
      <c r="AC983" s="269">
        <f t="shared" si="217"/>
        <v>0</v>
      </c>
      <c r="AD983" s="271" t="str">
        <f>INDEX('Global inputs'!$C$134:$C$171,MATCH(F983,'Global inputs'!$B$134:$B$171,0))</f>
        <v>Asset replacement and renewal</v>
      </c>
      <c r="AE983" s="272">
        <f>IF(OR(H983='Operating leases'!$B$32,H983='Operating leases'!$B$33),"",INDEX('Global inputs'!$C$186:$C$243,MATCH(E983,'Global inputs'!$B$186:$B$243,0)))</f>
        <v>0.08</v>
      </c>
    </row>
    <row r="984" spans="1:31" s="27" customFormat="1" x14ac:dyDescent="0.2">
      <c r="A984" s="250"/>
      <c r="B984" s="210" t="s">
        <v>742</v>
      </c>
      <c r="C984" s="210" t="s">
        <v>287</v>
      </c>
      <c r="D984" s="210" t="s">
        <v>729</v>
      </c>
      <c r="E984" s="210" t="s">
        <v>150</v>
      </c>
      <c r="F984" s="210" t="s">
        <v>104</v>
      </c>
      <c r="G984" s="210" t="s">
        <v>731</v>
      </c>
      <c r="H984" s="197">
        <v>0</v>
      </c>
      <c r="I984" s="210" t="s">
        <v>225</v>
      </c>
      <c r="J984" s="210">
        <v>2023</v>
      </c>
      <c r="K984" s="210">
        <v>2023</v>
      </c>
      <c r="L984" s="268" t="str">
        <f t="shared" si="205"/>
        <v>Simple</v>
      </c>
      <c r="M984" s="197">
        <v>780444</v>
      </c>
      <c r="N984" s="197">
        <v>0</v>
      </c>
      <c r="O984" s="257">
        <f>IF(ISNA(MATCH(H984,'Operating leases'!$B$32:$B$43,0)),0,INDEX('Operating leases'!$M$32:$S$43,MATCH(H984,'Operating leases'!$B$32:$B$43,0),MATCH(J984,'Operating leases'!$M$11:$S$11,0)))</f>
        <v>0</v>
      </c>
      <c r="P984" s="257">
        <f t="shared" si="206"/>
        <v>780444</v>
      </c>
      <c r="Q984" s="257">
        <f t="shared" si="207"/>
        <v>780444</v>
      </c>
      <c r="R984" s="258">
        <f>INDEX('Escalators '!$M$124:$S$129,MATCH(I984,'Escalators '!$B$124:$B$129,0),MATCH(J984,'Escalators '!$M$113:$S$113,0))</f>
        <v>1.0700187037302984</v>
      </c>
      <c r="S984" s="257">
        <f t="shared" si="208"/>
        <v>0</v>
      </c>
      <c r="T984" s="257">
        <f t="shared" si="209"/>
        <v>0</v>
      </c>
      <c r="U984" s="269">
        <f t="shared" si="210"/>
        <v>835089.67721408897</v>
      </c>
      <c r="V984" s="269">
        <f t="shared" si="211"/>
        <v>835089.67721408897</v>
      </c>
      <c r="W984" s="269">
        <f t="shared" si="212"/>
        <v>835089.67721408897</v>
      </c>
      <c r="X984" s="257">
        <f t="shared" si="213"/>
        <v>835089.67721408897</v>
      </c>
      <c r="Y984" s="270">
        <f>IF(L984="Complex",(INDEX('Escalators '!$M$176:$S$176,MATCH('Forecast capex'!J984,'Escalators '!$M$178:$S$178,0))/12+1)^((K984-J984)*12)-1,0)</f>
        <v>0</v>
      </c>
      <c r="Z984" s="257">
        <f t="shared" si="214"/>
        <v>0</v>
      </c>
      <c r="AA984" s="257">
        <f t="shared" si="215"/>
        <v>0</v>
      </c>
      <c r="AB984" s="269">
        <f t="shared" si="216"/>
        <v>0</v>
      </c>
      <c r="AC984" s="269">
        <f t="shared" si="217"/>
        <v>0</v>
      </c>
      <c r="AD984" s="271" t="str">
        <f>INDEX('Global inputs'!$C$134:$C$171,MATCH(F984,'Global inputs'!$B$134:$B$171,0))</f>
        <v>Asset replacement and renewal</v>
      </c>
      <c r="AE984" s="272">
        <f>IF(OR(H984='Operating leases'!$B$32,H984='Operating leases'!$B$33),"",INDEX('Global inputs'!$C$186:$C$243,MATCH(E984,'Global inputs'!$B$186:$B$243,0)))</f>
        <v>0.08</v>
      </c>
    </row>
    <row r="985" spans="1:31" s="27" customFormat="1" x14ac:dyDescent="0.2">
      <c r="A985" s="250"/>
      <c r="B985" s="210" t="s">
        <v>742</v>
      </c>
      <c r="C985" s="210" t="s">
        <v>287</v>
      </c>
      <c r="D985" s="210" t="s">
        <v>729</v>
      </c>
      <c r="E985" s="210" t="s">
        <v>150</v>
      </c>
      <c r="F985" s="210" t="s">
        <v>104</v>
      </c>
      <c r="G985" s="210" t="s">
        <v>731</v>
      </c>
      <c r="H985" s="197">
        <v>0</v>
      </c>
      <c r="I985" s="210" t="s">
        <v>221</v>
      </c>
      <c r="J985" s="210">
        <v>2023</v>
      </c>
      <c r="K985" s="210">
        <v>2023</v>
      </c>
      <c r="L985" s="268" t="str">
        <f t="shared" si="205"/>
        <v>Simple</v>
      </c>
      <c r="M985" s="197">
        <v>3121776</v>
      </c>
      <c r="N985" s="197">
        <v>0</v>
      </c>
      <c r="O985" s="257">
        <f>IF(ISNA(MATCH(H985,'Operating leases'!$B$32:$B$43,0)),0,INDEX('Operating leases'!$M$32:$S$43,MATCH(H985,'Operating leases'!$B$32:$B$43,0),MATCH(J985,'Operating leases'!$M$11:$S$11,0)))</f>
        <v>0</v>
      </c>
      <c r="P985" s="257">
        <f t="shared" si="206"/>
        <v>3121776</v>
      </c>
      <c r="Q985" s="257">
        <f t="shared" si="207"/>
        <v>3121776</v>
      </c>
      <c r="R985" s="258">
        <f>INDEX('Escalators '!$M$124:$S$129,MATCH(I985,'Escalators '!$B$124:$B$129,0),MATCH(J985,'Escalators '!$M$113:$S$113,0))</f>
        <v>1.0486791854231625</v>
      </c>
      <c r="S985" s="257">
        <f t="shared" si="208"/>
        <v>0</v>
      </c>
      <c r="T985" s="257">
        <f t="shared" si="209"/>
        <v>0</v>
      </c>
      <c r="U985" s="269">
        <f t="shared" si="210"/>
        <v>3273741.5127535784</v>
      </c>
      <c r="V985" s="269">
        <f t="shared" si="211"/>
        <v>3273741.5127535784</v>
      </c>
      <c r="W985" s="269">
        <f t="shared" si="212"/>
        <v>3273741.5127535784</v>
      </c>
      <c r="X985" s="257">
        <f t="shared" si="213"/>
        <v>3273741.5127535784</v>
      </c>
      <c r="Y985" s="270">
        <f>IF(L985="Complex",(INDEX('Escalators '!$M$176:$S$176,MATCH('Forecast capex'!J985,'Escalators '!$M$178:$S$178,0))/12+1)^((K985-J985)*12)-1,0)</f>
        <v>0</v>
      </c>
      <c r="Z985" s="257">
        <f t="shared" si="214"/>
        <v>0</v>
      </c>
      <c r="AA985" s="257">
        <f t="shared" si="215"/>
        <v>0</v>
      </c>
      <c r="AB985" s="269">
        <f t="shared" si="216"/>
        <v>0</v>
      </c>
      <c r="AC985" s="269">
        <f t="shared" si="217"/>
        <v>0</v>
      </c>
      <c r="AD985" s="271" t="str">
        <f>INDEX('Global inputs'!$C$134:$C$171,MATCH(F985,'Global inputs'!$B$134:$B$171,0))</f>
        <v>Asset replacement and renewal</v>
      </c>
      <c r="AE985" s="272">
        <f>IF(OR(H985='Operating leases'!$B$32,H985='Operating leases'!$B$33),"",INDEX('Global inputs'!$C$186:$C$243,MATCH(E985,'Global inputs'!$B$186:$B$243,0)))</f>
        <v>0.08</v>
      </c>
    </row>
    <row r="986" spans="1:31" s="27" customFormat="1" x14ac:dyDescent="0.2">
      <c r="A986" s="250"/>
      <c r="B986" s="210" t="s">
        <v>742</v>
      </c>
      <c r="C986" s="210" t="s">
        <v>290</v>
      </c>
      <c r="D986" s="210" t="s">
        <v>718</v>
      </c>
      <c r="E986" s="210" t="s">
        <v>173</v>
      </c>
      <c r="F986" s="210" t="s">
        <v>109</v>
      </c>
      <c r="G986" s="210" t="s">
        <v>719</v>
      </c>
      <c r="H986" s="197">
        <v>0</v>
      </c>
      <c r="I986" s="210" t="s">
        <v>142</v>
      </c>
      <c r="J986" s="210">
        <v>2023</v>
      </c>
      <c r="K986" s="210">
        <v>2023</v>
      </c>
      <c r="L986" s="268" t="str">
        <f t="shared" si="205"/>
        <v>Simple</v>
      </c>
      <c r="M986" s="197">
        <v>2451000</v>
      </c>
      <c r="N986" s="197">
        <v>0</v>
      </c>
      <c r="O986" s="257">
        <f>IF(ISNA(MATCH(H986,'Operating leases'!$B$32:$B$43,0)),0,INDEX('Operating leases'!$M$32:$S$43,MATCH(H986,'Operating leases'!$B$32:$B$43,0),MATCH(J986,'Operating leases'!$M$11:$S$11,0)))</f>
        <v>0</v>
      </c>
      <c r="P986" s="257">
        <f t="shared" si="206"/>
        <v>2451000</v>
      </c>
      <c r="Q986" s="257">
        <f t="shared" si="207"/>
        <v>2451000</v>
      </c>
      <c r="R986" s="258">
        <f>INDEX('Escalators '!$M$124:$S$129,MATCH(I986,'Escalators '!$B$124:$B$129,0),MATCH(J986,'Escalators '!$M$113:$S$113,0))</f>
        <v>1.0483686625768949</v>
      </c>
      <c r="S986" s="257">
        <f t="shared" si="208"/>
        <v>0</v>
      </c>
      <c r="T986" s="257">
        <f t="shared" si="209"/>
        <v>0</v>
      </c>
      <c r="U986" s="269">
        <f t="shared" si="210"/>
        <v>2569551.5919759693</v>
      </c>
      <c r="V986" s="269">
        <f t="shared" si="211"/>
        <v>2569551.5919759693</v>
      </c>
      <c r="W986" s="269">
        <f t="shared" si="212"/>
        <v>2569551.5919759693</v>
      </c>
      <c r="X986" s="257">
        <f t="shared" si="213"/>
        <v>2569551.5919759693</v>
      </c>
      <c r="Y986" s="270">
        <f>IF(L986="Complex",(INDEX('Escalators '!$M$176:$S$176,MATCH('Forecast capex'!J986,'Escalators '!$M$178:$S$178,0))/12+1)^((K986-J986)*12)-1,0)</f>
        <v>0</v>
      </c>
      <c r="Z986" s="257">
        <f t="shared" si="214"/>
        <v>0</v>
      </c>
      <c r="AA986" s="257">
        <f t="shared" si="215"/>
        <v>0</v>
      </c>
      <c r="AB986" s="269">
        <f t="shared" si="216"/>
        <v>0</v>
      </c>
      <c r="AC986" s="269">
        <f t="shared" si="217"/>
        <v>0</v>
      </c>
      <c r="AD986" s="271" t="str">
        <f>INDEX('Global inputs'!$C$134:$C$171,MATCH(F986,'Global inputs'!$B$134:$B$171,0))</f>
        <v>Asset replacement and renewal</v>
      </c>
      <c r="AE986" s="272">
        <f>IF(OR(H986='Operating leases'!$B$32,H986='Operating leases'!$B$33),"",INDEX('Global inputs'!$C$186:$C$243,MATCH(E986,'Global inputs'!$B$186:$B$243,0)))</f>
        <v>0.08</v>
      </c>
    </row>
    <row r="987" spans="1:31" s="27" customFormat="1" x14ac:dyDescent="0.2">
      <c r="A987" s="250"/>
      <c r="B987" s="210" t="s">
        <v>742</v>
      </c>
      <c r="C987" s="210" t="s">
        <v>290</v>
      </c>
      <c r="D987" s="210" t="s">
        <v>718</v>
      </c>
      <c r="E987" s="210" t="s">
        <v>173</v>
      </c>
      <c r="F987" s="210" t="s">
        <v>109</v>
      </c>
      <c r="G987" s="210" t="s">
        <v>719</v>
      </c>
      <c r="H987" s="197">
        <v>0</v>
      </c>
      <c r="I987" s="210" t="s">
        <v>221</v>
      </c>
      <c r="J987" s="210">
        <v>2023</v>
      </c>
      <c r="K987" s="210">
        <v>2023</v>
      </c>
      <c r="L987" s="268" t="str">
        <f t="shared" si="205"/>
        <v>Simple</v>
      </c>
      <c r="M987" s="197">
        <v>612750</v>
      </c>
      <c r="N987" s="197">
        <v>0</v>
      </c>
      <c r="O987" s="257">
        <f>IF(ISNA(MATCH(H987,'Operating leases'!$B$32:$B$43,0)),0,INDEX('Operating leases'!$M$32:$S$43,MATCH(H987,'Operating leases'!$B$32:$B$43,0),MATCH(J987,'Operating leases'!$M$11:$S$11,0)))</f>
        <v>0</v>
      </c>
      <c r="P987" s="257">
        <f t="shared" si="206"/>
        <v>612750</v>
      </c>
      <c r="Q987" s="257">
        <f t="shared" si="207"/>
        <v>612750</v>
      </c>
      <c r="R987" s="258">
        <f>INDEX('Escalators '!$M$124:$S$129,MATCH(I987,'Escalators '!$B$124:$B$129,0),MATCH(J987,'Escalators '!$M$113:$S$113,0))</f>
        <v>1.0486791854231625</v>
      </c>
      <c r="S987" s="257">
        <f t="shared" si="208"/>
        <v>0</v>
      </c>
      <c r="T987" s="257">
        <f t="shared" si="209"/>
        <v>0</v>
      </c>
      <c r="U987" s="269">
        <f t="shared" si="210"/>
        <v>642578.17086804286</v>
      </c>
      <c r="V987" s="269">
        <f t="shared" si="211"/>
        <v>642578.17086804286</v>
      </c>
      <c r="W987" s="269">
        <f t="shared" si="212"/>
        <v>642578.17086804286</v>
      </c>
      <c r="X987" s="257">
        <f t="shared" si="213"/>
        <v>642578.17086804286</v>
      </c>
      <c r="Y987" s="270">
        <f>IF(L987="Complex",(INDEX('Escalators '!$M$176:$S$176,MATCH('Forecast capex'!J987,'Escalators '!$M$178:$S$178,0))/12+1)^((K987-J987)*12)-1,0)</f>
        <v>0</v>
      </c>
      <c r="Z987" s="257">
        <f t="shared" si="214"/>
        <v>0</v>
      </c>
      <c r="AA987" s="257">
        <f t="shared" si="215"/>
        <v>0</v>
      </c>
      <c r="AB987" s="269">
        <f t="shared" si="216"/>
        <v>0</v>
      </c>
      <c r="AC987" s="269">
        <f t="shared" si="217"/>
        <v>0</v>
      </c>
      <c r="AD987" s="271" t="str">
        <f>INDEX('Global inputs'!$C$134:$C$171,MATCH(F987,'Global inputs'!$B$134:$B$171,0))</f>
        <v>Asset replacement and renewal</v>
      </c>
      <c r="AE987" s="272">
        <f>IF(OR(H987='Operating leases'!$B$32,H987='Operating leases'!$B$33),"",INDEX('Global inputs'!$C$186:$C$243,MATCH(E987,'Global inputs'!$B$186:$B$243,0)))</f>
        <v>0.08</v>
      </c>
    </row>
    <row r="988" spans="1:31" s="27" customFormat="1" x14ac:dyDescent="0.2">
      <c r="A988" s="250"/>
      <c r="B988" s="210" t="s">
        <v>742</v>
      </c>
      <c r="C988" s="210" t="s">
        <v>288</v>
      </c>
      <c r="D988" s="210" t="s">
        <v>718</v>
      </c>
      <c r="E988" s="210" t="s">
        <v>160</v>
      </c>
      <c r="F988" s="210" t="s">
        <v>112</v>
      </c>
      <c r="G988" s="210" t="s">
        <v>722</v>
      </c>
      <c r="H988" s="197">
        <v>0</v>
      </c>
      <c r="I988" s="210" t="s">
        <v>229</v>
      </c>
      <c r="J988" s="210">
        <v>2023</v>
      </c>
      <c r="K988" s="210">
        <v>2023</v>
      </c>
      <c r="L988" s="268" t="str">
        <f t="shared" si="205"/>
        <v>Simple</v>
      </c>
      <c r="M988" s="197">
        <v>592450</v>
      </c>
      <c r="N988" s="197">
        <v>0</v>
      </c>
      <c r="O988" s="257">
        <f>IF(ISNA(MATCH(H988,'Operating leases'!$B$32:$B$43,0)),0,INDEX('Operating leases'!$M$32:$S$43,MATCH(H988,'Operating leases'!$B$32:$B$43,0),MATCH(J988,'Operating leases'!$M$11:$S$11,0)))</f>
        <v>0</v>
      </c>
      <c r="P988" s="257">
        <f t="shared" si="206"/>
        <v>592450</v>
      </c>
      <c r="Q988" s="257">
        <f t="shared" si="207"/>
        <v>592450</v>
      </c>
      <c r="R988" s="258">
        <f>INDEX('Escalators '!$M$124:$S$129,MATCH(I988,'Escalators '!$B$124:$B$129,0),MATCH(J988,'Escalators '!$M$113:$S$113,0))</f>
        <v>1.0553567720906862</v>
      </c>
      <c r="S988" s="257">
        <f t="shared" si="208"/>
        <v>0</v>
      </c>
      <c r="T988" s="257">
        <f t="shared" si="209"/>
        <v>0</v>
      </c>
      <c r="U988" s="269">
        <f t="shared" si="210"/>
        <v>625246.11962512706</v>
      </c>
      <c r="V988" s="269">
        <f t="shared" si="211"/>
        <v>625246.11962512706</v>
      </c>
      <c r="W988" s="269">
        <f t="shared" si="212"/>
        <v>625246.11962512706</v>
      </c>
      <c r="X988" s="257">
        <f t="shared" si="213"/>
        <v>625246.11962512706</v>
      </c>
      <c r="Y988" s="270">
        <f>IF(L988="Complex",(INDEX('Escalators '!$M$176:$S$176,MATCH('Forecast capex'!J988,'Escalators '!$M$178:$S$178,0))/12+1)^((K988-J988)*12)-1,0)</f>
        <v>0</v>
      </c>
      <c r="Z988" s="257">
        <f t="shared" si="214"/>
        <v>0</v>
      </c>
      <c r="AA988" s="257">
        <f t="shared" si="215"/>
        <v>0</v>
      </c>
      <c r="AB988" s="269">
        <f t="shared" si="216"/>
        <v>0</v>
      </c>
      <c r="AC988" s="269">
        <f t="shared" si="217"/>
        <v>0</v>
      </c>
      <c r="AD988" s="271" t="str">
        <f>INDEX('Global inputs'!$C$134:$C$171,MATCH(F988,'Global inputs'!$B$134:$B$171,0))</f>
        <v>Asset replacement and renewal</v>
      </c>
      <c r="AE988" s="272">
        <f>IF(OR(H988='Operating leases'!$B$32,H988='Operating leases'!$B$33),"",INDEX('Global inputs'!$C$186:$C$243,MATCH(E988,'Global inputs'!$B$186:$B$243,0)))</f>
        <v>0.08</v>
      </c>
    </row>
    <row r="989" spans="1:31" s="27" customFormat="1" x14ac:dyDescent="0.2">
      <c r="A989" s="250"/>
      <c r="B989" s="210" t="s">
        <v>742</v>
      </c>
      <c r="C989" s="210" t="s">
        <v>288</v>
      </c>
      <c r="D989" s="210" t="s">
        <v>718</v>
      </c>
      <c r="E989" s="210" t="s">
        <v>160</v>
      </c>
      <c r="F989" s="210" t="s">
        <v>112</v>
      </c>
      <c r="G989" s="210" t="s">
        <v>722</v>
      </c>
      <c r="H989" s="197">
        <v>0</v>
      </c>
      <c r="I989" s="210" t="s">
        <v>221</v>
      </c>
      <c r="J989" s="210">
        <v>2023</v>
      </c>
      <c r="K989" s="210">
        <v>2023</v>
      </c>
      <c r="L989" s="268" t="str">
        <f t="shared" si="205"/>
        <v>Simple</v>
      </c>
      <c r="M989" s="197">
        <v>592450</v>
      </c>
      <c r="N989" s="197">
        <v>0</v>
      </c>
      <c r="O989" s="257">
        <f>IF(ISNA(MATCH(H989,'Operating leases'!$B$32:$B$43,0)),0,INDEX('Operating leases'!$M$32:$S$43,MATCH(H989,'Operating leases'!$B$32:$B$43,0),MATCH(J989,'Operating leases'!$M$11:$S$11,0)))</f>
        <v>0</v>
      </c>
      <c r="P989" s="257">
        <f t="shared" si="206"/>
        <v>592450</v>
      </c>
      <c r="Q989" s="257">
        <f t="shared" si="207"/>
        <v>592450</v>
      </c>
      <c r="R989" s="258">
        <f>INDEX('Escalators '!$M$124:$S$129,MATCH(I989,'Escalators '!$B$124:$B$129,0),MATCH(J989,'Escalators '!$M$113:$S$113,0))</f>
        <v>1.0486791854231625</v>
      </c>
      <c r="S989" s="257">
        <f t="shared" si="208"/>
        <v>0</v>
      </c>
      <c r="T989" s="257">
        <f t="shared" si="209"/>
        <v>0</v>
      </c>
      <c r="U989" s="269">
        <f t="shared" si="210"/>
        <v>621289.98340395268</v>
      </c>
      <c r="V989" s="269">
        <f t="shared" si="211"/>
        <v>621289.98340395268</v>
      </c>
      <c r="W989" s="269">
        <f t="shared" si="212"/>
        <v>621289.98340395268</v>
      </c>
      <c r="X989" s="257">
        <f t="shared" si="213"/>
        <v>621289.98340395268</v>
      </c>
      <c r="Y989" s="270">
        <f>IF(L989="Complex",(INDEX('Escalators '!$M$176:$S$176,MATCH('Forecast capex'!J989,'Escalators '!$M$178:$S$178,0))/12+1)^((K989-J989)*12)-1,0)</f>
        <v>0</v>
      </c>
      <c r="Z989" s="257">
        <f t="shared" si="214"/>
        <v>0</v>
      </c>
      <c r="AA989" s="257">
        <f t="shared" si="215"/>
        <v>0</v>
      </c>
      <c r="AB989" s="269">
        <f t="shared" si="216"/>
        <v>0</v>
      </c>
      <c r="AC989" s="269">
        <f t="shared" si="217"/>
        <v>0</v>
      </c>
      <c r="AD989" s="271" t="str">
        <f>INDEX('Global inputs'!$C$134:$C$171,MATCH(F989,'Global inputs'!$B$134:$B$171,0))</f>
        <v>Asset replacement and renewal</v>
      </c>
      <c r="AE989" s="272">
        <f>IF(OR(H989='Operating leases'!$B$32,H989='Operating leases'!$B$33),"",INDEX('Global inputs'!$C$186:$C$243,MATCH(E989,'Global inputs'!$B$186:$B$243,0)))</f>
        <v>0.08</v>
      </c>
    </row>
    <row r="990" spans="1:31" s="27" customFormat="1" x14ac:dyDescent="0.2">
      <c r="A990" s="250"/>
      <c r="B990" s="210" t="s">
        <v>742</v>
      </c>
      <c r="C990" s="210" t="s">
        <v>288</v>
      </c>
      <c r="D990" s="210" t="s">
        <v>718</v>
      </c>
      <c r="E990" s="210" t="s">
        <v>161</v>
      </c>
      <c r="F990" s="210" t="s">
        <v>112</v>
      </c>
      <c r="G990" s="210" t="s">
        <v>722</v>
      </c>
      <c r="H990" s="197">
        <v>0</v>
      </c>
      <c r="I990" s="210" t="s">
        <v>229</v>
      </c>
      <c r="J990" s="210">
        <v>2023</v>
      </c>
      <c r="K990" s="210">
        <v>2023</v>
      </c>
      <c r="L990" s="268" t="str">
        <f t="shared" si="205"/>
        <v>Simple</v>
      </c>
      <c r="M990" s="197">
        <v>390000</v>
      </c>
      <c r="N990" s="197">
        <v>0</v>
      </c>
      <c r="O990" s="257">
        <f>IF(ISNA(MATCH(H990,'Operating leases'!$B$32:$B$43,0)),0,INDEX('Operating leases'!$M$32:$S$43,MATCH(H990,'Operating leases'!$B$32:$B$43,0),MATCH(J990,'Operating leases'!$M$11:$S$11,0)))</f>
        <v>0</v>
      </c>
      <c r="P990" s="257">
        <f t="shared" si="206"/>
        <v>390000</v>
      </c>
      <c r="Q990" s="257">
        <f t="shared" si="207"/>
        <v>390000</v>
      </c>
      <c r="R990" s="258">
        <f>INDEX('Escalators '!$M$124:$S$129,MATCH(I990,'Escalators '!$B$124:$B$129,0),MATCH(J990,'Escalators '!$M$113:$S$113,0))</f>
        <v>1.0553567720906862</v>
      </c>
      <c r="S990" s="257">
        <f t="shared" si="208"/>
        <v>0</v>
      </c>
      <c r="T990" s="257">
        <f t="shared" si="209"/>
        <v>0</v>
      </c>
      <c r="U990" s="269">
        <f t="shared" si="210"/>
        <v>411589.14111536765</v>
      </c>
      <c r="V990" s="269">
        <f t="shared" si="211"/>
        <v>411589.14111536765</v>
      </c>
      <c r="W990" s="269">
        <f t="shared" si="212"/>
        <v>411589.14111536765</v>
      </c>
      <c r="X990" s="257">
        <f t="shared" si="213"/>
        <v>411589.14111536765</v>
      </c>
      <c r="Y990" s="270">
        <f>IF(L990="Complex",(INDEX('Escalators '!$M$176:$S$176,MATCH('Forecast capex'!J990,'Escalators '!$M$178:$S$178,0))/12+1)^((K990-J990)*12)-1,0)</f>
        <v>0</v>
      </c>
      <c r="Z990" s="257">
        <f t="shared" si="214"/>
        <v>0</v>
      </c>
      <c r="AA990" s="257">
        <f t="shared" si="215"/>
        <v>0</v>
      </c>
      <c r="AB990" s="269">
        <f t="shared" si="216"/>
        <v>0</v>
      </c>
      <c r="AC990" s="269">
        <f t="shared" si="217"/>
        <v>0</v>
      </c>
      <c r="AD990" s="271" t="str">
        <f>INDEX('Global inputs'!$C$134:$C$171,MATCH(F990,'Global inputs'!$B$134:$B$171,0))</f>
        <v>Asset replacement and renewal</v>
      </c>
      <c r="AE990" s="272">
        <f>IF(OR(H990='Operating leases'!$B$32,H990='Operating leases'!$B$33),"",INDEX('Global inputs'!$C$186:$C$243,MATCH(E990,'Global inputs'!$B$186:$B$243,0)))</f>
        <v>0.08</v>
      </c>
    </row>
    <row r="991" spans="1:31" s="27" customFormat="1" x14ac:dyDescent="0.2">
      <c r="A991" s="250"/>
      <c r="B991" s="210" t="s">
        <v>742</v>
      </c>
      <c r="C991" s="210" t="s">
        <v>288</v>
      </c>
      <c r="D991" s="210" t="s">
        <v>718</v>
      </c>
      <c r="E991" s="210" t="s">
        <v>161</v>
      </c>
      <c r="F991" s="210" t="s">
        <v>112</v>
      </c>
      <c r="G991" s="210" t="s">
        <v>722</v>
      </c>
      <c r="H991" s="197">
        <v>0</v>
      </c>
      <c r="I991" s="210" t="s">
        <v>221</v>
      </c>
      <c r="J991" s="210">
        <v>2023</v>
      </c>
      <c r="K991" s="210">
        <v>2023</v>
      </c>
      <c r="L991" s="268" t="str">
        <f t="shared" si="205"/>
        <v>Simple</v>
      </c>
      <c r="M991" s="197">
        <v>390000</v>
      </c>
      <c r="N991" s="197">
        <v>0</v>
      </c>
      <c r="O991" s="257">
        <f>IF(ISNA(MATCH(H991,'Operating leases'!$B$32:$B$43,0)),0,INDEX('Operating leases'!$M$32:$S$43,MATCH(H991,'Operating leases'!$B$32:$B$43,0),MATCH(J991,'Operating leases'!$M$11:$S$11,0)))</f>
        <v>0</v>
      </c>
      <c r="P991" s="257">
        <f t="shared" si="206"/>
        <v>390000</v>
      </c>
      <c r="Q991" s="257">
        <f t="shared" si="207"/>
        <v>390000</v>
      </c>
      <c r="R991" s="258">
        <f>INDEX('Escalators '!$M$124:$S$129,MATCH(I991,'Escalators '!$B$124:$B$129,0),MATCH(J991,'Escalators '!$M$113:$S$113,0))</f>
        <v>1.0486791854231625</v>
      </c>
      <c r="S991" s="257">
        <f t="shared" si="208"/>
        <v>0</v>
      </c>
      <c r="T991" s="257">
        <f t="shared" si="209"/>
        <v>0</v>
      </c>
      <c r="U991" s="269">
        <f t="shared" si="210"/>
        <v>408984.88231503341</v>
      </c>
      <c r="V991" s="269">
        <f t="shared" si="211"/>
        <v>408984.88231503341</v>
      </c>
      <c r="W991" s="269">
        <f t="shared" si="212"/>
        <v>408984.88231503341</v>
      </c>
      <c r="X991" s="257">
        <f t="shared" si="213"/>
        <v>408984.88231503341</v>
      </c>
      <c r="Y991" s="270">
        <f>IF(L991="Complex",(INDEX('Escalators '!$M$176:$S$176,MATCH('Forecast capex'!J991,'Escalators '!$M$178:$S$178,0))/12+1)^((K991-J991)*12)-1,0)</f>
        <v>0</v>
      </c>
      <c r="Z991" s="257">
        <f t="shared" si="214"/>
        <v>0</v>
      </c>
      <c r="AA991" s="257">
        <f t="shared" si="215"/>
        <v>0</v>
      </c>
      <c r="AB991" s="269">
        <f t="shared" si="216"/>
        <v>0</v>
      </c>
      <c r="AC991" s="269">
        <f t="shared" si="217"/>
        <v>0</v>
      </c>
      <c r="AD991" s="271" t="str">
        <f>INDEX('Global inputs'!$C$134:$C$171,MATCH(F991,'Global inputs'!$B$134:$B$171,0))</f>
        <v>Asset replacement and renewal</v>
      </c>
      <c r="AE991" s="272">
        <f>IF(OR(H991='Operating leases'!$B$32,H991='Operating leases'!$B$33),"",INDEX('Global inputs'!$C$186:$C$243,MATCH(E991,'Global inputs'!$B$186:$B$243,0)))</f>
        <v>0.08</v>
      </c>
    </row>
    <row r="992" spans="1:31" s="27" customFormat="1" x14ac:dyDescent="0.2">
      <c r="A992" s="250"/>
      <c r="B992" s="210" t="s">
        <v>742</v>
      </c>
      <c r="C992" s="210" t="s">
        <v>286</v>
      </c>
      <c r="D992" s="210" t="s">
        <v>735</v>
      </c>
      <c r="E992" s="210" t="s">
        <v>144</v>
      </c>
      <c r="F992" s="210" t="s">
        <v>117</v>
      </c>
      <c r="G992" s="210" t="s">
        <v>736</v>
      </c>
      <c r="H992" s="197">
        <v>0</v>
      </c>
      <c r="I992" s="210" t="s">
        <v>229</v>
      </c>
      <c r="J992" s="210">
        <v>2023</v>
      </c>
      <c r="K992" s="210">
        <v>2023</v>
      </c>
      <c r="L992" s="268" t="str">
        <f t="shared" si="205"/>
        <v>Simple</v>
      </c>
      <c r="M992" s="197">
        <v>448400</v>
      </c>
      <c r="N992" s="197">
        <v>0</v>
      </c>
      <c r="O992" s="257">
        <f>IF(ISNA(MATCH(H992,'Operating leases'!$B$32:$B$43,0)),0,INDEX('Operating leases'!$M$32:$S$43,MATCH(H992,'Operating leases'!$B$32:$B$43,0),MATCH(J992,'Operating leases'!$M$11:$S$11,0)))</f>
        <v>0</v>
      </c>
      <c r="P992" s="257">
        <f t="shared" si="206"/>
        <v>448400</v>
      </c>
      <c r="Q992" s="257">
        <f t="shared" si="207"/>
        <v>448400</v>
      </c>
      <c r="R992" s="258">
        <f>INDEX('Escalators '!$M$124:$S$129,MATCH(I992,'Escalators '!$B$124:$B$129,0),MATCH(J992,'Escalators '!$M$113:$S$113,0))</f>
        <v>1.0553567720906862</v>
      </c>
      <c r="S992" s="257">
        <f t="shared" si="208"/>
        <v>0</v>
      </c>
      <c r="T992" s="257">
        <f t="shared" si="209"/>
        <v>0</v>
      </c>
      <c r="U992" s="269">
        <f t="shared" si="210"/>
        <v>473221.97660546371</v>
      </c>
      <c r="V992" s="269">
        <f t="shared" si="211"/>
        <v>473221.97660546371</v>
      </c>
      <c r="W992" s="269">
        <f t="shared" si="212"/>
        <v>473221.97660546371</v>
      </c>
      <c r="X992" s="257">
        <f t="shared" si="213"/>
        <v>473221.97660546371</v>
      </c>
      <c r="Y992" s="270">
        <f>IF(L992="Complex",(INDEX('Escalators '!$M$176:$S$176,MATCH('Forecast capex'!J992,'Escalators '!$M$178:$S$178,0))/12+1)^((K992-J992)*12)-1,0)</f>
        <v>0</v>
      </c>
      <c r="Z992" s="257">
        <f t="shared" si="214"/>
        <v>0</v>
      </c>
      <c r="AA992" s="257">
        <f t="shared" si="215"/>
        <v>0</v>
      </c>
      <c r="AB992" s="269">
        <f t="shared" si="216"/>
        <v>0</v>
      </c>
      <c r="AC992" s="269">
        <f t="shared" si="217"/>
        <v>0</v>
      </c>
      <c r="AD992" s="271" t="str">
        <f>INDEX('Global inputs'!$C$134:$C$171,MATCH(F992,'Global inputs'!$B$134:$B$171,0))</f>
        <v>Asset replacement and renewal</v>
      </c>
      <c r="AE992" s="272">
        <f>IF(OR(H992='Operating leases'!$B$32,H992='Operating leases'!$B$33),"",INDEX('Global inputs'!$C$186:$C$243,MATCH(E992,'Global inputs'!$B$186:$B$243,0)))</f>
        <v>0.08</v>
      </c>
    </row>
    <row r="993" spans="1:31" s="27" customFormat="1" x14ac:dyDescent="0.2">
      <c r="A993" s="250"/>
      <c r="B993" s="210" t="s">
        <v>742</v>
      </c>
      <c r="C993" s="210" t="s">
        <v>286</v>
      </c>
      <c r="D993" s="210" t="s">
        <v>735</v>
      </c>
      <c r="E993" s="210" t="s">
        <v>144</v>
      </c>
      <c r="F993" s="210" t="s">
        <v>117</v>
      </c>
      <c r="G993" s="210" t="s">
        <v>736</v>
      </c>
      <c r="H993" s="197">
        <v>0</v>
      </c>
      <c r="I993" s="210" t="s">
        <v>221</v>
      </c>
      <c r="J993" s="210">
        <v>2023</v>
      </c>
      <c r="K993" s="210">
        <v>2023</v>
      </c>
      <c r="L993" s="268" t="str">
        <f t="shared" si="205"/>
        <v>Simple</v>
      </c>
      <c r="M993" s="197">
        <v>1793600</v>
      </c>
      <c r="N993" s="197">
        <v>0</v>
      </c>
      <c r="O993" s="257">
        <f>IF(ISNA(MATCH(H993,'Operating leases'!$B$32:$B$43,0)),0,INDEX('Operating leases'!$M$32:$S$43,MATCH(H993,'Operating leases'!$B$32:$B$43,0),MATCH(J993,'Operating leases'!$M$11:$S$11,0)))</f>
        <v>0</v>
      </c>
      <c r="P993" s="257">
        <f t="shared" si="206"/>
        <v>1793600</v>
      </c>
      <c r="Q993" s="257">
        <f t="shared" si="207"/>
        <v>1793600</v>
      </c>
      <c r="R993" s="258">
        <f>INDEX('Escalators '!$M$124:$S$129,MATCH(I993,'Escalators '!$B$124:$B$129,0),MATCH(J993,'Escalators '!$M$113:$S$113,0))</f>
        <v>1.0486791854231625</v>
      </c>
      <c r="S993" s="257">
        <f t="shared" si="208"/>
        <v>0</v>
      </c>
      <c r="T993" s="257">
        <f t="shared" si="209"/>
        <v>0</v>
      </c>
      <c r="U993" s="269">
        <f t="shared" si="210"/>
        <v>1880910.9869749844</v>
      </c>
      <c r="V993" s="269">
        <f t="shared" si="211"/>
        <v>1880910.9869749844</v>
      </c>
      <c r="W993" s="269">
        <f t="shared" si="212"/>
        <v>1880910.9869749844</v>
      </c>
      <c r="X993" s="257">
        <f t="shared" si="213"/>
        <v>1880910.9869749844</v>
      </c>
      <c r="Y993" s="270">
        <f>IF(L993="Complex",(INDEX('Escalators '!$M$176:$S$176,MATCH('Forecast capex'!J993,'Escalators '!$M$178:$S$178,0))/12+1)^((K993-J993)*12)-1,0)</f>
        <v>0</v>
      </c>
      <c r="Z993" s="257">
        <f t="shared" si="214"/>
        <v>0</v>
      </c>
      <c r="AA993" s="257">
        <f t="shared" si="215"/>
        <v>0</v>
      </c>
      <c r="AB993" s="269">
        <f t="shared" si="216"/>
        <v>0</v>
      </c>
      <c r="AC993" s="269">
        <f t="shared" si="217"/>
        <v>0</v>
      </c>
      <c r="AD993" s="271" t="str">
        <f>INDEX('Global inputs'!$C$134:$C$171,MATCH(F993,'Global inputs'!$B$134:$B$171,0))</f>
        <v>Asset replacement and renewal</v>
      </c>
      <c r="AE993" s="272">
        <f>IF(OR(H993='Operating leases'!$B$32,H993='Operating leases'!$B$33),"",INDEX('Global inputs'!$C$186:$C$243,MATCH(E993,'Global inputs'!$B$186:$B$243,0)))</f>
        <v>0.08</v>
      </c>
    </row>
    <row r="994" spans="1:31" s="27" customFormat="1" x14ac:dyDescent="0.2">
      <c r="A994" s="250"/>
      <c r="B994" s="210" t="s">
        <v>738</v>
      </c>
      <c r="C994" s="210" t="s">
        <v>292</v>
      </c>
      <c r="D994" s="210" t="s">
        <v>739</v>
      </c>
      <c r="E994" s="210" t="s">
        <v>181</v>
      </c>
      <c r="F994" s="210" t="s">
        <v>89</v>
      </c>
      <c r="G994" s="210" t="s">
        <v>749</v>
      </c>
      <c r="H994" s="197">
        <v>0</v>
      </c>
      <c r="I994" s="210" t="s">
        <v>229</v>
      </c>
      <c r="J994" s="210">
        <v>2023</v>
      </c>
      <c r="K994" s="210">
        <v>2023</v>
      </c>
      <c r="L994" s="268" t="str">
        <f t="shared" si="205"/>
        <v>Simple</v>
      </c>
      <c r="M994" s="197">
        <v>104500</v>
      </c>
      <c r="N994" s="197">
        <v>0</v>
      </c>
      <c r="O994" s="257">
        <f>IF(ISNA(MATCH(H994,'Operating leases'!$B$32:$B$43,0)),0,INDEX('Operating leases'!$M$32:$S$43,MATCH(H994,'Operating leases'!$B$32:$B$43,0),MATCH(J994,'Operating leases'!$M$11:$S$11,0)))</f>
        <v>0</v>
      </c>
      <c r="P994" s="257">
        <f t="shared" si="206"/>
        <v>104500</v>
      </c>
      <c r="Q994" s="257">
        <f t="shared" si="207"/>
        <v>104500</v>
      </c>
      <c r="R994" s="258">
        <f>INDEX('Escalators '!$M$124:$S$129,MATCH(I994,'Escalators '!$B$124:$B$129,0),MATCH(J994,'Escalators '!$M$113:$S$113,0))</f>
        <v>1.0553567720906862</v>
      </c>
      <c r="S994" s="257">
        <f t="shared" si="208"/>
        <v>0</v>
      </c>
      <c r="T994" s="257">
        <f t="shared" si="209"/>
        <v>0</v>
      </c>
      <c r="U994" s="269">
        <f t="shared" si="210"/>
        <v>110284.78268347672</v>
      </c>
      <c r="V994" s="269">
        <f t="shared" si="211"/>
        <v>110284.78268347672</v>
      </c>
      <c r="W994" s="269">
        <f t="shared" si="212"/>
        <v>110284.78268347672</v>
      </c>
      <c r="X994" s="257">
        <f t="shared" si="213"/>
        <v>110284.78268347672</v>
      </c>
      <c r="Y994" s="270">
        <f>IF(L994="Complex",(INDEX('Escalators '!$M$176:$S$176,MATCH('Forecast capex'!J994,'Escalators '!$M$178:$S$178,0))/12+1)^((K994-J994)*12)-1,0)</f>
        <v>0</v>
      </c>
      <c r="Z994" s="257">
        <f t="shared" si="214"/>
        <v>0</v>
      </c>
      <c r="AA994" s="257">
        <f t="shared" si="215"/>
        <v>0</v>
      </c>
      <c r="AB994" s="269">
        <f t="shared" si="216"/>
        <v>0</v>
      </c>
      <c r="AC994" s="269">
        <f t="shared" si="217"/>
        <v>0</v>
      </c>
      <c r="AD994" s="271" t="str">
        <f>INDEX('Global inputs'!$C$134:$C$171,MATCH(F994,'Global inputs'!$B$134:$B$171,0))</f>
        <v>Non-network CAPEX</v>
      </c>
      <c r="AE994" s="272">
        <f>IF(OR(H994='Operating leases'!$B$32,H994='Operating leases'!$B$33),"",INDEX('Global inputs'!$C$186:$C$243,MATCH(E994,'Global inputs'!$B$186:$B$243,0)))</f>
        <v>0.5</v>
      </c>
    </row>
    <row r="995" spans="1:31" s="27" customFormat="1" x14ac:dyDescent="0.2">
      <c r="A995" s="250"/>
      <c r="B995" s="210" t="s">
        <v>738</v>
      </c>
      <c r="C995" s="210" t="s">
        <v>292</v>
      </c>
      <c r="D995" s="210" t="s">
        <v>739</v>
      </c>
      <c r="E995" s="210" t="s">
        <v>183</v>
      </c>
      <c r="F995" s="210" t="s">
        <v>89</v>
      </c>
      <c r="G995" s="210" t="s">
        <v>750</v>
      </c>
      <c r="H995" s="197">
        <v>0</v>
      </c>
      <c r="I995" s="210" t="s">
        <v>229</v>
      </c>
      <c r="J995" s="210">
        <v>2023</v>
      </c>
      <c r="K995" s="210">
        <v>2023</v>
      </c>
      <c r="L995" s="268" t="str">
        <f t="shared" si="205"/>
        <v>Simple</v>
      </c>
      <c r="M995" s="197">
        <v>1985500</v>
      </c>
      <c r="N995" s="197">
        <v>0</v>
      </c>
      <c r="O995" s="257">
        <f>IF(ISNA(MATCH(H995,'Operating leases'!$B$32:$B$43,0)),0,INDEX('Operating leases'!$M$32:$S$43,MATCH(H995,'Operating leases'!$B$32:$B$43,0),MATCH(J995,'Operating leases'!$M$11:$S$11,0)))</f>
        <v>0</v>
      </c>
      <c r="P995" s="257">
        <f t="shared" si="206"/>
        <v>1985500</v>
      </c>
      <c r="Q995" s="257">
        <f t="shared" si="207"/>
        <v>1985500</v>
      </c>
      <c r="R995" s="258">
        <f>INDEX('Escalators '!$M$124:$S$129,MATCH(I995,'Escalators '!$B$124:$B$129,0),MATCH(J995,'Escalators '!$M$113:$S$113,0))</f>
        <v>1.0553567720906862</v>
      </c>
      <c r="S995" s="257">
        <f t="shared" si="208"/>
        <v>0</v>
      </c>
      <c r="T995" s="257">
        <f t="shared" si="209"/>
        <v>0</v>
      </c>
      <c r="U995" s="269">
        <f t="shared" si="210"/>
        <v>2095410.8709860574</v>
      </c>
      <c r="V995" s="269">
        <f t="shared" si="211"/>
        <v>2095410.8709860574</v>
      </c>
      <c r="W995" s="269">
        <f t="shared" si="212"/>
        <v>2095410.8709860574</v>
      </c>
      <c r="X995" s="257">
        <f t="shared" si="213"/>
        <v>2095410.8709860574</v>
      </c>
      <c r="Y995" s="270">
        <f>IF(L995="Complex",(INDEX('Escalators '!$M$176:$S$176,MATCH('Forecast capex'!J995,'Escalators '!$M$178:$S$178,0))/12+1)^((K995-J995)*12)-1,0)</f>
        <v>0</v>
      </c>
      <c r="Z995" s="257">
        <f t="shared" si="214"/>
        <v>0</v>
      </c>
      <c r="AA995" s="257">
        <f t="shared" si="215"/>
        <v>0</v>
      </c>
      <c r="AB995" s="269">
        <f t="shared" si="216"/>
        <v>0</v>
      </c>
      <c r="AC995" s="269">
        <f t="shared" si="217"/>
        <v>0</v>
      </c>
      <c r="AD995" s="271" t="str">
        <f>INDEX('Global inputs'!$C$134:$C$171,MATCH(F995,'Global inputs'!$B$134:$B$171,0))</f>
        <v>Non-network CAPEX</v>
      </c>
      <c r="AE995" s="272">
        <f>IF(OR(H995='Operating leases'!$B$32,H995='Operating leases'!$B$33),"",INDEX('Global inputs'!$C$186:$C$243,MATCH(E995,'Global inputs'!$B$186:$B$243,0)))</f>
        <v>0.5</v>
      </c>
    </row>
    <row r="996" spans="1:31" s="27" customFormat="1" x14ac:dyDescent="0.2">
      <c r="A996" s="250"/>
      <c r="B996" s="210" t="s">
        <v>738</v>
      </c>
      <c r="C996" s="210" t="s">
        <v>292</v>
      </c>
      <c r="D996" s="210" t="s">
        <v>739</v>
      </c>
      <c r="E996" s="210" t="s">
        <v>186</v>
      </c>
      <c r="F996" s="210" t="s">
        <v>89</v>
      </c>
      <c r="G996" s="210">
        <v>0</v>
      </c>
      <c r="H996" s="197" t="s">
        <v>89</v>
      </c>
      <c r="I996" s="210" t="s">
        <v>229</v>
      </c>
      <c r="J996" s="210">
        <v>2023</v>
      </c>
      <c r="K996" s="210">
        <v>2023</v>
      </c>
      <c r="L996" s="268" t="str">
        <f t="shared" si="205"/>
        <v>Simple</v>
      </c>
      <c r="M996" s="197">
        <v>0</v>
      </c>
      <c r="N996" s="197">
        <v>0</v>
      </c>
      <c r="O996" s="257">
        <f>IF(ISNA(MATCH(H996,'Operating leases'!$B$32:$B$43,0)),0,INDEX('Operating leases'!$M$32:$S$43,MATCH(H996,'Operating leases'!$B$32:$B$43,0),MATCH(J996,'Operating leases'!$M$11:$S$11,0)))</f>
        <v>0</v>
      </c>
      <c r="P996" s="257">
        <f t="shared" si="206"/>
        <v>0</v>
      </c>
      <c r="Q996" s="257">
        <f t="shared" si="207"/>
        <v>0</v>
      </c>
      <c r="R996" s="258">
        <f>INDEX('Escalators '!$M$124:$S$129,MATCH(I996,'Escalators '!$B$124:$B$129,0),MATCH(J996,'Escalators '!$M$113:$S$113,0))</f>
        <v>1.0553567720906862</v>
      </c>
      <c r="S996" s="257">
        <f t="shared" si="208"/>
        <v>0</v>
      </c>
      <c r="T996" s="257">
        <f t="shared" si="209"/>
        <v>0</v>
      </c>
      <c r="U996" s="269">
        <f t="shared" si="210"/>
        <v>0</v>
      </c>
      <c r="V996" s="269">
        <f t="shared" si="211"/>
        <v>0</v>
      </c>
      <c r="W996" s="269">
        <f t="shared" si="212"/>
        <v>0</v>
      </c>
      <c r="X996" s="257">
        <f t="shared" si="213"/>
        <v>0</v>
      </c>
      <c r="Y996" s="270">
        <f>IF(L996="Complex",(INDEX('Escalators '!$M$176:$S$176,MATCH('Forecast capex'!J996,'Escalators '!$M$178:$S$178,0))/12+1)^((K996-J996)*12)-1,0)</f>
        <v>0</v>
      </c>
      <c r="Z996" s="257">
        <f t="shared" si="214"/>
        <v>0</v>
      </c>
      <c r="AA996" s="257">
        <f t="shared" si="215"/>
        <v>0</v>
      </c>
      <c r="AB996" s="269">
        <f t="shared" si="216"/>
        <v>0</v>
      </c>
      <c r="AC996" s="269">
        <f t="shared" si="217"/>
        <v>0</v>
      </c>
      <c r="AD996" s="271" t="str">
        <f>INDEX('Global inputs'!$C$134:$C$171,MATCH(F996,'Global inputs'!$B$134:$B$171,0))</f>
        <v>Non-network CAPEX</v>
      </c>
      <c r="AE996" s="272" t="str">
        <f>IF(OR(H996='Operating leases'!$B$32,H996='Operating leases'!$B$33),"",INDEX('Global inputs'!$C$186:$C$243,MATCH(E996,'Global inputs'!$B$186:$B$243,0)))</f>
        <v/>
      </c>
    </row>
    <row r="997" spans="1:31" s="27" customFormat="1" x14ac:dyDescent="0.2">
      <c r="A997" s="250"/>
      <c r="B997" s="210" t="s">
        <v>738</v>
      </c>
      <c r="C997" s="210" t="s">
        <v>292</v>
      </c>
      <c r="D997" s="210" t="s">
        <v>739</v>
      </c>
      <c r="E997" s="210" t="s">
        <v>185</v>
      </c>
      <c r="F997" s="210" t="s">
        <v>91</v>
      </c>
      <c r="G997" s="210">
        <v>0</v>
      </c>
      <c r="H997" s="197" t="s">
        <v>91</v>
      </c>
      <c r="I997" s="210" t="s">
        <v>229</v>
      </c>
      <c r="J997" s="210">
        <v>2023</v>
      </c>
      <c r="K997" s="210">
        <v>2023</v>
      </c>
      <c r="L997" s="268" t="str">
        <f t="shared" si="205"/>
        <v>Simple</v>
      </c>
      <c r="M997" s="197">
        <v>0</v>
      </c>
      <c r="N997" s="197">
        <v>0</v>
      </c>
      <c r="O997" s="257">
        <f>IF(ISNA(MATCH(H997,'Operating leases'!$B$32:$B$43,0)),0,INDEX('Operating leases'!$M$32:$S$43,MATCH(H997,'Operating leases'!$B$32:$B$43,0),MATCH(J997,'Operating leases'!$M$11:$S$11,0)))</f>
        <v>253104.7368231788</v>
      </c>
      <c r="P997" s="257">
        <f t="shared" si="206"/>
        <v>253104.7368231788</v>
      </c>
      <c r="Q997" s="257">
        <f t="shared" si="207"/>
        <v>253104.7368231788</v>
      </c>
      <c r="R997" s="258">
        <f>INDEX('Escalators '!$M$124:$S$129,MATCH(I997,'Escalators '!$B$124:$B$129,0),MATCH(J997,'Escalators '!$M$113:$S$113,0))</f>
        <v>1.0553567720906862</v>
      </c>
      <c r="S997" s="257">
        <f t="shared" si="208"/>
        <v>267115.7980545726</v>
      </c>
      <c r="T997" s="257">
        <f t="shared" si="209"/>
        <v>0</v>
      </c>
      <c r="U997" s="269">
        <f t="shared" si="210"/>
        <v>0</v>
      </c>
      <c r="V997" s="269">
        <f t="shared" si="211"/>
        <v>0</v>
      </c>
      <c r="W997" s="269">
        <f t="shared" si="212"/>
        <v>267115.7980545726</v>
      </c>
      <c r="X997" s="257">
        <f t="shared" si="213"/>
        <v>267115.7980545726</v>
      </c>
      <c r="Y997" s="270">
        <f>IF(L997="Complex",(INDEX('Escalators '!$M$176:$S$176,MATCH('Forecast capex'!J997,'Escalators '!$M$178:$S$178,0))/12+1)^((K997-J997)*12)-1,0)</f>
        <v>0</v>
      </c>
      <c r="Z997" s="257">
        <f t="shared" si="214"/>
        <v>0</v>
      </c>
      <c r="AA997" s="257">
        <f t="shared" si="215"/>
        <v>0</v>
      </c>
      <c r="AB997" s="269">
        <f t="shared" si="216"/>
        <v>0</v>
      </c>
      <c r="AC997" s="269">
        <f t="shared" si="217"/>
        <v>0</v>
      </c>
      <c r="AD997" s="271" t="str">
        <f>INDEX('Global inputs'!$C$134:$C$171,MATCH(F997,'Global inputs'!$B$134:$B$171,0))</f>
        <v>Non-network CAPEX</v>
      </c>
      <c r="AE997" s="272" t="str">
        <f>IF(OR(H997='Operating leases'!$B$32,H997='Operating leases'!$B$33),"",INDEX('Global inputs'!$C$186:$C$243,MATCH(E997,'Global inputs'!$B$186:$B$243,0)))</f>
        <v/>
      </c>
    </row>
    <row r="998" spans="1:31" s="27" customFormat="1" x14ac:dyDescent="0.2">
      <c r="A998" s="250"/>
      <c r="B998" s="210" t="s">
        <v>742</v>
      </c>
      <c r="C998" s="210" t="s">
        <v>286</v>
      </c>
      <c r="D998" s="210" t="s">
        <v>732</v>
      </c>
      <c r="E998" s="210" t="s">
        <v>141</v>
      </c>
      <c r="F998" s="210" t="s">
        <v>108</v>
      </c>
      <c r="G998" s="210" t="s">
        <v>734</v>
      </c>
      <c r="H998" s="197">
        <v>0</v>
      </c>
      <c r="I998" s="210" t="s">
        <v>221</v>
      </c>
      <c r="J998" s="210">
        <v>2023</v>
      </c>
      <c r="K998" s="210">
        <v>2023</v>
      </c>
      <c r="L998" s="268" t="str">
        <f t="shared" si="205"/>
        <v>Simple</v>
      </c>
      <c r="M998" s="197">
        <v>156408</v>
      </c>
      <c r="N998" s="197">
        <v>0</v>
      </c>
      <c r="O998" s="257">
        <f>IF(ISNA(MATCH(H998,'Operating leases'!$B$32:$B$43,0)),0,INDEX('Operating leases'!$M$32:$S$43,MATCH(H998,'Operating leases'!$B$32:$B$43,0),MATCH(J998,'Operating leases'!$M$11:$S$11,0)))</f>
        <v>0</v>
      </c>
      <c r="P998" s="257">
        <f t="shared" si="206"/>
        <v>156408</v>
      </c>
      <c r="Q998" s="257">
        <f t="shared" si="207"/>
        <v>156408</v>
      </c>
      <c r="R998" s="258">
        <f>INDEX('Escalators '!$M$124:$S$129,MATCH(I998,'Escalators '!$B$124:$B$129,0),MATCH(J998,'Escalators '!$M$113:$S$113,0))</f>
        <v>1.0486791854231625</v>
      </c>
      <c r="S998" s="257">
        <f t="shared" si="208"/>
        <v>0</v>
      </c>
      <c r="T998" s="257">
        <f t="shared" si="209"/>
        <v>0</v>
      </c>
      <c r="U998" s="269">
        <f t="shared" si="210"/>
        <v>164021.81403366601</v>
      </c>
      <c r="V998" s="269">
        <f t="shared" si="211"/>
        <v>164021.81403366601</v>
      </c>
      <c r="W998" s="269">
        <f t="shared" si="212"/>
        <v>164021.81403366601</v>
      </c>
      <c r="X998" s="257">
        <f t="shared" si="213"/>
        <v>164021.81403366601</v>
      </c>
      <c r="Y998" s="270">
        <f>IF(L998="Complex",(INDEX('Escalators '!$M$176:$S$176,MATCH('Forecast capex'!J998,'Escalators '!$M$178:$S$178,0))/12+1)^((K998-J998)*12)-1,0)</f>
        <v>0</v>
      </c>
      <c r="Z998" s="257">
        <f t="shared" si="214"/>
        <v>0</v>
      </c>
      <c r="AA998" s="257">
        <f t="shared" si="215"/>
        <v>0</v>
      </c>
      <c r="AB998" s="269">
        <f t="shared" si="216"/>
        <v>0</v>
      </c>
      <c r="AC998" s="269">
        <f t="shared" si="217"/>
        <v>0</v>
      </c>
      <c r="AD998" s="271" t="str">
        <f>INDEX('Global inputs'!$C$134:$C$171,MATCH(F998,'Global inputs'!$B$134:$B$171,0))</f>
        <v>Asset replacement and renewal</v>
      </c>
      <c r="AE998" s="272">
        <f>IF(OR(H998='Operating leases'!$B$32,H998='Operating leases'!$B$33),"",INDEX('Global inputs'!$C$186:$C$243,MATCH(E998,'Global inputs'!$B$186:$B$243,0)))</f>
        <v>0.08</v>
      </c>
    </row>
    <row r="999" spans="1:31" s="27" customFormat="1" x14ac:dyDescent="0.2">
      <c r="A999" s="250"/>
      <c r="B999" s="210" t="s">
        <v>742</v>
      </c>
      <c r="C999" s="210" t="s">
        <v>286</v>
      </c>
      <c r="D999" s="210" t="s">
        <v>732</v>
      </c>
      <c r="E999" s="210" t="s">
        <v>141</v>
      </c>
      <c r="F999" s="210" t="s">
        <v>108</v>
      </c>
      <c r="G999" s="210" t="s">
        <v>734</v>
      </c>
      <c r="H999" s="197">
        <v>0</v>
      </c>
      <c r="I999" s="210" t="s">
        <v>142</v>
      </c>
      <c r="J999" s="210">
        <v>2023</v>
      </c>
      <c r="K999" s="210">
        <v>2023</v>
      </c>
      <c r="L999" s="268" t="str">
        <f t="shared" si="205"/>
        <v>Simple</v>
      </c>
      <c r="M999" s="197">
        <v>625632</v>
      </c>
      <c r="N999" s="197">
        <v>0</v>
      </c>
      <c r="O999" s="257">
        <f>IF(ISNA(MATCH(H999,'Operating leases'!$B$32:$B$43,0)),0,INDEX('Operating leases'!$M$32:$S$43,MATCH(H999,'Operating leases'!$B$32:$B$43,0),MATCH(J999,'Operating leases'!$M$11:$S$11,0)))</f>
        <v>0</v>
      </c>
      <c r="P999" s="257">
        <f t="shared" si="206"/>
        <v>625632</v>
      </c>
      <c r="Q999" s="257">
        <f t="shared" si="207"/>
        <v>625632</v>
      </c>
      <c r="R999" s="258">
        <f>INDEX('Escalators '!$M$124:$S$129,MATCH(I999,'Escalators '!$B$124:$B$129,0),MATCH(J999,'Escalators '!$M$113:$S$113,0))</f>
        <v>1.0483686625768949</v>
      </c>
      <c r="S999" s="257">
        <f t="shared" si="208"/>
        <v>0</v>
      </c>
      <c r="T999" s="257">
        <f t="shared" si="209"/>
        <v>0</v>
      </c>
      <c r="U999" s="269">
        <f t="shared" si="210"/>
        <v>655892.98310530791</v>
      </c>
      <c r="V999" s="269">
        <f t="shared" si="211"/>
        <v>655892.98310530791</v>
      </c>
      <c r="W999" s="269">
        <f t="shared" si="212"/>
        <v>655892.98310530791</v>
      </c>
      <c r="X999" s="257">
        <f t="shared" si="213"/>
        <v>655892.98310530791</v>
      </c>
      <c r="Y999" s="270">
        <f>IF(L999="Complex",(INDEX('Escalators '!$M$176:$S$176,MATCH('Forecast capex'!J999,'Escalators '!$M$178:$S$178,0))/12+1)^((K999-J999)*12)-1,0)</f>
        <v>0</v>
      </c>
      <c r="Z999" s="257">
        <f t="shared" si="214"/>
        <v>0</v>
      </c>
      <c r="AA999" s="257">
        <f t="shared" si="215"/>
        <v>0</v>
      </c>
      <c r="AB999" s="269">
        <f t="shared" si="216"/>
        <v>0</v>
      </c>
      <c r="AC999" s="269">
        <f t="shared" si="217"/>
        <v>0</v>
      </c>
      <c r="AD999" s="271" t="str">
        <f>INDEX('Global inputs'!$C$134:$C$171,MATCH(F999,'Global inputs'!$B$134:$B$171,0))</f>
        <v>Asset replacement and renewal</v>
      </c>
      <c r="AE999" s="272">
        <f>IF(OR(H999='Operating leases'!$B$32,H999='Operating leases'!$B$33),"",INDEX('Global inputs'!$C$186:$C$243,MATCH(E999,'Global inputs'!$B$186:$B$243,0)))</f>
        <v>0.08</v>
      </c>
    </row>
    <row r="1000" spans="1:31" s="27" customFormat="1" x14ac:dyDescent="0.2">
      <c r="A1000" s="250"/>
      <c r="B1000" s="210" t="s">
        <v>742</v>
      </c>
      <c r="C1000" s="210" t="s">
        <v>286</v>
      </c>
      <c r="D1000" s="210" t="s">
        <v>732</v>
      </c>
      <c r="E1000" s="210" t="s">
        <v>143</v>
      </c>
      <c r="F1000" s="210" t="s">
        <v>108</v>
      </c>
      <c r="G1000" s="210" t="s">
        <v>734</v>
      </c>
      <c r="H1000" s="197">
        <v>0</v>
      </c>
      <c r="I1000" s="210" t="s">
        <v>221</v>
      </c>
      <c r="J1000" s="210">
        <v>2023</v>
      </c>
      <c r="K1000" s="210">
        <v>2023</v>
      </c>
      <c r="L1000" s="268" t="str">
        <f t="shared" si="205"/>
        <v>Simple</v>
      </c>
      <c r="M1000" s="197">
        <v>29526</v>
      </c>
      <c r="N1000" s="197">
        <v>0</v>
      </c>
      <c r="O1000" s="257">
        <f>IF(ISNA(MATCH(H1000,'Operating leases'!$B$32:$B$43,0)),0,INDEX('Operating leases'!$M$32:$S$43,MATCH(H1000,'Operating leases'!$B$32:$B$43,0),MATCH(J1000,'Operating leases'!$M$11:$S$11,0)))</f>
        <v>0</v>
      </c>
      <c r="P1000" s="257">
        <f t="shared" si="206"/>
        <v>29526</v>
      </c>
      <c r="Q1000" s="257">
        <f t="shared" si="207"/>
        <v>29526</v>
      </c>
      <c r="R1000" s="258">
        <f>INDEX('Escalators '!$M$124:$S$129,MATCH(I1000,'Escalators '!$B$124:$B$129,0),MATCH(J1000,'Escalators '!$M$113:$S$113,0))</f>
        <v>1.0486791854231625</v>
      </c>
      <c r="S1000" s="257">
        <f t="shared" si="208"/>
        <v>0</v>
      </c>
      <c r="T1000" s="257">
        <f t="shared" si="209"/>
        <v>0</v>
      </c>
      <c r="U1000" s="269">
        <f t="shared" si="210"/>
        <v>30963.301628804296</v>
      </c>
      <c r="V1000" s="269">
        <f t="shared" si="211"/>
        <v>30963.301628804296</v>
      </c>
      <c r="W1000" s="269">
        <f t="shared" si="212"/>
        <v>30963.301628804296</v>
      </c>
      <c r="X1000" s="257">
        <f t="shared" si="213"/>
        <v>30963.301628804296</v>
      </c>
      <c r="Y1000" s="270">
        <f>IF(L1000="Complex",(INDEX('Escalators '!$M$176:$S$176,MATCH('Forecast capex'!J1000,'Escalators '!$M$178:$S$178,0))/12+1)^((K1000-J1000)*12)-1,0)</f>
        <v>0</v>
      </c>
      <c r="Z1000" s="257">
        <f t="shared" si="214"/>
        <v>0</v>
      </c>
      <c r="AA1000" s="257">
        <f t="shared" si="215"/>
        <v>0</v>
      </c>
      <c r="AB1000" s="269">
        <f t="shared" si="216"/>
        <v>0</v>
      </c>
      <c r="AC1000" s="269">
        <f t="shared" si="217"/>
        <v>0</v>
      </c>
      <c r="AD1000" s="271" t="str">
        <f>INDEX('Global inputs'!$C$134:$C$171,MATCH(F1000,'Global inputs'!$B$134:$B$171,0))</f>
        <v>Asset replacement and renewal</v>
      </c>
      <c r="AE1000" s="272">
        <f>IF(OR(H1000='Operating leases'!$B$32,H1000='Operating leases'!$B$33),"",INDEX('Global inputs'!$C$186:$C$243,MATCH(E1000,'Global inputs'!$B$186:$B$243,0)))</f>
        <v>0.08</v>
      </c>
    </row>
    <row r="1001" spans="1:31" s="27" customFormat="1" x14ac:dyDescent="0.2">
      <c r="A1001" s="250"/>
      <c r="B1001" s="210" t="s">
        <v>742</v>
      </c>
      <c r="C1001" s="210" t="s">
        <v>286</v>
      </c>
      <c r="D1001" s="210" t="s">
        <v>732</v>
      </c>
      <c r="E1001" s="210" t="s">
        <v>143</v>
      </c>
      <c r="F1001" s="210" t="s">
        <v>108</v>
      </c>
      <c r="G1001" s="210" t="s">
        <v>734</v>
      </c>
      <c r="H1001" s="197">
        <v>0</v>
      </c>
      <c r="I1001" s="210" t="s">
        <v>142</v>
      </c>
      <c r="J1001" s="210">
        <v>2023</v>
      </c>
      <c r="K1001" s="210">
        <v>2023</v>
      </c>
      <c r="L1001" s="268" t="str">
        <f t="shared" si="205"/>
        <v>Simple</v>
      </c>
      <c r="M1001" s="197">
        <v>118104</v>
      </c>
      <c r="N1001" s="197">
        <v>0</v>
      </c>
      <c r="O1001" s="257">
        <f>IF(ISNA(MATCH(H1001,'Operating leases'!$B$32:$B$43,0)),0,INDEX('Operating leases'!$M$32:$S$43,MATCH(H1001,'Operating leases'!$B$32:$B$43,0),MATCH(J1001,'Operating leases'!$M$11:$S$11,0)))</f>
        <v>0</v>
      </c>
      <c r="P1001" s="257">
        <f t="shared" si="206"/>
        <v>118104</v>
      </c>
      <c r="Q1001" s="257">
        <f t="shared" si="207"/>
        <v>118104</v>
      </c>
      <c r="R1001" s="258">
        <f>INDEX('Escalators '!$M$124:$S$129,MATCH(I1001,'Escalators '!$B$124:$B$129,0),MATCH(J1001,'Escalators '!$M$113:$S$113,0))</f>
        <v>1.0483686625768949</v>
      </c>
      <c r="S1001" s="257">
        <f t="shared" si="208"/>
        <v>0</v>
      </c>
      <c r="T1001" s="257">
        <f t="shared" si="209"/>
        <v>0</v>
      </c>
      <c r="U1001" s="269">
        <f t="shared" si="210"/>
        <v>123816.53252498159</v>
      </c>
      <c r="V1001" s="269">
        <f t="shared" si="211"/>
        <v>123816.53252498159</v>
      </c>
      <c r="W1001" s="269">
        <f t="shared" si="212"/>
        <v>123816.53252498159</v>
      </c>
      <c r="X1001" s="257">
        <f t="shared" si="213"/>
        <v>123816.53252498159</v>
      </c>
      <c r="Y1001" s="270">
        <f>IF(L1001="Complex",(INDEX('Escalators '!$M$176:$S$176,MATCH('Forecast capex'!J1001,'Escalators '!$M$178:$S$178,0))/12+1)^((K1001-J1001)*12)-1,0)</f>
        <v>0</v>
      </c>
      <c r="Z1001" s="257">
        <f t="shared" si="214"/>
        <v>0</v>
      </c>
      <c r="AA1001" s="257">
        <f t="shared" si="215"/>
        <v>0</v>
      </c>
      <c r="AB1001" s="269">
        <f t="shared" si="216"/>
        <v>0</v>
      </c>
      <c r="AC1001" s="269">
        <f t="shared" si="217"/>
        <v>0</v>
      </c>
      <c r="AD1001" s="271" t="str">
        <f>INDEX('Global inputs'!$C$134:$C$171,MATCH(F1001,'Global inputs'!$B$134:$B$171,0))</f>
        <v>Asset replacement and renewal</v>
      </c>
      <c r="AE1001" s="272">
        <f>IF(OR(H1001='Operating leases'!$B$32,H1001='Operating leases'!$B$33),"",INDEX('Global inputs'!$C$186:$C$243,MATCH(E1001,'Global inputs'!$B$186:$B$243,0)))</f>
        <v>0.08</v>
      </c>
    </row>
    <row r="1002" spans="1:31" s="27" customFormat="1" x14ac:dyDescent="0.2">
      <c r="A1002" s="250"/>
      <c r="B1002" s="210" t="s">
        <v>742</v>
      </c>
      <c r="C1002" s="210" t="s">
        <v>286</v>
      </c>
      <c r="D1002" s="210" t="s">
        <v>735</v>
      </c>
      <c r="E1002" s="210" t="s">
        <v>144</v>
      </c>
      <c r="F1002" s="210" t="s">
        <v>108</v>
      </c>
      <c r="G1002" s="210" t="s">
        <v>736</v>
      </c>
      <c r="H1002" s="197">
        <v>0</v>
      </c>
      <c r="I1002" s="210" t="s">
        <v>221</v>
      </c>
      <c r="J1002" s="210">
        <v>2023</v>
      </c>
      <c r="K1002" s="210">
        <v>2023</v>
      </c>
      <c r="L1002" s="268" t="str">
        <f t="shared" si="205"/>
        <v>Simple</v>
      </c>
      <c r="M1002" s="197">
        <v>383040</v>
      </c>
      <c r="N1002" s="197">
        <v>0</v>
      </c>
      <c r="O1002" s="257">
        <f>IF(ISNA(MATCH(H1002,'Operating leases'!$B$32:$B$43,0)),0,INDEX('Operating leases'!$M$32:$S$43,MATCH(H1002,'Operating leases'!$B$32:$B$43,0),MATCH(J1002,'Operating leases'!$M$11:$S$11,0)))</f>
        <v>0</v>
      </c>
      <c r="P1002" s="257">
        <f t="shared" si="206"/>
        <v>383040</v>
      </c>
      <c r="Q1002" s="257">
        <f t="shared" si="207"/>
        <v>383040</v>
      </c>
      <c r="R1002" s="258">
        <f>INDEX('Escalators '!$M$124:$S$129,MATCH(I1002,'Escalators '!$B$124:$B$129,0),MATCH(J1002,'Escalators '!$M$113:$S$113,0))</f>
        <v>1.0486791854231625</v>
      </c>
      <c r="S1002" s="257">
        <f t="shared" si="208"/>
        <v>0</v>
      </c>
      <c r="T1002" s="257">
        <f t="shared" si="209"/>
        <v>0</v>
      </c>
      <c r="U1002" s="269">
        <f t="shared" si="210"/>
        <v>401686.07518448815</v>
      </c>
      <c r="V1002" s="269">
        <f t="shared" si="211"/>
        <v>401686.07518448815</v>
      </c>
      <c r="W1002" s="269">
        <f t="shared" si="212"/>
        <v>401686.07518448815</v>
      </c>
      <c r="X1002" s="257">
        <f t="shared" si="213"/>
        <v>401686.07518448815</v>
      </c>
      <c r="Y1002" s="270">
        <f>IF(L1002="Complex",(INDEX('Escalators '!$M$176:$S$176,MATCH('Forecast capex'!J1002,'Escalators '!$M$178:$S$178,0))/12+1)^((K1002-J1002)*12)-1,0)</f>
        <v>0</v>
      </c>
      <c r="Z1002" s="257">
        <f t="shared" si="214"/>
        <v>0</v>
      </c>
      <c r="AA1002" s="257">
        <f t="shared" si="215"/>
        <v>0</v>
      </c>
      <c r="AB1002" s="269">
        <f t="shared" si="216"/>
        <v>0</v>
      </c>
      <c r="AC1002" s="269">
        <f t="shared" si="217"/>
        <v>0</v>
      </c>
      <c r="AD1002" s="271" t="str">
        <f>INDEX('Global inputs'!$C$134:$C$171,MATCH(F1002,'Global inputs'!$B$134:$B$171,0))</f>
        <v>Asset replacement and renewal</v>
      </c>
      <c r="AE1002" s="272">
        <f>IF(OR(H1002='Operating leases'!$B$32,H1002='Operating leases'!$B$33),"",INDEX('Global inputs'!$C$186:$C$243,MATCH(E1002,'Global inputs'!$B$186:$B$243,0)))</f>
        <v>0.08</v>
      </c>
    </row>
    <row r="1003" spans="1:31" s="27" customFormat="1" x14ac:dyDescent="0.2">
      <c r="A1003" s="250"/>
      <c r="B1003" s="210" t="s">
        <v>742</v>
      </c>
      <c r="C1003" s="210" t="s">
        <v>286</v>
      </c>
      <c r="D1003" s="210" t="s">
        <v>735</v>
      </c>
      <c r="E1003" s="210" t="s">
        <v>144</v>
      </c>
      <c r="F1003" s="210" t="s">
        <v>108</v>
      </c>
      <c r="G1003" s="210" t="s">
        <v>736</v>
      </c>
      <c r="H1003" s="197">
        <v>0</v>
      </c>
      <c r="I1003" s="210" t="s">
        <v>229</v>
      </c>
      <c r="J1003" s="210">
        <v>2023</v>
      </c>
      <c r="K1003" s="210">
        <v>2023</v>
      </c>
      <c r="L1003" s="268" t="str">
        <f t="shared" si="205"/>
        <v>Simple</v>
      </c>
      <c r="M1003" s="197">
        <v>95760</v>
      </c>
      <c r="N1003" s="197">
        <v>0</v>
      </c>
      <c r="O1003" s="257">
        <f>IF(ISNA(MATCH(H1003,'Operating leases'!$B$32:$B$43,0)),0,INDEX('Operating leases'!$M$32:$S$43,MATCH(H1003,'Operating leases'!$B$32:$B$43,0),MATCH(J1003,'Operating leases'!$M$11:$S$11,0)))</f>
        <v>0</v>
      </c>
      <c r="P1003" s="257">
        <f t="shared" si="206"/>
        <v>95760</v>
      </c>
      <c r="Q1003" s="257">
        <f t="shared" si="207"/>
        <v>95760</v>
      </c>
      <c r="R1003" s="258">
        <f>INDEX('Escalators '!$M$124:$S$129,MATCH(I1003,'Escalators '!$B$124:$B$129,0),MATCH(J1003,'Escalators '!$M$113:$S$113,0))</f>
        <v>1.0553567720906862</v>
      </c>
      <c r="S1003" s="257">
        <f t="shared" si="208"/>
        <v>0</v>
      </c>
      <c r="T1003" s="257">
        <f t="shared" si="209"/>
        <v>0</v>
      </c>
      <c r="U1003" s="269">
        <f t="shared" si="210"/>
        <v>101060.96449540411</v>
      </c>
      <c r="V1003" s="269">
        <f t="shared" si="211"/>
        <v>101060.96449540411</v>
      </c>
      <c r="W1003" s="269">
        <f t="shared" si="212"/>
        <v>101060.96449540411</v>
      </c>
      <c r="X1003" s="257">
        <f t="shared" si="213"/>
        <v>101060.96449540411</v>
      </c>
      <c r="Y1003" s="270">
        <f>IF(L1003="Complex",(INDEX('Escalators '!$M$176:$S$176,MATCH('Forecast capex'!J1003,'Escalators '!$M$178:$S$178,0))/12+1)^((K1003-J1003)*12)-1,0)</f>
        <v>0</v>
      </c>
      <c r="Z1003" s="257">
        <f t="shared" si="214"/>
        <v>0</v>
      </c>
      <c r="AA1003" s="257">
        <f t="shared" si="215"/>
        <v>0</v>
      </c>
      <c r="AB1003" s="269">
        <f t="shared" si="216"/>
        <v>0</v>
      </c>
      <c r="AC1003" s="269">
        <f t="shared" si="217"/>
        <v>0</v>
      </c>
      <c r="AD1003" s="271" t="str">
        <f>INDEX('Global inputs'!$C$134:$C$171,MATCH(F1003,'Global inputs'!$B$134:$B$171,0))</f>
        <v>Asset replacement and renewal</v>
      </c>
      <c r="AE1003" s="272">
        <f>IF(OR(H1003='Operating leases'!$B$32,H1003='Operating leases'!$B$33),"",INDEX('Global inputs'!$C$186:$C$243,MATCH(E1003,'Global inputs'!$B$186:$B$243,0)))</f>
        <v>0.08</v>
      </c>
    </row>
    <row r="1004" spans="1:31" s="27" customFormat="1" x14ac:dyDescent="0.2">
      <c r="A1004" s="250"/>
      <c r="B1004" s="210" t="s">
        <v>742</v>
      </c>
      <c r="C1004" s="210" t="s">
        <v>286</v>
      </c>
      <c r="D1004" s="210" t="s">
        <v>732</v>
      </c>
      <c r="E1004" s="210" t="s">
        <v>141</v>
      </c>
      <c r="F1004" s="210" t="s">
        <v>108</v>
      </c>
      <c r="G1004" s="210" t="s">
        <v>734</v>
      </c>
      <c r="H1004" s="197">
        <v>0</v>
      </c>
      <c r="I1004" s="210" t="s">
        <v>221</v>
      </c>
      <c r="J1004" s="210">
        <v>2023</v>
      </c>
      <c r="K1004" s="210">
        <v>2023</v>
      </c>
      <c r="L1004" s="268" t="str">
        <f t="shared" si="205"/>
        <v>Simple</v>
      </c>
      <c r="M1004" s="197">
        <v>111720</v>
      </c>
      <c r="N1004" s="197">
        <v>0</v>
      </c>
      <c r="O1004" s="257">
        <f>IF(ISNA(MATCH(H1004,'Operating leases'!$B$32:$B$43,0)),0,INDEX('Operating leases'!$M$32:$S$43,MATCH(H1004,'Operating leases'!$B$32:$B$43,0),MATCH(J1004,'Operating leases'!$M$11:$S$11,0)))</f>
        <v>0</v>
      </c>
      <c r="P1004" s="257">
        <f t="shared" si="206"/>
        <v>111720</v>
      </c>
      <c r="Q1004" s="257">
        <f t="shared" si="207"/>
        <v>111720</v>
      </c>
      <c r="R1004" s="258">
        <f>INDEX('Escalators '!$M$124:$S$129,MATCH(I1004,'Escalators '!$B$124:$B$129,0),MATCH(J1004,'Escalators '!$M$113:$S$113,0))</f>
        <v>1.0486791854231625</v>
      </c>
      <c r="S1004" s="257">
        <f t="shared" si="208"/>
        <v>0</v>
      </c>
      <c r="T1004" s="257">
        <f t="shared" si="209"/>
        <v>0</v>
      </c>
      <c r="U1004" s="269">
        <f t="shared" si="210"/>
        <v>117158.43859547572</v>
      </c>
      <c r="V1004" s="269">
        <f t="shared" si="211"/>
        <v>117158.43859547572</v>
      </c>
      <c r="W1004" s="269">
        <f t="shared" si="212"/>
        <v>117158.43859547572</v>
      </c>
      <c r="X1004" s="257">
        <f t="shared" si="213"/>
        <v>117158.43859547572</v>
      </c>
      <c r="Y1004" s="270">
        <f>IF(L1004="Complex",(INDEX('Escalators '!$M$176:$S$176,MATCH('Forecast capex'!J1004,'Escalators '!$M$178:$S$178,0))/12+1)^((K1004-J1004)*12)-1,0)</f>
        <v>0</v>
      </c>
      <c r="Z1004" s="257">
        <f t="shared" si="214"/>
        <v>0</v>
      </c>
      <c r="AA1004" s="257">
        <f t="shared" si="215"/>
        <v>0</v>
      </c>
      <c r="AB1004" s="269">
        <f t="shared" si="216"/>
        <v>0</v>
      </c>
      <c r="AC1004" s="269">
        <f t="shared" si="217"/>
        <v>0</v>
      </c>
      <c r="AD1004" s="271" t="str">
        <f>INDEX('Global inputs'!$C$134:$C$171,MATCH(F1004,'Global inputs'!$B$134:$B$171,0))</f>
        <v>Asset replacement and renewal</v>
      </c>
      <c r="AE1004" s="272">
        <f>IF(OR(H1004='Operating leases'!$B$32,H1004='Operating leases'!$B$33),"",INDEX('Global inputs'!$C$186:$C$243,MATCH(E1004,'Global inputs'!$B$186:$B$243,0)))</f>
        <v>0.08</v>
      </c>
    </row>
    <row r="1005" spans="1:31" s="27" customFormat="1" x14ac:dyDescent="0.2">
      <c r="A1005" s="250"/>
      <c r="B1005" s="210" t="s">
        <v>742</v>
      </c>
      <c r="C1005" s="210" t="s">
        <v>286</v>
      </c>
      <c r="D1005" s="210" t="s">
        <v>732</v>
      </c>
      <c r="E1005" s="210" t="s">
        <v>141</v>
      </c>
      <c r="F1005" s="210" t="s">
        <v>108</v>
      </c>
      <c r="G1005" s="210" t="s">
        <v>734</v>
      </c>
      <c r="H1005" s="197">
        <v>0</v>
      </c>
      <c r="I1005" s="210" t="s">
        <v>142</v>
      </c>
      <c r="J1005" s="210">
        <v>2023</v>
      </c>
      <c r="K1005" s="210">
        <v>2023</v>
      </c>
      <c r="L1005" s="268" t="str">
        <f t="shared" si="205"/>
        <v>Simple</v>
      </c>
      <c r="M1005" s="197">
        <v>446880</v>
      </c>
      <c r="N1005" s="197">
        <v>0</v>
      </c>
      <c r="O1005" s="257">
        <f>IF(ISNA(MATCH(H1005,'Operating leases'!$B$32:$B$43,0)),0,INDEX('Operating leases'!$M$32:$S$43,MATCH(H1005,'Operating leases'!$B$32:$B$43,0),MATCH(J1005,'Operating leases'!$M$11:$S$11,0)))</f>
        <v>0</v>
      </c>
      <c r="P1005" s="257">
        <f t="shared" si="206"/>
        <v>446880</v>
      </c>
      <c r="Q1005" s="257">
        <f t="shared" si="207"/>
        <v>446880</v>
      </c>
      <c r="R1005" s="258">
        <f>INDEX('Escalators '!$M$124:$S$129,MATCH(I1005,'Escalators '!$B$124:$B$129,0),MATCH(J1005,'Escalators '!$M$113:$S$113,0))</f>
        <v>1.0483686625768949</v>
      </c>
      <c r="S1005" s="257">
        <f t="shared" si="208"/>
        <v>0</v>
      </c>
      <c r="T1005" s="257">
        <f t="shared" si="209"/>
        <v>0</v>
      </c>
      <c r="U1005" s="269">
        <f t="shared" si="210"/>
        <v>468494.98793236277</v>
      </c>
      <c r="V1005" s="269">
        <f t="shared" si="211"/>
        <v>468494.98793236277</v>
      </c>
      <c r="W1005" s="269">
        <f t="shared" si="212"/>
        <v>468494.98793236277</v>
      </c>
      <c r="X1005" s="257">
        <f t="shared" si="213"/>
        <v>468494.98793236277</v>
      </c>
      <c r="Y1005" s="270">
        <f>IF(L1005="Complex",(INDEX('Escalators '!$M$176:$S$176,MATCH('Forecast capex'!J1005,'Escalators '!$M$178:$S$178,0))/12+1)^((K1005-J1005)*12)-1,0)</f>
        <v>0</v>
      </c>
      <c r="Z1005" s="257">
        <f t="shared" si="214"/>
        <v>0</v>
      </c>
      <c r="AA1005" s="257">
        <f t="shared" si="215"/>
        <v>0</v>
      </c>
      <c r="AB1005" s="269">
        <f t="shared" si="216"/>
        <v>0</v>
      </c>
      <c r="AC1005" s="269">
        <f t="shared" si="217"/>
        <v>0</v>
      </c>
      <c r="AD1005" s="271" t="str">
        <f>INDEX('Global inputs'!$C$134:$C$171,MATCH(F1005,'Global inputs'!$B$134:$B$171,0))</f>
        <v>Asset replacement and renewal</v>
      </c>
      <c r="AE1005" s="272">
        <f>IF(OR(H1005='Operating leases'!$B$32,H1005='Operating leases'!$B$33),"",INDEX('Global inputs'!$C$186:$C$243,MATCH(E1005,'Global inputs'!$B$186:$B$243,0)))</f>
        <v>0.08</v>
      </c>
    </row>
    <row r="1006" spans="1:31" s="27" customFormat="1" x14ac:dyDescent="0.2">
      <c r="A1006" s="250"/>
      <c r="B1006" s="210" t="s">
        <v>742</v>
      </c>
      <c r="C1006" s="210" t="s">
        <v>286</v>
      </c>
      <c r="D1006" s="210" t="s">
        <v>732</v>
      </c>
      <c r="E1006" s="210" t="s">
        <v>143</v>
      </c>
      <c r="F1006" s="210" t="s">
        <v>108</v>
      </c>
      <c r="G1006" s="210" t="s">
        <v>734</v>
      </c>
      <c r="H1006" s="197">
        <v>0</v>
      </c>
      <c r="I1006" s="210" t="s">
        <v>221</v>
      </c>
      <c r="J1006" s="210">
        <v>2023</v>
      </c>
      <c r="K1006" s="210">
        <v>2023</v>
      </c>
      <c r="L1006" s="268" t="str">
        <f t="shared" si="205"/>
        <v>Simple</v>
      </c>
      <c r="M1006" s="197">
        <v>137788</v>
      </c>
      <c r="N1006" s="197">
        <v>0</v>
      </c>
      <c r="O1006" s="257">
        <f>IF(ISNA(MATCH(H1006,'Operating leases'!$B$32:$B$43,0)),0,INDEX('Operating leases'!$M$32:$S$43,MATCH(H1006,'Operating leases'!$B$32:$B$43,0),MATCH(J1006,'Operating leases'!$M$11:$S$11,0)))</f>
        <v>0</v>
      </c>
      <c r="P1006" s="257">
        <f t="shared" si="206"/>
        <v>137788</v>
      </c>
      <c r="Q1006" s="257">
        <f t="shared" si="207"/>
        <v>137788</v>
      </c>
      <c r="R1006" s="258">
        <f>INDEX('Escalators '!$M$124:$S$129,MATCH(I1006,'Escalators '!$B$124:$B$129,0),MATCH(J1006,'Escalators '!$M$113:$S$113,0))</f>
        <v>1.0486791854231625</v>
      </c>
      <c r="S1006" s="257">
        <f t="shared" si="208"/>
        <v>0</v>
      </c>
      <c r="T1006" s="257">
        <f t="shared" si="209"/>
        <v>0</v>
      </c>
      <c r="U1006" s="269">
        <f t="shared" si="210"/>
        <v>144495.40760108671</v>
      </c>
      <c r="V1006" s="269">
        <f t="shared" si="211"/>
        <v>144495.40760108671</v>
      </c>
      <c r="W1006" s="269">
        <f t="shared" si="212"/>
        <v>144495.40760108671</v>
      </c>
      <c r="X1006" s="257">
        <f t="shared" si="213"/>
        <v>144495.40760108671</v>
      </c>
      <c r="Y1006" s="270">
        <f>IF(L1006="Complex",(INDEX('Escalators '!$M$176:$S$176,MATCH('Forecast capex'!J1006,'Escalators '!$M$178:$S$178,0))/12+1)^((K1006-J1006)*12)-1,0)</f>
        <v>0</v>
      </c>
      <c r="Z1006" s="257">
        <f t="shared" si="214"/>
        <v>0</v>
      </c>
      <c r="AA1006" s="257">
        <f t="shared" si="215"/>
        <v>0</v>
      </c>
      <c r="AB1006" s="269">
        <f t="shared" si="216"/>
        <v>0</v>
      </c>
      <c r="AC1006" s="269">
        <f t="shared" si="217"/>
        <v>0</v>
      </c>
      <c r="AD1006" s="271" t="str">
        <f>INDEX('Global inputs'!$C$134:$C$171,MATCH(F1006,'Global inputs'!$B$134:$B$171,0))</f>
        <v>Asset replacement and renewal</v>
      </c>
      <c r="AE1006" s="272">
        <f>IF(OR(H1006='Operating leases'!$B$32,H1006='Operating leases'!$B$33),"",INDEX('Global inputs'!$C$186:$C$243,MATCH(E1006,'Global inputs'!$B$186:$B$243,0)))</f>
        <v>0.08</v>
      </c>
    </row>
    <row r="1007" spans="1:31" s="27" customFormat="1" x14ac:dyDescent="0.2">
      <c r="A1007" s="250"/>
      <c r="B1007" s="210" t="s">
        <v>742</v>
      </c>
      <c r="C1007" s="210" t="s">
        <v>286</v>
      </c>
      <c r="D1007" s="210" t="s">
        <v>732</v>
      </c>
      <c r="E1007" s="210" t="s">
        <v>143</v>
      </c>
      <c r="F1007" s="210" t="s">
        <v>108</v>
      </c>
      <c r="G1007" s="210" t="s">
        <v>734</v>
      </c>
      <c r="H1007" s="197">
        <v>0</v>
      </c>
      <c r="I1007" s="210" t="s">
        <v>142</v>
      </c>
      <c r="J1007" s="210">
        <v>2023</v>
      </c>
      <c r="K1007" s="210">
        <v>2023</v>
      </c>
      <c r="L1007" s="268" t="str">
        <f t="shared" si="205"/>
        <v>Simple</v>
      </c>
      <c r="M1007" s="197">
        <v>551152</v>
      </c>
      <c r="N1007" s="197">
        <v>0</v>
      </c>
      <c r="O1007" s="257">
        <f>IF(ISNA(MATCH(H1007,'Operating leases'!$B$32:$B$43,0)),0,INDEX('Operating leases'!$M$32:$S$43,MATCH(H1007,'Operating leases'!$B$32:$B$43,0),MATCH(J1007,'Operating leases'!$M$11:$S$11,0)))</f>
        <v>0</v>
      </c>
      <c r="P1007" s="257">
        <f t="shared" si="206"/>
        <v>551152</v>
      </c>
      <c r="Q1007" s="257">
        <f t="shared" si="207"/>
        <v>551152</v>
      </c>
      <c r="R1007" s="258">
        <f>INDEX('Escalators '!$M$124:$S$129,MATCH(I1007,'Escalators '!$B$124:$B$129,0),MATCH(J1007,'Escalators '!$M$113:$S$113,0))</f>
        <v>1.0483686625768949</v>
      </c>
      <c r="S1007" s="257">
        <f t="shared" si="208"/>
        <v>0</v>
      </c>
      <c r="T1007" s="257">
        <f t="shared" si="209"/>
        <v>0</v>
      </c>
      <c r="U1007" s="269">
        <f t="shared" si="210"/>
        <v>577810.48511658073</v>
      </c>
      <c r="V1007" s="269">
        <f t="shared" si="211"/>
        <v>577810.48511658073</v>
      </c>
      <c r="W1007" s="269">
        <f t="shared" si="212"/>
        <v>577810.48511658073</v>
      </c>
      <c r="X1007" s="257">
        <f t="shared" si="213"/>
        <v>577810.48511658073</v>
      </c>
      <c r="Y1007" s="270">
        <f>IF(L1007="Complex",(INDEX('Escalators '!$M$176:$S$176,MATCH('Forecast capex'!J1007,'Escalators '!$M$178:$S$178,0))/12+1)^((K1007-J1007)*12)-1,0)</f>
        <v>0</v>
      </c>
      <c r="Z1007" s="257">
        <f t="shared" si="214"/>
        <v>0</v>
      </c>
      <c r="AA1007" s="257">
        <f t="shared" si="215"/>
        <v>0</v>
      </c>
      <c r="AB1007" s="269">
        <f t="shared" si="216"/>
        <v>0</v>
      </c>
      <c r="AC1007" s="269">
        <f t="shared" si="217"/>
        <v>0</v>
      </c>
      <c r="AD1007" s="271" t="str">
        <f>INDEX('Global inputs'!$C$134:$C$171,MATCH(F1007,'Global inputs'!$B$134:$B$171,0))</f>
        <v>Asset replacement and renewal</v>
      </c>
      <c r="AE1007" s="272">
        <f>IF(OR(H1007='Operating leases'!$B$32,H1007='Operating leases'!$B$33),"",INDEX('Global inputs'!$C$186:$C$243,MATCH(E1007,'Global inputs'!$B$186:$B$243,0)))</f>
        <v>0.08</v>
      </c>
    </row>
    <row r="1008" spans="1:31" s="27" customFormat="1" x14ac:dyDescent="0.2">
      <c r="A1008" s="250"/>
      <c r="B1008" s="210" t="s">
        <v>742</v>
      </c>
      <c r="C1008" s="210" t="s">
        <v>286</v>
      </c>
      <c r="D1008" s="210" t="s">
        <v>735</v>
      </c>
      <c r="E1008" s="210" t="s">
        <v>144</v>
      </c>
      <c r="F1008" s="210" t="s">
        <v>108</v>
      </c>
      <c r="G1008" s="210" t="s">
        <v>736</v>
      </c>
      <c r="H1008" s="197">
        <v>0</v>
      </c>
      <c r="I1008" s="210" t="s">
        <v>221</v>
      </c>
      <c r="J1008" s="210">
        <v>2023</v>
      </c>
      <c r="K1008" s="210">
        <v>2023</v>
      </c>
      <c r="L1008" s="268" t="str">
        <f t="shared" si="205"/>
        <v>Simple</v>
      </c>
      <c r="M1008" s="197">
        <v>212800</v>
      </c>
      <c r="N1008" s="197">
        <v>0</v>
      </c>
      <c r="O1008" s="257">
        <f>IF(ISNA(MATCH(H1008,'Operating leases'!$B$32:$B$43,0)),0,INDEX('Operating leases'!$M$32:$S$43,MATCH(H1008,'Operating leases'!$B$32:$B$43,0),MATCH(J1008,'Operating leases'!$M$11:$S$11,0)))</f>
        <v>0</v>
      </c>
      <c r="P1008" s="257">
        <f t="shared" si="206"/>
        <v>212800</v>
      </c>
      <c r="Q1008" s="257">
        <f t="shared" si="207"/>
        <v>212800</v>
      </c>
      <c r="R1008" s="258">
        <f>INDEX('Escalators '!$M$124:$S$129,MATCH(I1008,'Escalators '!$B$124:$B$129,0),MATCH(J1008,'Escalators '!$M$113:$S$113,0))</f>
        <v>1.0486791854231625</v>
      </c>
      <c r="S1008" s="257">
        <f t="shared" si="208"/>
        <v>0</v>
      </c>
      <c r="T1008" s="257">
        <f t="shared" si="209"/>
        <v>0</v>
      </c>
      <c r="U1008" s="269">
        <f t="shared" si="210"/>
        <v>223158.93065804898</v>
      </c>
      <c r="V1008" s="269">
        <f t="shared" si="211"/>
        <v>223158.93065804898</v>
      </c>
      <c r="W1008" s="269">
        <f t="shared" si="212"/>
        <v>223158.93065804898</v>
      </c>
      <c r="X1008" s="257">
        <f t="shared" si="213"/>
        <v>223158.93065804898</v>
      </c>
      <c r="Y1008" s="270">
        <f>IF(L1008="Complex",(INDEX('Escalators '!$M$176:$S$176,MATCH('Forecast capex'!J1008,'Escalators '!$M$178:$S$178,0))/12+1)^((K1008-J1008)*12)-1,0)</f>
        <v>0</v>
      </c>
      <c r="Z1008" s="257">
        <f t="shared" si="214"/>
        <v>0</v>
      </c>
      <c r="AA1008" s="257">
        <f t="shared" si="215"/>
        <v>0</v>
      </c>
      <c r="AB1008" s="269">
        <f t="shared" si="216"/>
        <v>0</v>
      </c>
      <c r="AC1008" s="269">
        <f t="shared" si="217"/>
        <v>0</v>
      </c>
      <c r="AD1008" s="271" t="str">
        <f>INDEX('Global inputs'!$C$134:$C$171,MATCH(F1008,'Global inputs'!$B$134:$B$171,0))</f>
        <v>Asset replacement and renewal</v>
      </c>
      <c r="AE1008" s="272">
        <f>IF(OR(H1008='Operating leases'!$B$32,H1008='Operating leases'!$B$33),"",INDEX('Global inputs'!$C$186:$C$243,MATCH(E1008,'Global inputs'!$B$186:$B$243,0)))</f>
        <v>0.08</v>
      </c>
    </row>
    <row r="1009" spans="1:31" s="27" customFormat="1" x14ac:dyDescent="0.2">
      <c r="A1009" s="250"/>
      <c r="B1009" s="210" t="s">
        <v>742</v>
      </c>
      <c r="C1009" s="210" t="s">
        <v>286</v>
      </c>
      <c r="D1009" s="210" t="s">
        <v>735</v>
      </c>
      <c r="E1009" s="210" t="s">
        <v>144</v>
      </c>
      <c r="F1009" s="210" t="s">
        <v>108</v>
      </c>
      <c r="G1009" s="210" t="s">
        <v>736</v>
      </c>
      <c r="H1009" s="197">
        <v>0</v>
      </c>
      <c r="I1009" s="210" t="s">
        <v>229</v>
      </c>
      <c r="J1009" s="210">
        <v>2023</v>
      </c>
      <c r="K1009" s="210">
        <v>2023</v>
      </c>
      <c r="L1009" s="268" t="str">
        <f t="shared" si="205"/>
        <v>Simple</v>
      </c>
      <c r="M1009" s="197">
        <v>53200</v>
      </c>
      <c r="N1009" s="197">
        <v>0</v>
      </c>
      <c r="O1009" s="257">
        <f>IF(ISNA(MATCH(H1009,'Operating leases'!$B$32:$B$43,0)),0,INDEX('Operating leases'!$M$32:$S$43,MATCH(H1009,'Operating leases'!$B$32:$B$43,0),MATCH(J1009,'Operating leases'!$M$11:$S$11,0)))</f>
        <v>0</v>
      </c>
      <c r="P1009" s="257">
        <f t="shared" si="206"/>
        <v>53200</v>
      </c>
      <c r="Q1009" s="257">
        <f t="shared" si="207"/>
        <v>53200</v>
      </c>
      <c r="R1009" s="258">
        <f>INDEX('Escalators '!$M$124:$S$129,MATCH(I1009,'Escalators '!$B$124:$B$129,0),MATCH(J1009,'Escalators '!$M$113:$S$113,0))</f>
        <v>1.0553567720906862</v>
      </c>
      <c r="S1009" s="257">
        <f t="shared" si="208"/>
        <v>0</v>
      </c>
      <c r="T1009" s="257">
        <f t="shared" si="209"/>
        <v>0</v>
      </c>
      <c r="U1009" s="269">
        <f t="shared" si="210"/>
        <v>56144.980275224509</v>
      </c>
      <c r="V1009" s="269">
        <f t="shared" si="211"/>
        <v>56144.980275224509</v>
      </c>
      <c r="W1009" s="269">
        <f t="shared" si="212"/>
        <v>56144.980275224509</v>
      </c>
      <c r="X1009" s="257">
        <f t="shared" si="213"/>
        <v>56144.980275224509</v>
      </c>
      <c r="Y1009" s="270">
        <f>IF(L1009="Complex",(INDEX('Escalators '!$M$176:$S$176,MATCH('Forecast capex'!J1009,'Escalators '!$M$178:$S$178,0))/12+1)^((K1009-J1009)*12)-1,0)</f>
        <v>0</v>
      </c>
      <c r="Z1009" s="257">
        <f t="shared" si="214"/>
        <v>0</v>
      </c>
      <c r="AA1009" s="257">
        <f t="shared" si="215"/>
        <v>0</v>
      </c>
      <c r="AB1009" s="269">
        <f t="shared" si="216"/>
        <v>0</v>
      </c>
      <c r="AC1009" s="269">
        <f t="shared" si="217"/>
        <v>0</v>
      </c>
      <c r="AD1009" s="271" t="str">
        <f>INDEX('Global inputs'!$C$134:$C$171,MATCH(F1009,'Global inputs'!$B$134:$B$171,0))</f>
        <v>Asset replacement and renewal</v>
      </c>
      <c r="AE1009" s="272">
        <f>IF(OR(H1009='Operating leases'!$B$32,H1009='Operating leases'!$B$33),"",INDEX('Global inputs'!$C$186:$C$243,MATCH(E1009,'Global inputs'!$B$186:$B$243,0)))</f>
        <v>0.08</v>
      </c>
    </row>
    <row r="1010" spans="1:31" s="27" customFormat="1" x14ac:dyDescent="0.2">
      <c r="A1010" s="250"/>
      <c r="B1010" s="210" t="s">
        <v>742</v>
      </c>
      <c r="C1010" s="210" t="s">
        <v>285</v>
      </c>
      <c r="D1010" s="210" t="s">
        <v>223</v>
      </c>
      <c r="E1010" s="210" t="s">
        <v>134</v>
      </c>
      <c r="F1010" s="210" t="s">
        <v>105</v>
      </c>
      <c r="G1010" s="210" t="s">
        <v>726</v>
      </c>
      <c r="H1010" s="197">
        <v>0</v>
      </c>
      <c r="I1010" s="210" t="s">
        <v>223</v>
      </c>
      <c r="J1010" s="210">
        <v>2023</v>
      </c>
      <c r="K1010" s="210">
        <v>2024</v>
      </c>
      <c r="L1010" s="268" t="str">
        <f t="shared" si="205"/>
        <v>Complex</v>
      </c>
      <c r="M1010" s="197">
        <v>0</v>
      </c>
      <c r="N1010" s="197">
        <v>0</v>
      </c>
      <c r="O1010" s="257">
        <f>IF(ISNA(MATCH(H1010,'Operating leases'!$B$32:$B$43,0)),0,INDEX('Operating leases'!$M$32:$S$43,MATCH(H1010,'Operating leases'!$B$32:$B$43,0),MATCH(J1010,'Operating leases'!$M$11:$S$11,0)))</f>
        <v>0</v>
      </c>
      <c r="P1010" s="257">
        <f t="shared" si="206"/>
        <v>0</v>
      </c>
      <c r="Q1010" s="257">
        <f t="shared" si="207"/>
        <v>0</v>
      </c>
      <c r="R1010" s="258">
        <f>INDEX('Escalators '!$M$124:$S$129,MATCH(I1010,'Escalators '!$B$124:$B$129,0),MATCH(J1010,'Escalators '!$M$113:$S$113,0))</f>
        <v>1.0703240765377642</v>
      </c>
      <c r="S1010" s="257">
        <f t="shared" si="208"/>
        <v>0</v>
      </c>
      <c r="T1010" s="257">
        <f t="shared" si="209"/>
        <v>0</v>
      </c>
      <c r="U1010" s="269">
        <f t="shared" si="210"/>
        <v>0</v>
      </c>
      <c r="V1010" s="269">
        <f t="shared" si="211"/>
        <v>0</v>
      </c>
      <c r="W1010" s="269">
        <f t="shared" si="212"/>
        <v>0</v>
      </c>
      <c r="X1010" s="257">
        <f t="shared" si="213"/>
        <v>0</v>
      </c>
      <c r="Y1010" s="270">
        <f>IF(L1010="Complex",(INDEX('Escalators '!$M$176:$S$176,MATCH('Forecast capex'!J1010,'Escalators '!$M$178:$S$178,0))/12+1)^((K1010-J1010)*12)-1,0)</f>
        <v>3.5566952945970565E-2</v>
      </c>
      <c r="Z1010" s="257">
        <f t="shared" si="214"/>
        <v>0</v>
      </c>
      <c r="AA1010" s="257">
        <f t="shared" si="215"/>
        <v>0</v>
      </c>
      <c r="AB1010" s="269">
        <f t="shared" si="216"/>
        <v>0</v>
      </c>
      <c r="AC1010" s="269">
        <f t="shared" si="217"/>
        <v>0</v>
      </c>
      <c r="AD1010" s="271" t="str">
        <f>INDEX('Global inputs'!$C$134:$C$171,MATCH(F1010,'Global inputs'!$B$134:$B$171,0))</f>
        <v>Asset replacement and renewal</v>
      </c>
      <c r="AE1010" s="272">
        <f>IF(OR(H1010='Operating leases'!$B$32,H1010='Operating leases'!$B$33),"",INDEX('Global inputs'!$C$186:$C$243,MATCH(E1010,'Global inputs'!$B$186:$B$243,0)))</f>
        <v>0.08</v>
      </c>
    </row>
    <row r="1011" spans="1:31" s="27" customFormat="1" x14ac:dyDescent="0.2">
      <c r="A1011" s="250"/>
      <c r="B1011" s="210" t="s">
        <v>742</v>
      </c>
      <c r="C1011" s="210" t="s">
        <v>285</v>
      </c>
      <c r="D1011" s="210" t="s">
        <v>223</v>
      </c>
      <c r="E1011" s="210" t="s">
        <v>134</v>
      </c>
      <c r="F1011" s="210" t="s">
        <v>105</v>
      </c>
      <c r="G1011" s="210" t="s">
        <v>726</v>
      </c>
      <c r="H1011" s="197">
        <v>0</v>
      </c>
      <c r="I1011" s="210" t="s">
        <v>221</v>
      </c>
      <c r="J1011" s="210">
        <v>2023</v>
      </c>
      <c r="K1011" s="210">
        <v>2024</v>
      </c>
      <c r="L1011" s="268" t="str">
        <f t="shared" si="205"/>
        <v>Complex</v>
      </c>
      <c r="M1011" s="197">
        <v>0</v>
      </c>
      <c r="N1011" s="197">
        <v>0</v>
      </c>
      <c r="O1011" s="257">
        <f>IF(ISNA(MATCH(H1011,'Operating leases'!$B$32:$B$43,0)),0,INDEX('Operating leases'!$M$32:$S$43,MATCH(H1011,'Operating leases'!$B$32:$B$43,0),MATCH(J1011,'Operating leases'!$M$11:$S$11,0)))</f>
        <v>0</v>
      </c>
      <c r="P1011" s="257">
        <f t="shared" si="206"/>
        <v>0</v>
      </c>
      <c r="Q1011" s="257">
        <f t="shared" si="207"/>
        <v>0</v>
      </c>
      <c r="R1011" s="258">
        <f>INDEX('Escalators '!$M$124:$S$129,MATCH(I1011,'Escalators '!$B$124:$B$129,0),MATCH(J1011,'Escalators '!$M$113:$S$113,0))</f>
        <v>1.0486791854231625</v>
      </c>
      <c r="S1011" s="257">
        <f t="shared" si="208"/>
        <v>0</v>
      </c>
      <c r="T1011" s="257">
        <f t="shared" si="209"/>
        <v>0</v>
      </c>
      <c r="U1011" s="269">
        <f t="shared" si="210"/>
        <v>0</v>
      </c>
      <c r="V1011" s="269">
        <f t="shared" si="211"/>
        <v>0</v>
      </c>
      <c r="W1011" s="269">
        <f t="shared" si="212"/>
        <v>0</v>
      </c>
      <c r="X1011" s="257">
        <f t="shared" si="213"/>
        <v>0</v>
      </c>
      <c r="Y1011" s="270">
        <f>IF(L1011="Complex",(INDEX('Escalators '!$M$176:$S$176,MATCH('Forecast capex'!J1011,'Escalators '!$M$178:$S$178,0))/12+1)^((K1011-J1011)*12)-1,0)</f>
        <v>3.5566952945970565E-2</v>
      </c>
      <c r="Z1011" s="257">
        <f t="shared" si="214"/>
        <v>0</v>
      </c>
      <c r="AA1011" s="257">
        <f t="shared" si="215"/>
        <v>0</v>
      </c>
      <c r="AB1011" s="269">
        <f t="shared" si="216"/>
        <v>0</v>
      </c>
      <c r="AC1011" s="269">
        <f t="shared" si="217"/>
        <v>0</v>
      </c>
      <c r="AD1011" s="271" t="str">
        <f>INDEX('Global inputs'!$C$134:$C$171,MATCH(F1011,'Global inputs'!$B$134:$B$171,0))</f>
        <v>Asset replacement and renewal</v>
      </c>
      <c r="AE1011" s="272">
        <f>IF(OR(H1011='Operating leases'!$B$32,H1011='Operating leases'!$B$33),"",INDEX('Global inputs'!$C$186:$C$243,MATCH(E1011,'Global inputs'!$B$186:$B$243,0)))</f>
        <v>0.08</v>
      </c>
    </row>
    <row r="1012" spans="1:31" s="27" customFormat="1" x14ac:dyDescent="0.2">
      <c r="A1012" s="250"/>
      <c r="B1012" s="210" t="s">
        <v>746</v>
      </c>
      <c r="C1012" s="210" t="s">
        <v>285</v>
      </c>
      <c r="D1012" s="210" t="s">
        <v>223</v>
      </c>
      <c r="E1012" s="210" t="s">
        <v>134</v>
      </c>
      <c r="F1012" s="210" t="s">
        <v>76</v>
      </c>
      <c r="G1012" s="210" t="s">
        <v>726</v>
      </c>
      <c r="H1012" s="197">
        <v>0</v>
      </c>
      <c r="I1012" s="210" t="s">
        <v>223</v>
      </c>
      <c r="J1012" s="210">
        <v>2023</v>
      </c>
      <c r="K1012" s="210">
        <v>2024</v>
      </c>
      <c r="L1012" s="268" t="str">
        <f t="shared" si="205"/>
        <v>Complex</v>
      </c>
      <c r="M1012" s="197">
        <v>0</v>
      </c>
      <c r="N1012" s="197">
        <v>0</v>
      </c>
      <c r="O1012" s="257">
        <f>IF(ISNA(MATCH(H1012,'Operating leases'!$B$32:$B$43,0)),0,INDEX('Operating leases'!$M$32:$S$43,MATCH(H1012,'Operating leases'!$B$32:$B$43,0),MATCH(J1012,'Operating leases'!$M$11:$S$11,0)))</f>
        <v>0</v>
      </c>
      <c r="P1012" s="257">
        <f t="shared" si="206"/>
        <v>0</v>
      </c>
      <c r="Q1012" s="257">
        <f t="shared" si="207"/>
        <v>0</v>
      </c>
      <c r="R1012" s="258">
        <f>INDEX('Escalators '!$M$124:$S$129,MATCH(I1012,'Escalators '!$B$124:$B$129,0),MATCH(J1012,'Escalators '!$M$113:$S$113,0))</f>
        <v>1.0703240765377642</v>
      </c>
      <c r="S1012" s="257">
        <f t="shared" si="208"/>
        <v>0</v>
      </c>
      <c r="T1012" s="257">
        <f t="shared" si="209"/>
        <v>0</v>
      </c>
      <c r="U1012" s="269">
        <f t="shared" si="210"/>
        <v>0</v>
      </c>
      <c r="V1012" s="269">
        <f t="shared" si="211"/>
        <v>0</v>
      </c>
      <c r="W1012" s="269">
        <f t="shared" si="212"/>
        <v>0</v>
      </c>
      <c r="X1012" s="257">
        <f t="shared" si="213"/>
        <v>0</v>
      </c>
      <c r="Y1012" s="270">
        <f>IF(L1012="Complex",(INDEX('Escalators '!$M$176:$S$176,MATCH('Forecast capex'!J1012,'Escalators '!$M$178:$S$178,0))/12+1)^((K1012-J1012)*12)-1,0)</f>
        <v>3.5566952945970565E-2</v>
      </c>
      <c r="Z1012" s="257">
        <f t="shared" si="214"/>
        <v>0</v>
      </c>
      <c r="AA1012" s="257">
        <f t="shared" si="215"/>
        <v>0</v>
      </c>
      <c r="AB1012" s="269">
        <f t="shared" si="216"/>
        <v>0</v>
      </c>
      <c r="AC1012" s="269">
        <f t="shared" si="217"/>
        <v>0</v>
      </c>
      <c r="AD1012" s="271" t="str">
        <f>INDEX('Global inputs'!$C$134:$C$171,MATCH(F1012,'Global inputs'!$B$134:$B$171,0))</f>
        <v xml:space="preserve">System growth </v>
      </c>
      <c r="AE1012" s="272">
        <f>IF(OR(H1012='Operating leases'!$B$32,H1012='Operating leases'!$B$33),"",INDEX('Global inputs'!$C$186:$C$243,MATCH(E1012,'Global inputs'!$B$186:$B$243,0)))</f>
        <v>0.08</v>
      </c>
    </row>
    <row r="1013" spans="1:31" s="27" customFormat="1" x14ac:dyDescent="0.2">
      <c r="A1013" s="250"/>
      <c r="B1013" s="210" t="s">
        <v>746</v>
      </c>
      <c r="C1013" s="210" t="s">
        <v>285</v>
      </c>
      <c r="D1013" s="210" t="s">
        <v>223</v>
      </c>
      <c r="E1013" s="210" t="s">
        <v>134</v>
      </c>
      <c r="F1013" s="210" t="s">
        <v>76</v>
      </c>
      <c r="G1013" s="210" t="s">
        <v>726</v>
      </c>
      <c r="H1013" s="197">
        <v>0</v>
      </c>
      <c r="I1013" s="210" t="s">
        <v>221</v>
      </c>
      <c r="J1013" s="210">
        <v>2023</v>
      </c>
      <c r="K1013" s="210">
        <v>2024</v>
      </c>
      <c r="L1013" s="268" t="str">
        <f t="shared" si="205"/>
        <v>Complex</v>
      </c>
      <c r="M1013" s="197">
        <v>0</v>
      </c>
      <c r="N1013" s="197">
        <v>0</v>
      </c>
      <c r="O1013" s="257">
        <f>IF(ISNA(MATCH(H1013,'Operating leases'!$B$32:$B$43,0)),0,INDEX('Operating leases'!$M$32:$S$43,MATCH(H1013,'Operating leases'!$B$32:$B$43,0),MATCH(J1013,'Operating leases'!$M$11:$S$11,0)))</f>
        <v>0</v>
      </c>
      <c r="P1013" s="257">
        <f t="shared" si="206"/>
        <v>0</v>
      </c>
      <c r="Q1013" s="257">
        <f t="shared" si="207"/>
        <v>0</v>
      </c>
      <c r="R1013" s="258">
        <f>INDEX('Escalators '!$M$124:$S$129,MATCH(I1013,'Escalators '!$B$124:$B$129,0),MATCH(J1013,'Escalators '!$M$113:$S$113,0))</f>
        <v>1.0486791854231625</v>
      </c>
      <c r="S1013" s="257">
        <f t="shared" si="208"/>
        <v>0</v>
      </c>
      <c r="T1013" s="257">
        <f t="shared" si="209"/>
        <v>0</v>
      </c>
      <c r="U1013" s="269">
        <f t="shared" si="210"/>
        <v>0</v>
      </c>
      <c r="V1013" s="269">
        <f t="shared" si="211"/>
        <v>0</v>
      </c>
      <c r="W1013" s="269">
        <f t="shared" si="212"/>
        <v>0</v>
      </c>
      <c r="X1013" s="257">
        <f t="shared" si="213"/>
        <v>0</v>
      </c>
      <c r="Y1013" s="270">
        <f>IF(L1013="Complex",(INDEX('Escalators '!$M$176:$S$176,MATCH('Forecast capex'!J1013,'Escalators '!$M$178:$S$178,0))/12+1)^((K1013-J1013)*12)-1,0)</f>
        <v>3.5566952945970565E-2</v>
      </c>
      <c r="Z1013" s="257">
        <f t="shared" si="214"/>
        <v>0</v>
      </c>
      <c r="AA1013" s="257">
        <f t="shared" si="215"/>
        <v>0</v>
      </c>
      <c r="AB1013" s="269">
        <f t="shared" si="216"/>
        <v>0</v>
      </c>
      <c r="AC1013" s="269">
        <f t="shared" si="217"/>
        <v>0</v>
      </c>
      <c r="AD1013" s="271" t="str">
        <f>INDEX('Global inputs'!$C$134:$C$171,MATCH(F1013,'Global inputs'!$B$134:$B$171,0))</f>
        <v xml:space="preserve">System growth </v>
      </c>
      <c r="AE1013" s="272">
        <f>IF(OR(H1013='Operating leases'!$B$32,H1013='Operating leases'!$B$33),"",INDEX('Global inputs'!$C$186:$C$243,MATCH(E1013,'Global inputs'!$B$186:$B$243,0)))</f>
        <v>0.08</v>
      </c>
    </row>
    <row r="1014" spans="1:31" s="27" customFormat="1" x14ac:dyDescent="0.2">
      <c r="A1014" s="250"/>
      <c r="B1014" s="210" t="s">
        <v>746</v>
      </c>
      <c r="C1014" s="210" t="s">
        <v>284</v>
      </c>
      <c r="D1014" s="210" t="s">
        <v>729</v>
      </c>
      <c r="E1014" s="210" t="s">
        <v>127</v>
      </c>
      <c r="F1014" s="210" t="s">
        <v>76</v>
      </c>
      <c r="G1014" s="210" t="s">
        <v>730</v>
      </c>
      <c r="H1014" s="197">
        <v>0</v>
      </c>
      <c r="I1014" s="210" t="s">
        <v>225</v>
      </c>
      <c r="J1014" s="210">
        <v>2023</v>
      </c>
      <c r="K1014" s="210">
        <v>2024</v>
      </c>
      <c r="L1014" s="268" t="str">
        <f t="shared" si="205"/>
        <v>Complex</v>
      </c>
      <c r="M1014" s="197">
        <v>0</v>
      </c>
      <c r="N1014" s="197">
        <v>0</v>
      </c>
      <c r="O1014" s="257">
        <f>IF(ISNA(MATCH(H1014,'Operating leases'!$B$32:$B$43,0)),0,INDEX('Operating leases'!$M$32:$S$43,MATCH(H1014,'Operating leases'!$B$32:$B$43,0),MATCH(J1014,'Operating leases'!$M$11:$S$11,0)))</f>
        <v>0</v>
      </c>
      <c r="P1014" s="257">
        <f t="shared" si="206"/>
        <v>0</v>
      </c>
      <c r="Q1014" s="257">
        <f t="shared" si="207"/>
        <v>0</v>
      </c>
      <c r="R1014" s="258">
        <f>INDEX('Escalators '!$M$124:$S$129,MATCH(I1014,'Escalators '!$B$124:$B$129,0),MATCH(J1014,'Escalators '!$M$113:$S$113,0))</f>
        <v>1.0700187037302984</v>
      </c>
      <c r="S1014" s="257">
        <f t="shared" si="208"/>
        <v>0</v>
      </c>
      <c r="T1014" s="257">
        <f t="shared" si="209"/>
        <v>0</v>
      </c>
      <c r="U1014" s="269">
        <f t="shared" si="210"/>
        <v>0</v>
      </c>
      <c r="V1014" s="269">
        <f t="shared" si="211"/>
        <v>0</v>
      </c>
      <c r="W1014" s="269">
        <f t="shared" si="212"/>
        <v>0</v>
      </c>
      <c r="X1014" s="257">
        <f t="shared" si="213"/>
        <v>0</v>
      </c>
      <c r="Y1014" s="270">
        <f>IF(L1014="Complex",(INDEX('Escalators '!$M$176:$S$176,MATCH('Forecast capex'!J1014,'Escalators '!$M$178:$S$178,0))/12+1)^((K1014-J1014)*12)-1,0)</f>
        <v>3.5566952945970565E-2</v>
      </c>
      <c r="Z1014" s="257">
        <f t="shared" si="214"/>
        <v>0</v>
      </c>
      <c r="AA1014" s="257">
        <f t="shared" si="215"/>
        <v>0</v>
      </c>
      <c r="AB1014" s="269">
        <f t="shared" si="216"/>
        <v>0</v>
      </c>
      <c r="AC1014" s="269">
        <f t="shared" si="217"/>
        <v>0</v>
      </c>
      <c r="AD1014" s="271" t="str">
        <f>INDEX('Global inputs'!$C$134:$C$171,MATCH(F1014,'Global inputs'!$B$134:$B$171,0))</f>
        <v xml:space="preserve">System growth </v>
      </c>
      <c r="AE1014" s="272">
        <f>IF(OR(H1014='Operating leases'!$B$32,H1014='Operating leases'!$B$33),"",INDEX('Global inputs'!$C$186:$C$243,MATCH(E1014,'Global inputs'!$B$186:$B$243,0)))</f>
        <v>0.08</v>
      </c>
    </row>
    <row r="1015" spans="1:31" s="27" customFormat="1" x14ac:dyDescent="0.2">
      <c r="A1015" s="250"/>
      <c r="B1015" s="210" t="s">
        <v>746</v>
      </c>
      <c r="C1015" s="210" t="s">
        <v>284</v>
      </c>
      <c r="D1015" s="210" t="s">
        <v>729</v>
      </c>
      <c r="E1015" s="210" t="s">
        <v>127</v>
      </c>
      <c r="F1015" s="210" t="s">
        <v>76</v>
      </c>
      <c r="G1015" s="210" t="s">
        <v>730</v>
      </c>
      <c r="H1015" s="197">
        <v>0</v>
      </c>
      <c r="I1015" s="210" t="s">
        <v>221</v>
      </c>
      <c r="J1015" s="210">
        <v>2023</v>
      </c>
      <c r="K1015" s="210">
        <v>2024</v>
      </c>
      <c r="L1015" s="268" t="str">
        <f t="shared" si="205"/>
        <v>Complex</v>
      </c>
      <c r="M1015" s="197">
        <v>0</v>
      </c>
      <c r="N1015" s="197">
        <v>0</v>
      </c>
      <c r="O1015" s="257">
        <f>IF(ISNA(MATCH(H1015,'Operating leases'!$B$32:$B$43,0)),0,INDEX('Operating leases'!$M$32:$S$43,MATCH(H1015,'Operating leases'!$B$32:$B$43,0),MATCH(J1015,'Operating leases'!$M$11:$S$11,0)))</f>
        <v>0</v>
      </c>
      <c r="P1015" s="257">
        <f t="shared" si="206"/>
        <v>0</v>
      </c>
      <c r="Q1015" s="257">
        <f t="shared" si="207"/>
        <v>0</v>
      </c>
      <c r="R1015" s="258">
        <f>INDEX('Escalators '!$M$124:$S$129,MATCH(I1015,'Escalators '!$B$124:$B$129,0),MATCH(J1015,'Escalators '!$M$113:$S$113,0))</f>
        <v>1.0486791854231625</v>
      </c>
      <c r="S1015" s="257">
        <f t="shared" si="208"/>
        <v>0</v>
      </c>
      <c r="T1015" s="257">
        <f t="shared" si="209"/>
        <v>0</v>
      </c>
      <c r="U1015" s="269">
        <f t="shared" si="210"/>
        <v>0</v>
      </c>
      <c r="V1015" s="269">
        <f t="shared" si="211"/>
        <v>0</v>
      </c>
      <c r="W1015" s="269">
        <f t="shared" si="212"/>
        <v>0</v>
      </c>
      <c r="X1015" s="257">
        <f t="shared" si="213"/>
        <v>0</v>
      </c>
      <c r="Y1015" s="270">
        <f>IF(L1015="Complex",(INDEX('Escalators '!$M$176:$S$176,MATCH('Forecast capex'!J1015,'Escalators '!$M$178:$S$178,0))/12+1)^((K1015-J1015)*12)-1,0)</f>
        <v>3.5566952945970565E-2</v>
      </c>
      <c r="Z1015" s="257">
        <f t="shared" si="214"/>
        <v>0</v>
      </c>
      <c r="AA1015" s="257">
        <f t="shared" si="215"/>
        <v>0</v>
      </c>
      <c r="AB1015" s="269">
        <f t="shared" si="216"/>
        <v>0</v>
      </c>
      <c r="AC1015" s="269">
        <f t="shared" si="217"/>
        <v>0</v>
      </c>
      <c r="AD1015" s="271" t="str">
        <f>INDEX('Global inputs'!$C$134:$C$171,MATCH(F1015,'Global inputs'!$B$134:$B$171,0))</f>
        <v xml:space="preserve">System growth </v>
      </c>
      <c r="AE1015" s="272">
        <f>IF(OR(H1015='Operating leases'!$B$32,H1015='Operating leases'!$B$33),"",INDEX('Global inputs'!$C$186:$C$243,MATCH(E1015,'Global inputs'!$B$186:$B$243,0)))</f>
        <v>0.08</v>
      </c>
    </row>
    <row r="1016" spans="1:31" s="27" customFormat="1" x14ac:dyDescent="0.2">
      <c r="A1016" s="250"/>
      <c r="B1016" s="210" t="s">
        <v>746</v>
      </c>
      <c r="C1016" s="210" t="s">
        <v>284</v>
      </c>
      <c r="D1016" s="210" t="s">
        <v>729</v>
      </c>
      <c r="E1016" s="210" t="s">
        <v>129</v>
      </c>
      <c r="F1016" s="210" t="s">
        <v>76</v>
      </c>
      <c r="G1016" s="210" t="s">
        <v>730</v>
      </c>
      <c r="H1016" s="197">
        <v>0</v>
      </c>
      <c r="I1016" s="210" t="s">
        <v>225</v>
      </c>
      <c r="J1016" s="210">
        <v>2023</v>
      </c>
      <c r="K1016" s="210">
        <v>2024</v>
      </c>
      <c r="L1016" s="268" t="str">
        <f t="shared" si="205"/>
        <v>Complex</v>
      </c>
      <c r="M1016" s="197">
        <v>0</v>
      </c>
      <c r="N1016" s="197">
        <v>0</v>
      </c>
      <c r="O1016" s="257">
        <f>IF(ISNA(MATCH(H1016,'Operating leases'!$B$32:$B$43,0)),0,INDEX('Operating leases'!$M$32:$S$43,MATCH(H1016,'Operating leases'!$B$32:$B$43,0),MATCH(J1016,'Operating leases'!$M$11:$S$11,0)))</f>
        <v>0</v>
      </c>
      <c r="P1016" s="257">
        <f t="shared" si="206"/>
        <v>0</v>
      </c>
      <c r="Q1016" s="257">
        <f t="shared" si="207"/>
        <v>0</v>
      </c>
      <c r="R1016" s="258">
        <f>INDEX('Escalators '!$M$124:$S$129,MATCH(I1016,'Escalators '!$B$124:$B$129,0),MATCH(J1016,'Escalators '!$M$113:$S$113,0))</f>
        <v>1.0700187037302984</v>
      </c>
      <c r="S1016" s="257">
        <f t="shared" si="208"/>
        <v>0</v>
      </c>
      <c r="T1016" s="257">
        <f t="shared" si="209"/>
        <v>0</v>
      </c>
      <c r="U1016" s="269">
        <f t="shared" si="210"/>
        <v>0</v>
      </c>
      <c r="V1016" s="269">
        <f t="shared" si="211"/>
        <v>0</v>
      </c>
      <c r="W1016" s="269">
        <f t="shared" si="212"/>
        <v>0</v>
      </c>
      <c r="X1016" s="257">
        <f t="shared" si="213"/>
        <v>0</v>
      </c>
      <c r="Y1016" s="270">
        <f>IF(L1016="Complex",(INDEX('Escalators '!$M$176:$S$176,MATCH('Forecast capex'!J1016,'Escalators '!$M$178:$S$178,0))/12+1)^((K1016-J1016)*12)-1,0)</f>
        <v>3.5566952945970565E-2</v>
      </c>
      <c r="Z1016" s="257">
        <f t="shared" si="214"/>
        <v>0</v>
      </c>
      <c r="AA1016" s="257">
        <f t="shared" si="215"/>
        <v>0</v>
      </c>
      <c r="AB1016" s="269">
        <f t="shared" si="216"/>
        <v>0</v>
      </c>
      <c r="AC1016" s="269">
        <f t="shared" si="217"/>
        <v>0</v>
      </c>
      <c r="AD1016" s="271" t="str">
        <f>INDEX('Global inputs'!$C$134:$C$171,MATCH(F1016,'Global inputs'!$B$134:$B$171,0))</f>
        <v xml:space="preserve">System growth </v>
      </c>
      <c r="AE1016" s="272">
        <f>IF(OR(H1016='Operating leases'!$B$32,H1016='Operating leases'!$B$33),"",INDEX('Global inputs'!$C$186:$C$243,MATCH(E1016,'Global inputs'!$B$186:$B$243,0)))</f>
        <v>0.1</v>
      </c>
    </row>
    <row r="1017" spans="1:31" s="27" customFormat="1" x14ac:dyDescent="0.2">
      <c r="A1017" s="250"/>
      <c r="B1017" s="210" t="s">
        <v>746</v>
      </c>
      <c r="C1017" s="210" t="s">
        <v>284</v>
      </c>
      <c r="D1017" s="210" t="s">
        <v>729</v>
      </c>
      <c r="E1017" s="210" t="s">
        <v>129</v>
      </c>
      <c r="F1017" s="210" t="s">
        <v>76</v>
      </c>
      <c r="G1017" s="210" t="s">
        <v>730</v>
      </c>
      <c r="H1017" s="197">
        <v>0</v>
      </c>
      <c r="I1017" s="210" t="s">
        <v>221</v>
      </c>
      <c r="J1017" s="210">
        <v>2023</v>
      </c>
      <c r="K1017" s="210">
        <v>2024</v>
      </c>
      <c r="L1017" s="268" t="str">
        <f t="shared" si="205"/>
        <v>Complex</v>
      </c>
      <c r="M1017" s="197">
        <v>0</v>
      </c>
      <c r="N1017" s="197">
        <v>0</v>
      </c>
      <c r="O1017" s="257">
        <f>IF(ISNA(MATCH(H1017,'Operating leases'!$B$32:$B$43,0)),0,INDEX('Operating leases'!$M$32:$S$43,MATCH(H1017,'Operating leases'!$B$32:$B$43,0),MATCH(J1017,'Operating leases'!$M$11:$S$11,0)))</f>
        <v>0</v>
      </c>
      <c r="P1017" s="257">
        <f t="shared" si="206"/>
        <v>0</v>
      </c>
      <c r="Q1017" s="257">
        <f t="shared" si="207"/>
        <v>0</v>
      </c>
      <c r="R1017" s="258">
        <f>INDEX('Escalators '!$M$124:$S$129,MATCH(I1017,'Escalators '!$B$124:$B$129,0),MATCH(J1017,'Escalators '!$M$113:$S$113,0))</f>
        <v>1.0486791854231625</v>
      </c>
      <c r="S1017" s="257">
        <f t="shared" si="208"/>
        <v>0</v>
      </c>
      <c r="T1017" s="257">
        <f t="shared" si="209"/>
        <v>0</v>
      </c>
      <c r="U1017" s="269">
        <f t="shared" si="210"/>
        <v>0</v>
      </c>
      <c r="V1017" s="269">
        <f t="shared" si="211"/>
        <v>0</v>
      </c>
      <c r="W1017" s="269">
        <f t="shared" si="212"/>
        <v>0</v>
      </c>
      <c r="X1017" s="257">
        <f t="shared" si="213"/>
        <v>0</v>
      </c>
      <c r="Y1017" s="270">
        <f>IF(L1017="Complex",(INDEX('Escalators '!$M$176:$S$176,MATCH('Forecast capex'!J1017,'Escalators '!$M$178:$S$178,0))/12+1)^((K1017-J1017)*12)-1,0)</f>
        <v>3.5566952945970565E-2</v>
      </c>
      <c r="Z1017" s="257">
        <f t="shared" si="214"/>
        <v>0</v>
      </c>
      <c r="AA1017" s="257">
        <f t="shared" si="215"/>
        <v>0</v>
      </c>
      <c r="AB1017" s="269">
        <f t="shared" si="216"/>
        <v>0</v>
      </c>
      <c r="AC1017" s="269">
        <f t="shared" si="217"/>
        <v>0</v>
      </c>
      <c r="AD1017" s="271" t="str">
        <f>INDEX('Global inputs'!$C$134:$C$171,MATCH(F1017,'Global inputs'!$B$134:$B$171,0))</f>
        <v xml:space="preserve">System growth </v>
      </c>
      <c r="AE1017" s="272">
        <f>IF(OR(H1017='Operating leases'!$B$32,H1017='Operating leases'!$B$33),"",INDEX('Global inputs'!$C$186:$C$243,MATCH(E1017,'Global inputs'!$B$186:$B$243,0)))</f>
        <v>0.1</v>
      </c>
    </row>
    <row r="1018" spans="1:31" s="27" customFormat="1" x14ac:dyDescent="0.2">
      <c r="A1018" s="250"/>
      <c r="B1018" s="210" t="s">
        <v>746</v>
      </c>
      <c r="C1018" s="210" t="s">
        <v>286</v>
      </c>
      <c r="D1018" s="210" t="s">
        <v>732</v>
      </c>
      <c r="E1018" s="210" t="s">
        <v>143</v>
      </c>
      <c r="F1018" s="210" t="s">
        <v>76</v>
      </c>
      <c r="G1018" s="210" t="s">
        <v>734</v>
      </c>
      <c r="H1018" s="197">
        <v>0</v>
      </c>
      <c r="I1018" s="210" t="s">
        <v>142</v>
      </c>
      <c r="J1018" s="210">
        <v>2023</v>
      </c>
      <c r="K1018" s="210">
        <v>2024</v>
      </c>
      <c r="L1018" s="268" t="str">
        <f t="shared" si="205"/>
        <v>Complex</v>
      </c>
      <c r="M1018" s="197">
        <v>0</v>
      </c>
      <c r="N1018" s="197">
        <v>0</v>
      </c>
      <c r="O1018" s="257">
        <f>IF(ISNA(MATCH(H1018,'Operating leases'!$B$32:$B$43,0)),0,INDEX('Operating leases'!$M$32:$S$43,MATCH(H1018,'Operating leases'!$B$32:$B$43,0),MATCH(J1018,'Operating leases'!$M$11:$S$11,0)))</f>
        <v>0</v>
      </c>
      <c r="P1018" s="257">
        <f t="shared" si="206"/>
        <v>0</v>
      </c>
      <c r="Q1018" s="257">
        <f t="shared" si="207"/>
        <v>0</v>
      </c>
      <c r="R1018" s="258">
        <f>INDEX('Escalators '!$M$124:$S$129,MATCH(I1018,'Escalators '!$B$124:$B$129,0),MATCH(J1018,'Escalators '!$M$113:$S$113,0))</f>
        <v>1.0483686625768949</v>
      </c>
      <c r="S1018" s="257">
        <f t="shared" si="208"/>
        <v>0</v>
      </c>
      <c r="T1018" s="257">
        <f t="shared" si="209"/>
        <v>0</v>
      </c>
      <c r="U1018" s="269">
        <f t="shared" si="210"/>
        <v>0</v>
      </c>
      <c r="V1018" s="269">
        <f t="shared" si="211"/>
        <v>0</v>
      </c>
      <c r="W1018" s="269">
        <f t="shared" si="212"/>
        <v>0</v>
      </c>
      <c r="X1018" s="257">
        <f t="shared" si="213"/>
        <v>0</v>
      </c>
      <c r="Y1018" s="270">
        <f>IF(L1018="Complex",(INDEX('Escalators '!$M$176:$S$176,MATCH('Forecast capex'!J1018,'Escalators '!$M$178:$S$178,0))/12+1)^((K1018-J1018)*12)-1,0)</f>
        <v>3.5566952945970565E-2</v>
      </c>
      <c r="Z1018" s="257">
        <f t="shared" si="214"/>
        <v>0</v>
      </c>
      <c r="AA1018" s="257">
        <f t="shared" si="215"/>
        <v>0</v>
      </c>
      <c r="AB1018" s="269">
        <f t="shared" si="216"/>
        <v>0</v>
      </c>
      <c r="AC1018" s="269">
        <f t="shared" si="217"/>
        <v>0</v>
      </c>
      <c r="AD1018" s="271" t="str">
        <f>INDEX('Global inputs'!$C$134:$C$171,MATCH(F1018,'Global inputs'!$B$134:$B$171,0))</f>
        <v xml:space="preserve">System growth </v>
      </c>
      <c r="AE1018" s="272">
        <f>IF(OR(H1018='Operating leases'!$B$32,H1018='Operating leases'!$B$33),"",INDEX('Global inputs'!$C$186:$C$243,MATCH(E1018,'Global inputs'!$B$186:$B$243,0)))</f>
        <v>0.08</v>
      </c>
    </row>
    <row r="1019" spans="1:31" s="27" customFormat="1" x14ac:dyDescent="0.2">
      <c r="A1019" s="250"/>
      <c r="B1019" s="210" t="s">
        <v>746</v>
      </c>
      <c r="C1019" s="210" t="s">
        <v>286</v>
      </c>
      <c r="D1019" s="210" t="s">
        <v>732</v>
      </c>
      <c r="E1019" s="210" t="s">
        <v>143</v>
      </c>
      <c r="F1019" s="210" t="s">
        <v>76</v>
      </c>
      <c r="G1019" s="210" t="s">
        <v>734</v>
      </c>
      <c r="H1019" s="197">
        <v>0</v>
      </c>
      <c r="I1019" s="210" t="s">
        <v>221</v>
      </c>
      <c r="J1019" s="210">
        <v>2023</v>
      </c>
      <c r="K1019" s="210">
        <v>2024</v>
      </c>
      <c r="L1019" s="268" t="str">
        <f t="shared" si="205"/>
        <v>Complex</v>
      </c>
      <c r="M1019" s="197">
        <v>0</v>
      </c>
      <c r="N1019" s="197">
        <v>0</v>
      </c>
      <c r="O1019" s="257">
        <f>IF(ISNA(MATCH(H1019,'Operating leases'!$B$32:$B$43,0)),0,INDEX('Operating leases'!$M$32:$S$43,MATCH(H1019,'Operating leases'!$B$32:$B$43,0),MATCH(J1019,'Operating leases'!$M$11:$S$11,0)))</f>
        <v>0</v>
      </c>
      <c r="P1019" s="257">
        <f t="shared" si="206"/>
        <v>0</v>
      </c>
      <c r="Q1019" s="257">
        <f t="shared" si="207"/>
        <v>0</v>
      </c>
      <c r="R1019" s="258">
        <f>INDEX('Escalators '!$M$124:$S$129,MATCH(I1019,'Escalators '!$B$124:$B$129,0),MATCH(J1019,'Escalators '!$M$113:$S$113,0))</f>
        <v>1.0486791854231625</v>
      </c>
      <c r="S1019" s="257">
        <f t="shared" si="208"/>
        <v>0</v>
      </c>
      <c r="T1019" s="257">
        <f t="shared" si="209"/>
        <v>0</v>
      </c>
      <c r="U1019" s="269">
        <f t="shared" si="210"/>
        <v>0</v>
      </c>
      <c r="V1019" s="269">
        <f t="shared" si="211"/>
        <v>0</v>
      </c>
      <c r="W1019" s="269">
        <f t="shared" si="212"/>
        <v>0</v>
      </c>
      <c r="X1019" s="257">
        <f t="shared" si="213"/>
        <v>0</v>
      </c>
      <c r="Y1019" s="270">
        <f>IF(L1019="Complex",(INDEX('Escalators '!$M$176:$S$176,MATCH('Forecast capex'!J1019,'Escalators '!$M$178:$S$178,0))/12+1)^((K1019-J1019)*12)-1,0)</f>
        <v>3.5566952945970565E-2</v>
      </c>
      <c r="Z1019" s="257">
        <f t="shared" si="214"/>
        <v>0</v>
      </c>
      <c r="AA1019" s="257">
        <f t="shared" si="215"/>
        <v>0</v>
      </c>
      <c r="AB1019" s="269">
        <f t="shared" si="216"/>
        <v>0</v>
      </c>
      <c r="AC1019" s="269">
        <f t="shared" si="217"/>
        <v>0</v>
      </c>
      <c r="AD1019" s="271" t="str">
        <f>INDEX('Global inputs'!$C$134:$C$171,MATCH(F1019,'Global inputs'!$B$134:$B$171,0))</f>
        <v xml:space="preserve">System growth </v>
      </c>
      <c r="AE1019" s="272">
        <f>IF(OR(H1019='Operating leases'!$B$32,H1019='Operating leases'!$B$33),"",INDEX('Global inputs'!$C$186:$C$243,MATCH(E1019,'Global inputs'!$B$186:$B$243,0)))</f>
        <v>0.08</v>
      </c>
    </row>
    <row r="1020" spans="1:31" s="27" customFormat="1" x14ac:dyDescent="0.2">
      <c r="A1020" s="250"/>
      <c r="B1020" s="210" t="s">
        <v>746</v>
      </c>
      <c r="C1020" s="210" t="s">
        <v>286</v>
      </c>
      <c r="D1020" s="210" t="s">
        <v>732</v>
      </c>
      <c r="E1020" s="210" t="s">
        <v>140</v>
      </c>
      <c r="F1020" s="210" t="s">
        <v>84</v>
      </c>
      <c r="G1020" s="210" t="s">
        <v>733</v>
      </c>
      <c r="H1020" s="197">
        <v>0</v>
      </c>
      <c r="I1020" s="210" t="s">
        <v>142</v>
      </c>
      <c r="J1020" s="210">
        <v>2023</v>
      </c>
      <c r="K1020" s="210">
        <v>2024</v>
      </c>
      <c r="L1020" s="268" t="str">
        <f t="shared" si="205"/>
        <v>Complex</v>
      </c>
      <c r="M1020" s="197">
        <v>0</v>
      </c>
      <c r="N1020" s="197">
        <v>0</v>
      </c>
      <c r="O1020" s="257">
        <f>IF(ISNA(MATCH(H1020,'Operating leases'!$B$32:$B$43,0)),0,INDEX('Operating leases'!$M$32:$S$43,MATCH(H1020,'Operating leases'!$B$32:$B$43,0),MATCH(J1020,'Operating leases'!$M$11:$S$11,0)))</f>
        <v>0</v>
      </c>
      <c r="P1020" s="257">
        <f t="shared" si="206"/>
        <v>0</v>
      </c>
      <c r="Q1020" s="257">
        <f t="shared" si="207"/>
        <v>0</v>
      </c>
      <c r="R1020" s="258">
        <f>INDEX('Escalators '!$M$124:$S$129,MATCH(I1020,'Escalators '!$B$124:$B$129,0),MATCH(J1020,'Escalators '!$M$113:$S$113,0))</f>
        <v>1.0483686625768949</v>
      </c>
      <c r="S1020" s="257">
        <f t="shared" si="208"/>
        <v>0</v>
      </c>
      <c r="T1020" s="257">
        <f t="shared" si="209"/>
        <v>0</v>
      </c>
      <c r="U1020" s="269">
        <f t="shared" si="210"/>
        <v>0</v>
      </c>
      <c r="V1020" s="269">
        <f t="shared" si="211"/>
        <v>0</v>
      </c>
      <c r="W1020" s="269">
        <f t="shared" si="212"/>
        <v>0</v>
      </c>
      <c r="X1020" s="257">
        <f t="shared" si="213"/>
        <v>0</v>
      </c>
      <c r="Y1020" s="270">
        <f>IF(L1020="Complex",(INDEX('Escalators '!$M$176:$S$176,MATCH('Forecast capex'!J1020,'Escalators '!$M$178:$S$178,0))/12+1)^((K1020-J1020)*12)-1,0)</f>
        <v>3.5566952945970565E-2</v>
      </c>
      <c r="Z1020" s="257">
        <f t="shared" si="214"/>
        <v>0</v>
      </c>
      <c r="AA1020" s="257">
        <f t="shared" si="215"/>
        <v>0</v>
      </c>
      <c r="AB1020" s="269">
        <f t="shared" si="216"/>
        <v>0</v>
      </c>
      <c r="AC1020" s="269">
        <f t="shared" si="217"/>
        <v>0</v>
      </c>
      <c r="AD1020" s="271" t="str">
        <f>INDEX('Global inputs'!$C$134:$C$171,MATCH(F1020,'Global inputs'!$B$134:$B$171,0))</f>
        <v xml:space="preserve">System growth </v>
      </c>
      <c r="AE1020" s="272">
        <f>IF(OR(H1020='Operating leases'!$B$32,H1020='Operating leases'!$B$33),"",INDEX('Global inputs'!$C$186:$C$243,MATCH(E1020,'Global inputs'!$B$186:$B$243,0)))</f>
        <v>0.08</v>
      </c>
    </row>
    <row r="1021" spans="1:31" s="27" customFormat="1" x14ac:dyDescent="0.2">
      <c r="A1021" s="250"/>
      <c r="B1021" s="210" t="s">
        <v>746</v>
      </c>
      <c r="C1021" s="210" t="s">
        <v>286</v>
      </c>
      <c r="D1021" s="210" t="s">
        <v>732</v>
      </c>
      <c r="E1021" s="210" t="s">
        <v>140</v>
      </c>
      <c r="F1021" s="210" t="s">
        <v>84</v>
      </c>
      <c r="G1021" s="210" t="s">
        <v>733</v>
      </c>
      <c r="H1021" s="197">
        <v>0</v>
      </c>
      <c r="I1021" s="210" t="s">
        <v>221</v>
      </c>
      <c r="J1021" s="210">
        <v>2023</v>
      </c>
      <c r="K1021" s="210">
        <v>2024</v>
      </c>
      <c r="L1021" s="268" t="str">
        <f t="shared" si="205"/>
        <v>Complex</v>
      </c>
      <c r="M1021" s="197">
        <v>0</v>
      </c>
      <c r="N1021" s="197">
        <v>0</v>
      </c>
      <c r="O1021" s="257">
        <f>IF(ISNA(MATCH(H1021,'Operating leases'!$B$32:$B$43,0)),0,INDEX('Operating leases'!$M$32:$S$43,MATCH(H1021,'Operating leases'!$B$32:$B$43,0),MATCH(J1021,'Operating leases'!$M$11:$S$11,0)))</f>
        <v>0</v>
      </c>
      <c r="P1021" s="257">
        <f t="shared" si="206"/>
        <v>0</v>
      </c>
      <c r="Q1021" s="257">
        <f t="shared" si="207"/>
        <v>0</v>
      </c>
      <c r="R1021" s="258">
        <f>INDEX('Escalators '!$M$124:$S$129,MATCH(I1021,'Escalators '!$B$124:$B$129,0),MATCH(J1021,'Escalators '!$M$113:$S$113,0))</f>
        <v>1.0486791854231625</v>
      </c>
      <c r="S1021" s="257">
        <f t="shared" si="208"/>
        <v>0</v>
      </c>
      <c r="T1021" s="257">
        <f t="shared" si="209"/>
        <v>0</v>
      </c>
      <c r="U1021" s="269">
        <f t="shared" si="210"/>
        <v>0</v>
      </c>
      <c r="V1021" s="269">
        <f t="shared" si="211"/>
        <v>0</v>
      </c>
      <c r="W1021" s="269">
        <f t="shared" si="212"/>
        <v>0</v>
      </c>
      <c r="X1021" s="257">
        <f t="shared" si="213"/>
        <v>0</v>
      </c>
      <c r="Y1021" s="270">
        <f>IF(L1021="Complex",(INDEX('Escalators '!$M$176:$S$176,MATCH('Forecast capex'!J1021,'Escalators '!$M$178:$S$178,0))/12+1)^((K1021-J1021)*12)-1,0)</f>
        <v>3.5566952945970565E-2</v>
      </c>
      <c r="Z1021" s="257">
        <f t="shared" si="214"/>
        <v>0</v>
      </c>
      <c r="AA1021" s="257">
        <f t="shared" si="215"/>
        <v>0</v>
      </c>
      <c r="AB1021" s="269">
        <f t="shared" si="216"/>
        <v>0</v>
      </c>
      <c r="AC1021" s="269">
        <f t="shared" si="217"/>
        <v>0</v>
      </c>
      <c r="AD1021" s="271" t="str">
        <f>INDEX('Global inputs'!$C$134:$C$171,MATCH(F1021,'Global inputs'!$B$134:$B$171,0))</f>
        <v xml:space="preserve">System growth </v>
      </c>
      <c r="AE1021" s="272">
        <f>IF(OR(H1021='Operating leases'!$B$32,H1021='Operating leases'!$B$33),"",INDEX('Global inputs'!$C$186:$C$243,MATCH(E1021,'Global inputs'!$B$186:$B$243,0)))</f>
        <v>0.08</v>
      </c>
    </row>
    <row r="1022" spans="1:31" s="27" customFormat="1" x14ac:dyDescent="0.2">
      <c r="A1022" s="250"/>
      <c r="B1022" s="210" t="s">
        <v>746</v>
      </c>
      <c r="C1022" s="210" t="s">
        <v>285</v>
      </c>
      <c r="D1022" s="210" t="s">
        <v>223</v>
      </c>
      <c r="E1022" s="210" t="s">
        <v>134</v>
      </c>
      <c r="F1022" s="210" t="s">
        <v>84</v>
      </c>
      <c r="G1022" s="210" t="s">
        <v>726</v>
      </c>
      <c r="H1022" s="197">
        <v>0</v>
      </c>
      <c r="I1022" s="210" t="s">
        <v>223</v>
      </c>
      <c r="J1022" s="210">
        <v>2023</v>
      </c>
      <c r="K1022" s="210">
        <v>2024</v>
      </c>
      <c r="L1022" s="268" t="str">
        <f t="shared" si="205"/>
        <v>Complex</v>
      </c>
      <c r="M1022" s="197">
        <v>0</v>
      </c>
      <c r="N1022" s="197">
        <v>0</v>
      </c>
      <c r="O1022" s="257">
        <f>IF(ISNA(MATCH(H1022,'Operating leases'!$B$32:$B$43,0)),0,INDEX('Operating leases'!$M$32:$S$43,MATCH(H1022,'Operating leases'!$B$32:$B$43,0),MATCH(J1022,'Operating leases'!$M$11:$S$11,0)))</f>
        <v>0</v>
      </c>
      <c r="P1022" s="257">
        <f t="shared" si="206"/>
        <v>0</v>
      </c>
      <c r="Q1022" s="257">
        <f t="shared" si="207"/>
        <v>0</v>
      </c>
      <c r="R1022" s="258">
        <f>INDEX('Escalators '!$M$124:$S$129,MATCH(I1022,'Escalators '!$B$124:$B$129,0),MATCH(J1022,'Escalators '!$M$113:$S$113,0))</f>
        <v>1.0703240765377642</v>
      </c>
      <c r="S1022" s="257">
        <f t="shared" si="208"/>
        <v>0</v>
      </c>
      <c r="T1022" s="257">
        <f t="shared" si="209"/>
        <v>0</v>
      </c>
      <c r="U1022" s="269">
        <f t="shared" si="210"/>
        <v>0</v>
      </c>
      <c r="V1022" s="269">
        <f t="shared" si="211"/>
        <v>0</v>
      </c>
      <c r="W1022" s="269">
        <f t="shared" si="212"/>
        <v>0</v>
      </c>
      <c r="X1022" s="257">
        <f t="shared" si="213"/>
        <v>0</v>
      </c>
      <c r="Y1022" s="270">
        <f>IF(L1022="Complex",(INDEX('Escalators '!$M$176:$S$176,MATCH('Forecast capex'!J1022,'Escalators '!$M$178:$S$178,0))/12+1)^((K1022-J1022)*12)-1,0)</f>
        <v>3.5566952945970565E-2</v>
      </c>
      <c r="Z1022" s="257">
        <f t="shared" si="214"/>
        <v>0</v>
      </c>
      <c r="AA1022" s="257">
        <f t="shared" si="215"/>
        <v>0</v>
      </c>
      <c r="AB1022" s="269">
        <f t="shared" si="216"/>
        <v>0</v>
      </c>
      <c r="AC1022" s="269">
        <f t="shared" si="217"/>
        <v>0</v>
      </c>
      <c r="AD1022" s="271" t="str">
        <f>INDEX('Global inputs'!$C$134:$C$171,MATCH(F1022,'Global inputs'!$B$134:$B$171,0))</f>
        <v xml:space="preserve">System growth </v>
      </c>
      <c r="AE1022" s="272">
        <f>IF(OR(H1022='Operating leases'!$B$32,H1022='Operating leases'!$B$33),"",INDEX('Global inputs'!$C$186:$C$243,MATCH(E1022,'Global inputs'!$B$186:$B$243,0)))</f>
        <v>0.08</v>
      </c>
    </row>
    <row r="1023" spans="1:31" s="27" customFormat="1" x14ac:dyDescent="0.2">
      <c r="A1023" s="250"/>
      <c r="B1023" s="210" t="s">
        <v>746</v>
      </c>
      <c r="C1023" s="210" t="s">
        <v>285</v>
      </c>
      <c r="D1023" s="210" t="s">
        <v>223</v>
      </c>
      <c r="E1023" s="210" t="s">
        <v>134</v>
      </c>
      <c r="F1023" s="210" t="s">
        <v>84</v>
      </c>
      <c r="G1023" s="210" t="s">
        <v>726</v>
      </c>
      <c r="H1023" s="197">
        <v>0</v>
      </c>
      <c r="I1023" s="210" t="s">
        <v>221</v>
      </c>
      <c r="J1023" s="210">
        <v>2023</v>
      </c>
      <c r="K1023" s="210">
        <v>2024</v>
      </c>
      <c r="L1023" s="268" t="str">
        <f t="shared" si="205"/>
        <v>Complex</v>
      </c>
      <c r="M1023" s="197">
        <v>0</v>
      </c>
      <c r="N1023" s="197">
        <v>0</v>
      </c>
      <c r="O1023" s="257">
        <f>IF(ISNA(MATCH(H1023,'Operating leases'!$B$32:$B$43,0)),0,INDEX('Operating leases'!$M$32:$S$43,MATCH(H1023,'Operating leases'!$B$32:$B$43,0),MATCH(J1023,'Operating leases'!$M$11:$S$11,0)))</f>
        <v>0</v>
      </c>
      <c r="P1023" s="257">
        <f t="shared" si="206"/>
        <v>0</v>
      </c>
      <c r="Q1023" s="257">
        <f t="shared" si="207"/>
        <v>0</v>
      </c>
      <c r="R1023" s="258">
        <f>INDEX('Escalators '!$M$124:$S$129,MATCH(I1023,'Escalators '!$B$124:$B$129,0),MATCH(J1023,'Escalators '!$M$113:$S$113,0))</f>
        <v>1.0486791854231625</v>
      </c>
      <c r="S1023" s="257">
        <f t="shared" si="208"/>
        <v>0</v>
      </c>
      <c r="T1023" s="257">
        <f t="shared" si="209"/>
        <v>0</v>
      </c>
      <c r="U1023" s="269">
        <f t="shared" si="210"/>
        <v>0</v>
      </c>
      <c r="V1023" s="269">
        <f t="shared" si="211"/>
        <v>0</v>
      </c>
      <c r="W1023" s="269">
        <f t="shared" si="212"/>
        <v>0</v>
      </c>
      <c r="X1023" s="257">
        <f t="shared" si="213"/>
        <v>0</v>
      </c>
      <c r="Y1023" s="270">
        <f>IF(L1023="Complex",(INDEX('Escalators '!$M$176:$S$176,MATCH('Forecast capex'!J1023,'Escalators '!$M$178:$S$178,0))/12+1)^((K1023-J1023)*12)-1,0)</f>
        <v>3.5566952945970565E-2</v>
      </c>
      <c r="Z1023" s="257">
        <f t="shared" si="214"/>
        <v>0</v>
      </c>
      <c r="AA1023" s="257">
        <f t="shared" si="215"/>
        <v>0</v>
      </c>
      <c r="AB1023" s="269">
        <f t="shared" si="216"/>
        <v>0</v>
      </c>
      <c r="AC1023" s="269">
        <f t="shared" si="217"/>
        <v>0</v>
      </c>
      <c r="AD1023" s="271" t="str">
        <f>INDEX('Global inputs'!$C$134:$C$171,MATCH(F1023,'Global inputs'!$B$134:$B$171,0))</f>
        <v xml:space="preserve">System growth </v>
      </c>
      <c r="AE1023" s="272">
        <f>IF(OR(H1023='Operating leases'!$B$32,H1023='Operating leases'!$B$33),"",INDEX('Global inputs'!$C$186:$C$243,MATCH(E1023,'Global inputs'!$B$186:$B$243,0)))</f>
        <v>0.08</v>
      </c>
    </row>
    <row r="1024" spans="1:31" s="27" customFormat="1" x14ac:dyDescent="0.2">
      <c r="A1024" s="250"/>
      <c r="B1024" s="210" t="s">
        <v>742</v>
      </c>
      <c r="C1024" s="210" t="s">
        <v>286</v>
      </c>
      <c r="D1024" s="210" t="s">
        <v>732</v>
      </c>
      <c r="E1024" s="210" t="s">
        <v>136</v>
      </c>
      <c r="F1024" s="210" t="s">
        <v>108</v>
      </c>
      <c r="G1024" s="210" t="s">
        <v>751</v>
      </c>
      <c r="H1024" s="197">
        <v>0</v>
      </c>
      <c r="I1024" s="210" t="s">
        <v>221</v>
      </c>
      <c r="J1024" s="210">
        <v>2023</v>
      </c>
      <c r="K1024" s="210">
        <v>2024</v>
      </c>
      <c r="L1024" s="268" t="str">
        <f t="shared" si="205"/>
        <v>Complex</v>
      </c>
      <c r="M1024" s="197">
        <v>114000</v>
      </c>
      <c r="N1024" s="197">
        <v>0</v>
      </c>
      <c r="O1024" s="257">
        <f>IF(ISNA(MATCH(H1024,'Operating leases'!$B$32:$B$43,0)),0,INDEX('Operating leases'!$M$32:$S$43,MATCH(H1024,'Operating leases'!$B$32:$B$43,0),MATCH(J1024,'Operating leases'!$M$11:$S$11,0)))</f>
        <v>0</v>
      </c>
      <c r="P1024" s="257">
        <f t="shared" si="206"/>
        <v>114000</v>
      </c>
      <c r="Q1024" s="257">
        <f t="shared" si="207"/>
        <v>114000</v>
      </c>
      <c r="R1024" s="258">
        <f>INDEX('Escalators '!$M$124:$S$129,MATCH(I1024,'Escalators '!$B$124:$B$129,0),MATCH(J1024,'Escalators '!$M$113:$S$113,0))</f>
        <v>1.0486791854231625</v>
      </c>
      <c r="S1024" s="257">
        <f t="shared" si="208"/>
        <v>0</v>
      </c>
      <c r="T1024" s="257">
        <f t="shared" si="209"/>
        <v>0</v>
      </c>
      <c r="U1024" s="269">
        <f t="shared" si="210"/>
        <v>119549.42713824053</v>
      </c>
      <c r="V1024" s="269">
        <f t="shared" si="211"/>
        <v>119549.42713824053</v>
      </c>
      <c r="W1024" s="269">
        <f t="shared" si="212"/>
        <v>119549.42713824053</v>
      </c>
      <c r="X1024" s="257">
        <f t="shared" si="213"/>
        <v>119549.42713824053</v>
      </c>
      <c r="Y1024" s="270">
        <f>IF(L1024="Complex",(INDEX('Escalators '!$M$176:$S$176,MATCH('Forecast capex'!J1024,'Escalators '!$M$178:$S$178,0))/12+1)^((K1024-J1024)*12)-1,0)</f>
        <v>3.5566952945970565E-2</v>
      </c>
      <c r="Z1024" s="257">
        <f t="shared" si="214"/>
        <v>4054.6326358406445</v>
      </c>
      <c r="AA1024" s="257">
        <f t="shared" si="215"/>
        <v>4252.0088497435372</v>
      </c>
      <c r="AB1024" s="269">
        <f t="shared" si="216"/>
        <v>123801.43598798406</v>
      </c>
      <c r="AC1024" s="269">
        <f t="shared" si="217"/>
        <v>123801.43598798406</v>
      </c>
      <c r="AD1024" s="271" t="str">
        <f>INDEX('Global inputs'!$C$134:$C$171,MATCH(F1024,'Global inputs'!$B$134:$B$171,0))</f>
        <v>Asset replacement and renewal</v>
      </c>
      <c r="AE1024" s="272">
        <f>IF(OR(H1024='Operating leases'!$B$32,H1024='Operating leases'!$B$33),"",INDEX('Global inputs'!$C$186:$C$243,MATCH(E1024,'Global inputs'!$B$186:$B$243,0)))</f>
        <v>0</v>
      </c>
    </row>
    <row r="1025" spans="1:31" s="27" customFormat="1" x14ac:dyDescent="0.2">
      <c r="A1025" s="250"/>
      <c r="B1025" s="210" t="s">
        <v>742</v>
      </c>
      <c r="C1025" s="210" t="s">
        <v>286</v>
      </c>
      <c r="D1025" s="210" t="s">
        <v>732</v>
      </c>
      <c r="E1025" s="210" t="s">
        <v>136</v>
      </c>
      <c r="F1025" s="210" t="s">
        <v>108</v>
      </c>
      <c r="G1025" s="210" t="s">
        <v>751</v>
      </c>
      <c r="H1025" s="197">
        <v>0</v>
      </c>
      <c r="I1025" s="210" t="s">
        <v>229</v>
      </c>
      <c r="J1025" s="210">
        <v>2023</v>
      </c>
      <c r="K1025" s="210">
        <v>2024</v>
      </c>
      <c r="L1025" s="268" t="str">
        <f t="shared" si="205"/>
        <v>Complex</v>
      </c>
      <c r="M1025" s="197">
        <v>114000</v>
      </c>
      <c r="N1025" s="197">
        <v>0</v>
      </c>
      <c r="O1025" s="257">
        <f>IF(ISNA(MATCH(H1025,'Operating leases'!$B$32:$B$43,0)),0,INDEX('Operating leases'!$M$32:$S$43,MATCH(H1025,'Operating leases'!$B$32:$B$43,0),MATCH(J1025,'Operating leases'!$M$11:$S$11,0)))</f>
        <v>0</v>
      </c>
      <c r="P1025" s="257">
        <f t="shared" si="206"/>
        <v>114000</v>
      </c>
      <c r="Q1025" s="257">
        <f t="shared" si="207"/>
        <v>114000</v>
      </c>
      <c r="R1025" s="258">
        <f>INDEX('Escalators '!$M$124:$S$129,MATCH(I1025,'Escalators '!$B$124:$B$129,0),MATCH(J1025,'Escalators '!$M$113:$S$113,0))</f>
        <v>1.0553567720906862</v>
      </c>
      <c r="S1025" s="257">
        <f t="shared" si="208"/>
        <v>0</v>
      </c>
      <c r="T1025" s="257">
        <f t="shared" si="209"/>
        <v>0</v>
      </c>
      <c r="U1025" s="269">
        <f t="shared" si="210"/>
        <v>120310.67201833823</v>
      </c>
      <c r="V1025" s="269">
        <f t="shared" si="211"/>
        <v>120310.67201833823</v>
      </c>
      <c r="W1025" s="269">
        <f t="shared" si="212"/>
        <v>120310.67201833823</v>
      </c>
      <c r="X1025" s="257">
        <f t="shared" si="213"/>
        <v>120310.67201833823</v>
      </c>
      <c r="Y1025" s="270">
        <f>IF(L1025="Complex",(INDEX('Escalators '!$M$176:$S$176,MATCH('Forecast capex'!J1025,'Escalators '!$M$178:$S$178,0))/12+1)^((K1025-J1025)*12)-1,0)</f>
        <v>3.5566952945970565E-2</v>
      </c>
      <c r="Z1025" s="257">
        <f t="shared" si="214"/>
        <v>4054.6326358406445</v>
      </c>
      <c r="AA1025" s="257">
        <f t="shared" si="215"/>
        <v>4279.0840105743337</v>
      </c>
      <c r="AB1025" s="269">
        <f t="shared" si="216"/>
        <v>124589.75602891255</v>
      </c>
      <c r="AC1025" s="269">
        <f t="shared" si="217"/>
        <v>124589.75602891255</v>
      </c>
      <c r="AD1025" s="271" t="str">
        <f>INDEX('Global inputs'!$C$134:$C$171,MATCH(F1025,'Global inputs'!$B$134:$B$171,0))</f>
        <v>Asset replacement and renewal</v>
      </c>
      <c r="AE1025" s="272">
        <f>IF(OR(H1025='Operating leases'!$B$32,H1025='Operating leases'!$B$33),"",INDEX('Global inputs'!$C$186:$C$243,MATCH(E1025,'Global inputs'!$B$186:$B$243,0)))</f>
        <v>0</v>
      </c>
    </row>
    <row r="1026" spans="1:31" s="27" customFormat="1" x14ac:dyDescent="0.2">
      <c r="A1026" s="250"/>
      <c r="B1026" s="210" t="s">
        <v>742</v>
      </c>
      <c r="C1026" s="210" t="s">
        <v>286</v>
      </c>
      <c r="D1026" s="210" t="s">
        <v>732</v>
      </c>
      <c r="E1026" s="210" t="s">
        <v>138</v>
      </c>
      <c r="F1026" s="210" t="s">
        <v>108</v>
      </c>
      <c r="G1026" s="210" t="s">
        <v>752</v>
      </c>
      <c r="H1026" s="197">
        <v>0</v>
      </c>
      <c r="I1026" s="210" t="s">
        <v>221</v>
      </c>
      <c r="J1026" s="210">
        <v>2023</v>
      </c>
      <c r="K1026" s="210">
        <v>2024</v>
      </c>
      <c r="L1026" s="268" t="str">
        <f t="shared" si="205"/>
        <v>Complex</v>
      </c>
      <c r="M1026" s="197">
        <v>23940</v>
      </c>
      <c r="N1026" s="197">
        <v>0</v>
      </c>
      <c r="O1026" s="257">
        <f>IF(ISNA(MATCH(H1026,'Operating leases'!$B$32:$B$43,0)),0,INDEX('Operating leases'!$M$32:$S$43,MATCH(H1026,'Operating leases'!$B$32:$B$43,0),MATCH(J1026,'Operating leases'!$M$11:$S$11,0)))</f>
        <v>0</v>
      </c>
      <c r="P1026" s="257">
        <f t="shared" si="206"/>
        <v>23940</v>
      </c>
      <c r="Q1026" s="257">
        <f t="shared" si="207"/>
        <v>23940</v>
      </c>
      <c r="R1026" s="258">
        <f>INDEX('Escalators '!$M$124:$S$129,MATCH(I1026,'Escalators '!$B$124:$B$129,0),MATCH(J1026,'Escalators '!$M$113:$S$113,0))</f>
        <v>1.0486791854231625</v>
      </c>
      <c r="S1026" s="257">
        <f t="shared" si="208"/>
        <v>0</v>
      </c>
      <c r="T1026" s="257">
        <f t="shared" si="209"/>
        <v>0</v>
      </c>
      <c r="U1026" s="269">
        <f t="shared" si="210"/>
        <v>25105.379699030509</v>
      </c>
      <c r="V1026" s="269">
        <f t="shared" si="211"/>
        <v>25105.379699030509</v>
      </c>
      <c r="W1026" s="269">
        <f t="shared" si="212"/>
        <v>25105.379699030509</v>
      </c>
      <c r="X1026" s="257">
        <f t="shared" si="213"/>
        <v>25105.379699030509</v>
      </c>
      <c r="Y1026" s="270">
        <f>IF(L1026="Complex",(INDEX('Escalators '!$M$176:$S$176,MATCH('Forecast capex'!J1026,'Escalators '!$M$178:$S$178,0))/12+1)^((K1026-J1026)*12)-1,0)</f>
        <v>3.5566952945970565E-2</v>
      </c>
      <c r="Z1026" s="257">
        <f t="shared" si="214"/>
        <v>851.47285352653535</v>
      </c>
      <c r="AA1026" s="257">
        <f t="shared" si="215"/>
        <v>892.92185844614278</v>
      </c>
      <c r="AB1026" s="269">
        <f t="shared" si="216"/>
        <v>25998.30155747665</v>
      </c>
      <c r="AC1026" s="269">
        <f t="shared" si="217"/>
        <v>25998.30155747665</v>
      </c>
      <c r="AD1026" s="271" t="str">
        <f>INDEX('Global inputs'!$C$134:$C$171,MATCH(F1026,'Global inputs'!$B$134:$B$171,0))</f>
        <v>Asset replacement and renewal</v>
      </c>
      <c r="AE1026" s="272">
        <f>IF(OR(H1026='Operating leases'!$B$32,H1026='Operating leases'!$B$33),"",INDEX('Global inputs'!$C$186:$C$243,MATCH(E1026,'Global inputs'!$B$186:$B$243,0)))</f>
        <v>0.08</v>
      </c>
    </row>
    <row r="1027" spans="1:31" s="27" customFormat="1" x14ac:dyDescent="0.2">
      <c r="A1027" s="250"/>
      <c r="B1027" s="210" t="s">
        <v>742</v>
      </c>
      <c r="C1027" s="210" t="s">
        <v>286</v>
      </c>
      <c r="D1027" s="210" t="s">
        <v>732</v>
      </c>
      <c r="E1027" s="210" t="s">
        <v>138</v>
      </c>
      <c r="F1027" s="210" t="s">
        <v>108</v>
      </c>
      <c r="G1027" s="210" t="s">
        <v>752</v>
      </c>
      <c r="H1027" s="197">
        <v>0</v>
      </c>
      <c r="I1027" s="210" t="s">
        <v>139</v>
      </c>
      <c r="J1027" s="210">
        <v>2023</v>
      </c>
      <c r="K1027" s="210">
        <v>2024</v>
      </c>
      <c r="L1027" s="268" t="str">
        <f t="shared" si="205"/>
        <v>Complex</v>
      </c>
      <c r="M1027" s="197">
        <v>35910</v>
      </c>
      <c r="N1027" s="197">
        <v>0</v>
      </c>
      <c r="O1027" s="257">
        <f>IF(ISNA(MATCH(H1027,'Operating leases'!$B$32:$B$43,0)),0,INDEX('Operating leases'!$M$32:$S$43,MATCH(H1027,'Operating leases'!$B$32:$B$43,0),MATCH(J1027,'Operating leases'!$M$11:$S$11,0)))</f>
        <v>0</v>
      </c>
      <c r="P1027" s="257">
        <f t="shared" si="206"/>
        <v>35910</v>
      </c>
      <c r="Q1027" s="257">
        <f t="shared" si="207"/>
        <v>35910</v>
      </c>
      <c r="R1027" s="258">
        <f>INDEX('Escalators '!$M$124:$S$129,MATCH(I1027,'Escalators '!$B$124:$B$129,0),MATCH(J1027,'Escalators '!$M$113:$S$113,0))</f>
        <v>1.0254948937589263</v>
      </c>
      <c r="S1027" s="257">
        <f t="shared" si="208"/>
        <v>0</v>
      </c>
      <c r="T1027" s="257">
        <f t="shared" si="209"/>
        <v>0</v>
      </c>
      <c r="U1027" s="269">
        <f t="shared" si="210"/>
        <v>36825.521634883044</v>
      </c>
      <c r="V1027" s="269">
        <f t="shared" si="211"/>
        <v>36825.521634883044</v>
      </c>
      <c r="W1027" s="269">
        <f t="shared" si="212"/>
        <v>36825.521634883044</v>
      </c>
      <c r="X1027" s="257">
        <f t="shared" si="213"/>
        <v>36825.521634883044</v>
      </c>
      <c r="Y1027" s="270">
        <f>IF(L1027="Complex",(INDEX('Escalators '!$M$176:$S$176,MATCH('Forecast capex'!J1027,'Escalators '!$M$178:$S$178,0))/12+1)^((K1027-J1027)*12)-1,0)</f>
        <v>3.5566952945970565E-2</v>
      </c>
      <c r="Z1027" s="257">
        <f t="shared" si="214"/>
        <v>1277.209280289803</v>
      </c>
      <c r="AA1027" s="257">
        <f t="shared" si="215"/>
        <v>1309.7715951987063</v>
      </c>
      <c r="AB1027" s="269">
        <f t="shared" si="216"/>
        <v>38135.293230081748</v>
      </c>
      <c r="AC1027" s="269">
        <f t="shared" si="217"/>
        <v>38135.293230081748</v>
      </c>
      <c r="AD1027" s="271" t="str">
        <f>INDEX('Global inputs'!$C$134:$C$171,MATCH(F1027,'Global inputs'!$B$134:$B$171,0))</f>
        <v>Asset replacement and renewal</v>
      </c>
      <c r="AE1027" s="272">
        <f>IF(OR(H1027='Operating leases'!$B$32,H1027='Operating leases'!$B$33),"",INDEX('Global inputs'!$C$186:$C$243,MATCH(E1027,'Global inputs'!$B$186:$B$243,0)))</f>
        <v>0.08</v>
      </c>
    </row>
    <row r="1028" spans="1:31" s="27" customFormat="1" x14ac:dyDescent="0.2">
      <c r="A1028" s="250"/>
      <c r="B1028" s="210" t="s">
        <v>742</v>
      </c>
      <c r="C1028" s="210" t="s">
        <v>286</v>
      </c>
      <c r="D1028" s="210" t="s">
        <v>732</v>
      </c>
      <c r="E1028" s="210" t="s">
        <v>140</v>
      </c>
      <c r="F1028" s="210" t="s">
        <v>108</v>
      </c>
      <c r="G1028" s="210" t="s">
        <v>733</v>
      </c>
      <c r="H1028" s="197">
        <v>0</v>
      </c>
      <c r="I1028" s="210" t="s">
        <v>221</v>
      </c>
      <c r="J1028" s="210">
        <v>2023</v>
      </c>
      <c r="K1028" s="210">
        <v>2024</v>
      </c>
      <c r="L1028" s="268" t="str">
        <f t="shared" si="205"/>
        <v>Complex</v>
      </c>
      <c r="M1028" s="197">
        <v>153900</v>
      </c>
      <c r="N1028" s="197">
        <v>0</v>
      </c>
      <c r="O1028" s="257">
        <f>IF(ISNA(MATCH(H1028,'Operating leases'!$B$32:$B$43,0)),0,INDEX('Operating leases'!$M$32:$S$43,MATCH(H1028,'Operating leases'!$B$32:$B$43,0),MATCH(J1028,'Operating leases'!$M$11:$S$11,0)))</f>
        <v>0</v>
      </c>
      <c r="P1028" s="257">
        <f t="shared" si="206"/>
        <v>153900</v>
      </c>
      <c r="Q1028" s="257">
        <f t="shared" si="207"/>
        <v>153900</v>
      </c>
      <c r="R1028" s="258">
        <f>INDEX('Escalators '!$M$124:$S$129,MATCH(I1028,'Escalators '!$B$124:$B$129,0),MATCH(J1028,'Escalators '!$M$113:$S$113,0))</f>
        <v>1.0486791854231625</v>
      </c>
      <c r="S1028" s="257">
        <f t="shared" si="208"/>
        <v>0</v>
      </c>
      <c r="T1028" s="257">
        <f t="shared" si="209"/>
        <v>0</v>
      </c>
      <c r="U1028" s="269">
        <f t="shared" si="210"/>
        <v>161391.72663662472</v>
      </c>
      <c r="V1028" s="269">
        <f t="shared" si="211"/>
        <v>161391.72663662472</v>
      </c>
      <c r="W1028" s="269">
        <f t="shared" si="212"/>
        <v>161391.72663662472</v>
      </c>
      <c r="X1028" s="257">
        <f t="shared" si="213"/>
        <v>161391.72663662472</v>
      </c>
      <c r="Y1028" s="270">
        <f>IF(L1028="Complex",(INDEX('Escalators '!$M$176:$S$176,MATCH('Forecast capex'!J1028,'Escalators '!$M$178:$S$178,0))/12+1)^((K1028-J1028)*12)-1,0)</f>
        <v>3.5566952945970565E-2</v>
      </c>
      <c r="Z1028" s="257">
        <f t="shared" si="214"/>
        <v>5473.7540583848695</v>
      </c>
      <c r="AA1028" s="257">
        <f t="shared" si="215"/>
        <v>5740.2119471537753</v>
      </c>
      <c r="AB1028" s="269">
        <f t="shared" si="216"/>
        <v>167131.93858377851</v>
      </c>
      <c r="AC1028" s="269">
        <f t="shared" si="217"/>
        <v>167131.93858377851</v>
      </c>
      <c r="AD1028" s="271" t="str">
        <f>INDEX('Global inputs'!$C$134:$C$171,MATCH(F1028,'Global inputs'!$B$134:$B$171,0))</f>
        <v>Asset replacement and renewal</v>
      </c>
      <c r="AE1028" s="272">
        <f>IF(OR(H1028='Operating leases'!$B$32,H1028='Operating leases'!$B$33),"",INDEX('Global inputs'!$C$186:$C$243,MATCH(E1028,'Global inputs'!$B$186:$B$243,0)))</f>
        <v>0.08</v>
      </c>
    </row>
    <row r="1029" spans="1:31" s="27" customFormat="1" x14ac:dyDescent="0.2">
      <c r="A1029" s="250"/>
      <c r="B1029" s="210" t="s">
        <v>742</v>
      </c>
      <c r="C1029" s="210" t="s">
        <v>286</v>
      </c>
      <c r="D1029" s="210" t="s">
        <v>732</v>
      </c>
      <c r="E1029" s="210" t="s">
        <v>140</v>
      </c>
      <c r="F1029" s="210" t="s">
        <v>108</v>
      </c>
      <c r="G1029" s="210" t="s">
        <v>733</v>
      </c>
      <c r="H1029" s="197">
        <v>0</v>
      </c>
      <c r="I1029" s="210" t="s">
        <v>142</v>
      </c>
      <c r="J1029" s="210">
        <v>2023</v>
      </c>
      <c r="K1029" s="210">
        <v>2024</v>
      </c>
      <c r="L1029" s="268" t="str">
        <f t="shared" si="205"/>
        <v>Complex</v>
      </c>
      <c r="M1029" s="197">
        <v>230850</v>
      </c>
      <c r="N1029" s="197">
        <v>0</v>
      </c>
      <c r="O1029" s="257">
        <f>IF(ISNA(MATCH(H1029,'Operating leases'!$B$32:$B$43,0)),0,INDEX('Operating leases'!$M$32:$S$43,MATCH(H1029,'Operating leases'!$B$32:$B$43,0),MATCH(J1029,'Operating leases'!$M$11:$S$11,0)))</f>
        <v>0</v>
      </c>
      <c r="P1029" s="257">
        <f t="shared" si="206"/>
        <v>230850</v>
      </c>
      <c r="Q1029" s="257">
        <f t="shared" si="207"/>
        <v>230850</v>
      </c>
      <c r="R1029" s="258">
        <f>INDEX('Escalators '!$M$124:$S$129,MATCH(I1029,'Escalators '!$B$124:$B$129,0),MATCH(J1029,'Escalators '!$M$113:$S$113,0))</f>
        <v>1.0483686625768949</v>
      </c>
      <c r="S1029" s="257">
        <f t="shared" si="208"/>
        <v>0</v>
      </c>
      <c r="T1029" s="257">
        <f t="shared" si="209"/>
        <v>0</v>
      </c>
      <c r="U1029" s="269">
        <f t="shared" si="210"/>
        <v>242015.90575587619</v>
      </c>
      <c r="V1029" s="269">
        <f t="shared" si="211"/>
        <v>242015.90575587619</v>
      </c>
      <c r="W1029" s="269">
        <f t="shared" si="212"/>
        <v>242015.90575587619</v>
      </c>
      <c r="X1029" s="257">
        <f t="shared" si="213"/>
        <v>242015.90575587619</v>
      </c>
      <c r="Y1029" s="270">
        <f>IF(L1029="Complex",(INDEX('Escalators '!$M$176:$S$176,MATCH('Forecast capex'!J1029,'Escalators '!$M$178:$S$178,0))/12+1)^((K1029-J1029)*12)-1,0)</f>
        <v>3.5566952945970565E-2</v>
      </c>
      <c r="Z1029" s="257">
        <f t="shared" si="214"/>
        <v>8210.6310875773052</v>
      </c>
      <c r="AA1029" s="257">
        <f t="shared" si="215"/>
        <v>8607.7683321956956</v>
      </c>
      <c r="AB1029" s="269">
        <f t="shared" si="216"/>
        <v>250623.67408807189</v>
      </c>
      <c r="AC1029" s="269">
        <f t="shared" si="217"/>
        <v>250623.67408807189</v>
      </c>
      <c r="AD1029" s="271" t="str">
        <f>INDEX('Global inputs'!$C$134:$C$171,MATCH(F1029,'Global inputs'!$B$134:$B$171,0))</f>
        <v>Asset replacement and renewal</v>
      </c>
      <c r="AE1029" s="272">
        <f>IF(OR(H1029='Operating leases'!$B$32,H1029='Operating leases'!$B$33),"",INDEX('Global inputs'!$C$186:$C$243,MATCH(E1029,'Global inputs'!$B$186:$B$243,0)))</f>
        <v>0.08</v>
      </c>
    </row>
    <row r="1030" spans="1:31" s="27" customFormat="1" x14ac:dyDescent="0.2">
      <c r="A1030" s="250"/>
      <c r="B1030" s="210" t="s">
        <v>742</v>
      </c>
      <c r="C1030" s="210" t="s">
        <v>286</v>
      </c>
      <c r="D1030" s="210" t="s">
        <v>735</v>
      </c>
      <c r="E1030" s="210" t="s">
        <v>147</v>
      </c>
      <c r="F1030" s="210" t="s">
        <v>108</v>
      </c>
      <c r="G1030" s="210" t="s">
        <v>744</v>
      </c>
      <c r="H1030" s="197">
        <v>0</v>
      </c>
      <c r="I1030" s="210" t="s">
        <v>221</v>
      </c>
      <c r="J1030" s="210">
        <v>2023</v>
      </c>
      <c r="K1030" s="210">
        <v>2024</v>
      </c>
      <c r="L1030" s="268" t="str">
        <f t="shared" si="205"/>
        <v>Complex</v>
      </c>
      <c r="M1030" s="197">
        <v>26812.560599999997</v>
      </c>
      <c r="N1030" s="197">
        <v>0</v>
      </c>
      <c r="O1030" s="257">
        <f>IF(ISNA(MATCH(H1030,'Operating leases'!$B$32:$B$43,0)),0,INDEX('Operating leases'!$M$32:$S$43,MATCH(H1030,'Operating leases'!$B$32:$B$43,0),MATCH(J1030,'Operating leases'!$M$11:$S$11,0)))</f>
        <v>0</v>
      </c>
      <c r="P1030" s="257">
        <f t="shared" si="206"/>
        <v>26812.560599999997</v>
      </c>
      <c r="Q1030" s="257">
        <f t="shared" si="207"/>
        <v>26812.560599999997</v>
      </c>
      <c r="R1030" s="258">
        <f>INDEX('Escalators '!$M$124:$S$129,MATCH(I1030,'Escalators '!$B$124:$B$129,0),MATCH(J1030,'Escalators '!$M$113:$S$113,0))</f>
        <v>1.0486791854231625</v>
      </c>
      <c r="S1030" s="257">
        <f t="shared" si="208"/>
        <v>0</v>
      </c>
      <c r="T1030" s="257">
        <f t="shared" si="209"/>
        <v>0</v>
      </c>
      <c r="U1030" s="269">
        <f t="shared" si="210"/>
        <v>28117.774209117179</v>
      </c>
      <c r="V1030" s="269">
        <f t="shared" si="211"/>
        <v>28117.774209117179</v>
      </c>
      <c r="W1030" s="269">
        <f t="shared" si="212"/>
        <v>28117.774209117179</v>
      </c>
      <c r="X1030" s="257">
        <f t="shared" si="213"/>
        <v>28117.774209117179</v>
      </c>
      <c r="Y1030" s="270">
        <f>IF(L1030="Complex",(INDEX('Escalators '!$M$176:$S$176,MATCH('Forecast capex'!J1030,'Escalators '!$M$178:$S$178,0))/12+1)^((K1030-J1030)*12)-1,0)</f>
        <v>3.5566952945970565E-2</v>
      </c>
      <c r="Z1030" s="257">
        <f t="shared" si="214"/>
        <v>953.64108122118421</v>
      </c>
      <c r="AA1030" s="257">
        <f t="shared" si="215"/>
        <v>1000.0635522410954</v>
      </c>
      <c r="AB1030" s="269">
        <f t="shared" si="216"/>
        <v>29117.837761358274</v>
      </c>
      <c r="AC1030" s="269">
        <f t="shared" si="217"/>
        <v>29117.837761358274</v>
      </c>
      <c r="AD1030" s="271" t="str">
        <f>INDEX('Global inputs'!$C$134:$C$171,MATCH(F1030,'Global inputs'!$B$134:$B$171,0))</f>
        <v>Asset replacement and renewal</v>
      </c>
      <c r="AE1030" s="272">
        <f>IF(OR(H1030='Operating leases'!$B$32,H1030='Operating leases'!$B$33),"",INDEX('Global inputs'!$C$186:$C$243,MATCH(E1030,'Global inputs'!$B$186:$B$243,0)))</f>
        <v>0.08</v>
      </c>
    </row>
    <row r="1031" spans="1:31" s="27" customFormat="1" x14ac:dyDescent="0.2">
      <c r="A1031" s="250"/>
      <c r="B1031" s="210" t="s">
        <v>742</v>
      </c>
      <c r="C1031" s="210" t="s">
        <v>286</v>
      </c>
      <c r="D1031" s="210" t="s">
        <v>735</v>
      </c>
      <c r="E1031" s="210" t="s">
        <v>147</v>
      </c>
      <c r="F1031" s="210" t="s">
        <v>108</v>
      </c>
      <c r="G1031" s="210" t="s">
        <v>744</v>
      </c>
      <c r="H1031" s="197">
        <v>0</v>
      </c>
      <c r="I1031" s="210" t="s">
        <v>229</v>
      </c>
      <c r="J1031" s="210">
        <v>2023</v>
      </c>
      <c r="K1031" s="210">
        <v>2024</v>
      </c>
      <c r="L1031" s="268" t="str">
        <f t="shared" si="205"/>
        <v>Complex</v>
      </c>
      <c r="M1031" s="197">
        <v>6703.1401499999993</v>
      </c>
      <c r="N1031" s="197">
        <v>0</v>
      </c>
      <c r="O1031" s="257">
        <f>IF(ISNA(MATCH(H1031,'Operating leases'!$B$32:$B$43,0)),0,INDEX('Operating leases'!$M$32:$S$43,MATCH(H1031,'Operating leases'!$B$32:$B$43,0),MATCH(J1031,'Operating leases'!$M$11:$S$11,0)))</f>
        <v>0</v>
      </c>
      <c r="P1031" s="257">
        <f t="shared" si="206"/>
        <v>6703.1401499999993</v>
      </c>
      <c r="Q1031" s="257">
        <f t="shared" si="207"/>
        <v>6703.1401499999993</v>
      </c>
      <c r="R1031" s="258">
        <f>INDEX('Escalators '!$M$124:$S$129,MATCH(I1031,'Escalators '!$B$124:$B$129,0),MATCH(J1031,'Escalators '!$M$113:$S$113,0))</f>
        <v>1.0553567720906862</v>
      </c>
      <c r="S1031" s="257">
        <f t="shared" si="208"/>
        <v>0</v>
      </c>
      <c r="T1031" s="257">
        <f t="shared" si="209"/>
        <v>0</v>
      </c>
      <c r="U1031" s="269">
        <f t="shared" si="210"/>
        <v>7074.2043515754776</v>
      </c>
      <c r="V1031" s="269">
        <f t="shared" si="211"/>
        <v>7074.2043515754776</v>
      </c>
      <c r="W1031" s="269">
        <f t="shared" si="212"/>
        <v>7074.2043515754776</v>
      </c>
      <c r="X1031" s="257">
        <f t="shared" si="213"/>
        <v>7074.2043515754776</v>
      </c>
      <c r="Y1031" s="270">
        <f>IF(L1031="Complex",(INDEX('Escalators '!$M$176:$S$176,MATCH('Forecast capex'!J1031,'Escalators '!$M$178:$S$178,0))/12+1)^((K1031-J1031)*12)-1,0)</f>
        <v>3.5566952945970565E-2</v>
      </c>
      <c r="Z1031" s="257">
        <f t="shared" si="214"/>
        <v>238.41027030529605</v>
      </c>
      <c r="AA1031" s="257">
        <f t="shared" si="215"/>
        <v>251.60789330266522</v>
      </c>
      <c r="AB1031" s="269">
        <f t="shared" si="216"/>
        <v>7325.8122448781432</v>
      </c>
      <c r="AC1031" s="269">
        <f t="shared" si="217"/>
        <v>7325.8122448781432</v>
      </c>
      <c r="AD1031" s="271" t="str">
        <f>INDEX('Global inputs'!$C$134:$C$171,MATCH(F1031,'Global inputs'!$B$134:$B$171,0))</f>
        <v>Asset replacement and renewal</v>
      </c>
      <c r="AE1031" s="272">
        <f>IF(OR(H1031='Operating leases'!$B$32,H1031='Operating leases'!$B$33),"",INDEX('Global inputs'!$C$186:$C$243,MATCH(E1031,'Global inputs'!$B$186:$B$243,0)))</f>
        <v>0.08</v>
      </c>
    </row>
    <row r="1032" spans="1:31" s="27" customFormat="1" x14ac:dyDescent="0.2">
      <c r="A1032" s="250"/>
      <c r="B1032" s="210" t="s">
        <v>742</v>
      </c>
      <c r="C1032" s="210" t="s">
        <v>290</v>
      </c>
      <c r="D1032" s="210" t="s">
        <v>718</v>
      </c>
      <c r="E1032" s="210" t="s">
        <v>173</v>
      </c>
      <c r="F1032" s="210" t="s">
        <v>108</v>
      </c>
      <c r="G1032" s="210" t="s">
        <v>719</v>
      </c>
      <c r="H1032" s="197">
        <v>0</v>
      </c>
      <c r="I1032" s="210" t="s">
        <v>221</v>
      </c>
      <c r="J1032" s="210">
        <v>2023</v>
      </c>
      <c r="K1032" s="210">
        <v>2024</v>
      </c>
      <c r="L1032" s="268" t="str">
        <f t="shared" si="205"/>
        <v>Complex</v>
      </c>
      <c r="M1032" s="197">
        <v>8550</v>
      </c>
      <c r="N1032" s="197">
        <v>0</v>
      </c>
      <c r="O1032" s="257">
        <f>IF(ISNA(MATCH(H1032,'Operating leases'!$B$32:$B$43,0)),0,INDEX('Operating leases'!$M$32:$S$43,MATCH(H1032,'Operating leases'!$B$32:$B$43,0),MATCH(J1032,'Operating leases'!$M$11:$S$11,0)))</f>
        <v>0</v>
      </c>
      <c r="P1032" s="257">
        <f t="shared" si="206"/>
        <v>8550</v>
      </c>
      <c r="Q1032" s="257">
        <f t="shared" si="207"/>
        <v>8550</v>
      </c>
      <c r="R1032" s="258">
        <f>INDEX('Escalators '!$M$124:$S$129,MATCH(I1032,'Escalators '!$B$124:$B$129,0),MATCH(J1032,'Escalators '!$M$113:$S$113,0))</f>
        <v>1.0486791854231625</v>
      </c>
      <c r="S1032" s="257">
        <f t="shared" si="208"/>
        <v>0</v>
      </c>
      <c r="T1032" s="257">
        <f t="shared" si="209"/>
        <v>0</v>
      </c>
      <c r="U1032" s="269">
        <f t="shared" si="210"/>
        <v>8966.2070353680392</v>
      </c>
      <c r="V1032" s="269">
        <f t="shared" si="211"/>
        <v>8966.2070353680392</v>
      </c>
      <c r="W1032" s="269">
        <f t="shared" si="212"/>
        <v>8966.2070353680392</v>
      </c>
      <c r="X1032" s="257">
        <f t="shared" si="213"/>
        <v>8966.2070353680392</v>
      </c>
      <c r="Y1032" s="270">
        <f>IF(L1032="Complex",(INDEX('Escalators '!$M$176:$S$176,MATCH('Forecast capex'!J1032,'Escalators '!$M$178:$S$178,0))/12+1)^((K1032-J1032)*12)-1,0)</f>
        <v>3.5566952945970565E-2</v>
      </c>
      <c r="Z1032" s="257">
        <f t="shared" si="214"/>
        <v>304.09744768804831</v>
      </c>
      <c r="AA1032" s="257">
        <f t="shared" si="215"/>
        <v>318.9006637307653</v>
      </c>
      <c r="AB1032" s="269">
        <f t="shared" si="216"/>
        <v>9285.107699098804</v>
      </c>
      <c r="AC1032" s="269">
        <f t="shared" si="217"/>
        <v>9285.107699098804</v>
      </c>
      <c r="AD1032" s="271" t="str">
        <f>INDEX('Global inputs'!$C$134:$C$171,MATCH(F1032,'Global inputs'!$B$134:$B$171,0))</f>
        <v>Asset replacement and renewal</v>
      </c>
      <c r="AE1032" s="272">
        <f>IF(OR(H1032='Operating leases'!$B$32,H1032='Operating leases'!$B$33),"",INDEX('Global inputs'!$C$186:$C$243,MATCH(E1032,'Global inputs'!$B$186:$B$243,0)))</f>
        <v>0.08</v>
      </c>
    </row>
    <row r="1033" spans="1:31" s="27" customFormat="1" x14ac:dyDescent="0.2">
      <c r="A1033" s="250"/>
      <c r="B1033" s="210" t="s">
        <v>742</v>
      </c>
      <c r="C1033" s="210" t="s">
        <v>290</v>
      </c>
      <c r="D1033" s="210" t="s">
        <v>718</v>
      </c>
      <c r="E1033" s="210" t="s">
        <v>173</v>
      </c>
      <c r="F1033" s="210" t="s">
        <v>108</v>
      </c>
      <c r="G1033" s="210" t="s">
        <v>719</v>
      </c>
      <c r="H1033" s="197">
        <v>0</v>
      </c>
      <c r="I1033" s="210" t="s">
        <v>142</v>
      </c>
      <c r="J1033" s="210">
        <v>2023</v>
      </c>
      <c r="K1033" s="210">
        <v>2024</v>
      </c>
      <c r="L1033" s="268" t="str">
        <f t="shared" si="205"/>
        <v>Complex</v>
      </c>
      <c r="M1033" s="197">
        <v>34200</v>
      </c>
      <c r="N1033" s="197">
        <v>0</v>
      </c>
      <c r="O1033" s="257">
        <f>IF(ISNA(MATCH(H1033,'Operating leases'!$B$32:$B$43,0)),0,INDEX('Operating leases'!$M$32:$S$43,MATCH(H1033,'Operating leases'!$B$32:$B$43,0),MATCH(J1033,'Operating leases'!$M$11:$S$11,0)))</f>
        <v>0</v>
      </c>
      <c r="P1033" s="257">
        <f t="shared" si="206"/>
        <v>34200</v>
      </c>
      <c r="Q1033" s="257">
        <f t="shared" si="207"/>
        <v>34200</v>
      </c>
      <c r="R1033" s="258">
        <f>INDEX('Escalators '!$M$124:$S$129,MATCH(I1033,'Escalators '!$B$124:$B$129,0),MATCH(J1033,'Escalators '!$M$113:$S$113,0))</f>
        <v>1.0483686625768949</v>
      </c>
      <c r="S1033" s="257">
        <f t="shared" si="208"/>
        <v>0</v>
      </c>
      <c r="T1033" s="257">
        <f t="shared" si="209"/>
        <v>0</v>
      </c>
      <c r="U1033" s="269">
        <f t="shared" si="210"/>
        <v>35854.208260129803</v>
      </c>
      <c r="V1033" s="269">
        <f t="shared" si="211"/>
        <v>35854.208260129803</v>
      </c>
      <c r="W1033" s="269">
        <f t="shared" si="212"/>
        <v>35854.208260129803</v>
      </c>
      <c r="X1033" s="257">
        <f t="shared" si="213"/>
        <v>35854.208260129803</v>
      </c>
      <c r="Y1033" s="270">
        <f>IF(L1033="Complex",(INDEX('Escalators '!$M$176:$S$176,MATCH('Forecast capex'!J1033,'Escalators '!$M$178:$S$178,0))/12+1)^((K1033-J1033)*12)-1,0)</f>
        <v>3.5566952945970565E-2</v>
      </c>
      <c r="Z1033" s="257">
        <f t="shared" si="214"/>
        <v>1216.3897907521932</v>
      </c>
      <c r="AA1033" s="257">
        <f t="shared" si="215"/>
        <v>1275.2249381030658</v>
      </c>
      <c r="AB1033" s="269">
        <f t="shared" si="216"/>
        <v>37129.433198232866</v>
      </c>
      <c r="AC1033" s="269">
        <f t="shared" si="217"/>
        <v>37129.433198232866</v>
      </c>
      <c r="AD1033" s="271" t="str">
        <f>INDEX('Global inputs'!$C$134:$C$171,MATCH(F1033,'Global inputs'!$B$134:$B$171,0))</f>
        <v>Asset replacement and renewal</v>
      </c>
      <c r="AE1033" s="272">
        <f>IF(OR(H1033='Operating leases'!$B$32,H1033='Operating leases'!$B$33),"",INDEX('Global inputs'!$C$186:$C$243,MATCH(E1033,'Global inputs'!$B$186:$B$243,0)))</f>
        <v>0.08</v>
      </c>
    </row>
    <row r="1034" spans="1:31" s="27" customFormat="1" x14ac:dyDescent="0.2">
      <c r="A1034" s="250"/>
      <c r="B1034" s="210" t="s">
        <v>742</v>
      </c>
      <c r="C1034" s="210" t="s">
        <v>289</v>
      </c>
      <c r="D1034" s="210" t="s">
        <v>723</v>
      </c>
      <c r="E1034" s="210" t="s">
        <v>164</v>
      </c>
      <c r="F1034" s="210" t="s">
        <v>108</v>
      </c>
      <c r="G1034" s="210" t="s">
        <v>724</v>
      </c>
      <c r="H1034" s="197">
        <v>0</v>
      </c>
      <c r="I1034" s="210" t="s">
        <v>221</v>
      </c>
      <c r="J1034" s="210">
        <v>2023</v>
      </c>
      <c r="K1034" s="210">
        <v>2024</v>
      </c>
      <c r="L1034" s="268" t="str">
        <f t="shared" ref="L1034:L1097" si="218">IF(J1034=K1034,"Simple","Complex")</f>
        <v>Complex</v>
      </c>
      <c r="M1034" s="197">
        <v>5198.3999999999996</v>
      </c>
      <c r="N1034" s="197">
        <v>0</v>
      </c>
      <c r="O1034" s="257">
        <f>IF(ISNA(MATCH(H1034,'Operating leases'!$B$32:$B$43,0)),0,INDEX('Operating leases'!$M$32:$S$43,MATCH(H1034,'Operating leases'!$B$32:$B$43,0),MATCH(J1034,'Operating leases'!$M$11:$S$11,0)))</f>
        <v>0</v>
      </c>
      <c r="P1034" s="257">
        <f t="shared" ref="P1034:P1097" si="219">O1034+M1034</f>
        <v>5198.3999999999996</v>
      </c>
      <c r="Q1034" s="257">
        <f t="shared" ref="Q1034:Q1097" si="220">M1034+N1034+O1034</f>
        <v>5198.3999999999996</v>
      </c>
      <c r="R1034" s="258">
        <f>INDEX('Escalators '!$M$124:$S$129,MATCH(I1034,'Escalators '!$B$124:$B$129,0),MATCH(J1034,'Escalators '!$M$113:$S$113,0))</f>
        <v>1.0486791854231625</v>
      </c>
      <c r="S1034" s="257">
        <f t="shared" ref="S1034:S1097" si="221">O1034*R1034</f>
        <v>0</v>
      </c>
      <c r="T1034" s="257">
        <f t="shared" ref="T1034:T1097" si="222">N1034*R1034</f>
        <v>0</v>
      </c>
      <c r="U1034" s="269">
        <f t="shared" ref="U1034:U1097" si="223">W1034-S1034</f>
        <v>5451.4538775037672</v>
      </c>
      <c r="V1034" s="269">
        <f t="shared" ref="V1034:V1097" si="224">U1034+T1034</f>
        <v>5451.4538775037672</v>
      </c>
      <c r="W1034" s="269">
        <f t="shared" ref="W1034:W1097" si="225">X1034-T1034</f>
        <v>5451.4538775037672</v>
      </c>
      <c r="X1034" s="257">
        <f t="shared" ref="X1034:X1097" si="226">Q1034*R1034</f>
        <v>5451.4538775037672</v>
      </c>
      <c r="Y1034" s="270">
        <f>IF(L1034="Complex",(INDEX('Escalators '!$M$176:$S$176,MATCH('Forecast capex'!J1034,'Escalators '!$M$178:$S$178,0))/12+1)^((K1034-J1034)*12)-1,0)</f>
        <v>3.5566952945970565E-2</v>
      </c>
      <c r="Z1034" s="257">
        <f t="shared" ref="Z1034:Z1097" si="227">P1034*Y1034</f>
        <v>184.89124819433337</v>
      </c>
      <c r="AA1034" s="257">
        <f t="shared" ref="AA1034:AA1097" si="228">W1034*Y1034</f>
        <v>193.89160354830528</v>
      </c>
      <c r="AB1034" s="269">
        <f t="shared" ref="AB1034:AB1097" si="229">IF(L1034="Complex",AC1034-T1034,0)</f>
        <v>5645.3454810520725</v>
      </c>
      <c r="AC1034" s="269">
        <f t="shared" ref="AC1034:AC1097" si="230">IF(L1034="Complex",V1034+AA1034,0)</f>
        <v>5645.3454810520725</v>
      </c>
      <c r="AD1034" s="271" t="str">
        <f>INDEX('Global inputs'!$C$134:$C$171,MATCH(F1034,'Global inputs'!$B$134:$B$171,0))</f>
        <v>Asset replacement and renewal</v>
      </c>
      <c r="AE1034" s="272">
        <f>IF(OR(H1034='Operating leases'!$B$32,H1034='Operating leases'!$B$33),"",INDEX('Global inputs'!$C$186:$C$243,MATCH(E1034,'Global inputs'!$B$186:$B$243,0)))</f>
        <v>0.08</v>
      </c>
    </row>
    <row r="1035" spans="1:31" s="27" customFormat="1" x14ac:dyDescent="0.2">
      <c r="A1035" s="250"/>
      <c r="B1035" s="210" t="s">
        <v>742</v>
      </c>
      <c r="C1035" s="210" t="s">
        <v>289</v>
      </c>
      <c r="D1035" s="210" t="s">
        <v>723</v>
      </c>
      <c r="E1035" s="210" t="s">
        <v>164</v>
      </c>
      <c r="F1035" s="210" t="s">
        <v>108</v>
      </c>
      <c r="G1035" s="210" t="s">
        <v>724</v>
      </c>
      <c r="H1035" s="197">
        <v>0</v>
      </c>
      <c r="I1035" s="210" t="s">
        <v>139</v>
      </c>
      <c r="J1035" s="210">
        <v>2023</v>
      </c>
      <c r="K1035" s="210">
        <v>2024</v>
      </c>
      <c r="L1035" s="268" t="str">
        <f t="shared" si="218"/>
        <v>Complex</v>
      </c>
      <c r="M1035" s="197">
        <v>20793.599999999999</v>
      </c>
      <c r="N1035" s="197">
        <v>0</v>
      </c>
      <c r="O1035" s="257">
        <f>IF(ISNA(MATCH(H1035,'Operating leases'!$B$32:$B$43,0)),0,INDEX('Operating leases'!$M$32:$S$43,MATCH(H1035,'Operating leases'!$B$32:$B$43,0),MATCH(J1035,'Operating leases'!$M$11:$S$11,0)))</f>
        <v>0</v>
      </c>
      <c r="P1035" s="257">
        <f t="shared" si="219"/>
        <v>20793.599999999999</v>
      </c>
      <c r="Q1035" s="257">
        <f t="shared" si="220"/>
        <v>20793.599999999999</v>
      </c>
      <c r="R1035" s="258">
        <f>INDEX('Escalators '!$M$124:$S$129,MATCH(I1035,'Escalators '!$B$124:$B$129,0),MATCH(J1035,'Escalators '!$M$113:$S$113,0))</f>
        <v>1.0254948937589263</v>
      </c>
      <c r="S1035" s="257">
        <f t="shared" si="221"/>
        <v>0</v>
      </c>
      <c r="T1035" s="257">
        <f t="shared" si="222"/>
        <v>0</v>
      </c>
      <c r="U1035" s="269">
        <f t="shared" si="223"/>
        <v>21323.730622865609</v>
      </c>
      <c r="V1035" s="269">
        <f t="shared" si="224"/>
        <v>21323.730622865609</v>
      </c>
      <c r="W1035" s="269">
        <f t="shared" si="225"/>
        <v>21323.730622865609</v>
      </c>
      <c r="X1035" s="257">
        <f t="shared" si="226"/>
        <v>21323.730622865609</v>
      </c>
      <c r="Y1035" s="270">
        <f>IF(L1035="Complex",(INDEX('Escalators '!$M$176:$S$176,MATCH('Forecast capex'!J1035,'Escalators '!$M$178:$S$178,0))/12+1)^((K1035-J1035)*12)-1,0)</f>
        <v>3.5566952945970565E-2</v>
      </c>
      <c r="Z1035" s="257">
        <f t="shared" si="227"/>
        <v>739.56499277733349</v>
      </c>
      <c r="AA1035" s="257">
        <f t="shared" si="228"/>
        <v>758.42012369601275</v>
      </c>
      <c r="AB1035" s="269">
        <f t="shared" si="229"/>
        <v>22082.150746561623</v>
      </c>
      <c r="AC1035" s="269">
        <f t="shared" si="230"/>
        <v>22082.150746561623</v>
      </c>
      <c r="AD1035" s="271" t="str">
        <f>INDEX('Global inputs'!$C$134:$C$171,MATCH(F1035,'Global inputs'!$B$134:$B$171,0))</f>
        <v>Asset replacement and renewal</v>
      </c>
      <c r="AE1035" s="272">
        <f>IF(OR(H1035='Operating leases'!$B$32,H1035='Operating leases'!$B$33),"",INDEX('Global inputs'!$C$186:$C$243,MATCH(E1035,'Global inputs'!$B$186:$B$243,0)))</f>
        <v>0.08</v>
      </c>
    </row>
    <row r="1036" spans="1:31" s="27" customFormat="1" x14ac:dyDescent="0.2">
      <c r="A1036" s="250"/>
      <c r="B1036" s="210" t="s">
        <v>742</v>
      </c>
      <c r="C1036" s="210" t="s">
        <v>291</v>
      </c>
      <c r="D1036" s="210" t="s">
        <v>735</v>
      </c>
      <c r="E1036" s="210" t="s">
        <v>175</v>
      </c>
      <c r="F1036" s="210" t="s">
        <v>108</v>
      </c>
      <c r="G1036" s="210" t="s">
        <v>748</v>
      </c>
      <c r="H1036" s="197">
        <v>0</v>
      </c>
      <c r="I1036" s="210" t="s">
        <v>221</v>
      </c>
      <c r="J1036" s="210">
        <v>2023</v>
      </c>
      <c r="K1036" s="210">
        <v>2024</v>
      </c>
      <c r="L1036" s="268" t="str">
        <f t="shared" si="218"/>
        <v>Complex</v>
      </c>
      <c r="M1036" s="197">
        <v>33516</v>
      </c>
      <c r="N1036" s="197">
        <v>0</v>
      </c>
      <c r="O1036" s="257">
        <f>IF(ISNA(MATCH(H1036,'Operating leases'!$B$32:$B$43,0)),0,INDEX('Operating leases'!$M$32:$S$43,MATCH(H1036,'Operating leases'!$B$32:$B$43,0),MATCH(J1036,'Operating leases'!$M$11:$S$11,0)))</f>
        <v>0</v>
      </c>
      <c r="P1036" s="257">
        <f t="shared" si="219"/>
        <v>33516</v>
      </c>
      <c r="Q1036" s="257">
        <f t="shared" si="220"/>
        <v>33516</v>
      </c>
      <c r="R1036" s="258">
        <f>INDEX('Escalators '!$M$124:$S$129,MATCH(I1036,'Escalators '!$B$124:$B$129,0),MATCH(J1036,'Escalators '!$M$113:$S$113,0))</f>
        <v>1.0486791854231625</v>
      </c>
      <c r="S1036" s="257">
        <f t="shared" si="221"/>
        <v>0</v>
      </c>
      <c r="T1036" s="257">
        <f t="shared" si="222"/>
        <v>0</v>
      </c>
      <c r="U1036" s="269">
        <f t="shared" si="223"/>
        <v>35147.531578642716</v>
      </c>
      <c r="V1036" s="269">
        <f t="shared" si="224"/>
        <v>35147.531578642716</v>
      </c>
      <c r="W1036" s="269">
        <f t="shared" si="225"/>
        <v>35147.531578642716</v>
      </c>
      <c r="X1036" s="257">
        <f t="shared" si="226"/>
        <v>35147.531578642716</v>
      </c>
      <c r="Y1036" s="270">
        <f>IF(L1036="Complex",(INDEX('Escalators '!$M$176:$S$176,MATCH('Forecast capex'!J1036,'Escalators '!$M$178:$S$178,0))/12+1)^((K1036-J1036)*12)-1,0)</f>
        <v>3.5566952945970565E-2</v>
      </c>
      <c r="Z1036" s="257">
        <f t="shared" si="227"/>
        <v>1192.0619949371494</v>
      </c>
      <c r="AA1036" s="257">
        <f t="shared" si="228"/>
        <v>1250.0906018246001</v>
      </c>
      <c r="AB1036" s="269">
        <f t="shared" si="229"/>
        <v>36397.622180467319</v>
      </c>
      <c r="AC1036" s="269">
        <f t="shared" si="230"/>
        <v>36397.622180467319</v>
      </c>
      <c r="AD1036" s="271" t="str">
        <f>INDEX('Global inputs'!$C$134:$C$171,MATCH(F1036,'Global inputs'!$B$134:$B$171,0))</f>
        <v>Asset replacement and renewal</v>
      </c>
      <c r="AE1036" s="272">
        <f>IF(OR(H1036='Operating leases'!$B$32,H1036='Operating leases'!$B$33),"",INDEX('Global inputs'!$C$186:$C$243,MATCH(E1036,'Global inputs'!$B$186:$B$243,0)))</f>
        <v>0.1</v>
      </c>
    </row>
    <row r="1037" spans="1:31" s="27" customFormat="1" x14ac:dyDescent="0.2">
      <c r="A1037" s="250"/>
      <c r="B1037" s="210" t="s">
        <v>742</v>
      </c>
      <c r="C1037" s="210" t="s">
        <v>291</v>
      </c>
      <c r="D1037" s="210" t="s">
        <v>735</v>
      </c>
      <c r="E1037" s="210" t="s">
        <v>175</v>
      </c>
      <c r="F1037" s="210" t="s">
        <v>108</v>
      </c>
      <c r="G1037" s="210" t="s">
        <v>748</v>
      </c>
      <c r="H1037" s="197">
        <v>0</v>
      </c>
      <c r="I1037" s="210" t="s">
        <v>229</v>
      </c>
      <c r="J1037" s="210">
        <v>2023</v>
      </c>
      <c r="K1037" s="210">
        <v>2024</v>
      </c>
      <c r="L1037" s="268" t="str">
        <f t="shared" si="218"/>
        <v>Complex</v>
      </c>
      <c r="M1037" s="197">
        <v>8379</v>
      </c>
      <c r="N1037" s="197">
        <v>0</v>
      </c>
      <c r="O1037" s="257">
        <f>IF(ISNA(MATCH(H1037,'Operating leases'!$B$32:$B$43,0)),0,INDEX('Operating leases'!$M$32:$S$43,MATCH(H1037,'Operating leases'!$B$32:$B$43,0),MATCH(J1037,'Operating leases'!$M$11:$S$11,0)))</f>
        <v>0</v>
      </c>
      <c r="P1037" s="257">
        <f t="shared" si="219"/>
        <v>8379</v>
      </c>
      <c r="Q1037" s="257">
        <f t="shared" si="220"/>
        <v>8379</v>
      </c>
      <c r="R1037" s="258">
        <f>INDEX('Escalators '!$M$124:$S$129,MATCH(I1037,'Escalators '!$B$124:$B$129,0),MATCH(J1037,'Escalators '!$M$113:$S$113,0))</f>
        <v>1.0553567720906862</v>
      </c>
      <c r="S1037" s="257">
        <f t="shared" si="221"/>
        <v>0</v>
      </c>
      <c r="T1037" s="257">
        <f t="shared" si="222"/>
        <v>0</v>
      </c>
      <c r="U1037" s="269">
        <f t="shared" si="223"/>
        <v>8842.8343933478591</v>
      </c>
      <c r="V1037" s="269">
        <f t="shared" si="224"/>
        <v>8842.8343933478591</v>
      </c>
      <c r="W1037" s="269">
        <f t="shared" si="225"/>
        <v>8842.8343933478591</v>
      </c>
      <c r="X1037" s="257">
        <f t="shared" si="226"/>
        <v>8842.8343933478591</v>
      </c>
      <c r="Y1037" s="270">
        <f>IF(L1037="Complex",(INDEX('Escalators '!$M$176:$S$176,MATCH('Forecast capex'!J1037,'Escalators '!$M$178:$S$178,0))/12+1)^((K1037-J1037)*12)-1,0)</f>
        <v>3.5566952945970565E-2</v>
      </c>
      <c r="Z1037" s="257">
        <f t="shared" si="227"/>
        <v>298.01549873428735</v>
      </c>
      <c r="AA1037" s="257">
        <f t="shared" si="228"/>
        <v>314.51267477721348</v>
      </c>
      <c r="AB1037" s="269">
        <f t="shared" si="229"/>
        <v>9157.3470681250728</v>
      </c>
      <c r="AC1037" s="269">
        <f t="shared" si="230"/>
        <v>9157.3470681250728</v>
      </c>
      <c r="AD1037" s="271" t="str">
        <f>INDEX('Global inputs'!$C$134:$C$171,MATCH(F1037,'Global inputs'!$B$134:$B$171,0))</f>
        <v>Asset replacement and renewal</v>
      </c>
      <c r="AE1037" s="272">
        <f>IF(OR(H1037='Operating leases'!$B$32,H1037='Operating leases'!$B$33),"",INDEX('Global inputs'!$C$186:$C$243,MATCH(E1037,'Global inputs'!$B$186:$B$243,0)))</f>
        <v>0.1</v>
      </c>
    </row>
    <row r="1038" spans="1:31" s="27" customFormat="1" x14ac:dyDescent="0.2">
      <c r="A1038" s="250"/>
      <c r="B1038" s="210" t="s">
        <v>742</v>
      </c>
      <c r="C1038" s="210" t="s">
        <v>286</v>
      </c>
      <c r="D1038" s="210" t="s">
        <v>732</v>
      </c>
      <c r="E1038" s="210" t="s">
        <v>136</v>
      </c>
      <c r="F1038" s="210" t="s">
        <v>108</v>
      </c>
      <c r="G1038" s="210" t="s">
        <v>751</v>
      </c>
      <c r="H1038" s="197">
        <v>0</v>
      </c>
      <c r="I1038" s="210" t="s">
        <v>221</v>
      </c>
      <c r="J1038" s="210">
        <v>2023</v>
      </c>
      <c r="K1038" s="210">
        <v>2024</v>
      </c>
      <c r="L1038" s="268" t="str">
        <f t="shared" si="218"/>
        <v>Complex</v>
      </c>
      <c r="M1038" s="197">
        <v>130387.5</v>
      </c>
      <c r="N1038" s="197">
        <v>0</v>
      </c>
      <c r="O1038" s="257">
        <f>IF(ISNA(MATCH(H1038,'Operating leases'!$B$32:$B$43,0)),0,INDEX('Operating leases'!$M$32:$S$43,MATCH(H1038,'Operating leases'!$B$32:$B$43,0),MATCH(J1038,'Operating leases'!$M$11:$S$11,0)))</f>
        <v>0</v>
      </c>
      <c r="P1038" s="257">
        <f t="shared" si="219"/>
        <v>130387.5</v>
      </c>
      <c r="Q1038" s="257">
        <f t="shared" si="220"/>
        <v>130387.5</v>
      </c>
      <c r="R1038" s="258">
        <f>INDEX('Escalators '!$M$124:$S$129,MATCH(I1038,'Escalators '!$B$124:$B$129,0),MATCH(J1038,'Escalators '!$M$113:$S$113,0))</f>
        <v>1.0486791854231625</v>
      </c>
      <c r="S1038" s="257">
        <f t="shared" si="221"/>
        <v>0</v>
      </c>
      <c r="T1038" s="257">
        <f t="shared" si="222"/>
        <v>0</v>
      </c>
      <c r="U1038" s="269">
        <f t="shared" si="223"/>
        <v>136734.6572893626</v>
      </c>
      <c r="V1038" s="269">
        <f t="shared" si="224"/>
        <v>136734.6572893626</v>
      </c>
      <c r="W1038" s="269">
        <f t="shared" si="225"/>
        <v>136734.6572893626</v>
      </c>
      <c r="X1038" s="257">
        <f t="shared" si="226"/>
        <v>136734.6572893626</v>
      </c>
      <c r="Y1038" s="270">
        <f>IF(L1038="Complex",(INDEX('Escalators '!$M$176:$S$176,MATCH('Forecast capex'!J1038,'Escalators '!$M$178:$S$178,0))/12+1)^((K1038-J1038)*12)-1,0)</f>
        <v>3.5566952945970565E-2</v>
      </c>
      <c r="Z1038" s="257">
        <f t="shared" si="227"/>
        <v>4637.4860772427373</v>
      </c>
      <c r="AA1038" s="257">
        <f t="shared" si="228"/>
        <v>4863.2351218941703</v>
      </c>
      <c r="AB1038" s="269">
        <f t="shared" si="229"/>
        <v>141597.89241125676</v>
      </c>
      <c r="AC1038" s="269">
        <f t="shared" si="230"/>
        <v>141597.89241125676</v>
      </c>
      <c r="AD1038" s="271" t="str">
        <f>INDEX('Global inputs'!$C$134:$C$171,MATCH(F1038,'Global inputs'!$B$134:$B$171,0))</f>
        <v>Asset replacement and renewal</v>
      </c>
      <c r="AE1038" s="272">
        <f>IF(OR(H1038='Operating leases'!$B$32,H1038='Operating leases'!$B$33),"",INDEX('Global inputs'!$C$186:$C$243,MATCH(E1038,'Global inputs'!$B$186:$B$243,0)))</f>
        <v>0</v>
      </c>
    </row>
    <row r="1039" spans="1:31" s="27" customFormat="1" x14ac:dyDescent="0.2">
      <c r="A1039" s="250"/>
      <c r="B1039" s="210" t="s">
        <v>742</v>
      </c>
      <c r="C1039" s="210" t="s">
        <v>286</v>
      </c>
      <c r="D1039" s="210" t="s">
        <v>732</v>
      </c>
      <c r="E1039" s="210" t="s">
        <v>136</v>
      </c>
      <c r="F1039" s="210" t="s">
        <v>108</v>
      </c>
      <c r="G1039" s="210" t="s">
        <v>751</v>
      </c>
      <c r="H1039" s="197">
        <v>0</v>
      </c>
      <c r="I1039" s="210" t="s">
        <v>229</v>
      </c>
      <c r="J1039" s="210">
        <v>2023</v>
      </c>
      <c r="K1039" s="210">
        <v>2024</v>
      </c>
      <c r="L1039" s="268" t="str">
        <f t="shared" si="218"/>
        <v>Complex</v>
      </c>
      <c r="M1039" s="197">
        <v>130387.5</v>
      </c>
      <c r="N1039" s="197">
        <v>0</v>
      </c>
      <c r="O1039" s="257">
        <f>IF(ISNA(MATCH(H1039,'Operating leases'!$B$32:$B$43,0)),0,INDEX('Operating leases'!$M$32:$S$43,MATCH(H1039,'Operating leases'!$B$32:$B$43,0),MATCH(J1039,'Operating leases'!$M$11:$S$11,0)))</f>
        <v>0</v>
      </c>
      <c r="P1039" s="257">
        <f t="shared" si="219"/>
        <v>130387.5</v>
      </c>
      <c r="Q1039" s="257">
        <f t="shared" si="220"/>
        <v>130387.5</v>
      </c>
      <c r="R1039" s="258">
        <f>INDEX('Escalators '!$M$124:$S$129,MATCH(I1039,'Escalators '!$B$124:$B$129,0),MATCH(J1039,'Escalators '!$M$113:$S$113,0))</f>
        <v>1.0553567720906862</v>
      </c>
      <c r="S1039" s="257">
        <f t="shared" si="221"/>
        <v>0</v>
      </c>
      <c r="T1039" s="257">
        <f t="shared" si="222"/>
        <v>0</v>
      </c>
      <c r="U1039" s="269">
        <f t="shared" si="223"/>
        <v>137605.33112097436</v>
      </c>
      <c r="V1039" s="269">
        <f t="shared" si="224"/>
        <v>137605.33112097436</v>
      </c>
      <c r="W1039" s="269">
        <f t="shared" si="225"/>
        <v>137605.33112097436</v>
      </c>
      <c r="X1039" s="257">
        <f t="shared" si="226"/>
        <v>137605.33112097436</v>
      </c>
      <c r="Y1039" s="270">
        <f>IF(L1039="Complex",(INDEX('Escalators '!$M$176:$S$176,MATCH('Forecast capex'!J1039,'Escalators '!$M$178:$S$178,0))/12+1)^((K1039-J1039)*12)-1,0)</f>
        <v>3.5566952945970565E-2</v>
      </c>
      <c r="Z1039" s="257">
        <f t="shared" si="227"/>
        <v>4637.4860772427373</v>
      </c>
      <c r="AA1039" s="257">
        <f t="shared" si="228"/>
        <v>4894.2023370943934</v>
      </c>
      <c r="AB1039" s="269">
        <f t="shared" si="229"/>
        <v>142499.53345806873</v>
      </c>
      <c r="AC1039" s="269">
        <f t="shared" si="230"/>
        <v>142499.53345806873</v>
      </c>
      <c r="AD1039" s="271" t="str">
        <f>INDEX('Global inputs'!$C$134:$C$171,MATCH(F1039,'Global inputs'!$B$134:$B$171,0))</f>
        <v>Asset replacement and renewal</v>
      </c>
      <c r="AE1039" s="272">
        <f>IF(OR(H1039='Operating leases'!$B$32,H1039='Operating leases'!$B$33),"",INDEX('Global inputs'!$C$186:$C$243,MATCH(E1039,'Global inputs'!$B$186:$B$243,0)))</f>
        <v>0</v>
      </c>
    </row>
    <row r="1040" spans="1:31" s="27" customFormat="1" x14ac:dyDescent="0.2">
      <c r="A1040" s="250"/>
      <c r="B1040" s="210" t="s">
        <v>742</v>
      </c>
      <c r="C1040" s="210" t="s">
        <v>286</v>
      </c>
      <c r="D1040" s="210" t="s">
        <v>732</v>
      </c>
      <c r="E1040" s="210" t="s">
        <v>138</v>
      </c>
      <c r="F1040" s="210" t="s">
        <v>108</v>
      </c>
      <c r="G1040" s="210" t="s">
        <v>752</v>
      </c>
      <c r="H1040" s="197">
        <v>0</v>
      </c>
      <c r="I1040" s="210" t="s">
        <v>221</v>
      </c>
      <c r="J1040" s="210">
        <v>2023</v>
      </c>
      <c r="K1040" s="210">
        <v>2024</v>
      </c>
      <c r="L1040" s="268" t="str">
        <f t="shared" si="218"/>
        <v>Complex</v>
      </c>
      <c r="M1040" s="197">
        <v>365871.6</v>
      </c>
      <c r="N1040" s="197">
        <v>0</v>
      </c>
      <c r="O1040" s="257">
        <f>IF(ISNA(MATCH(H1040,'Operating leases'!$B$32:$B$43,0)),0,INDEX('Operating leases'!$M$32:$S$43,MATCH(H1040,'Operating leases'!$B$32:$B$43,0),MATCH(J1040,'Operating leases'!$M$11:$S$11,0)))</f>
        <v>0</v>
      </c>
      <c r="P1040" s="257">
        <f t="shared" si="219"/>
        <v>365871.6</v>
      </c>
      <c r="Q1040" s="257">
        <f t="shared" si="220"/>
        <v>365871.6</v>
      </c>
      <c r="R1040" s="258">
        <f>INDEX('Escalators '!$M$124:$S$129,MATCH(I1040,'Escalators '!$B$124:$B$129,0),MATCH(J1040,'Escalators '!$M$113:$S$113,0))</f>
        <v>1.0486791854231625</v>
      </c>
      <c r="S1040" s="257">
        <f t="shared" si="221"/>
        <v>0</v>
      </c>
      <c r="T1040" s="257">
        <f t="shared" si="222"/>
        <v>0</v>
      </c>
      <c r="U1040" s="269">
        <f t="shared" si="223"/>
        <v>383681.93145746912</v>
      </c>
      <c r="V1040" s="269">
        <f t="shared" si="224"/>
        <v>383681.93145746912</v>
      </c>
      <c r="W1040" s="269">
        <f t="shared" si="225"/>
        <v>383681.93145746912</v>
      </c>
      <c r="X1040" s="257">
        <f t="shared" si="226"/>
        <v>383681.93145746912</v>
      </c>
      <c r="Y1040" s="270">
        <f>IF(L1040="Complex",(INDEX('Escalators '!$M$176:$S$176,MATCH('Forecast capex'!J1040,'Escalators '!$M$178:$S$178,0))/12+1)^((K1040-J1040)*12)-1,0)</f>
        <v>3.5566952945970565E-2</v>
      </c>
      <c r="Z1040" s="257">
        <f t="shared" si="227"/>
        <v>13012.937981466963</v>
      </c>
      <c r="AA1040" s="257">
        <f t="shared" si="228"/>
        <v>13646.397202366908</v>
      </c>
      <c r="AB1040" s="269">
        <f t="shared" si="229"/>
        <v>397328.32865983603</v>
      </c>
      <c r="AC1040" s="269">
        <f t="shared" si="230"/>
        <v>397328.32865983603</v>
      </c>
      <c r="AD1040" s="271" t="str">
        <f>INDEX('Global inputs'!$C$134:$C$171,MATCH(F1040,'Global inputs'!$B$134:$B$171,0))</f>
        <v>Asset replacement and renewal</v>
      </c>
      <c r="AE1040" s="272">
        <f>IF(OR(H1040='Operating leases'!$B$32,H1040='Operating leases'!$B$33),"",INDEX('Global inputs'!$C$186:$C$243,MATCH(E1040,'Global inputs'!$B$186:$B$243,0)))</f>
        <v>0.08</v>
      </c>
    </row>
    <row r="1041" spans="1:31" s="27" customFormat="1" x14ac:dyDescent="0.2">
      <c r="A1041" s="250"/>
      <c r="B1041" s="210" t="s">
        <v>742</v>
      </c>
      <c r="C1041" s="210" t="s">
        <v>286</v>
      </c>
      <c r="D1041" s="210" t="s">
        <v>732</v>
      </c>
      <c r="E1041" s="210" t="s">
        <v>138</v>
      </c>
      <c r="F1041" s="210" t="s">
        <v>108</v>
      </c>
      <c r="G1041" s="210" t="s">
        <v>752</v>
      </c>
      <c r="H1041" s="197">
        <v>0</v>
      </c>
      <c r="I1041" s="210" t="s">
        <v>139</v>
      </c>
      <c r="J1041" s="210">
        <v>2023</v>
      </c>
      <c r="K1041" s="210">
        <v>2024</v>
      </c>
      <c r="L1041" s="268" t="str">
        <f t="shared" si="218"/>
        <v>Complex</v>
      </c>
      <c r="M1041" s="197">
        <v>548807.4</v>
      </c>
      <c r="N1041" s="197">
        <v>0</v>
      </c>
      <c r="O1041" s="257">
        <f>IF(ISNA(MATCH(H1041,'Operating leases'!$B$32:$B$43,0)),0,INDEX('Operating leases'!$M$32:$S$43,MATCH(H1041,'Operating leases'!$B$32:$B$43,0),MATCH(J1041,'Operating leases'!$M$11:$S$11,0)))</f>
        <v>0</v>
      </c>
      <c r="P1041" s="257">
        <f t="shared" si="219"/>
        <v>548807.4</v>
      </c>
      <c r="Q1041" s="257">
        <f t="shared" si="220"/>
        <v>548807.4</v>
      </c>
      <c r="R1041" s="258">
        <f>INDEX('Escalators '!$M$124:$S$129,MATCH(I1041,'Escalators '!$B$124:$B$129,0),MATCH(J1041,'Escalators '!$M$113:$S$113,0))</f>
        <v>1.0254948937589263</v>
      </c>
      <c r="S1041" s="257">
        <f t="shared" si="221"/>
        <v>0</v>
      </c>
      <c r="T1041" s="257">
        <f t="shared" si="222"/>
        <v>0</v>
      </c>
      <c r="U1041" s="269">
        <f t="shared" si="223"/>
        <v>562799.1863571126</v>
      </c>
      <c r="V1041" s="269">
        <f t="shared" si="224"/>
        <v>562799.1863571126</v>
      </c>
      <c r="W1041" s="269">
        <f t="shared" si="225"/>
        <v>562799.1863571126</v>
      </c>
      <c r="X1041" s="257">
        <f t="shared" si="226"/>
        <v>562799.1863571126</v>
      </c>
      <c r="Y1041" s="270">
        <f>IF(L1041="Complex",(INDEX('Escalators '!$M$176:$S$176,MATCH('Forecast capex'!J1041,'Escalators '!$M$178:$S$178,0))/12+1)^((K1041-J1041)*12)-1,0)</f>
        <v>3.5566952945970565E-2</v>
      </c>
      <c r="Z1041" s="257">
        <f t="shared" si="227"/>
        <v>19519.406972200446</v>
      </c>
      <c r="AA1041" s="257">
        <f t="shared" si="228"/>
        <v>20017.052179193943</v>
      </c>
      <c r="AB1041" s="269">
        <f t="shared" si="229"/>
        <v>582816.23853630654</v>
      </c>
      <c r="AC1041" s="269">
        <f t="shared" si="230"/>
        <v>582816.23853630654</v>
      </c>
      <c r="AD1041" s="271" t="str">
        <f>INDEX('Global inputs'!$C$134:$C$171,MATCH(F1041,'Global inputs'!$B$134:$B$171,0))</f>
        <v>Asset replacement and renewal</v>
      </c>
      <c r="AE1041" s="272">
        <f>IF(OR(H1041='Operating leases'!$B$32,H1041='Operating leases'!$B$33),"",INDEX('Global inputs'!$C$186:$C$243,MATCH(E1041,'Global inputs'!$B$186:$B$243,0)))</f>
        <v>0.08</v>
      </c>
    </row>
    <row r="1042" spans="1:31" s="27" customFormat="1" x14ac:dyDescent="0.2">
      <c r="A1042" s="250"/>
      <c r="B1042" s="210" t="s">
        <v>742</v>
      </c>
      <c r="C1042" s="210" t="s">
        <v>286</v>
      </c>
      <c r="D1042" s="210" t="s">
        <v>732</v>
      </c>
      <c r="E1042" s="210" t="s">
        <v>140</v>
      </c>
      <c r="F1042" s="210" t="s">
        <v>108</v>
      </c>
      <c r="G1042" s="210" t="s">
        <v>733</v>
      </c>
      <c r="H1042" s="197">
        <v>0</v>
      </c>
      <c r="I1042" s="210" t="s">
        <v>221</v>
      </c>
      <c r="J1042" s="210">
        <v>2023</v>
      </c>
      <c r="K1042" s="210">
        <v>2024</v>
      </c>
      <c r="L1042" s="268" t="str">
        <f t="shared" si="218"/>
        <v>Complex</v>
      </c>
      <c r="M1042" s="197">
        <v>153900</v>
      </c>
      <c r="N1042" s="197">
        <v>0</v>
      </c>
      <c r="O1042" s="257">
        <f>IF(ISNA(MATCH(H1042,'Operating leases'!$B$32:$B$43,0)),0,INDEX('Operating leases'!$M$32:$S$43,MATCH(H1042,'Operating leases'!$B$32:$B$43,0),MATCH(J1042,'Operating leases'!$M$11:$S$11,0)))</f>
        <v>0</v>
      </c>
      <c r="P1042" s="257">
        <f t="shared" si="219"/>
        <v>153900</v>
      </c>
      <c r="Q1042" s="257">
        <f t="shared" si="220"/>
        <v>153900</v>
      </c>
      <c r="R1042" s="258">
        <f>INDEX('Escalators '!$M$124:$S$129,MATCH(I1042,'Escalators '!$B$124:$B$129,0),MATCH(J1042,'Escalators '!$M$113:$S$113,0))</f>
        <v>1.0486791854231625</v>
      </c>
      <c r="S1042" s="257">
        <f t="shared" si="221"/>
        <v>0</v>
      </c>
      <c r="T1042" s="257">
        <f t="shared" si="222"/>
        <v>0</v>
      </c>
      <c r="U1042" s="269">
        <f t="shared" si="223"/>
        <v>161391.72663662472</v>
      </c>
      <c r="V1042" s="269">
        <f t="shared" si="224"/>
        <v>161391.72663662472</v>
      </c>
      <c r="W1042" s="269">
        <f t="shared" si="225"/>
        <v>161391.72663662472</v>
      </c>
      <c r="X1042" s="257">
        <f t="shared" si="226"/>
        <v>161391.72663662472</v>
      </c>
      <c r="Y1042" s="270">
        <f>IF(L1042="Complex",(INDEX('Escalators '!$M$176:$S$176,MATCH('Forecast capex'!J1042,'Escalators '!$M$178:$S$178,0))/12+1)^((K1042-J1042)*12)-1,0)</f>
        <v>3.5566952945970565E-2</v>
      </c>
      <c r="Z1042" s="257">
        <f t="shared" si="227"/>
        <v>5473.7540583848695</v>
      </c>
      <c r="AA1042" s="257">
        <f t="shared" si="228"/>
        <v>5740.2119471537753</v>
      </c>
      <c r="AB1042" s="269">
        <f t="shared" si="229"/>
        <v>167131.93858377851</v>
      </c>
      <c r="AC1042" s="269">
        <f t="shared" si="230"/>
        <v>167131.93858377851</v>
      </c>
      <c r="AD1042" s="271" t="str">
        <f>INDEX('Global inputs'!$C$134:$C$171,MATCH(F1042,'Global inputs'!$B$134:$B$171,0))</f>
        <v>Asset replacement and renewal</v>
      </c>
      <c r="AE1042" s="272">
        <f>IF(OR(H1042='Operating leases'!$B$32,H1042='Operating leases'!$B$33),"",INDEX('Global inputs'!$C$186:$C$243,MATCH(E1042,'Global inputs'!$B$186:$B$243,0)))</f>
        <v>0.08</v>
      </c>
    </row>
    <row r="1043" spans="1:31" s="27" customFormat="1" x14ac:dyDescent="0.2">
      <c r="A1043" s="250"/>
      <c r="B1043" s="210" t="s">
        <v>742</v>
      </c>
      <c r="C1043" s="210" t="s">
        <v>286</v>
      </c>
      <c r="D1043" s="210" t="s">
        <v>732</v>
      </c>
      <c r="E1043" s="210" t="s">
        <v>140</v>
      </c>
      <c r="F1043" s="210" t="s">
        <v>108</v>
      </c>
      <c r="G1043" s="210" t="s">
        <v>733</v>
      </c>
      <c r="H1043" s="197">
        <v>0</v>
      </c>
      <c r="I1043" s="210" t="s">
        <v>142</v>
      </c>
      <c r="J1043" s="210">
        <v>2023</v>
      </c>
      <c r="K1043" s="210">
        <v>2024</v>
      </c>
      <c r="L1043" s="268" t="str">
        <f t="shared" si="218"/>
        <v>Complex</v>
      </c>
      <c r="M1043" s="197">
        <v>230850</v>
      </c>
      <c r="N1043" s="197">
        <v>0</v>
      </c>
      <c r="O1043" s="257">
        <f>IF(ISNA(MATCH(H1043,'Operating leases'!$B$32:$B$43,0)),0,INDEX('Operating leases'!$M$32:$S$43,MATCH(H1043,'Operating leases'!$B$32:$B$43,0),MATCH(J1043,'Operating leases'!$M$11:$S$11,0)))</f>
        <v>0</v>
      </c>
      <c r="P1043" s="257">
        <f t="shared" si="219"/>
        <v>230850</v>
      </c>
      <c r="Q1043" s="257">
        <f t="shared" si="220"/>
        <v>230850</v>
      </c>
      <c r="R1043" s="258">
        <f>INDEX('Escalators '!$M$124:$S$129,MATCH(I1043,'Escalators '!$B$124:$B$129,0),MATCH(J1043,'Escalators '!$M$113:$S$113,0))</f>
        <v>1.0483686625768949</v>
      </c>
      <c r="S1043" s="257">
        <f t="shared" si="221"/>
        <v>0</v>
      </c>
      <c r="T1043" s="257">
        <f t="shared" si="222"/>
        <v>0</v>
      </c>
      <c r="U1043" s="269">
        <f t="shared" si="223"/>
        <v>242015.90575587619</v>
      </c>
      <c r="V1043" s="269">
        <f t="shared" si="224"/>
        <v>242015.90575587619</v>
      </c>
      <c r="W1043" s="269">
        <f t="shared" si="225"/>
        <v>242015.90575587619</v>
      </c>
      <c r="X1043" s="257">
        <f t="shared" si="226"/>
        <v>242015.90575587619</v>
      </c>
      <c r="Y1043" s="270">
        <f>IF(L1043="Complex",(INDEX('Escalators '!$M$176:$S$176,MATCH('Forecast capex'!J1043,'Escalators '!$M$178:$S$178,0))/12+1)^((K1043-J1043)*12)-1,0)</f>
        <v>3.5566952945970565E-2</v>
      </c>
      <c r="Z1043" s="257">
        <f t="shared" si="227"/>
        <v>8210.6310875773052</v>
      </c>
      <c r="AA1043" s="257">
        <f t="shared" si="228"/>
        <v>8607.7683321956956</v>
      </c>
      <c r="AB1043" s="269">
        <f t="shared" si="229"/>
        <v>250623.67408807189</v>
      </c>
      <c r="AC1043" s="269">
        <f t="shared" si="230"/>
        <v>250623.67408807189</v>
      </c>
      <c r="AD1043" s="271" t="str">
        <f>INDEX('Global inputs'!$C$134:$C$171,MATCH(F1043,'Global inputs'!$B$134:$B$171,0))</f>
        <v>Asset replacement and renewal</v>
      </c>
      <c r="AE1043" s="272">
        <f>IF(OR(H1043='Operating leases'!$B$32,H1043='Operating leases'!$B$33),"",INDEX('Global inputs'!$C$186:$C$243,MATCH(E1043,'Global inputs'!$B$186:$B$243,0)))</f>
        <v>0.08</v>
      </c>
    </row>
    <row r="1044" spans="1:31" s="27" customFormat="1" x14ac:dyDescent="0.2">
      <c r="A1044" s="250"/>
      <c r="B1044" s="210" t="s">
        <v>742</v>
      </c>
      <c r="C1044" s="210" t="s">
        <v>286</v>
      </c>
      <c r="D1044" s="210" t="s">
        <v>735</v>
      </c>
      <c r="E1044" s="210" t="s">
        <v>144</v>
      </c>
      <c r="F1044" s="210" t="s">
        <v>108</v>
      </c>
      <c r="G1044" s="210" t="s">
        <v>736</v>
      </c>
      <c r="H1044" s="197">
        <v>0</v>
      </c>
      <c r="I1044" s="210" t="s">
        <v>221</v>
      </c>
      <c r="J1044" s="210">
        <v>2023</v>
      </c>
      <c r="K1044" s="210">
        <v>2024</v>
      </c>
      <c r="L1044" s="268" t="str">
        <f t="shared" si="218"/>
        <v>Complex</v>
      </c>
      <c r="M1044" s="197">
        <v>47880</v>
      </c>
      <c r="N1044" s="197">
        <v>0</v>
      </c>
      <c r="O1044" s="257">
        <f>IF(ISNA(MATCH(H1044,'Operating leases'!$B$32:$B$43,0)),0,INDEX('Operating leases'!$M$32:$S$43,MATCH(H1044,'Operating leases'!$B$32:$B$43,0),MATCH(J1044,'Operating leases'!$M$11:$S$11,0)))</f>
        <v>0</v>
      </c>
      <c r="P1044" s="257">
        <f t="shared" si="219"/>
        <v>47880</v>
      </c>
      <c r="Q1044" s="257">
        <f t="shared" si="220"/>
        <v>47880</v>
      </c>
      <c r="R1044" s="258">
        <f>INDEX('Escalators '!$M$124:$S$129,MATCH(I1044,'Escalators '!$B$124:$B$129,0),MATCH(J1044,'Escalators '!$M$113:$S$113,0))</f>
        <v>1.0486791854231625</v>
      </c>
      <c r="S1044" s="257">
        <f t="shared" si="221"/>
        <v>0</v>
      </c>
      <c r="T1044" s="257">
        <f t="shared" si="222"/>
        <v>0</v>
      </c>
      <c r="U1044" s="269">
        <f t="shared" si="223"/>
        <v>50210.759398061018</v>
      </c>
      <c r="V1044" s="269">
        <f t="shared" si="224"/>
        <v>50210.759398061018</v>
      </c>
      <c r="W1044" s="269">
        <f t="shared" si="225"/>
        <v>50210.759398061018</v>
      </c>
      <c r="X1044" s="257">
        <f t="shared" si="226"/>
        <v>50210.759398061018</v>
      </c>
      <c r="Y1044" s="270">
        <f>IF(L1044="Complex",(INDEX('Escalators '!$M$176:$S$176,MATCH('Forecast capex'!J1044,'Escalators '!$M$178:$S$178,0))/12+1)^((K1044-J1044)*12)-1,0)</f>
        <v>3.5566952945970565E-2</v>
      </c>
      <c r="Z1044" s="257">
        <f t="shared" si="227"/>
        <v>1702.9457070530707</v>
      </c>
      <c r="AA1044" s="257">
        <f t="shared" si="228"/>
        <v>1785.8437168922856</v>
      </c>
      <c r="AB1044" s="269">
        <f t="shared" si="229"/>
        <v>51996.603114953301</v>
      </c>
      <c r="AC1044" s="269">
        <f t="shared" si="230"/>
        <v>51996.603114953301</v>
      </c>
      <c r="AD1044" s="271" t="str">
        <f>INDEX('Global inputs'!$C$134:$C$171,MATCH(F1044,'Global inputs'!$B$134:$B$171,0))</f>
        <v>Asset replacement and renewal</v>
      </c>
      <c r="AE1044" s="272">
        <f>IF(OR(H1044='Operating leases'!$B$32,H1044='Operating leases'!$B$33),"",INDEX('Global inputs'!$C$186:$C$243,MATCH(E1044,'Global inputs'!$B$186:$B$243,0)))</f>
        <v>0.08</v>
      </c>
    </row>
    <row r="1045" spans="1:31" s="27" customFormat="1" x14ac:dyDescent="0.2">
      <c r="A1045" s="250"/>
      <c r="B1045" s="210" t="s">
        <v>742</v>
      </c>
      <c r="C1045" s="210" t="s">
        <v>286</v>
      </c>
      <c r="D1045" s="210" t="s">
        <v>735</v>
      </c>
      <c r="E1045" s="210" t="s">
        <v>144</v>
      </c>
      <c r="F1045" s="210" t="s">
        <v>108</v>
      </c>
      <c r="G1045" s="210" t="s">
        <v>736</v>
      </c>
      <c r="H1045" s="197">
        <v>0</v>
      </c>
      <c r="I1045" s="210" t="s">
        <v>229</v>
      </c>
      <c r="J1045" s="210">
        <v>2023</v>
      </c>
      <c r="K1045" s="210">
        <v>2024</v>
      </c>
      <c r="L1045" s="268" t="str">
        <f t="shared" si="218"/>
        <v>Complex</v>
      </c>
      <c r="M1045" s="197">
        <v>11970</v>
      </c>
      <c r="N1045" s="197">
        <v>0</v>
      </c>
      <c r="O1045" s="257">
        <f>IF(ISNA(MATCH(H1045,'Operating leases'!$B$32:$B$43,0)),0,INDEX('Operating leases'!$M$32:$S$43,MATCH(H1045,'Operating leases'!$B$32:$B$43,0),MATCH(J1045,'Operating leases'!$M$11:$S$11,0)))</f>
        <v>0</v>
      </c>
      <c r="P1045" s="257">
        <f t="shared" si="219"/>
        <v>11970</v>
      </c>
      <c r="Q1045" s="257">
        <f t="shared" si="220"/>
        <v>11970</v>
      </c>
      <c r="R1045" s="258">
        <f>INDEX('Escalators '!$M$124:$S$129,MATCH(I1045,'Escalators '!$B$124:$B$129,0),MATCH(J1045,'Escalators '!$M$113:$S$113,0))</f>
        <v>1.0553567720906862</v>
      </c>
      <c r="S1045" s="257">
        <f t="shared" si="221"/>
        <v>0</v>
      </c>
      <c r="T1045" s="257">
        <f t="shared" si="222"/>
        <v>0</v>
      </c>
      <c r="U1045" s="269">
        <f t="shared" si="223"/>
        <v>12632.620561925514</v>
      </c>
      <c r="V1045" s="269">
        <f t="shared" si="224"/>
        <v>12632.620561925514</v>
      </c>
      <c r="W1045" s="269">
        <f t="shared" si="225"/>
        <v>12632.620561925514</v>
      </c>
      <c r="X1045" s="257">
        <f t="shared" si="226"/>
        <v>12632.620561925514</v>
      </c>
      <c r="Y1045" s="270">
        <f>IF(L1045="Complex",(INDEX('Escalators '!$M$176:$S$176,MATCH('Forecast capex'!J1045,'Escalators '!$M$178:$S$178,0))/12+1)^((K1045-J1045)*12)-1,0)</f>
        <v>3.5566952945970565E-2</v>
      </c>
      <c r="Z1045" s="257">
        <f t="shared" si="227"/>
        <v>425.73642676326767</v>
      </c>
      <c r="AA1045" s="257">
        <f t="shared" si="228"/>
        <v>449.30382111030502</v>
      </c>
      <c r="AB1045" s="269">
        <f t="shared" si="229"/>
        <v>13081.924383035819</v>
      </c>
      <c r="AC1045" s="269">
        <f t="shared" si="230"/>
        <v>13081.924383035819</v>
      </c>
      <c r="AD1045" s="271" t="str">
        <f>INDEX('Global inputs'!$C$134:$C$171,MATCH(F1045,'Global inputs'!$B$134:$B$171,0))</f>
        <v>Asset replacement and renewal</v>
      </c>
      <c r="AE1045" s="272">
        <f>IF(OR(H1045='Operating leases'!$B$32,H1045='Operating leases'!$B$33),"",INDEX('Global inputs'!$C$186:$C$243,MATCH(E1045,'Global inputs'!$B$186:$B$243,0)))</f>
        <v>0.08</v>
      </c>
    </row>
    <row r="1046" spans="1:31" s="27" customFormat="1" x14ac:dyDescent="0.2">
      <c r="A1046" s="250"/>
      <c r="B1046" s="210" t="s">
        <v>742</v>
      </c>
      <c r="C1046" s="210" t="s">
        <v>286</v>
      </c>
      <c r="D1046" s="210" t="s">
        <v>735</v>
      </c>
      <c r="E1046" s="210" t="s">
        <v>147</v>
      </c>
      <c r="F1046" s="210" t="s">
        <v>108</v>
      </c>
      <c r="G1046" s="210" t="s">
        <v>744</v>
      </c>
      <c r="H1046" s="197">
        <v>0</v>
      </c>
      <c r="I1046" s="210" t="s">
        <v>221</v>
      </c>
      <c r="J1046" s="210">
        <v>2023</v>
      </c>
      <c r="K1046" s="210">
        <v>2024</v>
      </c>
      <c r="L1046" s="268" t="str">
        <f t="shared" si="218"/>
        <v>Complex</v>
      </c>
      <c r="M1046" s="197">
        <v>25330.799999999999</v>
      </c>
      <c r="N1046" s="197">
        <v>0</v>
      </c>
      <c r="O1046" s="257">
        <f>IF(ISNA(MATCH(H1046,'Operating leases'!$B$32:$B$43,0)),0,INDEX('Operating leases'!$M$32:$S$43,MATCH(H1046,'Operating leases'!$B$32:$B$43,0),MATCH(J1046,'Operating leases'!$M$11:$S$11,0)))</f>
        <v>0</v>
      </c>
      <c r="P1046" s="257">
        <f t="shared" si="219"/>
        <v>25330.799999999999</v>
      </c>
      <c r="Q1046" s="257">
        <f t="shared" si="220"/>
        <v>25330.799999999999</v>
      </c>
      <c r="R1046" s="258">
        <f>INDEX('Escalators '!$M$124:$S$129,MATCH(I1046,'Escalators '!$B$124:$B$129,0),MATCH(J1046,'Escalators '!$M$113:$S$113,0))</f>
        <v>1.0486791854231625</v>
      </c>
      <c r="S1046" s="257">
        <f t="shared" si="221"/>
        <v>0</v>
      </c>
      <c r="T1046" s="257">
        <f t="shared" si="222"/>
        <v>0</v>
      </c>
      <c r="U1046" s="269">
        <f t="shared" si="223"/>
        <v>26563.882710117043</v>
      </c>
      <c r="V1046" s="269">
        <f t="shared" si="224"/>
        <v>26563.882710117043</v>
      </c>
      <c r="W1046" s="269">
        <f t="shared" si="225"/>
        <v>26563.882710117043</v>
      </c>
      <c r="X1046" s="257">
        <f t="shared" si="226"/>
        <v>26563.882710117043</v>
      </c>
      <c r="Y1046" s="270">
        <f>IF(L1046="Complex",(INDEX('Escalators '!$M$176:$S$176,MATCH('Forecast capex'!J1046,'Escalators '!$M$178:$S$178,0))/12+1)^((K1046-J1046)*12)-1,0)</f>
        <v>3.5566952945970565E-2</v>
      </c>
      <c r="Z1046" s="257">
        <f t="shared" si="227"/>
        <v>900.93937168379114</v>
      </c>
      <c r="AA1046" s="257">
        <f t="shared" si="228"/>
        <v>944.79636641301386</v>
      </c>
      <c r="AB1046" s="269">
        <f t="shared" si="229"/>
        <v>27508.679076530058</v>
      </c>
      <c r="AC1046" s="269">
        <f t="shared" si="230"/>
        <v>27508.679076530058</v>
      </c>
      <c r="AD1046" s="271" t="str">
        <f>INDEX('Global inputs'!$C$134:$C$171,MATCH(F1046,'Global inputs'!$B$134:$B$171,0))</f>
        <v>Asset replacement and renewal</v>
      </c>
      <c r="AE1046" s="272">
        <f>IF(OR(H1046='Operating leases'!$B$32,H1046='Operating leases'!$B$33),"",INDEX('Global inputs'!$C$186:$C$243,MATCH(E1046,'Global inputs'!$B$186:$B$243,0)))</f>
        <v>0.08</v>
      </c>
    </row>
    <row r="1047" spans="1:31" s="27" customFormat="1" x14ac:dyDescent="0.2">
      <c r="A1047" s="250"/>
      <c r="B1047" s="210" t="s">
        <v>742</v>
      </c>
      <c r="C1047" s="210" t="s">
        <v>286</v>
      </c>
      <c r="D1047" s="210" t="s">
        <v>735</v>
      </c>
      <c r="E1047" s="210" t="s">
        <v>147</v>
      </c>
      <c r="F1047" s="210" t="s">
        <v>108</v>
      </c>
      <c r="G1047" s="210" t="s">
        <v>744</v>
      </c>
      <c r="H1047" s="197">
        <v>0</v>
      </c>
      <c r="I1047" s="210" t="s">
        <v>229</v>
      </c>
      <c r="J1047" s="210">
        <v>2023</v>
      </c>
      <c r="K1047" s="210">
        <v>2024</v>
      </c>
      <c r="L1047" s="268" t="str">
        <f t="shared" si="218"/>
        <v>Complex</v>
      </c>
      <c r="M1047" s="197">
        <v>6332.7</v>
      </c>
      <c r="N1047" s="197">
        <v>0</v>
      </c>
      <c r="O1047" s="257">
        <f>IF(ISNA(MATCH(H1047,'Operating leases'!$B$32:$B$43,0)),0,INDEX('Operating leases'!$M$32:$S$43,MATCH(H1047,'Operating leases'!$B$32:$B$43,0),MATCH(J1047,'Operating leases'!$M$11:$S$11,0)))</f>
        <v>0</v>
      </c>
      <c r="P1047" s="257">
        <f t="shared" si="219"/>
        <v>6332.7</v>
      </c>
      <c r="Q1047" s="257">
        <f t="shared" si="220"/>
        <v>6332.7</v>
      </c>
      <c r="R1047" s="258">
        <f>INDEX('Escalators '!$M$124:$S$129,MATCH(I1047,'Escalators '!$B$124:$B$129,0),MATCH(J1047,'Escalators '!$M$113:$S$113,0))</f>
        <v>1.0553567720906862</v>
      </c>
      <c r="S1047" s="257">
        <f t="shared" si="221"/>
        <v>0</v>
      </c>
      <c r="T1047" s="257">
        <f t="shared" si="222"/>
        <v>0</v>
      </c>
      <c r="U1047" s="269">
        <f t="shared" si="223"/>
        <v>6683.2578306186888</v>
      </c>
      <c r="V1047" s="269">
        <f t="shared" si="224"/>
        <v>6683.2578306186888</v>
      </c>
      <c r="W1047" s="269">
        <f t="shared" si="225"/>
        <v>6683.2578306186888</v>
      </c>
      <c r="X1047" s="257">
        <f t="shared" si="226"/>
        <v>6683.2578306186888</v>
      </c>
      <c r="Y1047" s="270">
        <f>IF(L1047="Complex",(INDEX('Escalators '!$M$176:$S$176,MATCH('Forecast capex'!J1047,'Escalators '!$M$178:$S$178,0))/12+1)^((K1047-J1047)*12)-1,0)</f>
        <v>3.5566952945970565E-2</v>
      </c>
      <c r="Z1047" s="257">
        <f t="shared" si="227"/>
        <v>225.23484292094778</v>
      </c>
      <c r="AA1047" s="257">
        <f t="shared" si="228"/>
        <v>237.70311678740421</v>
      </c>
      <c r="AB1047" s="269">
        <f t="shared" si="229"/>
        <v>6920.9609474060926</v>
      </c>
      <c r="AC1047" s="269">
        <f t="shared" si="230"/>
        <v>6920.9609474060926</v>
      </c>
      <c r="AD1047" s="271" t="str">
        <f>INDEX('Global inputs'!$C$134:$C$171,MATCH(F1047,'Global inputs'!$B$134:$B$171,0))</f>
        <v>Asset replacement and renewal</v>
      </c>
      <c r="AE1047" s="272">
        <f>IF(OR(H1047='Operating leases'!$B$32,H1047='Operating leases'!$B$33),"",INDEX('Global inputs'!$C$186:$C$243,MATCH(E1047,'Global inputs'!$B$186:$B$243,0)))</f>
        <v>0.08</v>
      </c>
    </row>
    <row r="1048" spans="1:31" s="27" customFormat="1" x14ac:dyDescent="0.2">
      <c r="A1048" s="250"/>
      <c r="B1048" s="210" t="s">
        <v>742</v>
      </c>
      <c r="C1048" s="210" t="s">
        <v>288</v>
      </c>
      <c r="D1048" s="210" t="s">
        <v>223</v>
      </c>
      <c r="E1048" s="210" t="s">
        <v>156</v>
      </c>
      <c r="F1048" s="210" t="s">
        <v>108</v>
      </c>
      <c r="G1048" s="210" t="s">
        <v>727</v>
      </c>
      <c r="H1048" s="197">
        <v>0</v>
      </c>
      <c r="I1048" s="210" t="s">
        <v>221</v>
      </c>
      <c r="J1048" s="210">
        <v>2023</v>
      </c>
      <c r="K1048" s="210">
        <v>2024</v>
      </c>
      <c r="L1048" s="268" t="str">
        <f t="shared" si="218"/>
        <v>Complex</v>
      </c>
      <c r="M1048" s="197">
        <v>37095.029999999992</v>
      </c>
      <c r="N1048" s="197">
        <v>0</v>
      </c>
      <c r="O1048" s="257">
        <f>IF(ISNA(MATCH(H1048,'Operating leases'!$B$32:$B$43,0)),0,INDEX('Operating leases'!$M$32:$S$43,MATCH(H1048,'Operating leases'!$B$32:$B$43,0),MATCH(J1048,'Operating leases'!$M$11:$S$11,0)))</f>
        <v>0</v>
      </c>
      <c r="P1048" s="257">
        <f t="shared" si="219"/>
        <v>37095.029999999992</v>
      </c>
      <c r="Q1048" s="257">
        <f t="shared" si="220"/>
        <v>37095.029999999992</v>
      </c>
      <c r="R1048" s="258">
        <f>INDEX('Escalators '!$M$124:$S$129,MATCH(I1048,'Escalators '!$B$124:$B$129,0),MATCH(J1048,'Escalators '!$M$113:$S$113,0))</f>
        <v>1.0486791854231625</v>
      </c>
      <c r="S1048" s="257">
        <f t="shared" si="221"/>
        <v>0</v>
      </c>
      <c r="T1048" s="257">
        <f t="shared" si="222"/>
        <v>0</v>
      </c>
      <c r="U1048" s="269">
        <f t="shared" si="223"/>
        <v>38900.785843647769</v>
      </c>
      <c r="V1048" s="269">
        <f t="shared" si="224"/>
        <v>38900.785843647769</v>
      </c>
      <c r="W1048" s="269">
        <f t="shared" si="225"/>
        <v>38900.785843647769</v>
      </c>
      <c r="X1048" s="257">
        <f t="shared" si="226"/>
        <v>38900.785843647769</v>
      </c>
      <c r="Y1048" s="270">
        <f>IF(L1048="Complex",(INDEX('Escalators '!$M$176:$S$176,MATCH('Forecast capex'!J1048,'Escalators '!$M$178:$S$178,0))/12+1)^((K1048-J1048)*12)-1,0)</f>
        <v>3.5566952945970565E-2</v>
      </c>
      <c r="Z1048" s="257">
        <f t="shared" si="227"/>
        <v>1319.3571865393662</v>
      </c>
      <c r="AA1048" s="257">
        <f t="shared" si="228"/>
        <v>1383.582419662298</v>
      </c>
      <c r="AB1048" s="269">
        <f t="shared" si="229"/>
        <v>40284.368263310069</v>
      </c>
      <c r="AC1048" s="269">
        <f t="shared" si="230"/>
        <v>40284.368263310069</v>
      </c>
      <c r="AD1048" s="271" t="str">
        <f>INDEX('Global inputs'!$C$134:$C$171,MATCH(F1048,'Global inputs'!$B$134:$B$171,0))</f>
        <v>Asset replacement and renewal</v>
      </c>
      <c r="AE1048" s="272">
        <f>IF(OR(H1048='Operating leases'!$B$32,H1048='Operating leases'!$B$33),"",INDEX('Global inputs'!$C$186:$C$243,MATCH(E1048,'Global inputs'!$B$186:$B$243,0)))</f>
        <v>0.08</v>
      </c>
    </row>
    <row r="1049" spans="1:31" s="27" customFormat="1" x14ac:dyDescent="0.2">
      <c r="A1049" s="250"/>
      <c r="B1049" s="210" t="s">
        <v>742</v>
      </c>
      <c r="C1049" s="210" t="s">
        <v>288</v>
      </c>
      <c r="D1049" s="210" t="s">
        <v>223</v>
      </c>
      <c r="E1049" s="210" t="s">
        <v>156</v>
      </c>
      <c r="F1049" s="210" t="s">
        <v>108</v>
      </c>
      <c r="G1049" s="210" t="s">
        <v>727</v>
      </c>
      <c r="H1049" s="197">
        <v>0</v>
      </c>
      <c r="I1049" s="210" t="s">
        <v>223</v>
      </c>
      <c r="J1049" s="210">
        <v>2023</v>
      </c>
      <c r="K1049" s="210">
        <v>2024</v>
      </c>
      <c r="L1049" s="268" t="str">
        <f t="shared" si="218"/>
        <v>Complex</v>
      </c>
      <c r="M1049" s="197">
        <v>15897.869999999997</v>
      </c>
      <c r="N1049" s="197">
        <v>0</v>
      </c>
      <c r="O1049" s="257">
        <f>IF(ISNA(MATCH(H1049,'Operating leases'!$B$32:$B$43,0)),0,INDEX('Operating leases'!$M$32:$S$43,MATCH(H1049,'Operating leases'!$B$32:$B$43,0),MATCH(J1049,'Operating leases'!$M$11:$S$11,0)))</f>
        <v>0</v>
      </c>
      <c r="P1049" s="257">
        <f t="shared" si="219"/>
        <v>15897.869999999997</v>
      </c>
      <c r="Q1049" s="257">
        <f t="shared" si="220"/>
        <v>15897.869999999997</v>
      </c>
      <c r="R1049" s="258">
        <f>INDEX('Escalators '!$M$124:$S$129,MATCH(I1049,'Escalators '!$B$124:$B$129,0),MATCH(J1049,'Escalators '!$M$113:$S$113,0))</f>
        <v>1.0703240765377642</v>
      </c>
      <c r="S1049" s="257">
        <f t="shared" si="221"/>
        <v>0</v>
      </c>
      <c r="T1049" s="257">
        <f t="shared" si="222"/>
        <v>0</v>
      </c>
      <c r="U1049" s="269">
        <f t="shared" si="223"/>
        <v>17015.873026667421</v>
      </c>
      <c r="V1049" s="269">
        <f t="shared" si="224"/>
        <v>17015.873026667421</v>
      </c>
      <c r="W1049" s="269">
        <f t="shared" si="225"/>
        <v>17015.873026667421</v>
      </c>
      <c r="X1049" s="257">
        <f t="shared" si="226"/>
        <v>17015.873026667421</v>
      </c>
      <c r="Y1049" s="270">
        <f>IF(L1049="Complex",(INDEX('Escalators '!$M$176:$S$176,MATCH('Forecast capex'!J1049,'Escalators '!$M$178:$S$178,0))/12+1)^((K1049-J1049)*12)-1,0)</f>
        <v>3.5566952945970565E-2</v>
      </c>
      <c r="Z1049" s="257">
        <f t="shared" si="227"/>
        <v>565.43879423115698</v>
      </c>
      <c r="AA1049" s="257">
        <f t="shared" si="228"/>
        <v>605.2027552740899</v>
      </c>
      <c r="AB1049" s="269">
        <f t="shared" si="229"/>
        <v>17621.075781941512</v>
      </c>
      <c r="AC1049" s="269">
        <f t="shared" si="230"/>
        <v>17621.075781941512</v>
      </c>
      <c r="AD1049" s="271" t="str">
        <f>INDEX('Global inputs'!$C$134:$C$171,MATCH(F1049,'Global inputs'!$B$134:$B$171,0))</f>
        <v>Asset replacement and renewal</v>
      </c>
      <c r="AE1049" s="272">
        <f>IF(OR(H1049='Operating leases'!$B$32,H1049='Operating leases'!$B$33),"",INDEX('Global inputs'!$C$186:$C$243,MATCH(E1049,'Global inputs'!$B$186:$B$243,0)))</f>
        <v>0.08</v>
      </c>
    </row>
    <row r="1050" spans="1:31" s="27" customFormat="1" x14ac:dyDescent="0.2">
      <c r="A1050" s="250"/>
      <c r="B1050" s="210" t="s">
        <v>742</v>
      </c>
      <c r="C1050" s="210" t="s">
        <v>291</v>
      </c>
      <c r="D1050" s="210" t="s">
        <v>735</v>
      </c>
      <c r="E1050" s="210" t="s">
        <v>175</v>
      </c>
      <c r="F1050" s="210" t="s">
        <v>108</v>
      </c>
      <c r="G1050" s="210" t="s">
        <v>748</v>
      </c>
      <c r="H1050" s="197">
        <v>0</v>
      </c>
      <c r="I1050" s="210" t="s">
        <v>221</v>
      </c>
      <c r="J1050" s="210">
        <v>2023</v>
      </c>
      <c r="K1050" s="210">
        <v>2024</v>
      </c>
      <c r="L1050" s="268" t="str">
        <f t="shared" si="218"/>
        <v>Complex</v>
      </c>
      <c r="M1050" s="197">
        <v>33516</v>
      </c>
      <c r="N1050" s="197">
        <v>0</v>
      </c>
      <c r="O1050" s="257">
        <f>IF(ISNA(MATCH(H1050,'Operating leases'!$B$32:$B$43,0)),0,INDEX('Operating leases'!$M$32:$S$43,MATCH(H1050,'Operating leases'!$B$32:$B$43,0),MATCH(J1050,'Operating leases'!$M$11:$S$11,0)))</f>
        <v>0</v>
      </c>
      <c r="P1050" s="257">
        <f t="shared" si="219"/>
        <v>33516</v>
      </c>
      <c r="Q1050" s="257">
        <f t="shared" si="220"/>
        <v>33516</v>
      </c>
      <c r="R1050" s="258">
        <f>INDEX('Escalators '!$M$124:$S$129,MATCH(I1050,'Escalators '!$B$124:$B$129,0),MATCH(J1050,'Escalators '!$M$113:$S$113,0))</f>
        <v>1.0486791854231625</v>
      </c>
      <c r="S1050" s="257">
        <f t="shared" si="221"/>
        <v>0</v>
      </c>
      <c r="T1050" s="257">
        <f t="shared" si="222"/>
        <v>0</v>
      </c>
      <c r="U1050" s="269">
        <f t="shared" si="223"/>
        <v>35147.531578642716</v>
      </c>
      <c r="V1050" s="269">
        <f t="shared" si="224"/>
        <v>35147.531578642716</v>
      </c>
      <c r="W1050" s="269">
        <f t="shared" si="225"/>
        <v>35147.531578642716</v>
      </c>
      <c r="X1050" s="257">
        <f t="shared" si="226"/>
        <v>35147.531578642716</v>
      </c>
      <c r="Y1050" s="270">
        <f>IF(L1050="Complex",(INDEX('Escalators '!$M$176:$S$176,MATCH('Forecast capex'!J1050,'Escalators '!$M$178:$S$178,0))/12+1)^((K1050-J1050)*12)-1,0)</f>
        <v>3.5566952945970565E-2</v>
      </c>
      <c r="Z1050" s="257">
        <f t="shared" si="227"/>
        <v>1192.0619949371494</v>
      </c>
      <c r="AA1050" s="257">
        <f t="shared" si="228"/>
        <v>1250.0906018246001</v>
      </c>
      <c r="AB1050" s="269">
        <f t="shared" si="229"/>
        <v>36397.622180467319</v>
      </c>
      <c r="AC1050" s="269">
        <f t="shared" si="230"/>
        <v>36397.622180467319</v>
      </c>
      <c r="AD1050" s="271" t="str">
        <f>INDEX('Global inputs'!$C$134:$C$171,MATCH(F1050,'Global inputs'!$B$134:$B$171,0))</f>
        <v>Asset replacement and renewal</v>
      </c>
      <c r="AE1050" s="272">
        <f>IF(OR(H1050='Operating leases'!$B$32,H1050='Operating leases'!$B$33),"",INDEX('Global inputs'!$C$186:$C$243,MATCH(E1050,'Global inputs'!$B$186:$B$243,0)))</f>
        <v>0.1</v>
      </c>
    </row>
    <row r="1051" spans="1:31" s="27" customFormat="1" x14ac:dyDescent="0.2">
      <c r="A1051" s="250"/>
      <c r="B1051" s="210" t="s">
        <v>742</v>
      </c>
      <c r="C1051" s="210" t="s">
        <v>291</v>
      </c>
      <c r="D1051" s="210" t="s">
        <v>735</v>
      </c>
      <c r="E1051" s="210" t="s">
        <v>175</v>
      </c>
      <c r="F1051" s="210" t="s">
        <v>108</v>
      </c>
      <c r="G1051" s="210" t="s">
        <v>748</v>
      </c>
      <c r="H1051" s="197">
        <v>0</v>
      </c>
      <c r="I1051" s="210" t="s">
        <v>229</v>
      </c>
      <c r="J1051" s="210">
        <v>2023</v>
      </c>
      <c r="K1051" s="210">
        <v>2024</v>
      </c>
      <c r="L1051" s="268" t="str">
        <f t="shared" si="218"/>
        <v>Complex</v>
      </c>
      <c r="M1051" s="197">
        <v>8379</v>
      </c>
      <c r="N1051" s="197">
        <v>0</v>
      </c>
      <c r="O1051" s="257">
        <f>IF(ISNA(MATCH(H1051,'Operating leases'!$B$32:$B$43,0)),0,INDEX('Operating leases'!$M$32:$S$43,MATCH(H1051,'Operating leases'!$B$32:$B$43,0),MATCH(J1051,'Operating leases'!$M$11:$S$11,0)))</f>
        <v>0</v>
      </c>
      <c r="P1051" s="257">
        <f t="shared" si="219"/>
        <v>8379</v>
      </c>
      <c r="Q1051" s="257">
        <f t="shared" si="220"/>
        <v>8379</v>
      </c>
      <c r="R1051" s="258">
        <f>INDEX('Escalators '!$M$124:$S$129,MATCH(I1051,'Escalators '!$B$124:$B$129,0),MATCH(J1051,'Escalators '!$M$113:$S$113,0))</f>
        <v>1.0553567720906862</v>
      </c>
      <c r="S1051" s="257">
        <f t="shared" si="221"/>
        <v>0</v>
      </c>
      <c r="T1051" s="257">
        <f t="shared" si="222"/>
        <v>0</v>
      </c>
      <c r="U1051" s="269">
        <f t="shared" si="223"/>
        <v>8842.8343933478591</v>
      </c>
      <c r="V1051" s="269">
        <f t="shared" si="224"/>
        <v>8842.8343933478591</v>
      </c>
      <c r="W1051" s="269">
        <f t="shared" si="225"/>
        <v>8842.8343933478591</v>
      </c>
      <c r="X1051" s="257">
        <f t="shared" si="226"/>
        <v>8842.8343933478591</v>
      </c>
      <c r="Y1051" s="270">
        <f>IF(L1051="Complex",(INDEX('Escalators '!$M$176:$S$176,MATCH('Forecast capex'!J1051,'Escalators '!$M$178:$S$178,0))/12+1)^((K1051-J1051)*12)-1,0)</f>
        <v>3.5566952945970565E-2</v>
      </c>
      <c r="Z1051" s="257">
        <f t="shared" si="227"/>
        <v>298.01549873428735</v>
      </c>
      <c r="AA1051" s="257">
        <f t="shared" si="228"/>
        <v>314.51267477721348</v>
      </c>
      <c r="AB1051" s="269">
        <f t="shared" si="229"/>
        <v>9157.3470681250728</v>
      </c>
      <c r="AC1051" s="269">
        <f t="shared" si="230"/>
        <v>9157.3470681250728</v>
      </c>
      <c r="AD1051" s="271" t="str">
        <f>INDEX('Global inputs'!$C$134:$C$171,MATCH(F1051,'Global inputs'!$B$134:$B$171,0))</f>
        <v>Asset replacement and renewal</v>
      </c>
      <c r="AE1051" s="272">
        <f>IF(OR(H1051='Operating leases'!$B$32,H1051='Operating leases'!$B$33),"",INDEX('Global inputs'!$C$186:$C$243,MATCH(E1051,'Global inputs'!$B$186:$B$243,0)))</f>
        <v>0.1</v>
      </c>
    </row>
    <row r="1052" spans="1:31" s="27" customFormat="1" x14ac:dyDescent="0.2">
      <c r="A1052" s="250"/>
      <c r="B1052" s="210" t="s">
        <v>714</v>
      </c>
      <c r="C1052" s="210" t="s">
        <v>284</v>
      </c>
      <c r="D1052" s="210" t="s">
        <v>715</v>
      </c>
      <c r="E1052" s="210" t="s">
        <v>127</v>
      </c>
      <c r="F1052" s="210" t="s">
        <v>92</v>
      </c>
      <c r="G1052" s="210" t="s">
        <v>716</v>
      </c>
      <c r="H1052" s="197">
        <v>0</v>
      </c>
      <c r="I1052" s="210" t="s">
        <v>229</v>
      </c>
      <c r="J1052" s="210">
        <v>2024</v>
      </c>
      <c r="K1052" s="210">
        <v>2024</v>
      </c>
      <c r="L1052" s="268" t="str">
        <f t="shared" si="218"/>
        <v>Simple</v>
      </c>
      <c r="M1052" s="197">
        <v>6202.5245559236391</v>
      </c>
      <c r="N1052" s="197">
        <v>9303.7868338854569</v>
      </c>
      <c r="O1052" s="257">
        <f>IF(ISNA(MATCH(H1052,'Operating leases'!$B$32:$B$43,0)),0,INDEX('Operating leases'!$M$32:$S$43,MATCH(H1052,'Operating leases'!$B$32:$B$43,0),MATCH(J1052,'Operating leases'!$M$11:$S$11,0)))</f>
        <v>0</v>
      </c>
      <c r="P1052" s="257">
        <f t="shared" si="219"/>
        <v>6202.5245559236391</v>
      </c>
      <c r="Q1052" s="257">
        <f t="shared" si="220"/>
        <v>15506.311389809096</v>
      </c>
      <c r="R1052" s="258">
        <f>INDEX('Escalators '!$M$124:$S$129,MATCH(I1052,'Escalators '!$B$124:$B$129,0),MATCH(J1052,'Escalators '!$M$113:$S$113,0))</f>
        <v>1.0731681760713303</v>
      </c>
      <c r="S1052" s="257">
        <f t="shared" si="221"/>
        <v>0</v>
      </c>
      <c r="T1052" s="257">
        <f t="shared" si="222"/>
        <v>9984.527947077313</v>
      </c>
      <c r="U1052" s="269">
        <f t="shared" si="223"/>
        <v>6656.3519647182111</v>
      </c>
      <c r="V1052" s="269">
        <f t="shared" si="224"/>
        <v>16640.879911795524</v>
      </c>
      <c r="W1052" s="269">
        <f t="shared" si="225"/>
        <v>6656.3519647182111</v>
      </c>
      <c r="X1052" s="257">
        <f t="shared" si="226"/>
        <v>16640.879911795524</v>
      </c>
      <c r="Y1052" s="270">
        <f>IF(L1052="Complex",(INDEX('Escalators '!$M$176:$S$176,MATCH('Forecast capex'!J1052,'Escalators '!$M$178:$S$178,0))/12+1)^((K1052-J1052)*12)-1,0)</f>
        <v>0</v>
      </c>
      <c r="Z1052" s="257">
        <f t="shared" si="227"/>
        <v>0</v>
      </c>
      <c r="AA1052" s="257">
        <f t="shared" si="228"/>
        <v>0</v>
      </c>
      <c r="AB1052" s="269">
        <f t="shared" si="229"/>
        <v>0</v>
      </c>
      <c r="AC1052" s="269">
        <f t="shared" si="230"/>
        <v>0</v>
      </c>
      <c r="AD1052" s="271" t="str">
        <f>INDEX('Global inputs'!$C$134:$C$171,MATCH(F1052,'Global inputs'!$B$134:$B$171,0))</f>
        <v>Asset relocations and undergrounding</v>
      </c>
      <c r="AE1052" s="272">
        <f>IF(OR(H1052='Operating leases'!$B$32,H1052='Operating leases'!$B$33),"",INDEX('Global inputs'!$C$186:$C$243,MATCH(E1052,'Global inputs'!$B$186:$B$243,0)))</f>
        <v>0.08</v>
      </c>
    </row>
    <row r="1053" spans="1:31" s="27" customFormat="1" x14ac:dyDescent="0.2">
      <c r="A1053" s="250"/>
      <c r="B1053" s="210" t="s">
        <v>714</v>
      </c>
      <c r="C1053" s="210" t="s">
        <v>284</v>
      </c>
      <c r="D1053" s="210" t="s">
        <v>715</v>
      </c>
      <c r="E1053" s="210" t="s">
        <v>127</v>
      </c>
      <c r="F1053" s="210" t="s">
        <v>92</v>
      </c>
      <c r="G1053" s="210" t="s">
        <v>716</v>
      </c>
      <c r="H1053" s="197">
        <v>0</v>
      </c>
      <c r="I1053" s="210" t="s">
        <v>221</v>
      </c>
      <c r="J1053" s="210">
        <v>2024</v>
      </c>
      <c r="K1053" s="210">
        <v>2024</v>
      </c>
      <c r="L1053" s="268" t="str">
        <f t="shared" si="218"/>
        <v>Simple</v>
      </c>
      <c r="M1053" s="197">
        <v>6202.5245559236391</v>
      </c>
      <c r="N1053" s="197">
        <v>9303.7868338854569</v>
      </c>
      <c r="O1053" s="257">
        <f>IF(ISNA(MATCH(H1053,'Operating leases'!$B$32:$B$43,0)),0,INDEX('Operating leases'!$M$32:$S$43,MATCH(H1053,'Operating leases'!$B$32:$B$43,0),MATCH(J1053,'Operating leases'!$M$11:$S$11,0)))</f>
        <v>0</v>
      </c>
      <c r="P1053" s="257">
        <f t="shared" si="219"/>
        <v>6202.5245559236391</v>
      </c>
      <c r="Q1053" s="257">
        <f t="shared" si="220"/>
        <v>15506.311389809096</v>
      </c>
      <c r="R1053" s="258">
        <f>INDEX('Escalators '!$M$124:$S$129,MATCH(I1053,'Escalators '!$B$124:$B$129,0),MATCH(J1053,'Escalators '!$M$113:$S$113,0))</f>
        <v>1.06512715891222</v>
      </c>
      <c r="S1053" s="257">
        <f t="shared" si="221"/>
        <v>0</v>
      </c>
      <c r="T1053" s="257">
        <f t="shared" si="222"/>
        <v>9909.7160375013354</v>
      </c>
      <c r="U1053" s="269">
        <f t="shared" si="223"/>
        <v>6606.477358334223</v>
      </c>
      <c r="V1053" s="269">
        <f t="shared" si="224"/>
        <v>16516.193395835558</v>
      </c>
      <c r="W1053" s="269">
        <f t="shared" si="225"/>
        <v>6606.477358334223</v>
      </c>
      <c r="X1053" s="257">
        <f t="shared" si="226"/>
        <v>16516.193395835558</v>
      </c>
      <c r="Y1053" s="270">
        <f>IF(L1053="Complex",(INDEX('Escalators '!$M$176:$S$176,MATCH('Forecast capex'!J1053,'Escalators '!$M$178:$S$178,0))/12+1)^((K1053-J1053)*12)-1,0)</f>
        <v>0</v>
      </c>
      <c r="Z1053" s="257">
        <f t="shared" si="227"/>
        <v>0</v>
      </c>
      <c r="AA1053" s="257">
        <f t="shared" si="228"/>
        <v>0</v>
      </c>
      <c r="AB1053" s="269">
        <f t="shared" si="229"/>
        <v>0</v>
      </c>
      <c r="AC1053" s="269">
        <f t="shared" si="230"/>
        <v>0</v>
      </c>
      <c r="AD1053" s="271" t="str">
        <f>INDEX('Global inputs'!$C$134:$C$171,MATCH(F1053,'Global inputs'!$B$134:$B$171,0))</f>
        <v>Asset relocations and undergrounding</v>
      </c>
      <c r="AE1053" s="272">
        <f>IF(OR(H1053='Operating leases'!$B$32,H1053='Operating leases'!$B$33),"",INDEX('Global inputs'!$C$186:$C$243,MATCH(E1053,'Global inputs'!$B$186:$B$243,0)))</f>
        <v>0.08</v>
      </c>
    </row>
    <row r="1054" spans="1:31" s="27" customFormat="1" x14ac:dyDescent="0.2">
      <c r="A1054" s="250"/>
      <c r="B1054" s="210" t="s">
        <v>714</v>
      </c>
      <c r="C1054" s="210" t="s">
        <v>284</v>
      </c>
      <c r="D1054" s="210" t="s">
        <v>715</v>
      </c>
      <c r="E1054" s="210" t="s">
        <v>129</v>
      </c>
      <c r="F1054" s="210" t="s">
        <v>92</v>
      </c>
      <c r="G1054" s="210" t="s">
        <v>716</v>
      </c>
      <c r="H1054" s="197">
        <v>0</v>
      </c>
      <c r="I1054" s="210" t="s">
        <v>229</v>
      </c>
      <c r="J1054" s="210">
        <v>2024</v>
      </c>
      <c r="K1054" s="210">
        <v>2024</v>
      </c>
      <c r="L1054" s="268" t="str">
        <f t="shared" si="218"/>
        <v>Simple</v>
      </c>
      <c r="M1054" s="197">
        <v>6202.5245559236391</v>
      </c>
      <c r="N1054" s="197">
        <v>9303.7868338854569</v>
      </c>
      <c r="O1054" s="257">
        <f>IF(ISNA(MATCH(H1054,'Operating leases'!$B$32:$B$43,0)),0,INDEX('Operating leases'!$M$32:$S$43,MATCH(H1054,'Operating leases'!$B$32:$B$43,0),MATCH(J1054,'Operating leases'!$M$11:$S$11,0)))</f>
        <v>0</v>
      </c>
      <c r="P1054" s="257">
        <f t="shared" si="219"/>
        <v>6202.5245559236391</v>
      </c>
      <c r="Q1054" s="257">
        <f t="shared" si="220"/>
        <v>15506.311389809096</v>
      </c>
      <c r="R1054" s="258">
        <f>INDEX('Escalators '!$M$124:$S$129,MATCH(I1054,'Escalators '!$B$124:$B$129,0),MATCH(J1054,'Escalators '!$M$113:$S$113,0))</f>
        <v>1.0731681760713303</v>
      </c>
      <c r="S1054" s="257">
        <f t="shared" si="221"/>
        <v>0</v>
      </c>
      <c r="T1054" s="257">
        <f t="shared" si="222"/>
        <v>9984.527947077313</v>
      </c>
      <c r="U1054" s="269">
        <f t="shared" si="223"/>
        <v>6656.3519647182111</v>
      </c>
      <c r="V1054" s="269">
        <f t="shared" si="224"/>
        <v>16640.879911795524</v>
      </c>
      <c r="W1054" s="269">
        <f t="shared" si="225"/>
        <v>6656.3519647182111</v>
      </c>
      <c r="X1054" s="257">
        <f t="shared" si="226"/>
        <v>16640.879911795524</v>
      </c>
      <c r="Y1054" s="270">
        <f>IF(L1054="Complex",(INDEX('Escalators '!$M$176:$S$176,MATCH('Forecast capex'!J1054,'Escalators '!$M$178:$S$178,0))/12+1)^((K1054-J1054)*12)-1,0)</f>
        <v>0</v>
      </c>
      <c r="Z1054" s="257">
        <f t="shared" si="227"/>
        <v>0</v>
      </c>
      <c r="AA1054" s="257">
        <f t="shared" si="228"/>
        <v>0</v>
      </c>
      <c r="AB1054" s="269">
        <f t="shared" si="229"/>
        <v>0</v>
      </c>
      <c r="AC1054" s="269">
        <f t="shared" si="230"/>
        <v>0</v>
      </c>
      <c r="AD1054" s="271" t="str">
        <f>INDEX('Global inputs'!$C$134:$C$171,MATCH(F1054,'Global inputs'!$B$134:$B$171,0))</f>
        <v>Asset relocations and undergrounding</v>
      </c>
      <c r="AE1054" s="272">
        <f>IF(OR(H1054='Operating leases'!$B$32,H1054='Operating leases'!$B$33),"",INDEX('Global inputs'!$C$186:$C$243,MATCH(E1054,'Global inputs'!$B$186:$B$243,0)))</f>
        <v>0.1</v>
      </c>
    </row>
    <row r="1055" spans="1:31" s="27" customFormat="1" x14ac:dyDescent="0.2">
      <c r="A1055" s="250"/>
      <c r="B1055" s="210" t="s">
        <v>714</v>
      </c>
      <c r="C1055" s="210" t="s">
        <v>284</v>
      </c>
      <c r="D1055" s="210" t="s">
        <v>715</v>
      </c>
      <c r="E1055" s="210" t="s">
        <v>129</v>
      </c>
      <c r="F1055" s="210" t="s">
        <v>92</v>
      </c>
      <c r="G1055" s="210" t="s">
        <v>716</v>
      </c>
      <c r="H1055" s="197">
        <v>0</v>
      </c>
      <c r="I1055" s="210" t="s">
        <v>221</v>
      </c>
      <c r="J1055" s="210">
        <v>2024</v>
      </c>
      <c r="K1055" s="210">
        <v>2024</v>
      </c>
      <c r="L1055" s="268" t="str">
        <f t="shared" si="218"/>
        <v>Simple</v>
      </c>
      <c r="M1055" s="197">
        <v>6202.5245559236391</v>
      </c>
      <c r="N1055" s="197">
        <v>9303.7868338854569</v>
      </c>
      <c r="O1055" s="257">
        <f>IF(ISNA(MATCH(H1055,'Operating leases'!$B$32:$B$43,0)),0,INDEX('Operating leases'!$M$32:$S$43,MATCH(H1055,'Operating leases'!$B$32:$B$43,0),MATCH(J1055,'Operating leases'!$M$11:$S$11,0)))</f>
        <v>0</v>
      </c>
      <c r="P1055" s="257">
        <f t="shared" si="219"/>
        <v>6202.5245559236391</v>
      </c>
      <c r="Q1055" s="257">
        <f t="shared" si="220"/>
        <v>15506.311389809096</v>
      </c>
      <c r="R1055" s="258">
        <f>INDEX('Escalators '!$M$124:$S$129,MATCH(I1055,'Escalators '!$B$124:$B$129,0),MATCH(J1055,'Escalators '!$M$113:$S$113,0))</f>
        <v>1.06512715891222</v>
      </c>
      <c r="S1055" s="257">
        <f t="shared" si="221"/>
        <v>0</v>
      </c>
      <c r="T1055" s="257">
        <f t="shared" si="222"/>
        <v>9909.7160375013354</v>
      </c>
      <c r="U1055" s="269">
        <f t="shared" si="223"/>
        <v>6606.477358334223</v>
      </c>
      <c r="V1055" s="269">
        <f t="shared" si="224"/>
        <v>16516.193395835558</v>
      </c>
      <c r="W1055" s="269">
        <f t="shared" si="225"/>
        <v>6606.477358334223</v>
      </c>
      <c r="X1055" s="257">
        <f t="shared" si="226"/>
        <v>16516.193395835558</v>
      </c>
      <c r="Y1055" s="270">
        <f>IF(L1055="Complex",(INDEX('Escalators '!$M$176:$S$176,MATCH('Forecast capex'!J1055,'Escalators '!$M$178:$S$178,0))/12+1)^((K1055-J1055)*12)-1,0)</f>
        <v>0</v>
      </c>
      <c r="Z1055" s="257">
        <f t="shared" si="227"/>
        <v>0</v>
      </c>
      <c r="AA1055" s="257">
        <f t="shared" si="228"/>
        <v>0</v>
      </c>
      <c r="AB1055" s="269">
        <f t="shared" si="229"/>
        <v>0</v>
      </c>
      <c r="AC1055" s="269">
        <f t="shared" si="230"/>
        <v>0</v>
      </c>
      <c r="AD1055" s="271" t="str">
        <f>INDEX('Global inputs'!$C$134:$C$171,MATCH(F1055,'Global inputs'!$B$134:$B$171,0))</f>
        <v>Asset relocations and undergrounding</v>
      </c>
      <c r="AE1055" s="272">
        <f>IF(OR(H1055='Operating leases'!$B$32,H1055='Operating leases'!$B$33),"",INDEX('Global inputs'!$C$186:$C$243,MATCH(E1055,'Global inputs'!$B$186:$B$243,0)))</f>
        <v>0.1</v>
      </c>
    </row>
    <row r="1056" spans="1:31" s="27" customFormat="1" x14ac:dyDescent="0.2">
      <c r="A1056" s="250"/>
      <c r="B1056" s="210" t="s">
        <v>714</v>
      </c>
      <c r="C1056" s="210" t="s">
        <v>287</v>
      </c>
      <c r="D1056" s="210" t="s">
        <v>715</v>
      </c>
      <c r="E1056" s="210" t="s">
        <v>150</v>
      </c>
      <c r="F1056" s="210" t="s">
        <v>92</v>
      </c>
      <c r="G1056" s="210" t="s">
        <v>716</v>
      </c>
      <c r="H1056" s="197">
        <v>0</v>
      </c>
      <c r="I1056" s="210" t="s">
        <v>229</v>
      </c>
      <c r="J1056" s="210">
        <v>2024</v>
      </c>
      <c r="K1056" s="210">
        <v>2024</v>
      </c>
      <c r="L1056" s="268" t="str">
        <f t="shared" si="218"/>
        <v>Simple</v>
      </c>
      <c r="M1056" s="197">
        <v>24810.098223694557</v>
      </c>
      <c r="N1056" s="197">
        <v>37215.147335541827</v>
      </c>
      <c r="O1056" s="257">
        <f>IF(ISNA(MATCH(H1056,'Operating leases'!$B$32:$B$43,0)),0,INDEX('Operating leases'!$M$32:$S$43,MATCH(H1056,'Operating leases'!$B$32:$B$43,0),MATCH(J1056,'Operating leases'!$M$11:$S$11,0)))</f>
        <v>0</v>
      </c>
      <c r="P1056" s="257">
        <f t="shared" si="219"/>
        <v>24810.098223694557</v>
      </c>
      <c r="Q1056" s="257">
        <f t="shared" si="220"/>
        <v>62025.245559236384</v>
      </c>
      <c r="R1056" s="258">
        <f>INDEX('Escalators '!$M$124:$S$129,MATCH(I1056,'Escalators '!$B$124:$B$129,0),MATCH(J1056,'Escalators '!$M$113:$S$113,0))</f>
        <v>1.0731681760713303</v>
      </c>
      <c r="S1056" s="257">
        <f t="shared" si="221"/>
        <v>0</v>
      </c>
      <c r="T1056" s="257">
        <f t="shared" si="222"/>
        <v>39938.111788309252</v>
      </c>
      <c r="U1056" s="269">
        <f t="shared" si="223"/>
        <v>26625.407858872844</v>
      </c>
      <c r="V1056" s="269">
        <f t="shared" si="224"/>
        <v>66563.519647182096</v>
      </c>
      <c r="W1056" s="269">
        <f t="shared" si="225"/>
        <v>26625.407858872844</v>
      </c>
      <c r="X1056" s="257">
        <f t="shared" si="226"/>
        <v>66563.519647182096</v>
      </c>
      <c r="Y1056" s="270">
        <f>IF(L1056="Complex",(INDEX('Escalators '!$M$176:$S$176,MATCH('Forecast capex'!J1056,'Escalators '!$M$178:$S$178,0))/12+1)^((K1056-J1056)*12)-1,0)</f>
        <v>0</v>
      </c>
      <c r="Z1056" s="257">
        <f t="shared" si="227"/>
        <v>0</v>
      </c>
      <c r="AA1056" s="257">
        <f t="shared" si="228"/>
        <v>0</v>
      </c>
      <c r="AB1056" s="269">
        <f t="shared" si="229"/>
        <v>0</v>
      </c>
      <c r="AC1056" s="269">
        <f t="shared" si="230"/>
        <v>0</v>
      </c>
      <c r="AD1056" s="271" t="str">
        <f>INDEX('Global inputs'!$C$134:$C$171,MATCH(F1056,'Global inputs'!$B$134:$B$171,0))</f>
        <v>Asset relocations and undergrounding</v>
      </c>
      <c r="AE1056" s="272">
        <f>IF(OR(H1056='Operating leases'!$B$32,H1056='Operating leases'!$B$33),"",INDEX('Global inputs'!$C$186:$C$243,MATCH(E1056,'Global inputs'!$B$186:$B$243,0)))</f>
        <v>0.08</v>
      </c>
    </row>
    <row r="1057" spans="1:31" s="27" customFormat="1" x14ac:dyDescent="0.2">
      <c r="A1057" s="250"/>
      <c r="B1057" s="210" t="s">
        <v>714</v>
      </c>
      <c r="C1057" s="210" t="s">
        <v>287</v>
      </c>
      <c r="D1057" s="210" t="s">
        <v>715</v>
      </c>
      <c r="E1057" s="210" t="s">
        <v>150</v>
      </c>
      <c r="F1057" s="210" t="s">
        <v>92</v>
      </c>
      <c r="G1057" s="210" t="s">
        <v>716</v>
      </c>
      <c r="H1057" s="197">
        <v>0</v>
      </c>
      <c r="I1057" s="210" t="s">
        <v>221</v>
      </c>
      <c r="J1057" s="210">
        <v>2024</v>
      </c>
      <c r="K1057" s="210">
        <v>2024</v>
      </c>
      <c r="L1057" s="268" t="str">
        <f t="shared" si="218"/>
        <v>Simple</v>
      </c>
      <c r="M1057" s="197">
        <v>24810.098223694557</v>
      </c>
      <c r="N1057" s="197">
        <v>37215.147335541827</v>
      </c>
      <c r="O1057" s="257">
        <f>IF(ISNA(MATCH(H1057,'Operating leases'!$B$32:$B$43,0)),0,INDEX('Operating leases'!$M$32:$S$43,MATCH(H1057,'Operating leases'!$B$32:$B$43,0),MATCH(J1057,'Operating leases'!$M$11:$S$11,0)))</f>
        <v>0</v>
      </c>
      <c r="P1057" s="257">
        <f t="shared" si="219"/>
        <v>24810.098223694557</v>
      </c>
      <c r="Q1057" s="257">
        <f t="shared" si="220"/>
        <v>62025.245559236384</v>
      </c>
      <c r="R1057" s="258">
        <f>INDEX('Escalators '!$M$124:$S$129,MATCH(I1057,'Escalators '!$B$124:$B$129,0),MATCH(J1057,'Escalators '!$M$113:$S$113,0))</f>
        <v>1.06512715891222</v>
      </c>
      <c r="S1057" s="257">
        <f t="shared" si="221"/>
        <v>0</v>
      </c>
      <c r="T1057" s="257">
        <f t="shared" si="222"/>
        <v>39638.864150005342</v>
      </c>
      <c r="U1057" s="269">
        <f t="shared" si="223"/>
        <v>26425.909433336892</v>
      </c>
      <c r="V1057" s="269">
        <f t="shared" si="224"/>
        <v>66064.773583342234</v>
      </c>
      <c r="W1057" s="269">
        <f t="shared" si="225"/>
        <v>26425.909433336892</v>
      </c>
      <c r="X1057" s="257">
        <f t="shared" si="226"/>
        <v>66064.773583342234</v>
      </c>
      <c r="Y1057" s="270">
        <f>IF(L1057="Complex",(INDEX('Escalators '!$M$176:$S$176,MATCH('Forecast capex'!J1057,'Escalators '!$M$178:$S$178,0))/12+1)^((K1057-J1057)*12)-1,0)</f>
        <v>0</v>
      </c>
      <c r="Z1057" s="257">
        <f t="shared" si="227"/>
        <v>0</v>
      </c>
      <c r="AA1057" s="257">
        <f t="shared" si="228"/>
        <v>0</v>
      </c>
      <c r="AB1057" s="269">
        <f t="shared" si="229"/>
        <v>0</v>
      </c>
      <c r="AC1057" s="269">
        <f t="shared" si="230"/>
        <v>0</v>
      </c>
      <c r="AD1057" s="271" t="str">
        <f>INDEX('Global inputs'!$C$134:$C$171,MATCH(F1057,'Global inputs'!$B$134:$B$171,0))</f>
        <v>Asset relocations and undergrounding</v>
      </c>
      <c r="AE1057" s="272">
        <f>IF(OR(H1057='Operating leases'!$B$32,H1057='Operating leases'!$B$33),"",INDEX('Global inputs'!$C$186:$C$243,MATCH(E1057,'Global inputs'!$B$186:$B$243,0)))</f>
        <v>0.08</v>
      </c>
    </row>
    <row r="1058" spans="1:31" s="27" customFormat="1" x14ac:dyDescent="0.2">
      <c r="A1058" s="250"/>
      <c r="B1058" s="210" t="s">
        <v>714</v>
      </c>
      <c r="C1058" s="210" t="s">
        <v>287</v>
      </c>
      <c r="D1058" s="210" t="s">
        <v>715</v>
      </c>
      <c r="E1058" s="210" t="s">
        <v>151</v>
      </c>
      <c r="F1058" s="210" t="s">
        <v>92</v>
      </c>
      <c r="G1058" s="210" t="s">
        <v>716</v>
      </c>
      <c r="H1058" s="197">
        <v>0</v>
      </c>
      <c r="I1058" s="210" t="s">
        <v>229</v>
      </c>
      <c r="J1058" s="210">
        <v>2024</v>
      </c>
      <c r="K1058" s="210">
        <v>2024</v>
      </c>
      <c r="L1058" s="268" t="str">
        <f t="shared" si="218"/>
        <v>Simple</v>
      </c>
      <c r="M1058" s="197">
        <v>24810.098223694557</v>
      </c>
      <c r="N1058" s="197">
        <v>37215.147335541827</v>
      </c>
      <c r="O1058" s="257">
        <f>IF(ISNA(MATCH(H1058,'Operating leases'!$B$32:$B$43,0)),0,INDEX('Operating leases'!$M$32:$S$43,MATCH(H1058,'Operating leases'!$B$32:$B$43,0),MATCH(J1058,'Operating leases'!$M$11:$S$11,0)))</f>
        <v>0</v>
      </c>
      <c r="P1058" s="257">
        <f t="shared" si="219"/>
        <v>24810.098223694557</v>
      </c>
      <c r="Q1058" s="257">
        <f t="shared" si="220"/>
        <v>62025.245559236384</v>
      </c>
      <c r="R1058" s="258">
        <f>INDEX('Escalators '!$M$124:$S$129,MATCH(I1058,'Escalators '!$B$124:$B$129,0),MATCH(J1058,'Escalators '!$M$113:$S$113,0))</f>
        <v>1.0731681760713303</v>
      </c>
      <c r="S1058" s="257">
        <f t="shared" si="221"/>
        <v>0</v>
      </c>
      <c r="T1058" s="257">
        <f t="shared" si="222"/>
        <v>39938.111788309252</v>
      </c>
      <c r="U1058" s="269">
        <f t="shared" si="223"/>
        <v>26625.407858872844</v>
      </c>
      <c r="V1058" s="269">
        <f t="shared" si="224"/>
        <v>66563.519647182096</v>
      </c>
      <c r="W1058" s="269">
        <f t="shared" si="225"/>
        <v>26625.407858872844</v>
      </c>
      <c r="X1058" s="257">
        <f t="shared" si="226"/>
        <v>66563.519647182096</v>
      </c>
      <c r="Y1058" s="270">
        <f>IF(L1058="Complex",(INDEX('Escalators '!$M$176:$S$176,MATCH('Forecast capex'!J1058,'Escalators '!$M$178:$S$178,0))/12+1)^((K1058-J1058)*12)-1,0)</f>
        <v>0</v>
      </c>
      <c r="Z1058" s="257">
        <f t="shared" si="227"/>
        <v>0</v>
      </c>
      <c r="AA1058" s="257">
        <f t="shared" si="228"/>
        <v>0</v>
      </c>
      <c r="AB1058" s="269">
        <f t="shared" si="229"/>
        <v>0</v>
      </c>
      <c r="AC1058" s="269">
        <f t="shared" si="230"/>
        <v>0</v>
      </c>
      <c r="AD1058" s="271" t="str">
        <f>INDEX('Global inputs'!$C$134:$C$171,MATCH(F1058,'Global inputs'!$B$134:$B$171,0))</f>
        <v>Asset relocations and undergrounding</v>
      </c>
      <c r="AE1058" s="272">
        <f>IF(OR(H1058='Operating leases'!$B$32,H1058='Operating leases'!$B$33),"",INDEX('Global inputs'!$C$186:$C$243,MATCH(E1058,'Global inputs'!$B$186:$B$243,0)))</f>
        <v>0.1</v>
      </c>
    </row>
    <row r="1059" spans="1:31" s="27" customFormat="1" x14ac:dyDescent="0.2">
      <c r="A1059" s="250"/>
      <c r="B1059" s="210" t="s">
        <v>714</v>
      </c>
      <c r="C1059" s="210" t="s">
        <v>287</v>
      </c>
      <c r="D1059" s="210" t="s">
        <v>715</v>
      </c>
      <c r="E1059" s="210" t="s">
        <v>151</v>
      </c>
      <c r="F1059" s="210" t="s">
        <v>92</v>
      </c>
      <c r="G1059" s="210" t="s">
        <v>716</v>
      </c>
      <c r="H1059" s="197">
        <v>0</v>
      </c>
      <c r="I1059" s="210" t="s">
        <v>221</v>
      </c>
      <c r="J1059" s="210">
        <v>2024</v>
      </c>
      <c r="K1059" s="210">
        <v>2024</v>
      </c>
      <c r="L1059" s="268" t="str">
        <f t="shared" si="218"/>
        <v>Simple</v>
      </c>
      <c r="M1059" s="197">
        <v>24810.098223694557</v>
      </c>
      <c r="N1059" s="197">
        <v>37215.147335541827</v>
      </c>
      <c r="O1059" s="257">
        <f>IF(ISNA(MATCH(H1059,'Operating leases'!$B$32:$B$43,0)),0,INDEX('Operating leases'!$M$32:$S$43,MATCH(H1059,'Operating leases'!$B$32:$B$43,0),MATCH(J1059,'Operating leases'!$M$11:$S$11,0)))</f>
        <v>0</v>
      </c>
      <c r="P1059" s="257">
        <f t="shared" si="219"/>
        <v>24810.098223694557</v>
      </c>
      <c r="Q1059" s="257">
        <f t="shared" si="220"/>
        <v>62025.245559236384</v>
      </c>
      <c r="R1059" s="258">
        <f>INDEX('Escalators '!$M$124:$S$129,MATCH(I1059,'Escalators '!$B$124:$B$129,0),MATCH(J1059,'Escalators '!$M$113:$S$113,0))</f>
        <v>1.06512715891222</v>
      </c>
      <c r="S1059" s="257">
        <f t="shared" si="221"/>
        <v>0</v>
      </c>
      <c r="T1059" s="257">
        <f t="shared" si="222"/>
        <v>39638.864150005342</v>
      </c>
      <c r="U1059" s="269">
        <f t="shared" si="223"/>
        <v>26425.909433336892</v>
      </c>
      <c r="V1059" s="269">
        <f t="shared" si="224"/>
        <v>66064.773583342234</v>
      </c>
      <c r="W1059" s="269">
        <f t="shared" si="225"/>
        <v>26425.909433336892</v>
      </c>
      <c r="X1059" s="257">
        <f t="shared" si="226"/>
        <v>66064.773583342234</v>
      </c>
      <c r="Y1059" s="270">
        <f>IF(L1059="Complex",(INDEX('Escalators '!$M$176:$S$176,MATCH('Forecast capex'!J1059,'Escalators '!$M$178:$S$178,0))/12+1)^((K1059-J1059)*12)-1,0)</f>
        <v>0</v>
      </c>
      <c r="Z1059" s="257">
        <f t="shared" si="227"/>
        <v>0</v>
      </c>
      <c r="AA1059" s="257">
        <f t="shared" si="228"/>
        <v>0</v>
      </c>
      <c r="AB1059" s="269">
        <f t="shared" si="229"/>
        <v>0</v>
      </c>
      <c r="AC1059" s="269">
        <f t="shared" si="230"/>
        <v>0</v>
      </c>
      <c r="AD1059" s="271" t="str">
        <f>INDEX('Global inputs'!$C$134:$C$171,MATCH(F1059,'Global inputs'!$B$134:$B$171,0))</f>
        <v>Asset relocations and undergrounding</v>
      </c>
      <c r="AE1059" s="272">
        <f>IF(OR(H1059='Operating leases'!$B$32,H1059='Operating leases'!$B$33),"",INDEX('Global inputs'!$C$186:$C$243,MATCH(E1059,'Global inputs'!$B$186:$B$243,0)))</f>
        <v>0.1</v>
      </c>
    </row>
    <row r="1060" spans="1:31" s="27" customFormat="1" x14ac:dyDescent="0.2">
      <c r="A1060" s="250"/>
      <c r="B1060" s="210" t="s">
        <v>714</v>
      </c>
      <c r="C1060" s="210" t="s">
        <v>287</v>
      </c>
      <c r="D1060" s="210" t="s">
        <v>715</v>
      </c>
      <c r="E1060" s="210" t="s">
        <v>153</v>
      </c>
      <c r="F1060" s="210" t="s">
        <v>92</v>
      </c>
      <c r="G1060" s="210" t="s">
        <v>716</v>
      </c>
      <c r="H1060" s="197">
        <v>0</v>
      </c>
      <c r="I1060" s="210" t="s">
        <v>229</v>
      </c>
      <c r="J1060" s="210">
        <v>2024</v>
      </c>
      <c r="K1060" s="210">
        <v>2024</v>
      </c>
      <c r="L1060" s="268" t="str">
        <f t="shared" si="218"/>
        <v>Simple</v>
      </c>
      <c r="M1060" s="197">
        <v>1127.7317374406618</v>
      </c>
      <c r="N1060" s="197">
        <v>1691.5976061609927</v>
      </c>
      <c r="O1060" s="257">
        <f>IF(ISNA(MATCH(H1060,'Operating leases'!$B$32:$B$43,0)),0,INDEX('Operating leases'!$M$32:$S$43,MATCH(H1060,'Operating leases'!$B$32:$B$43,0),MATCH(J1060,'Operating leases'!$M$11:$S$11,0)))</f>
        <v>0</v>
      </c>
      <c r="P1060" s="257">
        <f t="shared" si="219"/>
        <v>1127.7317374406618</v>
      </c>
      <c r="Q1060" s="257">
        <f t="shared" si="220"/>
        <v>2819.3293436016547</v>
      </c>
      <c r="R1060" s="258">
        <f>INDEX('Escalators '!$M$124:$S$129,MATCH(I1060,'Escalators '!$B$124:$B$129,0),MATCH(J1060,'Escalators '!$M$113:$S$113,0))</f>
        <v>1.0731681760713303</v>
      </c>
      <c r="S1060" s="257">
        <f t="shared" si="221"/>
        <v>0</v>
      </c>
      <c r="T1060" s="257">
        <f t="shared" si="222"/>
        <v>1815.3687176504211</v>
      </c>
      <c r="U1060" s="269">
        <f t="shared" si="223"/>
        <v>1210.2458117669478</v>
      </c>
      <c r="V1060" s="269">
        <f t="shared" si="224"/>
        <v>3025.6145294173689</v>
      </c>
      <c r="W1060" s="269">
        <f t="shared" si="225"/>
        <v>1210.2458117669478</v>
      </c>
      <c r="X1060" s="257">
        <f t="shared" si="226"/>
        <v>3025.6145294173689</v>
      </c>
      <c r="Y1060" s="270">
        <f>IF(L1060="Complex",(INDEX('Escalators '!$M$176:$S$176,MATCH('Forecast capex'!J1060,'Escalators '!$M$178:$S$178,0))/12+1)^((K1060-J1060)*12)-1,0)</f>
        <v>0</v>
      </c>
      <c r="Z1060" s="257">
        <f t="shared" si="227"/>
        <v>0</v>
      </c>
      <c r="AA1060" s="257">
        <f t="shared" si="228"/>
        <v>0</v>
      </c>
      <c r="AB1060" s="269">
        <f t="shared" si="229"/>
        <v>0</v>
      </c>
      <c r="AC1060" s="269">
        <f t="shared" si="230"/>
        <v>0</v>
      </c>
      <c r="AD1060" s="271" t="str">
        <f>INDEX('Global inputs'!$C$134:$C$171,MATCH(F1060,'Global inputs'!$B$134:$B$171,0))</f>
        <v>Asset relocations and undergrounding</v>
      </c>
      <c r="AE1060" s="272">
        <f>IF(OR(H1060='Operating leases'!$B$32,H1060='Operating leases'!$B$33),"",INDEX('Global inputs'!$C$186:$C$243,MATCH(E1060,'Global inputs'!$B$186:$B$243,0)))</f>
        <v>0.08</v>
      </c>
    </row>
    <row r="1061" spans="1:31" s="27" customFormat="1" x14ac:dyDescent="0.2">
      <c r="A1061" s="250"/>
      <c r="B1061" s="210" t="s">
        <v>714</v>
      </c>
      <c r="C1061" s="210" t="s">
        <v>287</v>
      </c>
      <c r="D1061" s="210" t="s">
        <v>715</v>
      </c>
      <c r="E1061" s="210" t="s">
        <v>153</v>
      </c>
      <c r="F1061" s="210" t="s">
        <v>92</v>
      </c>
      <c r="G1061" s="210" t="s">
        <v>716</v>
      </c>
      <c r="H1061" s="197">
        <v>0</v>
      </c>
      <c r="I1061" s="210" t="s">
        <v>221</v>
      </c>
      <c r="J1061" s="210">
        <v>2024</v>
      </c>
      <c r="K1061" s="210">
        <v>2024</v>
      </c>
      <c r="L1061" s="268" t="str">
        <f t="shared" si="218"/>
        <v>Simple</v>
      </c>
      <c r="M1061" s="197">
        <v>1127.7317374406618</v>
      </c>
      <c r="N1061" s="197">
        <v>1691.5976061609927</v>
      </c>
      <c r="O1061" s="257">
        <f>IF(ISNA(MATCH(H1061,'Operating leases'!$B$32:$B$43,0)),0,INDEX('Operating leases'!$M$32:$S$43,MATCH(H1061,'Operating leases'!$B$32:$B$43,0),MATCH(J1061,'Operating leases'!$M$11:$S$11,0)))</f>
        <v>0</v>
      </c>
      <c r="P1061" s="257">
        <f t="shared" si="219"/>
        <v>1127.7317374406618</v>
      </c>
      <c r="Q1061" s="257">
        <f t="shared" si="220"/>
        <v>2819.3293436016547</v>
      </c>
      <c r="R1061" s="258">
        <f>INDEX('Escalators '!$M$124:$S$129,MATCH(I1061,'Escalators '!$B$124:$B$129,0),MATCH(J1061,'Escalators '!$M$113:$S$113,0))</f>
        <v>1.06512715891222</v>
      </c>
      <c r="S1061" s="257">
        <f t="shared" si="221"/>
        <v>0</v>
      </c>
      <c r="T1061" s="257">
        <f t="shared" si="222"/>
        <v>1801.7665522729706</v>
      </c>
      <c r="U1061" s="269">
        <f t="shared" si="223"/>
        <v>1201.1777015153141</v>
      </c>
      <c r="V1061" s="269">
        <f t="shared" si="224"/>
        <v>3002.9442537882846</v>
      </c>
      <c r="W1061" s="269">
        <f t="shared" si="225"/>
        <v>1201.1777015153141</v>
      </c>
      <c r="X1061" s="257">
        <f t="shared" si="226"/>
        <v>3002.9442537882846</v>
      </c>
      <c r="Y1061" s="270">
        <f>IF(L1061="Complex",(INDEX('Escalators '!$M$176:$S$176,MATCH('Forecast capex'!J1061,'Escalators '!$M$178:$S$178,0))/12+1)^((K1061-J1061)*12)-1,0)</f>
        <v>0</v>
      </c>
      <c r="Z1061" s="257">
        <f t="shared" si="227"/>
        <v>0</v>
      </c>
      <c r="AA1061" s="257">
        <f t="shared" si="228"/>
        <v>0</v>
      </c>
      <c r="AB1061" s="269">
        <f t="shared" si="229"/>
        <v>0</v>
      </c>
      <c r="AC1061" s="269">
        <f t="shared" si="230"/>
        <v>0</v>
      </c>
      <c r="AD1061" s="271" t="str">
        <f>INDEX('Global inputs'!$C$134:$C$171,MATCH(F1061,'Global inputs'!$B$134:$B$171,0))</f>
        <v>Asset relocations and undergrounding</v>
      </c>
      <c r="AE1061" s="272">
        <f>IF(OR(H1061='Operating leases'!$B$32,H1061='Operating leases'!$B$33),"",INDEX('Global inputs'!$C$186:$C$243,MATCH(E1061,'Global inputs'!$B$186:$B$243,0)))</f>
        <v>0.08</v>
      </c>
    </row>
    <row r="1062" spans="1:31" s="27" customFormat="1" x14ac:dyDescent="0.2">
      <c r="A1062" s="250"/>
      <c r="B1062" s="210" t="s">
        <v>714</v>
      </c>
      <c r="C1062" s="210" t="s">
        <v>287</v>
      </c>
      <c r="D1062" s="210" t="s">
        <v>715</v>
      </c>
      <c r="E1062" s="210" t="s">
        <v>154</v>
      </c>
      <c r="F1062" s="210" t="s">
        <v>92</v>
      </c>
      <c r="G1062" s="210" t="s">
        <v>716</v>
      </c>
      <c r="H1062" s="197">
        <v>0</v>
      </c>
      <c r="I1062" s="210" t="s">
        <v>229</v>
      </c>
      <c r="J1062" s="210">
        <v>2024</v>
      </c>
      <c r="K1062" s="210">
        <v>2024</v>
      </c>
      <c r="L1062" s="268" t="str">
        <f t="shared" si="218"/>
        <v>Simple</v>
      </c>
      <c r="M1062" s="197">
        <v>1127.7317374406618</v>
      </c>
      <c r="N1062" s="197">
        <v>1691.5976061609927</v>
      </c>
      <c r="O1062" s="257">
        <f>IF(ISNA(MATCH(H1062,'Operating leases'!$B$32:$B$43,0)),0,INDEX('Operating leases'!$M$32:$S$43,MATCH(H1062,'Operating leases'!$B$32:$B$43,0),MATCH(J1062,'Operating leases'!$M$11:$S$11,0)))</f>
        <v>0</v>
      </c>
      <c r="P1062" s="257">
        <f t="shared" si="219"/>
        <v>1127.7317374406618</v>
      </c>
      <c r="Q1062" s="257">
        <f t="shared" si="220"/>
        <v>2819.3293436016547</v>
      </c>
      <c r="R1062" s="258">
        <f>INDEX('Escalators '!$M$124:$S$129,MATCH(I1062,'Escalators '!$B$124:$B$129,0),MATCH(J1062,'Escalators '!$M$113:$S$113,0))</f>
        <v>1.0731681760713303</v>
      </c>
      <c r="S1062" s="257">
        <f t="shared" si="221"/>
        <v>0</v>
      </c>
      <c r="T1062" s="257">
        <f t="shared" si="222"/>
        <v>1815.3687176504211</v>
      </c>
      <c r="U1062" s="269">
        <f t="shared" si="223"/>
        <v>1210.2458117669478</v>
      </c>
      <c r="V1062" s="269">
        <f t="shared" si="224"/>
        <v>3025.6145294173689</v>
      </c>
      <c r="W1062" s="269">
        <f t="shared" si="225"/>
        <v>1210.2458117669478</v>
      </c>
      <c r="X1062" s="257">
        <f t="shared" si="226"/>
        <v>3025.6145294173689</v>
      </c>
      <c r="Y1062" s="270">
        <f>IF(L1062="Complex",(INDEX('Escalators '!$M$176:$S$176,MATCH('Forecast capex'!J1062,'Escalators '!$M$178:$S$178,0))/12+1)^((K1062-J1062)*12)-1,0)</f>
        <v>0</v>
      </c>
      <c r="Z1062" s="257">
        <f t="shared" si="227"/>
        <v>0</v>
      </c>
      <c r="AA1062" s="257">
        <f t="shared" si="228"/>
        <v>0</v>
      </c>
      <c r="AB1062" s="269">
        <f t="shared" si="229"/>
        <v>0</v>
      </c>
      <c r="AC1062" s="269">
        <f t="shared" si="230"/>
        <v>0</v>
      </c>
      <c r="AD1062" s="271" t="str">
        <f>INDEX('Global inputs'!$C$134:$C$171,MATCH(F1062,'Global inputs'!$B$134:$B$171,0))</f>
        <v>Asset relocations and undergrounding</v>
      </c>
      <c r="AE1062" s="272">
        <f>IF(OR(H1062='Operating leases'!$B$32,H1062='Operating leases'!$B$33),"",INDEX('Global inputs'!$C$186:$C$243,MATCH(E1062,'Global inputs'!$B$186:$B$243,0)))</f>
        <v>0.1</v>
      </c>
    </row>
    <row r="1063" spans="1:31" s="27" customFormat="1" x14ac:dyDescent="0.2">
      <c r="A1063" s="250"/>
      <c r="B1063" s="210" t="s">
        <v>714</v>
      </c>
      <c r="C1063" s="210" t="s">
        <v>287</v>
      </c>
      <c r="D1063" s="210" t="s">
        <v>715</v>
      </c>
      <c r="E1063" s="210" t="s">
        <v>154</v>
      </c>
      <c r="F1063" s="210" t="s">
        <v>92</v>
      </c>
      <c r="G1063" s="210" t="s">
        <v>716</v>
      </c>
      <c r="H1063" s="197">
        <v>0</v>
      </c>
      <c r="I1063" s="210" t="s">
        <v>221</v>
      </c>
      <c r="J1063" s="210">
        <v>2024</v>
      </c>
      <c r="K1063" s="210">
        <v>2024</v>
      </c>
      <c r="L1063" s="268" t="str">
        <f t="shared" si="218"/>
        <v>Simple</v>
      </c>
      <c r="M1063" s="197">
        <v>1127.7317374406618</v>
      </c>
      <c r="N1063" s="197">
        <v>1691.5976061609927</v>
      </c>
      <c r="O1063" s="257">
        <f>IF(ISNA(MATCH(H1063,'Operating leases'!$B$32:$B$43,0)),0,INDEX('Operating leases'!$M$32:$S$43,MATCH(H1063,'Operating leases'!$B$32:$B$43,0),MATCH(J1063,'Operating leases'!$M$11:$S$11,0)))</f>
        <v>0</v>
      </c>
      <c r="P1063" s="257">
        <f t="shared" si="219"/>
        <v>1127.7317374406618</v>
      </c>
      <c r="Q1063" s="257">
        <f t="shared" si="220"/>
        <v>2819.3293436016547</v>
      </c>
      <c r="R1063" s="258">
        <f>INDEX('Escalators '!$M$124:$S$129,MATCH(I1063,'Escalators '!$B$124:$B$129,0),MATCH(J1063,'Escalators '!$M$113:$S$113,0))</f>
        <v>1.06512715891222</v>
      </c>
      <c r="S1063" s="257">
        <f t="shared" si="221"/>
        <v>0</v>
      </c>
      <c r="T1063" s="257">
        <f t="shared" si="222"/>
        <v>1801.7665522729706</v>
      </c>
      <c r="U1063" s="269">
        <f t="shared" si="223"/>
        <v>1201.1777015153141</v>
      </c>
      <c r="V1063" s="269">
        <f t="shared" si="224"/>
        <v>3002.9442537882846</v>
      </c>
      <c r="W1063" s="269">
        <f t="shared" si="225"/>
        <v>1201.1777015153141</v>
      </c>
      <c r="X1063" s="257">
        <f t="shared" si="226"/>
        <v>3002.9442537882846</v>
      </c>
      <c r="Y1063" s="270">
        <f>IF(L1063="Complex",(INDEX('Escalators '!$M$176:$S$176,MATCH('Forecast capex'!J1063,'Escalators '!$M$178:$S$178,0))/12+1)^((K1063-J1063)*12)-1,0)</f>
        <v>0</v>
      </c>
      <c r="Z1063" s="257">
        <f t="shared" si="227"/>
        <v>0</v>
      </c>
      <c r="AA1063" s="257">
        <f t="shared" si="228"/>
        <v>0</v>
      </c>
      <c r="AB1063" s="269">
        <f t="shared" si="229"/>
        <v>0</v>
      </c>
      <c r="AC1063" s="269">
        <f t="shared" si="230"/>
        <v>0</v>
      </c>
      <c r="AD1063" s="271" t="str">
        <f>INDEX('Global inputs'!$C$134:$C$171,MATCH(F1063,'Global inputs'!$B$134:$B$171,0))</f>
        <v>Asset relocations and undergrounding</v>
      </c>
      <c r="AE1063" s="272">
        <f>IF(OR(H1063='Operating leases'!$B$32,H1063='Operating leases'!$B$33),"",INDEX('Global inputs'!$C$186:$C$243,MATCH(E1063,'Global inputs'!$B$186:$B$243,0)))</f>
        <v>0.1</v>
      </c>
    </row>
    <row r="1064" spans="1:31" s="27" customFormat="1" x14ac:dyDescent="0.2">
      <c r="A1064" s="250"/>
      <c r="B1064" s="210" t="s">
        <v>714</v>
      </c>
      <c r="C1064" s="210" t="s">
        <v>284</v>
      </c>
      <c r="D1064" s="210" t="s">
        <v>715</v>
      </c>
      <c r="E1064" s="210" t="s">
        <v>127</v>
      </c>
      <c r="F1064" s="210" t="s">
        <v>92</v>
      </c>
      <c r="G1064" s="210" t="s">
        <v>717</v>
      </c>
      <c r="H1064" s="197">
        <v>0</v>
      </c>
      <c r="I1064" s="210" t="s">
        <v>229</v>
      </c>
      <c r="J1064" s="210">
        <v>2024</v>
      </c>
      <c r="K1064" s="210">
        <v>2024</v>
      </c>
      <c r="L1064" s="268" t="str">
        <f t="shared" si="218"/>
        <v>Simple</v>
      </c>
      <c r="M1064" s="197">
        <v>1691.5976061609927</v>
      </c>
      <c r="N1064" s="197">
        <v>2537.3964092414885</v>
      </c>
      <c r="O1064" s="257">
        <f>IF(ISNA(MATCH(H1064,'Operating leases'!$B$32:$B$43,0)),0,INDEX('Operating leases'!$M$32:$S$43,MATCH(H1064,'Operating leases'!$B$32:$B$43,0),MATCH(J1064,'Operating leases'!$M$11:$S$11,0)))</f>
        <v>0</v>
      </c>
      <c r="P1064" s="257">
        <f t="shared" si="219"/>
        <v>1691.5976061609927</v>
      </c>
      <c r="Q1064" s="257">
        <f t="shared" si="220"/>
        <v>4228.9940154024807</v>
      </c>
      <c r="R1064" s="258">
        <f>INDEX('Escalators '!$M$124:$S$129,MATCH(I1064,'Escalators '!$B$124:$B$129,0),MATCH(J1064,'Escalators '!$M$113:$S$113,0))</f>
        <v>1.0731681760713303</v>
      </c>
      <c r="S1064" s="257">
        <f t="shared" si="221"/>
        <v>0</v>
      </c>
      <c r="T1064" s="257">
        <f t="shared" si="222"/>
        <v>2723.0530764756309</v>
      </c>
      <c r="U1064" s="269">
        <f t="shared" si="223"/>
        <v>1815.3687176504204</v>
      </c>
      <c r="V1064" s="269">
        <f t="shared" si="224"/>
        <v>4538.4217941260513</v>
      </c>
      <c r="W1064" s="269">
        <f t="shared" si="225"/>
        <v>1815.3687176504204</v>
      </c>
      <c r="X1064" s="257">
        <f t="shared" si="226"/>
        <v>4538.4217941260513</v>
      </c>
      <c r="Y1064" s="270">
        <f>IF(L1064="Complex",(INDEX('Escalators '!$M$176:$S$176,MATCH('Forecast capex'!J1064,'Escalators '!$M$178:$S$178,0))/12+1)^((K1064-J1064)*12)-1,0)</f>
        <v>0</v>
      </c>
      <c r="Z1064" s="257">
        <f t="shared" si="227"/>
        <v>0</v>
      </c>
      <c r="AA1064" s="257">
        <f t="shared" si="228"/>
        <v>0</v>
      </c>
      <c r="AB1064" s="269">
        <f t="shared" si="229"/>
        <v>0</v>
      </c>
      <c r="AC1064" s="269">
        <f t="shared" si="230"/>
        <v>0</v>
      </c>
      <c r="AD1064" s="271" t="str">
        <f>INDEX('Global inputs'!$C$134:$C$171,MATCH(F1064,'Global inputs'!$B$134:$B$171,0))</f>
        <v>Asset relocations and undergrounding</v>
      </c>
      <c r="AE1064" s="272">
        <f>IF(OR(H1064='Operating leases'!$B$32,H1064='Operating leases'!$B$33),"",INDEX('Global inputs'!$C$186:$C$243,MATCH(E1064,'Global inputs'!$B$186:$B$243,0)))</f>
        <v>0.08</v>
      </c>
    </row>
    <row r="1065" spans="1:31" s="27" customFormat="1" x14ac:dyDescent="0.2">
      <c r="A1065" s="250"/>
      <c r="B1065" s="210" t="s">
        <v>714</v>
      </c>
      <c r="C1065" s="210" t="s">
        <v>284</v>
      </c>
      <c r="D1065" s="210" t="s">
        <v>715</v>
      </c>
      <c r="E1065" s="210" t="s">
        <v>127</v>
      </c>
      <c r="F1065" s="210" t="s">
        <v>92</v>
      </c>
      <c r="G1065" s="210" t="s">
        <v>717</v>
      </c>
      <c r="H1065" s="197">
        <v>0</v>
      </c>
      <c r="I1065" s="210" t="s">
        <v>221</v>
      </c>
      <c r="J1065" s="210">
        <v>2024</v>
      </c>
      <c r="K1065" s="210">
        <v>2024</v>
      </c>
      <c r="L1065" s="268" t="str">
        <f t="shared" si="218"/>
        <v>Simple</v>
      </c>
      <c r="M1065" s="197">
        <v>1691.5976061609927</v>
      </c>
      <c r="N1065" s="197">
        <v>2537.3964092414885</v>
      </c>
      <c r="O1065" s="257">
        <f>IF(ISNA(MATCH(H1065,'Operating leases'!$B$32:$B$43,0)),0,INDEX('Operating leases'!$M$32:$S$43,MATCH(H1065,'Operating leases'!$B$32:$B$43,0),MATCH(J1065,'Operating leases'!$M$11:$S$11,0)))</f>
        <v>0</v>
      </c>
      <c r="P1065" s="257">
        <f t="shared" si="219"/>
        <v>1691.5976061609927</v>
      </c>
      <c r="Q1065" s="257">
        <f t="shared" si="220"/>
        <v>4228.9940154024807</v>
      </c>
      <c r="R1065" s="258">
        <f>INDEX('Escalators '!$M$124:$S$129,MATCH(I1065,'Escalators '!$B$124:$B$129,0),MATCH(J1065,'Escalators '!$M$113:$S$113,0))</f>
        <v>1.06512715891222</v>
      </c>
      <c r="S1065" s="257">
        <f t="shared" si="221"/>
        <v>0</v>
      </c>
      <c r="T1065" s="257">
        <f t="shared" si="222"/>
        <v>2702.6498284094555</v>
      </c>
      <c r="U1065" s="269">
        <f t="shared" si="223"/>
        <v>1801.7665522729699</v>
      </c>
      <c r="V1065" s="269">
        <f t="shared" si="224"/>
        <v>4504.4163806824254</v>
      </c>
      <c r="W1065" s="269">
        <f t="shared" si="225"/>
        <v>1801.7665522729699</v>
      </c>
      <c r="X1065" s="257">
        <f t="shared" si="226"/>
        <v>4504.4163806824254</v>
      </c>
      <c r="Y1065" s="270">
        <f>IF(L1065="Complex",(INDEX('Escalators '!$M$176:$S$176,MATCH('Forecast capex'!J1065,'Escalators '!$M$178:$S$178,0))/12+1)^((K1065-J1065)*12)-1,0)</f>
        <v>0</v>
      </c>
      <c r="Z1065" s="257">
        <f t="shared" si="227"/>
        <v>0</v>
      </c>
      <c r="AA1065" s="257">
        <f t="shared" si="228"/>
        <v>0</v>
      </c>
      <c r="AB1065" s="269">
        <f t="shared" si="229"/>
        <v>0</v>
      </c>
      <c r="AC1065" s="269">
        <f t="shared" si="230"/>
        <v>0</v>
      </c>
      <c r="AD1065" s="271" t="str">
        <f>INDEX('Global inputs'!$C$134:$C$171,MATCH(F1065,'Global inputs'!$B$134:$B$171,0))</f>
        <v>Asset relocations and undergrounding</v>
      </c>
      <c r="AE1065" s="272">
        <f>IF(OR(H1065='Operating leases'!$B$32,H1065='Operating leases'!$B$33),"",INDEX('Global inputs'!$C$186:$C$243,MATCH(E1065,'Global inputs'!$B$186:$B$243,0)))</f>
        <v>0.08</v>
      </c>
    </row>
    <row r="1066" spans="1:31" s="27" customFormat="1" x14ac:dyDescent="0.2">
      <c r="A1066" s="250"/>
      <c r="B1066" s="210" t="s">
        <v>714</v>
      </c>
      <c r="C1066" s="210" t="s">
        <v>284</v>
      </c>
      <c r="D1066" s="210" t="s">
        <v>715</v>
      </c>
      <c r="E1066" s="210" t="s">
        <v>129</v>
      </c>
      <c r="F1066" s="210" t="s">
        <v>92</v>
      </c>
      <c r="G1066" s="210" t="s">
        <v>717</v>
      </c>
      <c r="H1066" s="197">
        <v>0</v>
      </c>
      <c r="I1066" s="210" t="s">
        <v>229</v>
      </c>
      <c r="J1066" s="210">
        <v>2024</v>
      </c>
      <c r="K1066" s="210">
        <v>2024</v>
      </c>
      <c r="L1066" s="268" t="str">
        <f t="shared" si="218"/>
        <v>Simple</v>
      </c>
      <c r="M1066" s="197">
        <v>1691.5976061609927</v>
      </c>
      <c r="N1066" s="197">
        <v>2537.3964092414885</v>
      </c>
      <c r="O1066" s="257">
        <f>IF(ISNA(MATCH(H1066,'Operating leases'!$B$32:$B$43,0)),0,INDEX('Operating leases'!$M$32:$S$43,MATCH(H1066,'Operating leases'!$B$32:$B$43,0),MATCH(J1066,'Operating leases'!$M$11:$S$11,0)))</f>
        <v>0</v>
      </c>
      <c r="P1066" s="257">
        <f t="shared" si="219"/>
        <v>1691.5976061609927</v>
      </c>
      <c r="Q1066" s="257">
        <f t="shared" si="220"/>
        <v>4228.9940154024807</v>
      </c>
      <c r="R1066" s="258">
        <f>INDEX('Escalators '!$M$124:$S$129,MATCH(I1066,'Escalators '!$B$124:$B$129,0),MATCH(J1066,'Escalators '!$M$113:$S$113,0))</f>
        <v>1.0731681760713303</v>
      </c>
      <c r="S1066" s="257">
        <f t="shared" si="221"/>
        <v>0</v>
      </c>
      <c r="T1066" s="257">
        <f t="shared" si="222"/>
        <v>2723.0530764756309</v>
      </c>
      <c r="U1066" s="269">
        <f t="shared" si="223"/>
        <v>1815.3687176504204</v>
      </c>
      <c r="V1066" s="269">
        <f t="shared" si="224"/>
        <v>4538.4217941260513</v>
      </c>
      <c r="W1066" s="269">
        <f t="shared" si="225"/>
        <v>1815.3687176504204</v>
      </c>
      <c r="X1066" s="257">
        <f t="shared" si="226"/>
        <v>4538.4217941260513</v>
      </c>
      <c r="Y1066" s="270">
        <f>IF(L1066="Complex",(INDEX('Escalators '!$M$176:$S$176,MATCH('Forecast capex'!J1066,'Escalators '!$M$178:$S$178,0))/12+1)^((K1066-J1066)*12)-1,0)</f>
        <v>0</v>
      </c>
      <c r="Z1066" s="257">
        <f t="shared" si="227"/>
        <v>0</v>
      </c>
      <c r="AA1066" s="257">
        <f t="shared" si="228"/>
        <v>0</v>
      </c>
      <c r="AB1066" s="269">
        <f t="shared" si="229"/>
        <v>0</v>
      </c>
      <c r="AC1066" s="269">
        <f t="shared" si="230"/>
        <v>0</v>
      </c>
      <c r="AD1066" s="271" t="str">
        <f>INDEX('Global inputs'!$C$134:$C$171,MATCH(F1066,'Global inputs'!$B$134:$B$171,0))</f>
        <v>Asset relocations and undergrounding</v>
      </c>
      <c r="AE1066" s="272">
        <f>IF(OR(H1066='Operating leases'!$B$32,H1066='Operating leases'!$B$33),"",INDEX('Global inputs'!$C$186:$C$243,MATCH(E1066,'Global inputs'!$B$186:$B$243,0)))</f>
        <v>0.1</v>
      </c>
    </row>
    <row r="1067" spans="1:31" s="27" customFormat="1" x14ac:dyDescent="0.2">
      <c r="A1067" s="250"/>
      <c r="B1067" s="210" t="s">
        <v>714</v>
      </c>
      <c r="C1067" s="210" t="s">
        <v>284</v>
      </c>
      <c r="D1067" s="210" t="s">
        <v>715</v>
      </c>
      <c r="E1067" s="210" t="s">
        <v>129</v>
      </c>
      <c r="F1067" s="210" t="s">
        <v>92</v>
      </c>
      <c r="G1067" s="210" t="s">
        <v>717</v>
      </c>
      <c r="H1067" s="197">
        <v>0</v>
      </c>
      <c r="I1067" s="210" t="s">
        <v>221</v>
      </c>
      <c r="J1067" s="210">
        <v>2024</v>
      </c>
      <c r="K1067" s="210">
        <v>2024</v>
      </c>
      <c r="L1067" s="268" t="str">
        <f t="shared" si="218"/>
        <v>Simple</v>
      </c>
      <c r="M1067" s="197">
        <v>1691.5976061609927</v>
      </c>
      <c r="N1067" s="197">
        <v>2537.3964092414885</v>
      </c>
      <c r="O1067" s="257">
        <f>IF(ISNA(MATCH(H1067,'Operating leases'!$B$32:$B$43,0)),0,INDEX('Operating leases'!$M$32:$S$43,MATCH(H1067,'Operating leases'!$B$32:$B$43,0),MATCH(J1067,'Operating leases'!$M$11:$S$11,0)))</f>
        <v>0</v>
      </c>
      <c r="P1067" s="257">
        <f t="shared" si="219"/>
        <v>1691.5976061609927</v>
      </c>
      <c r="Q1067" s="257">
        <f t="shared" si="220"/>
        <v>4228.9940154024807</v>
      </c>
      <c r="R1067" s="258">
        <f>INDEX('Escalators '!$M$124:$S$129,MATCH(I1067,'Escalators '!$B$124:$B$129,0),MATCH(J1067,'Escalators '!$M$113:$S$113,0))</f>
        <v>1.06512715891222</v>
      </c>
      <c r="S1067" s="257">
        <f t="shared" si="221"/>
        <v>0</v>
      </c>
      <c r="T1067" s="257">
        <f t="shared" si="222"/>
        <v>2702.6498284094555</v>
      </c>
      <c r="U1067" s="269">
        <f t="shared" si="223"/>
        <v>1801.7665522729699</v>
      </c>
      <c r="V1067" s="269">
        <f t="shared" si="224"/>
        <v>4504.4163806824254</v>
      </c>
      <c r="W1067" s="269">
        <f t="shared" si="225"/>
        <v>1801.7665522729699</v>
      </c>
      <c r="X1067" s="257">
        <f t="shared" si="226"/>
        <v>4504.4163806824254</v>
      </c>
      <c r="Y1067" s="270">
        <f>IF(L1067="Complex",(INDEX('Escalators '!$M$176:$S$176,MATCH('Forecast capex'!J1067,'Escalators '!$M$178:$S$178,0))/12+1)^((K1067-J1067)*12)-1,0)</f>
        <v>0</v>
      </c>
      <c r="Z1067" s="257">
        <f t="shared" si="227"/>
        <v>0</v>
      </c>
      <c r="AA1067" s="257">
        <f t="shared" si="228"/>
        <v>0</v>
      </c>
      <c r="AB1067" s="269">
        <f t="shared" si="229"/>
        <v>0</v>
      </c>
      <c r="AC1067" s="269">
        <f t="shared" si="230"/>
        <v>0</v>
      </c>
      <c r="AD1067" s="271" t="str">
        <f>INDEX('Global inputs'!$C$134:$C$171,MATCH(F1067,'Global inputs'!$B$134:$B$171,0))</f>
        <v>Asset relocations and undergrounding</v>
      </c>
      <c r="AE1067" s="272">
        <f>IF(OR(H1067='Operating leases'!$B$32,H1067='Operating leases'!$B$33),"",INDEX('Global inputs'!$C$186:$C$243,MATCH(E1067,'Global inputs'!$B$186:$B$243,0)))</f>
        <v>0.1</v>
      </c>
    </row>
    <row r="1068" spans="1:31" s="27" customFormat="1" x14ac:dyDescent="0.2">
      <c r="A1068" s="250"/>
      <c r="B1068" s="210" t="s">
        <v>714</v>
      </c>
      <c r="C1068" s="210" t="s">
        <v>287</v>
      </c>
      <c r="D1068" s="210" t="s">
        <v>715</v>
      </c>
      <c r="E1068" s="210" t="s">
        <v>150</v>
      </c>
      <c r="F1068" s="210" t="s">
        <v>92</v>
      </c>
      <c r="G1068" s="210" t="s">
        <v>717</v>
      </c>
      <c r="H1068" s="197">
        <v>0</v>
      </c>
      <c r="I1068" s="210" t="s">
        <v>229</v>
      </c>
      <c r="J1068" s="210">
        <v>2024</v>
      </c>
      <c r="K1068" s="210">
        <v>2024</v>
      </c>
      <c r="L1068" s="268" t="str">
        <f t="shared" si="218"/>
        <v>Simple</v>
      </c>
      <c r="M1068" s="197">
        <v>11277.317374406619</v>
      </c>
      <c r="N1068" s="197">
        <v>16915.976061609927</v>
      </c>
      <c r="O1068" s="257">
        <f>IF(ISNA(MATCH(H1068,'Operating leases'!$B$32:$B$43,0)),0,INDEX('Operating leases'!$M$32:$S$43,MATCH(H1068,'Operating leases'!$B$32:$B$43,0),MATCH(J1068,'Operating leases'!$M$11:$S$11,0)))</f>
        <v>0</v>
      </c>
      <c r="P1068" s="257">
        <f t="shared" si="219"/>
        <v>11277.317374406619</v>
      </c>
      <c r="Q1068" s="257">
        <f t="shared" si="220"/>
        <v>28193.293436016545</v>
      </c>
      <c r="R1068" s="258">
        <f>INDEX('Escalators '!$M$124:$S$129,MATCH(I1068,'Escalators '!$B$124:$B$129,0),MATCH(J1068,'Escalators '!$M$113:$S$113,0))</f>
        <v>1.0731681760713303</v>
      </c>
      <c r="S1068" s="257">
        <f t="shared" si="221"/>
        <v>0</v>
      </c>
      <c r="T1068" s="257">
        <f t="shared" si="222"/>
        <v>18153.687176504209</v>
      </c>
      <c r="U1068" s="269">
        <f t="shared" si="223"/>
        <v>12102.458117669477</v>
      </c>
      <c r="V1068" s="269">
        <f t="shared" si="224"/>
        <v>30256.145294173686</v>
      </c>
      <c r="W1068" s="269">
        <f t="shared" si="225"/>
        <v>12102.458117669477</v>
      </c>
      <c r="X1068" s="257">
        <f t="shared" si="226"/>
        <v>30256.145294173686</v>
      </c>
      <c r="Y1068" s="270">
        <f>IF(L1068="Complex",(INDEX('Escalators '!$M$176:$S$176,MATCH('Forecast capex'!J1068,'Escalators '!$M$178:$S$178,0))/12+1)^((K1068-J1068)*12)-1,0)</f>
        <v>0</v>
      </c>
      <c r="Z1068" s="257">
        <f t="shared" si="227"/>
        <v>0</v>
      </c>
      <c r="AA1068" s="257">
        <f t="shared" si="228"/>
        <v>0</v>
      </c>
      <c r="AB1068" s="269">
        <f t="shared" si="229"/>
        <v>0</v>
      </c>
      <c r="AC1068" s="269">
        <f t="shared" si="230"/>
        <v>0</v>
      </c>
      <c r="AD1068" s="271" t="str">
        <f>INDEX('Global inputs'!$C$134:$C$171,MATCH(F1068,'Global inputs'!$B$134:$B$171,0))</f>
        <v>Asset relocations and undergrounding</v>
      </c>
      <c r="AE1068" s="272">
        <f>IF(OR(H1068='Operating leases'!$B$32,H1068='Operating leases'!$B$33),"",INDEX('Global inputs'!$C$186:$C$243,MATCH(E1068,'Global inputs'!$B$186:$B$243,0)))</f>
        <v>0.08</v>
      </c>
    </row>
    <row r="1069" spans="1:31" s="27" customFormat="1" x14ac:dyDescent="0.2">
      <c r="A1069" s="250"/>
      <c r="B1069" s="210" t="s">
        <v>714</v>
      </c>
      <c r="C1069" s="210" t="s">
        <v>287</v>
      </c>
      <c r="D1069" s="210" t="s">
        <v>715</v>
      </c>
      <c r="E1069" s="210" t="s">
        <v>150</v>
      </c>
      <c r="F1069" s="210" t="s">
        <v>92</v>
      </c>
      <c r="G1069" s="210" t="s">
        <v>717</v>
      </c>
      <c r="H1069" s="197">
        <v>0</v>
      </c>
      <c r="I1069" s="210" t="s">
        <v>221</v>
      </c>
      <c r="J1069" s="210">
        <v>2024</v>
      </c>
      <c r="K1069" s="210">
        <v>2024</v>
      </c>
      <c r="L1069" s="268" t="str">
        <f t="shared" si="218"/>
        <v>Simple</v>
      </c>
      <c r="M1069" s="197">
        <v>11277.317374406619</v>
      </c>
      <c r="N1069" s="197">
        <v>16915.976061609927</v>
      </c>
      <c r="O1069" s="257">
        <f>IF(ISNA(MATCH(H1069,'Operating leases'!$B$32:$B$43,0)),0,INDEX('Operating leases'!$M$32:$S$43,MATCH(H1069,'Operating leases'!$B$32:$B$43,0),MATCH(J1069,'Operating leases'!$M$11:$S$11,0)))</f>
        <v>0</v>
      </c>
      <c r="P1069" s="257">
        <f t="shared" si="219"/>
        <v>11277.317374406619</v>
      </c>
      <c r="Q1069" s="257">
        <f t="shared" si="220"/>
        <v>28193.293436016545</v>
      </c>
      <c r="R1069" s="258">
        <f>INDEX('Escalators '!$M$124:$S$129,MATCH(I1069,'Escalators '!$B$124:$B$129,0),MATCH(J1069,'Escalators '!$M$113:$S$113,0))</f>
        <v>1.06512715891222</v>
      </c>
      <c r="S1069" s="257">
        <f t="shared" si="221"/>
        <v>0</v>
      </c>
      <c r="T1069" s="257">
        <f t="shared" si="222"/>
        <v>18017.665522729705</v>
      </c>
      <c r="U1069" s="269">
        <f t="shared" si="223"/>
        <v>12011.777015153137</v>
      </c>
      <c r="V1069" s="269">
        <f t="shared" si="224"/>
        <v>30029.442537882842</v>
      </c>
      <c r="W1069" s="269">
        <f t="shared" si="225"/>
        <v>12011.777015153137</v>
      </c>
      <c r="X1069" s="257">
        <f t="shared" si="226"/>
        <v>30029.442537882842</v>
      </c>
      <c r="Y1069" s="270">
        <f>IF(L1069="Complex",(INDEX('Escalators '!$M$176:$S$176,MATCH('Forecast capex'!J1069,'Escalators '!$M$178:$S$178,0))/12+1)^((K1069-J1069)*12)-1,0)</f>
        <v>0</v>
      </c>
      <c r="Z1069" s="257">
        <f t="shared" si="227"/>
        <v>0</v>
      </c>
      <c r="AA1069" s="257">
        <f t="shared" si="228"/>
        <v>0</v>
      </c>
      <c r="AB1069" s="269">
        <f t="shared" si="229"/>
        <v>0</v>
      </c>
      <c r="AC1069" s="269">
        <f t="shared" si="230"/>
        <v>0</v>
      </c>
      <c r="AD1069" s="271" t="str">
        <f>INDEX('Global inputs'!$C$134:$C$171,MATCH(F1069,'Global inputs'!$B$134:$B$171,0))</f>
        <v>Asset relocations and undergrounding</v>
      </c>
      <c r="AE1069" s="272">
        <f>IF(OR(H1069='Operating leases'!$B$32,H1069='Operating leases'!$B$33),"",INDEX('Global inputs'!$C$186:$C$243,MATCH(E1069,'Global inputs'!$B$186:$B$243,0)))</f>
        <v>0.08</v>
      </c>
    </row>
    <row r="1070" spans="1:31" s="27" customFormat="1" x14ac:dyDescent="0.2">
      <c r="A1070" s="250"/>
      <c r="B1070" s="210" t="s">
        <v>714</v>
      </c>
      <c r="C1070" s="210" t="s">
        <v>287</v>
      </c>
      <c r="D1070" s="210" t="s">
        <v>715</v>
      </c>
      <c r="E1070" s="210" t="s">
        <v>151</v>
      </c>
      <c r="F1070" s="210" t="s">
        <v>92</v>
      </c>
      <c r="G1070" s="210" t="s">
        <v>717</v>
      </c>
      <c r="H1070" s="197">
        <v>0</v>
      </c>
      <c r="I1070" s="210" t="s">
        <v>229</v>
      </c>
      <c r="J1070" s="210">
        <v>2024</v>
      </c>
      <c r="K1070" s="210">
        <v>2024</v>
      </c>
      <c r="L1070" s="268" t="str">
        <f t="shared" si="218"/>
        <v>Simple</v>
      </c>
      <c r="M1070" s="197">
        <v>11277.317374406619</v>
      </c>
      <c r="N1070" s="197">
        <v>16915.976061609927</v>
      </c>
      <c r="O1070" s="257">
        <f>IF(ISNA(MATCH(H1070,'Operating leases'!$B$32:$B$43,0)),0,INDEX('Operating leases'!$M$32:$S$43,MATCH(H1070,'Operating leases'!$B$32:$B$43,0),MATCH(J1070,'Operating leases'!$M$11:$S$11,0)))</f>
        <v>0</v>
      </c>
      <c r="P1070" s="257">
        <f t="shared" si="219"/>
        <v>11277.317374406619</v>
      </c>
      <c r="Q1070" s="257">
        <f t="shared" si="220"/>
        <v>28193.293436016545</v>
      </c>
      <c r="R1070" s="258">
        <f>INDEX('Escalators '!$M$124:$S$129,MATCH(I1070,'Escalators '!$B$124:$B$129,0),MATCH(J1070,'Escalators '!$M$113:$S$113,0))</f>
        <v>1.0731681760713303</v>
      </c>
      <c r="S1070" s="257">
        <f t="shared" si="221"/>
        <v>0</v>
      </c>
      <c r="T1070" s="257">
        <f t="shared" si="222"/>
        <v>18153.687176504209</v>
      </c>
      <c r="U1070" s="269">
        <f t="shared" si="223"/>
        <v>12102.458117669477</v>
      </c>
      <c r="V1070" s="269">
        <f t="shared" si="224"/>
        <v>30256.145294173686</v>
      </c>
      <c r="W1070" s="269">
        <f t="shared" si="225"/>
        <v>12102.458117669477</v>
      </c>
      <c r="X1070" s="257">
        <f t="shared" si="226"/>
        <v>30256.145294173686</v>
      </c>
      <c r="Y1070" s="270">
        <f>IF(L1070="Complex",(INDEX('Escalators '!$M$176:$S$176,MATCH('Forecast capex'!J1070,'Escalators '!$M$178:$S$178,0))/12+1)^((K1070-J1070)*12)-1,0)</f>
        <v>0</v>
      </c>
      <c r="Z1070" s="257">
        <f t="shared" si="227"/>
        <v>0</v>
      </c>
      <c r="AA1070" s="257">
        <f t="shared" si="228"/>
        <v>0</v>
      </c>
      <c r="AB1070" s="269">
        <f t="shared" si="229"/>
        <v>0</v>
      </c>
      <c r="AC1070" s="269">
        <f t="shared" si="230"/>
        <v>0</v>
      </c>
      <c r="AD1070" s="271" t="str">
        <f>INDEX('Global inputs'!$C$134:$C$171,MATCH(F1070,'Global inputs'!$B$134:$B$171,0))</f>
        <v>Asset relocations and undergrounding</v>
      </c>
      <c r="AE1070" s="272">
        <f>IF(OR(H1070='Operating leases'!$B$32,H1070='Operating leases'!$B$33),"",INDEX('Global inputs'!$C$186:$C$243,MATCH(E1070,'Global inputs'!$B$186:$B$243,0)))</f>
        <v>0.1</v>
      </c>
    </row>
    <row r="1071" spans="1:31" s="27" customFormat="1" x14ac:dyDescent="0.2">
      <c r="A1071" s="250"/>
      <c r="B1071" s="210" t="s">
        <v>714</v>
      </c>
      <c r="C1071" s="210" t="s">
        <v>287</v>
      </c>
      <c r="D1071" s="210" t="s">
        <v>715</v>
      </c>
      <c r="E1071" s="210" t="s">
        <v>151</v>
      </c>
      <c r="F1071" s="210" t="s">
        <v>92</v>
      </c>
      <c r="G1071" s="210" t="s">
        <v>717</v>
      </c>
      <c r="H1071" s="197">
        <v>0</v>
      </c>
      <c r="I1071" s="210" t="s">
        <v>221</v>
      </c>
      <c r="J1071" s="210">
        <v>2024</v>
      </c>
      <c r="K1071" s="210">
        <v>2024</v>
      </c>
      <c r="L1071" s="268" t="str">
        <f t="shared" si="218"/>
        <v>Simple</v>
      </c>
      <c r="M1071" s="197">
        <v>11277.317374406619</v>
      </c>
      <c r="N1071" s="197">
        <v>16915.976061609927</v>
      </c>
      <c r="O1071" s="257">
        <f>IF(ISNA(MATCH(H1071,'Operating leases'!$B$32:$B$43,0)),0,INDEX('Operating leases'!$M$32:$S$43,MATCH(H1071,'Operating leases'!$B$32:$B$43,0),MATCH(J1071,'Operating leases'!$M$11:$S$11,0)))</f>
        <v>0</v>
      </c>
      <c r="P1071" s="257">
        <f t="shared" si="219"/>
        <v>11277.317374406619</v>
      </c>
      <c r="Q1071" s="257">
        <f t="shared" si="220"/>
        <v>28193.293436016545</v>
      </c>
      <c r="R1071" s="258">
        <f>INDEX('Escalators '!$M$124:$S$129,MATCH(I1071,'Escalators '!$B$124:$B$129,0),MATCH(J1071,'Escalators '!$M$113:$S$113,0))</f>
        <v>1.06512715891222</v>
      </c>
      <c r="S1071" s="257">
        <f t="shared" si="221"/>
        <v>0</v>
      </c>
      <c r="T1071" s="257">
        <f t="shared" si="222"/>
        <v>18017.665522729705</v>
      </c>
      <c r="U1071" s="269">
        <f t="shared" si="223"/>
        <v>12011.777015153137</v>
      </c>
      <c r="V1071" s="269">
        <f t="shared" si="224"/>
        <v>30029.442537882842</v>
      </c>
      <c r="W1071" s="269">
        <f t="shared" si="225"/>
        <v>12011.777015153137</v>
      </c>
      <c r="X1071" s="257">
        <f t="shared" si="226"/>
        <v>30029.442537882842</v>
      </c>
      <c r="Y1071" s="270">
        <f>IF(L1071="Complex",(INDEX('Escalators '!$M$176:$S$176,MATCH('Forecast capex'!J1071,'Escalators '!$M$178:$S$178,0))/12+1)^((K1071-J1071)*12)-1,0)</f>
        <v>0</v>
      </c>
      <c r="Z1071" s="257">
        <f t="shared" si="227"/>
        <v>0</v>
      </c>
      <c r="AA1071" s="257">
        <f t="shared" si="228"/>
        <v>0</v>
      </c>
      <c r="AB1071" s="269">
        <f t="shared" si="229"/>
        <v>0</v>
      </c>
      <c r="AC1071" s="269">
        <f t="shared" si="230"/>
        <v>0</v>
      </c>
      <c r="AD1071" s="271" t="str">
        <f>INDEX('Global inputs'!$C$134:$C$171,MATCH(F1071,'Global inputs'!$B$134:$B$171,0))</f>
        <v>Asset relocations and undergrounding</v>
      </c>
      <c r="AE1071" s="272">
        <f>IF(OR(H1071='Operating leases'!$B$32,H1071='Operating leases'!$B$33),"",INDEX('Global inputs'!$C$186:$C$243,MATCH(E1071,'Global inputs'!$B$186:$B$243,0)))</f>
        <v>0.1</v>
      </c>
    </row>
    <row r="1072" spans="1:31" s="27" customFormat="1" x14ac:dyDescent="0.2">
      <c r="A1072" s="250"/>
      <c r="B1072" s="210" t="s">
        <v>714</v>
      </c>
      <c r="C1072" s="210" t="s">
        <v>287</v>
      </c>
      <c r="D1072" s="210" t="s">
        <v>715</v>
      </c>
      <c r="E1072" s="210" t="s">
        <v>153</v>
      </c>
      <c r="F1072" s="210" t="s">
        <v>92</v>
      </c>
      <c r="G1072" s="210" t="s">
        <v>717</v>
      </c>
      <c r="H1072" s="197">
        <v>0</v>
      </c>
      <c r="I1072" s="210" t="s">
        <v>229</v>
      </c>
      <c r="J1072" s="210">
        <v>2024</v>
      </c>
      <c r="K1072" s="210">
        <v>2024</v>
      </c>
      <c r="L1072" s="268" t="str">
        <f t="shared" si="218"/>
        <v>Simple</v>
      </c>
      <c r="M1072" s="197">
        <v>4510.9269497626474</v>
      </c>
      <c r="N1072" s="197">
        <v>6766.3904246439706</v>
      </c>
      <c r="O1072" s="257">
        <f>IF(ISNA(MATCH(H1072,'Operating leases'!$B$32:$B$43,0)),0,INDEX('Operating leases'!$M$32:$S$43,MATCH(H1072,'Operating leases'!$B$32:$B$43,0),MATCH(J1072,'Operating leases'!$M$11:$S$11,0)))</f>
        <v>0</v>
      </c>
      <c r="P1072" s="257">
        <f t="shared" si="219"/>
        <v>4510.9269497626474</v>
      </c>
      <c r="Q1072" s="257">
        <f t="shared" si="220"/>
        <v>11277.317374406619</v>
      </c>
      <c r="R1072" s="258">
        <f>INDEX('Escalators '!$M$124:$S$129,MATCH(I1072,'Escalators '!$B$124:$B$129,0),MATCH(J1072,'Escalators '!$M$113:$S$113,0))</f>
        <v>1.0731681760713303</v>
      </c>
      <c r="S1072" s="257">
        <f t="shared" si="221"/>
        <v>0</v>
      </c>
      <c r="T1072" s="257">
        <f t="shared" si="222"/>
        <v>7261.4748706016844</v>
      </c>
      <c r="U1072" s="269">
        <f t="shared" si="223"/>
        <v>4840.9832470677911</v>
      </c>
      <c r="V1072" s="269">
        <f t="shared" si="224"/>
        <v>12102.458117669476</v>
      </c>
      <c r="W1072" s="269">
        <f t="shared" si="225"/>
        <v>4840.9832470677911</v>
      </c>
      <c r="X1072" s="257">
        <f t="shared" si="226"/>
        <v>12102.458117669476</v>
      </c>
      <c r="Y1072" s="270">
        <f>IF(L1072="Complex",(INDEX('Escalators '!$M$176:$S$176,MATCH('Forecast capex'!J1072,'Escalators '!$M$178:$S$178,0))/12+1)^((K1072-J1072)*12)-1,0)</f>
        <v>0</v>
      </c>
      <c r="Z1072" s="257">
        <f t="shared" si="227"/>
        <v>0</v>
      </c>
      <c r="AA1072" s="257">
        <f t="shared" si="228"/>
        <v>0</v>
      </c>
      <c r="AB1072" s="269">
        <f t="shared" si="229"/>
        <v>0</v>
      </c>
      <c r="AC1072" s="269">
        <f t="shared" si="230"/>
        <v>0</v>
      </c>
      <c r="AD1072" s="271" t="str">
        <f>INDEX('Global inputs'!$C$134:$C$171,MATCH(F1072,'Global inputs'!$B$134:$B$171,0))</f>
        <v>Asset relocations and undergrounding</v>
      </c>
      <c r="AE1072" s="272">
        <f>IF(OR(H1072='Operating leases'!$B$32,H1072='Operating leases'!$B$33),"",INDEX('Global inputs'!$C$186:$C$243,MATCH(E1072,'Global inputs'!$B$186:$B$243,0)))</f>
        <v>0.08</v>
      </c>
    </row>
    <row r="1073" spans="1:31" s="27" customFormat="1" x14ac:dyDescent="0.2">
      <c r="A1073" s="250"/>
      <c r="B1073" s="210" t="s">
        <v>714</v>
      </c>
      <c r="C1073" s="210" t="s">
        <v>287</v>
      </c>
      <c r="D1073" s="210" t="s">
        <v>715</v>
      </c>
      <c r="E1073" s="210" t="s">
        <v>153</v>
      </c>
      <c r="F1073" s="210" t="s">
        <v>92</v>
      </c>
      <c r="G1073" s="210" t="s">
        <v>717</v>
      </c>
      <c r="H1073" s="197">
        <v>0</v>
      </c>
      <c r="I1073" s="210" t="s">
        <v>221</v>
      </c>
      <c r="J1073" s="210">
        <v>2024</v>
      </c>
      <c r="K1073" s="210">
        <v>2024</v>
      </c>
      <c r="L1073" s="268" t="str">
        <f t="shared" si="218"/>
        <v>Simple</v>
      </c>
      <c r="M1073" s="197">
        <v>4510.9269497626474</v>
      </c>
      <c r="N1073" s="197">
        <v>6766.3904246439706</v>
      </c>
      <c r="O1073" s="257">
        <f>IF(ISNA(MATCH(H1073,'Operating leases'!$B$32:$B$43,0)),0,INDEX('Operating leases'!$M$32:$S$43,MATCH(H1073,'Operating leases'!$B$32:$B$43,0),MATCH(J1073,'Operating leases'!$M$11:$S$11,0)))</f>
        <v>0</v>
      </c>
      <c r="P1073" s="257">
        <f t="shared" si="219"/>
        <v>4510.9269497626474</v>
      </c>
      <c r="Q1073" s="257">
        <f t="shared" si="220"/>
        <v>11277.317374406619</v>
      </c>
      <c r="R1073" s="258">
        <f>INDEX('Escalators '!$M$124:$S$129,MATCH(I1073,'Escalators '!$B$124:$B$129,0),MATCH(J1073,'Escalators '!$M$113:$S$113,0))</f>
        <v>1.06512715891222</v>
      </c>
      <c r="S1073" s="257">
        <f t="shared" si="221"/>
        <v>0</v>
      </c>
      <c r="T1073" s="257">
        <f t="shared" si="222"/>
        <v>7207.0662090918822</v>
      </c>
      <c r="U1073" s="269">
        <f t="shared" si="223"/>
        <v>4804.7108060612563</v>
      </c>
      <c r="V1073" s="269">
        <f t="shared" si="224"/>
        <v>12011.777015153139</v>
      </c>
      <c r="W1073" s="269">
        <f t="shared" si="225"/>
        <v>4804.7108060612563</v>
      </c>
      <c r="X1073" s="257">
        <f t="shared" si="226"/>
        <v>12011.777015153139</v>
      </c>
      <c r="Y1073" s="270">
        <f>IF(L1073="Complex",(INDEX('Escalators '!$M$176:$S$176,MATCH('Forecast capex'!J1073,'Escalators '!$M$178:$S$178,0))/12+1)^((K1073-J1073)*12)-1,0)</f>
        <v>0</v>
      </c>
      <c r="Z1073" s="257">
        <f t="shared" si="227"/>
        <v>0</v>
      </c>
      <c r="AA1073" s="257">
        <f t="shared" si="228"/>
        <v>0</v>
      </c>
      <c r="AB1073" s="269">
        <f t="shared" si="229"/>
        <v>0</v>
      </c>
      <c r="AC1073" s="269">
        <f t="shared" si="230"/>
        <v>0</v>
      </c>
      <c r="AD1073" s="271" t="str">
        <f>INDEX('Global inputs'!$C$134:$C$171,MATCH(F1073,'Global inputs'!$B$134:$B$171,0))</f>
        <v>Asset relocations and undergrounding</v>
      </c>
      <c r="AE1073" s="272">
        <f>IF(OR(H1073='Operating leases'!$B$32,H1073='Operating leases'!$B$33),"",INDEX('Global inputs'!$C$186:$C$243,MATCH(E1073,'Global inputs'!$B$186:$B$243,0)))</f>
        <v>0.08</v>
      </c>
    </row>
    <row r="1074" spans="1:31" s="27" customFormat="1" x14ac:dyDescent="0.2">
      <c r="A1074" s="250"/>
      <c r="B1074" s="210" t="s">
        <v>714</v>
      </c>
      <c r="C1074" s="210" t="s">
        <v>287</v>
      </c>
      <c r="D1074" s="210" t="s">
        <v>715</v>
      </c>
      <c r="E1074" s="210" t="s">
        <v>154</v>
      </c>
      <c r="F1074" s="210" t="s">
        <v>92</v>
      </c>
      <c r="G1074" s="210" t="s">
        <v>717</v>
      </c>
      <c r="H1074" s="197">
        <v>0</v>
      </c>
      <c r="I1074" s="210" t="s">
        <v>229</v>
      </c>
      <c r="J1074" s="210">
        <v>2024</v>
      </c>
      <c r="K1074" s="210">
        <v>2024</v>
      </c>
      <c r="L1074" s="268" t="str">
        <f t="shared" si="218"/>
        <v>Simple</v>
      </c>
      <c r="M1074" s="197">
        <v>4510.9269497626474</v>
      </c>
      <c r="N1074" s="197">
        <v>6766.3904246439706</v>
      </c>
      <c r="O1074" s="257">
        <f>IF(ISNA(MATCH(H1074,'Operating leases'!$B$32:$B$43,0)),0,INDEX('Operating leases'!$M$32:$S$43,MATCH(H1074,'Operating leases'!$B$32:$B$43,0),MATCH(J1074,'Operating leases'!$M$11:$S$11,0)))</f>
        <v>0</v>
      </c>
      <c r="P1074" s="257">
        <f t="shared" si="219"/>
        <v>4510.9269497626474</v>
      </c>
      <c r="Q1074" s="257">
        <f t="shared" si="220"/>
        <v>11277.317374406619</v>
      </c>
      <c r="R1074" s="258">
        <f>INDEX('Escalators '!$M$124:$S$129,MATCH(I1074,'Escalators '!$B$124:$B$129,0),MATCH(J1074,'Escalators '!$M$113:$S$113,0))</f>
        <v>1.0731681760713303</v>
      </c>
      <c r="S1074" s="257">
        <f t="shared" si="221"/>
        <v>0</v>
      </c>
      <c r="T1074" s="257">
        <f t="shared" si="222"/>
        <v>7261.4748706016844</v>
      </c>
      <c r="U1074" s="269">
        <f t="shared" si="223"/>
        <v>4840.9832470677911</v>
      </c>
      <c r="V1074" s="269">
        <f t="shared" si="224"/>
        <v>12102.458117669476</v>
      </c>
      <c r="W1074" s="269">
        <f t="shared" si="225"/>
        <v>4840.9832470677911</v>
      </c>
      <c r="X1074" s="257">
        <f t="shared" si="226"/>
        <v>12102.458117669476</v>
      </c>
      <c r="Y1074" s="270">
        <f>IF(L1074="Complex",(INDEX('Escalators '!$M$176:$S$176,MATCH('Forecast capex'!J1074,'Escalators '!$M$178:$S$178,0))/12+1)^((K1074-J1074)*12)-1,0)</f>
        <v>0</v>
      </c>
      <c r="Z1074" s="257">
        <f t="shared" si="227"/>
        <v>0</v>
      </c>
      <c r="AA1074" s="257">
        <f t="shared" si="228"/>
        <v>0</v>
      </c>
      <c r="AB1074" s="269">
        <f t="shared" si="229"/>
        <v>0</v>
      </c>
      <c r="AC1074" s="269">
        <f t="shared" si="230"/>
        <v>0</v>
      </c>
      <c r="AD1074" s="271" t="str">
        <f>INDEX('Global inputs'!$C$134:$C$171,MATCH(F1074,'Global inputs'!$B$134:$B$171,0))</f>
        <v>Asset relocations and undergrounding</v>
      </c>
      <c r="AE1074" s="272">
        <f>IF(OR(H1074='Operating leases'!$B$32,H1074='Operating leases'!$B$33),"",INDEX('Global inputs'!$C$186:$C$243,MATCH(E1074,'Global inputs'!$B$186:$B$243,0)))</f>
        <v>0.1</v>
      </c>
    </row>
    <row r="1075" spans="1:31" s="27" customFormat="1" x14ac:dyDescent="0.2">
      <c r="A1075" s="250"/>
      <c r="B1075" s="210" t="s">
        <v>714</v>
      </c>
      <c r="C1075" s="210" t="s">
        <v>287</v>
      </c>
      <c r="D1075" s="210" t="s">
        <v>715</v>
      </c>
      <c r="E1075" s="210" t="s">
        <v>154</v>
      </c>
      <c r="F1075" s="210" t="s">
        <v>92</v>
      </c>
      <c r="G1075" s="210" t="s">
        <v>717</v>
      </c>
      <c r="H1075" s="197">
        <v>0</v>
      </c>
      <c r="I1075" s="210" t="s">
        <v>221</v>
      </c>
      <c r="J1075" s="210">
        <v>2024</v>
      </c>
      <c r="K1075" s="210">
        <v>2024</v>
      </c>
      <c r="L1075" s="268" t="str">
        <f t="shared" si="218"/>
        <v>Simple</v>
      </c>
      <c r="M1075" s="197">
        <v>4510.9269497626474</v>
      </c>
      <c r="N1075" s="197">
        <v>6766.3904246439706</v>
      </c>
      <c r="O1075" s="257">
        <f>IF(ISNA(MATCH(H1075,'Operating leases'!$B$32:$B$43,0)),0,INDEX('Operating leases'!$M$32:$S$43,MATCH(H1075,'Operating leases'!$B$32:$B$43,0),MATCH(J1075,'Operating leases'!$M$11:$S$11,0)))</f>
        <v>0</v>
      </c>
      <c r="P1075" s="257">
        <f t="shared" si="219"/>
        <v>4510.9269497626474</v>
      </c>
      <c r="Q1075" s="257">
        <f t="shared" si="220"/>
        <v>11277.317374406619</v>
      </c>
      <c r="R1075" s="258">
        <f>INDEX('Escalators '!$M$124:$S$129,MATCH(I1075,'Escalators '!$B$124:$B$129,0),MATCH(J1075,'Escalators '!$M$113:$S$113,0))</f>
        <v>1.06512715891222</v>
      </c>
      <c r="S1075" s="257">
        <f t="shared" si="221"/>
        <v>0</v>
      </c>
      <c r="T1075" s="257">
        <f t="shared" si="222"/>
        <v>7207.0662090918822</v>
      </c>
      <c r="U1075" s="269">
        <f t="shared" si="223"/>
        <v>4804.7108060612563</v>
      </c>
      <c r="V1075" s="269">
        <f t="shared" si="224"/>
        <v>12011.777015153139</v>
      </c>
      <c r="W1075" s="269">
        <f t="shared" si="225"/>
        <v>4804.7108060612563</v>
      </c>
      <c r="X1075" s="257">
        <f t="shared" si="226"/>
        <v>12011.777015153139</v>
      </c>
      <c r="Y1075" s="270">
        <f>IF(L1075="Complex",(INDEX('Escalators '!$M$176:$S$176,MATCH('Forecast capex'!J1075,'Escalators '!$M$178:$S$178,0))/12+1)^((K1075-J1075)*12)-1,0)</f>
        <v>0</v>
      </c>
      <c r="Z1075" s="257">
        <f t="shared" si="227"/>
        <v>0</v>
      </c>
      <c r="AA1075" s="257">
        <f t="shared" si="228"/>
        <v>0</v>
      </c>
      <c r="AB1075" s="269">
        <f t="shared" si="229"/>
        <v>0</v>
      </c>
      <c r="AC1075" s="269">
        <f t="shared" si="230"/>
        <v>0</v>
      </c>
      <c r="AD1075" s="271" t="str">
        <f>INDEX('Global inputs'!$C$134:$C$171,MATCH(F1075,'Global inputs'!$B$134:$B$171,0))</f>
        <v>Asset relocations and undergrounding</v>
      </c>
      <c r="AE1075" s="272">
        <f>IF(OR(H1075='Operating leases'!$B$32,H1075='Operating leases'!$B$33),"",INDEX('Global inputs'!$C$186:$C$243,MATCH(E1075,'Global inputs'!$B$186:$B$243,0)))</f>
        <v>0.1</v>
      </c>
    </row>
    <row r="1076" spans="1:31" s="27" customFormat="1" x14ac:dyDescent="0.2">
      <c r="A1076" s="250"/>
      <c r="B1076" s="210" t="s">
        <v>714</v>
      </c>
      <c r="C1076" s="210" t="s">
        <v>290</v>
      </c>
      <c r="D1076" s="210" t="s">
        <v>718</v>
      </c>
      <c r="E1076" s="210" t="s">
        <v>173</v>
      </c>
      <c r="F1076" s="210" t="s">
        <v>92</v>
      </c>
      <c r="G1076" s="210" t="s">
        <v>719</v>
      </c>
      <c r="H1076" s="197">
        <v>0</v>
      </c>
      <c r="I1076" s="210" t="s">
        <v>142</v>
      </c>
      <c r="J1076" s="210">
        <v>2024</v>
      </c>
      <c r="K1076" s="210">
        <v>2024</v>
      </c>
      <c r="L1076" s="268" t="str">
        <f t="shared" si="218"/>
        <v>Simple</v>
      </c>
      <c r="M1076" s="197">
        <v>10826.224679430354</v>
      </c>
      <c r="N1076" s="197">
        <v>16239.337019145529</v>
      </c>
      <c r="O1076" s="257">
        <f>IF(ISNA(MATCH(H1076,'Operating leases'!$B$32:$B$43,0)),0,INDEX('Operating leases'!$M$32:$S$43,MATCH(H1076,'Operating leases'!$B$32:$B$43,0),MATCH(J1076,'Operating leases'!$M$11:$S$11,0)))</f>
        <v>0</v>
      </c>
      <c r="P1076" s="257">
        <f t="shared" si="219"/>
        <v>10826.224679430354</v>
      </c>
      <c r="Q1076" s="257">
        <f t="shared" si="220"/>
        <v>27065.561698575882</v>
      </c>
      <c r="R1076" s="258">
        <f>INDEX('Escalators '!$M$124:$S$129,MATCH(I1076,'Escalators '!$B$124:$B$129,0),MATCH(J1076,'Escalators '!$M$113:$S$113,0))</f>
        <v>1.06767964286932</v>
      </c>
      <c r="S1076" s="257">
        <f t="shared" si="221"/>
        <v>0</v>
      </c>
      <c r="T1076" s="257">
        <f t="shared" si="222"/>
        <v>17338.409549035827</v>
      </c>
      <c r="U1076" s="269">
        <f t="shared" si="223"/>
        <v>11558.939699357219</v>
      </c>
      <c r="V1076" s="269">
        <f t="shared" si="224"/>
        <v>28897.349248393046</v>
      </c>
      <c r="W1076" s="269">
        <f t="shared" si="225"/>
        <v>11558.939699357219</v>
      </c>
      <c r="X1076" s="257">
        <f t="shared" si="226"/>
        <v>28897.349248393046</v>
      </c>
      <c r="Y1076" s="270">
        <f>IF(L1076="Complex",(INDEX('Escalators '!$M$176:$S$176,MATCH('Forecast capex'!J1076,'Escalators '!$M$178:$S$178,0))/12+1)^((K1076-J1076)*12)-1,0)</f>
        <v>0</v>
      </c>
      <c r="Z1076" s="257">
        <f t="shared" si="227"/>
        <v>0</v>
      </c>
      <c r="AA1076" s="257">
        <f t="shared" si="228"/>
        <v>0</v>
      </c>
      <c r="AB1076" s="269">
        <f t="shared" si="229"/>
        <v>0</v>
      </c>
      <c r="AC1076" s="269">
        <f t="shared" si="230"/>
        <v>0</v>
      </c>
      <c r="AD1076" s="271" t="str">
        <f>INDEX('Global inputs'!$C$134:$C$171,MATCH(F1076,'Global inputs'!$B$134:$B$171,0))</f>
        <v>Asset relocations and undergrounding</v>
      </c>
      <c r="AE1076" s="272">
        <f>IF(OR(H1076='Operating leases'!$B$32,H1076='Operating leases'!$B$33),"",INDEX('Global inputs'!$C$186:$C$243,MATCH(E1076,'Global inputs'!$B$186:$B$243,0)))</f>
        <v>0.08</v>
      </c>
    </row>
    <row r="1077" spans="1:31" s="27" customFormat="1" x14ac:dyDescent="0.2">
      <c r="A1077" s="250"/>
      <c r="B1077" s="210" t="s">
        <v>714</v>
      </c>
      <c r="C1077" s="210" t="s">
        <v>290</v>
      </c>
      <c r="D1077" s="210" t="s">
        <v>718</v>
      </c>
      <c r="E1077" s="210" t="s">
        <v>173</v>
      </c>
      <c r="F1077" s="210" t="s">
        <v>92</v>
      </c>
      <c r="G1077" s="210" t="s">
        <v>719</v>
      </c>
      <c r="H1077" s="197">
        <v>0</v>
      </c>
      <c r="I1077" s="210" t="s">
        <v>221</v>
      </c>
      <c r="J1077" s="210">
        <v>2024</v>
      </c>
      <c r="K1077" s="210">
        <v>2024</v>
      </c>
      <c r="L1077" s="268" t="str">
        <f t="shared" si="218"/>
        <v>Simple</v>
      </c>
      <c r="M1077" s="197">
        <v>2706.5561698575884</v>
      </c>
      <c r="N1077" s="197">
        <v>4059.8342547863822</v>
      </c>
      <c r="O1077" s="257">
        <f>IF(ISNA(MATCH(H1077,'Operating leases'!$B$32:$B$43,0)),0,INDEX('Operating leases'!$M$32:$S$43,MATCH(H1077,'Operating leases'!$B$32:$B$43,0),MATCH(J1077,'Operating leases'!$M$11:$S$11,0)))</f>
        <v>0</v>
      </c>
      <c r="P1077" s="257">
        <f t="shared" si="219"/>
        <v>2706.5561698575884</v>
      </c>
      <c r="Q1077" s="257">
        <f t="shared" si="220"/>
        <v>6766.3904246439706</v>
      </c>
      <c r="R1077" s="258">
        <f>INDEX('Escalators '!$M$124:$S$129,MATCH(I1077,'Escalators '!$B$124:$B$129,0),MATCH(J1077,'Escalators '!$M$113:$S$113,0))</f>
        <v>1.06512715891222</v>
      </c>
      <c r="S1077" s="257">
        <f t="shared" si="221"/>
        <v>0</v>
      </c>
      <c r="T1077" s="257">
        <f t="shared" si="222"/>
        <v>4324.2397254551288</v>
      </c>
      <c r="U1077" s="269">
        <f t="shared" si="223"/>
        <v>2882.8264836367534</v>
      </c>
      <c r="V1077" s="269">
        <f t="shared" si="224"/>
        <v>7207.0662090918822</v>
      </c>
      <c r="W1077" s="269">
        <f t="shared" si="225"/>
        <v>2882.8264836367534</v>
      </c>
      <c r="X1077" s="257">
        <f t="shared" si="226"/>
        <v>7207.0662090918822</v>
      </c>
      <c r="Y1077" s="270">
        <f>IF(L1077="Complex",(INDEX('Escalators '!$M$176:$S$176,MATCH('Forecast capex'!J1077,'Escalators '!$M$178:$S$178,0))/12+1)^((K1077-J1077)*12)-1,0)</f>
        <v>0</v>
      </c>
      <c r="Z1077" s="257">
        <f t="shared" si="227"/>
        <v>0</v>
      </c>
      <c r="AA1077" s="257">
        <f t="shared" si="228"/>
        <v>0</v>
      </c>
      <c r="AB1077" s="269">
        <f t="shared" si="229"/>
        <v>0</v>
      </c>
      <c r="AC1077" s="269">
        <f t="shared" si="230"/>
        <v>0</v>
      </c>
      <c r="AD1077" s="271" t="str">
        <f>INDEX('Global inputs'!$C$134:$C$171,MATCH(F1077,'Global inputs'!$B$134:$B$171,0))</f>
        <v>Asset relocations and undergrounding</v>
      </c>
      <c r="AE1077" s="272">
        <f>IF(OR(H1077='Operating leases'!$B$32,H1077='Operating leases'!$B$33),"",INDEX('Global inputs'!$C$186:$C$243,MATCH(E1077,'Global inputs'!$B$186:$B$243,0)))</f>
        <v>0.08</v>
      </c>
    </row>
    <row r="1078" spans="1:31" s="27" customFormat="1" x14ac:dyDescent="0.2">
      <c r="A1078" s="250"/>
      <c r="B1078" s="210" t="s">
        <v>714</v>
      </c>
      <c r="C1078" s="210" t="s">
        <v>290</v>
      </c>
      <c r="D1078" s="210" t="s">
        <v>718</v>
      </c>
      <c r="E1078" s="210" t="s">
        <v>169</v>
      </c>
      <c r="F1078" s="210" t="s">
        <v>92</v>
      </c>
      <c r="G1078" s="210" t="s">
        <v>720</v>
      </c>
      <c r="H1078" s="197">
        <v>0</v>
      </c>
      <c r="I1078" s="210" t="s">
        <v>229</v>
      </c>
      <c r="J1078" s="210">
        <v>2024</v>
      </c>
      <c r="K1078" s="210">
        <v>2024</v>
      </c>
      <c r="L1078" s="268" t="str">
        <f t="shared" si="218"/>
        <v>Simple</v>
      </c>
      <c r="M1078" s="197">
        <v>23005.727443789499</v>
      </c>
      <c r="N1078" s="197">
        <v>34508.591165684244</v>
      </c>
      <c r="O1078" s="257">
        <f>IF(ISNA(MATCH(H1078,'Operating leases'!$B$32:$B$43,0)),0,INDEX('Operating leases'!$M$32:$S$43,MATCH(H1078,'Operating leases'!$B$32:$B$43,0),MATCH(J1078,'Operating leases'!$M$11:$S$11,0)))</f>
        <v>0</v>
      </c>
      <c r="P1078" s="257">
        <f t="shared" si="219"/>
        <v>23005.727443789499</v>
      </c>
      <c r="Q1078" s="257">
        <f t="shared" si="220"/>
        <v>57514.318609473747</v>
      </c>
      <c r="R1078" s="258">
        <f>INDEX('Escalators '!$M$124:$S$129,MATCH(I1078,'Escalators '!$B$124:$B$129,0),MATCH(J1078,'Escalators '!$M$113:$S$113,0))</f>
        <v>1.0731681760713303</v>
      </c>
      <c r="S1078" s="257">
        <f t="shared" si="221"/>
        <v>0</v>
      </c>
      <c r="T1078" s="257">
        <f t="shared" si="222"/>
        <v>37033.521840068584</v>
      </c>
      <c r="U1078" s="269">
        <f t="shared" si="223"/>
        <v>24689.014560045725</v>
      </c>
      <c r="V1078" s="269">
        <f t="shared" si="224"/>
        <v>61722.53640011431</v>
      </c>
      <c r="W1078" s="269">
        <f t="shared" si="225"/>
        <v>24689.014560045725</v>
      </c>
      <c r="X1078" s="257">
        <f t="shared" si="226"/>
        <v>61722.53640011431</v>
      </c>
      <c r="Y1078" s="270">
        <f>IF(L1078="Complex",(INDEX('Escalators '!$M$176:$S$176,MATCH('Forecast capex'!J1078,'Escalators '!$M$178:$S$178,0))/12+1)^((K1078-J1078)*12)-1,0)</f>
        <v>0</v>
      </c>
      <c r="Z1078" s="257">
        <f t="shared" si="227"/>
        <v>0</v>
      </c>
      <c r="AA1078" s="257">
        <f t="shared" si="228"/>
        <v>0</v>
      </c>
      <c r="AB1078" s="269">
        <f t="shared" si="229"/>
        <v>0</v>
      </c>
      <c r="AC1078" s="269">
        <f t="shared" si="230"/>
        <v>0</v>
      </c>
      <c r="AD1078" s="271" t="str">
        <f>INDEX('Global inputs'!$C$134:$C$171,MATCH(F1078,'Global inputs'!$B$134:$B$171,0))</f>
        <v>Asset relocations and undergrounding</v>
      </c>
      <c r="AE1078" s="272">
        <f>IF(OR(H1078='Operating leases'!$B$32,H1078='Operating leases'!$B$33),"",INDEX('Global inputs'!$C$186:$C$243,MATCH(E1078,'Global inputs'!$B$186:$B$243,0)))</f>
        <v>0.08</v>
      </c>
    </row>
    <row r="1079" spans="1:31" s="27" customFormat="1" x14ac:dyDescent="0.2">
      <c r="A1079" s="250"/>
      <c r="B1079" s="210" t="s">
        <v>714</v>
      </c>
      <c r="C1079" s="210" t="s">
        <v>290</v>
      </c>
      <c r="D1079" s="210" t="s">
        <v>718</v>
      </c>
      <c r="E1079" s="210" t="s">
        <v>169</v>
      </c>
      <c r="F1079" s="210" t="s">
        <v>92</v>
      </c>
      <c r="G1079" s="210" t="s">
        <v>720</v>
      </c>
      <c r="H1079" s="197">
        <v>0</v>
      </c>
      <c r="I1079" s="210" t="s">
        <v>221</v>
      </c>
      <c r="J1079" s="210">
        <v>2024</v>
      </c>
      <c r="K1079" s="210">
        <v>2024</v>
      </c>
      <c r="L1079" s="268" t="str">
        <f t="shared" si="218"/>
        <v>Simple</v>
      </c>
      <c r="M1079" s="197">
        <v>15337.151629193</v>
      </c>
      <c r="N1079" s="197">
        <v>23005.727443789496</v>
      </c>
      <c r="O1079" s="257">
        <f>IF(ISNA(MATCH(H1079,'Operating leases'!$B$32:$B$43,0)),0,INDEX('Operating leases'!$M$32:$S$43,MATCH(H1079,'Operating leases'!$B$32:$B$43,0),MATCH(J1079,'Operating leases'!$M$11:$S$11,0)))</f>
        <v>0</v>
      </c>
      <c r="P1079" s="257">
        <f t="shared" si="219"/>
        <v>15337.151629193</v>
      </c>
      <c r="Q1079" s="257">
        <f t="shared" si="220"/>
        <v>38342.879072982498</v>
      </c>
      <c r="R1079" s="258">
        <f>INDEX('Escalators '!$M$124:$S$129,MATCH(I1079,'Escalators '!$B$124:$B$129,0),MATCH(J1079,'Escalators '!$M$113:$S$113,0))</f>
        <v>1.06512715891222</v>
      </c>
      <c r="S1079" s="257">
        <f t="shared" si="221"/>
        <v>0</v>
      </c>
      <c r="T1079" s="257">
        <f t="shared" si="222"/>
        <v>24504.025110912396</v>
      </c>
      <c r="U1079" s="269">
        <f t="shared" si="223"/>
        <v>16336.016740608266</v>
      </c>
      <c r="V1079" s="269">
        <f t="shared" si="224"/>
        <v>40840.041851520662</v>
      </c>
      <c r="W1079" s="269">
        <f t="shared" si="225"/>
        <v>16336.016740608266</v>
      </c>
      <c r="X1079" s="257">
        <f t="shared" si="226"/>
        <v>40840.041851520662</v>
      </c>
      <c r="Y1079" s="270">
        <f>IF(L1079="Complex",(INDEX('Escalators '!$M$176:$S$176,MATCH('Forecast capex'!J1079,'Escalators '!$M$178:$S$178,0))/12+1)^((K1079-J1079)*12)-1,0)</f>
        <v>0</v>
      </c>
      <c r="Z1079" s="257">
        <f t="shared" si="227"/>
        <v>0</v>
      </c>
      <c r="AA1079" s="257">
        <f t="shared" si="228"/>
        <v>0</v>
      </c>
      <c r="AB1079" s="269">
        <f t="shared" si="229"/>
        <v>0</v>
      </c>
      <c r="AC1079" s="269">
        <f t="shared" si="230"/>
        <v>0</v>
      </c>
      <c r="AD1079" s="271" t="str">
        <f>INDEX('Global inputs'!$C$134:$C$171,MATCH(F1079,'Global inputs'!$B$134:$B$171,0))</f>
        <v>Asset relocations and undergrounding</v>
      </c>
      <c r="AE1079" s="272">
        <f>IF(OR(H1079='Operating leases'!$B$32,H1079='Operating leases'!$B$33),"",INDEX('Global inputs'!$C$186:$C$243,MATCH(E1079,'Global inputs'!$B$186:$B$243,0)))</f>
        <v>0.08</v>
      </c>
    </row>
    <row r="1080" spans="1:31" s="27" customFormat="1" x14ac:dyDescent="0.2">
      <c r="A1080" s="250"/>
      <c r="B1080" s="210" t="s">
        <v>714</v>
      </c>
      <c r="C1080" s="210" t="s">
        <v>290</v>
      </c>
      <c r="D1080" s="210" t="s">
        <v>718</v>
      </c>
      <c r="E1080" s="210" t="s">
        <v>170</v>
      </c>
      <c r="F1080" s="210" t="s">
        <v>92</v>
      </c>
      <c r="G1080" s="210" t="s">
        <v>721</v>
      </c>
      <c r="H1080" s="197">
        <v>0</v>
      </c>
      <c r="I1080" s="210" t="s">
        <v>229</v>
      </c>
      <c r="J1080" s="210">
        <v>2024</v>
      </c>
      <c r="K1080" s="210">
        <v>2024</v>
      </c>
      <c r="L1080" s="268" t="str">
        <f t="shared" si="218"/>
        <v>Simple</v>
      </c>
      <c r="M1080" s="197">
        <v>20299.171273931912</v>
      </c>
      <c r="N1080" s="197">
        <v>30448.756910897868</v>
      </c>
      <c r="O1080" s="257">
        <f>IF(ISNA(MATCH(H1080,'Operating leases'!$B$32:$B$43,0)),0,INDEX('Operating leases'!$M$32:$S$43,MATCH(H1080,'Operating leases'!$B$32:$B$43,0),MATCH(J1080,'Operating leases'!$M$11:$S$11,0)))</f>
        <v>0</v>
      </c>
      <c r="P1080" s="257">
        <f t="shared" si="219"/>
        <v>20299.171273931912</v>
      </c>
      <c r="Q1080" s="257">
        <f t="shared" si="220"/>
        <v>50747.928184829783</v>
      </c>
      <c r="R1080" s="258">
        <f>INDEX('Escalators '!$M$124:$S$129,MATCH(I1080,'Escalators '!$B$124:$B$129,0),MATCH(J1080,'Escalators '!$M$113:$S$113,0))</f>
        <v>1.0731681760713303</v>
      </c>
      <c r="S1080" s="257">
        <f t="shared" si="221"/>
        <v>0</v>
      </c>
      <c r="T1080" s="257">
        <f t="shared" si="222"/>
        <v>32676.636917707579</v>
      </c>
      <c r="U1080" s="269">
        <f t="shared" si="223"/>
        <v>21784.424611805054</v>
      </c>
      <c r="V1080" s="269">
        <f t="shared" si="224"/>
        <v>54461.061529512634</v>
      </c>
      <c r="W1080" s="269">
        <f t="shared" si="225"/>
        <v>21784.424611805054</v>
      </c>
      <c r="X1080" s="257">
        <f t="shared" si="226"/>
        <v>54461.061529512634</v>
      </c>
      <c r="Y1080" s="270">
        <f>IF(L1080="Complex",(INDEX('Escalators '!$M$176:$S$176,MATCH('Forecast capex'!J1080,'Escalators '!$M$178:$S$178,0))/12+1)^((K1080-J1080)*12)-1,0)</f>
        <v>0</v>
      </c>
      <c r="Z1080" s="257">
        <f t="shared" si="227"/>
        <v>0</v>
      </c>
      <c r="AA1080" s="257">
        <f t="shared" si="228"/>
        <v>0</v>
      </c>
      <c r="AB1080" s="269">
        <f t="shared" si="229"/>
        <v>0</v>
      </c>
      <c r="AC1080" s="269">
        <f t="shared" si="230"/>
        <v>0</v>
      </c>
      <c r="AD1080" s="271" t="str">
        <f>INDEX('Global inputs'!$C$134:$C$171,MATCH(F1080,'Global inputs'!$B$134:$B$171,0))</f>
        <v>Asset relocations and undergrounding</v>
      </c>
      <c r="AE1080" s="272">
        <f>IF(OR(H1080='Operating leases'!$B$32,H1080='Operating leases'!$B$33),"",INDEX('Global inputs'!$C$186:$C$243,MATCH(E1080,'Global inputs'!$B$186:$B$243,0)))</f>
        <v>0.08</v>
      </c>
    </row>
    <row r="1081" spans="1:31" s="27" customFormat="1" x14ac:dyDescent="0.2">
      <c r="A1081" s="250"/>
      <c r="B1081" s="210" t="s">
        <v>714</v>
      </c>
      <c r="C1081" s="210" t="s">
        <v>290</v>
      </c>
      <c r="D1081" s="210" t="s">
        <v>718</v>
      </c>
      <c r="E1081" s="210" t="s">
        <v>170</v>
      </c>
      <c r="F1081" s="210" t="s">
        <v>92</v>
      </c>
      <c r="G1081" s="210" t="s">
        <v>721</v>
      </c>
      <c r="H1081" s="197">
        <v>0</v>
      </c>
      <c r="I1081" s="210" t="s">
        <v>221</v>
      </c>
      <c r="J1081" s="210">
        <v>2024</v>
      </c>
      <c r="K1081" s="210">
        <v>2024</v>
      </c>
      <c r="L1081" s="268" t="str">
        <f t="shared" si="218"/>
        <v>Simple</v>
      </c>
      <c r="M1081" s="197">
        <v>20299.171273931912</v>
      </c>
      <c r="N1081" s="197">
        <v>30448.756910897868</v>
      </c>
      <c r="O1081" s="257">
        <f>IF(ISNA(MATCH(H1081,'Operating leases'!$B$32:$B$43,0)),0,INDEX('Operating leases'!$M$32:$S$43,MATCH(H1081,'Operating leases'!$B$32:$B$43,0),MATCH(J1081,'Operating leases'!$M$11:$S$11,0)))</f>
        <v>0</v>
      </c>
      <c r="P1081" s="257">
        <f t="shared" si="219"/>
        <v>20299.171273931912</v>
      </c>
      <c r="Q1081" s="257">
        <f t="shared" si="220"/>
        <v>50747.928184829783</v>
      </c>
      <c r="R1081" s="258">
        <f>INDEX('Escalators '!$M$124:$S$129,MATCH(I1081,'Escalators '!$B$124:$B$129,0),MATCH(J1081,'Escalators '!$M$113:$S$113,0))</f>
        <v>1.06512715891222</v>
      </c>
      <c r="S1081" s="257">
        <f t="shared" si="221"/>
        <v>0</v>
      </c>
      <c r="T1081" s="257">
        <f t="shared" si="222"/>
        <v>32431.797940913471</v>
      </c>
      <c r="U1081" s="269">
        <f t="shared" si="223"/>
        <v>21621.198627275648</v>
      </c>
      <c r="V1081" s="269">
        <f t="shared" si="224"/>
        <v>54052.996568189119</v>
      </c>
      <c r="W1081" s="269">
        <f t="shared" si="225"/>
        <v>21621.198627275648</v>
      </c>
      <c r="X1081" s="257">
        <f t="shared" si="226"/>
        <v>54052.996568189119</v>
      </c>
      <c r="Y1081" s="270">
        <f>IF(L1081="Complex",(INDEX('Escalators '!$M$176:$S$176,MATCH('Forecast capex'!J1081,'Escalators '!$M$178:$S$178,0))/12+1)^((K1081-J1081)*12)-1,0)</f>
        <v>0</v>
      </c>
      <c r="Z1081" s="257">
        <f t="shared" si="227"/>
        <v>0</v>
      </c>
      <c r="AA1081" s="257">
        <f t="shared" si="228"/>
        <v>0</v>
      </c>
      <c r="AB1081" s="269">
        <f t="shared" si="229"/>
        <v>0</v>
      </c>
      <c r="AC1081" s="269">
        <f t="shared" si="230"/>
        <v>0</v>
      </c>
      <c r="AD1081" s="271" t="str">
        <f>INDEX('Global inputs'!$C$134:$C$171,MATCH(F1081,'Global inputs'!$B$134:$B$171,0))</f>
        <v>Asset relocations and undergrounding</v>
      </c>
      <c r="AE1081" s="272">
        <f>IF(OR(H1081='Operating leases'!$B$32,H1081='Operating leases'!$B$33),"",INDEX('Global inputs'!$C$186:$C$243,MATCH(E1081,'Global inputs'!$B$186:$B$243,0)))</f>
        <v>0.08</v>
      </c>
    </row>
    <row r="1082" spans="1:31" s="27" customFormat="1" x14ac:dyDescent="0.2">
      <c r="A1082" s="250"/>
      <c r="B1082" s="210" t="s">
        <v>714</v>
      </c>
      <c r="C1082" s="210" t="s">
        <v>288</v>
      </c>
      <c r="D1082" s="210" t="s">
        <v>718</v>
      </c>
      <c r="E1082" s="210" t="s">
        <v>160</v>
      </c>
      <c r="F1082" s="210" t="s">
        <v>92</v>
      </c>
      <c r="G1082" s="210" t="s">
        <v>722</v>
      </c>
      <c r="H1082" s="197">
        <v>0</v>
      </c>
      <c r="I1082" s="210" t="s">
        <v>229</v>
      </c>
      <c r="J1082" s="210">
        <v>2024</v>
      </c>
      <c r="K1082" s="210">
        <v>2024</v>
      </c>
      <c r="L1082" s="268" t="str">
        <f t="shared" si="218"/>
        <v>Simple</v>
      </c>
      <c r="M1082" s="197">
        <v>12405.049111847278</v>
      </c>
      <c r="N1082" s="197">
        <v>18607.573667770914</v>
      </c>
      <c r="O1082" s="257">
        <f>IF(ISNA(MATCH(H1082,'Operating leases'!$B$32:$B$43,0)),0,INDEX('Operating leases'!$M$32:$S$43,MATCH(H1082,'Operating leases'!$B$32:$B$43,0),MATCH(J1082,'Operating leases'!$M$11:$S$11,0)))</f>
        <v>0</v>
      </c>
      <c r="P1082" s="257">
        <f t="shared" si="219"/>
        <v>12405.049111847278</v>
      </c>
      <c r="Q1082" s="257">
        <f t="shared" si="220"/>
        <v>31012.622779618192</v>
      </c>
      <c r="R1082" s="258">
        <f>INDEX('Escalators '!$M$124:$S$129,MATCH(I1082,'Escalators '!$B$124:$B$129,0),MATCH(J1082,'Escalators '!$M$113:$S$113,0))</f>
        <v>1.0731681760713303</v>
      </c>
      <c r="S1082" s="257">
        <f t="shared" si="221"/>
        <v>0</v>
      </c>
      <c r="T1082" s="257">
        <f t="shared" si="222"/>
        <v>19969.055894154626</v>
      </c>
      <c r="U1082" s="269">
        <f t="shared" si="223"/>
        <v>13312.703929436422</v>
      </c>
      <c r="V1082" s="269">
        <f t="shared" si="224"/>
        <v>33281.759823591048</v>
      </c>
      <c r="W1082" s="269">
        <f t="shared" si="225"/>
        <v>13312.703929436422</v>
      </c>
      <c r="X1082" s="257">
        <f t="shared" si="226"/>
        <v>33281.759823591048</v>
      </c>
      <c r="Y1082" s="270">
        <f>IF(L1082="Complex",(INDEX('Escalators '!$M$176:$S$176,MATCH('Forecast capex'!J1082,'Escalators '!$M$178:$S$178,0))/12+1)^((K1082-J1082)*12)-1,0)</f>
        <v>0</v>
      </c>
      <c r="Z1082" s="257">
        <f t="shared" si="227"/>
        <v>0</v>
      </c>
      <c r="AA1082" s="257">
        <f t="shared" si="228"/>
        <v>0</v>
      </c>
      <c r="AB1082" s="269">
        <f t="shared" si="229"/>
        <v>0</v>
      </c>
      <c r="AC1082" s="269">
        <f t="shared" si="230"/>
        <v>0</v>
      </c>
      <c r="AD1082" s="271" t="str">
        <f>INDEX('Global inputs'!$C$134:$C$171,MATCH(F1082,'Global inputs'!$B$134:$B$171,0))</f>
        <v>Asset relocations and undergrounding</v>
      </c>
      <c r="AE1082" s="272">
        <f>IF(OR(H1082='Operating leases'!$B$32,H1082='Operating leases'!$B$33),"",INDEX('Global inputs'!$C$186:$C$243,MATCH(E1082,'Global inputs'!$B$186:$B$243,0)))</f>
        <v>0.08</v>
      </c>
    </row>
    <row r="1083" spans="1:31" s="27" customFormat="1" x14ac:dyDescent="0.2">
      <c r="A1083" s="250"/>
      <c r="B1083" s="210" t="s">
        <v>714</v>
      </c>
      <c r="C1083" s="210" t="s">
        <v>288</v>
      </c>
      <c r="D1083" s="210" t="s">
        <v>718</v>
      </c>
      <c r="E1083" s="210" t="s">
        <v>160</v>
      </c>
      <c r="F1083" s="210" t="s">
        <v>92</v>
      </c>
      <c r="G1083" s="210" t="s">
        <v>722</v>
      </c>
      <c r="H1083" s="197">
        <v>0</v>
      </c>
      <c r="I1083" s="210" t="s">
        <v>221</v>
      </c>
      <c r="J1083" s="210">
        <v>2024</v>
      </c>
      <c r="K1083" s="210">
        <v>2024</v>
      </c>
      <c r="L1083" s="268" t="str">
        <f t="shared" si="218"/>
        <v>Simple</v>
      </c>
      <c r="M1083" s="197">
        <v>12405.049111847278</v>
      </c>
      <c r="N1083" s="197">
        <v>18607.573667770914</v>
      </c>
      <c r="O1083" s="257">
        <f>IF(ISNA(MATCH(H1083,'Operating leases'!$B$32:$B$43,0)),0,INDEX('Operating leases'!$M$32:$S$43,MATCH(H1083,'Operating leases'!$B$32:$B$43,0),MATCH(J1083,'Operating leases'!$M$11:$S$11,0)))</f>
        <v>0</v>
      </c>
      <c r="P1083" s="257">
        <f t="shared" si="219"/>
        <v>12405.049111847278</v>
      </c>
      <c r="Q1083" s="257">
        <f t="shared" si="220"/>
        <v>31012.622779618192</v>
      </c>
      <c r="R1083" s="258">
        <f>INDEX('Escalators '!$M$124:$S$129,MATCH(I1083,'Escalators '!$B$124:$B$129,0),MATCH(J1083,'Escalators '!$M$113:$S$113,0))</f>
        <v>1.06512715891222</v>
      </c>
      <c r="S1083" s="257">
        <f t="shared" si="221"/>
        <v>0</v>
      </c>
      <c r="T1083" s="257">
        <f t="shared" si="222"/>
        <v>19819.432075002671</v>
      </c>
      <c r="U1083" s="269">
        <f t="shared" si="223"/>
        <v>13212.954716668446</v>
      </c>
      <c r="V1083" s="269">
        <f t="shared" si="224"/>
        <v>33032.386791671117</v>
      </c>
      <c r="W1083" s="269">
        <f t="shared" si="225"/>
        <v>13212.954716668446</v>
      </c>
      <c r="X1083" s="257">
        <f t="shared" si="226"/>
        <v>33032.386791671117</v>
      </c>
      <c r="Y1083" s="270">
        <f>IF(L1083="Complex",(INDEX('Escalators '!$M$176:$S$176,MATCH('Forecast capex'!J1083,'Escalators '!$M$178:$S$178,0))/12+1)^((K1083-J1083)*12)-1,0)</f>
        <v>0</v>
      </c>
      <c r="Z1083" s="257">
        <f t="shared" si="227"/>
        <v>0</v>
      </c>
      <c r="AA1083" s="257">
        <f t="shared" si="228"/>
        <v>0</v>
      </c>
      <c r="AB1083" s="269">
        <f t="shared" si="229"/>
        <v>0</v>
      </c>
      <c r="AC1083" s="269">
        <f t="shared" si="230"/>
        <v>0</v>
      </c>
      <c r="AD1083" s="271" t="str">
        <f>INDEX('Global inputs'!$C$134:$C$171,MATCH(F1083,'Global inputs'!$B$134:$B$171,0))</f>
        <v>Asset relocations and undergrounding</v>
      </c>
      <c r="AE1083" s="272">
        <f>IF(OR(H1083='Operating leases'!$B$32,H1083='Operating leases'!$B$33),"",INDEX('Global inputs'!$C$186:$C$243,MATCH(E1083,'Global inputs'!$B$186:$B$243,0)))</f>
        <v>0.08</v>
      </c>
    </row>
    <row r="1084" spans="1:31" s="27" customFormat="1" x14ac:dyDescent="0.2">
      <c r="A1084" s="250"/>
      <c r="B1084" s="210" t="s">
        <v>714</v>
      </c>
      <c r="C1084" s="210" t="s">
        <v>289</v>
      </c>
      <c r="D1084" s="210" t="s">
        <v>723</v>
      </c>
      <c r="E1084" s="210" t="s">
        <v>164</v>
      </c>
      <c r="F1084" s="210" t="s">
        <v>92</v>
      </c>
      <c r="G1084" s="210" t="s">
        <v>724</v>
      </c>
      <c r="H1084" s="197">
        <v>0</v>
      </c>
      <c r="I1084" s="210" t="s">
        <v>139</v>
      </c>
      <c r="J1084" s="210">
        <v>2024</v>
      </c>
      <c r="K1084" s="210">
        <v>2024</v>
      </c>
      <c r="L1084" s="268" t="str">
        <f t="shared" si="218"/>
        <v>Simple</v>
      </c>
      <c r="M1084" s="197">
        <v>14434.966239240472</v>
      </c>
      <c r="N1084" s="197">
        <v>21652.449358860704</v>
      </c>
      <c r="O1084" s="257">
        <f>IF(ISNA(MATCH(H1084,'Operating leases'!$B$32:$B$43,0)),0,INDEX('Operating leases'!$M$32:$S$43,MATCH(H1084,'Operating leases'!$B$32:$B$43,0),MATCH(J1084,'Operating leases'!$M$11:$S$11,0)))</f>
        <v>0</v>
      </c>
      <c r="P1084" s="257">
        <f t="shared" si="219"/>
        <v>14434.966239240472</v>
      </c>
      <c r="Q1084" s="257">
        <f t="shared" si="220"/>
        <v>36087.415598101172</v>
      </c>
      <c r="R1084" s="258">
        <f>INDEX('Escalators '!$M$124:$S$129,MATCH(I1084,'Escalators '!$B$124:$B$129,0),MATCH(J1084,'Escalators '!$M$113:$S$113,0))</f>
        <v>1.0400802295441569</v>
      </c>
      <c r="S1084" s="257">
        <f t="shared" si="221"/>
        <v>0</v>
      </c>
      <c r="T1084" s="257">
        <f t="shared" si="222"/>
        <v>22520.284499357072</v>
      </c>
      <c r="U1084" s="269">
        <f t="shared" si="223"/>
        <v>15013.522999571385</v>
      </c>
      <c r="V1084" s="269">
        <f t="shared" si="224"/>
        <v>37533.807498928458</v>
      </c>
      <c r="W1084" s="269">
        <f t="shared" si="225"/>
        <v>15013.522999571385</v>
      </c>
      <c r="X1084" s="257">
        <f t="shared" si="226"/>
        <v>37533.807498928458</v>
      </c>
      <c r="Y1084" s="270">
        <f>IF(L1084="Complex",(INDEX('Escalators '!$M$176:$S$176,MATCH('Forecast capex'!J1084,'Escalators '!$M$178:$S$178,0))/12+1)^((K1084-J1084)*12)-1,0)</f>
        <v>0</v>
      </c>
      <c r="Z1084" s="257">
        <f t="shared" si="227"/>
        <v>0</v>
      </c>
      <c r="AA1084" s="257">
        <f t="shared" si="228"/>
        <v>0</v>
      </c>
      <c r="AB1084" s="269">
        <f t="shared" si="229"/>
        <v>0</v>
      </c>
      <c r="AC1084" s="269">
        <f t="shared" si="230"/>
        <v>0</v>
      </c>
      <c r="AD1084" s="271" t="str">
        <f>INDEX('Global inputs'!$C$134:$C$171,MATCH(F1084,'Global inputs'!$B$134:$B$171,0))</f>
        <v>Asset relocations and undergrounding</v>
      </c>
      <c r="AE1084" s="272">
        <f>IF(OR(H1084='Operating leases'!$B$32,H1084='Operating leases'!$B$33),"",INDEX('Global inputs'!$C$186:$C$243,MATCH(E1084,'Global inputs'!$B$186:$B$243,0)))</f>
        <v>0.08</v>
      </c>
    </row>
    <row r="1085" spans="1:31" s="27" customFormat="1" x14ac:dyDescent="0.2">
      <c r="A1085" s="250"/>
      <c r="B1085" s="210" t="s">
        <v>714</v>
      </c>
      <c r="C1085" s="210" t="s">
        <v>289</v>
      </c>
      <c r="D1085" s="210" t="s">
        <v>723</v>
      </c>
      <c r="E1085" s="210" t="s">
        <v>164</v>
      </c>
      <c r="F1085" s="210" t="s">
        <v>92</v>
      </c>
      <c r="G1085" s="210" t="s">
        <v>724</v>
      </c>
      <c r="H1085" s="197">
        <v>0</v>
      </c>
      <c r="I1085" s="210" t="s">
        <v>221</v>
      </c>
      <c r="J1085" s="210">
        <v>2024</v>
      </c>
      <c r="K1085" s="210">
        <v>2024</v>
      </c>
      <c r="L1085" s="268" t="str">
        <f t="shared" si="218"/>
        <v>Simple</v>
      </c>
      <c r="M1085" s="197">
        <v>3608.7415598101179</v>
      </c>
      <c r="N1085" s="197">
        <v>5413.1123397151759</v>
      </c>
      <c r="O1085" s="257">
        <f>IF(ISNA(MATCH(H1085,'Operating leases'!$B$32:$B$43,0)),0,INDEX('Operating leases'!$M$32:$S$43,MATCH(H1085,'Operating leases'!$B$32:$B$43,0),MATCH(J1085,'Operating leases'!$M$11:$S$11,0)))</f>
        <v>0</v>
      </c>
      <c r="P1085" s="257">
        <f t="shared" si="219"/>
        <v>3608.7415598101179</v>
      </c>
      <c r="Q1085" s="257">
        <f t="shared" si="220"/>
        <v>9021.8538995252929</v>
      </c>
      <c r="R1085" s="258">
        <f>INDEX('Escalators '!$M$124:$S$129,MATCH(I1085,'Escalators '!$B$124:$B$129,0),MATCH(J1085,'Escalators '!$M$113:$S$113,0))</f>
        <v>1.06512715891222</v>
      </c>
      <c r="S1085" s="257">
        <f t="shared" si="221"/>
        <v>0</v>
      </c>
      <c r="T1085" s="257">
        <f t="shared" si="222"/>
        <v>5765.6529672735051</v>
      </c>
      <c r="U1085" s="269">
        <f t="shared" si="223"/>
        <v>3843.768644849004</v>
      </c>
      <c r="V1085" s="269">
        <f t="shared" si="224"/>
        <v>9609.421612122509</v>
      </c>
      <c r="W1085" s="269">
        <f t="shared" si="225"/>
        <v>3843.768644849004</v>
      </c>
      <c r="X1085" s="257">
        <f t="shared" si="226"/>
        <v>9609.421612122509</v>
      </c>
      <c r="Y1085" s="270">
        <f>IF(L1085="Complex",(INDEX('Escalators '!$M$176:$S$176,MATCH('Forecast capex'!J1085,'Escalators '!$M$178:$S$178,0))/12+1)^((K1085-J1085)*12)-1,0)</f>
        <v>0</v>
      </c>
      <c r="Z1085" s="257">
        <f t="shared" si="227"/>
        <v>0</v>
      </c>
      <c r="AA1085" s="257">
        <f t="shared" si="228"/>
        <v>0</v>
      </c>
      <c r="AB1085" s="269">
        <f t="shared" si="229"/>
        <v>0</v>
      </c>
      <c r="AC1085" s="269">
        <f t="shared" si="230"/>
        <v>0</v>
      </c>
      <c r="AD1085" s="271" t="str">
        <f>INDEX('Global inputs'!$C$134:$C$171,MATCH(F1085,'Global inputs'!$B$134:$B$171,0))</f>
        <v>Asset relocations and undergrounding</v>
      </c>
      <c r="AE1085" s="272">
        <f>IF(OR(H1085='Operating leases'!$B$32,H1085='Operating leases'!$B$33),"",INDEX('Global inputs'!$C$186:$C$243,MATCH(E1085,'Global inputs'!$B$186:$B$243,0)))</f>
        <v>0.08</v>
      </c>
    </row>
    <row r="1086" spans="1:31" s="27" customFormat="1" x14ac:dyDescent="0.2">
      <c r="A1086" s="250"/>
      <c r="B1086" s="210" t="s">
        <v>714</v>
      </c>
      <c r="C1086" s="210" t="s">
        <v>289</v>
      </c>
      <c r="D1086" s="210" t="s">
        <v>723</v>
      </c>
      <c r="E1086" s="210" t="s">
        <v>163</v>
      </c>
      <c r="F1086" s="210" t="s">
        <v>92</v>
      </c>
      <c r="G1086" s="210" t="s">
        <v>725</v>
      </c>
      <c r="H1086" s="197">
        <v>0</v>
      </c>
      <c r="I1086" s="210" t="s">
        <v>139</v>
      </c>
      <c r="J1086" s="210">
        <v>2024</v>
      </c>
      <c r="K1086" s="210">
        <v>2024</v>
      </c>
      <c r="L1086" s="268" t="str">
        <f t="shared" si="218"/>
        <v>Simple</v>
      </c>
      <c r="M1086" s="197">
        <v>16239.337019145529</v>
      </c>
      <c r="N1086" s="197">
        <v>24359.005528718291</v>
      </c>
      <c r="O1086" s="257">
        <f>IF(ISNA(MATCH(H1086,'Operating leases'!$B$32:$B$43,0)),0,INDEX('Operating leases'!$M$32:$S$43,MATCH(H1086,'Operating leases'!$B$32:$B$43,0),MATCH(J1086,'Operating leases'!$M$11:$S$11,0)))</f>
        <v>0</v>
      </c>
      <c r="P1086" s="257">
        <f t="shared" si="219"/>
        <v>16239.337019145529</v>
      </c>
      <c r="Q1086" s="257">
        <f t="shared" si="220"/>
        <v>40598.342547863824</v>
      </c>
      <c r="R1086" s="258">
        <f>INDEX('Escalators '!$M$124:$S$129,MATCH(I1086,'Escalators '!$B$124:$B$129,0),MATCH(J1086,'Escalators '!$M$113:$S$113,0))</f>
        <v>1.0400802295441569</v>
      </c>
      <c r="S1086" s="257">
        <f t="shared" si="221"/>
        <v>0</v>
      </c>
      <c r="T1086" s="257">
        <f t="shared" si="222"/>
        <v>25335.320061776707</v>
      </c>
      <c r="U1086" s="269">
        <f t="shared" si="223"/>
        <v>16890.213374517814</v>
      </c>
      <c r="V1086" s="269">
        <f t="shared" si="224"/>
        <v>42225.533436294521</v>
      </c>
      <c r="W1086" s="269">
        <f t="shared" si="225"/>
        <v>16890.213374517814</v>
      </c>
      <c r="X1086" s="257">
        <f t="shared" si="226"/>
        <v>42225.533436294521</v>
      </c>
      <c r="Y1086" s="270">
        <f>IF(L1086="Complex",(INDEX('Escalators '!$M$176:$S$176,MATCH('Forecast capex'!J1086,'Escalators '!$M$178:$S$178,0))/12+1)^((K1086-J1086)*12)-1,0)</f>
        <v>0</v>
      </c>
      <c r="Z1086" s="257">
        <f t="shared" si="227"/>
        <v>0</v>
      </c>
      <c r="AA1086" s="257">
        <f t="shared" si="228"/>
        <v>0</v>
      </c>
      <c r="AB1086" s="269">
        <f t="shared" si="229"/>
        <v>0</v>
      </c>
      <c r="AC1086" s="269">
        <f t="shared" si="230"/>
        <v>0</v>
      </c>
      <c r="AD1086" s="271" t="str">
        <f>INDEX('Global inputs'!$C$134:$C$171,MATCH(F1086,'Global inputs'!$B$134:$B$171,0))</f>
        <v>Asset relocations and undergrounding</v>
      </c>
      <c r="AE1086" s="272">
        <f>IF(OR(H1086='Operating leases'!$B$32,H1086='Operating leases'!$B$33),"",INDEX('Global inputs'!$C$186:$C$243,MATCH(E1086,'Global inputs'!$B$186:$B$243,0)))</f>
        <v>0.08</v>
      </c>
    </row>
    <row r="1087" spans="1:31" s="27" customFormat="1" x14ac:dyDescent="0.2">
      <c r="A1087" s="250"/>
      <c r="B1087" s="210" t="s">
        <v>714</v>
      </c>
      <c r="C1087" s="210" t="s">
        <v>289</v>
      </c>
      <c r="D1087" s="210" t="s">
        <v>723</v>
      </c>
      <c r="E1087" s="210" t="s">
        <v>163</v>
      </c>
      <c r="F1087" s="210" t="s">
        <v>92</v>
      </c>
      <c r="G1087" s="210" t="s">
        <v>725</v>
      </c>
      <c r="H1087" s="197">
        <v>0</v>
      </c>
      <c r="I1087" s="210" t="s">
        <v>221</v>
      </c>
      <c r="J1087" s="210">
        <v>2024</v>
      </c>
      <c r="K1087" s="210">
        <v>2024</v>
      </c>
      <c r="L1087" s="268" t="str">
        <f t="shared" si="218"/>
        <v>Simple</v>
      </c>
      <c r="M1087" s="197">
        <v>4059.8342547863822</v>
      </c>
      <c r="N1087" s="197">
        <v>6089.7513821795728</v>
      </c>
      <c r="O1087" s="257">
        <f>IF(ISNA(MATCH(H1087,'Operating leases'!$B$32:$B$43,0)),0,INDEX('Operating leases'!$M$32:$S$43,MATCH(H1087,'Operating leases'!$B$32:$B$43,0),MATCH(J1087,'Operating leases'!$M$11:$S$11,0)))</f>
        <v>0</v>
      </c>
      <c r="P1087" s="257">
        <f t="shared" si="219"/>
        <v>4059.8342547863822</v>
      </c>
      <c r="Q1087" s="257">
        <f t="shared" si="220"/>
        <v>10149.585636965956</v>
      </c>
      <c r="R1087" s="258">
        <f>INDEX('Escalators '!$M$124:$S$129,MATCH(I1087,'Escalators '!$B$124:$B$129,0),MATCH(J1087,'Escalators '!$M$113:$S$113,0))</f>
        <v>1.06512715891222</v>
      </c>
      <c r="S1087" s="257">
        <f t="shared" si="221"/>
        <v>0</v>
      </c>
      <c r="T1087" s="257">
        <f t="shared" si="222"/>
        <v>6486.3595881826932</v>
      </c>
      <c r="U1087" s="269">
        <f t="shared" si="223"/>
        <v>4324.2397254551306</v>
      </c>
      <c r="V1087" s="269">
        <f t="shared" si="224"/>
        <v>10810.599313637824</v>
      </c>
      <c r="W1087" s="269">
        <f t="shared" si="225"/>
        <v>4324.2397254551306</v>
      </c>
      <c r="X1087" s="257">
        <f t="shared" si="226"/>
        <v>10810.599313637824</v>
      </c>
      <c r="Y1087" s="270">
        <f>IF(L1087="Complex",(INDEX('Escalators '!$M$176:$S$176,MATCH('Forecast capex'!J1087,'Escalators '!$M$178:$S$178,0))/12+1)^((K1087-J1087)*12)-1,0)</f>
        <v>0</v>
      </c>
      <c r="Z1087" s="257">
        <f t="shared" si="227"/>
        <v>0</v>
      </c>
      <c r="AA1087" s="257">
        <f t="shared" si="228"/>
        <v>0</v>
      </c>
      <c r="AB1087" s="269">
        <f t="shared" si="229"/>
        <v>0</v>
      </c>
      <c r="AC1087" s="269">
        <f t="shared" si="230"/>
        <v>0</v>
      </c>
      <c r="AD1087" s="271" t="str">
        <f>INDEX('Global inputs'!$C$134:$C$171,MATCH(F1087,'Global inputs'!$B$134:$B$171,0))</f>
        <v>Asset relocations and undergrounding</v>
      </c>
      <c r="AE1087" s="272">
        <f>IF(OR(H1087='Operating leases'!$B$32,H1087='Operating leases'!$B$33),"",INDEX('Global inputs'!$C$186:$C$243,MATCH(E1087,'Global inputs'!$B$186:$B$243,0)))</f>
        <v>0.08</v>
      </c>
    </row>
    <row r="1088" spans="1:31" s="27" customFormat="1" x14ac:dyDescent="0.2">
      <c r="A1088" s="250"/>
      <c r="B1088" s="210" t="s">
        <v>714</v>
      </c>
      <c r="C1088" s="210" t="s">
        <v>285</v>
      </c>
      <c r="D1088" s="210" t="s">
        <v>223</v>
      </c>
      <c r="E1088" s="210" t="s">
        <v>134</v>
      </c>
      <c r="F1088" s="210" t="s">
        <v>92</v>
      </c>
      <c r="G1088" s="210" t="s">
        <v>726</v>
      </c>
      <c r="H1088" s="197">
        <v>0</v>
      </c>
      <c r="I1088" s="210" t="s">
        <v>223</v>
      </c>
      <c r="J1088" s="210">
        <v>2024</v>
      </c>
      <c r="K1088" s="210">
        <v>2024</v>
      </c>
      <c r="L1088" s="268" t="str">
        <f t="shared" si="218"/>
        <v>Simple</v>
      </c>
      <c r="M1088" s="197">
        <v>5413.1123397151769</v>
      </c>
      <c r="N1088" s="197">
        <v>8119.6685095727644</v>
      </c>
      <c r="O1088" s="257">
        <f>IF(ISNA(MATCH(H1088,'Operating leases'!$B$32:$B$43,0)),0,INDEX('Operating leases'!$M$32:$S$43,MATCH(H1088,'Operating leases'!$B$32:$B$43,0),MATCH(J1088,'Operating leases'!$M$11:$S$11,0)))</f>
        <v>0</v>
      </c>
      <c r="P1088" s="257">
        <f t="shared" si="219"/>
        <v>5413.1123397151769</v>
      </c>
      <c r="Q1088" s="257">
        <f t="shared" si="220"/>
        <v>13532.780849287941</v>
      </c>
      <c r="R1088" s="258">
        <f>INDEX('Escalators '!$M$124:$S$129,MATCH(I1088,'Escalators '!$B$124:$B$129,0),MATCH(J1088,'Escalators '!$M$113:$S$113,0))</f>
        <v>1.0992204162588337</v>
      </c>
      <c r="S1088" s="257">
        <f t="shared" si="221"/>
        <v>0</v>
      </c>
      <c r="T1088" s="257">
        <f t="shared" si="222"/>
        <v>8925.3053989763175</v>
      </c>
      <c r="U1088" s="269">
        <f t="shared" si="223"/>
        <v>5950.2035993175468</v>
      </c>
      <c r="V1088" s="269">
        <f t="shared" si="224"/>
        <v>14875.508998293864</v>
      </c>
      <c r="W1088" s="269">
        <f t="shared" si="225"/>
        <v>5950.2035993175468</v>
      </c>
      <c r="X1088" s="257">
        <f t="shared" si="226"/>
        <v>14875.508998293864</v>
      </c>
      <c r="Y1088" s="270">
        <f>IF(L1088="Complex",(INDEX('Escalators '!$M$176:$S$176,MATCH('Forecast capex'!J1088,'Escalators '!$M$178:$S$178,0))/12+1)^((K1088-J1088)*12)-1,0)</f>
        <v>0</v>
      </c>
      <c r="Z1088" s="257">
        <f t="shared" si="227"/>
        <v>0</v>
      </c>
      <c r="AA1088" s="257">
        <f t="shared" si="228"/>
        <v>0</v>
      </c>
      <c r="AB1088" s="269">
        <f t="shared" si="229"/>
        <v>0</v>
      </c>
      <c r="AC1088" s="269">
        <f t="shared" si="230"/>
        <v>0</v>
      </c>
      <c r="AD1088" s="271" t="str">
        <f>INDEX('Global inputs'!$C$134:$C$171,MATCH(F1088,'Global inputs'!$B$134:$B$171,0))</f>
        <v>Asset relocations and undergrounding</v>
      </c>
      <c r="AE1088" s="272">
        <f>IF(OR(H1088='Operating leases'!$B$32,H1088='Operating leases'!$B$33),"",INDEX('Global inputs'!$C$186:$C$243,MATCH(E1088,'Global inputs'!$B$186:$B$243,0)))</f>
        <v>0.08</v>
      </c>
    </row>
    <row r="1089" spans="1:31" s="27" customFormat="1" x14ac:dyDescent="0.2">
      <c r="A1089" s="250"/>
      <c r="B1089" s="210" t="s">
        <v>714</v>
      </c>
      <c r="C1089" s="210" t="s">
        <v>285</v>
      </c>
      <c r="D1089" s="210" t="s">
        <v>223</v>
      </c>
      <c r="E1089" s="210" t="s">
        <v>134</v>
      </c>
      <c r="F1089" s="210" t="s">
        <v>92</v>
      </c>
      <c r="G1089" s="210" t="s">
        <v>726</v>
      </c>
      <c r="H1089" s="197">
        <v>0</v>
      </c>
      <c r="I1089" s="210" t="s">
        <v>221</v>
      </c>
      <c r="J1089" s="210">
        <v>2024</v>
      </c>
      <c r="K1089" s="210">
        <v>2024</v>
      </c>
      <c r="L1089" s="268" t="str">
        <f t="shared" si="218"/>
        <v>Simple</v>
      </c>
      <c r="M1089" s="197">
        <v>12630.595459335413</v>
      </c>
      <c r="N1089" s="197">
        <v>18945.893189003116</v>
      </c>
      <c r="O1089" s="257">
        <f>IF(ISNA(MATCH(H1089,'Operating leases'!$B$32:$B$43,0)),0,INDEX('Operating leases'!$M$32:$S$43,MATCH(H1089,'Operating leases'!$B$32:$B$43,0),MATCH(J1089,'Operating leases'!$M$11:$S$11,0)))</f>
        <v>0</v>
      </c>
      <c r="P1089" s="257">
        <f t="shared" si="219"/>
        <v>12630.595459335413</v>
      </c>
      <c r="Q1089" s="257">
        <f t="shared" si="220"/>
        <v>31576.488648338527</v>
      </c>
      <c r="R1089" s="258">
        <f>INDEX('Escalators '!$M$124:$S$129,MATCH(I1089,'Escalators '!$B$124:$B$129,0),MATCH(J1089,'Escalators '!$M$113:$S$113,0))</f>
        <v>1.06512715891222</v>
      </c>
      <c r="S1089" s="257">
        <f t="shared" si="221"/>
        <v>0</v>
      </c>
      <c r="T1089" s="257">
        <f t="shared" si="222"/>
        <v>20179.785385457268</v>
      </c>
      <c r="U1089" s="269">
        <f t="shared" si="223"/>
        <v>13453.190256971517</v>
      </c>
      <c r="V1089" s="269">
        <f t="shared" si="224"/>
        <v>33632.975642428784</v>
      </c>
      <c r="W1089" s="269">
        <f t="shared" si="225"/>
        <v>13453.190256971517</v>
      </c>
      <c r="X1089" s="257">
        <f t="shared" si="226"/>
        <v>33632.975642428784</v>
      </c>
      <c r="Y1089" s="270">
        <f>IF(L1089="Complex",(INDEX('Escalators '!$M$176:$S$176,MATCH('Forecast capex'!J1089,'Escalators '!$M$178:$S$178,0))/12+1)^((K1089-J1089)*12)-1,0)</f>
        <v>0</v>
      </c>
      <c r="Z1089" s="257">
        <f t="shared" si="227"/>
        <v>0</v>
      </c>
      <c r="AA1089" s="257">
        <f t="shared" si="228"/>
        <v>0</v>
      </c>
      <c r="AB1089" s="269">
        <f t="shared" si="229"/>
        <v>0</v>
      </c>
      <c r="AC1089" s="269">
        <f t="shared" si="230"/>
        <v>0</v>
      </c>
      <c r="AD1089" s="271" t="str">
        <f>INDEX('Global inputs'!$C$134:$C$171,MATCH(F1089,'Global inputs'!$B$134:$B$171,0))</f>
        <v>Asset relocations and undergrounding</v>
      </c>
      <c r="AE1089" s="272">
        <f>IF(OR(H1089='Operating leases'!$B$32,H1089='Operating leases'!$B$33),"",INDEX('Global inputs'!$C$186:$C$243,MATCH(E1089,'Global inputs'!$B$186:$B$243,0)))</f>
        <v>0.08</v>
      </c>
    </row>
    <row r="1090" spans="1:31" s="27" customFormat="1" x14ac:dyDescent="0.2">
      <c r="A1090" s="250"/>
      <c r="B1090" s="210" t="s">
        <v>714</v>
      </c>
      <c r="C1090" s="210" t="s">
        <v>288</v>
      </c>
      <c r="D1090" s="210" t="s">
        <v>223</v>
      </c>
      <c r="E1090" s="210" t="s">
        <v>156</v>
      </c>
      <c r="F1090" s="210" t="s">
        <v>92</v>
      </c>
      <c r="G1090" s="210" t="s">
        <v>727</v>
      </c>
      <c r="H1090" s="197">
        <v>0</v>
      </c>
      <c r="I1090" s="210" t="s">
        <v>223</v>
      </c>
      <c r="J1090" s="210">
        <v>2024</v>
      </c>
      <c r="K1090" s="210">
        <v>2024</v>
      </c>
      <c r="L1090" s="268" t="str">
        <f t="shared" si="218"/>
        <v>Simple</v>
      </c>
      <c r="M1090" s="197">
        <v>58867.596694402542</v>
      </c>
      <c r="N1090" s="197">
        <v>88301.395041603799</v>
      </c>
      <c r="O1090" s="257">
        <f>IF(ISNA(MATCH(H1090,'Operating leases'!$B$32:$B$43,0)),0,INDEX('Operating leases'!$M$32:$S$43,MATCH(H1090,'Operating leases'!$B$32:$B$43,0),MATCH(J1090,'Operating leases'!$M$11:$S$11,0)))</f>
        <v>0</v>
      </c>
      <c r="P1090" s="257">
        <f t="shared" si="219"/>
        <v>58867.596694402542</v>
      </c>
      <c r="Q1090" s="257">
        <f t="shared" si="220"/>
        <v>147168.99173600634</v>
      </c>
      <c r="R1090" s="258">
        <f>INDEX('Escalators '!$M$124:$S$129,MATCH(I1090,'Escalators '!$B$124:$B$129,0),MATCH(J1090,'Escalators '!$M$113:$S$113,0))</f>
        <v>1.0992204162588337</v>
      </c>
      <c r="S1090" s="257">
        <f t="shared" si="221"/>
        <v>0</v>
      </c>
      <c r="T1090" s="257">
        <f t="shared" si="222"/>
        <v>97062.696213867443</v>
      </c>
      <c r="U1090" s="269">
        <f t="shared" si="223"/>
        <v>64708.464142578319</v>
      </c>
      <c r="V1090" s="269">
        <f t="shared" si="224"/>
        <v>161771.16035644576</v>
      </c>
      <c r="W1090" s="269">
        <f t="shared" si="225"/>
        <v>64708.464142578319</v>
      </c>
      <c r="X1090" s="257">
        <f t="shared" si="226"/>
        <v>161771.16035644576</v>
      </c>
      <c r="Y1090" s="270">
        <f>IF(L1090="Complex",(INDEX('Escalators '!$M$176:$S$176,MATCH('Forecast capex'!J1090,'Escalators '!$M$178:$S$178,0))/12+1)^((K1090-J1090)*12)-1,0)</f>
        <v>0</v>
      </c>
      <c r="Z1090" s="257">
        <f t="shared" si="227"/>
        <v>0</v>
      </c>
      <c r="AA1090" s="257">
        <f t="shared" si="228"/>
        <v>0</v>
      </c>
      <c r="AB1090" s="269">
        <f t="shared" si="229"/>
        <v>0</v>
      </c>
      <c r="AC1090" s="269">
        <f t="shared" si="230"/>
        <v>0</v>
      </c>
      <c r="AD1090" s="271" t="str">
        <f>INDEX('Global inputs'!$C$134:$C$171,MATCH(F1090,'Global inputs'!$B$134:$B$171,0))</f>
        <v>Asset relocations and undergrounding</v>
      </c>
      <c r="AE1090" s="272">
        <f>IF(OR(H1090='Operating leases'!$B$32,H1090='Operating leases'!$B$33),"",INDEX('Global inputs'!$C$186:$C$243,MATCH(E1090,'Global inputs'!$B$186:$B$243,0)))</f>
        <v>0.08</v>
      </c>
    </row>
    <row r="1091" spans="1:31" s="27" customFormat="1" x14ac:dyDescent="0.2">
      <c r="A1091" s="250"/>
      <c r="B1091" s="210" t="s">
        <v>714</v>
      </c>
      <c r="C1091" s="210" t="s">
        <v>288</v>
      </c>
      <c r="D1091" s="210" t="s">
        <v>223</v>
      </c>
      <c r="E1091" s="210" t="s">
        <v>156</v>
      </c>
      <c r="F1091" s="210" t="s">
        <v>92</v>
      </c>
      <c r="G1091" s="210" t="s">
        <v>727</v>
      </c>
      <c r="H1091" s="197">
        <v>0</v>
      </c>
      <c r="I1091" s="210" t="s">
        <v>221</v>
      </c>
      <c r="J1091" s="210">
        <v>2024</v>
      </c>
      <c r="K1091" s="210">
        <v>2024</v>
      </c>
      <c r="L1091" s="268" t="str">
        <f t="shared" si="218"/>
        <v>Simple</v>
      </c>
      <c r="M1091" s="197">
        <v>137357.7256202726</v>
      </c>
      <c r="N1091" s="197">
        <v>206036.58843040891</v>
      </c>
      <c r="O1091" s="257">
        <f>IF(ISNA(MATCH(H1091,'Operating leases'!$B$32:$B$43,0)),0,INDEX('Operating leases'!$M$32:$S$43,MATCH(H1091,'Operating leases'!$B$32:$B$43,0),MATCH(J1091,'Operating leases'!$M$11:$S$11,0)))</f>
        <v>0</v>
      </c>
      <c r="P1091" s="257">
        <f t="shared" si="219"/>
        <v>137357.7256202726</v>
      </c>
      <c r="Q1091" s="257">
        <f t="shared" si="220"/>
        <v>343394.31405068154</v>
      </c>
      <c r="R1091" s="258">
        <f>INDEX('Escalators '!$M$124:$S$129,MATCH(I1091,'Escalators '!$B$124:$B$129,0),MATCH(J1091,'Escalators '!$M$113:$S$113,0))</f>
        <v>1.06512715891222</v>
      </c>
      <c r="S1091" s="257">
        <f t="shared" si="221"/>
        <v>0</v>
      </c>
      <c r="T1091" s="257">
        <f t="shared" si="222"/>
        <v>219455.16606684783</v>
      </c>
      <c r="U1091" s="269">
        <f t="shared" si="223"/>
        <v>146303.44404456523</v>
      </c>
      <c r="V1091" s="269">
        <f t="shared" si="224"/>
        <v>365758.61011141306</v>
      </c>
      <c r="W1091" s="269">
        <f t="shared" si="225"/>
        <v>146303.44404456523</v>
      </c>
      <c r="X1091" s="257">
        <f t="shared" si="226"/>
        <v>365758.61011141306</v>
      </c>
      <c r="Y1091" s="270">
        <f>IF(L1091="Complex",(INDEX('Escalators '!$M$176:$S$176,MATCH('Forecast capex'!J1091,'Escalators '!$M$178:$S$178,0))/12+1)^((K1091-J1091)*12)-1,0)</f>
        <v>0</v>
      </c>
      <c r="Z1091" s="257">
        <f t="shared" si="227"/>
        <v>0</v>
      </c>
      <c r="AA1091" s="257">
        <f t="shared" si="228"/>
        <v>0</v>
      </c>
      <c r="AB1091" s="269">
        <f t="shared" si="229"/>
        <v>0</v>
      </c>
      <c r="AC1091" s="269">
        <f t="shared" si="230"/>
        <v>0</v>
      </c>
      <c r="AD1091" s="271" t="str">
        <f>INDEX('Global inputs'!$C$134:$C$171,MATCH(F1091,'Global inputs'!$B$134:$B$171,0))</f>
        <v>Asset relocations and undergrounding</v>
      </c>
      <c r="AE1091" s="272">
        <f>IF(OR(H1091='Operating leases'!$B$32,H1091='Operating leases'!$B$33),"",INDEX('Global inputs'!$C$186:$C$243,MATCH(E1091,'Global inputs'!$B$186:$B$243,0)))</f>
        <v>0.08</v>
      </c>
    </row>
    <row r="1092" spans="1:31" s="27" customFormat="1" x14ac:dyDescent="0.2">
      <c r="A1092" s="250"/>
      <c r="B1092" s="210" t="s">
        <v>714</v>
      </c>
      <c r="C1092" s="210" t="s">
        <v>288</v>
      </c>
      <c r="D1092" s="210" t="s">
        <v>223</v>
      </c>
      <c r="E1092" s="210" t="s">
        <v>158</v>
      </c>
      <c r="F1092" s="210" t="s">
        <v>92</v>
      </c>
      <c r="G1092" s="210" t="s">
        <v>728</v>
      </c>
      <c r="H1092" s="197">
        <v>0</v>
      </c>
      <c r="I1092" s="210" t="s">
        <v>223</v>
      </c>
      <c r="J1092" s="210">
        <v>2024</v>
      </c>
      <c r="K1092" s="210">
        <v>2024</v>
      </c>
      <c r="L1092" s="268" t="str">
        <f t="shared" si="218"/>
        <v>Simple</v>
      </c>
      <c r="M1092" s="197">
        <v>49620.19644738912</v>
      </c>
      <c r="N1092" s="197">
        <v>74430.29467108367</v>
      </c>
      <c r="O1092" s="257">
        <f>IF(ISNA(MATCH(H1092,'Operating leases'!$B$32:$B$43,0)),0,INDEX('Operating leases'!$M$32:$S$43,MATCH(H1092,'Operating leases'!$B$32:$B$43,0),MATCH(J1092,'Operating leases'!$M$11:$S$11,0)))</f>
        <v>0</v>
      </c>
      <c r="P1092" s="257">
        <f t="shared" si="219"/>
        <v>49620.19644738912</v>
      </c>
      <c r="Q1092" s="257">
        <f t="shared" si="220"/>
        <v>124050.4911184728</v>
      </c>
      <c r="R1092" s="258">
        <f>INDEX('Escalators '!$M$124:$S$129,MATCH(I1092,'Escalators '!$B$124:$B$129,0),MATCH(J1092,'Escalators '!$M$113:$S$113,0))</f>
        <v>1.0992204162588337</v>
      </c>
      <c r="S1092" s="257">
        <f t="shared" si="221"/>
        <v>0</v>
      </c>
      <c r="T1092" s="257">
        <f t="shared" si="222"/>
        <v>81815.299490616249</v>
      </c>
      <c r="U1092" s="269">
        <f t="shared" si="223"/>
        <v>54543.532993744186</v>
      </c>
      <c r="V1092" s="269">
        <f t="shared" si="224"/>
        <v>136358.83248436044</v>
      </c>
      <c r="W1092" s="269">
        <f t="shared" si="225"/>
        <v>54543.532993744186</v>
      </c>
      <c r="X1092" s="257">
        <f t="shared" si="226"/>
        <v>136358.83248436044</v>
      </c>
      <c r="Y1092" s="270">
        <f>IF(L1092="Complex",(INDEX('Escalators '!$M$176:$S$176,MATCH('Forecast capex'!J1092,'Escalators '!$M$178:$S$178,0))/12+1)^((K1092-J1092)*12)-1,0)</f>
        <v>0</v>
      </c>
      <c r="Z1092" s="257">
        <f t="shared" si="227"/>
        <v>0</v>
      </c>
      <c r="AA1092" s="257">
        <f t="shared" si="228"/>
        <v>0</v>
      </c>
      <c r="AB1092" s="269">
        <f t="shared" si="229"/>
        <v>0</v>
      </c>
      <c r="AC1092" s="269">
        <f t="shared" si="230"/>
        <v>0</v>
      </c>
      <c r="AD1092" s="271" t="str">
        <f>INDEX('Global inputs'!$C$134:$C$171,MATCH(F1092,'Global inputs'!$B$134:$B$171,0))</f>
        <v>Asset relocations and undergrounding</v>
      </c>
      <c r="AE1092" s="272">
        <f>IF(OR(H1092='Operating leases'!$B$32,H1092='Operating leases'!$B$33),"",INDEX('Global inputs'!$C$186:$C$243,MATCH(E1092,'Global inputs'!$B$186:$B$243,0)))</f>
        <v>0.08</v>
      </c>
    </row>
    <row r="1093" spans="1:31" s="27" customFormat="1" x14ac:dyDescent="0.2">
      <c r="A1093" s="250"/>
      <c r="B1093" s="210" t="s">
        <v>714</v>
      </c>
      <c r="C1093" s="210" t="s">
        <v>288</v>
      </c>
      <c r="D1093" s="210" t="s">
        <v>223</v>
      </c>
      <c r="E1093" s="210" t="s">
        <v>158</v>
      </c>
      <c r="F1093" s="210" t="s">
        <v>92</v>
      </c>
      <c r="G1093" s="210" t="s">
        <v>728</v>
      </c>
      <c r="H1093" s="197">
        <v>0</v>
      </c>
      <c r="I1093" s="210" t="s">
        <v>221</v>
      </c>
      <c r="J1093" s="210">
        <v>2024</v>
      </c>
      <c r="K1093" s="210">
        <v>2024</v>
      </c>
      <c r="L1093" s="268" t="str">
        <f t="shared" si="218"/>
        <v>Simple</v>
      </c>
      <c r="M1093" s="197">
        <v>74430.29467108367</v>
      </c>
      <c r="N1093" s="197">
        <v>111645.44200662551</v>
      </c>
      <c r="O1093" s="257">
        <f>IF(ISNA(MATCH(H1093,'Operating leases'!$B$32:$B$43,0)),0,INDEX('Operating leases'!$M$32:$S$43,MATCH(H1093,'Operating leases'!$B$32:$B$43,0),MATCH(J1093,'Operating leases'!$M$11:$S$11,0)))</f>
        <v>0</v>
      </c>
      <c r="P1093" s="257">
        <f t="shared" si="219"/>
        <v>74430.29467108367</v>
      </c>
      <c r="Q1093" s="257">
        <f t="shared" si="220"/>
        <v>186075.73667770918</v>
      </c>
      <c r="R1093" s="258">
        <f>INDEX('Escalators '!$M$124:$S$129,MATCH(I1093,'Escalators '!$B$124:$B$129,0),MATCH(J1093,'Escalators '!$M$113:$S$113,0))</f>
        <v>1.06512715891222</v>
      </c>
      <c r="S1093" s="257">
        <f t="shared" si="221"/>
        <v>0</v>
      </c>
      <c r="T1093" s="257">
        <f t="shared" si="222"/>
        <v>118916.59245001605</v>
      </c>
      <c r="U1093" s="269">
        <f t="shared" si="223"/>
        <v>79277.728300010713</v>
      </c>
      <c r="V1093" s="269">
        <f t="shared" si="224"/>
        <v>198194.32075002676</v>
      </c>
      <c r="W1093" s="269">
        <f t="shared" si="225"/>
        <v>79277.728300010713</v>
      </c>
      <c r="X1093" s="257">
        <f t="shared" si="226"/>
        <v>198194.32075002676</v>
      </c>
      <c r="Y1093" s="270">
        <f>IF(L1093="Complex",(INDEX('Escalators '!$M$176:$S$176,MATCH('Forecast capex'!J1093,'Escalators '!$M$178:$S$178,0))/12+1)^((K1093-J1093)*12)-1,0)</f>
        <v>0</v>
      </c>
      <c r="Z1093" s="257">
        <f t="shared" si="227"/>
        <v>0</v>
      </c>
      <c r="AA1093" s="257">
        <f t="shared" si="228"/>
        <v>0</v>
      </c>
      <c r="AB1093" s="269">
        <f t="shared" si="229"/>
        <v>0</v>
      </c>
      <c r="AC1093" s="269">
        <f t="shared" si="230"/>
        <v>0</v>
      </c>
      <c r="AD1093" s="271" t="str">
        <f>INDEX('Global inputs'!$C$134:$C$171,MATCH(F1093,'Global inputs'!$B$134:$B$171,0))</f>
        <v>Asset relocations and undergrounding</v>
      </c>
      <c r="AE1093" s="272">
        <f>IF(OR(H1093='Operating leases'!$B$32,H1093='Operating leases'!$B$33),"",INDEX('Global inputs'!$C$186:$C$243,MATCH(E1093,'Global inputs'!$B$186:$B$243,0)))</f>
        <v>0.08</v>
      </c>
    </row>
    <row r="1094" spans="1:31" s="27" customFormat="1" x14ac:dyDescent="0.2">
      <c r="A1094" s="250"/>
      <c r="B1094" s="210" t="s">
        <v>714</v>
      </c>
      <c r="C1094" s="210" t="s">
        <v>284</v>
      </c>
      <c r="D1094" s="210" t="s">
        <v>729</v>
      </c>
      <c r="E1094" s="210" t="s">
        <v>127</v>
      </c>
      <c r="F1094" s="210" t="s">
        <v>92</v>
      </c>
      <c r="G1094" s="210" t="s">
        <v>730</v>
      </c>
      <c r="H1094" s="197">
        <v>0</v>
      </c>
      <c r="I1094" s="210" t="s">
        <v>225</v>
      </c>
      <c r="J1094" s="210">
        <v>2024</v>
      </c>
      <c r="K1094" s="210">
        <v>2024</v>
      </c>
      <c r="L1094" s="268" t="str">
        <f t="shared" si="218"/>
        <v>Simple</v>
      </c>
      <c r="M1094" s="197">
        <v>1353.2780849287942</v>
      </c>
      <c r="N1094" s="197">
        <v>2029.9171273931911</v>
      </c>
      <c r="O1094" s="257">
        <f>IF(ISNA(MATCH(H1094,'Operating leases'!$B$32:$B$43,0)),0,INDEX('Operating leases'!$M$32:$S$43,MATCH(H1094,'Operating leases'!$B$32:$B$43,0),MATCH(J1094,'Operating leases'!$M$11:$S$11,0)))</f>
        <v>0</v>
      </c>
      <c r="P1094" s="257">
        <f t="shared" si="219"/>
        <v>1353.2780849287942</v>
      </c>
      <c r="Q1094" s="257">
        <f t="shared" si="220"/>
        <v>3383.1952123219853</v>
      </c>
      <c r="R1094" s="258">
        <f>INDEX('Escalators '!$M$124:$S$129,MATCH(I1094,'Escalators '!$B$124:$B$129,0),MATCH(J1094,'Escalators '!$M$113:$S$113,0))</f>
        <v>1.0991168876021189</v>
      </c>
      <c r="S1094" s="257">
        <f t="shared" si="221"/>
        <v>0</v>
      </c>
      <c r="T1094" s="257">
        <f t="shared" si="222"/>
        <v>2231.1161951506383</v>
      </c>
      <c r="U1094" s="269">
        <f t="shared" si="223"/>
        <v>1487.4107967670921</v>
      </c>
      <c r="V1094" s="269">
        <f t="shared" si="224"/>
        <v>3718.5269919177304</v>
      </c>
      <c r="W1094" s="269">
        <f t="shared" si="225"/>
        <v>1487.4107967670921</v>
      </c>
      <c r="X1094" s="257">
        <f t="shared" si="226"/>
        <v>3718.5269919177304</v>
      </c>
      <c r="Y1094" s="270">
        <f>IF(L1094="Complex",(INDEX('Escalators '!$M$176:$S$176,MATCH('Forecast capex'!J1094,'Escalators '!$M$178:$S$178,0))/12+1)^((K1094-J1094)*12)-1,0)</f>
        <v>0</v>
      </c>
      <c r="Z1094" s="257">
        <f t="shared" si="227"/>
        <v>0</v>
      </c>
      <c r="AA1094" s="257">
        <f t="shared" si="228"/>
        <v>0</v>
      </c>
      <c r="AB1094" s="269">
        <f t="shared" si="229"/>
        <v>0</v>
      </c>
      <c r="AC1094" s="269">
        <f t="shared" si="230"/>
        <v>0</v>
      </c>
      <c r="AD1094" s="271" t="str">
        <f>INDEX('Global inputs'!$C$134:$C$171,MATCH(F1094,'Global inputs'!$B$134:$B$171,0))</f>
        <v>Asset relocations and undergrounding</v>
      </c>
      <c r="AE1094" s="272">
        <f>IF(OR(H1094='Operating leases'!$B$32,H1094='Operating leases'!$B$33),"",INDEX('Global inputs'!$C$186:$C$243,MATCH(E1094,'Global inputs'!$B$186:$B$243,0)))</f>
        <v>0.08</v>
      </c>
    </row>
    <row r="1095" spans="1:31" s="27" customFormat="1" x14ac:dyDescent="0.2">
      <c r="A1095" s="250"/>
      <c r="B1095" s="210" t="s">
        <v>714</v>
      </c>
      <c r="C1095" s="210" t="s">
        <v>284</v>
      </c>
      <c r="D1095" s="210" t="s">
        <v>729</v>
      </c>
      <c r="E1095" s="210" t="s">
        <v>127</v>
      </c>
      <c r="F1095" s="210" t="s">
        <v>92</v>
      </c>
      <c r="G1095" s="210" t="s">
        <v>730</v>
      </c>
      <c r="H1095" s="197">
        <v>0</v>
      </c>
      <c r="I1095" s="210" t="s">
        <v>221</v>
      </c>
      <c r="J1095" s="210">
        <v>2024</v>
      </c>
      <c r="K1095" s="210">
        <v>2024</v>
      </c>
      <c r="L1095" s="268" t="str">
        <f t="shared" si="218"/>
        <v>Simple</v>
      </c>
      <c r="M1095" s="197">
        <v>5413.1123397151769</v>
      </c>
      <c r="N1095" s="197">
        <v>8119.6685095727644</v>
      </c>
      <c r="O1095" s="257">
        <f>IF(ISNA(MATCH(H1095,'Operating leases'!$B$32:$B$43,0)),0,INDEX('Operating leases'!$M$32:$S$43,MATCH(H1095,'Operating leases'!$B$32:$B$43,0),MATCH(J1095,'Operating leases'!$M$11:$S$11,0)))</f>
        <v>0</v>
      </c>
      <c r="P1095" s="257">
        <f t="shared" si="219"/>
        <v>5413.1123397151769</v>
      </c>
      <c r="Q1095" s="257">
        <f t="shared" si="220"/>
        <v>13532.780849287941</v>
      </c>
      <c r="R1095" s="258">
        <f>INDEX('Escalators '!$M$124:$S$129,MATCH(I1095,'Escalators '!$B$124:$B$129,0),MATCH(J1095,'Escalators '!$M$113:$S$113,0))</f>
        <v>1.06512715891222</v>
      </c>
      <c r="S1095" s="257">
        <f t="shared" si="221"/>
        <v>0</v>
      </c>
      <c r="T1095" s="257">
        <f t="shared" si="222"/>
        <v>8648.4794509102576</v>
      </c>
      <c r="U1095" s="269">
        <f t="shared" si="223"/>
        <v>5765.6529672735069</v>
      </c>
      <c r="V1095" s="269">
        <f t="shared" si="224"/>
        <v>14414.132418183764</v>
      </c>
      <c r="W1095" s="269">
        <f t="shared" si="225"/>
        <v>5765.6529672735069</v>
      </c>
      <c r="X1095" s="257">
        <f t="shared" si="226"/>
        <v>14414.132418183764</v>
      </c>
      <c r="Y1095" s="270">
        <f>IF(L1095="Complex",(INDEX('Escalators '!$M$176:$S$176,MATCH('Forecast capex'!J1095,'Escalators '!$M$178:$S$178,0))/12+1)^((K1095-J1095)*12)-1,0)</f>
        <v>0</v>
      </c>
      <c r="Z1095" s="257">
        <f t="shared" si="227"/>
        <v>0</v>
      </c>
      <c r="AA1095" s="257">
        <f t="shared" si="228"/>
        <v>0</v>
      </c>
      <c r="AB1095" s="269">
        <f t="shared" si="229"/>
        <v>0</v>
      </c>
      <c r="AC1095" s="269">
        <f t="shared" si="230"/>
        <v>0</v>
      </c>
      <c r="AD1095" s="271" t="str">
        <f>INDEX('Global inputs'!$C$134:$C$171,MATCH(F1095,'Global inputs'!$B$134:$B$171,0))</f>
        <v>Asset relocations and undergrounding</v>
      </c>
      <c r="AE1095" s="272">
        <f>IF(OR(H1095='Operating leases'!$B$32,H1095='Operating leases'!$B$33),"",INDEX('Global inputs'!$C$186:$C$243,MATCH(E1095,'Global inputs'!$B$186:$B$243,0)))</f>
        <v>0.08</v>
      </c>
    </row>
    <row r="1096" spans="1:31" s="27" customFormat="1" x14ac:dyDescent="0.2">
      <c r="A1096" s="250"/>
      <c r="B1096" s="210" t="s">
        <v>714</v>
      </c>
      <c r="C1096" s="210" t="s">
        <v>284</v>
      </c>
      <c r="D1096" s="210" t="s">
        <v>729</v>
      </c>
      <c r="E1096" s="210" t="s">
        <v>129</v>
      </c>
      <c r="F1096" s="210" t="s">
        <v>92</v>
      </c>
      <c r="G1096" s="210" t="s">
        <v>730</v>
      </c>
      <c r="H1096" s="197">
        <v>0</v>
      </c>
      <c r="I1096" s="210" t="s">
        <v>225</v>
      </c>
      <c r="J1096" s="210">
        <v>2024</v>
      </c>
      <c r="K1096" s="210">
        <v>2024</v>
      </c>
      <c r="L1096" s="268" t="str">
        <f t="shared" si="218"/>
        <v>Simple</v>
      </c>
      <c r="M1096" s="197">
        <v>1353.2780849287942</v>
      </c>
      <c r="N1096" s="197">
        <v>2029.9171273931911</v>
      </c>
      <c r="O1096" s="257">
        <f>IF(ISNA(MATCH(H1096,'Operating leases'!$B$32:$B$43,0)),0,INDEX('Operating leases'!$M$32:$S$43,MATCH(H1096,'Operating leases'!$B$32:$B$43,0),MATCH(J1096,'Operating leases'!$M$11:$S$11,0)))</f>
        <v>0</v>
      </c>
      <c r="P1096" s="257">
        <f t="shared" si="219"/>
        <v>1353.2780849287942</v>
      </c>
      <c r="Q1096" s="257">
        <f t="shared" si="220"/>
        <v>3383.1952123219853</v>
      </c>
      <c r="R1096" s="258">
        <f>INDEX('Escalators '!$M$124:$S$129,MATCH(I1096,'Escalators '!$B$124:$B$129,0),MATCH(J1096,'Escalators '!$M$113:$S$113,0))</f>
        <v>1.0991168876021189</v>
      </c>
      <c r="S1096" s="257">
        <f t="shared" si="221"/>
        <v>0</v>
      </c>
      <c r="T1096" s="257">
        <f t="shared" si="222"/>
        <v>2231.1161951506383</v>
      </c>
      <c r="U1096" s="269">
        <f t="shared" si="223"/>
        <v>1487.4107967670921</v>
      </c>
      <c r="V1096" s="269">
        <f t="shared" si="224"/>
        <v>3718.5269919177304</v>
      </c>
      <c r="W1096" s="269">
        <f t="shared" si="225"/>
        <v>1487.4107967670921</v>
      </c>
      <c r="X1096" s="257">
        <f t="shared" si="226"/>
        <v>3718.5269919177304</v>
      </c>
      <c r="Y1096" s="270">
        <f>IF(L1096="Complex",(INDEX('Escalators '!$M$176:$S$176,MATCH('Forecast capex'!J1096,'Escalators '!$M$178:$S$178,0))/12+1)^((K1096-J1096)*12)-1,0)</f>
        <v>0</v>
      </c>
      <c r="Z1096" s="257">
        <f t="shared" si="227"/>
        <v>0</v>
      </c>
      <c r="AA1096" s="257">
        <f t="shared" si="228"/>
        <v>0</v>
      </c>
      <c r="AB1096" s="269">
        <f t="shared" si="229"/>
        <v>0</v>
      </c>
      <c r="AC1096" s="269">
        <f t="shared" si="230"/>
        <v>0</v>
      </c>
      <c r="AD1096" s="271" t="str">
        <f>INDEX('Global inputs'!$C$134:$C$171,MATCH(F1096,'Global inputs'!$B$134:$B$171,0))</f>
        <v>Asset relocations and undergrounding</v>
      </c>
      <c r="AE1096" s="272">
        <f>IF(OR(H1096='Operating leases'!$B$32,H1096='Operating leases'!$B$33),"",INDEX('Global inputs'!$C$186:$C$243,MATCH(E1096,'Global inputs'!$B$186:$B$243,0)))</f>
        <v>0.1</v>
      </c>
    </row>
    <row r="1097" spans="1:31" s="27" customFormat="1" x14ac:dyDescent="0.2">
      <c r="A1097" s="250"/>
      <c r="B1097" s="210" t="s">
        <v>714</v>
      </c>
      <c r="C1097" s="210" t="s">
        <v>284</v>
      </c>
      <c r="D1097" s="210" t="s">
        <v>729</v>
      </c>
      <c r="E1097" s="210" t="s">
        <v>129</v>
      </c>
      <c r="F1097" s="210" t="s">
        <v>92</v>
      </c>
      <c r="G1097" s="210" t="s">
        <v>730</v>
      </c>
      <c r="H1097" s="197">
        <v>0</v>
      </c>
      <c r="I1097" s="210" t="s">
        <v>221</v>
      </c>
      <c r="J1097" s="210">
        <v>2024</v>
      </c>
      <c r="K1097" s="210">
        <v>2024</v>
      </c>
      <c r="L1097" s="268" t="str">
        <f t="shared" si="218"/>
        <v>Simple</v>
      </c>
      <c r="M1097" s="197">
        <v>5413.1123397151769</v>
      </c>
      <c r="N1097" s="197">
        <v>8119.6685095727644</v>
      </c>
      <c r="O1097" s="257">
        <f>IF(ISNA(MATCH(H1097,'Operating leases'!$B$32:$B$43,0)),0,INDEX('Operating leases'!$M$32:$S$43,MATCH(H1097,'Operating leases'!$B$32:$B$43,0),MATCH(J1097,'Operating leases'!$M$11:$S$11,0)))</f>
        <v>0</v>
      </c>
      <c r="P1097" s="257">
        <f t="shared" si="219"/>
        <v>5413.1123397151769</v>
      </c>
      <c r="Q1097" s="257">
        <f t="shared" si="220"/>
        <v>13532.780849287941</v>
      </c>
      <c r="R1097" s="258">
        <f>INDEX('Escalators '!$M$124:$S$129,MATCH(I1097,'Escalators '!$B$124:$B$129,0),MATCH(J1097,'Escalators '!$M$113:$S$113,0))</f>
        <v>1.06512715891222</v>
      </c>
      <c r="S1097" s="257">
        <f t="shared" si="221"/>
        <v>0</v>
      </c>
      <c r="T1097" s="257">
        <f t="shared" si="222"/>
        <v>8648.4794509102576</v>
      </c>
      <c r="U1097" s="269">
        <f t="shared" si="223"/>
        <v>5765.6529672735069</v>
      </c>
      <c r="V1097" s="269">
        <f t="shared" si="224"/>
        <v>14414.132418183764</v>
      </c>
      <c r="W1097" s="269">
        <f t="shared" si="225"/>
        <v>5765.6529672735069</v>
      </c>
      <c r="X1097" s="257">
        <f t="shared" si="226"/>
        <v>14414.132418183764</v>
      </c>
      <c r="Y1097" s="270">
        <f>IF(L1097="Complex",(INDEX('Escalators '!$M$176:$S$176,MATCH('Forecast capex'!J1097,'Escalators '!$M$178:$S$178,0))/12+1)^((K1097-J1097)*12)-1,0)</f>
        <v>0</v>
      </c>
      <c r="Z1097" s="257">
        <f t="shared" si="227"/>
        <v>0</v>
      </c>
      <c r="AA1097" s="257">
        <f t="shared" si="228"/>
        <v>0</v>
      </c>
      <c r="AB1097" s="269">
        <f t="shared" si="229"/>
        <v>0</v>
      </c>
      <c r="AC1097" s="269">
        <f t="shared" si="230"/>
        <v>0</v>
      </c>
      <c r="AD1097" s="271" t="str">
        <f>INDEX('Global inputs'!$C$134:$C$171,MATCH(F1097,'Global inputs'!$B$134:$B$171,0))</f>
        <v>Asset relocations and undergrounding</v>
      </c>
      <c r="AE1097" s="272">
        <f>IF(OR(H1097='Operating leases'!$B$32,H1097='Operating leases'!$B$33),"",INDEX('Global inputs'!$C$186:$C$243,MATCH(E1097,'Global inputs'!$B$186:$B$243,0)))</f>
        <v>0.1</v>
      </c>
    </row>
    <row r="1098" spans="1:31" s="29" customFormat="1" x14ac:dyDescent="0.2">
      <c r="A1098" s="267"/>
      <c r="B1098" s="210" t="s">
        <v>714</v>
      </c>
      <c r="C1098" s="210" t="s">
        <v>287</v>
      </c>
      <c r="D1098" s="210" t="s">
        <v>729</v>
      </c>
      <c r="E1098" s="210" t="s">
        <v>150</v>
      </c>
      <c r="F1098" s="210" t="s">
        <v>92</v>
      </c>
      <c r="G1098" s="210" t="s">
        <v>731</v>
      </c>
      <c r="H1098" s="197">
        <v>0</v>
      </c>
      <c r="I1098" s="210" t="s">
        <v>225</v>
      </c>
      <c r="J1098" s="210">
        <v>2024</v>
      </c>
      <c r="K1098" s="210">
        <v>2024</v>
      </c>
      <c r="L1098" s="268" t="str">
        <f t="shared" ref="L1098:L1161" si="231">IF(J1098=K1098,"Simple","Complex")</f>
        <v>Simple</v>
      </c>
      <c r="M1098" s="197">
        <v>2255.4634748813237</v>
      </c>
      <c r="N1098" s="197">
        <v>3383.1952123219853</v>
      </c>
      <c r="O1098" s="257">
        <f>IF(ISNA(MATCH(H1098,'Operating leases'!$B$32:$B$43,0)),0,INDEX('Operating leases'!$M$32:$S$43,MATCH(H1098,'Operating leases'!$B$32:$B$43,0),MATCH(J1098,'Operating leases'!$M$11:$S$11,0)))</f>
        <v>0</v>
      </c>
      <c r="P1098" s="257">
        <f t="shared" ref="P1098:P1161" si="232">O1098+M1098</f>
        <v>2255.4634748813237</v>
      </c>
      <c r="Q1098" s="257">
        <f t="shared" ref="Q1098:Q1161" si="233">M1098+N1098+O1098</f>
        <v>5638.6586872033095</v>
      </c>
      <c r="R1098" s="258">
        <f>INDEX('Escalators '!$M$124:$S$129,MATCH(I1098,'Escalators '!$B$124:$B$129,0),MATCH(J1098,'Escalators '!$M$113:$S$113,0))</f>
        <v>1.0991168876021189</v>
      </c>
      <c r="S1098" s="257">
        <f t="shared" ref="S1098:S1161" si="234">O1098*R1098</f>
        <v>0</v>
      </c>
      <c r="T1098" s="257">
        <f t="shared" ref="T1098:T1161" si="235">N1098*R1098</f>
        <v>3718.5269919177304</v>
      </c>
      <c r="U1098" s="269">
        <f t="shared" ref="U1098:U1161" si="236">W1098-S1098</f>
        <v>2479.017994611821</v>
      </c>
      <c r="V1098" s="269">
        <f t="shared" ref="V1098:V1161" si="237">U1098+T1098</f>
        <v>6197.5449865295514</v>
      </c>
      <c r="W1098" s="269">
        <f t="shared" ref="W1098:W1161" si="238">X1098-T1098</f>
        <v>2479.017994611821</v>
      </c>
      <c r="X1098" s="257">
        <f t="shared" ref="X1098:X1161" si="239">Q1098*R1098</f>
        <v>6197.5449865295514</v>
      </c>
      <c r="Y1098" s="270">
        <f>IF(L1098="Complex",(INDEX('Escalators '!$M$176:$S$176,MATCH('Forecast capex'!J1098,'Escalators '!$M$178:$S$178,0))/12+1)^((K1098-J1098)*12)-1,0)</f>
        <v>0</v>
      </c>
      <c r="Z1098" s="257">
        <f t="shared" ref="Z1098:Z1161" si="240">P1098*Y1098</f>
        <v>0</v>
      </c>
      <c r="AA1098" s="257">
        <f t="shared" ref="AA1098:AA1161" si="241">W1098*Y1098</f>
        <v>0</v>
      </c>
      <c r="AB1098" s="269">
        <f t="shared" ref="AB1098:AB1161" si="242">IF(L1098="Complex",AC1098-T1098,0)</f>
        <v>0</v>
      </c>
      <c r="AC1098" s="269">
        <f t="shared" ref="AC1098:AC1161" si="243">IF(L1098="Complex",V1098+AA1098,0)</f>
        <v>0</v>
      </c>
      <c r="AD1098" s="271" t="str">
        <f>INDEX('Global inputs'!$C$134:$C$171,MATCH(F1098,'Global inputs'!$B$134:$B$171,0))</f>
        <v>Asset relocations and undergrounding</v>
      </c>
      <c r="AE1098" s="272">
        <f>IF(OR(H1098='Operating leases'!$B$32,H1098='Operating leases'!$B$33),"",INDEX('Global inputs'!$C$186:$C$243,MATCH(E1098,'Global inputs'!$B$186:$B$243,0)))</f>
        <v>0.08</v>
      </c>
    </row>
    <row r="1099" spans="1:31" s="27" customFormat="1" x14ac:dyDescent="0.2">
      <c r="A1099" s="250"/>
      <c r="B1099" s="210" t="s">
        <v>714</v>
      </c>
      <c r="C1099" s="210" t="s">
        <v>287</v>
      </c>
      <c r="D1099" s="210" t="s">
        <v>729</v>
      </c>
      <c r="E1099" s="210" t="s">
        <v>150</v>
      </c>
      <c r="F1099" s="210" t="s">
        <v>92</v>
      </c>
      <c r="G1099" s="210" t="s">
        <v>731</v>
      </c>
      <c r="H1099" s="197">
        <v>0</v>
      </c>
      <c r="I1099" s="210" t="s">
        <v>221</v>
      </c>
      <c r="J1099" s="210">
        <v>2024</v>
      </c>
      <c r="K1099" s="210">
        <v>2024</v>
      </c>
      <c r="L1099" s="268" t="str">
        <f t="shared" si="231"/>
        <v>Simple</v>
      </c>
      <c r="M1099" s="197">
        <v>9021.8538995252948</v>
      </c>
      <c r="N1099" s="197">
        <v>13532.780849287941</v>
      </c>
      <c r="O1099" s="257">
        <f>IF(ISNA(MATCH(H1099,'Operating leases'!$B$32:$B$43,0)),0,INDEX('Operating leases'!$M$32:$S$43,MATCH(H1099,'Operating leases'!$B$32:$B$43,0),MATCH(J1099,'Operating leases'!$M$11:$S$11,0)))</f>
        <v>0</v>
      </c>
      <c r="P1099" s="257">
        <f t="shared" si="232"/>
        <v>9021.8538995252948</v>
      </c>
      <c r="Q1099" s="257">
        <f t="shared" si="233"/>
        <v>22554.634748813238</v>
      </c>
      <c r="R1099" s="258">
        <f>INDEX('Escalators '!$M$124:$S$129,MATCH(I1099,'Escalators '!$B$124:$B$129,0),MATCH(J1099,'Escalators '!$M$113:$S$113,0))</f>
        <v>1.06512715891222</v>
      </c>
      <c r="S1099" s="257">
        <f t="shared" si="234"/>
        <v>0</v>
      </c>
      <c r="T1099" s="257">
        <f t="shared" si="235"/>
        <v>14414.132418183764</v>
      </c>
      <c r="U1099" s="269">
        <f t="shared" si="236"/>
        <v>9609.4216121225127</v>
      </c>
      <c r="V1099" s="269">
        <f t="shared" si="237"/>
        <v>24023.554030306277</v>
      </c>
      <c r="W1099" s="269">
        <f t="shared" si="238"/>
        <v>9609.4216121225127</v>
      </c>
      <c r="X1099" s="257">
        <f t="shared" si="239"/>
        <v>24023.554030306277</v>
      </c>
      <c r="Y1099" s="270">
        <f>IF(L1099="Complex",(INDEX('Escalators '!$M$176:$S$176,MATCH('Forecast capex'!J1099,'Escalators '!$M$178:$S$178,0))/12+1)^((K1099-J1099)*12)-1,0)</f>
        <v>0</v>
      </c>
      <c r="Z1099" s="257">
        <f t="shared" si="240"/>
        <v>0</v>
      </c>
      <c r="AA1099" s="257">
        <f t="shared" si="241"/>
        <v>0</v>
      </c>
      <c r="AB1099" s="269">
        <f t="shared" si="242"/>
        <v>0</v>
      </c>
      <c r="AC1099" s="269">
        <f t="shared" si="243"/>
        <v>0</v>
      </c>
      <c r="AD1099" s="271" t="str">
        <f>INDEX('Global inputs'!$C$134:$C$171,MATCH(F1099,'Global inputs'!$B$134:$B$171,0))</f>
        <v>Asset relocations and undergrounding</v>
      </c>
      <c r="AE1099" s="272">
        <f>IF(OR(H1099='Operating leases'!$B$32,H1099='Operating leases'!$B$33),"",INDEX('Global inputs'!$C$186:$C$243,MATCH(E1099,'Global inputs'!$B$186:$B$243,0)))</f>
        <v>0.08</v>
      </c>
    </row>
    <row r="1100" spans="1:31" s="27" customFormat="1" x14ac:dyDescent="0.2">
      <c r="A1100" s="250"/>
      <c r="B1100" s="210" t="s">
        <v>714</v>
      </c>
      <c r="C1100" s="210" t="s">
        <v>287</v>
      </c>
      <c r="D1100" s="210" t="s">
        <v>729</v>
      </c>
      <c r="E1100" s="210" t="s">
        <v>151</v>
      </c>
      <c r="F1100" s="210" t="s">
        <v>92</v>
      </c>
      <c r="G1100" s="210" t="s">
        <v>731</v>
      </c>
      <c r="H1100" s="197">
        <v>0</v>
      </c>
      <c r="I1100" s="210" t="s">
        <v>225</v>
      </c>
      <c r="J1100" s="210">
        <v>2024</v>
      </c>
      <c r="K1100" s="210">
        <v>2024</v>
      </c>
      <c r="L1100" s="268" t="str">
        <f t="shared" si="231"/>
        <v>Simple</v>
      </c>
      <c r="M1100" s="197">
        <v>2255.4634748813237</v>
      </c>
      <c r="N1100" s="197">
        <v>3383.1952123219853</v>
      </c>
      <c r="O1100" s="257">
        <f>IF(ISNA(MATCH(H1100,'Operating leases'!$B$32:$B$43,0)),0,INDEX('Operating leases'!$M$32:$S$43,MATCH(H1100,'Operating leases'!$B$32:$B$43,0),MATCH(J1100,'Operating leases'!$M$11:$S$11,0)))</f>
        <v>0</v>
      </c>
      <c r="P1100" s="257">
        <f t="shared" si="232"/>
        <v>2255.4634748813237</v>
      </c>
      <c r="Q1100" s="257">
        <f t="shared" si="233"/>
        <v>5638.6586872033095</v>
      </c>
      <c r="R1100" s="258">
        <f>INDEX('Escalators '!$M$124:$S$129,MATCH(I1100,'Escalators '!$B$124:$B$129,0),MATCH(J1100,'Escalators '!$M$113:$S$113,0))</f>
        <v>1.0991168876021189</v>
      </c>
      <c r="S1100" s="257">
        <f t="shared" si="234"/>
        <v>0</v>
      </c>
      <c r="T1100" s="257">
        <f t="shared" si="235"/>
        <v>3718.5269919177304</v>
      </c>
      <c r="U1100" s="269">
        <f t="shared" si="236"/>
        <v>2479.017994611821</v>
      </c>
      <c r="V1100" s="269">
        <f t="shared" si="237"/>
        <v>6197.5449865295514</v>
      </c>
      <c r="W1100" s="269">
        <f t="shared" si="238"/>
        <v>2479.017994611821</v>
      </c>
      <c r="X1100" s="257">
        <f t="shared" si="239"/>
        <v>6197.5449865295514</v>
      </c>
      <c r="Y1100" s="270">
        <f>IF(L1100="Complex",(INDEX('Escalators '!$M$176:$S$176,MATCH('Forecast capex'!J1100,'Escalators '!$M$178:$S$178,0))/12+1)^((K1100-J1100)*12)-1,0)</f>
        <v>0</v>
      </c>
      <c r="Z1100" s="257">
        <f t="shared" si="240"/>
        <v>0</v>
      </c>
      <c r="AA1100" s="257">
        <f t="shared" si="241"/>
        <v>0</v>
      </c>
      <c r="AB1100" s="269">
        <f t="shared" si="242"/>
        <v>0</v>
      </c>
      <c r="AC1100" s="269">
        <f t="shared" si="243"/>
        <v>0</v>
      </c>
      <c r="AD1100" s="271" t="str">
        <f>INDEX('Global inputs'!$C$134:$C$171,MATCH(F1100,'Global inputs'!$B$134:$B$171,0))</f>
        <v>Asset relocations and undergrounding</v>
      </c>
      <c r="AE1100" s="272">
        <f>IF(OR(H1100='Operating leases'!$B$32,H1100='Operating leases'!$B$33),"",INDEX('Global inputs'!$C$186:$C$243,MATCH(E1100,'Global inputs'!$B$186:$B$243,0)))</f>
        <v>0.1</v>
      </c>
    </row>
    <row r="1101" spans="1:31" s="27" customFormat="1" x14ac:dyDescent="0.2">
      <c r="A1101" s="250"/>
      <c r="B1101" s="210" t="s">
        <v>714</v>
      </c>
      <c r="C1101" s="210" t="s">
        <v>287</v>
      </c>
      <c r="D1101" s="210" t="s">
        <v>729</v>
      </c>
      <c r="E1101" s="210" t="s">
        <v>151</v>
      </c>
      <c r="F1101" s="210" t="s">
        <v>92</v>
      </c>
      <c r="G1101" s="210" t="s">
        <v>731</v>
      </c>
      <c r="H1101" s="197">
        <v>0</v>
      </c>
      <c r="I1101" s="210" t="s">
        <v>221</v>
      </c>
      <c r="J1101" s="210">
        <v>2024</v>
      </c>
      <c r="K1101" s="210">
        <v>2024</v>
      </c>
      <c r="L1101" s="268" t="str">
        <f t="shared" si="231"/>
        <v>Simple</v>
      </c>
      <c r="M1101" s="197">
        <v>9021.8538995252948</v>
      </c>
      <c r="N1101" s="197">
        <v>13532.780849287941</v>
      </c>
      <c r="O1101" s="257">
        <f>IF(ISNA(MATCH(H1101,'Operating leases'!$B$32:$B$43,0)),0,INDEX('Operating leases'!$M$32:$S$43,MATCH(H1101,'Operating leases'!$B$32:$B$43,0),MATCH(J1101,'Operating leases'!$M$11:$S$11,0)))</f>
        <v>0</v>
      </c>
      <c r="P1101" s="257">
        <f t="shared" si="232"/>
        <v>9021.8538995252948</v>
      </c>
      <c r="Q1101" s="257">
        <f t="shared" si="233"/>
        <v>22554.634748813238</v>
      </c>
      <c r="R1101" s="258">
        <f>INDEX('Escalators '!$M$124:$S$129,MATCH(I1101,'Escalators '!$B$124:$B$129,0),MATCH(J1101,'Escalators '!$M$113:$S$113,0))</f>
        <v>1.06512715891222</v>
      </c>
      <c r="S1101" s="257">
        <f t="shared" si="234"/>
        <v>0</v>
      </c>
      <c r="T1101" s="257">
        <f t="shared" si="235"/>
        <v>14414.132418183764</v>
      </c>
      <c r="U1101" s="269">
        <f t="shared" si="236"/>
        <v>9609.4216121225127</v>
      </c>
      <c r="V1101" s="269">
        <f t="shared" si="237"/>
        <v>24023.554030306277</v>
      </c>
      <c r="W1101" s="269">
        <f t="shared" si="238"/>
        <v>9609.4216121225127</v>
      </c>
      <c r="X1101" s="257">
        <f t="shared" si="239"/>
        <v>24023.554030306277</v>
      </c>
      <c r="Y1101" s="270">
        <f>IF(L1101="Complex",(INDEX('Escalators '!$M$176:$S$176,MATCH('Forecast capex'!J1101,'Escalators '!$M$178:$S$178,0))/12+1)^((K1101-J1101)*12)-1,0)</f>
        <v>0</v>
      </c>
      <c r="Z1101" s="257">
        <f t="shared" si="240"/>
        <v>0</v>
      </c>
      <c r="AA1101" s="257">
        <f t="shared" si="241"/>
        <v>0</v>
      </c>
      <c r="AB1101" s="269">
        <f t="shared" si="242"/>
        <v>0</v>
      </c>
      <c r="AC1101" s="269">
        <f t="shared" si="243"/>
        <v>0</v>
      </c>
      <c r="AD1101" s="271" t="str">
        <f>INDEX('Global inputs'!$C$134:$C$171,MATCH(F1101,'Global inputs'!$B$134:$B$171,0))</f>
        <v>Asset relocations and undergrounding</v>
      </c>
      <c r="AE1101" s="272">
        <f>IF(OR(H1101='Operating leases'!$B$32,H1101='Operating leases'!$B$33),"",INDEX('Global inputs'!$C$186:$C$243,MATCH(E1101,'Global inputs'!$B$186:$B$243,0)))</f>
        <v>0.1</v>
      </c>
    </row>
    <row r="1102" spans="1:31" s="27" customFormat="1" x14ac:dyDescent="0.2">
      <c r="A1102" s="250"/>
      <c r="B1102" s="210" t="s">
        <v>714</v>
      </c>
      <c r="C1102" s="210" t="s">
        <v>284</v>
      </c>
      <c r="D1102" s="210" t="s">
        <v>715</v>
      </c>
      <c r="E1102" s="210" t="s">
        <v>127</v>
      </c>
      <c r="F1102" s="210" t="s">
        <v>94</v>
      </c>
      <c r="G1102" s="210" t="s">
        <v>716</v>
      </c>
      <c r="H1102" s="197">
        <v>0</v>
      </c>
      <c r="I1102" s="210" t="s">
        <v>229</v>
      </c>
      <c r="J1102" s="210">
        <v>2024</v>
      </c>
      <c r="K1102" s="210">
        <v>2024</v>
      </c>
      <c r="L1102" s="268" t="str">
        <f t="shared" si="231"/>
        <v>Simple</v>
      </c>
      <c r="M1102" s="197">
        <v>393.87841642153307</v>
      </c>
      <c r="N1102" s="197">
        <v>590.81762463229961</v>
      </c>
      <c r="O1102" s="257">
        <f>IF(ISNA(MATCH(H1102,'Operating leases'!$B$32:$B$43,0)),0,INDEX('Operating leases'!$M$32:$S$43,MATCH(H1102,'Operating leases'!$B$32:$B$43,0),MATCH(J1102,'Operating leases'!$M$11:$S$11,0)))</f>
        <v>0</v>
      </c>
      <c r="P1102" s="257">
        <f t="shared" si="232"/>
        <v>393.87841642153307</v>
      </c>
      <c r="Q1102" s="257">
        <f t="shared" si="233"/>
        <v>984.69604105383269</v>
      </c>
      <c r="R1102" s="258">
        <f>INDEX('Escalators '!$M$124:$S$129,MATCH(I1102,'Escalators '!$B$124:$B$129,0),MATCH(J1102,'Escalators '!$M$113:$S$113,0))</f>
        <v>1.0731681760713303</v>
      </c>
      <c r="S1102" s="257">
        <f t="shared" si="234"/>
        <v>0</v>
      </c>
      <c r="T1102" s="257">
        <f t="shared" si="235"/>
        <v>634.04667261744089</v>
      </c>
      <c r="U1102" s="269">
        <f t="shared" si="236"/>
        <v>422.69778174496059</v>
      </c>
      <c r="V1102" s="269">
        <f t="shared" si="237"/>
        <v>1056.7444543624015</v>
      </c>
      <c r="W1102" s="269">
        <f t="shared" si="238"/>
        <v>422.69778174496059</v>
      </c>
      <c r="X1102" s="257">
        <f t="shared" si="239"/>
        <v>1056.7444543624015</v>
      </c>
      <c r="Y1102" s="270">
        <f>IF(L1102="Complex",(INDEX('Escalators '!$M$176:$S$176,MATCH('Forecast capex'!J1102,'Escalators '!$M$178:$S$178,0))/12+1)^((K1102-J1102)*12)-1,0)</f>
        <v>0</v>
      </c>
      <c r="Z1102" s="257">
        <f t="shared" si="240"/>
        <v>0</v>
      </c>
      <c r="AA1102" s="257">
        <f t="shared" si="241"/>
        <v>0</v>
      </c>
      <c r="AB1102" s="269">
        <f t="shared" si="242"/>
        <v>0</v>
      </c>
      <c r="AC1102" s="269">
        <f t="shared" si="243"/>
        <v>0</v>
      </c>
      <c r="AD1102" s="271" t="str">
        <f>INDEX('Global inputs'!$C$134:$C$171,MATCH(F1102,'Global inputs'!$B$134:$B$171,0))</f>
        <v>Consumer connection</v>
      </c>
      <c r="AE1102" s="272">
        <f>IF(OR(H1102='Operating leases'!$B$32,H1102='Operating leases'!$B$33),"",INDEX('Global inputs'!$C$186:$C$243,MATCH(E1102,'Global inputs'!$B$186:$B$243,0)))</f>
        <v>0.08</v>
      </c>
    </row>
    <row r="1103" spans="1:31" s="27" customFormat="1" x14ac:dyDescent="0.2">
      <c r="A1103" s="250"/>
      <c r="B1103" s="210" t="s">
        <v>714</v>
      </c>
      <c r="C1103" s="210" t="s">
        <v>284</v>
      </c>
      <c r="D1103" s="210" t="s">
        <v>715</v>
      </c>
      <c r="E1103" s="210" t="s">
        <v>127</v>
      </c>
      <c r="F1103" s="210" t="s">
        <v>94</v>
      </c>
      <c r="G1103" s="210" t="s">
        <v>716</v>
      </c>
      <c r="H1103" s="197">
        <v>0</v>
      </c>
      <c r="I1103" s="210" t="s">
        <v>221</v>
      </c>
      <c r="J1103" s="210">
        <v>2024</v>
      </c>
      <c r="K1103" s="210">
        <v>2024</v>
      </c>
      <c r="L1103" s="268" t="str">
        <f t="shared" si="231"/>
        <v>Simple</v>
      </c>
      <c r="M1103" s="197">
        <v>393.87841642153307</v>
      </c>
      <c r="N1103" s="197">
        <v>590.81762463229961</v>
      </c>
      <c r="O1103" s="257">
        <f>IF(ISNA(MATCH(H1103,'Operating leases'!$B$32:$B$43,0)),0,INDEX('Operating leases'!$M$32:$S$43,MATCH(H1103,'Operating leases'!$B$32:$B$43,0),MATCH(J1103,'Operating leases'!$M$11:$S$11,0)))</f>
        <v>0</v>
      </c>
      <c r="P1103" s="257">
        <f t="shared" si="232"/>
        <v>393.87841642153307</v>
      </c>
      <c r="Q1103" s="257">
        <f t="shared" si="233"/>
        <v>984.69604105383269</v>
      </c>
      <c r="R1103" s="258">
        <f>INDEX('Escalators '!$M$124:$S$129,MATCH(I1103,'Escalators '!$B$124:$B$129,0),MATCH(J1103,'Escalators '!$M$113:$S$113,0))</f>
        <v>1.06512715891222</v>
      </c>
      <c r="S1103" s="257">
        <f t="shared" si="234"/>
        <v>0</v>
      </c>
      <c r="T1103" s="257">
        <f t="shared" si="235"/>
        <v>629.29589795986772</v>
      </c>
      <c r="U1103" s="269">
        <f t="shared" si="236"/>
        <v>419.53059863991189</v>
      </c>
      <c r="V1103" s="269">
        <f t="shared" si="237"/>
        <v>1048.8264965997796</v>
      </c>
      <c r="W1103" s="269">
        <f t="shared" si="238"/>
        <v>419.53059863991189</v>
      </c>
      <c r="X1103" s="257">
        <f t="shared" si="239"/>
        <v>1048.8264965997796</v>
      </c>
      <c r="Y1103" s="270">
        <f>IF(L1103="Complex",(INDEX('Escalators '!$M$176:$S$176,MATCH('Forecast capex'!J1103,'Escalators '!$M$178:$S$178,0))/12+1)^((K1103-J1103)*12)-1,0)</f>
        <v>0</v>
      </c>
      <c r="Z1103" s="257">
        <f t="shared" si="240"/>
        <v>0</v>
      </c>
      <c r="AA1103" s="257">
        <f t="shared" si="241"/>
        <v>0</v>
      </c>
      <c r="AB1103" s="269">
        <f t="shared" si="242"/>
        <v>0</v>
      </c>
      <c r="AC1103" s="269">
        <f t="shared" si="243"/>
        <v>0</v>
      </c>
      <c r="AD1103" s="271" t="str">
        <f>INDEX('Global inputs'!$C$134:$C$171,MATCH(F1103,'Global inputs'!$B$134:$B$171,0))</f>
        <v>Consumer connection</v>
      </c>
      <c r="AE1103" s="272">
        <f>IF(OR(H1103='Operating leases'!$B$32,H1103='Operating leases'!$B$33),"",INDEX('Global inputs'!$C$186:$C$243,MATCH(E1103,'Global inputs'!$B$186:$B$243,0)))</f>
        <v>0.08</v>
      </c>
    </row>
    <row r="1104" spans="1:31" s="27" customFormat="1" x14ac:dyDescent="0.2">
      <c r="A1104" s="250"/>
      <c r="B1104" s="210" t="s">
        <v>714</v>
      </c>
      <c r="C1104" s="210" t="s">
        <v>284</v>
      </c>
      <c r="D1104" s="210" t="s">
        <v>715</v>
      </c>
      <c r="E1104" s="210" t="s">
        <v>129</v>
      </c>
      <c r="F1104" s="210" t="s">
        <v>94</v>
      </c>
      <c r="G1104" s="210" t="s">
        <v>716</v>
      </c>
      <c r="H1104" s="197">
        <v>0</v>
      </c>
      <c r="I1104" s="210" t="s">
        <v>229</v>
      </c>
      <c r="J1104" s="210">
        <v>2024</v>
      </c>
      <c r="K1104" s="210">
        <v>2024</v>
      </c>
      <c r="L1104" s="268" t="str">
        <f t="shared" si="231"/>
        <v>Simple</v>
      </c>
      <c r="M1104" s="197">
        <v>393.87841642153307</v>
      </c>
      <c r="N1104" s="197">
        <v>590.81762463229961</v>
      </c>
      <c r="O1104" s="257">
        <f>IF(ISNA(MATCH(H1104,'Operating leases'!$B$32:$B$43,0)),0,INDEX('Operating leases'!$M$32:$S$43,MATCH(H1104,'Operating leases'!$B$32:$B$43,0),MATCH(J1104,'Operating leases'!$M$11:$S$11,0)))</f>
        <v>0</v>
      </c>
      <c r="P1104" s="257">
        <f t="shared" si="232"/>
        <v>393.87841642153307</v>
      </c>
      <c r="Q1104" s="257">
        <f t="shared" si="233"/>
        <v>984.69604105383269</v>
      </c>
      <c r="R1104" s="258">
        <f>INDEX('Escalators '!$M$124:$S$129,MATCH(I1104,'Escalators '!$B$124:$B$129,0),MATCH(J1104,'Escalators '!$M$113:$S$113,0))</f>
        <v>1.0731681760713303</v>
      </c>
      <c r="S1104" s="257">
        <f t="shared" si="234"/>
        <v>0</v>
      </c>
      <c r="T1104" s="257">
        <f t="shared" si="235"/>
        <v>634.04667261744089</v>
      </c>
      <c r="U1104" s="269">
        <f t="shared" si="236"/>
        <v>422.69778174496059</v>
      </c>
      <c r="V1104" s="269">
        <f t="shared" si="237"/>
        <v>1056.7444543624015</v>
      </c>
      <c r="W1104" s="269">
        <f t="shared" si="238"/>
        <v>422.69778174496059</v>
      </c>
      <c r="X1104" s="257">
        <f t="shared" si="239"/>
        <v>1056.7444543624015</v>
      </c>
      <c r="Y1104" s="270">
        <f>IF(L1104="Complex",(INDEX('Escalators '!$M$176:$S$176,MATCH('Forecast capex'!J1104,'Escalators '!$M$178:$S$178,0))/12+1)^((K1104-J1104)*12)-1,0)</f>
        <v>0</v>
      </c>
      <c r="Z1104" s="257">
        <f t="shared" si="240"/>
        <v>0</v>
      </c>
      <c r="AA1104" s="257">
        <f t="shared" si="241"/>
        <v>0</v>
      </c>
      <c r="AB1104" s="269">
        <f t="shared" si="242"/>
        <v>0</v>
      </c>
      <c r="AC1104" s="269">
        <f t="shared" si="243"/>
        <v>0</v>
      </c>
      <c r="AD1104" s="271" t="str">
        <f>INDEX('Global inputs'!$C$134:$C$171,MATCH(F1104,'Global inputs'!$B$134:$B$171,0))</f>
        <v>Consumer connection</v>
      </c>
      <c r="AE1104" s="272">
        <f>IF(OR(H1104='Operating leases'!$B$32,H1104='Operating leases'!$B$33),"",INDEX('Global inputs'!$C$186:$C$243,MATCH(E1104,'Global inputs'!$B$186:$B$243,0)))</f>
        <v>0.1</v>
      </c>
    </row>
    <row r="1105" spans="1:31" s="27" customFormat="1" x14ac:dyDescent="0.2">
      <c r="A1105" s="250"/>
      <c r="B1105" s="210" t="s">
        <v>714</v>
      </c>
      <c r="C1105" s="210" t="s">
        <v>284</v>
      </c>
      <c r="D1105" s="210" t="s">
        <v>715</v>
      </c>
      <c r="E1105" s="210" t="s">
        <v>129</v>
      </c>
      <c r="F1105" s="210" t="s">
        <v>94</v>
      </c>
      <c r="G1105" s="210" t="s">
        <v>716</v>
      </c>
      <c r="H1105" s="197">
        <v>0</v>
      </c>
      <c r="I1105" s="210" t="s">
        <v>221</v>
      </c>
      <c r="J1105" s="210">
        <v>2024</v>
      </c>
      <c r="K1105" s="210">
        <v>2024</v>
      </c>
      <c r="L1105" s="268" t="str">
        <f t="shared" si="231"/>
        <v>Simple</v>
      </c>
      <c r="M1105" s="197">
        <v>393.87841642153307</v>
      </c>
      <c r="N1105" s="197">
        <v>590.81762463229961</v>
      </c>
      <c r="O1105" s="257">
        <f>IF(ISNA(MATCH(H1105,'Operating leases'!$B$32:$B$43,0)),0,INDEX('Operating leases'!$M$32:$S$43,MATCH(H1105,'Operating leases'!$B$32:$B$43,0),MATCH(J1105,'Operating leases'!$M$11:$S$11,0)))</f>
        <v>0</v>
      </c>
      <c r="P1105" s="257">
        <f t="shared" si="232"/>
        <v>393.87841642153307</v>
      </c>
      <c r="Q1105" s="257">
        <f t="shared" si="233"/>
        <v>984.69604105383269</v>
      </c>
      <c r="R1105" s="258">
        <f>INDEX('Escalators '!$M$124:$S$129,MATCH(I1105,'Escalators '!$B$124:$B$129,0),MATCH(J1105,'Escalators '!$M$113:$S$113,0))</f>
        <v>1.06512715891222</v>
      </c>
      <c r="S1105" s="257">
        <f t="shared" si="234"/>
        <v>0</v>
      </c>
      <c r="T1105" s="257">
        <f t="shared" si="235"/>
        <v>629.29589795986772</v>
      </c>
      <c r="U1105" s="269">
        <f t="shared" si="236"/>
        <v>419.53059863991189</v>
      </c>
      <c r="V1105" s="269">
        <f t="shared" si="237"/>
        <v>1048.8264965997796</v>
      </c>
      <c r="W1105" s="269">
        <f t="shared" si="238"/>
        <v>419.53059863991189</v>
      </c>
      <c r="X1105" s="257">
        <f t="shared" si="239"/>
        <v>1048.8264965997796</v>
      </c>
      <c r="Y1105" s="270">
        <f>IF(L1105="Complex",(INDEX('Escalators '!$M$176:$S$176,MATCH('Forecast capex'!J1105,'Escalators '!$M$178:$S$178,0))/12+1)^((K1105-J1105)*12)-1,0)</f>
        <v>0</v>
      </c>
      <c r="Z1105" s="257">
        <f t="shared" si="240"/>
        <v>0</v>
      </c>
      <c r="AA1105" s="257">
        <f t="shared" si="241"/>
        <v>0</v>
      </c>
      <c r="AB1105" s="269">
        <f t="shared" si="242"/>
        <v>0</v>
      </c>
      <c r="AC1105" s="269">
        <f t="shared" si="243"/>
        <v>0</v>
      </c>
      <c r="AD1105" s="271" t="str">
        <f>INDEX('Global inputs'!$C$134:$C$171,MATCH(F1105,'Global inputs'!$B$134:$B$171,0))</f>
        <v>Consumer connection</v>
      </c>
      <c r="AE1105" s="272">
        <f>IF(OR(H1105='Operating leases'!$B$32,H1105='Operating leases'!$B$33),"",INDEX('Global inputs'!$C$186:$C$243,MATCH(E1105,'Global inputs'!$B$186:$B$243,0)))</f>
        <v>0.1</v>
      </c>
    </row>
    <row r="1106" spans="1:31" s="27" customFormat="1" x14ac:dyDescent="0.2">
      <c r="A1106" s="250"/>
      <c r="B1106" s="210" t="s">
        <v>714</v>
      </c>
      <c r="C1106" s="210" t="s">
        <v>287</v>
      </c>
      <c r="D1106" s="210" t="s">
        <v>715</v>
      </c>
      <c r="E1106" s="210" t="s">
        <v>150</v>
      </c>
      <c r="F1106" s="210" t="s">
        <v>94</v>
      </c>
      <c r="G1106" s="210" t="s">
        <v>716</v>
      </c>
      <c r="H1106" s="197">
        <v>0</v>
      </c>
      <c r="I1106" s="210" t="s">
        <v>229</v>
      </c>
      <c r="J1106" s="210">
        <v>2024</v>
      </c>
      <c r="K1106" s="210">
        <v>2024</v>
      </c>
      <c r="L1106" s="268" t="str">
        <f t="shared" si="231"/>
        <v>Simple</v>
      </c>
      <c r="M1106" s="197">
        <v>19693.920821076652</v>
      </c>
      <c r="N1106" s="197">
        <v>29540.881231614982</v>
      </c>
      <c r="O1106" s="257">
        <f>IF(ISNA(MATCH(H1106,'Operating leases'!$B$32:$B$43,0)),0,INDEX('Operating leases'!$M$32:$S$43,MATCH(H1106,'Operating leases'!$B$32:$B$43,0),MATCH(J1106,'Operating leases'!$M$11:$S$11,0)))</f>
        <v>0</v>
      </c>
      <c r="P1106" s="257">
        <f t="shared" si="232"/>
        <v>19693.920821076652</v>
      </c>
      <c r="Q1106" s="257">
        <f t="shared" si="233"/>
        <v>49234.802052691637</v>
      </c>
      <c r="R1106" s="258">
        <f>INDEX('Escalators '!$M$124:$S$129,MATCH(I1106,'Escalators '!$B$124:$B$129,0),MATCH(J1106,'Escalators '!$M$113:$S$113,0))</f>
        <v>1.0731681760713303</v>
      </c>
      <c r="S1106" s="257">
        <f t="shared" si="234"/>
        <v>0</v>
      </c>
      <c r="T1106" s="257">
        <f t="shared" si="235"/>
        <v>31702.333630872043</v>
      </c>
      <c r="U1106" s="269">
        <f t="shared" si="236"/>
        <v>21134.88908724803</v>
      </c>
      <c r="V1106" s="269">
        <f t="shared" si="237"/>
        <v>52837.222718120072</v>
      </c>
      <c r="W1106" s="269">
        <f t="shared" si="238"/>
        <v>21134.88908724803</v>
      </c>
      <c r="X1106" s="257">
        <f t="shared" si="239"/>
        <v>52837.222718120072</v>
      </c>
      <c r="Y1106" s="270">
        <f>IF(L1106="Complex",(INDEX('Escalators '!$M$176:$S$176,MATCH('Forecast capex'!J1106,'Escalators '!$M$178:$S$178,0))/12+1)^((K1106-J1106)*12)-1,0)</f>
        <v>0</v>
      </c>
      <c r="Z1106" s="257">
        <f t="shared" si="240"/>
        <v>0</v>
      </c>
      <c r="AA1106" s="257">
        <f t="shared" si="241"/>
        <v>0</v>
      </c>
      <c r="AB1106" s="269">
        <f t="shared" si="242"/>
        <v>0</v>
      </c>
      <c r="AC1106" s="269">
        <f t="shared" si="243"/>
        <v>0</v>
      </c>
      <c r="AD1106" s="271" t="str">
        <f>INDEX('Global inputs'!$C$134:$C$171,MATCH(F1106,'Global inputs'!$B$134:$B$171,0))</f>
        <v>Consumer connection</v>
      </c>
      <c r="AE1106" s="272">
        <f>IF(OR(H1106='Operating leases'!$B$32,H1106='Operating leases'!$B$33),"",INDEX('Global inputs'!$C$186:$C$243,MATCH(E1106,'Global inputs'!$B$186:$B$243,0)))</f>
        <v>0.08</v>
      </c>
    </row>
    <row r="1107" spans="1:31" s="27" customFormat="1" x14ac:dyDescent="0.2">
      <c r="A1107" s="250"/>
      <c r="B1107" s="210" t="s">
        <v>714</v>
      </c>
      <c r="C1107" s="210" t="s">
        <v>287</v>
      </c>
      <c r="D1107" s="210" t="s">
        <v>715</v>
      </c>
      <c r="E1107" s="210" t="s">
        <v>150</v>
      </c>
      <c r="F1107" s="210" t="s">
        <v>94</v>
      </c>
      <c r="G1107" s="210" t="s">
        <v>716</v>
      </c>
      <c r="H1107" s="197">
        <v>0</v>
      </c>
      <c r="I1107" s="210" t="s">
        <v>221</v>
      </c>
      <c r="J1107" s="210">
        <v>2024</v>
      </c>
      <c r="K1107" s="210">
        <v>2024</v>
      </c>
      <c r="L1107" s="268" t="str">
        <f t="shared" si="231"/>
        <v>Simple</v>
      </c>
      <c r="M1107" s="197">
        <v>19693.920821076652</v>
      </c>
      <c r="N1107" s="197">
        <v>29540.881231614982</v>
      </c>
      <c r="O1107" s="257">
        <f>IF(ISNA(MATCH(H1107,'Operating leases'!$B$32:$B$43,0)),0,INDEX('Operating leases'!$M$32:$S$43,MATCH(H1107,'Operating leases'!$B$32:$B$43,0),MATCH(J1107,'Operating leases'!$M$11:$S$11,0)))</f>
        <v>0</v>
      </c>
      <c r="P1107" s="257">
        <f t="shared" si="232"/>
        <v>19693.920821076652</v>
      </c>
      <c r="Q1107" s="257">
        <f t="shared" si="233"/>
        <v>49234.802052691637</v>
      </c>
      <c r="R1107" s="258">
        <f>INDEX('Escalators '!$M$124:$S$129,MATCH(I1107,'Escalators '!$B$124:$B$129,0),MATCH(J1107,'Escalators '!$M$113:$S$113,0))</f>
        <v>1.06512715891222</v>
      </c>
      <c r="S1107" s="257">
        <f t="shared" si="234"/>
        <v>0</v>
      </c>
      <c r="T1107" s="257">
        <f t="shared" si="235"/>
        <v>31464.794897993386</v>
      </c>
      <c r="U1107" s="269">
        <f t="shared" si="236"/>
        <v>20976.529931995596</v>
      </c>
      <c r="V1107" s="269">
        <f t="shared" si="237"/>
        <v>52441.324829988982</v>
      </c>
      <c r="W1107" s="269">
        <f t="shared" si="238"/>
        <v>20976.529931995596</v>
      </c>
      <c r="X1107" s="257">
        <f t="shared" si="239"/>
        <v>52441.324829988982</v>
      </c>
      <c r="Y1107" s="270">
        <f>IF(L1107="Complex",(INDEX('Escalators '!$M$176:$S$176,MATCH('Forecast capex'!J1107,'Escalators '!$M$178:$S$178,0))/12+1)^((K1107-J1107)*12)-1,0)</f>
        <v>0</v>
      </c>
      <c r="Z1107" s="257">
        <f t="shared" si="240"/>
        <v>0</v>
      </c>
      <c r="AA1107" s="257">
        <f t="shared" si="241"/>
        <v>0</v>
      </c>
      <c r="AB1107" s="269">
        <f t="shared" si="242"/>
        <v>0</v>
      </c>
      <c r="AC1107" s="269">
        <f t="shared" si="243"/>
        <v>0</v>
      </c>
      <c r="AD1107" s="271" t="str">
        <f>INDEX('Global inputs'!$C$134:$C$171,MATCH(F1107,'Global inputs'!$B$134:$B$171,0))</f>
        <v>Consumer connection</v>
      </c>
      <c r="AE1107" s="272">
        <f>IF(OR(H1107='Operating leases'!$B$32,H1107='Operating leases'!$B$33),"",INDEX('Global inputs'!$C$186:$C$243,MATCH(E1107,'Global inputs'!$B$186:$B$243,0)))</f>
        <v>0.08</v>
      </c>
    </row>
    <row r="1108" spans="1:31" s="27" customFormat="1" x14ac:dyDescent="0.2">
      <c r="A1108" s="250"/>
      <c r="B1108" s="210" t="s">
        <v>714</v>
      </c>
      <c r="C1108" s="210" t="s">
        <v>287</v>
      </c>
      <c r="D1108" s="210" t="s">
        <v>715</v>
      </c>
      <c r="E1108" s="210" t="s">
        <v>151</v>
      </c>
      <c r="F1108" s="210" t="s">
        <v>94</v>
      </c>
      <c r="G1108" s="210" t="s">
        <v>716</v>
      </c>
      <c r="H1108" s="197">
        <v>0</v>
      </c>
      <c r="I1108" s="210" t="s">
        <v>229</v>
      </c>
      <c r="J1108" s="210">
        <v>2024</v>
      </c>
      <c r="K1108" s="210">
        <v>2024</v>
      </c>
      <c r="L1108" s="268" t="str">
        <f t="shared" si="231"/>
        <v>Simple</v>
      </c>
      <c r="M1108" s="197">
        <v>19693.920821076652</v>
      </c>
      <c r="N1108" s="197">
        <v>29540.881231614982</v>
      </c>
      <c r="O1108" s="257">
        <f>IF(ISNA(MATCH(H1108,'Operating leases'!$B$32:$B$43,0)),0,INDEX('Operating leases'!$M$32:$S$43,MATCH(H1108,'Operating leases'!$B$32:$B$43,0),MATCH(J1108,'Operating leases'!$M$11:$S$11,0)))</f>
        <v>0</v>
      </c>
      <c r="P1108" s="257">
        <f t="shared" si="232"/>
        <v>19693.920821076652</v>
      </c>
      <c r="Q1108" s="257">
        <f t="shared" si="233"/>
        <v>49234.802052691637</v>
      </c>
      <c r="R1108" s="258">
        <f>INDEX('Escalators '!$M$124:$S$129,MATCH(I1108,'Escalators '!$B$124:$B$129,0),MATCH(J1108,'Escalators '!$M$113:$S$113,0))</f>
        <v>1.0731681760713303</v>
      </c>
      <c r="S1108" s="257">
        <f t="shared" si="234"/>
        <v>0</v>
      </c>
      <c r="T1108" s="257">
        <f t="shared" si="235"/>
        <v>31702.333630872043</v>
      </c>
      <c r="U1108" s="269">
        <f t="shared" si="236"/>
        <v>21134.88908724803</v>
      </c>
      <c r="V1108" s="269">
        <f t="shared" si="237"/>
        <v>52837.222718120072</v>
      </c>
      <c r="W1108" s="269">
        <f t="shared" si="238"/>
        <v>21134.88908724803</v>
      </c>
      <c r="X1108" s="257">
        <f t="shared" si="239"/>
        <v>52837.222718120072</v>
      </c>
      <c r="Y1108" s="270">
        <f>IF(L1108="Complex",(INDEX('Escalators '!$M$176:$S$176,MATCH('Forecast capex'!J1108,'Escalators '!$M$178:$S$178,0))/12+1)^((K1108-J1108)*12)-1,0)</f>
        <v>0</v>
      </c>
      <c r="Z1108" s="257">
        <f t="shared" si="240"/>
        <v>0</v>
      </c>
      <c r="AA1108" s="257">
        <f t="shared" si="241"/>
        <v>0</v>
      </c>
      <c r="AB1108" s="269">
        <f t="shared" si="242"/>
        <v>0</v>
      </c>
      <c r="AC1108" s="269">
        <f t="shared" si="243"/>
        <v>0</v>
      </c>
      <c r="AD1108" s="271" t="str">
        <f>INDEX('Global inputs'!$C$134:$C$171,MATCH(F1108,'Global inputs'!$B$134:$B$171,0))</f>
        <v>Consumer connection</v>
      </c>
      <c r="AE1108" s="272">
        <f>IF(OR(H1108='Operating leases'!$B$32,H1108='Operating leases'!$B$33),"",INDEX('Global inputs'!$C$186:$C$243,MATCH(E1108,'Global inputs'!$B$186:$B$243,0)))</f>
        <v>0.1</v>
      </c>
    </row>
    <row r="1109" spans="1:31" s="27" customFormat="1" x14ac:dyDescent="0.2">
      <c r="A1109" s="250"/>
      <c r="B1109" s="210" t="s">
        <v>714</v>
      </c>
      <c r="C1109" s="210" t="s">
        <v>287</v>
      </c>
      <c r="D1109" s="210" t="s">
        <v>715</v>
      </c>
      <c r="E1109" s="210" t="s">
        <v>151</v>
      </c>
      <c r="F1109" s="210" t="s">
        <v>94</v>
      </c>
      <c r="G1109" s="210" t="s">
        <v>716</v>
      </c>
      <c r="H1109" s="197">
        <v>0</v>
      </c>
      <c r="I1109" s="210" t="s">
        <v>221</v>
      </c>
      <c r="J1109" s="210">
        <v>2024</v>
      </c>
      <c r="K1109" s="210">
        <v>2024</v>
      </c>
      <c r="L1109" s="268" t="str">
        <f t="shared" si="231"/>
        <v>Simple</v>
      </c>
      <c r="M1109" s="197">
        <v>19693.920821076652</v>
      </c>
      <c r="N1109" s="197">
        <v>29540.881231614982</v>
      </c>
      <c r="O1109" s="257">
        <f>IF(ISNA(MATCH(H1109,'Operating leases'!$B$32:$B$43,0)),0,INDEX('Operating leases'!$M$32:$S$43,MATCH(H1109,'Operating leases'!$B$32:$B$43,0),MATCH(J1109,'Operating leases'!$M$11:$S$11,0)))</f>
        <v>0</v>
      </c>
      <c r="P1109" s="257">
        <f t="shared" si="232"/>
        <v>19693.920821076652</v>
      </c>
      <c r="Q1109" s="257">
        <f t="shared" si="233"/>
        <v>49234.802052691637</v>
      </c>
      <c r="R1109" s="258">
        <f>INDEX('Escalators '!$M$124:$S$129,MATCH(I1109,'Escalators '!$B$124:$B$129,0),MATCH(J1109,'Escalators '!$M$113:$S$113,0))</f>
        <v>1.06512715891222</v>
      </c>
      <c r="S1109" s="257">
        <f t="shared" si="234"/>
        <v>0</v>
      </c>
      <c r="T1109" s="257">
        <f t="shared" si="235"/>
        <v>31464.794897993386</v>
      </c>
      <c r="U1109" s="269">
        <f t="shared" si="236"/>
        <v>20976.529931995596</v>
      </c>
      <c r="V1109" s="269">
        <f t="shared" si="237"/>
        <v>52441.324829988982</v>
      </c>
      <c r="W1109" s="269">
        <f t="shared" si="238"/>
        <v>20976.529931995596</v>
      </c>
      <c r="X1109" s="257">
        <f t="shared" si="239"/>
        <v>52441.324829988982</v>
      </c>
      <c r="Y1109" s="270">
        <f>IF(L1109="Complex",(INDEX('Escalators '!$M$176:$S$176,MATCH('Forecast capex'!J1109,'Escalators '!$M$178:$S$178,0))/12+1)^((K1109-J1109)*12)-1,0)</f>
        <v>0</v>
      </c>
      <c r="Z1109" s="257">
        <f t="shared" si="240"/>
        <v>0</v>
      </c>
      <c r="AA1109" s="257">
        <f t="shared" si="241"/>
        <v>0</v>
      </c>
      <c r="AB1109" s="269">
        <f t="shared" si="242"/>
        <v>0</v>
      </c>
      <c r="AC1109" s="269">
        <f t="shared" si="243"/>
        <v>0</v>
      </c>
      <c r="AD1109" s="271" t="str">
        <f>INDEX('Global inputs'!$C$134:$C$171,MATCH(F1109,'Global inputs'!$B$134:$B$171,0))</f>
        <v>Consumer connection</v>
      </c>
      <c r="AE1109" s="272">
        <f>IF(OR(H1109='Operating leases'!$B$32,H1109='Operating leases'!$B$33),"",INDEX('Global inputs'!$C$186:$C$243,MATCH(E1109,'Global inputs'!$B$186:$B$243,0)))</f>
        <v>0.1</v>
      </c>
    </row>
    <row r="1110" spans="1:31" s="27" customFormat="1" x14ac:dyDescent="0.2">
      <c r="A1110" s="250"/>
      <c r="B1110" s="210" t="s">
        <v>714</v>
      </c>
      <c r="C1110" s="210" t="s">
        <v>287</v>
      </c>
      <c r="D1110" s="210" t="s">
        <v>715</v>
      </c>
      <c r="E1110" s="210" t="s">
        <v>153</v>
      </c>
      <c r="F1110" s="210" t="s">
        <v>94</v>
      </c>
      <c r="G1110" s="210" t="s">
        <v>716</v>
      </c>
      <c r="H1110" s="197">
        <v>0</v>
      </c>
      <c r="I1110" s="210" t="s">
        <v>229</v>
      </c>
      <c r="J1110" s="210">
        <v>2024</v>
      </c>
      <c r="K1110" s="210">
        <v>2024</v>
      </c>
      <c r="L1110" s="268" t="str">
        <f t="shared" si="231"/>
        <v>Simple</v>
      </c>
      <c r="M1110" s="197">
        <v>7680.6291202198945</v>
      </c>
      <c r="N1110" s="197">
        <v>11520.943680329843</v>
      </c>
      <c r="O1110" s="257">
        <f>IF(ISNA(MATCH(H1110,'Operating leases'!$B$32:$B$43,0)),0,INDEX('Operating leases'!$M$32:$S$43,MATCH(H1110,'Operating leases'!$B$32:$B$43,0),MATCH(J1110,'Operating leases'!$M$11:$S$11,0)))</f>
        <v>0</v>
      </c>
      <c r="P1110" s="257">
        <f t="shared" si="232"/>
        <v>7680.6291202198945</v>
      </c>
      <c r="Q1110" s="257">
        <f t="shared" si="233"/>
        <v>19201.572800549737</v>
      </c>
      <c r="R1110" s="258">
        <f>INDEX('Escalators '!$M$124:$S$129,MATCH(I1110,'Escalators '!$B$124:$B$129,0),MATCH(J1110,'Escalators '!$M$113:$S$113,0))</f>
        <v>1.0731681760713303</v>
      </c>
      <c r="S1110" s="257">
        <f t="shared" si="234"/>
        <v>0</v>
      </c>
      <c r="T1110" s="257">
        <f t="shared" si="235"/>
        <v>12363.910116040097</v>
      </c>
      <c r="U1110" s="269">
        <f t="shared" si="236"/>
        <v>8242.6067440267288</v>
      </c>
      <c r="V1110" s="269">
        <f t="shared" si="237"/>
        <v>20606.516860066826</v>
      </c>
      <c r="W1110" s="269">
        <f t="shared" si="238"/>
        <v>8242.6067440267288</v>
      </c>
      <c r="X1110" s="257">
        <f t="shared" si="239"/>
        <v>20606.516860066826</v>
      </c>
      <c r="Y1110" s="270">
        <f>IF(L1110="Complex",(INDEX('Escalators '!$M$176:$S$176,MATCH('Forecast capex'!J1110,'Escalators '!$M$178:$S$178,0))/12+1)^((K1110-J1110)*12)-1,0)</f>
        <v>0</v>
      </c>
      <c r="Z1110" s="257">
        <f t="shared" si="240"/>
        <v>0</v>
      </c>
      <c r="AA1110" s="257">
        <f t="shared" si="241"/>
        <v>0</v>
      </c>
      <c r="AB1110" s="269">
        <f t="shared" si="242"/>
        <v>0</v>
      </c>
      <c r="AC1110" s="269">
        <f t="shared" si="243"/>
        <v>0</v>
      </c>
      <c r="AD1110" s="271" t="str">
        <f>INDEX('Global inputs'!$C$134:$C$171,MATCH(F1110,'Global inputs'!$B$134:$B$171,0))</f>
        <v>Consumer connection</v>
      </c>
      <c r="AE1110" s="272">
        <f>IF(OR(H1110='Operating leases'!$B$32,H1110='Operating leases'!$B$33),"",INDEX('Global inputs'!$C$186:$C$243,MATCH(E1110,'Global inputs'!$B$186:$B$243,0)))</f>
        <v>0.08</v>
      </c>
    </row>
    <row r="1111" spans="1:31" s="27" customFormat="1" x14ac:dyDescent="0.2">
      <c r="A1111" s="250"/>
      <c r="B1111" s="210" t="s">
        <v>714</v>
      </c>
      <c r="C1111" s="210" t="s">
        <v>287</v>
      </c>
      <c r="D1111" s="210" t="s">
        <v>715</v>
      </c>
      <c r="E1111" s="210" t="s">
        <v>153</v>
      </c>
      <c r="F1111" s="210" t="s">
        <v>94</v>
      </c>
      <c r="G1111" s="210" t="s">
        <v>716</v>
      </c>
      <c r="H1111" s="197">
        <v>0</v>
      </c>
      <c r="I1111" s="210" t="s">
        <v>221</v>
      </c>
      <c r="J1111" s="210">
        <v>2024</v>
      </c>
      <c r="K1111" s="210">
        <v>2024</v>
      </c>
      <c r="L1111" s="268" t="str">
        <f t="shared" si="231"/>
        <v>Simple</v>
      </c>
      <c r="M1111" s="197">
        <v>7680.6291202198945</v>
      </c>
      <c r="N1111" s="197">
        <v>11520.943680329843</v>
      </c>
      <c r="O1111" s="257">
        <f>IF(ISNA(MATCH(H1111,'Operating leases'!$B$32:$B$43,0)),0,INDEX('Operating leases'!$M$32:$S$43,MATCH(H1111,'Operating leases'!$B$32:$B$43,0),MATCH(J1111,'Operating leases'!$M$11:$S$11,0)))</f>
        <v>0</v>
      </c>
      <c r="P1111" s="257">
        <f t="shared" si="232"/>
        <v>7680.6291202198945</v>
      </c>
      <c r="Q1111" s="257">
        <f t="shared" si="233"/>
        <v>19201.572800549737</v>
      </c>
      <c r="R1111" s="258">
        <f>INDEX('Escalators '!$M$124:$S$129,MATCH(I1111,'Escalators '!$B$124:$B$129,0),MATCH(J1111,'Escalators '!$M$113:$S$113,0))</f>
        <v>1.06512715891222</v>
      </c>
      <c r="S1111" s="257">
        <f t="shared" si="234"/>
        <v>0</v>
      </c>
      <c r="T1111" s="257">
        <f t="shared" si="235"/>
        <v>12271.270010217422</v>
      </c>
      <c r="U1111" s="269">
        <f t="shared" si="236"/>
        <v>8180.8466734782796</v>
      </c>
      <c r="V1111" s="269">
        <f t="shared" si="237"/>
        <v>20452.116683695702</v>
      </c>
      <c r="W1111" s="269">
        <f t="shared" si="238"/>
        <v>8180.8466734782796</v>
      </c>
      <c r="X1111" s="257">
        <f t="shared" si="239"/>
        <v>20452.116683695702</v>
      </c>
      <c r="Y1111" s="270">
        <f>IF(L1111="Complex",(INDEX('Escalators '!$M$176:$S$176,MATCH('Forecast capex'!J1111,'Escalators '!$M$178:$S$178,0))/12+1)^((K1111-J1111)*12)-1,0)</f>
        <v>0</v>
      </c>
      <c r="Z1111" s="257">
        <f t="shared" si="240"/>
        <v>0</v>
      </c>
      <c r="AA1111" s="257">
        <f t="shared" si="241"/>
        <v>0</v>
      </c>
      <c r="AB1111" s="269">
        <f t="shared" si="242"/>
        <v>0</v>
      </c>
      <c r="AC1111" s="269">
        <f t="shared" si="243"/>
        <v>0</v>
      </c>
      <c r="AD1111" s="271" t="str">
        <f>INDEX('Global inputs'!$C$134:$C$171,MATCH(F1111,'Global inputs'!$B$134:$B$171,0))</f>
        <v>Consumer connection</v>
      </c>
      <c r="AE1111" s="272">
        <f>IF(OR(H1111='Operating leases'!$B$32,H1111='Operating leases'!$B$33),"",INDEX('Global inputs'!$C$186:$C$243,MATCH(E1111,'Global inputs'!$B$186:$B$243,0)))</f>
        <v>0.08</v>
      </c>
    </row>
    <row r="1112" spans="1:31" s="27" customFormat="1" x14ac:dyDescent="0.2">
      <c r="A1112" s="250"/>
      <c r="B1112" s="210" t="s">
        <v>714</v>
      </c>
      <c r="C1112" s="210" t="s">
        <v>287</v>
      </c>
      <c r="D1112" s="210" t="s">
        <v>715</v>
      </c>
      <c r="E1112" s="210" t="s">
        <v>154</v>
      </c>
      <c r="F1112" s="210" t="s">
        <v>94</v>
      </c>
      <c r="G1112" s="210" t="s">
        <v>716</v>
      </c>
      <c r="H1112" s="197">
        <v>0</v>
      </c>
      <c r="I1112" s="210" t="s">
        <v>229</v>
      </c>
      <c r="J1112" s="210">
        <v>2024</v>
      </c>
      <c r="K1112" s="210">
        <v>2024</v>
      </c>
      <c r="L1112" s="268" t="str">
        <f t="shared" si="231"/>
        <v>Simple</v>
      </c>
      <c r="M1112" s="197">
        <v>7680.6291202198945</v>
      </c>
      <c r="N1112" s="197">
        <v>11520.943680329843</v>
      </c>
      <c r="O1112" s="257">
        <f>IF(ISNA(MATCH(H1112,'Operating leases'!$B$32:$B$43,0)),0,INDEX('Operating leases'!$M$32:$S$43,MATCH(H1112,'Operating leases'!$B$32:$B$43,0),MATCH(J1112,'Operating leases'!$M$11:$S$11,0)))</f>
        <v>0</v>
      </c>
      <c r="P1112" s="257">
        <f t="shared" si="232"/>
        <v>7680.6291202198945</v>
      </c>
      <c r="Q1112" s="257">
        <f t="shared" si="233"/>
        <v>19201.572800549737</v>
      </c>
      <c r="R1112" s="258">
        <f>INDEX('Escalators '!$M$124:$S$129,MATCH(I1112,'Escalators '!$B$124:$B$129,0),MATCH(J1112,'Escalators '!$M$113:$S$113,0))</f>
        <v>1.0731681760713303</v>
      </c>
      <c r="S1112" s="257">
        <f t="shared" si="234"/>
        <v>0</v>
      </c>
      <c r="T1112" s="257">
        <f t="shared" si="235"/>
        <v>12363.910116040097</v>
      </c>
      <c r="U1112" s="269">
        <f t="shared" si="236"/>
        <v>8242.6067440267288</v>
      </c>
      <c r="V1112" s="269">
        <f t="shared" si="237"/>
        <v>20606.516860066826</v>
      </c>
      <c r="W1112" s="269">
        <f t="shared" si="238"/>
        <v>8242.6067440267288</v>
      </c>
      <c r="X1112" s="257">
        <f t="shared" si="239"/>
        <v>20606.516860066826</v>
      </c>
      <c r="Y1112" s="270">
        <f>IF(L1112="Complex",(INDEX('Escalators '!$M$176:$S$176,MATCH('Forecast capex'!J1112,'Escalators '!$M$178:$S$178,0))/12+1)^((K1112-J1112)*12)-1,0)</f>
        <v>0</v>
      </c>
      <c r="Z1112" s="257">
        <f t="shared" si="240"/>
        <v>0</v>
      </c>
      <c r="AA1112" s="257">
        <f t="shared" si="241"/>
        <v>0</v>
      </c>
      <c r="AB1112" s="269">
        <f t="shared" si="242"/>
        <v>0</v>
      </c>
      <c r="AC1112" s="269">
        <f t="shared" si="243"/>
        <v>0</v>
      </c>
      <c r="AD1112" s="271" t="str">
        <f>INDEX('Global inputs'!$C$134:$C$171,MATCH(F1112,'Global inputs'!$B$134:$B$171,0))</f>
        <v>Consumer connection</v>
      </c>
      <c r="AE1112" s="272">
        <f>IF(OR(H1112='Operating leases'!$B$32,H1112='Operating leases'!$B$33),"",INDEX('Global inputs'!$C$186:$C$243,MATCH(E1112,'Global inputs'!$B$186:$B$243,0)))</f>
        <v>0.1</v>
      </c>
    </row>
    <row r="1113" spans="1:31" s="27" customFormat="1" x14ac:dyDescent="0.2">
      <c r="A1113" s="250"/>
      <c r="B1113" s="210" t="s">
        <v>714</v>
      </c>
      <c r="C1113" s="210" t="s">
        <v>287</v>
      </c>
      <c r="D1113" s="210" t="s">
        <v>715</v>
      </c>
      <c r="E1113" s="210" t="s">
        <v>154</v>
      </c>
      <c r="F1113" s="210" t="s">
        <v>94</v>
      </c>
      <c r="G1113" s="210" t="s">
        <v>716</v>
      </c>
      <c r="H1113" s="197">
        <v>0</v>
      </c>
      <c r="I1113" s="210" t="s">
        <v>221</v>
      </c>
      <c r="J1113" s="210">
        <v>2024</v>
      </c>
      <c r="K1113" s="210">
        <v>2024</v>
      </c>
      <c r="L1113" s="268" t="str">
        <f t="shared" si="231"/>
        <v>Simple</v>
      </c>
      <c r="M1113" s="197">
        <v>7680.6291202198945</v>
      </c>
      <c r="N1113" s="197">
        <v>11520.943680329843</v>
      </c>
      <c r="O1113" s="257">
        <f>IF(ISNA(MATCH(H1113,'Operating leases'!$B$32:$B$43,0)),0,INDEX('Operating leases'!$M$32:$S$43,MATCH(H1113,'Operating leases'!$B$32:$B$43,0),MATCH(J1113,'Operating leases'!$M$11:$S$11,0)))</f>
        <v>0</v>
      </c>
      <c r="P1113" s="257">
        <f t="shared" si="232"/>
        <v>7680.6291202198945</v>
      </c>
      <c r="Q1113" s="257">
        <f t="shared" si="233"/>
        <v>19201.572800549737</v>
      </c>
      <c r="R1113" s="258">
        <f>INDEX('Escalators '!$M$124:$S$129,MATCH(I1113,'Escalators '!$B$124:$B$129,0),MATCH(J1113,'Escalators '!$M$113:$S$113,0))</f>
        <v>1.06512715891222</v>
      </c>
      <c r="S1113" s="257">
        <f t="shared" si="234"/>
        <v>0</v>
      </c>
      <c r="T1113" s="257">
        <f t="shared" si="235"/>
        <v>12271.270010217422</v>
      </c>
      <c r="U1113" s="269">
        <f t="shared" si="236"/>
        <v>8180.8466734782796</v>
      </c>
      <c r="V1113" s="269">
        <f t="shared" si="237"/>
        <v>20452.116683695702</v>
      </c>
      <c r="W1113" s="269">
        <f t="shared" si="238"/>
        <v>8180.8466734782796</v>
      </c>
      <c r="X1113" s="257">
        <f t="shared" si="239"/>
        <v>20452.116683695702</v>
      </c>
      <c r="Y1113" s="270">
        <f>IF(L1113="Complex",(INDEX('Escalators '!$M$176:$S$176,MATCH('Forecast capex'!J1113,'Escalators '!$M$178:$S$178,0))/12+1)^((K1113-J1113)*12)-1,0)</f>
        <v>0</v>
      </c>
      <c r="Z1113" s="257">
        <f t="shared" si="240"/>
        <v>0</v>
      </c>
      <c r="AA1113" s="257">
        <f t="shared" si="241"/>
        <v>0</v>
      </c>
      <c r="AB1113" s="269">
        <f t="shared" si="242"/>
        <v>0</v>
      </c>
      <c r="AC1113" s="269">
        <f t="shared" si="243"/>
        <v>0</v>
      </c>
      <c r="AD1113" s="271" t="str">
        <f>INDEX('Global inputs'!$C$134:$C$171,MATCH(F1113,'Global inputs'!$B$134:$B$171,0))</f>
        <v>Consumer connection</v>
      </c>
      <c r="AE1113" s="272">
        <f>IF(OR(H1113='Operating leases'!$B$32,H1113='Operating leases'!$B$33),"",INDEX('Global inputs'!$C$186:$C$243,MATCH(E1113,'Global inputs'!$B$186:$B$243,0)))</f>
        <v>0.1</v>
      </c>
    </row>
    <row r="1114" spans="1:31" s="27" customFormat="1" x14ac:dyDescent="0.2">
      <c r="A1114" s="250"/>
      <c r="B1114" s="210" t="s">
        <v>714</v>
      </c>
      <c r="C1114" s="210" t="s">
        <v>284</v>
      </c>
      <c r="D1114" s="210" t="s">
        <v>715</v>
      </c>
      <c r="E1114" s="210" t="s">
        <v>127</v>
      </c>
      <c r="F1114" s="210" t="s">
        <v>94</v>
      </c>
      <c r="G1114" s="210" t="s">
        <v>717</v>
      </c>
      <c r="H1114" s="197">
        <v>0</v>
      </c>
      <c r="I1114" s="210" t="s">
        <v>229</v>
      </c>
      <c r="J1114" s="210">
        <v>2024</v>
      </c>
      <c r="K1114" s="210">
        <v>2024</v>
      </c>
      <c r="L1114" s="268" t="str">
        <f t="shared" si="231"/>
        <v>Simple</v>
      </c>
      <c r="M1114" s="197">
        <v>196.93920821076654</v>
      </c>
      <c r="N1114" s="197">
        <v>295.40881231614981</v>
      </c>
      <c r="O1114" s="257">
        <f>IF(ISNA(MATCH(H1114,'Operating leases'!$B$32:$B$43,0)),0,INDEX('Operating leases'!$M$32:$S$43,MATCH(H1114,'Operating leases'!$B$32:$B$43,0),MATCH(J1114,'Operating leases'!$M$11:$S$11,0)))</f>
        <v>0</v>
      </c>
      <c r="P1114" s="257">
        <f t="shared" si="232"/>
        <v>196.93920821076654</v>
      </c>
      <c r="Q1114" s="257">
        <f t="shared" si="233"/>
        <v>492.34802052691634</v>
      </c>
      <c r="R1114" s="258">
        <f>INDEX('Escalators '!$M$124:$S$129,MATCH(I1114,'Escalators '!$B$124:$B$129,0),MATCH(J1114,'Escalators '!$M$113:$S$113,0))</f>
        <v>1.0731681760713303</v>
      </c>
      <c r="S1114" s="257">
        <f t="shared" si="234"/>
        <v>0</v>
      </c>
      <c r="T1114" s="257">
        <f t="shared" si="235"/>
        <v>317.02333630872045</v>
      </c>
      <c r="U1114" s="269">
        <f t="shared" si="236"/>
        <v>211.3488908724803</v>
      </c>
      <c r="V1114" s="269">
        <f t="shared" si="237"/>
        <v>528.37222718120074</v>
      </c>
      <c r="W1114" s="269">
        <f t="shared" si="238"/>
        <v>211.3488908724803</v>
      </c>
      <c r="X1114" s="257">
        <f t="shared" si="239"/>
        <v>528.37222718120074</v>
      </c>
      <c r="Y1114" s="270">
        <f>IF(L1114="Complex",(INDEX('Escalators '!$M$176:$S$176,MATCH('Forecast capex'!J1114,'Escalators '!$M$178:$S$178,0))/12+1)^((K1114-J1114)*12)-1,0)</f>
        <v>0</v>
      </c>
      <c r="Z1114" s="257">
        <f t="shared" si="240"/>
        <v>0</v>
      </c>
      <c r="AA1114" s="257">
        <f t="shared" si="241"/>
        <v>0</v>
      </c>
      <c r="AB1114" s="269">
        <f t="shared" si="242"/>
        <v>0</v>
      </c>
      <c r="AC1114" s="269">
        <f t="shared" si="243"/>
        <v>0</v>
      </c>
      <c r="AD1114" s="271" t="str">
        <f>INDEX('Global inputs'!$C$134:$C$171,MATCH(F1114,'Global inputs'!$B$134:$B$171,0))</f>
        <v>Consumer connection</v>
      </c>
      <c r="AE1114" s="272">
        <f>IF(OR(H1114='Operating leases'!$B$32,H1114='Operating leases'!$B$33),"",INDEX('Global inputs'!$C$186:$C$243,MATCH(E1114,'Global inputs'!$B$186:$B$243,0)))</f>
        <v>0.08</v>
      </c>
    </row>
    <row r="1115" spans="1:31" s="27" customFormat="1" x14ac:dyDescent="0.2">
      <c r="A1115" s="250"/>
      <c r="B1115" s="210" t="s">
        <v>714</v>
      </c>
      <c r="C1115" s="210" t="s">
        <v>284</v>
      </c>
      <c r="D1115" s="210" t="s">
        <v>715</v>
      </c>
      <c r="E1115" s="210" t="s">
        <v>127</v>
      </c>
      <c r="F1115" s="210" t="s">
        <v>94</v>
      </c>
      <c r="G1115" s="210" t="s">
        <v>717</v>
      </c>
      <c r="H1115" s="197">
        <v>0</v>
      </c>
      <c r="I1115" s="210" t="s">
        <v>221</v>
      </c>
      <c r="J1115" s="210">
        <v>2024</v>
      </c>
      <c r="K1115" s="210">
        <v>2024</v>
      </c>
      <c r="L1115" s="268" t="str">
        <f t="shared" si="231"/>
        <v>Simple</v>
      </c>
      <c r="M1115" s="197">
        <v>196.93920821076654</v>
      </c>
      <c r="N1115" s="197">
        <v>295.40881231614981</v>
      </c>
      <c r="O1115" s="257">
        <f>IF(ISNA(MATCH(H1115,'Operating leases'!$B$32:$B$43,0)),0,INDEX('Operating leases'!$M$32:$S$43,MATCH(H1115,'Operating leases'!$B$32:$B$43,0),MATCH(J1115,'Operating leases'!$M$11:$S$11,0)))</f>
        <v>0</v>
      </c>
      <c r="P1115" s="257">
        <f t="shared" si="232"/>
        <v>196.93920821076654</v>
      </c>
      <c r="Q1115" s="257">
        <f t="shared" si="233"/>
        <v>492.34802052691634</v>
      </c>
      <c r="R1115" s="258">
        <f>INDEX('Escalators '!$M$124:$S$129,MATCH(I1115,'Escalators '!$B$124:$B$129,0),MATCH(J1115,'Escalators '!$M$113:$S$113,0))</f>
        <v>1.06512715891222</v>
      </c>
      <c r="S1115" s="257">
        <f t="shared" si="234"/>
        <v>0</v>
      </c>
      <c r="T1115" s="257">
        <f t="shared" si="235"/>
        <v>314.64794897993386</v>
      </c>
      <c r="U1115" s="269">
        <f t="shared" si="236"/>
        <v>209.76529931995594</v>
      </c>
      <c r="V1115" s="269">
        <f t="shared" si="237"/>
        <v>524.4132482998898</v>
      </c>
      <c r="W1115" s="269">
        <f t="shared" si="238"/>
        <v>209.76529931995594</v>
      </c>
      <c r="X1115" s="257">
        <f t="shared" si="239"/>
        <v>524.4132482998898</v>
      </c>
      <c r="Y1115" s="270">
        <f>IF(L1115="Complex",(INDEX('Escalators '!$M$176:$S$176,MATCH('Forecast capex'!J1115,'Escalators '!$M$178:$S$178,0))/12+1)^((K1115-J1115)*12)-1,0)</f>
        <v>0</v>
      </c>
      <c r="Z1115" s="257">
        <f t="shared" si="240"/>
        <v>0</v>
      </c>
      <c r="AA1115" s="257">
        <f t="shared" si="241"/>
        <v>0</v>
      </c>
      <c r="AB1115" s="269">
        <f t="shared" si="242"/>
        <v>0</v>
      </c>
      <c r="AC1115" s="269">
        <f t="shared" si="243"/>
        <v>0</v>
      </c>
      <c r="AD1115" s="271" t="str">
        <f>INDEX('Global inputs'!$C$134:$C$171,MATCH(F1115,'Global inputs'!$B$134:$B$171,0))</f>
        <v>Consumer connection</v>
      </c>
      <c r="AE1115" s="272">
        <f>IF(OR(H1115='Operating leases'!$B$32,H1115='Operating leases'!$B$33),"",INDEX('Global inputs'!$C$186:$C$243,MATCH(E1115,'Global inputs'!$B$186:$B$243,0)))</f>
        <v>0.08</v>
      </c>
    </row>
    <row r="1116" spans="1:31" s="27" customFormat="1" x14ac:dyDescent="0.2">
      <c r="A1116" s="250"/>
      <c r="B1116" s="210" t="s">
        <v>714</v>
      </c>
      <c r="C1116" s="210" t="s">
        <v>284</v>
      </c>
      <c r="D1116" s="210" t="s">
        <v>715</v>
      </c>
      <c r="E1116" s="210" t="s">
        <v>129</v>
      </c>
      <c r="F1116" s="210" t="s">
        <v>94</v>
      </c>
      <c r="G1116" s="210" t="s">
        <v>717</v>
      </c>
      <c r="H1116" s="197">
        <v>0</v>
      </c>
      <c r="I1116" s="210" t="s">
        <v>229</v>
      </c>
      <c r="J1116" s="210">
        <v>2024</v>
      </c>
      <c r="K1116" s="210">
        <v>2024</v>
      </c>
      <c r="L1116" s="268" t="str">
        <f t="shared" si="231"/>
        <v>Simple</v>
      </c>
      <c r="M1116" s="197">
        <v>196.93920821076654</v>
      </c>
      <c r="N1116" s="197">
        <v>295.40881231614981</v>
      </c>
      <c r="O1116" s="257">
        <f>IF(ISNA(MATCH(H1116,'Operating leases'!$B$32:$B$43,0)),0,INDEX('Operating leases'!$M$32:$S$43,MATCH(H1116,'Operating leases'!$B$32:$B$43,0),MATCH(J1116,'Operating leases'!$M$11:$S$11,0)))</f>
        <v>0</v>
      </c>
      <c r="P1116" s="257">
        <f t="shared" si="232"/>
        <v>196.93920821076654</v>
      </c>
      <c r="Q1116" s="257">
        <f t="shared" si="233"/>
        <v>492.34802052691634</v>
      </c>
      <c r="R1116" s="258">
        <f>INDEX('Escalators '!$M$124:$S$129,MATCH(I1116,'Escalators '!$B$124:$B$129,0),MATCH(J1116,'Escalators '!$M$113:$S$113,0))</f>
        <v>1.0731681760713303</v>
      </c>
      <c r="S1116" s="257">
        <f t="shared" si="234"/>
        <v>0</v>
      </c>
      <c r="T1116" s="257">
        <f t="shared" si="235"/>
        <v>317.02333630872045</v>
      </c>
      <c r="U1116" s="269">
        <f t="shared" si="236"/>
        <v>211.3488908724803</v>
      </c>
      <c r="V1116" s="269">
        <f t="shared" si="237"/>
        <v>528.37222718120074</v>
      </c>
      <c r="W1116" s="269">
        <f t="shared" si="238"/>
        <v>211.3488908724803</v>
      </c>
      <c r="X1116" s="257">
        <f t="shared" si="239"/>
        <v>528.37222718120074</v>
      </c>
      <c r="Y1116" s="270">
        <f>IF(L1116="Complex",(INDEX('Escalators '!$M$176:$S$176,MATCH('Forecast capex'!J1116,'Escalators '!$M$178:$S$178,0))/12+1)^((K1116-J1116)*12)-1,0)</f>
        <v>0</v>
      </c>
      <c r="Z1116" s="257">
        <f t="shared" si="240"/>
        <v>0</v>
      </c>
      <c r="AA1116" s="257">
        <f t="shared" si="241"/>
        <v>0</v>
      </c>
      <c r="AB1116" s="269">
        <f t="shared" si="242"/>
        <v>0</v>
      </c>
      <c r="AC1116" s="269">
        <f t="shared" si="243"/>
        <v>0</v>
      </c>
      <c r="AD1116" s="271" t="str">
        <f>INDEX('Global inputs'!$C$134:$C$171,MATCH(F1116,'Global inputs'!$B$134:$B$171,0))</f>
        <v>Consumer connection</v>
      </c>
      <c r="AE1116" s="272">
        <f>IF(OR(H1116='Operating leases'!$B$32,H1116='Operating leases'!$B$33),"",INDEX('Global inputs'!$C$186:$C$243,MATCH(E1116,'Global inputs'!$B$186:$B$243,0)))</f>
        <v>0.1</v>
      </c>
    </row>
    <row r="1117" spans="1:31" s="27" customFormat="1" x14ac:dyDescent="0.2">
      <c r="A1117" s="250"/>
      <c r="B1117" s="210" t="s">
        <v>714</v>
      </c>
      <c r="C1117" s="210" t="s">
        <v>284</v>
      </c>
      <c r="D1117" s="210" t="s">
        <v>715</v>
      </c>
      <c r="E1117" s="210" t="s">
        <v>129</v>
      </c>
      <c r="F1117" s="210" t="s">
        <v>94</v>
      </c>
      <c r="G1117" s="210" t="s">
        <v>717</v>
      </c>
      <c r="H1117" s="197">
        <v>0</v>
      </c>
      <c r="I1117" s="210" t="s">
        <v>221</v>
      </c>
      <c r="J1117" s="210">
        <v>2024</v>
      </c>
      <c r="K1117" s="210">
        <v>2024</v>
      </c>
      <c r="L1117" s="268" t="str">
        <f t="shared" si="231"/>
        <v>Simple</v>
      </c>
      <c r="M1117" s="197">
        <v>196.93920821076654</v>
      </c>
      <c r="N1117" s="197">
        <v>295.40881231614981</v>
      </c>
      <c r="O1117" s="257">
        <f>IF(ISNA(MATCH(H1117,'Operating leases'!$B$32:$B$43,0)),0,INDEX('Operating leases'!$M$32:$S$43,MATCH(H1117,'Operating leases'!$B$32:$B$43,0),MATCH(J1117,'Operating leases'!$M$11:$S$11,0)))</f>
        <v>0</v>
      </c>
      <c r="P1117" s="257">
        <f t="shared" si="232"/>
        <v>196.93920821076654</v>
      </c>
      <c r="Q1117" s="257">
        <f t="shared" si="233"/>
        <v>492.34802052691634</v>
      </c>
      <c r="R1117" s="258">
        <f>INDEX('Escalators '!$M$124:$S$129,MATCH(I1117,'Escalators '!$B$124:$B$129,0),MATCH(J1117,'Escalators '!$M$113:$S$113,0))</f>
        <v>1.06512715891222</v>
      </c>
      <c r="S1117" s="257">
        <f t="shared" si="234"/>
        <v>0</v>
      </c>
      <c r="T1117" s="257">
        <f t="shared" si="235"/>
        <v>314.64794897993386</v>
      </c>
      <c r="U1117" s="269">
        <f t="shared" si="236"/>
        <v>209.76529931995594</v>
      </c>
      <c r="V1117" s="269">
        <f t="shared" si="237"/>
        <v>524.4132482998898</v>
      </c>
      <c r="W1117" s="269">
        <f t="shared" si="238"/>
        <v>209.76529931995594</v>
      </c>
      <c r="X1117" s="257">
        <f t="shared" si="239"/>
        <v>524.4132482998898</v>
      </c>
      <c r="Y1117" s="270">
        <f>IF(L1117="Complex",(INDEX('Escalators '!$M$176:$S$176,MATCH('Forecast capex'!J1117,'Escalators '!$M$178:$S$178,0))/12+1)^((K1117-J1117)*12)-1,0)</f>
        <v>0</v>
      </c>
      <c r="Z1117" s="257">
        <f t="shared" si="240"/>
        <v>0</v>
      </c>
      <c r="AA1117" s="257">
        <f t="shared" si="241"/>
        <v>0</v>
      </c>
      <c r="AB1117" s="269">
        <f t="shared" si="242"/>
        <v>0</v>
      </c>
      <c r="AC1117" s="269">
        <f t="shared" si="243"/>
        <v>0</v>
      </c>
      <c r="AD1117" s="271" t="str">
        <f>INDEX('Global inputs'!$C$134:$C$171,MATCH(F1117,'Global inputs'!$B$134:$B$171,0))</f>
        <v>Consumer connection</v>
      </c>
      <c r="AE1117" s="272">
        <f>IF(OR(H1117='Operating leases'!$B$32,H1117='Operating leases'!$B$33),"",INDEX('Global inputs'!$C$186:$C$243,MATCH(E1117,'Global inputs'!$B$186:$B$243,0)))</f>
        <v>0.1</v>
      </c>
    </row>
    <row r="1118" spans="1:31" s="27" customFormat="1" x14ac:dyDescent="0.2">
      <c r="A1118" s="250"/>
      <c r="B1118" s="210" t="s">
        <v>714</v>
      </c>
      <c r="C1118" s="210" t="s">
        <v>287</v>
      </c>
      <c r="D1118" s="210" t="s">
        <v>715</v>
      </c>
      <c r="E1118" s="210" t="s">
        <v>150</v>
      </c>
      <c r="F1118" s="210" t="s">
        <v>94</v>
      </c>
      <c r="G1118" s="210" t="s">
        <v>717</v>
      </c>
      <c r="H1118" s="197">
        <v>0</v>
      </c>
      <c r="I1118" s="210" t="s">
        <v>229</v>
      </c>
      <c r="J1118" s="210">
        <v>2024</v>
      </c>
      <c r="K1118" s="210">
        <v>2024</v>
      </c>
      <c r="L1118" s="268" t="str">
        <f t="shared" si="231"/>
        <v>Simple</v>
      </c>
      <c r="M1118" s="197">
        <v>11816.352492645992</v>
      </c>
      <c r="N1118" s="197">
        <v>17724.528738968984</v>
      </c>
      <c r="O1118" s="257">
        <f>IF(ISNA(MATCH(H1118,'Operating leases'!$B$32:$B$43,0)),0,INDEX('Operating leases'!$M$32:$S$43,MATCH(H1118,'Operating leases'!$B$32:$B$43,0),MATCH(J1118,'Operating leases'!$M$11:$S$11,0)))</f>
        <v>0</v>
      </c>
      <c r="P1118" s="257">
        <f t="shared" si="232"/>
        <v>11816.352492645992</v>
      </c>
      <c r="Q1118" s="257">
        <f t="shared" si="233"/>
        <v>29540.881231614978</v>
      </c>
      <c r="R1118" s="258">
        <f>INDEX('Escalators '!$M$124:$S$129,MATCH(I1118,'Escalators '!$B$124:$B$129,0),MATCH(J1118,'Escalators '!$M$113:$S$113,0))</f>
        <v>1.0731681760713303</v>
      </c>
      <c r="S1118" s="257">
        <f t="shared" si="234"/>
        <v>0</v>
      </c>
      <c r="T1118" s="257">
        <f t="shared" si="235"/>
        <v>19021.400178523221</v>
      </c>
      <c r="U1118" s="269">
        <f t="shared" si="236"/>
        <v>12680.933452348818</v>
      </c>
      <c r="V1118" s="269">
        <f t="shared" si="237"/>
        <v>31702.333630872039</v>
      </c>
      <c r="W1118" s="269">
        <f t="shared" si="238"/>
        <v>12680.933452348818</v>
      </c>
      <c r="X1118" s="257">
        <f t="shared" si="239"/>
        <v>31702.333630872039</v>
      </c>
      <c r="Y1118" s="270">
        <f>IF(L1118="Complex",(INDEX('Escalators '!$M$176:$S$176,MATCH('Forecast capex'!J1118,'Escalators '!$M$178:$S$178,0))/12+1)^((K1118-J1118)*12)-1,0)</f>
        <v>0</v>
      </c>
      <c r="Z1118" s="257">
        <f t="shared" si="240"/>
        <v>0</v>
      </c>
      <c r="AA1118" s="257">
        <f t="shared" si="241"/>
        <v>0</v>
      </c>
      <c r="AB1118" s="269">
        <f t="shared" si="242"/>
        <v>0</v>
      </c>
      <c r="AC1118" s="269">
        <f t="shared" si="243"/>
        <v>0</v>
      </c>
      <c r="AD1118" s="271" t="str">
        <f>INDEX('Global inputs'!$C$134:$C$171,MATCH(F1118,'Global inputs'!$B$134:$B$171,0))</f>
        <v>Consumer connection</v>
      </c>
      <c r="AE1118" s="272">
        <f>IF(OR(H1118='Operating leases'!$B$32,H1118='Operating leases'!$B$33),"",INDEX('Global inputs'!$C$186:$C$243,MATCH(E1118,'Global inputs'!$B$186:$B$243,0)))</f>
        <v>0.08</v>
      </c>
    </row>
    <row r="1119" spans="1:31" s="27" customFormat="1" x14ac:dyDescent="0.2">
      <c r="A1119" s="250"/>
      <c r="B1119" s="210" t="s">
        <v>714</v>
      </c>
      <c r="C1119" s="210" t="s">
        <v>287</v>
      </c>
      <c r="D1119" s="210" t="s">
        <v>715</v>
      </c>
      <c r="E1119" s="210" t="s">
        <v>150</v>
      </c>
      <c r="F1119" s="210" t="s">
        <v>94</v>
      </c>
      <c r="G1119" s="210" t="s">
        <v>717</v>
      </c>
      <c r="H1119" s="197">
        <v>0</v>
      </c>
      <c r="I1119" s="210" t="s">
        <v>221</v>
      </c>
      <c r="J1119" s="210">
        <v>2024</v>
      </c>
      <c r="K1119" s="210">
        <v>2024</v>
      </c>
      <c r="L1119" s="268" t="str">
        <f t="shared" si="231"/>
        <v>Simple</v>
      </c>
      <c r="M1119" s="197">
        <v>11816.352492645992</v>
      </c>
      <c r="N1119" s="197">
        <v>17724.528738968984</v>
      </c>
      <c r="O1119" s="257">
        <f>IF(ISNA(MATCH(H1119,'Operating leases'!$B$32:$B$43,0)),0,INDEX('Operating leases'!$M$32:$S$43,MATCH(H1119,'Operating leases'!$B$32:$B$43,0),MATCH(J1119,'Operating leases'!$M$11:$S$11,0)))</f>
        <v>0</v>
      </c>
      <c r="P1119" s="257">
        <f t="shared" si="232"/>
        <v>11816.352492645992</v>
      </c>
      <c r="Q1119" s="257">
        <f t="shared" si="233"/>
        <v>29540.881231614978</v>
      </c>
      <c r="R1119" s="258">
        <f>INDEX('Escalators '!$M$124:$S$129,MATCH(I1119,'Escalators '!$B$124:$B$129,0),MATCH(J1119,'Escalators '!$M$113:$S$113,0))</f>
        <v>1.06512715891222</v>
      </c>
      <c r="S1119" s="257">
        <f t="shared" si="234"/>
        <v>0</v>
      </c>
      <c r="T1119" s="257">
        <f t="shared" si="235"/>
        <v>18878.876938796027</v>
      </c>
      <c r="U1119" s="269">
        <f t="shared" si="236"/>
        <v>12585.917959197355</v>
      </c>
      <c r="V1119" s="269">
        <f t="shared" si="237"/>
        <v>31464.794897993383</v>
      </c>
      <c r="W1119" s="269">
        <f t="shared" si="238"/>
        <v>12585.917959197355</v>
      </c>
      <c r="X1119" s="257">
        <f t="shared" si="239"/>
        <v>31464.794897993383</v>
      </c>
      <c r="Y1119" s="270">
        <f>IF(L1119="Complex",(INDEX('Escalators '!$M$176:$S$176,MATCH('Forecast capex'!J1119,'Escalators '!$M$178:$S$178,0))/12+1)^((K1119-J1119)*12)-1,0)</f>
        <v>0</v>
      </c>
      <c r="Z1119" s="257">
        <f t="shared" si="240"/>
        <v>0</v>
      </c>
      <c r="AA1119" s="257">
        <f t="shared" si="241"/>
        <v>0</v>
      </c>
      <c r="AB1119" s="269">
        <f t="shared" si="242"/>
        <v>0</v>
      </c>
      <c r="AC1119" s="269">
        <f t="shared" si="243"/>
        <v>0</v>
      </c>
      <c r="AD1119" s="271" t="str">
        <f>INDEX('Global inputs'!$C$134:$C$171,MATCH(F1119,'Global inputs'!$B$134:$B$171,0))</f>
        <v>Consumer connection</v>
      </c>
      <c r="AE1119" s="272">
        <f>IF(OR(H1119='Operating leases'!$B$32,H1119='Operating leases'!$B$33),"",INDEX('Global inputs'!$C$186:$C$243,MATCH(E1119,'Global inputs'!$B$186:$B$243,0)))</f>
        <v>0.08</v>
      </c>
    </row>
    <row r="1120" spans="1:31" s="27" customFormat="1" x14ac:dyDescent="0.2">
      <c r="A1120" s="250"/>
      <c r="B1120" s="210" t="s">
        <v>714</v>
      </c>
      <c r="C1120" s="210" t="s">
        <v>287</v>
      </c>
      <c r="D1120" s="210" t="s">
        <v>715</v>
      </c>
      <c r="E1120" s="210" t="s">
        <v>151</v>
      </c>
      <c r="F1120" s="210" t="s">
        <v>94</v>
      </c>
      <c r="G1120" s="210" t="s">
        <v>717</v>
      </c>
      <c r="H1120" s="197">
        <v>0</v>
      </c>
      <c r="I1120" s="210" t="s">
        <v>229</v>
      </c>
      <c r="J1120" s="210">
        <v>2024</v>
      </c>
      <c r="K1120" s="210">
        <v>2024</v>
      </c>
      <c r="L1120" s="268" t="str">
        <f t="shared" si="231"/>
        <v>Simple</v>
      </c>
      <c r="M1120" s="197">
        <v>11816.352492645992</v>
      </c>
      <c r="N1120" s="197">
        <v>17724.528738968984</v>
      </c>
      <c r="O1120" s="257">
        <f>IF(ISNA(MATCH(H1120,'Operating leases'!$B$32:$B$43,0)),0,INDEX('Operating leases'!$M$32:$S$43,MATCH(H1120,'Operating leases'!$B$32:$B$43,0),MATCH(J1120,'Operating leases'!$M$11:$S$11,0)))</f>
        <v>0</v>
      </c>
      <c r="P1120" s="257">
        <f t="shared" si="232"/>
        <v>11816.352492645992</v>
      </c>
      <c r="Q1120" s="257">
        <f t="shared" si="233"/>
        <v>29540.881231614978</v>
      </c>
      <c r="R1120" s="258">
        <f>INDEX('Escalators '!$M$124:$S$129,MATCH(I1120,'Escalators '!$B$124:$B$129,0),MATCH(J1120,'Escalators '!$M$113:$S$113,0))</f>
        <v>1.0731681760713303</v>
      </c>
      <c r="S1120" s="257">
        <f t="shared" si="234"/>
        <v>0</v>
      </c>
      <c r="T1120" s="257">
        <f t="shared" si="235"/>
        <v>19021.400178523221</v>
      </c>
      <c r="U1120" s="269">
        <f t="shared" si="236"/>
        <v>12680.933452348818</v>
      </c>
      <c r="V1120" s="269">
        <f t="shared" si="237"/>
        <v>31702.333630872039</v>
      </c>
      <c r="W1120" s="269">
        <f t="shared" si="238"/>
        <v>12680.933452348818</v>
      </c>
      <c r="X1120" s="257">
        <f t="shared" si="239"/>
        <v>31702.333630872039</v>
      </c>
      <c r="Y1120" s="270">
        <f>IF(L1120="Complex",(INDEX('Escalators '!$M$176:$S$176,MATCH('Forecast capex'!J1120,'Escalators '!$M$178:$S$178,0))/12+1)^((K1120-J1120)*12)-1,0)</f>
        <v>0</v>
      </c>
      <c r="Z1120" s="257">
        <f t="shared" si="240"/>
        <v>0</v>
      </c>
      <c r="AA1120" s="257">
        <f t="shared" si="241"/>
        <v>0</v>
      </c>
      <c r="AB1120" s="269">
        <f t="shared" si="242"/>
        <v>0</v>
      </c>
      <c r="AC1120" s="269">
        <f t="shared" si="243"/>
        <v>0</v>
      </c>
      <c r="AD1120" s="271" t="str">
        <f>INDEX('Global inputs'!$C$134:$C$171,MATCH(F1120,'Global inputs'!$B$134:$B$171,0))</f>
        <v>Consumer connection</v>
      </c>
      <c r="AE1120" s="272">
        <f>IF(OR(H1120='Operating leases'!$B$32,H1120='Operating leases'!$B$33),"",INDEX('Global inputs'!$C$186:$C$243,MATCH(E1120,'Global inputs'!$B$186:$B$243,0)))</f>
        <v>0.1</v>
      </c>
    </row>
    <row r="1121" spans="1:31" s="27" customFormat="1" x14ac:dyDescent="0.2">
      <c r="A1121" s="250"/>
      <c r="B1121" s="210" t="s">
        <v>714</v>
      </c>
      <c r="C1121" s="210" t="s">
        <v>287</v>
      </c>
      <c r="D1121" s="210" t="s">
        <v>715</v>
      </c>
      <c r="E1121" s="210" t="s">
        <v>151</v>
      </c>
      <c r="F1121" s="210" t="s">
        <v>94</v>
      </c>
      <c r="G1121" s="210" t="s">
        <v>717</v>
      </c>
      <c r="H1121" s="197">
        <v>0</v>
      </c>
      <c r="I1121" s="210" t="s">
        <v>221</v>
      </c>
      <c r="J1121" s="210">
        <v>2024</v>
      </c>
      <c r="K1121" s="210">
        <v>2024</v>
      </c>
      <c r="L1121" s="268" t="str">
        <f t="shared" si="231"/>
        <v>Simple</v>
      </c>
      <c r="M1121" s="197">
        <v>11816.352492645992</v>
      </c>
      <c r="N1121" s="197">
        <v>17724.528738968984</v>
      </c>
      <c r="O1121" s="257">
        <f>IF(ISNA(MATCH(H1121,'Operating leases'!$B$32:$B$43,0)),0,INDEX('Operating leases'!$M$32:$S$43,MATCH(H1121,'Operating leases'!$B$32:$B$43,0),MATCH(J1121,'Operating leases'!$M$11:$S$11,0)))</f>
        <v>0</v>
      </c>
      <c r="P1121" s="257">
        <f t="shared" si="232"/>
        <v>11816.352492645992</v>
      </c>
      <c r="Q1121" s="257">
        <f t="shared" si="233"/>
        <v>29540.881231614978</v>
      </c>
      <c r="R1121" s="258">
        <f>INDEX('Escalators '!$M$124:$S$129,MATCH(I1121,'Escalators '!$B$124:$B$129,0),MATCH(J1121,'Escalators '!$M$113:$S$113,0))</f>
        <v>1.06512715891222</v>
      </c>
      <c r="S1121" s="257">
        <f t="shared" si="234"/>
        <v>0</v>
      </c>
      <c r="T1121" s="257">
        <f t="shared" si="235"/>
        <v>18878.876938796027</v>
      </c>
      <c r="U1121" s="269">
        <f t="shared" si="236"/>
        <v>12585.917959197355</v>
      </c>
      <c r="V1121" s="269">
        <f t="shared" si="237"/>
        <v>31464.794897993383</v>
      </c>
      <c r="W1121" s="269">
        <f t="shared" si="238"/>
        <v>12585.917959197355</v>
      </c>
      <c r="X1121" s="257">
        <f t="shared" si="239"/>
        <v>31464.794897993383</v>
      </c>
      <c r="Y1121" s="270">
        <f>IF(L1121="Complex",(INDEX('Escalators '!$M$176:$S$176,MATCH('Forecast capex'!J1121,'Escalators '!$M$178:$S$178,0))/12+1)^((K1121-J1121)*12)-1,0)</f>
        <v>0</v>
      </c>
      <c r="Z1121" s="257">
        <f t="shared" si="240"/>
        <v>0</v>
      </c>
      <c r="AA1121" s="257">
        <f t="shared" si="241"/>
        <v>0</v>
      </c>
      <c r="AB1121" s="269">
        <f t="shared" si="242"/>
        <v>0</v>
      </c>
      <c r="AC1121" s="269">
        <f t="shared" si="243"/>
        <v>0</v>
      </c>
      <c r="AD1121" s="271" t="str">
        <f>INDEX('Global inputs'!$C$134:$C$171,MATCH(F1121,'Global inputs'!$B$134:$B$171,0))</f>
        <v>Consumer connection</v>
      </c>
      <c r="AE1121" s="272">
        <f>IF(OR(H1121='Operating leases'!$B$32,H1121='Operating leases'!$B$33),"",INDEX('Global inputs'!$C$186:$C$243,MATCH(E1121,'Global inputs'!$B$186:$B$243,0)))</f>
        <v>0.1</v>
      </c>
    </row>
    <row r="1122" spans="1:31" s="27" customFormat="1" x14ac:dyDescent="0.2">
      <c r="A1122" s="250"/>
      <c r="B1122" s="210" t="s">
        <v>714</v>
      </c>
      <c r="C1122" s="210" t="s">
        <v>287</v>
      </c>
      <c r="D1122" s="210" t="s">
        <v>715</v>
      </c>
      <c r="E1122" s="210" t="s">
        <v>153</v>
      </c>
      <c r="F1122" s="210" t="s">
        <v>94</v>
      </c>
      <c r="G1122" s="210" t="s">
        <v>717</v>
      </c>
      <c r="H1122" s="197">
        <v>0</v>
      </c>
      <c r="I1122" s="210" t="s">
        <v>229</v>
      </c>
      <c r="J1122" s="210">
        <v>2024</v>
      </c>
      <c r="K1122" s="210">
        <v>2024</v>
      </c>
      <c r="L1122" s="268" t="str">
        <f t="shared" si="231"/>
        <v>Simple</v>
      </c>
      <c r="M1122" s="197">
        <v>10240.83882695986</v>
      </c>
      <c r="N1122" s="197">
        <v>15361.258240439791</v>
      </c>
      <c r="O1122" s="257">
        <f>IF(ISNA(MATCH(H1122,'Operating leases'!$B$32:$B$43,0)),0,INDEX('Operating leases'!$M$32:$S$43,MATCH(H1122,'Operating leases'!$B$32:$B$43,0),MATCH(J1122,'Operating leases'!$M$11:$S$11,0)))</f>
        <v>0</v>
      </c>
      <c r="P1122" s="257">
        <f t="shared" si="232"/>
        <v>10240.83882695986</v>
      </c>
      <c r="Q1122" s="257">
        <f t="shared" si="233"/>
        <v>25602.097067399649</v>
      </c>
      <c r="R1122" s="258">
        <f>INDEX('Escalators '!$M$124:$S$129,MATCH(I1122,'Escalators '!$B$124:$B$129,0),MATCH(J1122,'Escalators '!$M$113:$S$113,0))</f>
        <v>1.0731681760713303</v>
      </c>
      <c r="S1122" s="257">
        <f t="shared" si="234"/>
        <v>0</v>
      </c>
      <c r="T1122" s="257">
        <f t="shared" si="235"/>
        <v>16485.213488053461</v>
      </c>
      <c r="U1122" s="269">
        <f t="shared" si="236"/>
        <v>10990.142325368975</v>
      </c>
      <c r="V1122" s="269">
        <f t="shared" si="237"/>
        <v>27475.355813422437</v>
      </c>
      <c r="W1122" s="269">
        <f t="shared" si="238"/>
        <v>10990.142325368975</v>
      </c>
      <c r="X1122" s="257">
        <f t="shared" si="239"/>
        <v>27475.355813422437</v>
      </c>
      <c r="Y1122" s="270">
        <f>IF(L1122="Complex",(INDEX('Escalators '!$M$176:$S$176,MATCH('Forecast capex'!J1122,'Escalators '!$M$178:$S$178,0))/12+1)^((K1122-J1122)*12)-1,0)</f>
        <v>0</v>
      </c>
      <c r="Z1122" s="257">
        <f t="shared" si="240"/>
        <v>0</v>
      </c>
      <c r="AA1122" s="257">
        <f t="shared" si="241"/>
        <v>0</v>
      </c>
      <c r="AB1122" s="269">
        <f t="shared" si="242"/>
        <v>0</v>
      </c>
      <c r="AC1122" s="269">
        <f t="shared" si="243"/>
        <v>0</v>
      </c>
      <c r="AD1122" s="271" t="str">
        <f>INDEX('Global inputs'!$C$134:$C$171,MATCH(F1122,'Global inputs'!$B$134:$B$171,0))</f>
        <v>Consumer connection</v>
      </c>
      <c r="AE1122" s="272">
        <f>IF(OR(H1122='Operating leases'!$B$32,H1122='Operating leases'!$B$33),"",INDEX('Global inputs'!$C$186:$C$243,MATCH(E1122,'Global inputs'!$B$186:$B$243,0)))</f>
        <v>0.08</v>
      </c>
    </row>
    <row r="1123" spans="1:31" s="27" customFormat="1" x14ac:dyDescent="0.2">
      <c r="A1123" s="250"/>
      <c r="B1123" s="210" t="s">
        <v>714</v>
      </c>
      <c r="C1123" s="210" t="s">
        <v>287</v>
      </c>
      <c r="D1123" s="210" t="s">
        <v>715</v>
      </c>
      <c r="E1123" s="210" t="s">
        <v>153</v>
      </c>
      <c r="F1123" s="210" t="s">
        <v>94</v>
      </c>
      <c r="G1123" s="210" t="s">
        <v>717</v>
      </c>
      <c r="H1123" s="197">
        <v>0</v>
      </c>
      <c r="I1123" s="210" t="s">
        <v>221</v>
      </c>
      <c r="J1123" s="210">
        <v>2024</v>
      </c>
      <c r="K1123" s="210">
        <v>2024</v>
      </c>
      <c r="L1123" s="268" t="str">
        <f t="shared" si="231"/>
        <v>Simple</v>
      </c>
      <c r="M1123" s="197">
        <v>10240.83882695986</v>
      </c>
      <c r="N1123" s="197">
        <v>15361.258240439791</v>
      </c>
      <c r="O1123" s="257">
        <f>IF(ISNA(MATCH(H1123,'Operating leases'!$B$32:$B$43,0)),0,INDEX('Operating leases'!$M$32:$S$43,MATCH(H1123,'Operating leases'!$B$32:$B$43,0),MATCH(J1123,'Operating leases'!$M$11:$S$11,0)))</f>
        <v>0</v>
      </c>
      <c r="P1123" s="257">
        <f t="shared" si="232"/>
        <v>10240.83882695986</v>
      </c>
      <c r="Q1123" s="257">
        <f t="shared" si="233"/>
        <v>25602.097067399649</v>
      </c>
      <c r="R1123" s="258">
        <f>INDEX('Escalators '!$M$124:$S$129,MATCH(I1123,'Escalators '!$B$124:$B$129,0),MATCH(J1123,'Escalators '!$M$113:$S$113,0))</f>
        <v>1.06512715891222</v>
      </c>
      <c r="S1123" s="257">
        <f t="shared" si="234"/>
        <v>0</v>
      </c>
      <c r="T1123" s="257">
        <f t="shared" si="235"/>
        <v>16361.693346956561</v>
      </c>
      <c r="U1123" s="269">
        <f t="shared" si="236"/>
        <v>10907.795564637707</v>
      </c>
      <c r="V1123" s="269">
        <f t="shared" si="237"/>
        <v>27269.488911594268</v>
      </c>
      <c r="W1123" s="269">
        <f t="shared" si="238"/>
        <v>10907.795564637707</v>
      </c>
      <c r="X1123" s="257">
        <f t="shared" si="239"/>
        <v>27269.488911594268</v>
      </c>
      <c r="Y1123" s="270">
        <f>IF(L1123="Complex",(INDEX('Escalators '!$M$176:$S$176,MATCH('Forecast capex'!J1123,'Escalators '!$M$178:$S$178,0))/12+1)^((K1123-J1123)*12)-1,0)</f>
        <v>0</v>
      </c>
      <c r="Z1123" s="257">
        <f t="shared" si="240"/>
        <v>0</v>
      </c>
      <c r="AA1123" s="257">
        <f t="shared" si="241"/>
        <v>0</v>
      </c>
      <c r="AB1123" s="269">
        <f t="shared" si="242"/>
        <v>0</v>
      </c>
      <c r="AC1123" s="269">
        <f t="shared" si="243"/>
        <v>0</v>
      </c>
      <c r="AD1123" s="271" t="str">
        <f>INDEX('Global inputs'!$C$134:$C$171,MATCH(F1123,'Global inputs'!$B$134:$B$171,0))</f>
        <v>Consumer connection</v>
      </c>
      <c r="AE1123" s="272">
        <f>IF(OR(H1123='Operating leases'!$B$32,H1123='Operating leases'!$B$33),"",INDEX('Global inputs'!$C$186:$C$243,MATCH(E1123,'Global inputs'!$B$186:$B$243,0)))</f>
        <v>0.08</v>
      </c>
    </row>
    <row r="1124" spans="1:31" s="27" customFormat="1" x14ac:dyDescent="0.2">
      <c r="A1124" s="250"/>
      <c r="B1124" s="210" t="s">
        <v>714</v>
      </c>
      <c r="C1124" s="210" t="s">
        <v>287</v>
      </c>
      <c r="D1124" s="210" t="s">
        <v>715</v>
      </c>
      <c r="E1124" s="210" t="s">
        <v>154</v>
      </c>
      <c r="F1124" s="210" t="s">
        <v>94</v>
      </c>
      <c r="G1124" s="210" t="s">
        <v>717</v>
      </c>
      <c r="H1124" s="197">
        <v>0</v>
      </c>
      <c r="I1124" s="210" t="s">
        <v>229</v>
      </c>
      <c r="J1124" s="210">
        <v>2024</v>
      </c>
      <c r="K1124" s="210">
        <v>2024</v>
      </c>
      <c r="L1124" s="268" t="str">
        <f t="shared" si="231"/>
        <v>Simple</v>
      </c>
      <c r="M1124" s="197">
        <v>10240.83882695986</v>
      </c>
      <c r="N1124" s="197">
        <v>15361.258240439791</v>
      </c>
      <c r="O1124" s="257">
        <f>IF(ISNA(MATCH(H1124,'Operating leases'!$B$32:$B$43,0)),0,INDEX('Operating leases'!$M$32:$S$43,MATCH(H1124,'Operating leases'!$B$32:$B$43,0),MATCH(J1124,'Operating leases'!$M$11:$S$11,0)))</f>
        <v>0</v>
      </c>
      <c r="P1124" s="257">
        <f t="shared" si="232"/>
        <v>10240.83882695986</v>
      </c>
      <c r="Q1124" s="257">
        <f t="shared" si="233"/>
        <v>25602.097067399649</v>
      </c>
      <c r="R1124" s="258">
        <f>INDEX('Escalators '!$M$124:$S$129,MATCH(I1124,'Escalators '!$B$124:$B$129,0),MATCH(J1124,'Escalators '!$M$113:$S$113,0))</f>
        <v>1.0731681760713303</v>
      </c>
      <c r="S1124" s="257">
        <f t="shared" si="234"/>
        <v>0</v>
      </c>
      <c r="T1124" s="257">
        <f t="shared" si="235"/>
        <v>16485.213488053461</v>
      </c>
      <c r="U1124" s="269">
        <f t="shared" si="236"/>
        <v>10990.142325368975</v>
      </c>
      <c r="V1124" s="269">
        <f t="shared" si="237"/>
        <v>27475.355813422437</v>
      </c>
      <c r="W1124" s="269">
        <f t="shared" si="238"/>
        <v>10990.142325368975</v>
      </c>
      <c r="X1124" s="257">
        <f t="shared" si="239"/>
        <v>27475.355813422437</v>
      </c>
      <c r="Y1124" s="270">
        <f>IF(L1124="Complex",(INDEX('Escalators '!$M$176:$S$176,MATCH('Forecast capex'!J1124,'Escalators '!$M$178:$S$178,0))/12+1)^((K1124-J1124)*12)-1,0)</f>
        <v>0</v>
      </c>
      <c r="Z1124" s="257">
        <f t="shared" si="240"/>
        <v>0</v>
      </c>
      <c r="AA1124" s="257">
        <f t="shared" si="241"/>
        <v>0</v>
      </c>
      <c r="AB1124" s="269">
        <f t="shared" si="242"/>
        <v>0</v>
      </c>
      <c r="AC1124" s="269">
        <f t="shared" si="243"/>
        <v>0</v>
      </c>
      <c r="AD1124" s="271" t="str">
        <f>INDEX('Global inputs'!$C$134:$C$171,MATCH(F1124,'Global inputs'!$B$134:$B$171,0))</f>
        <v>Consumer connection</v>
      </c>
      <c r="AE1124" s="272">
        <f>IF(OR(H1124='Operating leases'!$B$32,H1124='Operating leases'!$B$33),"",INDEX('Global inputs'!$C$186:$C$243,MATCH(E1124,'Global inputs'!$B$186:$B$243,0)))</f>
        <v>0.1</v>
      </c>
    </row>
    <row r="1125" spans="1:31" s="27" customFormat="1" x14ac:dyDescent="0.2">
      <c r="A1125" s="250"/>
      <c r="B1125" s="210" t="s">
        <v>714</v>
      </c>
      <c r="C1125" s="210" t="s">
        <v>287</v>
      </c>
      <c r="D1125" s="210" t="s">
        <v>715</v>
      </c>
      <c r="E1125" s="210" t="s">
        <v>154</v>
      </c>
      <c r="F1125" s="210" t="s">
        <v>94</v>
      </c>
      <c r="G1125" s="210" t="s">
        <v>717</v>
      </c>
      <c r="H1125" s="197">
        <v>0</v>
      </c>
      <c r="I1125" s="210" t="s">
        <v>221</v>
      </c>
      <c r="J1125" s="210">
        <v>2024</v>
      </c>
      <c r="K1125" s="210">
        <v>2024</v>
      </c>
      <c r="L1125" s="268" t="str">
        <f t="shared" si="231"/>
        <v>Simple</v>
      </c>
      <c r="M1125" s="197">
        <v>10240.83882695986</v>
      </c>
      <c r="N1125" s="197">
        <v>15361.258240439791</v>
      </c>
      <c r="O1125" s="257">
        <f>IF(ISNA(MATCH(H1125,'Operating leases'!$B$32:$B$43,0)),0,INDEX('Operating leases'!$M$32:$S$43,MATCH(H1125,'Operating leases'!$B$32:$B$43,0),MATCH(J1125,'Operating leases'!$M$11:$S$11,0)))</f>
        <v>0</v>
      </c>
      <c r="P1125" s="257">
        <f t="shared" si="232"/>
        <v>10240.83882695986</v>
      </c>
      <c r="Q1125" s="257">
        <f t="shared" si="233"/>
        <v>25602.097067399649</v>
      </c>
      <c r="R1125" s="258">
        <f>INDEX('Escalators '!$M$124:$S$129,MATCH(I1125,'Escalators '!$B$124:$B$129,0),MATCH(J1125,'Escalators '!$M$113:$S$113,0))</f>
        <v>1.06512715891222</v>
      </c>
      <c r="S1125" s="257">
        <f t="shared" si="234"/>
        <v>0</v>
      </c>
      <c r="T1125" s="257">
        <f t="shared" si="235"/>
        <v>16361.693346956561</v>
      </c>
      <c r="U1125" s="269">
        <f t="shared" si="236"/>
        <v>10907.795564637707</v>
      </c>
      <c r="V1125" s="269">
        <f t="shared" si="237"/>
        <v>27269.488911594268</v>
      </c>
      <c r="W1125" s="269">
        <f t="shared" si="238"/>
        <v>10907.795564637707</v>
      </c>
      <c r="X1125" s="257">
        <f t="shared" si="239"/>
        <v>27269.488911594268</v>
      </c>
      <c r="Y1125" s="270">
        <f>IF(L1125="Complex",(INDEX('Escalators '!$M$176:$S$176,MATCH('Forecast capex'!J1125,'Escalators '!$M$178:$S$178,0))/12+1)^((K1125-J1125)*12)-1,0)</f>
        <v>0</v>
      </c>
      <c r="Z1125" s="257">
        <f t="shared" si="240"/>
        <v>0</v>
      </c>
      <c r="AA1125" s="257">
        <f t="shared" si="241"/>
        <v>0</v>
      </c>
      <c r="AB1125" s="269">
        <f t="shared" si="242"/>
        <v>0</v>
      </c>
      <c r="AC1125" s="269">
        <f t="shared" si="243"/>
        <v>0</v>
      </c>
      <c r="AD1125" s="271" t="str">
        <f>INDEX('Global inputs'!$C$134:$C$171,MATCH(F1125,'Global inputs'!$B$134:$B$171,0))</f>
        <v>Consumer connection</v>
      </c>
      <c r="AE1125" s="272">
        <f>IF(OR(H1125='Operating leases'!$B$32,H1125='Operating leases'!$B$33),"",INDEX('Global inputs'!$C$186:$C$243,MATCH(E1125,'Global inputs'!$B$186:$B$243,0)))</f>
        <v>0.1</v>
      </c>
    </row>
    <row r="1126" spans="1:31" s="27" customFormat="1" x14ac:dyDescent="0.2">
      <c r="A1126" s="250"/>
      <c r="B1126" s="210" t="s">
        <v>714</v>
      </c>
      <c r="C1126" s="210" t="s">
        <v>286</v>
      </c>
      <c r="D1126" s="210" t="s">
        <v>732</v>
      </c>
      <c r="E1126" s="210" t="s">
        <v>140</v>
      </c>
      <c r="F1126" s="210" t="s">
        <v>94</v>
      </c>
      <c r="G1126" s="210" t="s">
        <v>733</v>
      </c>
      <c r="H1126" s="197">
        <v>0</v>
      </c>
      <c r="I1126" s="210" t="s">
        <v>142</v>
      </c>
      <c r="J1126" s="210">
        <v>2024</v>
      </c>
      <c r="K1126" s="210">
        <v>2024</v>
      </c>
      <c r="L1126" s="268" t="str">
        <f t="shared" si="231"/>
        <v>Simple</v>
      </c>
      <c r="M1126" s="197">
        <v>17488.201689116071</v>
      </c>
      <c r="N1126" s="197">
        <v>26232.302533674105</v>
      </c>
      <c r="O1126" s="257">
        <f>IF(ISNA(MATCH(H1126,'Operating leases'!$B$32:$B$43,0)),0,INDEX('Operating leases'!$M$32:$S$43,MATCH(H1126,'Operating leases'!$B$32:$B$43,0),MATCH(J1126,'Operating leases'!$M$11:$S$11,0)))</f>
        <v>0</v>
      </c>
      <c r="P1126" s="257">
        <f t="shared" si="232"/>
        <v>17488.201689116071</v>
      </c>
      <c r="Q1126" s="257">
        <f t="shared" si="233"/>
        <v>43720.504222790172</v>
      </c>
      <c r="R1126" s="258">
        <f>INDEX('Escalators '!$M$124:$S$129,MATCH(I1126,'Escalators '!$B$124:$B$129,0),MATCH(J1126,'Escalators '!$M$113:$S$113,0))</f>
        <v>1.06767964286932</v>
      </c>
      <c r="S1126" s="257">
        <f t="shared" si="234"/>
        <v>0</v>
      </c>
      <c r="T1126" s="257">
        <f t="shared" si="235"/>
        <v>28007.695400793127</v>
      </c>
      <c r="U1126" s="269">
        <f t="shared" si="236"/>
        <v>18671.796933862082</v>
      </c>
      <c r="V1126" s="269">
        <f t="shared" si="237"/>
        <v>46679.49233465521</v>
      </c>
      <c r="W1126" s="269">
        <f t="shared" si="238"/>
        <v>18671.796933862082</v>
      </c>
      <c r="X1126" s="257">
        <f t="shared" si="239"/>
        <v>46679.49233465521</v>
      </c>
      <c r="Y1126" s="270">
        <f>IF(L1126="Complex",(INDEX('Escalators '!$M$176:$S$176,MATCH('Forecast capex'!J1126,'Escalators '!$M$178:$S$178,0))/12+1)^((K1126-J1126)*12)-1,0)</f>
        <v>0</v>
      </c>
      <c r="Z1126" s="257">
        <f t="shared" si="240"/>
        <v>0</v>
      </c>
      <c r="AA1126" s="257">
        <f t="shared" si="241"/>
        <v>0</v>
      </c>
      <c r="AB1126" s="269">
        <f t="shared" si="242"/>
        <v>0</v>
      </c>
      <c r="AC1126" s="269">
        <f t="shared" si="243"/>
        <v>0</v>
      </c>
      <c r="AD1126" s="271" t="str">
        <f>INDEX('Global inputs'!$C$134:$C$171,MATCH(F1126,'Global inputs'!$B$134:$B$171,0))</f>
        <v>Consumer connection</v>
      </c>
      <c r="AE1126" s="272">
        <f>IF(OR(H1126='Operating leases'!$B$32,H1126='Operating leases'!$B$33),"",INDEX('Global inputs'!$C$186:$C$243,MATCH(E1126,'Global inputs'!$B$186:$B$243,0)))</f>
        <v>0.08</v>
      </c>
    </row>
    <row r="1127" spans="1:31" s="27" customFormat="1" x14ac:dyDescent="0.2">
      <c r="A1127" s="250"/>
      <c r="B1127" s="210" t="s">
        <v>714</v>
      </c>
      <c r="C1127" s="210" t="s">
        <v>286</v>
      </c>
      <c r="D1127" s="210" t="s">
        <v>732</v>
      </c>
      <c r="E1127" s="210" t="s">
        <v>140</v>
      </c>
      <c r="F1127" s="210" t="s">
        <v>94</v>
      </c>
      <c r="G1127" s="210" t="s">
        <v>733</v>
      </c>
      <c r="H1127" s="197">
        <v>0</v>
      </c>
      <c r="I1127" s="210" t="s">
        <v>221</v>
      </c>
      <c r="J1127" s="210">
        <v>2024</v>
      </c>
      <c r="K1127" s="210">
        <v>2024</v>
      </c>
      <c r="L1127" s="268" t="str">
        <f t="shared" si="231"/>
        <v>Simple</v>
      </c>
      <c r="M1127" s="197">
        <v>11658.801126077382</v>
      </c>
      <c r="N1127" s="197">
        <v>17488.201689116071</v>
      </c>
      <c r="O1127" s="257">
        <f>IF(ISNA(MATCH(H1127,'Operating leases'!$B$32:$B$43,0)),0,INDEX('Operating leases'!$M$32:$S$43,MATCH(H1127,'Operating leases'!$B$32:$B$43,0),MATCH(J1127,'Operating leases'!$M$11:$S$11,0)))</f>
        <v>0</v>
      </c>
      <c r="P1127" s="257">
        <f t="shared" si="232"/>
        <v>11658.801126077382</v>
      </c>
      <c r="Q1127" s="257">
        <f t="shared" si="233"/>
        <v>29147.002815193453</v>
      </c>
      <c r="R1127" s="258">
        <f>INDEX('Escalators '!$M$124:$S$129,MATCH(I1127,'Escalators '!$B$124:$B$129,0),MATCH(J1127,'Escalators '!$M$113:$S$113,0))</f>
        <v>1.06512715891222</v>
      </c>
      <c r="S1127" s="257">
        <f t="shared" si="234"/>
        <v>0</v>
      </c>
      <c r="T1127" s="257">
        <f t="shared" si="235"/>
        <v>18627.158579612089</v>
      </c>
      <c r="U1127" s="269">
        <f t="shared" si="236"/>
        <v>12418.10571974139</v>
      </c>
      <c r="V1127" s="269">
        <f t="shared" si="237"/>
        <v>31045.264299353479</v>
      </c>
      <c r="W1127" s="269">
        <f t="shared" si="238"/>
        <v>12418.10571974139</v>
      </c>
      <c r="X1127" s="257">
        <f t="shared" si="239"/>
        <v>31045.264299353479</v>
      </c>
      <c r="Y1127" s="270">
        <f>IF(L1127="Complex",(INDEX('Escalators '!$M$176:$S$176,MATCH('Forecast capex'!J1127,'Escalators '!$M$178:$S$178,0))/12+1)^((K1127-J1127)*12)-1,0)</f>
        <v>0</v>
      </c>
      <c r="Z1127" s="257">
        <f t="shared" si="240"/>
        <v>0</v>
      </c>
      <c r="AA1127" s="257">
        <f t="shared" si="241"/>
        <v>0</v>
      </c>
      <c r="AB1127" s="269">
        <f t="shared" si="242"/>
        <v>0</v>
      </c>
      <c r="AC1127" s="269">
        <f t="shared" si="243"/>
        <v>0</v>
      </c>
      <c r="AD1127" s="271" t="str">
        <f>INDEX('Global inputs'!$C$134:$C$171,MATCH(F1127,'Global inputs'!$B$134:$B$171,0))</f>
        <v>Consumer connection</v>
      </c>
      <c r="AE1127" s="272">
        <f>IF(OR(H1127='Operating leases'!$B$32,H1127='Operating leases'!$B$33),"",INDEX('Global inputs'!$C$186:$C$243,MATCH(E1127,'Global inputs'!$B$186:$B$243,0)))</f>
        <v>0.08</v>
      </c>
    </row>
    <row r="1128" spans="1:31" s="27" customFormat="1" x14ac:dyDescent="0.2">
      <c r="A1128" s="250"/>
      <c r="B1128" s="210" t="s">
        <v>714</v>
      </c>
      <c r="C1128" s="210" t="s">
        <v>286</v>
      </c>
      <c r="D1128" s="210" t="s">
        <v>732</v>
      </c>
      <c r="E1128" s="210" t="s">
        <v>141</v>
      </c>
      <c r="F1128" s="210" t="s">
        <v>94</v>
      </c>
      <c r="G1128" s="210" t="s">
        <v>734</v>
      </c>
      <c r="H1128" s="197">
        <v>0</v>
      </c>
      <c r="I1128" s="210" t="s">
        <v>142</v>
      </c>
      <c r="J1128" s="210">
        <v>2024</v>
      </c>
      <c r="K1128" s="210">
        <v>2024</v>
      </c>
      <c r="L1128" s="268" t="str">
        <f t="shared" si="231"/>
        <v>Simple</v>
      </c>
      <c r="M1128" s="197">
        <v>37182.122510192727</v>
      </c>
      <c r="N1128" s="197">
        <v>55773.183765289083</v>
      </c>
      <c r="O1128" s="257">
        <f>IF(ISNA(MATCH(H1128,'Operating leases'!$B$32:$B$43,0)),0,INDEX('Operating leases'!$M$32:$S$43,MATCH(H1128,'Operating leases'!$B$32:$B$43,0),MATCH(J1128,'Operating leases'!$M$11:$S$11,0)))</f>
        <v>0</v>
      </c>
      <c r="P1128" s="257">
        <f t="shared" si="232"/>
        <v>37182.122510192727</v>
      </c>
      <c r="Q1128" s="257">
        <f t="shared" si="233"/>
        <v>92955.306275481809</v>
      </c>
      <c r="R1128" s="258">
        <f>INDEX('Escalators '!$M$124:$S$129,MATCH(I1128,'Escalators '!$B$124:$B$129,0),MATCH(J1128,'Escalators '!$M$113:$S$113,0))</f>
        <v>1.06767964286932</v>
      </c>
      <c r="S1128" s="257">
        <f t="shared" si="234"/>
        <v>0</v>
      </c>
      <c r="T1128" s="257">
        <f t="shared" si="235"/>
        <v>59547.892924208805</v>
      </c>
      <c r="U1128" s="269">
        <f t="shared" si="236"/>
        <v>39698.59528280588</v>
      </c>
      <c r="V1128" s="269">
        <f t="shared" si="237"/>
        <v>99246.488207014685</v>
      </c>
      <c r="W1128" s="269">
        <f t="shared" si="238"/>
        <v>39698.59528280588</v>
      </c>
      <c r="X1128" s="257">
        <f t="shared" si="239"/>
        <v>99246.488207014685</v>
      </c>
      <c r="Y1128" s="270">
        <f>IF(L1128="Complex",(INDEX('Escalators '!$M$176:$S$176,MATCH('Forecast capex'!J1128,'Escalators '!$M$178:$S$178,0))/12+1)^((K1128-J1128)*12)-1,0)</f>
        <v>0</v>
      </c>
      <c r="Z1128" s="257">
        <f t="shared" si="240"/>
        <v>0</v>
      </c>
      <c r="AA1128" s="257">
        <f t="shared" si="241"/>
        <v>0</v>
      </c>
      <c r="AB1128" s="269">
        <f t="shared" si="242"/>
        <v>0</v>
      </c>
      <c r="AC1128" s="269">
        <f t="shared" si="243"/>
        <v>0</v>
      </c>
      <c r="AD1128" s="271" t="str">
        <f>INDEX('Global inputs'!$C$134:$C$171,MATCH(F1128,'Global inputs'!$B$134:$B$171,0))</f>
        <v>Consumer connection</v>
      </c>
      <c r="AE1128" s="272">
        <f>IF(OR(H1128='Operating leases'!$B$32,H1128='Operating leases'!$B$33),"",INDEX('Global inputs'!$C$186:$C$243,MATCH(E1128,'Global inputs'!$B$186:$B$243,0)))</f>
        <v>0.08</v>
      </c>
    </row>
    <row r="1129" spans="1:31" s="27" customFormat="1" x14ac:dyDescent="0.2">
      <c r="A1129" s="250"/>
      <c r="B1129" s="210" t="s">
        <v>714</v>
      </c>
      <c r="C1129" s="210" t="s">
        <v>286</v>
      </c>
      <c r="D1129" s="210" t="s">
        <v>732</v>
      </c>
      <c r="E1129" s="210" t="s">
        <v>141</v>
      </c>
      <c r="F1129" s="210" t="s">
        <v>94</v>
      </c>
      <c r="G1129" s="210" t="s">
        <v>734</v>
      </c>
      <c r="H1129" s="197">
        <v>0</v>
      </c>
      <c r="I1129" s="210" t="s">
        <v>221</v>
      </c>
      <c r="J1129" s="210">
        <v>2024</v>
      </c>
      <c r="K1129" s="210">
        <v>2024</v>
      </c>
      <c r="L1129" s="268" t="str">
        <f t="shared" si="231"/>
        <v>Simple</v>
      </c>
      <c r="M1129" s="197">
        <v>9295.5306275481817</v>
      </c>
      <c r="N1129" s="197">
        <v>13943.295941322271</v>
      </c>
      <c r="O1129" s="257">
        <f>IF(ISNA(MATCH(H1129,'Operating leases'!$B$32:$B$43,0)),0,INDEX('Operating leases'!$M$32:$S$43,MATCH(H1129,'Operating leases'!$B$32:$B$43,0),MATCH(J1129,'Operating leases'!$M$11:$S$11,0)))</f>
        <v>0</v>
      </c>
      <c r="P1129" s="257">
        <f t="shared" si="232"/>
        <v>9295.5306275481817</v>
      </c>
      <c r="Q1129" s="257">
        <f t="shared" si="233"/>
        <v>23238.826568870452</v>
      </c>
      <c r="R1129" s="258">
        <f>INDEX('Escalators '!$M$124:$S$129,MATCH(I1129,'Escalators '!$B$124:$B$129,0),MATCH(J1129,'Escalators '!$M$113:$S$113,0))</f>
        <v>1.06512715891222</v>
      </c>
      <c r="S1129" s="257">
        <f t="shared" si="234"/>
        <v>0</v>
      </c>
      <c r="T1129" s="257">
        <f t="shared" si="235"/>
        <v>14851.383191852878</v>
      </c>
      <c r="U1129" s="269">
        <f t="shared" si="236"/>
        <v>9900.9221279019221</v>
      </c>
      <c r="V1129" s="269">
        <f t="shared" si="237"/>
        <v>24752.3053197548</v>
      </c>
      <c r="W1129" s="269">
        <f t="shared" si="238"/>
        <v>9900.9221279019221</v>
      </c>
      <c r="X1129" s="257">
        <f t="shared" si="239"/>
        <v>24752.3053197548</v>
      </c>
      <c r="Y1129" s="270">
        <f>IF(L1129="Complex",(INDEX('Escalators '!$M$176:$S$176,MATCH('Forecast capex'!J1129,'Escalators '!$M$178:$S$178,0))/12+1)^((K1129-J1129)*12)-1,0)</f>
        <v>0</v>
      </c>
      <c r="Z1129" s="257">
        <f t="shared" si="240"/>
        <v>0</v>
      </c>
      <c r="AA1129" s="257">
        <f t="shared" si="241"/>
        <v>0</v>
      </c>
      <c r="AB1129" s="269">
        <f t="shared" si="242"/>
        <v>0</v>
      </c>
      <c r="AC1129" s="269">
        <f t="shared" si="243"/>
        <v>0</v>
      </c>
      <c r="AD1129" s="271" t="str">
        <f>INDEX('Global inputs'!$C$134:$C$171,MATCH(F1129,'Global inputs'!$B$134:$B$171,0))</f>
        <v>Consumer connection</v>
      </c>
      <c r="AE1129" s="272">
        <f>IF(OR(H1129='Operating leases'!$B$32,H1129='Operating leases'!$B$33),"",INDEX('Global inputs'!$C$186:$C$243,MATCH(E1129,'Global inputs'!$B$186:$B$243,0)))</f>
        <v>0.08</v>
      </c>
    </row>
    <row r="1130" spans="1:31" s="27" customFormat="1" x14ac:dyDescent="0.2">
      <c r="A1130" s="250"/>
      <c r="B1130" s="210" t="s">
        <v>714</v>
      </c>
      <c r="C1130" s="210" t="s">
        <v>290</v>
      </c>
      <c r="D1130" s="210" t="s">
        <v>718</v>
      </c>
      <c r="E1130" s="210" t="s">
        <v>173</v>
      </c>
      <c r="F1130" s="210" t="s">
        <v>94</v>
      </c>
      <c r="G1130" s="210" t="s">
        <v>719</v>
      </c>
      <c r="H1130" s="197">
        <v>0</v>
      </c>
      <c r="I1130" s="210" t="s">
        <v>142</v>
      </c>
      <c r="J1130" s="210">
        <v>2024</v>
      </c>
      <c r="K1130" s="210">
        <v>2024</v>
      </c>
      <c r="L1130" s="268" t="str">
        <f t="shared" si="231"/>
        <v>Simple</v>
      </c>
      <c r="M1130" s="197">
        <v>221202.118662333</v>
      </c>
      <c r="N1130" s="197">
        <v>331803.17799349944</v>
      </c>
      <c r="O1130" s="257">
        <f>IF(ISNA(MATCH(H1130,'Operating leases'!$B$32:$B$43,0)),0,INDEX('Operating leases'!$M$32:$S$43,MATCH(H1130,'Operating leases'!$B$32:$B$43,0),MATCH(J1130,'Operating leases'!$M$11:$S$11,0)))</f>
        <v>0</v>
      </c>
      <c r="P1130" s="257">
        <f t="shared" si="232"/>
        <v>221202.118662333</v>
      </c>
      <c r="Q1130" s="257">
        <f t="shared" si="233"/>
        <v>553005.29665583244</v>
      </c>
      <c r="R1130" s="258">
        <f>INDEX('Escalators '!$M$124:$S$129,MATCH(I1130,'Escalators '!$B$124:$B$129,0),MATCH(J1130,'Escalators '!$M$113:$S$113,0))</f>
        <v>1.06767964286932</v>
      </c>
      <c r="S1130" s="257">
        <f t="shared" si="234"/>
        <v>0</v>
      </c>
      <c r="T1130" s="257">
        <f t="shared" si="235"/>
        <v>354259.49858300493</v>
      </c>
      <c r="U1130" s="269">
        <f t="shared" si="236"/>
        <v>236172.9990553367</v>
      </c>
      <c r="V1130" s="269">
        <f t="shared" si="237"/>
        <v>590432.49763834162</v>
      </c>
      <c r="W1130" s="269">
        <f t="shared" si="238"/>
        <v>236172.9990553367</v>
      </c>
      <c r="X1130" s="257">
        <f t="shared" si="239"/>
        <v>590432.49763834162</v>
      </c>
      <c r="Y1130" s="270">
        <f>IF(L1130="Complex",(INDEX('Escalators '!$M$176:$S$176,MATCH('Forecast capex'!J1130,'Escalators '!$M$178:$S$178,0))/12+1)^((K1130-J1130)*12)-1,0)</f>
        <v>0</v>
      </c>
      <c r="Z1130" s="257">
        <f t="shared" si="240"/>
        <v>0</v>
      </c>
      <c r="AA1130" s="257">
        <f t="shared" si="241"/>
        <v>0</v>
      </c>
      <c r="AB1130" s="269">
        <f t="shared" si="242"/>
        <v>0</v>
      </c>
      <c r="AC1130" s="269">
        <f t="shared" si="243"/>
        <v>0</v>
      </c>
      <c r="AD1130" s="271" t="str">
        <f>INDEX('Global inputs'!$C$134:$C$171,MATCH(F1130,'Global inputs'!$B$134:$B$171,0))</f>
        <v>Consumer connection</v>
      </c>
      <c r="AE1130" s="272">
        <f>IF(OR(H1130='Operating leases'!$B$32,H1130='Operating leases'!$B$33),"",INDEX('Global inputs'!$C$186:$C$243,MATCH(E1130,'Global inputs'!$B$186:$B$243,0)))</f>
        <v>0.08</v>
      </c>
    </row>
    <row r="1131" spans="1:31" s="27" customFormat="1" x14ac:dyDescent="0.2">
      <c r="A1131" s="250"/>
      <c r="B1131" s="210" t="s">
        <v>714</v>
      </c>
      <c r="C1131" s="210" t="s">
        <v>290</v>
      </c>
      <c r="D1131" s="210" t="s">
        <v>718</v>
      </c>
      <c r="E1131" s="210" t="s">
        <v>173</v>
      </c>
      <c r="F1131" s="210" t="s">
        <v>94</v>
      </c>
      <c r="G1131" s="210" t="s">
        <v>719</v>
      </c>
      <c r="H1131" s="197">
        <v>0</v>
      </c>
      <c r="I1131" s="210" t="s">
        <v>221</v>
      </c>
      <c r="J1131" s="210">
        <v>2024</v>
      </c>
      <c r="K1131" s="210">
        <v>2024</v>
      </c>
      <c r="L1131" s="268" t="str">
        <f t="shared" si="231"/>
        <v>Simple</v>
      </c>
      <c r="M1131" s="197">
        <v>55300.52966558325</v>
      </c>
      <c r="N1131" s="197">
        <v>82950.79449837486</v>
      </c>
      <c r="O1131" s="257">
        <f>IF(ISNA(MATCH(H1131,'Operating leases'!$B$32:$B$43,0)),0,INDEX('Operating leases'!$M$32:$S$43,MATCH(H1131,'Operating leases'!$B$32:$B$43,0),MATCH(J1131,'Operating leases'!$M$11:$S$11,0)))</f>
        <v>0</v>
      </c>
      <c r="P1131" s="257">
        <f t="shared" si="232"/>
        <v>55300.52966558325</v>
      </c>
      <c r="Q1131" s="257">
        <f t="shared" si="233"/>
        <v>138251.32416395811</v>
      </c>
      <c r="R1131" s="258">
        <f>INDEX('Escalators '!$M$124:$S$129,MATCH(I1131,'Escalators '!$B$124:$B$129,0),MATCH(J1131,'Escalators '!$M$113:$S$113,0))</f>
        <v>1.06512715891222</v>
      </c>
      <c r="S1131" s="257">
        <f t="shared" si="234"/>
        <v>0</v>
      </c>
      <c r="T1131" s="257">
        <f t="shared" si="235"/>
        <v>88353.144073565418</v>
      </c>
      <c r="U1131" s="269">
        <f t="shared" si="236"/>
        <v>58902.096049043626</v>
      </c>
      <c r="V1131" s="269">
        <f t="shared" si="237"/>
        <v>147255.24012260904</v>
      </c>
      <c r="W1131" s="269">
        <f t="shared" si="238"/>
        <v>58902.096049043626</v>
      </c>
      <c r="X1131" s="257">
        <f t="shared" si="239"/>
        <v>147255.24012260904</v>
      </c>
      <c r="Y1131" s="270">
        <f>IF(L1131="Complex",(INDEX('Escalators '!$M$176:$S$176,MATCH('Forecast capex'!J1131,'Escalators '!$M$178:$S$178,0))/12+1)^((K1131-J1131)*12)-1,0)</f>
        <v>0</v>
      </c>
      <c r="Z1131" s="257">
        <f t="shared" si="240"/>
        <v>0</v>
      </c>
      <c r="AA1131" s="257">
        <f t="shared" si="241"/>
        <v>0</v>
      </c>
      <c r="AB1131" s="269">
        <f t="shared" si="242"/>
        <v>0</v>
      </c>
      <c r="AC1131" s="269">
        <f t="shared" si="243"/>
        <v>0</v>
      </c>
      <c r="AD1131" s="271" t="str">
        <f>INDEX('Global inputs'!$C$134:$C$171,MATCH(F1131,'Global inputs'!$B$134:$B$171,0))</f>
        <v>Consumer connection</v>
      </c>
      <c r="AE1131" s="272">
        <f>IF(OR(H1131='Operating leases'!$B$32,H1131='Operating leases'!$B$33),"",INDEX('Global inputs'!$C$186:$C$243,MATCH(E1131,'Global inputs'!$B$186:$B$243,0)))</f>
        <v>0.08</v>
      </c>
    </row>
    <row r="1132" spans="1:31" s="27" customFormat="1" x14ac:dyDescent="0.2">
      <c r="A1132" s="250"/>
      <c r="B1132" s="210" t="s">
        <v>714</v>
      </c>
      <c r="C1132" s="210" t="s">
        <v>290</v>
      </c>
      <c r="D1132" s="210" t="s">
        <v>718</v>
      </c>
      <c r="E1132" s="210" t="s">
        <v>168</v>
      </c>
      <c r="F1132" s="210" t="s">
        <v>94</v>
      </c>
      <c r="G1132" s="210" t="s">
        <v>720</v>
      </c>
      <c r="H1132" s="197">
        <v>0</v>
      </c>
      <c r="I1132" s="210" t="s">
        <v>229</v>
      </c>
      <c r="J1132" s="210">
        <v>2024</v>
      </c>
      <c r="K1132" s="210">
        <v>2024</v>
      </c>
      <c r="L1132" s="268" t="str">
        <f t="shared" si="231"/>
        <v>Simple</v>
      </c>
      <c r="M1132" s="197">
        <v>65541.368492543101</v>
      </c>
      <c r="N1132" s="197">
        <v>98312.052738814658</v>
      </c>
      <c r="O1132" s="257">
        <f>IF(ISNA(MATCH(H1132,'Operating leases'!$B$32:$B$43,0)),0,INDEX('Operating leases'!$M$32:$S$43,MATCH(H1132,'Operating leases'!$B$32:$B$43,0),MATCH(J1132,'Operating leases'!$M$11:$S$11,0)))</f>
        <v>0</v>
      </c>
      <c r="P1132" s="257">
        <f t="shared" si="232"/>
        <v>65541.368492543101</v>
      </c>
      <c r="Q1132" s="257">
        <f t="shared" si="233"/>
        <v>163853.42123135776</v>
      </c>
      <c r="R1132" s="258">
        <f>INDEX('Escalators '!$M$124:$S$129,MATCH(I1132,'Escalators '!$B$124:$B$129,0),MATCH(J1132,'Escalators '!$M$113:$S$113,0))</f>
        <v>1.0731681760713303</v>
      </c>
      <c r="S1132" s="257">
        <f t="shared" si="234"/>
        <v>0</v>
      </c>
      <c r="T1132" s="257">
        <f t="shared" si="235"/>
        <v>105505.36632354216</v>
      </c>
      <c r="U1132" s="269">
        <f t="shared" si="236"/>
        <v>70336.910882361452</v>
      </c>
      <c r="V1132" s="269">
        <f t="shared" si="237"/>
        <v>175842.27720590361</v>
      </c>
      <c r="W1132" s="269">
        <f t="shared" si="238"/>
        <v>70336.910882361452</v>
      </c>
      <c r="X1132" s="257">
        <f t="shared" si="239"/>
        <v>175842.27720590361</v>
      </c>
      <c r="Y1132" s="270">
        <f>IF(L1132="Complex",(INDEX('Escalators '!$M$176:$S$176,MATCH('Forecast capex'!J1132,'Escalators '!$M$178:$S$178,0))/12+1)^((K1132-J1132)*12)-1,0)</f>
        <v>0</v>
      </c>
      <c r="Z1132" s="257">
        <f t="shared" si="240"/>
        <v>0</v>
      </c>
      <c r="AA1132" s="257">
        <f t="shared" si="241"/>
        <v>0</v>
      </c>
      <c r="AB1132" s="269">
        <f t="shared" si="242"/>
        <v>0</v>
      </c>
      <c r="AC1132" s="269">
        <f t="shared" si="243"/>
        <v>0</v>
      </c>
      <c r="AD1132" s="271" t="str">
        <f>INDEX('Global inputs'!$C$134:$C$171,MATCH(F1132,'Global inputs'!$B$134:$B$171,0))</f>
        <v>Consumer connection</v>
      </c>
      <c r="AE1132" s="272">
        <f>IF(OR(H1132='Operating leases'!$B$32,H1132='Operating leases'!$B$33),"",INDEX('Global inputs'!$C$186:$C$243,MATCH(E1132,'Global inputs'!$B$186:$B$243,0)))</f>
        <v>0.08</v>
      </c>
    </row>
    <row r="1133" spans="1:31" s="27" customFormat="1" x14ac:dyDescent="0.2">
      <c r="A1133" s="250"/>
      <c r="B1133" s="210" t="s">
        <v>714</v>
      </c>
      <c r="C1133" s="210" t="s">
        <v>290</v>
      </c>
      <c r="D1133" s="210" t="s">
        <v>718</v>
      </c>
      <c r="E1133" s="210" t="s">
        <v>168</v>
      </c>
      <c r="F1133" s="210" t="s">
        <v>94</v>
      </c>
      <c r="G1133" s="210" t="s">
        <v>720</v>
      </c>
      <c r="H1133" s="197">
        <v>0</v>
      </c>
      <c r="I1133" s="210" t="s">
        <v>221</v>
      </c>
      <c r="J1133" s="210">
        <v>2024</v>
      </c>
      <c r="K1133" s="210">
        <v>2024</v>
      </c>
      <c r="L1133" s="268" t="str">
        <f t="shared" si="231"/>
        <v>Simple</v>
      </c>
      <c r="M1133" s="197">
        <v>16385.342123135775</v>
      </c>
      <c r="N1133" s="197">
        <v>24578.013184703665</v>
      </c>
      <c r="O1133" s="257">
        <f>IF(ISNA(MATCH(H1133,'Operating leases'!$B$32:$B$43,0)),0,INDEX('Operating leases'!$M$32:$S$43,MATCH(H1133,'Operating leases'!$B$32:$B$43,0),MATCH(J1133,'Operating leases'!$M$11:$S$11,0)))</f>
        <v>0</v>
      </c>
      <c r="P1133" s="257">
        <f t="shared" si="232"/>
        <v>16385.342123135775</v>
      </c>
      <c r="Q1133" s="257">
        <f t="shared" si="233"/>
        <v>40963.35530783944</v>
      </c>
      <c r="R1133" s="258">
        <f>INDEX('Escalators '!$M$124:$S$129,MATCH(I1133,'Escalators '!$B$124:$B$129,0),MATCH(J1133,'Escalators '!$M$113:$S$113,0))</f>
        <v>1.06512715891222</v>
      </c>
      <c r="S1133" s="257">
        <f t="shared" si="234"/>
        <v>0</v>
      </c>
      <c r="T1133" s="257">
        <f t="shared" si="235"/>
        <v>26178.709355130497</v>
      </c>
      <c r="U1133" s="269">
        <f t="shared" si="236"/>
        <v>17452.47290342033</v>
      </c>
      <c r="V1133" s="269">
        <f t="shared" si="237"/>
        <v>43631.182258550827</v>
      </c>
      <c r="W1133" s="269">
        <f t="shared" si="238"/>
        <v>17452.47290342033</v>
      </c>
      <c r="X1133" s="257">
        <f t="shared" si="239"/>
        <v>43631.182258550827</v>
      </c>
      <c r="Y1133" s="270">
        <f>IF(L1133="Complex",(INDEX('Escalators '!$M$176:$S$176,MATCH('Forecast capex'!J1133,'Escalators '!$M$178:$S$178,0))/12+1)^((K1133-J1133)*12)-1,0)</f>
        <v>0</v>
      </c>
      <c r="Z1133" s="257">
        <f t="shared" si="240"/>
        <v>0</v>
      </c>
      <c r="AA1133" s="257">
        <f t="shared" si="241"/>
        <v>0</v>
      </c>
      <c r="AB1133" s="269">
        <f t="shared" si="242"/>
        <v>0</v>
      </c>
      <c r="AC1133" s="269">
        <f t="shared" si="243"/>
        <v>0</v>
      </c>
      <c r="AD1133" s="271" t="str">
        <f>INDEX('Global inputs'!$C$134:$C$171,MATCH(F1133,'Global inputs'!$B$134:$B$171,0))</f>
        <v>Consumer connection</v>
      </c>
      <c r="AE1133" s="272">
        <f>IF(OR(H1133='Operating leases'!$B$32,H1133='Operating leases'!$B$33),"",INDEX('Global inputs'!$C$186:$C$243,MATCH(E1133,'Global inputs'!$B$186:$B$243,0)))</f>
        <v>0.08</v>
      </c>
    </row>
    <row r="1134" spans="1:31" s="27" customFormat="1" x14ac:dyDescent="0.2">
      <c r="A1134" s="250"/>
      <c r="B1134" s="210" t="s">
        <v>714</v>
      </c>
      <c r="C1134" s="210" t="s">
        <v>290</v>
      </c>
      <c r="D1134" s="210" t="s">
        <v>718</v>
      </c>
      <c r="E1134" s="210" t="s">
        <v>170</v>
      </c>
      <c r="F1134" s="210" t="s">
        <v>94</v>
      </c>
      <c r="G1134" s="210" t="s">
        <v>721</v>
      </c>
      <c r="H1134" s="197">
        <v>0</v>
      </c>
      <c r="I1134" s="210" t="s">
        <v>229</v>
      </c>
      <c r="J1134" s="210">
        <v>2024</v>
      </c>
      <c r="K1134" s="210">
        <v>2024</v>
      </c>
      <c r="L1134" s="268" t="str">
        <f t="shared" si="231"/>
        <v>Simple</v>
      </c>
      <c r="M1134" s="197">
        <v>109104.32134876467</v>
      </c>
      <c r="N1134" s="197">
        <v>163656.48202314696</v>
      </c>
      <c r="O1134" s="257">
        <f>IF(ISNA(MATCH(H1134,'Operating leases'!$B$32:$B$43,0)),0,INDEX('Operating leases'!$M$32:$S$43,MATCH(H1134,'Operating leases'!$B$32:$B$43,0),MATCH(J1134,'Operating leases'!$M$11:$S$11,0)))</f>
        <v>0</v>
      </c>
      <c r="P1134" s="257">
        <f t="shared" si="232"/>
        <v>109104.32134876467</v>
      </c>
      <c r="Q1134" s="257">
        <f t="shared" si="233"/>
        <v>272760.80337191164</v>
      </c>
      <c r="R1134" s="258">
        <f>INDEX('Escalators '!$M$124:$S$129,MATCH(I1134,'Escalators '!$B$124:$B$129,0),MATCH(J1134,'Escalators '!$M$113:$S$113,0))</f>
        <v>1.0731681760713303</v>
      </c>
      <c r="S1134" s="257">
        <f t="shared" si="234"/>
        <v>0</v>
      </c>
      <c r="T1134" s="257">
        <f t="shared" si="235"/>
        <v>175630.92831503108</v>
      </c>
      <c r="U1134" s="269">
        <f t="shared" si="236"/>
        <v>117087.28554335408</v>
      </c>
      <c r="V1134" s="269">
        <f t="shared" si="237"/>
        <v>292718.21385838516</v>
      </c>
      <c r="W1134" s="269">
        <f t="shared" si="238"/>
        <v>117087.28554335408</v>
      </c>
      <c r="X1134" s="257">
        <f t="shared" si="239"/>
        <v>292718.21385838516</v>
      </c>
      <c r="Y1134" s="270">
        <f>IF(L1134="Complex",(INDEX('Escalators '!$M$176:$S$176,MATCH('Forecast capex'!J1134,'Escalators '!$M$178:$S$178,0))/12+1)^((K1134-J1134)*12)-1,0)</f>
        <v>0</v>
      </c>
      <c r="Z1134" s="257">
        <f t="shared" si="240"/>
        <v>0</v>
      </c>
      <c r="AA1134" s="257">
        <f t="shared" si="241"/>
        <v>0</v>
      </c>
      <c r="AB1134" s="269">
        <f t="shared" si="242"/>
        <v>0</v>
      </c>
      <c r="AC1134" s="269">
        <f t="shared" si="243"/>
        <v>0</v>
      </c>
      <c r="AD1134" s="271" t="str">
        <f>INDEX('Global inputs'!$C$134:$C$171,MATCH(F1134,'Global inputs'!$B$134:$B$171,0))</f>
        <v>Consumer connection</v>
      </c>
      <c r="AE1134" s="272">
        <f>IF(OR(H1134='Operating leases'!$B$32,H1134='Operating leases'!$B$33),"",INDEX('Global inputs'!$C$186:$C$243,MATCH(E1134,'Global inputs'!$B$186:$B$243,0)))</f>
        <v>0.08</v>
      </c>
    </row>
    <row r="1135" spans="1:31" s="27" customFormat="1" x14ac:dyDescent="0.2">
      <c r="A1135" s="250"/>
      <c r="B1135" s="210" t="s">
        <v>714</v>
      </c>
      <c r="C1135" s="210" t="s">
        <v>290</v>
      </c>
      <c r="D1135" s="210" t="s">
        <v>718</v>
      </c>
      <c r="E1135" s="210" t="s">
        <v>170</v>
      </c>
      <c r="F1135" s="210" t="s">
        <v>94</v>
      </c>
      <c r="G1135" s="210" t="s">
        <v>721</v>
      </c>
      <c r="H1135" s="197">
        <v>0</v>
      </c>
      <c r="I1135" s="210" t="s">
        <v>221</v>
      </c>
      <c r="J1135" s="210">
        <v>2024</v>
      </c>
      <c r="K1135" s="210">
        <v>2024</v>
      </c>
      <c r="L1135" s="268" t="str">
        <f t="shared" si="231"/>
        <v>Simple</v>
      </c>
      <c r="M1135" s="197">
        <v>109104.32134876467</v>
      </c>
      <c r="N1135" s="197">
        <v>163656.48202314696</v>
      </c>
      <c r="O1135" s="257">
        <f>IF(ISNA(MATCH(H1135,'Operating leases'!$B$32:$B$43,0)),0,INDEX('Operating leases'!$M$32:$S$43,MATCH(H1135,'Operating leases'!$B$32:$B$43,0),MATCH(J1135,'Operating leases'!$M$11:$S$11,0)))</f>
        <v>0</v>
      </c>
      <c r="P1135" s="257">
        <f t="shared" si="232"/>
        <v>109104.32134876467</v>
      </c>
      <c r="Q1135" s="257">
        <f t="shared" si="233"/>
        <v>272760.80337191164</v>
      </c>
      <c r="R1135" s="258">
        <f>INDEX('Escalators '!$M$124:$S$129,MATCH(I1135,'Escalators '!$B$124:$B$129,0),MATCH(J1135,'Escalators '!$M$113:$S$113,0))</f>
        <v>1.06512715891222</v>
      </c>
      <c r="S1135" s="257">
        <f t="shared" si="234"/>
        <v>0</v>
      </c>
      <c r="T1135" s="257">
        <f t="shared" si="235"/>
        <v>174314.96373488332</v>
      </c>
      <c r="U1135" s="269">
        <f t="shared" si="236"/>
        <v>116209.97582325558</v>
      </c>
      <c r="V1135" s="269">
        <f t="shared" si="237"/>
        <v>290524.9395581389</v>
      </c>
      <c r="W1135" s="269">
        <f t="shared" si="238"/>
        <v>116209.97582325558</v>
      </c>
      <c r="X1135" s="257">
        <f t="shared" si="239"/>
        <v>290524.9395581389</v>
      </c>
      <c r="Y1135" s="270">
        <f>IF(L1135="Complex",(INDEX('Escalators '!$M$176:$S$176,MATCH('Forecast capex'!J1135,'Escalators '!$M$178:$S$178,0))/12+1)^((K1135-J1135)*12)-1,0)</f>
        <v>0</v>
      </c>
      <c r="Z1135" s="257">
        <f t="shared" si="240"/>
        <v>0</v>
      </c>
      <c r="AA1135" s="257">
        <f t="shared" si="241"/>
        <v>0</v>
      </c>
      <c r="AB1135" s="269">
        <f t="shared" si="242"/>
        <v>0</v>
      </c>
      <c r="AC1135" s="269">
        <f t="shared" si="243"/>
        <v>0</v>
      </c>
      <c r="AD1135" s="271" t="str">
        <f>INDEX('Global inputs'!$C$134:$C$171,MATCH(F1135,'Global inputs'!$B$134:$B$171,0))</f>
        <v>Consumer connection</v>
      </c>
      <c r="AE1135" s="272">
        <f>IF(OR(H1135='Operating leases'!$B$32,H1135='Operating leases'!$B$33),"",INDEX('Global inputs'!$C$186:$C$243,MATCH(E1135,'Global inputs'!$B$186:$B$243,0)))</f>
        <v>0.08</v>
      </c>
    </row>
    <row r="1136" spans="1:31" s="27" customFormat="1" x14ac:dyDescent="0.2">
      <c r="A1136" s="250"/>
      <c r="B1136" s="210" t="s">
        <v>714</v>
      </c>
      <c r="C1136" s="210" t="s">
        <v>288</v>
      </c>
      <c r="D1136" s="210" t="s">
        <v>718</v>
      </c>
      <c r="E1136" s="210" t="s">
        <v>160</v>
      </c>
      <c r="F1136" s="210" t="s">
        <v>94</v>
      </c>
      <c r="G1136" s="210" t="s">
        <v>722</v>
      </c>
      <c r="H1136" s="197">
        <v>0</v>
      </c>
      <c r="I1136" s="210" t="s">
        <v>229</v>
      </c>
      <c r="J1136" s="210">
        <v>2024</v>
      </c>
      <c r="K1136" s="210">
        <v>2024</v>
      </c>
      <c r="L1136" s="268" t="str">
        <f t="shared" si="231"/>
        <v>Simple</v>
      </c>
      <c r="M1136" s="197">
        <v>93743.063108324874</v>
      </c>
      <c r="N1136" s="197">
        <v>140614.5946624873</v>
      </c>
      <c r="O1136" s="257">
        <f>IF(ISNA(MATCH(H1136,'Operating leases'!$B$32:$B$43,0)),0,INDEX('Operating leases'!$M$32:$S$43,MATCH(H1136,'Operating leases'!$B$32:$B$43,0),MATCH(J1136,'Operating leases'!$M$11:$S$11,0)))</f>
        <v>0</v>
      </c>
      <c r="P1136" s="257">
        <f t="shared" si="232"/>
        <v>93743.063108324874</v>
      </c>
      <c r="Q1136" s="257">
        <f t="shared" si="233"/>
        <v>234357.65777081216</v>
      </c>
      <c r="R1136" s="258">
        <f>INDEX('Escalators '!$M$124:$S$129,MATCH(I1136,'Escalators '!$B$124:$B$129,0),MATCH(J1136,'Escalators '!$M$113:$S$113,0))</f>
        <v>1.0731681760713303</v>
      </c>
      <c r="S1136" s="257">
        <f t="shared" si="234"/>
        <v>0</v>
      </c>
      <c r="T1136" s="257">
        <f t="shared" si="235"/>
        <v>150903.10808295093</v>
      </c>
      <c r="U1136" s="269">
        <f t="shared" si="236"/>
        <v>100602.07205530058</v>
      </c>
      <c r="V1136" s="269">
        <f t="shared" si="237"/>
        <v>251505.18013825151</v>
      </c>
      <c r="W1136" s="269">
        <f t="shared" si="238"/>
        <v>100602.07205530058</v>
      </c>
      <c r="X1136" s="257">
        <f t="shared" si="239"/>
        <v>251505.18013825151</v>
      </c>
      <c r="Y1136" s="270">
        <f>IF(L1136="Complex",(INDEX('Escalators '!$M$176:$S$176,MATCH('Forecast capex'!J1136,'Escalators '!$M$178:$S$178,0))/12+1)^((K1136-J1136)*12)-1,0)</f>
        <v>0</v>
      </c>
      <c r="Z1136" s="257">
        <f t="shared" si="240"/>
        <v>0</v>
      </c>
      <c r="AA1136" s="257">
        <f t="shared" si="241"/>
        <v>0</v>
      </c>
      <c r="AB1136" s="269">
        <f t="shared" si="242"/>
        <v>0</v>
      </c>
      <c r="AC1136" s="269">
        <f t="shared" si="243"/>
        <v>0</v>
      </c>
      <c r="AD1136" s="271" t="str">
        <f>INDEX('Global inputs'!$C$134:$C$171,MATCH(F1136,'Global inputs'!$B$134:$B$171,0))</f>
        <v>Consumer connection</v>
      </c>
      <c r="AE1136" s="272">
        <f>IF(OR(H1136='Operating leases'!$B$32,H1136='Operating leases'!$B$33),"",INDEX('Global inputs'!$C$186:$C$243,MATCH(E1136,'Global inputs'!$B$186:$B$243,0)))</f>
        <v>0.08</v>
      </c>
    </row>
    <row r="1137" spans="1:31" s="27" customFormat="1" x14ac:dyDescent="0.2">
      <c r="A1137" s="250"/>
      <c r="B1137" s="210" t="s">
        <v>714</v>
      </c>
      <c r="C1137" s="210" t="s">
        <v>288</v>
      </c>
      <c r="D1137" s="210" t="s">
        <v>718</v>
      </c>
      <c r="E1137" s="210" t="s">
        <v>160</v>
      </c>
      <c r="F1137" s="210" t="s">
        <v>94</v>
      </c>
      <c r="G1137" s="210" t="s">
        <v>722</v>
      </c>
      <c r="H1137" s="197">
        <v>0</v>
      </c>
      <c r="I1137" s="210" t="s">
        <v>221</v>
      </c>
      <c r="J1137" s="210">
        <v>2024</v>
      </c>
      <c r="K1137" s="210">
        <v>2024</v>
      </c>
      <c r="L1137" s="268" t="str">
        <f t="shared" si="231"/>
        <v>Simple</v>
      </c>
      <c r="M1137" s="197">
        <v>93743.063108324874</v>
      </c>
      <c r="N1137" s="197">
        <v>140614.5946624873</v>
      </c>
      <c r="O1137" s="257">
        <f>IF(ISNA(MATCH(H1137,'Operating leases'!$B$32:$B$43,0)),0,INDEX('Operating leases'!$M$32:$S$43,MATCH(H1137,'Operating leases'!$B$32:$B$43,0),MATCH(J1137,'Operating leases'!$M$11:$S$11,0)))</f>
        <v>0</v>
      </c>
      <c r="P1137" s="257">
        <f t="shared" si="232"/>
        <v>93743.063108324874</v>
      </c>
      <c r="Q1137" s="257">
        <f t="shared" si="233"/>
        <v>234357.65777081216</v>
      </c>
      <c r="R1137" s="258">
        <f>INDEX('Escalators '!$M$124:$S$129,MATCH(I1137,'Escalators '!$B$124:$B$129,0),MATCH(J1137,'Escalators '!$M$113:$S$113,0))</f>
        <v>1.06512715891222</v>
      </c>
      <c r="S1137" s="257">
        <f t="shared" si="234"/>
        <v>0</v>
      </c>
      <c r="T1137" s="257">
        <f t="shared" si="235"/>
        <v>149772.42371444852</v>
      </c>
      <c r="U1137" s="269">
        <f t="shared" si="236"/>
        <v>99848.282476298977</v>
      </c>
      <c r="V1137" s="269">
        <f t="shared" si="237"/>
        <v>249620.7061907475</v>
      </c>
      <c r="W1137" s="269">
        <f t="shared" si="238"/>
        <v>99848.282476298977</v>
      </c>
      <c r="X1137" s="257">
        <f t="shared" si="239"/>
        <v>249620.7061907475</v>
      </c>
      <c r="Y1137" s="270">
        <f>IF(L1137="Complex",(INDEX('Escalators '!$M$176:$S$176,MATCH('Forecast capex'!J1137,'Escalators '!$M$178:$S$178,0))/12+1)^((K1137-J1137)*12)-1,0)</f>
        <v>0</v>
      </c>
      <c r="Z1137" s="257">
        <f t="shared" si="240"/>
        <v>0</v>
      </c>
      <c r="AA1137" s="257">
        <f t="shared" si="241"/>
        <v>0</v>
      </c>
      <c r="AB1137" s="269">
        <f t="shared" si="242"/>
        <v>0</v>
      </c>
      <c r="AC1137" s="269">
        <f t="shared" si="243"/>
        <v>0</v>
      </c>
      <c r="AD1137" s="271" t="str">
        <f>INDEX('Global inputs'!$C$134:$C$171,MATCH(F1137,'Global inputs'!$B$134:$B$171,0))</f>
        <v>Consumer connection</v>
      </c>
      <c r="AE1137" s="272">
        <f>IF(OR(H1137='Operating leases'!$B$32,H1137='Operating leases'!$B$33),"",INDEX('Global inputs'!$C$186:$C$243,MATCH(E1137,'Global inputs'!$B$186:$B$243,0)))</f>
        <v>0.08</v>
      </c>
    </row>
    <row r="1138" spans="1:31" s="27" customFormat="1" x14ac:dyDescent="0.2">
      <c r="A1138" s="250"/>
      <c r="B1138" s="210" t="s">
        <v>714</v>
      </c>
      <c r="C1138" s="210" t="s">
        <v>289</v>
      </c>
      <c r="D1138" s="210" t="s">
        <v>723</v>
      </c>
      <c r="E1138" s="210" t="s">
        <v>164</v>
      </c>
      <c r="F1138" s="210" t="s">
        <v>94</v>
      </c>
      <c r="G1138" s="210" t="s">
        <v>724</v>
      </c>
      <c r="H1138" s="197">
        <v>0</v>
      </c>
      <c r="I1138" s="210" t="s">
        <v>139</v>
      </c>
      <c r="J1138" s="210">
        <v>2024</v>
      </c>
      <c r="K1138" s="210">
        <v>2024</v>
      </c>
      <c r="L1138" s="268" t="str">
        <f t="shared" si="231"/>
        <v>Simple</v>
      </c>
      <c r="M1138" s="197">
        <v>702679.09489601501</v>
      </c>
      <c r="N1138" s="197">
        <v>1054018.6423440224</v>
      </c>
      <c r="O1138" s="257">
        <f>IF(ISNA(MATCH(H1138,'Operating leases'!$B$32:$B$43,0)),0,INDEX('Operating leases'!$M$32:$S$43,MATCH(H1138,'Operating leases'!$B$32:$B$43,0),MATCH(J1138,'Operating leases'!$M$11:$S$11,0)))</f>
        <v>0</v>
      </c>
      <c r="P1138" s="257">
        <f t="shared" si="232"/>
        <v>702679.09489601501</v>
      </c>
      <c r="Q1138" s="257">
        <f t="shared" si="233"/>
        <v>1756697.7372400374</v>
      </c>
      <c r="R1138" s="258">
        <f>INDEX('Escalators '!$M$124:$S$129,MATCH(I1138,'Escalators '!$B$124:$B$129,0),MATCH(J1138,'Escalators '!$M$113:$S$113,0))</f>
        <v>1.0400802295441569</v>
      </c>
      <c r="S1138" s="257">
        <f t="shared" si="234"/>
        <v>0</v>
      </c>
      <c r="T1138" s="257">
        <f t="shared" si="235"/>
        <v>1096263.9514729914</v>
      </c>
      <c r="U1138" s="269">
        <f t="shared" si="236"/>
        <v>730842.63431532774</v>
      </c>
      <c r="V1138" s="269">
        <f t="shared" si="237"/>
        <v>1827106.5857883191</v>
      </c>
      <c r="W1138" s="269">
        <f t="shared" si="238"/>
        <v>730842.63431532774</v>
      </c>
      <c r="X1138" s="257">
        <f t="shared" si="239"/>
        <v>1827106.5857883191</v>
      </c>
      <c r="Y1138" s="270">
        <f>IF(L1138="Complex",(INDEX('Escalators '!$M$176:$S$176,MATCH('Forecast capex'!J1138,'Escalators '!$M$178:$S$178,0))/12+1)^((K1138-J1138)*12)-1,0)</f>
        <v>0</v>
      </c>
      <c r="Z1138" s="257">
        <f t="shared" si="240"/>
        <v>0</v>
      </c>
      <c r="AA1138" s="257">
        <f t="shared" si="241"/>
        <v>0</v>
      </c>
      <c r="AB1138" s="269">
        <f t="shared" si="242"/>
        <v>0</v>
      </c>
      <c r="AC1138" s="269">
        <f t="shared" si="243"/>
        <v>0</v>
      </c>
      <c r="AD1138" s="271" t="str">
        <f>INDEX('Global inputs'!$C$134:$C$171,MATCH(F1138,'Global inputs'!$B$134:$B$171,0))</f>
        <v>Consumer connection</v>
      </c>
      <c r="AE1138" s="272">
        <f>IF(OR(H1138='Operating leases'!$B$32,H1138='Operating leases'!$B$33),"",INDEX('Global inputs'!$C$186:$C$243,MATCH(E1138,'Global inputs'!$B$186:$B$243,0)))</f>
        <v>0.08</v>
      </c>
    </row>
    <row r="1139" spans="1:31" s="27" customFormat="1" x14ac:dyDescent="0.2">
      <c r="A1139" s="250"/>
      <c r="B1139" s="210" t="s">
        <v>714</v>
      </c>
      <c r="C1139" s="210" t="s">
        <v>289</v>
      </c>
      <c r="D1139" s="210" t="s">
        <v>723</v>
      </c>
      <c r="E1139" s="210" t="s">
        <v>164</v>
      </c>
      <c r="F1139" s="210" t="s">
        <v>94</v>
      </c>
      <c r="G1139" s="210" t="s">
        <v>724</v>
      </c>
      <c r="H1139" s="197">
        <v>0</v>
      </c>
      <c r="I1139" s="210" t="s">
        <v>221</v>
      </c>
      <c r="J1139" s="210">
        <v>2024</v>
      </c>
      <c r="K1139" s="210">
        <v>2024</v>
      </c>
      <c r="L1139" s="268" t="str">
        <f t="shared" si="231"/>
        <v>Simple</v>
      </c>
      <c r="M1139" s="197">
        <v>175669.77372400375</v>
      </c>
      <c r="N1139" s="197">
        <v>263504.6605860056</v>
      </c>
      <c r="O1139" s="257">
        <f>IF(ISNA(MATCH(H1139,'Operating leases'!$B$32:$B$43,0)),0,INDEX('Operating leases'!$M$32:$S$43,MATCH(H1139,'Operating leases'!$B$32:$B$43,0),MATCH(J1139,'Operating leases'!$M$11:$S$11,0)))</f>
        <v>0</v>
      </c>
      <c r="P1139" s="257">
        <f t="shared" si="232"/>
        <v>175669.77372400375</v>
      </c>
      <c r="Q1139" s="257">
        <f t="shared" si="233"/>
        <v>439174.43431000935</v>
      </c>
      <c r="R1139" s="258">
        <f>INDEX('Escalators '!$M$124:$S$129,MATCH(I1139,'Escalators '!$B$124:$B$129,0),MATCH(J1139,'Escalators '!$M$113:$S$113,0))</f>
        <v>1.06512715891222</v>
      </c>
      <c r="S1139" s="257">
        <f t="shared" si="234"/>
        <v>0</v>
      </c>
      <c r="T1139" s="257">
        <f t="shared" si="235"/>
        <v>280665.97049010097</v>
      </c>
      <c r="U1139" s="269">
        <f t="shared" si="236"/>
        <v>187110.6469934007</v>
      </c>
      <c r="V1139" s="269">
        <f t="shared" si="237"/>
        <v>467776.61748350167</v>
      </c>
      <c r="W1139" s="269">
        <f t="shared" si="238"/>
        <v>187110.6469934007</v>
      </c>
      <c r="X1139" s="257">
        <f t="shared" si="239"/>
        <v>467776.61748350167</v>
      </c>
      <c r="Y1139" s="270">
        <f>IF(L1139="Complex",(INDEX('Escalators '!$M$176:$S$176,MATCH('Forecast capex'!J1139,'Escalators '!$M$178:$S$178,0))/12+1)^((K1139-J1139)*12)-1,0)</f>
        <v>0</v>
      </c>
      <c r="Z1139" s="257">
        <f t="shared" si="240"/>
        <v>0</v>
      </c>
      <c r="AA1139" s="257">
        <f t="shared" si="241"/>
        <v>0</v>
      </c>
      <c r="AB1139" s="269">
        <f t="shared" si="242"/>
        <v>0</v>
      </c>
      <c r="AC1139" s="269">
        <f t="shared" si="243"/>
        <v>0</v>
      </c>
      <c r="AD1139" s="271" t="str">
        <f>INDEX('Global inputs'!$C$134:$C$171,MATCH(F1139,'Global inputs'!$B$134:$B$171,0))</f>
        <v>Consumer connection</v>
      </c>
      <c r="AE1139" s="272">
        <f>IF(OR(H1139='Operating leases'!$B$32,H1139='Operating leases'!$B$33),"",INDEX('Global inputs'!$C$186:$C$243,MATCH(E1139,'Global inputs'!$B$186:$B$243,0)))</f>
        <v>0.08</v>
      </c>
    </row>
    <row r="1140" spans="1:31" s="27" customFormat="1" x14ac:dyDescent="0.2">
      <c r="A1140" s="250"/>
      <c r="B1140" s="210" t="s">
        <v>714</v>
      </c>
      <c r="C1140" s="210" t="s">
        <v>289</v>
      </c>
      <c r="D1140" s="210" t="s">
        <v>723</v>
      </c>
      <c r="E1140" s="210" t="s">
        <v>163</v>
      </c>
      <c r="F1140" s="210" t="s">
        <v>94</v>
      </c>
      <c r="G1140" s="210" t="s">
        <v>725</v>
      </c>
      <c r="H1140" s="197">
        <v>0</v>
      </c>
      <c r="I1140" s="210" t="s">
        <v>139</v>
      </c>
      <c r="J1140" s="210">
        <v>2024</v>
      </c>
      <c r="K1140" s="210">
        <v>2024</v>
      </c>
      <c r="L1140" s="268" t="str">
        <f t="shared" si="231"/>
        <v>Simple</v>
      </c>
      <c r="M1140" s="197">
        <v>456898.96304897842</v>
      </c>
      <c r="N1140" s="197">
        <v>685348.4445734676</v>
      </c>
      <c r="O1140" s="257">
        <f>IF(ISNA(MATCH(H1140,'Operating leases'!$B$32:$B$43,0)),0,INDEX('Operating leases'!$M$32:$S$43,MATCH(H1140,'Operating leases'!$B$32:$B$43,0),MATCH(J1140,'Operating leases'!$M$11:$S$11,0)))</f>
        <v>0</v>
      </c>
      <c r="P1140" s="257">
        <f t="shared" si="232"/>
        <v>456898.96304897842</v>
      </c>
      <c r="Q1140" s="257">
        <f t="shared" si="233"/>
        <v>1142247.4076224461</v>
      </c>
      <c r="R1140" s="258">
        <f>INDEX('Escalators '!$M$124:$S$129,MATCH(I1140,'Escalators '!$B$124:$B$129,0),MATCH(J1140,'Escalators '!$M$113:$S$113,0))</f>
        <v>1.0400802295441569</v>
      </c>
      <c r="S1140" s="257">
        <f t="shared" si="234"/>
        <v>0</v>
      </c>
      <c r="T1140" s="257">
        <f t="shared" si="235"/>
        <v>712817.36754970311</v>
      </c>
      <c r="U1140" s="269">
        <f t="shared" si="236"/>
        <v>475211.57836646878</v>
      </c>
      <c r="V1140" s="269">
        <f t="shared" si="237"/>
        <v>1188028.9459161719</v>
      </c>
      <c r="W1140" s="269">
        <f t="shared" si="238"/>
        <v>475211.57836646878</v>
      </c>
      <c r="X1140" s="257">
        <f t="shared" si="239"/>
        <v>1188028.9459161719</v>
      </c>
      <c r="Y1140" s="270">
        <f>IF(L1140="Complex",(INDEX('Escalators '!$M$176:$S$176,MATCH('Forecast capex'!J1140,'Escalators '!$M$178:$S$178,0))/12+1)^((K1140-J1140)*12)-1,0)</f>
        <v>0</v>
      </c>
      <c r="Z1140" s="257">
        <f t="shared" si="240"/>
        <v>0</v>
      </c>
      <c r="AA1140" s="257">
        <f t="shared" si="241"/>
        <v>0</v>
      </c>
      <c r="AB1140" s="269">
        <f t="shared" si="242"/>
        <v>0</v>
      </c>
      <c r="AC1140" s="269">
        <f t="shared" si="243"/>
        <v>0</v>
      </c>
      <c r="AD1140" s="271" t="str">
        <f>INDEX('Global inputs'!$C$134:$C$171,MATCH(F1140,'Global inputs'!$B$134:$B$171,0))</f>
        <v>Consumer connection</v>
      </c>
      <c r="AE1140" s="272">
        <f>IF(OR(H1140='Operating leases'!$B$32,H1140='Operating leases'!$B$33),"",INDEX('Global inputs'!$C$186:$C$243,MATCH(E1140,'Global inputs'!$B$186:$B$243,0)))</f>
        <v>0.08</v>
      </c>
    </row>
    <row r="1141" spans="1:31" s="27" customFormat="1" x14ac:dyDescent="0.2">
      <c r="A1141" s="250"/>
      <c r="B1141" s="210" t="s">
        <v>714</v>
      </c>
      <c r="C1141" s="210" t="s">
        <v>289</v>
      </c>
      <c r="D1141" s="210" t="s">
        <v>723</v>
      </c>
      <c r="E1141" s="210" t="s">
        <v>163</v>
      </c>
      <c r="F1141" s="210" t="s">
        <v>94</v>
      </c>
      <c r="G1141" s="210" t="s">
        <v>725</v>
      </c>
      <c r="H1141" s="197">
        <v>0</v>
      </c>
      <c r="I1141" s="210" t="s">
        <v>221</v>
      </c>
      <c r="J1141" s="210">
        <v>2024</v>
      </c>
      <c r="K1141" s="210">
        <v>2024</v>
      </c>
      <c r="L1141" s="268" t="str">
        <f t="shared" si="231"/>
        <v>Simple</v>
      </c>
      <c r="M1141" s="197">
        <v>114224.7407622446</v>
      </c>
      <c r="N1141" s="197">
        <v>171337.1111433669</v>
      </c>
      <c r="O1141" s="257">
        <f>IF(ISNA(MATCH(H1141,'Operating leases'!$B$32:$B$43,0)),0,INDEX('Operating leases'!$M$32:$S$43,MATCH(H1141,'Operating leases'!$B$32:$B$43,0),MATCH(J1141,'Operating leases'!$M$11:$S$11,0)))</f>
        <v>0</v>
      </c>
      <c r="P1141" s="257">
        <f t="shared" si="232"/>
        <v>114224.7407622446</v>
      </c>
      <c r="Q1141" s="257">
        <f t="shared" si="233"/>
        <v>285561.85190561152</v>
      </c>
      <c r="R1141" s="258">
        <f>INDEX('Escalators '!$M$124:$S$129,MATCH(I1141,'Escalators '!$B$124:$B$129,0),MATCH(J1141,'Escalators '!$M$113:$S$113,0))</f>
        <v>1.06512715891222</v>
      </c>
      <c r="S1141" s="257">
        <f t="shared" si="234"/>
        <v>0</v>
      </c>
      <c r="T1141" s="257">
        <f t="shared" si="235"/>
        <v>182495.81040836166</v>
      </c>
      <c r="U1141" s="269">
        <f t="shared" si="236"/>
        <v>121663.87360557442</v>
      </c>
      <c r="V1141" s="269">
        <f t="shared" si="237"/>
        <v>304159.68401393609</v>
      </c>
      <c r="W1141" s="269">
        <f t="shared" si="238"/>
        <v>121663.87360557442</v>
      </c>
      <c r="X1141" s="257">
        <f t="shared" si="239"/>
        <v>304159.68401393609</v>
      </c>
      <c r="Y1141" s="270">
        <f>IF(L1141="Complex",(INDEX('Escalators '!$M$176:$S$176,MATCH('Forecast capex'!J1141,'Escalators '!$M$178:$S$178,0))/12+1)^((K1141-J1141)*12)-1,0)</f>
        <v>0</v>
      </c>
      <c r="Z1141" s="257">
        <f t="shared" si="240"/>
        <v>0</v>
      </c>
      <c r="AA1141" s="257">
        <f t="shared" si="241"/>
        <v>0</v>
      </c>
      <c r="AB1141" s="269">
        <f t="shared" si="242"/>
        <v>0</v>
      </c>
      <c r="AC1141" s="269">
        <f t="shared" si="243"/>
        <v>0</v>
      </c>
      <c r="AD1141" s="271" t="str">
        <f>INDEX('Global inputs'!$C$134:$C$171,MATCH(F1141,'Global inputs'!$B$134:$B$171,0))</f>
        <v>Consumer connection</v>
      </c>
      <c r="AE1141" s="272">
        <f>IF(OR(H1141='Operating leases'!$B$32,H1141='Operating leases'!$B$33),"",INDEX('Global inputs'!$C$186:$C$243,MATCH(E1141,'Global inputs'!$B$186:$B$243,0)))</f>
        <v>0.08</v>
      </c>
    </row>
    <row r="1142" spans="1:31" s="27" customFormat="1" x14ac:dyDescent="0.2">
      <c r="A1142" s="250"/>
      <c r="B1142" s="210" t="s">
        <v>714</v>
      </c>
      <c r="C1142" s="210" t="s">
        <v>286</v>
      </c>
      <c r="D1142" s="210" t="s">
        <v>735</v>
      </c>
      <c r="E1142" s="210" t="s">
        <v>144</v>
      </c>
      <c r="F1142" s="210" t="s">
        <v>94</v>
      </c>
      <c r="G1142" s="210" t="s">
        <v>736</v>
      </c>
      <c r="H1142" s="197">
        <v>0</v>
      </c>
      <c r="I1142" s="210" t="s">
        <v>229</v>
      </c>
      <c r="J1142" s="210">
        <v>2024</v>
      </c>
      <c r="K1142" s="210">
        <v>2024</v>
      </c>
      <c r="L1142" s="268" t="str">
        <f t="shared" si="231"/>
        <v>Simple</v>
      </c>
      <c r="M1142" s="197">
        <v>4726.5409970583969</v>
      </c>
      <c r="N1142" s="197">
        <v>7089.8114955875944</v>
      </c>
      <c r="O1142" s="257">
        <f>IF(ISNA(MATCH(H1142,'Operating leases'!$B$32:$B$43,0)),0,INDEX('Operating leases'!$M$32:$S$43,MATCH(H1142,'Operating leases'!$B$32:$B$43,0),MATCH(J1142,'Operating leases'!$M$11:$S$11,0)))</f>
        <v>0</v>
      </c>
      <c r="P1142" s="257">
        <f t="shared" si="232"/>
        <v>4726.5409970583969</v>
      </c>
      <c r="Q1142" s="257">
        <f t="shared" si="233"/>
        <v>11816.35249264599</v>
      </c>
      <c r="R1142" s="258">
        <f>INDEX('Escalators '!$M$124:$S$129,MATCH(I1142,'Escalators '!$B$124:$B$129,0),MATCH(J1142,'Escalators '!$M$113:$S$113,0))</f>
        <v>1.0731681760713303</v>
      </c>
      <c r="S1142" s="257">
        <f t="shared" si="234"/>
        <v>0</v>
      </c>
      <c r="T1142" s="257">
        <f t="shared" si="235"/>
        <v>7608.5600714092889</v>
      </c>
      <c r="U1142" s="269">
        <f t="shared" si="236"/>
        <v>5072.3733809395253</v>
      </c>
      <c r="V1142" s="269">
        <f t="shared" si="237"/>
        <v>12680.933452348814</v>
      </c>
      <c r="W1142" s="269">
        <f t="shared" si="238"/>
        <v>5072.3733809395253</v>
      </c>
      <c r="X1142" s="257">
        <f t="shared" si="239"/>
        <v>12680.933452348814</v>
      </c>
      <c r="Y1142" s="270">
        <f>IF(L1142="Complex",(INDEX('Escalators '!$M$176:$S$176,MATCH('Forecast capex'!J1142,'Escalators '!$M$178:$S$178,0))/12+1)^((K1142-J1142)*12)-1,0)</f>
        <v>0</v>
      </c>
      <c r="Z1142" s="257">
        <f t="shared" si="240"/>
        <v>0</v>
      </c>
      <c r="AA1142" s="257">
        <f t="shared" si="241"/>
        <v>0</v>
      </c>
      <c r="AB1142" s="269">
        <f t="shared" si="242"/>
        <v>0</v>
      </c>
      <c r="AC1142" s="269">
        <f t="shared" si="243"/>
        <v>0</v>
      </c>
      <c r="AD1142" s="271" t="str">
        <f>INDEX('Global inputs'!$C$134:$C$171,MATCH(F1142,'Global inputs'!$B$134:$B$171,0))</f>
        <v>Consumer connection</v>
      </c>
      <c r="AE1142" s="272">
        <f>IF(OR(H1142='Operating leases'!$B$32,H1142='Operating leases'!$B$33),"",INDEX('Global inputs'!$C$186:$C$243,MATCH(E1142,'Global inputs'!$B$186:$B$243,0)))</f>
        <v>0.08</v>
      </c>
    </row>
    <row r="1143" spans="1:31" s="27" customFormat="1" x14ac:dyDescent="0.2">
      <c r="A1143" s="250"/>
      <c r="B1143" s="210" t="s">
        <v>714</v>
      </c>
      <c r="C1143" s="210" t="s">
        <v>286</v>
      </c>
      <c r="D1143" s="210" t="s">
        <v>735</v>
      </c>
      <c r="E1143" s="210" t="s">
        <v>144</v>
      </c>
      <c r="F1143" s="210" t="s">
        <v>94</v>
      </c>
      <c r="G1143" s="210" t="s">
        <v>736</v>
      </c>
      <c r="H1143" s="197">
        <v>0</v>
      </c>
      <c r="I1143" s="210" t="s">
        <v>221</v>
      </c>
      <c r="J1143" s="210">
        <v>2024</v>
      </c>
      <c r="K1143" s="210">
        <v>2024</v>
      </c>
      <c r="L1143" s="268" t="str">
        <f t="shared" si="231"/>
        <v>Simple</v>
      </c>
      <c r="M1143" s="197">
        <v>18906.163988233588</v>
      </c>
      <c r="N1143" s="197">
        <v>28359.245982350378</v>
      </c>
      <c r="O1143" s="257">
        <f>IF(ISNA(MATCH(H1143,'Operating leases'!$B$32:$B$43,0)),0,INDEX('Operating leases'!$M$32:$S$43,MATCH(H1143,'Operating leases'!$B$32:$B$43,0),MATCH(J1143,'Operating leases'!$M$11:$S$11,0)))</f>
        <v>0</v>
      </c>
      <c r="P1143" s="257">
        <f t="shared" si="232"/>
        <v>18906.163988233588</v>
      </c>
      <c r="Q1143" s="257">
        <f t="shared" si="233"/>
        <v>47265.409970583962</v>
      </c>
      <c r="R1143" s="258">
        <f>INDEX('Escalators '!$M$124:$S$129,MATCH(I1143,'Escalators '!$B$124:$B$129,0),MATCH(J1143,'Escalators '!$M$113:$S$113,0))</f>
        <v>1.06512715891222</v>
      </c>
      <c r="S1143" s="257">
        <f t="shared" si="234"/>
        <v>0</v>
      </c>
      <c r="T1143" s="257">
        <f t="shared" si="235"/>
        <v>30206.203102073647</v>
      </c>
      <c r="U1143" s="269">
        <f t="shared" si="236"/>
        <v>20137.468734715767</v>
      </c>
      <c r="V1143" s="269">
        <f t="shared" si="237"/>
        <v>50343.671836789414</v>
      </c>
      <c r="W1143" s="269">
        <f t="shared" si="238"/>
        <v>20137.468734715767</v>
      </c>
      <c r="X1143" s="257">
        <f t="shared" si="239"/>
        <v>50343.671836789414</v>
      </c>
      <c r="Y1143" s="270">
        <f>IF(L1143="Complex",(INDEX('Escalators '!$M$176:$S$176,MATCH('Forecast capex'!J1143,'Escalators '!$M$178:$S$178,0))/12+1)^((K1143-J1143)*12)-1,0)</f>
        <v>0</v>
      </c>
      <c r="Z1143" s="257">
        <f t="shared" si="240"/>
        <v>0</v>
      </c>
      <c r="AA1143" s="257">
        <f t="shared" si="241"/>
        <v>0</v>
      </c>
      <c r="AB1143" s="269">
        <f t="shared" si="242"/>
        <v>0</v>
      </c>
      <c r="AC1143" s="269">
        <f t="shared" si="243"/>
        <v>0</v>
      </c>
      <c r="AD1143" s="271" t="str">
        <f>INDEX('Global inputs'!$C$134:$C$171,MATCH(F1143,'Global inputs'!$B$134:$B$171,0))</f>
        <v>Consumer connection</v>
      </c>
      <c r="AE1143" s="272">
        <f>IF(OR(H1143='Operating leases'!$B$32,H1143='Operating leases'!$B$33),"",INDEX('Global inputs'!$C$186:$C$243,MATCH(E1143,'Global inputs'!$B$186:$B$243,0)))</f>
        <v>0.08</v>
      </c>
    </row>
    <row r="1144" spans="1:31" s="27" customFormat="1" x14ac:dyDescent="0.2">
      <c r="A1144" s="250"/>
      <c r="B1144" s="210" t="s">
        <v>714</v>
      </c>
      <c r="C1144" s="210" t="s">
        <v>285</v>
      </c>
      <c r="D1144" s="210" t="s">
        <v>223</v>
      </c>
      <c r="E1144" s="210" t="s">
        <v>134</v>
      </c>
      <c r="F1144" s="210" t="s">
        <v>94</v>
      </c>
      <c r="G1144" s="210" t="s">
        <v>726</v>
      </c>
      <c r="H1144" s="197">
        <v>0</v>
      </c>
      <c r="I1144" s="210" t="s">
        <v>223</v>
      </c>
      <c r="J1144" s="210">
        <v>2024</v>
      </c>
      <c r="K1144" s="210">
        <v>2024</v>
      </c>
      <c r="L1144" s="268" t="str">
        <f t="shared" si="231"/>
        <v>Simple</v>
      </c>
      <c r="M1144" s="197">
        <v>6853.4844457346753</v>
      </c>
      <c r="N1144" s="197">
        <v>10280.226668602012</v>
      </c>
      <c r="O1144" s="257">
        <f>IF(ISNA(MATCH(H1144,'Operating leases'!$B$32:$B$43,0)),0,INDEX('Operating leases'!$M$32:$S$43,MATCH(H1144,'Operating leases'!$B$32:$B$43,0),MATCH(J1144,'Operating leases'!$M$11:$S$11,0)))</f>
        <v>0</v>
      </c>
      <c r="P1144" s="257">
        <f t="shared" si="232"/>
        <v>6853.4844457346753</v>
      </c>
      <c r="Q1144" s="257">
        <f t="shared" si="233"/>
        <v>17133.711114336686</v>
      </c>
      <c r="R1144" s="258">
        <f>INDEX('Escalators '!$M$124:$S$129,MATCH(I1144,'Escalators '!$B$124:$B$129,0),MATCH(J1144,'Escalators '!$M$113:$S$113,0))</f>
        <v>1.0992204162588337</v>
      </c>
      <c r="S1144" s="257">
        <f t="shared" si="234"/>
        <v>0</v>
      </c>
      <c r="T1144" s="257">
        <f t="shared" si="235"/>
        <v>11300.235037895867</v>
      </c>
      <c r="U1144" s="269">
        <f t="shared" si="236"/>
        <v>7533.4900252639109</v>
      </c>
      <c r="V1144" s="269">
        <f t="shared" si="237"/>
        <v>18833.725063159778</v>
      </c>
      <c r="W1144" s="269">
        <f t="shared" si="238"/>
        <v>7533.4900252639109</v>
      </c>
      <c r="X1144" s="257">
        <f t="shared" si="239"/>
        <v>18833.725063159778</v>
      </c>
      <c r="Y1144" s="270">
        <f>IF(L1144="Complex",(INDEX('Escalators '!$M$176:$S$176,MATCH('Forecast capex'!J1144,'Escalators '!$M$178:$S$178,0))/12+1)^((K1144-J1144)*12)-1,0)</f>
        <v>0</v>
      </c>
      <c r="Z1144" s="257">
        <f t="shared" si="240"/>
        <v>0</v>
      </c>
      <c r="AA1144" s="257">
        <f t="shared" si="241"/>
        <v>0</v>
      </c>
      <c r="AB1144" s="269">
        <f t="shared" si="242"/>
        <v>0</v>
      </c>
      <c r="AC1144" s="269">
        <f t="shared" si="243"/>
        <v>0</v>
      </c>
      <c r="AD1144" s="271" t="str">
        <f>INDEX('Global inputs'!$C$134:$C$171,MATCH(F1144,'Global inputs'!$B$134:$B$171,0))</f>
        <v>Consumer connection</v>
      </c>
      <c r="AE1144" s="272">
        <f>IF(OR(H1144='Operating leases'!$B$32,H1144='Operating leases'!$B$33),"",INDEX('Global inputs'!$C$186:$C$243,MATCH(E1144,'Global inputs'!$B$186:$B$243,0)))</f>
        <v>0.08</v>
      </c>
    </row>
    <row r="1145" spans="1:31" s="27" customFormat="1" x14ac:dyDescent="0.2">
      <c r="A1145" s="250"/>
      <c r="B1145" s="210" t="s">
        <v>714</v>
      </c>
      <c r="C1145" s="210" t="s">
        <v>285</v>
      </c>
      <c r="D1145" s="210" t="s">
        <v>223</v>
      </c>
      <c r="E1145" s="210" t="s">
        <v>134</v>
      </c>
      <c r="F1145" s="210" t="s">
        <v>94</v>
      </c>
      <c r="G1145" s="210" t="s">
        <v>726</v>
      </c>
      <c r="H1145" s="197">
        <v>0</v>
      </c>
      <c r="I1145" s="210" t="s">
        <v>221</v>
      </c>
      <c r="J1145" s="210">
        <v>2024</v>
      </c>
      <c r="K1145" s="210">
        <v>2024</v>
      </c>
      <c r="L1145" s="268" t="str">
        <f t="shared" si="231"/>
        <v>Simple</v>
      </c>
      <c r="M1145" s="197">
        <v>15991.463706714241</v>
      </c>
      <c r="N1145" s="197">
        <v>23987.195560071363</v>
      </c>
      <c r="O1145" s="257">
        <f>IF(ISNA(MATCH(H1145,'Operating leases'!$B$32:$B$43,0)),0,INDEX('Operating leases'!$M$32:$S$43,MATCH(H1145,'Operating leases'!$B$32:$B$43,0),MATCH(J1145,'Operating leases'!$M$11:$S$11,0)))</f>
        <v>0</v>
      </c>
      <c r="P1145" s="257">
        <f t="shared" si="232"/>
        <v>15991.463706714241</v>
      </c>
      <c r="Q1145" s="257">
        <f t="shared" si="233"/>
        <v>39978.659266785602</v>
      </c>
      <c r="R1145" s="258">
        <f>INDEX('Escalators '!$M$124:$S$129,MATCH(I1145,'Escalators '!$B$124:$B$129,0),MATCH(J1145,'Escalators '!$M$113:$S$113,0))</f>
        <v>1.06512715891222</v>
      </c>
      <c r="S1145" s="257">
        <f t="shared" si="234"/>
        <v>0</v>
      </c>
      <c r="T1145" s="257">
        <f t="shared" si="235"/>
        <v>25549.413457170627</v>
      </c>
      <c r="U1145" s="269">
        <f t="shared" si="236"/>
        <v>17032.942304780419</v>
      </c>
      <c r="V1145" s="269">
        <f t="shared" si="237"/>
        <v>42582.355761951047</v>
      </c>
      <c r="W1145" s="269">
        <f t="shared" si="238"/>
        <v>17032.942304780419</v>
      </c>
      <c r="X1145" s="257">
        <f t="shared" si="239"/>
        <v>42582.355761951047</v>
      </c>
      <c r="Y1145" s="270">
        <f>IF(L1145="Complex",(INDEX('Escalators '!$M$176:$S$176,MATCH('Forecast capex'!J1145,'Escalators '!$M$178:$S$178,0))/12+1)^((K1145-J1145)*12)-1,0)</f>
        <v>0</v>
      </c>
      <c r="Z1145" s="257">
        <f t="shared" si="240"/>
        <v>0</v>
      </c>
      <c r="AA1145" s="257">
        <f t="shared" si="241"/>
        <v>0</v>
      </c>
      <c r="AB1145" s="269">
        <f t="shared" si="242"/>
        <v>0</v>
      </c>
      <c r="AC1145" s="269">
        <f t="shared" si="243"/>
        <v>0</v>
      </c>
      <c r="AD1145" s="271" t="str">
        <f>INDEX('Global inputs'!$C$134:$C$171,MATCH(F1145,'Global inputs'!$B$134:$B$171,0))</f>
        <v>Consumer connection</v>
      </c>
      <c r="AE1145" s="272">
        <f>IF(OR(H1145='Operating leases'!$B$32,H1145='Operating leases'!$B$33),"",INDEX('Global inputs'!$C$186:$C$243,MATCH(E1145,'Global inputs'!$B$186:$B$243,0)))</f>
        <v>0.08</v>
      </c>
    </row>
    <row r="1146" spans="1:31" s="27" customFormat="1" x14ac:dyDescent="0.2">
      <c r="A1146" s="250"/>
      <c r="B1146" s="210" t="s">
        <v>714</v>
      </c>
      <c r="C1146" s="210" t="s">
        <v>288</v>
      </c>
      <c r="D1146" s="210" t="s">
        <v>223</v>
      </c>
      <c r="E1146" s="210" t="s">
        <v>157</v>
      </c>
      <c r="F1146" s="210" t="s">
        <v>94</v>
      </c>
      <c r="G1146" s="210" t="s">
        <v>727</v>
      </c>
      <c r="H1146" s="197">
        <v>0</v>
      </c>
      <c r="I1146" s="210" t="s">
        <v>223</v>
      </c>
      <c r="J1146" s="210">
        <v>2024</v>
      </c>
      <c r="K1146" s="210">
        <v>2024</v>
      </c>
      <c r="L1146" s="268" t="str">
        <f t="shared" si="231"/>
        <v>Simple</v>
      </c>
      <c r="M1146" s="197">
        <v>124780.68232234167</v>
      </c>
      <c r="N1146" s="197">
        <v>187171.02348351246</v>
      </c>
      <c r="O1146" s="257">
        <f>IF(ISNA(MATCH(H1146,'Operating leases'!$B$32:$B$43,0)),0,INDEX('Operating leases'!$M$32:$S$43,MATCH(H1146,'Operating leases'!$B$32:$B$43,0),MATCH(J1146,'Operating leases'!$M$11:$S$11,0)))</f>
        <v>0</v>
      </c>
      <c r="P1146" s="257">
        <f t="shared" si="232"/>
        <v>124780.68232234167</v>
      </c>
      <c r="Q1146" s="257">
        <f t="shared" si="233"/>
        <v>311951.70580585412</v>
      </c>
      <c r="R1146" s="258">
        <f>INDEX('Escalators '!$M$124:$S$129,MATCH(I1146,'Escalators '!$B$124:$B$129,0),MATCH(J1146,'Escalators '!$M$113:$S$113,0))</f>
        <v>1.0992204162588337</v>
      </c>
      <c r="S1146" s="257">
        <f t="shared" si="234"/>
        <v>0</v>
      </c>
      <c r="T1146" s="257">
        <f t="shared" si="235"/>
        <v>205742.2103451385</v>
      </c>
      <c r="U1146" s="269">
        <f t="shared" si="236"/>
        <v>137161.47356342571</v>
      </c>
      <c r="V1146" s="269">
        <f t="shared" si="237"/>
        <v>342903.68390856421</v>
      </c>
      <c r="W1146" s="269">
        <f t="shared" si="238"/>
        <v>137161.47356342571</v>
      </c>
      <c r="X1146" s="257">
        <f t="shared" si="239"/>
        <v>342903.68390856421</v>
      </c>
      <c r="Y1146" s="270">
        <f>IF(L1146="Complex",(INDEX('Escalators '!$M$176:$S$176,MATCH('Forecast capex'!J1146,'Escalators '!$M$178:$S$178,0))/12+1)^((K1146-J1146)*12)-1,0)</f>
        <v>0</v>
      </c>
      <c r="Z1146" s="257">
        <f t="shared" si="240"/>
        <v>0</v>
      </c>
      <c r="AA1146" s="257">
        <f t="shared" si="241"/>
        <v>0</v>
      </c>
      <c r="AB1146" s="269">
        <f t="shared" si="242"/>
        <v>0</v>
      </c>
      <c r="AC1146" s="269">
        <f t="shared" si="243"/>
        <v>0</v>
      </c>
      <c r="AD1146" s="271" t="str">
        <f>INDEX('Global inputs'!$C$134:$C$171,MATCH(F1146,'Global inputs'!$B$134:$B$171,0))</f>
        <v>Consumer connection</v>
      </c>
      <c r="AE1146" s="272">
        <f>IF(OR(H1146='Operating leases'!$B$32,H1146='Operating leases'!$B$33),"",INDEX('Global inputs'!$C$186:$C$243,MATCH(E1146,'Global inputs'!$B$186:$B$243,0)))</f>
        <v>0.08</v>
      </c>
    </row>
    <row r="1147" spans="1:31" s="27" customFormat="1" x14ac:dyDescent="0.2">
      <c r="A1147" s="250"/>
      <c r="B1147" s="210" t="s">
        <v>714</v>
      </c>
      <c r="C1147" s="210" t="s">
        <v>288</v>
      </c>
      <c r="D1147" s="210" t="s">
        <v>223</v>
      </c>
      <c r="E1147" s="210" t="s">
        <v>157</v>
      </c>
      <c r="F1147" s="210" t="s">
        <v>94</v>
      </c>
      <c r="G1147" s="210" t="s">
        <v>727</v>
      </c>
      <c r="H1147" s="197">
        <v>0</v>
      </c>
      <c r="I1147" s="210" t="s">
        <v>221</v>
      </c>
      <c r="J1147" s="210">
        <v>2024</v>
      </c>
      <c r="K1147" s="210">
        <v>2024</v>
      </c>
      <c r="L1147" s="268" t="str">
        <f t="shared" si="231"/>
        <v>Simple</v>
      </c>
      <c r="M1147" s="197">
        <v>291154.92541879718</v>
      </c>
      <c r="N1147" s="197">
        <v>436732.38812819577</v>
      </c>
      <c r="O1147" s="257">
        <f>IF(ISNA(MATCH(H1147,'Operating leases'!$B$32:$B$43,0)),0,INDEX('Operating leases'!$M$32:$S$43,MATCH(H1147,'Operating leases'!$B$32:$B$43,0),MATCH(J1147,'Operating leases'!$M$11:$S$11,0)))</f>
        <v>0</v>
      </c>
      <c r="P1147" s="257">
        <f t="shared" si="232"/>
        <v>291154.92541879718</v>
      </c>
      <c r="Q1147" s="257">
        <f t="shared" si="233"/>
        <v>727887.31354699295</v>
      </c>
      <c r="R1147" s="258">
        <f>INDEX('Escalators '!$M$124:$S$129,MATCH(I1147,'Escalators '!$B$124:$B$129,0),MATCH(J1147,'Escalators '!$M$113:$S$113,0))</f>
        <v>1.06512715891222</v>
      </c>
      <c r="S1147" s="257">
        <f t="shared" si="234"/>
        <v>0</v>
      </c>
      <c r="T1147" s="257">
        <f t="shared" si="235"/>
        <v>465175.52777193411</v>
      </c>
      <c r="U1147" s="269">
        <f t="shared" si="236"/>
        <v>310117.01851462276</v>
      </c>
      <c r="V1147" s="269">
        <f t="shared" si="237"/>
        <v>775292.54628655687</v>
      </c>
      <c r="W1147" s="269">
        <f t="shared" si="238"/>
        <v>310117.01851462276</v>
      </c>
      <c r="X1147" s="257">
        <f t="shared" si="239"/>
        <v>775292.54628655687</v>
      </c>
      <c r="Y1147" s="270">
        <f>IF(L1147="Complex",(INDEX('Escalators '!$M$176:$S$176,MATCH('Forecast capex'!J1147,'Escalators '!$M$178:$S$178,0))/12+1)^((K1147-J1147)*12)-1,0)</f>
        <v>0</v>
      </c>
      <c r="Z1147" s="257">
        <f t="shared" si="240"/>
        <v>0</v>
      </c>
      <c r="AA1147" s="257">
        <f t="shared" si="241"/>
        <v>0</v>
      </c>
      <c r="AB1147" s="269">
        <f t="shared" si="242"/>
        <v>0</v>
      </c>
      <c r="AC1147" s="269">
        <f t="shared" si="243"/>
        <v>0</v>
      </c>
      <c r="AD1147" s="271" t="str">
        <f>INDEX('Global inputs'!$C$134:$C$171,MATCH(F1147,'Global inputs'!$B$134:$B$171,0))</f>
        <v>Consumer connection</v>
      </c>
      <c r="AE1147" s="272">
        <f>IF(OR(H1147='Operating leases'!$B$32,H1147='Operating leases'!$B$33),"",INDEX('Global inputs'!$C$186:$C$243,MATCH(E1147,'Global inputs'!$B$186:$B$243,0)))</f>
        <v>0.08</v>
      </c>
    </row>
    <row r="1148" spans="1:31" s="27" customFormat="1" x14ac:dyDescent="0.2">
      <c r="A1148" s="250"/>
      <c r="B1148" s="210" t="s">
        <v>714</v>
      </c>
      <c r="C1148" s="210" t="s">
        <v>288</v>
      </c>
      <c r="D1148" s="210" t="s">
        <v>223</v>
      </c>
      <c r="E1148" s="210" t="s">
        <v>159</v>
      </c>
      <c r="F1148" s="210" t="s">
        <v>94</v>
      </c>
      <c r="G1148" s="210" t="s">
        <v>728</v>
      </c>
      <c r="H1148" s="197">
        <v>0</v>
      </c>
      <c r="I1148" s="210" t="s">
        <v>223</v>
      </c>
      <c r="J1148" s="210">
        <v>2024</v>
      </c>
      <c r="K1148" s="210">
        <v>2024</v>
      </c>
      <c r="L1148" s="268" t="str">
        <f t="shared" si="231"/>
        <v>Simple</v>
      </c>
      <c r="M1148" s="197">
        <v>355120.78024565423</v>
      </c>
      <c r="N1148" s="197">
        <v>532681.17036848143</v>
      </c>
      <c r="O1148" s="257">
        <f>IF(ISNA(MATCH(H1148,'Operating leases'!$B$32:$B$43,0)),0,INDEX('Operating leases'!$M$32:$S$43,MATCH(H1148,'Operating leases'!$B$32:$B$43,0),MATCH(J1148,'Operating leases'!$M$11:$S$11,0)))</f>
        <v>0</v>
      </c>
      <c r="P1148" s="257">
        <f t="shared" si="232"/>
        <v>355120.78024565423</v>
      </c>
      <c r="Q1148" s="257">
        <f t="shared" si="233"/>
        <v>887801.95061413571</v>
      </c>
      <c r="R1148" s="258">
        <f>INDEX('Escalators '!$M$124:$S$129,MATCH(I1148,'Escalators '!$B$124:$B$129,0),MATCH(J1148,'Escalators '!$M$113:$S$113,0))</f>
        <v>1.0992204162588337</v>
      </c>
      <c r="S1148" s="257">
        <f t="shared" si="234"/>
        <v>0</v>
      </c>
      <c r="T1148" s="257">
        <f t="shared" si="235"/>
        <v>585534.01782568486</v>
      </c>
      <c r="U1148" s="269">
        <f t="shared" si="236"/>
        <v>390356.01188378991</v>
      </c>
      <c r="V1148" s="269">
        <f t="shared" si="237"/>
        <v>975890.02970947477</v>
      </c>
      <c r="W1148" s="269">
        <f t="shared" si="238"/>
        <v>390356.01188378991</v>
      </c>
      <c r="X1148" s="257">
        <f t="shared" si="239"/>
        <v>975890.02970947477</v>
      </c>
      <c r="Y1148" s="270">
        <f>IF(L1148="Complex",(INDEX('Escalators '!$M$176:$S$176,MATCH('Forecast capex'!J1148,'Escalators '!$M$178:$S$178,0))/12+1)^((K1148-J1148)*12)-1,0)</f>
        <v>0</v>
      </c>
      <c r="Z1148" s="257">
        <f t="shared" si="240"/>
        <v>0</v>
      </c>
      <c r="AA1148" s="257">
        <f t="shared" si="241"/>
        <v>0</v>
      </c>
      <c r="AB1148" s="269">
        <f t="shared" si="242"/>
        <v>0</v>
      </c>
      <c r="AC1148" s="269">
        <f t="shared" si="243"/>
        <v>0</v>
      </c>
      <c r="AD1148" s="271" t="str">
        <f>INDEX('Global inputs'!$C$134:$C$171,MATCH(F1148,'Global inputs'!$B$134:$B$171,0))</f>
        <v>Consumer connection</v>
      </c>
      <c r="AE1148" s="272">
        <f>IF(OR(H1148='Operating leases'!$B$32,H1148='Operating leases'!$B$33),"",INDEX('Global inputs'!$C$186:$C$243,MATCH(E1148,'Global inputs'!$B$186:$B$243,0)))</f>
        <v>0.08</v>
      </c>
    </row>
    <row r="1149" spans="1:31" s="27" customFormat="1" x14ac:dyDescent="0.2">
      <c r="A1149" s="250"/>
      <c r="B1149" s="210" t="s">
        <v>714</v>
      </c>
      <c r="C1149" s="210" t="s">
        <v>288</v>
      </c>
      <c r="D1149" s="210" t="s">
        <v>223</v>
      </c>
      <c r="E1149" s="210" t="s">
        <v>159</v>
      </c>
      <c r="F1149" s="210" t="s">
        <v>94</v>
      </c>
      <c r="G1149" s="210" t="s">
        <v>728</v>
      </c>
      <c r="H1149" s="197">
        <v>0</v>
      </c>
      <c r="I1149" s="210" t="s">
        <v>221</v>
      </c>
      <c r="J1149" s="210">
        <v>2024</v>
      </c>
      <c r="K1149" s="210">
        <v>2024</v>
      </c>
      <c r="L1149" s="268" t="str">
        <f t="shared" si="231"/>
        <v>Simple</v>
      </c>
      <c r="M1149" s="197">
        <v>532681.17036848131</v>
      </c>
      <c r="N1149" s="197">
        <v>799021.75555272191</v>
      </c>
      <c r="O1149" s="257">
        <f>IF(ISNA(MATCH(H1149,'Operating leases'!$B$32:$B$43,0)),0,INDEX('Operating leases'!$M$32:$S$43,MATCH(H1149,'Operating leases'!$B$32:$B$43,0),MATCH(J1149,'Operating leases'!$M$11:$S$11,0)))</f>
        <v>0</v>
      </c>
      <c r="P1149" s="257">
        <f t="shared" si="232"/>
        <v>532681.17036848131</v>
      </c>
      <c r="Q1149" s="257">
        <f t="shared" si="233"/>
        <v>1331702.9259212031</v>
      </c>
      <c r="R1149" s="258">
        <f>INDEX('Escalators '!$M$124:$S$129,MATCH(I1149,'Escalators '!$B$124:$B$129,0),MATCH(J1149,'Escalators '!$M$113:$S$113,0))</f>
        <v>1.06512715891222</v>
      </c>
      <c r="S1149" s="257">
        <f t="shared" si="234"/>
        <v>0</v>
      </c>
      <c r="T1149" s="257">
        <f t="shared" si="235"/>
        <v>851059.77240092505</v>
      </c>
      <c r="U1149" s="269">
        <f t="shared" si="236"/>
        <v>567373.18160061666</v>
      </c>
      <c r="V1149" s="269">
        <f t="shared" si="237"/>
        <v>1418432.9540015417</v>
      </c>
      <c r="W1149" s="269">
        <f t="shared" si="238"/>
        <v>567373.18160061666</v>
      </c>
      <c r="X1149" s="257">
        <f t="shared" si="239"/>
        <v>1418432.9540015417</v>
      </c>
      <c r="Y1149" s="270">
        <f>IF(L1149="Complex",(INDEX('Escalators '!$M$176:$S$176,MATCH('Forecast capex'!J1149,'Escalators '!$M$178:$S$178,0))/12+1)^((K1149-J1149)*12)-1,0)</f>
        <v>0</v>
      </c>
      <c r="Z1149" s="257">
        <f t="shared" si="240"/>
        <v>0</v>
      </c>
      <c r="AA1149" s="257">
        <f t="shared" si="241"/>
        <v>0</v>
      </c>
      <c r="AB1149" s="269">
        <f t="shared" si="242"/>
        <v>0</v>
      </c>
      <c r="AC1149" s="269">
        <f t="shared" si="243"/>
        <v>0</v>
      </c>
      <c r="AD1149" s="271" t="str">
        <f>INDEX('Global inputs'!$C$134:$C$171,MATCH(F1149,'Global inputs'!$B$134:$B$171,0))</f>
        <v>Consumer connection</v>
      </c>
      <c r="AE1149" s="272">
        <f>IF(OR(H1149='Operating leases'!$B$32,H1149='Operating leases'!$B$33),"",INDEX('Global inputs'!$C$186:$C$243,MATCH(E1149,'Global inputs'!$B$186:$B$243,0)))</f>
        <v>0.08</v>
      </c>
    </row>
    <row r="1150" spans="1:31" s="27" customFormat="1" x14ac:dyDescent="0.2">
      <c r="A1150" s="250"/>
      <c r="B1150" s="210" t="s">
        <v>714</v>
      </c>
      <c r="C1150" s="210" t="s">
        <v>287</v>
      </c>
      <c r="D1150" s="210" t="s">
        <v>729</v>
      </c>
      <c r="E1150" s="210" t="s">
        <v>150</v>
      </c>
      <c r="F1150" s="210" t="s">
        <v>94</v>
      </c>
      <c r="G1150" s="210" t="s">
        <v>731</v>
      </c>
      <c r="H1150" s="197">
        <v>0</v>
      </c>
      <c r="I1150" s="210" t="s">
        <v>225</v>
      </c>
      <c r="J1150" s="210">
        <v>2024</v>
      </c>
      <c r="K1150" s="210">
        <v>2024</v>
      </c>
      <c r="L1150" s="268" t="str">
        <f t="shared" si="231"/>
        <v>Simple</v>
      </c>
      <c r="M1150" s="197">
        <v>4017.5598474996373</v>
      </c>
      <c r="N1150" s="197">
        <v>6026.3397712494561</v>
      </c>
      <c r="O1150" s="257">
        <f>IF(ISNA(MATCH(H1150,'Operating leases'!$B$32:$B$43,0)),0,INDEX('Operating leases'!$M$32:$S$43,MATCH(H1150,'Operating leases'!$B$32:$B$43,0),MATCH(J1150,'Operating leases'!$M$11:$S$11,0)))</f>
        <v>0</v>
      </c>
      <c r="P1150" s="257">
        <f t="shared" si="232"/>
        <v>4017.5598474996373</v>
      </c>
      <c r="Q1150" s="257">
        <f t="shared" si="233"/>
        <v>10043.899618749094</v>
      </c>
      <c r="R1150" s="258">
        <f>INDEX('Escalators '!$M$124:$S$129,MATCH(I1150,'Escalators '!$B$124:$B$129,0),MATCH(J1150,'Escalators '!$M$113:$S$113,0))</f>
        <v>1.0991168876021189</v>
      </c>
      <c r="S1150" s="257">
        <f t="shared" si="234"/>
        <v>0</v>
      </c>
      <c r="T1150" s="257">
        <f t="shared" si="235"/>
        <v>6623.6518130085669</v>
      </c>
      <c r="U1150" s="269">
        <f t="shared" si="236"/>
        <v>4415.7678753390455</v>
      </c>
      <c r="V1150" s="269">
        <f t="shared" si="237"/>
        <v>11039.419688347612</v>
      </c>
      <c r="W1150" s="269">
        <f t="shared" si="238"/>
        <v>4415.7678753390455</v>
      </c>
      <c r="X1150" s="257">
        <f t="shared" si="239"/>
        <v>11039.419688347612</v>
      </c>
      <c r="Y1150" s="270">
        <f>IF(L1150="Complex",(INDEX('Escalators '!$M$176:$S$176,MATCH('Forecast capex'!J1150,'Escalators '!$M$178:$S$178,0))/12+1)^((K1150-J1150)*12)-1,0)</f>
        <v>0</v>
      </c>
      <c r="Z1150" s="257">
        <f t="shared" si="240"/>
        <v>0</v>
      </c>
      <c r="AA1150" s="257">
        <f t="shared" si="241"/>
        <v>0</v>
      </c>
      <c r="AB1150" s="269">
        <f t="shared" si="242"/>
        <v>0</v>
      </c>
      <c r="AC1150" s="269">
        <f t="shared" si="243"/>
        <v>0</v>
      </c>
      <c r="AD1150" s="271" t="str">
        <f>INDEX('Global inputs'!$C$134:$C$171,MATCH(F1150,'Global inputs'!$B$134:$B$171,0))</f>
        <v>Consumer connection</v>
      </c>
      <c r="AE1150" s="272">
        <f>IF(OR(H1150='Operating leases'!$B$32,H1150='Operating leases'!$B$33),"",INDEX('Global inputs'!$C$186:$C$243,MATCH(E1150,'Global inputs'!$B$186:$B$243,0)))</f>
        <v>0.08</v>
      </c>
    </row>
    <row r="1151" spans="1:31" s="27" customFormat="1" x14ac:dyDescent="0.2">
      <c r="A1151" s="250"/>
      <c r="B1151" s="210" t="s">
        <v>714</v>
      </c>
      <c r="C1151" s="210" t="s">
        <v>287</v>
      </c>
      <c r="D1151" s="210" t="s">
        <v>729</v>
      </c>
      <c r="E1151" s="210" t="s">
        <v>150</v>
      </c>
      <c r="F1151" s="210" t="s">
        <v>94</v>
      </c>
      <c r="G1151" s="210" t="s">
        <v>731</v>
      </c>
      <c r="H1151" s="197">
        <v>0</v>
      </c>
      <c r="I1151" s="210" t="s">
        <v>221</v>
      </c>
      <c r="J1151" s="210">
        <v>2024</v>
      </c>
      <c r="K1151" s="210">
        <v>2024</v>
      </c>
      <c r="L1151" s="268" t="str">
        <f t="shared" si="231"/>
        <v>Simple</v>
      </c>
      <c r="M1151" s="197">
        <v>16070.239389998549</v>
      </c>
      <c r="N1151" s="197">
        <v>24105.359084997825</v>
      </c>
      <c r="O1151" s="257">
        <f>IF(ISNA(MATCH(H1151,'Operating leases'!$B$32:$B$43,0)),0,INDEX('Operating leases'!$M$32:$S$43,MATCH(H1151,'Operating leases'!$B$32:$B$43,0),MATCH(J1151,'Operating leases'!$M$11:$S$11,0)))</f>
        <v>0</v>
      </c>
      <c r="P1151" s="257">
        <f t="shared" si="232"/>
        <v>16070.239389998549</v>
      </c>
      <c r="Q1151" s="257">
        <f t="shared" si="233"/>
        <v>40175.598474996375</v>
      </c>
      <c r="R1151" s="258">
        <f>INDEX('Escalators '!$M$124:$S$129,MATCH(I1151,'Escalators '!$B$124:$B$129,0),MATCH(J1151,'Escalators '!$M$113:$S$113,0))</f>
        <v>1.06512715891222</v>
      </c>
      <c r="S1151" s="257">
        <f t="shared" si="234"/>
        <v>0</v>
      </c>
      <c r="T1151" s="257">
        <f t="shared" si="235"/>
        <v>25675.272636762602</v>
      </c>
      <c r="U1151" s="269">
        <f t="shared" si="236"/>
        <v>17116.848424508404</v>
      </c>
      <c r="V1151" s="269">
        <f t="shared" si="237"/>
        <v>42792.121061271006</v>
      </c>
      <c r="W1151" s="269">
        <f t="shared" si="238"/>
        <v>17116.848424508404</v>
      </c>
      <c r="X1151" s="257">
        <f t="shared" si="239"/>
        <v>42792.121061271006</v>
      </c>
      <c r="Y1151" s="270">
        <f>IF(L1151="Complex",(INDEX('Escalators '!$M$176:$S$176,MATCH('Forecast capex'!J1151,'Escalators '!$M$178:$S$178,0))/12+1)^((K1151-J1151)*12)-1,0)</f>
        <v>0</v>
      </c>
      <c r="Z1151" s="257">
        <f t="shared" si="240"/>
        <v>0</v>
      </c>
      <c r="AA1151" s="257">
        <f t="shared" si="241"/>
        <v>0</v>
      </c>
      <c r="AB1151" s="269">
        <f t="shared" si="242"/>
        <v>0</v>
      </c>
      <c r="AC1151" s="269">
        <f t="shared" si="243"/>
        <v>0</v>
      </c>
      <c r="AD1151" s="271" t="str">
        <f>INDEX('Global inputs'!$C$134:$C$171,MATCH(F1151,'Global inputs'!$B$134:$B$171,0))</f>
        <v>Consumer connection</v>
      </c>
      <c r="AE1151" s="272">
        <f>IF(OR(H1151='Operating leases'!$B$32,H1151='Operating leases'!$B$33),"",INDEX('Global inputs'!$C$186:$C$243,MATCH(E1151,'Global inputs'!$B$186:$B$243,0)))</f>
        <v>0.08</v>
      </c>
    </row>
    <row r="1152" spans="1:31" s="27" customFormat="1" x14ac:dyDescent="0.2">
      <c r="A1152" s="250"/>
      <c r="B1152" s="210" t="s">
        <v>714</v>
      </c>
      <c r="C1152" s="210" t="s">
        <v>287</v>
      </c>
      <c r="D1152" s="210" t="s">
        <v>729</v>
      </c>
      <c r="E1152" s="210" t="s">
        <v>151</v>
      </c>
      <c r="F1152" s="210" t="s">
        <v>94</v>
      </c>
      <c r="G1152" s="210" t="s">
        <v>731</v>
      </c>
      <c r="H1152" s="197">
        <v>0</v>
      </c>
      <c r="I1152" s="210" t="s">
        <v>225</v>
      </c>
      <c r="J1152" s="210">
        <v>2024</v>
      </c>
      <c r="K1152" s="210">
        <v>2024</v>
      </c>
      <c r="L1152" s="268" t="str">
        <f t="shared" si="231"/>
        <v>Simple</v>
      </c>
      <c r="M1152" s="197">
        <v>4017.5598474996373</v>
      </c>
      <c r="N1152" s="197">
        <v>6026.3397712494561</v>
      </c>
      <c r="O1152" s="257">
        <f>IF(ISNA(MATCH(H1152,'Operating leases'!$B$32:$B$43,0)),0,INDEX('Operating leases'!$M$32:$S$43,MATCH(H1152,'Operating leases'!$B$32:$B$43,0),MATCH(J1152,'Operating leases'!$M$11:$S$11,0)))</f>
        <v>0</v>
      </c>
      <c r="P1152" s="257">
        <f t="shared" si="232"/>
        <v>4017.5598474996373</v>
      </c>
      <c r="Q1152" s="257">
        <f t="shared" si="233"/>
        <v>10043.899618749094</v>
      </c>
      <c r="R1152" s="258">
        <f>INDEX('Escalators '!$M$124:$S$129,MATCH(I1152,'Escalators '!$B$124:$B$129,0),MATCH(J1152,'Escalators '!$M$113:$S$113,0))</f>
        <v>1.0991168876021189</v>
      </c>
      <c r="S1152" s="257">
        <f t="shared" si="234"/>
        <v>0</v>
      </c>
      <c r="T1152" s="257">
        <f t="shared" si="235"/>
        <v>6623.6518130085669</v>
      </c>
      <c r="U1152" s="269">
        <f t="shared" si="236"/>
        <v>4415.7678753390455</v>
      </c>
      <c r="V1152" s="269">
        <f t="shared" si="237"/>
        <v>11039.419688347612</v>
      </c>
      <c r="W1152" s="269">
        <f t="shared" si="238"/>
        <v>4415.7678753390455</v>
      </c>
      <c r="X1152" s="257">
        <f t="shared" si="239"/>
        <v>11039.419688347612</v>
      </c>
      <c r="Y1152" s="270">
        <f>IF(L1152="Complex",(INDEX('Escalators '!$M$176:$S$176,MATCH('Forecast capex'!J1152,'Escalators '!$M$178:$S$178,0))/12+1)^((K1152-J1152)*12)-1,0)</f>
        <v>0</v>
      </c>
      <c r="Z1152" s="257">
        <f t="shared" si="240"/>
        <v>0</v>
      </c>
      <c r="AA1152" s="257">
        <f t="shared" si="241"/>
        <v>0</v>
      </c>
      <c r="AB1152" s="269">
        <f t="shared" si="242"/>
        <v>0</v>
      </c>
      <c r="AC1152" s="269">
        <f t="shared" si="243"/>
        <v>0</v>
      </c>
      <c r="AD1152" s="271" t="str">
        <f>INDEX('Global inputs'!$C$134:$C$171,MATCH(F1152,'Global inputs'!$B$134:$B$171,0))</f>
        <v>Consumer connection</v>
      </c>
      <c r="AE1152" s="272">
        <f>IF(OR(H1152='Operating leases'!$B$32,H1152='Operating leases'!$B$33),"",INDEX('Global inputs'!$C$186:$C$243,MATCH(E1152,'Global inputs'!$B$186:$B$243,0)))</f>
        <v>0.1</v>
      </c>
    </row>
    <row r="1153" spans="1:31" s="27" customFormat="1" x14ac:dyDescent="0.2">
      <c r="A1153" s="250"/>
      <c r="B1153" s="210" t="s">
        <v>714</v>
      </c>
      <c r="C1153" s="210" t="s">
        <v>287</v>
      </c>
      <c r="D1153" s="210" t="s">
        <v>729</v>
      </c>
      <c r="E1153" s="210" t="s">
        <v>151</v>
      </c>
      <c r="F1153" s="210" t="s">
        <v>94</v>
      </c>
      <c r="G1153" s="210" t="s">
        <v>731</v>
      </c>
      <c r="H1153" s="197">
        <v>0</v>
      </c>
      <c r="I1153" s="210" t="s">
        <v>221</v>
      </c>
      <c r="J1153" s="210">
        <v>2024</v>
      </c>
      <c r="K1153" s="210">
        <v>2024</v>
      </c>
      <c r="L1153" s="268" t="str">
        <f t="shared" si="231"/>
        <v>Simple</v>
      </c>
      <c r="M1153" s="197">
        <v>16070.239389998549</v>
      </c>
      <c r="N1153" s="197">
        <v>24105.359084997825</v>
      </c>
      <c r="O1153" s="257">
        <f>IF(ISNA(MATCH(H1153,'Operating leases'!$B$32:$B$43,0)),0,INDEX('Operating leases'!$M$32:$S$43,MATCH(H1153,'Operating leases'!$B$32:$B$43,0),MATCH(J1153,'Operating leases'!$M$11:$S$11,0)))</f>
        <v>0</v>
      </c>
      <c r="P1153" s="257">
        <f t="shared" si="232"/>
        <v>16070.239389998549</v>
      </c>
      <c r="Q1153" s="257">
        <f t="shared" si="233"/>
        <v>40175.598474996375</v>
      </c>
      <c r="R1153" s="258">
        <f>INDEX('Escalators '!$M$124:$S$129,MATCH(I1153,'Escalators '!$B$124:$B$129,0),MATCH(J1153,'Escalators '!$M$113:$S$113,0))</f>
        <v>1.06512715891222</v>
      </c>
      <c r="S1153" s="257">
        <f t="shared" si="234"/>
        <v>0</v>
      </c>
      <c r="T1153" s="257">
        <f t="shared" si="235"/>
        <v>25675.272636762602</v>
      </c>
      <c r="U1153" s="269">
        <f t="shared" si="236"/>
        <v>17116.848424508404</v>
      </c>
      <c r="V1153" s="269">
        <f t="shared" si="237"/>
        <v>42792.121061271006</v>
      </c>
      <c r="W1153" s="269">
        <f t="shared" si="238"/>
        <v>17116.848424508404</v>
      </c>
      <c r="X1153" s="257">
        <f t="shared" si="239"/>
        <v>42792.121061271006</v>
      </c>
      <c r="Y1153" s="270">
        <f>IF(L1153="Complex",(INDEX('Escalators '!$M$176:$S$176,MATCH('Forecast capex'!J1153,'Escalators '!$M$178:$S$178,0))/12+1)^((K1153-J1153)*12)-1,0)</f>
        <v>0</v>
      </c>
      <c r="Z1153" s="257">
        <f t="shared" si="240"/>
        <v>0</v>
      </c>
      <c r="AA1153" s="257">
        <f t="shared" si="241"/>
        <v>0</v>
      </c>
      <c r="AB1153" s="269">
        <f t="shared" si="242"/>
        <v>0</v>
      </c>
      <c r="AC1153" s="269">
        <f t="shared" si="243"/>
        <v>0</v>
      </c>
      <c r="AD1153" s="271" t="str">
        <f>INDEX('Global inputs'!$C$134:$C$171,MATCH(F1153,'Global inputs'!$B$134:$B$171,0))</f>
        <v>Consumer connection</v>
      </c>
      <c r="AE1153" s="272">
        <f>IF(OR(H1153='Operating leases'!$B$32,H1153='Operating leases'!$B$33),"",INDEX('Global inputs'!$C$186:$C$243,MATCH(E1153,'Global inputs'!$B$186:$B$243,0)))</f>
        <v>0.1</v>
      </c>
    </row>
    <row r="1154" spans="1:31" s="27" customFormat="1" x14ac:dyDescent="0.2">
      <c r="A1154" s="250"/>
      <c r="B1154" s="210" t="s">
        <v>714</v>
      </c>
      <c r="C1154" s="210" t="s">
        <v>287</v>
      </c>
      <c r="D1154" s="210" t="s">
        <v>729</v>
      </c>
      <c r="E1154" s="210" t="s">
        <v>153</v>
      </c>
      <c r="F1154" s="210" t="s">
        <v>94</v>
      </c>
      <c r="G1154" s="210" t="s">
        <v>737</v>
      </c>
      <c r="H1154" s="197">
        <v>0</v>
      </c>
      <c r="I1154" s="210" t="s">
        <v>225</v>
      </c>
      <c r="J1154" s="210">
        <v>2024</v>
      </c>
      <c r="K1154" s="210">
        <v>2024</v>
      </c>
      <c r="L1154" s="268" t="str">
        <f t="shared" si="231"/>
        <v>Simple</v>
      </c>
      <c r="M1154" s="197">
        <v>3781.2327976467186</v>
      </c>
      <c r="N1154" s="197">
        <v>5671.849196470077</v>
      </c>
      <c r="O1154" s="257">
        <f>IF(ISNA(MATCH(H1154,'Operating leases'!$B$32:$B$43,0)),0,INDEX('Operating leases'!$M$32:$S$43,MATCH(H1154,'Operating leases'!$B$32:$B$43,0),MATCH(J1154,'Operating leases'!$M$11:$S$11,0)))</f>
        <v>0</v>
      </c>
      <c r="P1154" s="257">
        <f t="shared" si="232"/>
        <v>3781.2327976467186</v>
      </c>
      <c r="Q1154" s="257">
        <f t="shared" si="233"/>
        <v>9453.0819941167956</v>
      </c>
      <c r="R1154" s="258">
        <f>INDEX('Escalators '!$M$124:$S$129,MATCH(I1154,'Escalators '!$B$124:$B$129,0),MATCH(J1154,'Escalators '!$M$113:$S$113,0))</f>
        <v>1.0991168876021189</v>
      </c>
      <c r="S1154" s="257">
        <f t="shared" si="234"/>
        <v>0</v>
      </c>
      <c r="T1154" s="257">
        <f t="shared" si="235"/>
        <v>6234.0252357727704</v>
      </c>
      <c r="U1154" s="269">
        <f t="shared" si="236"/>
        <v>4156.0168238485139</v>
      </c>
      <c r="V1154" s="269">
        <f t="shared" si="237"/>
        <v>10390.042059621284</v>
      </c>
      <c r="W1154" s="269">
        <f t="shared" si="238"/>
        <v>4156.0168238485139</v>
      </c>
      <c r="X1154" s="257">
        <f t="shared" si="239"/>
        <v>10390.042059621284</v>
      </c>
      <c r="Y1154" s="270">
        <f>IF(L1154="Complex",(INDEX('Escalators '!$M$176:$S$176,MATCH('Forecast capex'!J1154,'Escalators '!$M$178:$S$178,0))/12+1)^((K1154-J1154)*12)-1,0)</f>
        <v>0</v>
      </c>
      <c r="Z1154" s="257">
        <f t="shared" si="240"/>
        <v>0</v>
      </c>
      <c r="AA1154" s="257">
        <f t="shared" si="241"/>
        <v>0</v>
      </c>
      <c r="AB1154" s="269">
        <f t="shared" si="242"/>
        <v>0</v>
      </c>
      <c r="AC1154" s="269">
        <f t="shared" si="243"/>
        <v>0</v>
      </c>
      <c r="AD1154" s="271" t="str">
        <f>INDEX('Global inputs'!$C$134:$C$171,MATCH(F1154,'Global inputs'!$B$134:$B$171,0))</f>
        <v>Consumer connection</v>
      </c>
      <c r="AE1154" s="272">
        <f>IF(OR(H1154='Operating leases'!$B$32,H1154='Operating leases'!$B$33),"",INDEX('Global inputs'!$C$186:$C$243,MATCH(E1154,'Global inputs'!$B$186:$B$243,0)))</f>
        <v>0.08</v>
      </c>
    </row>
    <row r="1155" spans="1:31" s="27" customFormat="1" x14ac:dyDescent="0.2">
      <c r="A1155" s="250"/>
      <c r="B1155" s="210" t="s">
        <v>714</v>
      </c>
      <c r="C1155" s="210" t="s">
        <v>287</v>
      </c>
      <c r="D1155" s="210" t="s">
        <v>729</v>
      </c>
      <c r="E1155" s="210" t="s">
        <v>153</v>
      </c>
      <c r="F1155" s="210" t="s">
        <v>94</v>
      </c>
      <c r="G1155" s="210" t="s">
        <v>737</v>
      </c>
      <c r="H1155" s="197">
        <v>0</v>
      </c>
      <c r="I1155" s="210" t="s">
        <v>221</v>
      </c>
      <c r="J1155" s="210">
        <v>2024</v>
      </c>
      <c r="K1155" s="210">
        <v>2024</v>
      </c>
      <c r="L1155" s="268" t="str">
        <f t="shared" si="231"/>
        <v>Simple</v>
      </c>
      <c r="M1155" s="197">
        <v>15124.931190586874</v>
      </c>
      <c r="N1155" s="197">
        <v>22687.396785880308</v>
      </c>
      <c r="O1155" s="257">
        <f>IF(ISNA(MATCH(H1155,'Operating leases'!$B$32:$B$43,0)),0,INDEX('Operating leases'!$M$32:$S$43,MATCH(H1155,'Operating leases'!$B$32:$B$43,0),MATCH(J1155,'Operating leases'!$M$11:$S$11,0)))</f>
        <v>0</v>
      </c>
      <c r="P1155" s="257">
        <f t="shared" si="232"/>
        <v>15124.931190586874</v>
      </c>
      <c r="Q1155" s="257">
        <f t="shared" si="233"/>
        <v>37812.327976467182</v>
      </c>
      <c r="R1155" s="258">
        <f>INDEX('Escalators '!$M$124:$S$129,MATCH(I1155,'Escalators '!$B$124:$B$129,0),MATCH(J1155,'Escalators '!$M$113:$S$113,0))</f>
        <v>1.06512715891222</v>
      </c>
      <c r="S1155" s="257">
        <f t="shared" si="234"/>
        <v>0</v>
      </c>
      <c r="T1155" s="257">
        <f t="shared" si="235"/>
        <v>24164.962481658924</v>
      </c>
      <c r="U1155" s="269">
        <f t="shared" si="236"/>
        <v>16109.974987772617</v>
      </c>
      <c r="V1155" s="269">
        <f t="shared" si="237"/>
        <v>40274.937469431541</v>
      </c>
      <c r="W1155" s="269">
        <f t="shared" si="238"/>
        <v>16109.974987772617</v>
      </c>
      <c r="X1155" s="257">
        <f t="shared" si="239"/>
        <v>40274.937469431541</v>
      </c>
      <c r="Y1155" s="270">
        <f>IF(L1155="Complex",(INDEX('Escalators '!$M$176:$S$176,MATCH('Forecast capex'!J1155,'Escalators '!$M$178:$S$178,0))/12+1)^((K1155-J1155)*12)-1,0)</f>
        <v>0</v>
      </c>
      <c r="Z1155" s="257">
        <f t="shared" si="240"/>
        <v>0</v>
      </c>
      <c r="AA1155" s="257">
        <f t="shared" si="241"/>
        <v>0</v>
      </c>
      <c r="AB1155" s="269">
        <f t="shared" si="242"/>
        <v>0</v>
      </c>
      <c r="AC1155" s="269">
        <f t="shared" si="243"/>
        <v>0</v>
      </c>
      <c r="AD1155" s="271" t="str">
        <f>INDEX('Global inputs'!$C$134:$C$171,MATCH(F1155,'Global inputs'!$B$134:$B$171,0))</f>
        <v>Consumer connection</v>
      </c>
      <c r="AE1155" s="272">
        <f>IF(OR(H1155='Operating leases'!$B$32,H1155='Operating leases'!$B$33),"",INDEX('Global inputs'!$C$186:$C$243,MATCH(E1155,'Global inputs'!$B$186:$B$243,0)))</f>
        <v>0.08</v>
      </c>
    </row>
    <row r="1156" spans="1:31" s="27" customFormat="1" x14ac:dyDescent="0.2">
      <c r="A1156" s="250"/>
      <c r="B1156" s="210" t="s">
        <v>714</v>
      </c>
      <c r="C1156" s="210" t="s">
        <v>287</v>
      </c>
      <c r="D1156" s="210" t="s">
        <v>729</v>
      </c>
      <c r="E1156" s="210" t="s">
        <v>154</v>
      </c>
      <c r="F1156" s="210" t="s">
        <v>94</v>
      </c>
      <c r="G1156" s="210" t="s">
        <v>737</v>
      </c>
      <c r="H1156" s="197">
        <v>0</v>
      </c>
      <c r="I1156" s="210" t="s">
        <v>225</v>
      </c>
      <c r="J1156" s="210">
        <v>2024</v>
      </c>
      <c r="K1156" s="210">
        <v>2024</v>
      </c>
      <c r="L1156" s="268" t="str">
        <f t="shared" si="231"/>
        <v>Simple</v>
      </c>
      <c r="M1156" s="197">
        <v>3781.2327976467186</v>
      </c>
      <c r="N1156" s="197">
        <v>5671.849196470077</v>
      </c>
      <c r="O1156" s="257">
        <f>IF(ISNA(MATCH(H1156,'Operating leases'!$B$32:$B$43,0)),0,INDEX('Operating leases'!$M$32:$S$43,MATCH(H1156,'Operating leases'!$B$32:$B$43,0),MATCH(J1156,'Operating leases'!$M$11:$S$11,0)))</f>
        <v>0</v>
      </c>
      <c r="P1156" s="257">
        <f t="shared" si="232"/>
        <v>3781.2327976467186</v>
      </c>
      <c r="Q1156" s="257">
        <f t="shared" si="233"/>
        <v>9453.0819941167956</v>
      </c>
      <c r="R1156" s="258">
        <f>INDEX('Escalators '!$M$124:$S$129,MATCH(I1156,'Escalators '!$B$124:$B$129,0),MATCH(J1156,'Escalators '!$M$113:$S$113,0))</f>
        <v>1.0991168876021189</v>
      </c>
      <c r="S1156" s="257">
        <f t="shared" si="234"/>
        <v>0</v>
      </c>
      <c r="T1156" s="257">
        <f t="shared" si="235"/>
        <v>6234.0252357727704</v>
      </c>
      <c r="U1156" s="269">
        <f t="shared" si="236"/>
        <v>4156.0168238485139</v>
      </c>
      <c r="V1156" s="269">
        <f t="shared" si="237"/>
        <v>10390.042059621284</v>
      </c>
      <c r="W1156" s="269">
        <f t="shared" si="238"/>
        <v>4156.0168238485139</v>
      </c>
      <c r="X1156" s="257">
        <f t="shared" si="239"/>
        <v>10390.042059621284</v>
      </c>
      <c r="Y1156" s="270">
        <f>IF(L1156="Complex",(INDEX('Escalators '!$M$176:$S$176,MATCH('Forecast capex'!J1156,'Escalators '!$M$178:$S$178,0))/12+1)^((K1156-J1156)*12)-1,0)</f>
        <v>0</v>
      </c>
      <c r="Z1156" s="257">
        <f t="shared" si="240"/>
        <v>0</v>
      </c>
      <c r="AA1156" s="257">
        <f t="shared" si="241"/>
        <v>0</v>
      </c>
      <c r="AB1156" s="269">
        <f t="shared" si="242"/>
        <v>0</v>
      </c>
      <c r="AC1156" s="269">
        <f t="shared" si="243"/>
        <v>0</v>
      </c>
      <c r="AD1156" s="271" t="str">
        <f>INDEX('Global inputs'!$C$134:$C$171,MATCH(F1156,'Global inputs'!$B$134:$B$171,0))</f>
        <v>Consumer connection</v>
      </c>
      <c r="AE1156" s="272">
        <f>IF(OR(H1156='Operating leases'!$B$32,H1156='Operating leases'!$B$33),"",INDEX('Global inputs'!$C$186:$C$243,MATCH(E1156,'Global inputs'!$B$186:$B$243,0)))</f>
        <v>0.1</v>
      </c>
    </row>
    <row r="1157" spans="1:31" s="27" customFormat="1" x14ac:dyDescent="0.2">
      <c r="A1157" s="250"/>
      <c r="B1157" s="210" t="s">
        <v>714</v>
      </c>
      <c r="C1157" s="210" t="s">
        <v>287</v>
      </c>
      <c r="D1157" s="210" t="s">
        <v>729</v>
      </c>
      <c r="E1157" s="210" t="s">
        <v>154</v>
      </c>
      <c r="F1157" s="210" t="s">
        <v>94</v>
      </c>
      <c r="G1157" s="210" t="s">
        <v>737</v>
      </c>
      <c r="H1157" s="197">
        <v>0</v>
      </c>
      <c r="I1157" s="210" t="s">
        <v>221</v>
      </c>
      <c r="J1157" s="210">
        <v>2024</v>
      </c>
      <c r="K1157" s="210">
        <v>2024</v>
      </c>
      <c r="L1157" s="268" t="str">
        <f t="shared" si="231"/>
        <v>Simple</v>
      </c>
      <c r="M1157" s="197">
        <v>15124.931190586874</v>
      </c>
      <c r="N1157" s="197">
        <v>22687.396785880308</v>
      </c>
      <c r="O1157" s="257">
        <f>IF(ISNA(MATCH(H1157,'Operating leases'!$B$32:$B$43,0)),0,INDEX('Operating leases'!$M$32:$S$43,MATCH(H1157,'Operating leases'!$B$32:$B$43,0),MATCH(J1157,'Operating leases'!$M$11:$S$11,0)))</f>
        <v>0</v>
      </c>
      <c r="P1157" s="257">
        <f t="shared" si="232"/>
        <v>15124.931190586874</v>
      </c>
      <c r="Q1157" s="257">
        <f t="shared" si="233"/>
        <v>37812.327976467182</v>
      </c>
      <c r="R1157" s="258">
        <f>INDEX('Escalators '!$M$124:$S$129,MATCH(I1157,'Escalators '!$B$124:$B$129,0),MATCH(J1157,'Escalators '!$M$113:$S$113,0))</f>
        <v>1.06512715891222</v>
      </c>
      <c r="S1157" s="257">
        <f t="shared" si="234"/>
        <v>0</v>
      </c>
      <c r="T1157" s="257">
        <f t="shared" si="235"/>
        <v>24164.962481658924</v>
      </c>
      <c r="U1157" s="269">
        <f t="shared" si="236"/>
        <v>16109.974987772617</v>
      </c>
      <c r="V1157" s="269">
        <f t="shared" si="237"/>
        <v>40274.937469431541</v>
      </c>
      <c r="W1157" s="269">
        <f t="shared" si="238"/>
        <v>16109.974987772617</v>
      </c>
      <c r="X1157" s="257">
        <f t="shared" si="239"/>
        <v>40274.937469431541</v>
      </c>
      <c r="Y1157" s="270">
        <f>IF(L1157="Complex",(INDEX('Escalators '!$M$176:$S$176,MATCH('Forecast capex'!J1157,'Escalators '!$M$178:$S$178,0))/12+1)^((K1157-J1157)*12)-1,0)</f>
        <v>0</v>
      </c>
      <c r="Z1157" s="257">
        <f t="shared" si="240"/>
        <v>0</v>
      </c>
      <c r="AA1157" s="257">
        <f t="shared" si="241"/>
        <v>0</v>
      </c>
      <c r="AB1157" s="269">
        <f t="shared" si="242"/>
        <v>0</v>
      </c>
      <c r="AC1157" s="269">
        <f t="shared" si="243"/>
        <v>0</v>
      </c>
      <c r="AD1157" s="271" t="str">
        <f>INDEX('Global inputs'!$C$134:$C$171,MATCH(F1157,'Global inputs'!$B$134:$B$171,0))</f>
        <v>Consumer connection</v>
      </c>
      <c r="AE1157" s="272">
        <f>IF(OR(H1157='Operating leases'!$B$32,H1157='Operating leases'!$B$33),"",INDEX('Global inputs'!$C$186:$C$243,MATCH(E1157,'Global inputs'!$B$186:$B$243,0)))</f>
        <v>0.1</v>
      </c>
    </row>
    <row r="1158" spans="1:31" s="27" customFormat="1" x14ac:dyDescent="0.2">
      <c r="A1158" s="250"/>
      <c r="B1158" s="210" t="s">
        <v>714</v>
      </c>
      <c r="C1158" s="210" t="s">
        <v>291</v>
      </c>
      <c r="D1158" s="210">
        <v>0</v>
      </c>
      <c r="E1158" s="210" t="s">
        <v>176</v>
      </c>
      <c r="F1158" s="210" t="s">
        <v>94</v>
      </c>
      <c r="G1158" s="210" t="s">
        <v>229</v>
      </c>
      <c r="H1158" s="197">
        <v>0</v>
      </c>
      <c r="I1158" s="210" t="s">
        <v>229</v>
      </c>
      <c r="J1158" s="210">
        <v>2024</v>
      </c>
      <c r="K1158" s="210">
        <v>2024</v>
      </c>
      <c r="L1158" s="268" t="str">
        <f t="shared" si="231"/>
        <v>Simple</v>
      </c>
      <c r="M1158" s="197">
        <v>2363.2704985291989</v>
      </c>
      <c r="N1158" s="197">
        <v>3544.9057477937977</v>
      </c>
      <c r="O1158" s="257">
        <f>IF(ISNA(MATCH(H1158,'Operating leases'!$B$32:$B$43,0)),0,INDEX('Operating leases'!$M$32:$S$43,MATCH(H1158,'Operating leases'!$B$32:$B$43,0),MATCH(J1158,'Operating leases'!$M$11:$S$11,0)))</f>
        <v>0</v>
      </c>
      <c r="P1158" s="257">
        <f t="shared" si="232"/>
        <v>2363.2704985291989</v>
      </c>
      <c r="Q1158" s="257">
        <f t="shared" si="233"/>
        <v>5908.176246322997</v>
      </c>
      <c r="R1158" s="258">
        <f>INDEX('Escalators '!$M$124:$S$129,MATCH(I1158,'Escalators '!$B$124:$B$129,0),MATCH(J1158,'Escalators '!$M$113:$S$113,0))</f>
        <v>1.0731681760713303</v>
      </c>
      <c r="S1158" s="257">
        <f t="shared" si="234"/>
        <v>0</v>
      </c>
      <c r="T1158" s="257">
        <f t="shared" si="235"/>
        <v>3804.2800357046449</v>
      </c>
      <c r="U1158" s="269">
        <f t="shared" si="236"/>
        <v>2536.1866904697649</v>
      </c>
      <c r="V1158" s="269">
        <f t="shared" si="237"/>
        <v>6340.4667261744098</v>
      </c>
      <c r="W1158" s="269">
        <f t="shared" si="238"/>
        <v>2536.1866904697649</v>
      </c>
      <c r="X1158" s="257">
        <f t="shared" si="239"/>
        <v>6340.4667261744098</v>
      </c>
      <c r="Y1158" s="270">
        <f>IF(L1158="Complex",(INDEX('Escalators '!$M$176:$S$176,MATCH('Forecast capex'!J1158,'Escalators '!$M$178:$S$178,0))/12+1)^((K1158-J1158)*12)-1,0)</f>
        <v>0</v>
      </c>
      <c r="Z1158" s="257">
        <f t="shared" si="240"/>
        <v>0</v>
      </c>
      <c r="AA1158" s="257">
        <f t="shared" si="241"/>
        <v>0</v>
      </c>
      <c r="AB1158" s="269">
        <f t="shared" si="242"/>
        <v>0</v>
      </c>
      <c r="AC1158" s="269">
        <f t="shared" si="243"/>
        <v>0</v>
      </c>
      <c r="AD1158" s="271" t="str">
        <f>INDEX('Global inputs'!$C$134:$C$171,MATCH(F1158,'Global inputs'!$B$134:$B$171,0))</f>
        <v>Consumer connection</v>
      </c>
      <c r="AE1158" s="272">
        <f>IF(OR(H1158='Operating leases'!$B$32,H1158='Operating leases'!$B$33),"",INDEX('Global inputs'!$C$186:$C$243,MATCH(E1158,'Global inputs'!$B$186:$B$243,0)))</f>
        <v>0.1</v>
      </c>
    </row>
    <row r="1159" spans="1:31" s="27" customFormat="1" x14ac:dyDescent="0.2">
      <c r="A1159" s="250"/>
      <c r="B1159" s="210" t="s">
        <v>738</v>
      </c>
      <c r="C1159" s="210" t="s">
        <v>292</v>
      </c>
      <c r="D1159" s="210" t="s">
        <v>739</v>
      </c>
      <c r="E1159" s="210" t="s">
        <v>178</v>
      </c>
      <c r="F1159" s="210" t="s">
        <v>91</v>
      </c>
      <c r="G1159" s="210" t="s">
        <v>137</v>
      </c>
      <c r="H1159" s="197">
        <v>0</v>
      </c>
      <c r="I1159" s="210" t="s">
        <v>229</v>
      </c>
      <c r="J1159" s="210">
        <v>2024</v>
      </c>
      <c r="K1159" s="210">
        <v>2024</v>
      </c>
      <c r="L1159" s="268" t="str">
        <f t="shared" si="231"/>
        <v>Simple</v>
      </c>
      <c r="M1159" s="197">
        <v>55984.032351474874</v>
      </c>
      <c r="N1159" s="197">
        <v>0</v>
      </c>
      <c r="O1159" s="257">
        <f>IF(ISNA(MATCH(H1159,'Operating leases'!$B$32:$B$43,0)),0,INDEX('Operating leases'!$M$32:$S$43,MATCH(H1159,'Operating leases'!$B$32:$B$43,0),MATCH(J1159,'Operating leases'!$M$11:$S$11,0)))</f>
        <v>0</v>
      </c>
      <c r="P1159" s="257">
        <f t="shared" si="232"/>
        <v>55984.032351474874</v>
      </c>
      <c r="Q1159" s="257">
        <f t="shared" si="233"/>
        <v>55984.032351474874</v>
      </c>
      <c r="R1159" s="258">
        <f>INDEX('Escalators '!$M$124:$S$129,MATCH(I1159,'Escalators '!$B$124:$B$129,0),MATCH(J1159,'Escalators '!$M$113:$S$113,0))</f>
        <v>1.0731681760713303</v>
      </c>
      <c r="S1159" s="257">
        <f t="shared" si="234"/>
        <v>0</v>
      </c>
      <c r="T1159" s="257">
        <f t="shared" si="235"/>
        <v>0</v>
      </c>
      <c r="U1159" s="269">
        <f t="shared" si="236"/>
        <v>60080.281887750643</v>
      </c>
      <c r="V1159" s="269">
        <f t="shared" si="237"/>
        <v>60080.281887750643</v>
      </c>
      <c r="W1159" s="269">
        <f t="shared" si="238"/>
        <v>60080.281887750643</v>
      </c>
      <c r="X1159" s="257">
        <f t="shared" si="239"/>
        <v>60080.281887750643</v>
      </c>
      <c r="Y1159" s="270">
        <f>IF(L1159="Complex",(INDEX('Escalators '!$M$176:$S$176,MATCH('Forecast capex'!J1159,'Escalators '!$M$178:$S$178,0))/12+1)^((K1159-J1159)*12)-1,0)</f>
        <v>0</v>
      </c>
      <c r="Z1159" s="257">
        <f t="shared" si="240"/>
        <v>0</v>
      </c>
      <c r="AA1159" s="257">
        <f t="shared" si="241"/>
        <v>0</v>
      </c>
      <c r="AB1159" s="269">
        <f t="shared" si="242"/>
        <v>0</v>
      </c>
      <c r="AC1159" s="269">
        <f t="shared" si="243"/>
        <v>0</v>
      </c>
      <c r="AD1159" s="271" t="str">
        <f>INDEX('Global inputs'!$C$134:$C$171,MATCH(F1159,'Global inputs'!$B$134:$B$171,0))</f>
        <v>Non-network CAPEX</v>
      </c>
      <c r="AE1159" s="272">
        <f>IF(OR(H1159='Operating leases'!$B$32,H1159='Operating leases'!$B$33),"",INDEX('Global inputs'!$C$186:$C$243,MATCH(E1159,'Global inputs'!$B$186:$B$243,0)))</f>
        <v>0</v>
      </c>
    </row>
    <row r="1160" spans="1:31" s="27" customFormat="1" x14ac:dyDescent="0.2">
      <c r="A1160" s="250"/>
      <c r="B1160" s="210" t="s">
        <v>738</v>
      </c>
      <c r="C1160" s="210" t="s">
        <v>292</v>
      </c>
      <c r="D1160" s="210" t="s">
        <v>739</v>
      </c>
      <c r="E1160" s="210" t="s">
        <v>179</v>
      </c>
      <c r="F1160" s="210" t="s">
        <v>91</v>
      </c>
      <c r="G1160" s="210" t="s">
        <v>740</v>
      </c>
      <c r="H1160" s="197">
        <v>0</v>
      </c>
      <c r="I1160" s="210" t="s">
        <v>229</v>
      </c>
      <c r="J1160" s="210">
        <v>2024</v>
      </c>
      <c r="K1160" s="210">
        <v>2024</v>
      </c>
      <c r="L1160" s="268" t="str">
        <f t="shared" si="231"/>
        <v>Simple</v>
      </c>
      <c r="M1160" s="197">
        <v>279920.16175737436</v>
      </c>
      <c r="N1160" s="197">
        <v>0</v>
      </c>
      <c r="O1160" s="257">
        <f>IF(ISNA(MATCH(H1160,'Operating leases'!$B$32:$B$43,0)),0,INDEX('Operating leases'!$M$32:$S$43,MATCH(H1160,'Operating leases'!$B$32:$B$43,0),MATCH(J1160,'Operating leases'!$M$11:$S$11,0)))</f>
        <v>0</v>
      </c>
      <c r="P1160" s="257">
        <f t="shared" si="232"/>
        <v>279920.16175737436</v>
      </c>
      <c r="Q1160" s="257">
        <f t="shared" si="233"/>
        <v>279920.16175737436</v>
      </c>
      <c r="R1160" s="258">
        <f>INDEX('Escalators '!$M$124:$S$129,MATCH(I1160,'Escalators '!$B$124:$B$129,0),MATCH(J1160,'Escalators '!$M$113:$S$113,0))</f>
        <v>1.0731681760713303</v>
      </c>
      <c r="S1160" s="257">
        <f t="shared" si="234"/>
        <v>0</v>
      </c>
      <c r="T1160" s="257">
        <f t="shared" si="235"/>
        <v>0</v>
      </c>
      <c r="U1160" s="269">
        <f t="shared" si="236"/>
        <v>300401.40943875321</v>
      </c>
      <c r="V1160" s="269">
        <f t="shared" si="237"/>
        <v>300401.40943875321</v>
      </c>
      <c r="W1160" s="269">
        <f t="shared" si="238"/>
        <v>300401.40943875321</v>
      </c>
      <c r="X1160" s="257">
        <f t="shared" si="239"/>
        <v>300401.40943875321</v>
      </c>
      <c r="Y1160" s="270">
        <f>IF(L1160="Complex",(INDEX('Escalators '!$M$176:$S$176,MATCH('Forecast capex'!J1160,'Escalators '!$M$178:$S$178,0))/12+1)^((K1160-J1160)*12)-1,0)</f>
        <v>0</v>
      </c>
      <c r="Z1160" s="257">
        <f t="shared" si="240"/>
        <v>0</v>
      </c>
      <c r="AA1160" s="257">
        <f t="shared" si="241"/>
        <v>0</v>
      </c>
      <c r="AB1160" s="269">
        <f t="shared" si="242"/>
        <v>0</v>
      </c>
      <c r="AC1160" s="269">
        <f t="shared" si="243"/>
        <v>0</v>
      </c>
      <c r="AD1160" s="271" t="str">
        <f>INDEX('Global inputs'!$C$134:$C$171,MATCH(F1160,'Global inputs'!$B$134:$B$171,0))</f>
        <v>Non-network CAPEX</v>
      </c>
      <c r="AE1160" s="272">
        <f>IF(OR(H1160='Operating leases'!$B$32,H1160='Operating leases'!$B$33),"",INDEX('Global inputs'!$C$186:$C$243,MATCH(E1160,'Global inputs'!$B$186:$B$243,0)))</f>
        <v>0.13</v>
      </c>
    </row>
    <row r="1161" spans="1:31" s="27" customFormat="1" x14ac:dyDescent="0.2">
      <c r="A1161" s="250"/>
      <c r="B1161" s="210" t="s">
        <v>738</v>
      </c>
      <c r="C1161" s="210" t="s">
        <v>292</v>
      </c>
      <c r="D1161" s="210" t="s">
        <v>739</v>
      </c>
      <c r="E1161" s="210" t="s">
        <v>185</v>
      </c>
      <c r="F1161" s="210" t="s">
        <v>91</v>
      </c>
      <c r="G1161" s="210" t="s">
        <v>741</v>
      </c>
      <c r="H1161" s="197">
        <v>0</v>
      </c>
      <c r="I1161" s="210" t="s">
        <v>229</v>
      </c>
      <c r="J1161" s="210">
        <v>2024</v>
      </c>
      <c r="K1161" s="210">
        <v>2024</v>
      </c>
      <c r="L1161" s="268" t="str">
        <f t="shared" si="231"/>
        <v>Simple</v>
      </c>
      <c r="M1161" s="197">
        <v>223936.1294058995</v>
      </c>
      <c r="N1161" s="197">
        <v>0</v>
      </c>
      <c r="O1161" s="257">
        <f>IF(ISNA(MATCH(H1161,'Operating leases'!$B$32:$B$43,0)),0,INDEX('Operating leases'!$M$32:$S$43,MATCH(H1161,'Operating leases'!$B$32:$B$43,0),MATCH(J1161,'Operating leases'!$M$11:$S$11,0)))</f>
        <v>0</v>
      </c>
      <c r="P1161" s="257">
        <f t="shared" si="232"/>
        <v>223936.1294058995</v>
      </c>
      <c r="Q1161" s="257">
        <f t="shared" si="233"/>
        <v>223936.1294058995</v>
      </c>
      <c r="R1161" s="258">
        <f>INDEX('Escalators '!$M$124:$S$129,MATCH(I1161,'Escalators '!$B$124:$B$129,0),MATCH(J1161,'Escalators '!$M$113:$S$113,0))</f>
        <v>1.0731681760713303</v>
      </c>
      <c r="S1161" s="257">
        <f t="shared" si="234"/>
        <v>0</v>
      </c>
      <c r="T1161" s="257">
        <f t="shared" si="235"/>
        <v>0</v>
      </c>
      <c r="U1161" s="269">
        <f t="shared" si="236"/>
        <v>240321.12755100257</v>
      </c>
      <c r="V1161" s="269">
        <f t="shared" si="237"/>
        <v>240321.12755100257</v>
      </c>
      <c r="W1161" s="269">
        <f t="shared" si="238"/>
        <v>240321.12755100257</v>
      </c>
      <c r="X1161" s="257">
        <f t="shared" si="239"/>
        <v>240321.12755100257</v>
      </c>
      <c r="Y1161" s="270">
        <f>IF(L1161="Complex",(INDEX('Escalators '!$M$176:$S$176,MATCH('Forecast capex'!J1161,'Escalators '!$M$178:$S$178,0))/12+1)^((K1161-J1161)*12)-1,0)</f>
        <v>0</v>
      </c>
      <c r="Z1161" s="257">
        <f t="shared" si="240"/>
        <v>0</v>
      </c>
      <c r="AA1161" s="257">
        <f t="shared" si="241"/>
        <v>0</v>
      </c>
      <c r="AB1161" s="269">
        <f t="shared" si="242"/>
        <v>0</v>
      </c>
      <c r="AC1161" s="269">
        <f t="shared" si="243"/>
        <v>0</v>
      </c>
      <c r="AD1161" s="271" t="str">
        <f>INDEX('Global inputs'!$C$134:$C$171,MATCH(F1161,'Global inputs'!$B$134:$B$171,0))</f>
        <v>Non-network CAPEX</v>
      </c>
      <c r="AE1161" s="272">
        <f>IF(OR(H1161='Operating leases'!$B$32,H1161='Operating leases'!$B$33),"",INDEX('Global inputs'!$C$186:$C$243,MATCH(E1161,'Global inputs'!$B$186:$B$243,0)))</f>
        <v>0.2</v>
      </c>
    </row>
    <row r="1162" spans="1:31" s="27" customFormat="1" x14ac:dyDescent="0.2">
      <c r="A1162" s="250"/>
      <c r="B1162" s="210" t="s">
        <v>714</v>
      </c>
      <c r="C1162" s="210" t="s">
        <v>291</v>
      </c>
      <c r="D1162" s="210">
        <v>0</v>
      </c>
      <c r="E1162" s="210" t="s">
        <v>176</v>
      </c>
      <c r="F1162" s="210" t="s">
        <v>96</v>
      </c>
      <c r="G1162" s="210" t="s">
        <v>229</v>
      </c>
      <c r="H1162" s="197">
        <v>0</v>
      </c>
      <c r="I1162" s="210" t="s">
        <v>229</v>
      </c>
      <c r="J1162" s="210">
        <v>2024</v>
      </c>
      <c r="K1162" s="210">
        <v>2024</v>
      </c>
      <c r="L1162" s="268" t="str">
        <f t="shared" ref="L1162:L1225" si="244">IF(J1162=K1162,"Simple","Complex")</f>
        <v>Simple</v>
      </c>
      <c r="M1162" s="197">
        <v>214320</v>
      </c>
      <c r="N1162" s="197">
        <v>0</v>
      </c>
      <c r="O1162" s="257">
        <f>IF(ISNA(MATCH(H1162,'Operating leases'!$B$32:$B$43,0)),0,INDEX('Operating leases'!$M$32:$S$43,MATCH(H1162,'Operating leases'!$B$32:$B$43,0),MATCH(J1162,'Operating leases'!$M$11:$S$11,0)))</f>
        <v>0</v>
      </c>
      <c r="P1162" s="257">
        <f t="shared" ref="P1162:P1225" si="245">O1162+M1162</f>
        <v>214320</v>
      </c>
      <c r="Q1162" s="257">
        <f t="shared" ref="Q1162:Q1225" si="246">M1162+N1162+O1162</f>
        <v>214320</v>
      </c>
      <c r="R1162" s="258">
        <f>INDEX('Escalators '!$M$124:$S$129,MATCH(I1162,'Escalators '!$B$124:$B$129,0),MATCH(J1162,'Escalators '!$M$113:$S$113,0))</f>
        <v>1.0731681760713303</v>
      </c>
      <c r="S1162" s="257">
        <f t="shared" ref="S1162:S1225" si="247">O1162*R1162</f>
        <v>0</v>
      </c>
      <c r="T1162" s="257">
        <f t="shared" ref="T1162:T1225" si="248">N1162*R1162</f>
        <v>0</v>
      </c>
      <c r="U1162" s="269">
        <f t="shared" ref="U1162:U1225" si="249">W1162-S1162</f>
        <v>230001.40349560752</v>
      </c>
      <c r="V1162" s="269">
        <f t="shared" ref="V1162:V1225" si="250">U1162+T1162</f>
        <v>230001.40349560752</v>
      </c>
      <c r="W1162" s="269">
        <f t="shared" ref="W1162:W1225" si="251">X1162-T1162</f>
        <v>230001.40349560752</v>
      </c>
      <c r="X1162" s="257">
        <f t="shared" ref="X1162:X1225" si="252">Q1162*R1162</f>
        <v>230001.40349560752</v>
      </c>
      <c r="Y1162" s="270">
        <f>IF(L1162="Complex",(INDEX('Escalators '!$M$176:$S$176,MATCH('Forecast capex'!J1162,'Escalators '!$M$178:$S$178,0))/12+1)^((K1162-J1162)*12)-1,0)</f>
        <v>0</v>
      </c>
      <c r="Z1162" s="257">
        <f t="shared" ref="Z1162:Z1225" si="253">P1162*Y1162</f>
        <v>0</v>
      </c>
      <c r="AA1162" s="257">
        <f t="shared" ref="AA1162:AA1225" si="254">W1162*Y1162</f>
        <v>0</v>
      </c>
      <c r="AB1162" s="269">
        <f t="shared" ref="AB1162:AB1225" si="255">IF(L1162="Complex",AC1162-T1162,0)</f>
        <v>0</v>
      </c>
      <c r="AC1162" s="269">
        <f t="shared" ref="AC1162:AC1225" si="256">IF(L1162="Complex",V1162+AA1162,0)</f>
        <v>0</v>
      </c>
      <c r="AD1162" s="271" t="str">
        <f>INDEX('Global inputs'!$C$134:$C$171,MATCH(F1162,'Global inputs'!$B$134:$B$171,0))</f>
        <v>Quality of supply</v>
      </c>
      <c r="AE1162" s="272">
        <f>IF(OR(H1162='Operating leases'!$B$32,H1162='Operating leases'!$B$33),"",INDEX('Global inputs'!$C$186:$C$243,MATCH(E1162,'Global inputs'!$B$186:$B$243,0)))</f>
        <v>0.1</v>
      </c>
    </row>
    <row r="1163" spans="1:31" s="27" customFormat="1" x14ac:dyDescent="0.2">
      <c r="A1163" s="250"/>
      <c r="B1163" s="210" t="s">
        <v>742</v>
      </c>
      <c r="C1163" s="210" t="s">
        <v>289</v>
      </c>
      <c r="D1163" s="210" t="s">
        <v>723</v>
      </c>
      <c r="E1163" s="210" t="s">
        <v>163</v>
      </c>
      <c r="F1163" s="210" t="s">
        <v>115</v>
      </c>
      <c r="G1163" s="210" t="s">
        <v>725</v>
      </c>
      <c r="H1163" s="197">
        <v>0</v>
      </c>
      <c r="I1163" s="210" t="s">
        <v>139</v>
      </c>
      <c r="J1163" s="210">
        <v>2024</v>
      </c>
      <c r="K1163" s="210">
        <v>2024</v>
      </c>
      <c r="L1163" s="268" t="str">
        <f t="shared" si="244"/>
        <v>Simple</v>
      </c>
      <c r="M1163" s="197">
        <v>2736190</v>
      </c>
      <c r="N1163" s="197">
        <v>0</v>
      </c>
      <c r="O1163" s="257">
        <f>IF(ISNA(MATCH(H1163,'Operating leases'!$B$32:$B$43,0)),0,INDEX('Operating leases'!$M$32:$S$43,MATCH(H1163,'Operating leases'!$B$32:$B$43,0),MATCH(J1163,'Operating leases'!$M$11:$S$11,0)))</f>
        <v>0</v>
      </c>
      <c r="P1163" s="257">
        <f t="shared" si="245"/>
        <v>2736190</v>
      </c>
      <c r="Q1163" s="257">
        <f t="shared" si="246"/>
        <v>2736190</v>
      </c>
      <c r="R1163" s="258">
        <f>INDEX('Escalators '!$M$124:$S$129,MATCH(I1163,'Escalators '!$B$124:$B$129,0),MATCH(J1163,'Escalators '!$M$113:$S$113,0))</f>
        <v>1.0400802295441569</v>
      </c>
      <c r="S1163" s="257">
        <f t="shared" si="247"/>
        <v>0</v>
      </c>
      <c r="T1163" s="257">
        <f t="shared" si="248"/>
        <v>0</v>
      </c>
      <c r="U1163" s="269">
        <f t="shared" si="249"/>
        <v>2845857.1232764269</v>
      </c>
      <c r="V1163" s="269">
        <f t="shared" si="250"/>
        <v>2845857.1232764269</v>
      </c>
      <c r="W1163" s="269">
        <f t="shared" si="251"/>
        <v>2845857.1232764269</v>
      </c>
      <c r="X1163" s="257">
        <f t="shared" si="252"/>
        <v>2845857.1232764269</v>
      </c>
      <c r="Y1163" s="270">
        <f>IF(L1163="Complex",(INDEX('Escalators '!$M$176:$S$176,MATCH('Forecast capex'!J1163,'Escalators '!$M$178:$S$178,0))/12+1)^((K1163-J1163)*12)-1,0)</f>
        <v>0</v>
      </c>
      <c r="Z1163" s="257">
        <f t="shared" si="253"/>
        <v>0</v>
      </c>
      <c r="AA1163" s="257">
        <f t="shared" si="254"/>
        <v>0</v>
      </c>
      <c r="AB1163" s="269">
        <f t="shared" si="255"/>
        <v>0</v>
      </c>
      <c r="AC1163" s="269">
        <f t="shared" si="256"/>
        <v>0</v>
      </c>
      <c r="AD1163" s="271" t="str">
        <f>INDEX('Global inputs'!$C$134:$C$171,MATCH(F1163,'Global inputs'!$B$134:$B$171,0))</f>
        <v>Asset replacement and renewal</v>
      </c>
      <c r="AE1163" s="272">
        <f>IF(OR(H1163='Operating leases'!$B$32,H1163='Operating leases'!$B$33),"",INDEX('Global inputs'!$C$186:$C$243,MATCH(E1163,'Global inputs'!$B$186:$B$243,0)))</f>
        <v>0.08</v>
      </c>
    </row>
    <row r="1164" spans="1:31" s="27" customFormat="1" x14ac:dyDescent="0.2">
      <c r="A1164" s="250"/>
      <c r="B1164" s="210" t="s">
        <v>742</v>
      </c>
      <c r="C1164" s="210" t="s">
        <v>289</v>
      </c>
      <c r="D1164" s="210" t="s">
        <v>723</v>
      </c>
      <c r="E1164" s="210" t="s">
        <v>163</v>
      </c>
      <c r="F1164" s="210" t="s">
        <v>115</v>
      </c>
      <c r="G1164" s="210" t="s">
        <v>725</v>
      </c>
      <c r="H1164" s="197">
        <v>0</v>
      </c>
      <c r="I1164" s="210" t="s">
        <v>221</v>
      </c>
      <c r="J1164" s="210">
        <v>2024</v>
      </c>
      <c r="K1164" s="210">
        <v>2024</v>
      </c>
      <c r="L1164" s="268" t="str">
        <f t="shared" si="244"/>
        <v>Simple</v>
      </c>
      <c r="M1164" s="197">
        <v>684047.5</v>
      </c>
      <c r="N1164" s="197">
        <v>0</v>
      </c>
      <c r="O1164" s="257">
        <f>IF(ISNA(MATCH(H1164,'Operating leases'!$B$32:$B$43,0)),0,INDEX('Operating leases'!$M$32:$S$43,MATCH(H1164,'Operating leases'!$B$32:$B$43,0),MATCH(J1164,'Operating leases'!$M$11:$S$11,0)))</f>
        <v>0</v>
      </c>
      <c r="P1164" s="257">
        <f t="shared" si="245"/>
        <v>684047.5</v>
      </c>
      <c r="Q1164" s="257">
        <f t="shared" si="246"/>
        <v>684047.5</v>
      </c>
      <c r="R1164" s="258">
        <f>INDEX('Escalators '!$M$124:$S$129,MATCH(I1164,'Escalators '!$B$124:$B$129,0),MATCH(J1164,'Escalators '!$M$113:$S$113,0))</f>
        <v>1.06512715891222</v>
      </c>
      <c r="S1164" s="257">
        <f t="shared" si="247"/>
        <v>0</v>
      </c>
      <c r="T1164" s="257">
        <f t="shared" si="248"/>
        <v>0</v>
      </c>
      <c r="U1164" s="269">
        <f t="shared" si="249"/>
        <v>728597.57023600675</v>
      </c>
      <c r="V1164" s="269">
        <f t="shared" si="250"/>
        <v>728597.57023600675</v>
      </c>
      <c r="W1164" s="269">
        <f t="shared" si="251"/>
        <v>728597.57023600675</v>
      </c>
      <c r="X1164" s="257">
        <f t="shared" si="252"/>
        <v>728597.57023600675</v>
      </c>
      <c r="Y1164" s="270">
        <f>IF(L1164="Complex",(INDEX('Escalators '!$M$176:$S$176,MATCH('Forecast capex'!J1164,'Escalators '!$M$178:$S$178,0))/12+1)^((K1164-J1164)*12)-1,0)</f>
        <v>0</v>
      </c>
      <c r="Z1164" s="257">
        <f t="shared" si="253"/>
        <v>0</v>
      </c>
      <c r="AA1164" s="257">
        <f t="shared" si="254"/>
        <v>0</v>
      </c>
      <c r="AB1164" s="269">
        <f t="shared" si="255"/>
        <v>0</v>
      </c>
      <c r="AC1164" s="269">
        <f t="shared" si="256"/>
        <v>0</v>
      </c>
      <c r="AD1164" s="271" t="str">
        <f>INDEX('Global inputs'!$C$134:$C$171,MATCH(F1164,'Global inputs'!$B$134:$B$171,0))</f>
        <v>Asset replacement and renewal</v>
      </c>
      <c r="AE1164" s="272">
        <f>IF(OR(H1164='Operating leases'!$B$32,H1164='Operating leases'!$B$33),"",INDEX('Global inputs'!$C$186:$C$243,MATCH(E1164,'Global inputs'!$B$186:$B$243,0)))</f>
        <v>0.08</v>
      </c>
    </row>
    <row r="1165" spans="1:31" s="27" customFormat="1" x14ac:dyDescent="0.2">
      <c r="A1165" s="250"/>
      <c r="B1165" s="210" t="s">
        <v>742</v>
      </c>
      <c r="C1165" s="210" t="s">
        <v>284</v>
      </c>
      <c r="D1165" s="210" t="s">
        <v>729</v>
      </c>
      <c r="E1165" s="210" t="s">
        <v>127</v>
      </c>
      <c r="F1165" s="210" t="s">
        <v>102</v>
      </c>
      <c r="G1165" s="210" t="s">
        <v>730</v>
      </c>
      <c r="H1165" s="197">
        <v>0</v>
      </c>
      <c r="I1165" s="210" t="s">
        <v>225</v>
      </c>
      <c r="J1165" s="210">
        <v>2024</v>
      </c>
      <c r="K1165" s="210">
        <v>2024</v>
      </c>
      <c r="L1165" s="268" t="str">
        <f t="shared" si="244"/>
        <v>Simple</v>
      </c>
      <c r="M1165" s="197">
        <v>182099.04</v>
      </c>
      <c r="N1165" s="197">
        <v>0</v>
      </c>
      <c r="O1165" s="257">
        <f>IF(ISNA(MATCH(H1165,'Operating leases'!$B$32:$B$43,0)),0,INDEX('Operating leases'!$M$32:$S$43,MATCH(H1165,'Operating leases'!$B$32:$B$43,0),MATCH(J1165,'Operating leases'!$M$11:$S$11,0)))</f>
        <v>0</v>
      </c>
      <c r="P1165" s="257">
        <f t="shared" si="245"/>
        <v>182099.04</v>
      </c>
      <c r="Q1165" s="257">
        <f t="shared" si="246"/>
        <v>182099.04</v>
      </c>
      <c r="R1165" s="258">
        <f>INDEX('Escalators '!$M$124:$S$129,MATCH(I1165,'Escalators '!$B$124:$B$129,0),MATCH(J1165,'Escalators '!$M$113:$S$113,0))</f>
        <v>1.0991168876021189</v>
      </c>
      <c r="S1165" s="257">
        <f t="shared" si="247"/>
        <v>0</v>
      </c>
      <c r="T1165" s="257">
        <f t="shared" si="248"/>
        <v>0</v>
      </c>
      <c r="U1165" s="269">
        <f t="shared" si="249"/>
        <v>200148.13008013376</v>
      </c>
      <c r="V1165" s="269">
        <f t="shared" si="250"/>
        <v>200148.13008013376</v>
      </c>
      <c r="W1165" s="269">
        <f t="shared" si="251"/>
        <v>200148.13008013376</v>
      </c>
      <c r="X1165" s="257">
        <f t="shared" si="252"/>
        <v>200148.13008013376</v>
      </c>
      <c r="Y1165" s="270">
        <f>IF(L1165="Complex",(INDEX('Escalators '!$M$176:$S$176,MATCH('Forecast capex'!J1165,'Escalators '!$M$178:$S$178,0))/12+1)^((K1165-J1165)*12)-1,0)</f>
        <v>0</v>
      </c>
      <c r="Z1165" s="257">
        <f t="shared" si="253"/>
        <v>0</v>
      </c>
      <c r="AA1165" s="257">
        <f t="shared" si="254"/>
        <v>0</v>
      </c>
      <c r="AB1165" s="269">
        <f t="shared" si="255"/>
        <v>0</v>
      </c>
      <c r="AC1165" s="269">
        <f t="shared" si="256"/>
        <v>0</v>
      </c>
      <c r="AD1165" s="271" t="str">
        <f>INDEX('Global inputs'!$C$134:$C$171,MATCH(F1165,'Global inputs'!$B$134:$B$171,0))</f>
        <v>Asset replacement and renewal</v>
      </c>
      <c r="AE1165" s="272">
        <f>IF(OR(H1165='Operating leases'!$B$32,H1165='Operating leases'!$B$33),"",INDEX('Global inputs'!$C$186:$C$243,MATCH(E1165,'Global inputs'!$B$186:$B$243,0)))</f>
        <v>0.08</v>
      </c>
    </row>
    <row r="1166" spans="1:31" s="27" customFormat="1" x14ac:dyDescent="0.2">
      <c r="A1166" s="250"/>
      <c r="B1166" s="210" t="s">
        <v>742</v>
      </c>
      <c r="C1166" s="210" t="s">
        <v>284</v>
      </c>
      <c r="D1166" s="210" t="s">
        <v>729</v>
      </c>
      <c r="E1166" s="210" t="s">
        <v>127</v>
      </c>
      <c r="F1166" s="210" t="s">
        <v>102</v>
      </c>
      <c r="G1166" s="210" t="s">
        <v>730</v>
      </c>
      <c r="H1166" s="197">
        <v>0</v>
      </c>
      <c r="I1166" s="210" t="s">
        <v>221</v>
      </c>
      <c r="J1166" s="210">
        <v>2024</v>
      </c>
      <c r="K1166" s="210">
        <v>2024</v>
      </c>
      <c r="L1166" s="268" t="str">
        <f t="shared" si="244"/>
        <v>Simple</v>
      </c>
      <c r="M1166" s="197">
        <v>728396.16</v>
      </c>
      <c r="N1166" s="197">
        <v>0</v>
      </c>
      <c r="O1166" s="257">
        <f>IF(ISNA(MATCH(H1166,'Operating leases'!$B$32:$B$43,0)),0,INDEX('Operating leases'!$M$32:$S$43,MATCH(H1166,'Operating leases'!$B$32:$B$43,0),MATCH(J1166,'Operating leases'!$M$11:$S$11,0)))</f>
        <v>0</v>
      </c>
      <c r="P1166" s="257">
        <f t="shared" si="245"/>
        <v>728396.16</v>
      </c>
      <c r="Q1166" s="257">
        <f t="shared" si="246"/>
        <v>728396.16</v>
      </c>
      <c r="R1166" s="258">
        <f>INDEX('Escalators '!$M$124:$S$129,MATCH(I1166,'Escalators '!$B$124:$B$129,0),MATCH(J1166,'Escalators '!$M$113:$S$113,0))</f>
        <v>1.06512715891222</v>
      </c>
      <c r="S1166" s="257">
        <f t="shared" si="247"/>
        <v>0</v>
      </c>
      <c r="T1166" s="257">
        <f t="shared" si="248"/>
        <v>0</v>
      </c>
      <c r="U1166" s="269">
        <f t="shared" si="249"/>
        <v>775834.53246337082</v>
      </c>
      <c r="V1166" s="269">
        <f t="shared" si="250"/>
        <v>775834.53246337082</v>
      </c>
      <c r="W1166" s="269">
        <f t="shared" si="251"/>
        <v>775834.53246337082</v>
      </c>
      <c r="X1166" s="257">
        <f t="shared" si="252"/>
        <v>775834.53246337082</v>
      </c>
      <c r="Y1166" s="270">
        <f>IF(L1166="Complex",(INDEX('Escalators '!$M$176:$S$176,MATCH('Forecast capex'!J1166,'Escalators '!$M$178:$S$178,0))/12+1)^((K1166-J1166)*12)-1,0)</f>
        <v>0</v>
      </c>
      <c r="Z1166" s="257">
        <f t="shared" si="253"/>
        <v>0</v>
      </c>
      <c r="AA1166" s="257">
        <f t="shared" si="254"/>
        <v>0</v>
      </c>
      <c r="AB1166" s="269">
        <f t="shared" si="255"/>
        <v>0</v>
      </c>
      <c r="AC1166" s="269">
        <f t="shared" si="256"/>
        <v>0</v>
      </c>
      <c r="AD1166" s="271" t="str">
        <f>INDEX('Global inputs'!$C$134:$C$171,MATCH(F1166,'Global inputs'!$B$134:$B$171,0))</f>
        <v>Asset replacement and renewal</v>
      </c>
      <c r="AE1166" s="272">
        <f>IF(OR(H1166='Operating leases'!$B$32,H1166='Operating leases'!$B$33),"",INDEX('Global inputs'!$C$186:$C$243,MATCH(E1166,'Global inputs'!$B$186:$B$243,0)))</f>
        <v>0.08</v>
      </c>
    </row>
    <row r="1167" spans="1:31" s="27" customFormat="1" x14ac:dyDescent="0.2">
      <c r="A1167" s="250"/>
      <c r="B1167" s="210" t="s">
        <v>742</v>
      </c>
      <c r="C1167" s="210" t="s">
        <v>286</v>
      </c>
      <c r="D1167" s="210" t="s">
        <v>735</v>
      </c>
      <c r="E1167" s="210" t="s">
        <v>147</v>
      </c>
      <c r="F1167" s="210" t="s">
        <v>118</v>
      </c>
      <c r="G1167" s="210" t="s">
        <v>744</v>
      </c>
      <c r="H1167" s="197">
        <v>0</v>
      </c>
      <c r="I1167" s="210" t="s">
        <v>229</v>
      </c>
      <c r="J1167" s="210">
        <v>2024</v>
      </c>
      <c r="K1167" s="210">
        <v>2024</v>
      </c>
      <c r="L1167" s="268" t="str">
        <f t="shared" si="244"/>
        <v>Simple</v>
      </c>
      <c r="M1167" s="197">
        <v>143985.13500000001</v>
      </c>
      <c r="N1167" s="197">
        <v>0</v>
      </c>
      <c r="O1167" s="257">
        <f>IF(ISNA(MATCH(H1167,'Operating leases'!$B$32:$B$43,0)),0,INDEX('Operating leases'!$M$32:$S$43,MATCH(H1167,'Operating leases'!$B$32:$B$43,0),MATCH(J1167,'Operating leases'!$M$11:$S$11,0)))</f>
        <v>0</v>
      </c>
      <c r="P1167" s="257">
        <f t="shared" si="245"/>
        <v>143985.13500000001</v>
      </c>
      <c r="Q1167" s="257">
        <f t="shared" si="246"/>
        <v>143985.13500000001</v>
      </c>
      <c r="R1167" s="258">
        <f>INDEX('Escalators '!$M$124:$S$129,MATCH(I1167,'Escalators '!$B$124:$B$129,0),MATCH(J1167,'Escalators '!$M$113:$S$113,0))</f>
        <v>1.0731681760713303</v>
      </c>
      <c r="S1167" s="257">
        <f t="shared" si="247"/>
        <v>0</v>
      </c>
      <c r="T1167" s="257">
        <f t="shared" si="248"/>
        <v>0</v>
      </c>
      <c r="U1167" s="269">
        <f t="shared" si="249"/>
        <v>154520.26470933427</v>
      </c>
      <c r="V1167" s="269">
        <f t="shared" si="250"/>
        <v>154520.26470933427</v>
      </c>
      <c r="W1167" s="269">
        <f t="shared" si="251"/>
        <v>154520.26470933427</v>
      </c>
      <c r="X1167" s="257">
        <f t="shared" si="252"/>
        <v>154520.26470933427</v>
      </c>
      <c r="Y1167" s="270">
        <f>IF(L1167="Complex",(INDEX('Escalators '!$M$176:$S$176,MATCH('Forecast capex'!J1167,'Escalators '!$M$178:$S$178,0))/12+1)^((K1167-J1167)*12)-1,0)</f>
        <v>0</v>
      </c>
      <c r="Z1167" s="257">
        <f t="shared" si="253"/>
        <v>0</v>
      </c>
      <c r="AA1167" s="257">
        <f t="shared" si="254"/>
        <v>0</v>
      </c>
      <c r="AB1167" s="269">
        <f t="shared" si="255"/>
        <v>0</v>
      </c>
      <c r="AC1167" s="269">
        <f t="shared" si="256"/>
        <v>0</v>
      </c>
      <c r="AD1167" s="271" t="str">
        <f>INDEX('Global inputs'!$C$134:$C$171,MATCH(F1167,'Global inputs'!$B$134:$B$171,0))</f>
        <v>Asset replacement and renewal</v>
      </c>
      <c r="AE1167" s="272">
        <f>IF(OR(H1167='Operating leases'!$B$32,H1167='Operating leases'!$B$33),"",INDEX('Global inputs'!$C$186:$C$243,MATCH(E1167,'Global inputs'!$B$186:$B$243,0)))</f>
        <v>0.08</v>
      </c>
    </row>
    <row r="1168" spans="1:31" s="27" customFormat="1" x14ac:dyDescent="0.2">
      <c r="A1168" s="250"/>
      <c r="B1168" s="210" t="s">
        <v>742</v>
      </c>
      <c r="C1168" s="210" t="s">
        <v>286</v>
      </c>
      <c r="D1168" s="210" t="s">
        <v>735</v>
      </c>
      <c r="E1168" s="210" t="s">
        <v>147</v>
      </c>
      <c r="F1168" s="210" t="s">
        <v>118</v>
      </c>
      <c r="G1168" s="210" t="s">
        <v>744</v>
      </c>
      <c r="H1168" s="197">
        <v>0</v>
      </c>
      <c r="I1168" s="210" t="s">
        <v>221</v>
      </c>
      <c r="J1168" s="210">
        <v>2024</v>
      </c>
      <c r="K1168" s="210">
        <v>2024</v>
      </c>
      <c r="L1168" s="268" t="str">
        <f t="shared" si="244"/>
        <v>Simple</v>
      </c>
      <c r="M1168" s="197">
        <v>575940.54</v>
      </c>
      <c r="N1168" s="197">
        <v>0</v>
      </c>
      <c r="O1168" s="257">
        <f>IF(ISNA(MATCH(H1168,'Operating leases'!$B$32:$B$43,0)),0,INDEX('Operating leases'!$M$32:$S$43,MATCH(H1168,'Operating leases'!$B$32:$B$43,0),MATCH(J1168,'Operating leases'!$M$11:$S$11,0)))</f>
        <v>0</v>
      </c>
      <c r="P1168" s="257">
        <f t="shared" si="245"/>
        <v>575940.54</v>
      </c>
      <c r="Q1168" s="257">
        <f t="shared" si="246"/>
        <v>575940.54</v>
      </c>
      <c r="R1168" s="258">
        <f>INDEX('Escalators '!$M$124:$S$129,MATCH(I1168,'Escalators '!$B$124:$B$129,0),MATCH(J1168,'Escalators '!$M$113:$S$113,0))</f>
        <v>1.06512715891222</v>
      </c>
      <c r="S1168" s="257">
        <f t="shared" si="247"/>
        <v>0</v>
      </c>
      <c r="T1168" s="257">
        <f t="shared" si="248"/>
        <v>0</v>
      </c>
      <c r="U1168" s="269">
        <f t="shared" si="249"/>
        <v>613449.91107256978</v>
      </c>
      <c r="V1168" s="269">
        <f t="shared" si="250"/>
        <v>613449.91107256978</v>
      </c>
      <c r="W1168" s="269">
        <f t="shared" si="251"/>
        <v>613449.91107256978</v>
      </c>
      <c r="X1168" s="257">
        <f t="shared" si="252"/>
        <v>613449.91107256978</v>
      </c>
      <c r="Y1168" s="270">
        <f>IF(L1168="Complex",(INDEX('Escalators '!$M$176:$S$176,MATCH('Forecast capex'!J1168,'Escalators '!$M$178:$S$178,0))/12+1)^((K1168-J1168)*12)-1,0)</f>
        <v>0</v>
      </c>
      <c r="Z1168" s="257">
        <f t="shared" si="253"/>
        <v>0</v>
      </c>
      <c r="AA1168" s="257">
        <f t="shared" si="254"/>
        <v>0</v>
      </c>
      <c r="AB1168" s="269">
        <f t="shared" si="255"/>
        <v>0</v>
      </c>
      <c r="AC1168" s="269">
        <f t="shared" si="256"/>
        <v>0</v>
      </c>
      <c r="AD1168" s="271" t="str">
        <f>INDEX('Global inputs'!$C$134:$C$171,MATCH(F1168,'Global inputs'!$B$134:$B$171,0))</f>
        <v>Asset replacement and renewal</v>
      </c>
      <c r="AE1168" s="272">
        <f>IF(OR(H1168='Operating leases'!$B$32,H1168='Operating leases'!$B$33),"",INDEX('Global inputs'!$C$186:$C$243,MATCH(E1168,'Global inputs'!$B$186:$B$243,0)))</f>
        <v>0.08</v>
      </c>
    </row>
    <row r="1169" spans="1:31" s="27" customFormat="1" x14ac:dyDescent="0.2">
      <c r="A1169" s="250"/>
      <c r="B1169" s="210" t="s">
        <v>742</v>
      </c>
      <c r="C1169" s="210" t="s">
        <v>289</v>
      </c>
      <c r="D1169" s="210" t="s">
        <v>723</v>
      </c>
      <c r="E1169" s="210" t="s">
        <v>163</v>
      </c>
      <c r="F1169" s="210" t="s">
        <v>106</v>
      </c>
      <c r="G1169" s="210" t="s">
        <v>725</v>
      </c>
      <c r="H1169" s="197">
        <v>0</v>
      </c>
      <c r="I1169" s="210" t="s">
        <v>139</v>
      </c>
      <c r="J1169" s="210">
        <v>2024</v>
      </c>
      <c r="K1169" s="210">
        <v>2024</v>
      </c>
      <c r="L1169" s="268" t="str">
        <f t="shared" si="244"/>
        <v>Simple</v>
      </c>
      <c r="M1169" s="197">
        <v>1430917.36</v>
      </c>
      <c r="N1169" s="197">
        <v>0</v>
      </c>
      <c r="O1169" s="257">
        <f>IF(ISNA(MATCH(H1169,'Operating leases'!$B$32:$B$43,0)),0,INDEX('Operating leases'!$M$32:$S$43,MATCH(H1169,'Operating leases'!$B$32:$B$43,0),MATCH(J1169,'Operating leases'!$M$11:$S$11,0)))</f>
        <v>0</v>
      </c>
      <c r="P1169" s="257">
        <f t="shared" si="245"/>
        <v>1430917.36</v>
      </c>
      <c r="Q1169" s="257">
        <f t="shared" si="246"/>
        <v>1430917.36</v>
      </c>
      <c r="R1169" s="258">
        <f>INDEX('Escalators '!$M$124:$S$129,MATCH(I1169,'Escalators '!$B$124:$B$129,0),MATCH(J1169,'Escalators '!$M$113:$S$113,0))</f>
        <v>1.0400802295441569</v>
      </c>
      <c r="S1169" s="257">
        <f t="shared" si="247"/>
        <v>0</v>
      </c>
      <c r="T1169" s="257">
        <f t="shared" si="248"/>
        <v>0</v>
      </c>
      <c r="U1169" s="269">
        <f t="shared" si="249"/>
        <v>1488268.8562475191</v>
      </c>
      <c r="V1169" s="269">
        <f t="shared" si="250"/>
        <v>1488268.8562475191</v>
      </c>
      <c r="W1169" s="269">
        <f t="shared" si="251"/>
        <v>1488268.8562475191</v>
      </c>
      <c r="X1169" s="257">
        <f t="shared" si="252"/>
        <v>1488268.8562475191</v>
      </c>
      <c r="Y1169" s="270">
        <f>IF(L1169="Complex",(INDEX('Escalators '!$M$176:$S$176,MATCH('Forecast capex'!J1169,'Escalators '!$M$178:$S$178,0))/12+1)^((K1169-J1169)*12)-1,0)</f>
        <v>0</v>
      </c>
      <c r="Z1169" s="257">
        <f t="shared" si="253"/>
        <v>0</v>
      </c>
      <c r="AA1169" s="257">
        <f t="shared" si="254"/>
        <v>0</v>
      </c>
      <c r="AB1169" s="269">
        <f t="shared" si="255"/>
        <v>0</v>
      </c>
      <c r="AC1169" s="269">
        <f t="shared" si="256"/>
        <v>0</v>
      </c>
      <c r="AD1169" s="271" t="str">
        <f>INDEX('Global inputs'!$C$134:$C$171,MATCH(F1169,'Global inputs'!$B$134:$B$171,0))</f>
        <v>Asset replacement and renewal</v>
      </c>
      <c r="AE1169" s="272">
        <f>IF(OR(H1169='Operating leases'!$B$32,H1169='Operating leases'!$B$33),"",INDEX('Global inputs'!$C$186:$C$243,MATCH(E1169,'Global inputs'!$B$186:$B$243,0)))</f>
        <v>0.08</v>
      </c>
    </row>
    <row r="1170" spans="1:31" s="27" customFormat="1" x14ac:dyDescent="0.2">
      <c r="A1170" s="250"/>
      <c r="B1170" s="210" t="s">
        <v>742</v>
      </c>
      <c r="C1170" s="210" t="s">
        <v>289</v>
      </c>
      <c r="D1170" s="210" t="s">
        <v>723</v>
      </c>
      <c r="E1170" s="210" t="s">
        <v>163</v>
      </c>
      <c r="F1170" s="210" t="s">
        <v>106</v>
      </c>
      <c r="G1170" s="210" t="s">
        <v>725</v>
      </c>
      <c r="H1170" s="197">
        <v>0</v>
      </c>
      <c r="I1170" s="210" t="s">
        <v>221</v>
      </c>
      <c r="J1170" s="210">
        <v>2024</v>
      </c>
      <c r="K1170" s="210">
        <v>2024</v>
      </c>
      <c r="L1170" s="268" t="str">
        <f t="shared" si="244"/>
        <v>Simple</v>
      </c>
      <c r="M1170" s="197">
        <v>357729.33999999997</v>
      </c>
      <c r="N1170" s="197">
        <v>0</v>
      </c>
      <c r="O1170" s="257">
        <f>IF(ISNA(MATCH(H1170,'Operating leases'!$B$32:$B$43,0)),0,INDEX('Operating leases'!$M$32:$S$43,MATCH(H1170,'Operating leases'!$B$32:$B$43,0),MATCH(J1170,'Operating leases'!$M$11:$S$11,0)))</f>
        <v>0</v>
      </c>
      <c r="P1170" s="257">
        <f t="shared" si="245"/>
        <v>357729.33999999997</v>
      </c>
      <c r="Q1170" s="257">
        <f t="shared" si="246"/>
        <v>357729.33999999997</v>
      </c>
      <c r="R1170" s="258">
        <f>INDEX('Escalators '!$M$124:$S$129,MATCH(I1170,'Escalators '!$B$124:$B$129,0),MATCH(J1170,'Escalators '!$M$113:$S$113,0))</f>
        <v>1.06512715891222</v>
      </c>
      <c r="S1170" s="257">
        <f t="shared" si="247"/>
        <v>0</v>
      </c>
      <c r="T1170" s="257">
        <f t="shared" si="248"/>
        <v>0</v>
      </c>
      <c r="U1170" s="269">
        <f t="shared" si="249"/>
        <v>381027.23557374353</v>
      </c>
      <c r="V1170" s="269">
        <f t="shared" si="250"/>
        <v>381027.23557374353</v>
      </c>
      <c r="W1170" s="269">
        <f t="shared" si="251"/>
        <v>381027.23557374353</v>
      </c>
      <c r="X1170" s="257">
        <f t="shared" si="252"/>
        <v>381027.23557374353</v>
      </c>
      <c r="Y1170" s="270">
        <f>IF(L1170="Complex",(INDEX('Escalators '!$M$176:$S$176,MATCH('Forecast capex'!J1170,'Escalators '!$M$178:$S$178,0))/12+1)^((K1170-J1170)*12)-1,0)</f>
        <v>0</v>
      </c>
      <c r="Z1170" s="257">
        <f t="shared" si="253"/>
        <v>0</v>
      </c>
      <c r="AA1170" s="257">
        <f t="shared" si="254"/>
        <v>0</v>
      </c>
      <c r="AB1170" s="269">
        <f t="shared" si="255"/>
        <v>0</v>
      </c>
      <c r="AC1170" s="269">
        <f t="shared" si="256"/>
        <v>0</v>
      </c>
      <c r="AD1170" s="271" t="str">
        <f>INDEX('Global inputs'!$C$134:$C$171,MATCH(F1170,'Global inputs'!$B$134:$B$171,0))</f>
        <v>Asset replacement and renewal</v>
      </c>
      <c r="AE1170" s="272">
        <f>IF(OR(H1170='Operating leases'!$B$32,H1170='Operating leases'!$B$33),"",INDEX('Global inputs'!$C$186:$C$243,MATCH(E1170,'Global inputs'!$B$186:$B$243,0)))</f>
        <v>0.08</v>
      </c>
    </row>
    <row r="1171" spans="1:31" s="27" customFormat="1" x14ac:dyDescent="0.2">
      <c r="A1171" s="250"/>
      <c r="B1171" s="210" t="s">
        <v>742</v>
      </c>
      <c r="C1171" s="210" t="s">
        <v>289</v>
      </c>
      <c r="D1171" s="210" t="s">
        <v>723</v>
      </c>
      <c r="E1171" s="210" t="s">
        <v>164</v>
      </c>
      <c r="F1171" s="210" t="s">
        <v>114</v>
      </c>
      <c r="G1171" s="210" t="s">
        <v>724</v>
      </c>
      <c r="H1171" s="197">
        <v>0</v>
      </c>
      <c r="I1171" s="210" t="s">
        <v>139</v>
      </c>
      <c r="J1171" s="210">
        <v>2024</v>
      </c>
      <c r="K1171" s="210">
        <v>2024</v>
      </c>
      <c r="L1171" s="268" t="str">
        <f t="shared" si="244"/>
        <v>Simple</v>
      </c>
      <c r="M1171" s="197">
        <v>248064</v>
      </c>
      <c r="N1171" s="197">
        <v>0</v>
      </c>
      <c r="O1171" s="257">
        <f>IF(ISNA(MATCH(H1171,'Operating leases'!$B$32:$B$43,0)),0,INDEX('Operating leases'!$M$32:$S$43,MATCH(H1171,'Operating leases'!$B$32:$B$43,0),MATCH(J1171,'Operating leases'!$M$11:$S$11,0)))</f>
        <v>0</v>
      </c>
      <c r="P1171" s="257">
        <f t="shared" si="245"/>
        <v>248064</v>
      </c>
      <c r="Q1171" s="257">
        <f t="shared" si="246"/>
        <v>248064</v>
      </c>
      <c r="R1171" s="258">
        <f>INDEX('Escalators '!$M$124:$S$129,MATCH(I1171,'Escalators '!$B$124:$B$129,0),MATCH(J1171,'Escalators '!$M$113:$S$113,0))</f>
        <v>1.0400802295441569</v>
      </c>
      <c r="S1171" s="257">
        <f t="shared" si="247"/>
        <v>0</v>
      </c>
      <c r="T1171" s="257">
        <f t="shared" si="248"/>
        <v>0</v>
      </c>
      <c r="U1171" s="269">
        <f t="shared" si="249"/>
        <v>258006.46206164174</v>
      </c>
      <c r="V1171" s="269">
        <f t="shared" si="250"/>
        <v>258006.46206164174</v>
      </c>
      <c r="W1171" s="269">
        <f t="shared" si="251"/>
        <v>258006.46206164174</v>
      </c>
      <c r="X1171" s="257">
        <f t="shared" si="252"/>
        <v>258006.46206164174</v>
      </c>
      <c r="Y1171" s="270">
        <f>IF(L1171="Complex",(INDEX('Escalators '!$M$176:$S$176,MATCH('Forecast capex'!J1171,'Escalators '!$M$178:$S$178,0))/12+1)^((K1171-J1171)*12)-1,0)</f>
        <v>0</v>
      </c>
      <c r="Z1171" s="257">
        <f t="shared" si="253"/>
        <v>0</v>
      </c>
      <c r="AA1171" s="257">
        <f t="shared" si="254"/>
        <v>0</v>
      </c>
      <c r="AB1171" s="269">
        <f t="shared" si="255"/>
        <v>0</v>
      </c>
      <c r="AC1171" s="269">
        <f t="shared" si="256"/>
        <v>0</v>
      </c>
      <c r="AD1171" s="271" t="str">
        <f>INDEX('Global inputs'!$C$134:$C$171,MATCH(F1171,'Global inputs'!$B$134:$B$171,0))</f>
        <v>Asset replacement and renewal</v>
      </c>
      <c r="AE1171" s="272">
        <f>IF(OR(H1171='Operating leases'!$B$32,H1171='Operating leases'!$B$33),"",INDEX('Global inputs'!$C$186:$C$243,MATCH(E1171,'Global inputs'!$B$186:$B$243,0)))</f>
        <v>0.08</v>
      </c>
    </row>
    <row r="1172" spans="1:31" s="27" customFormat="1" x14ac:dyDescent="0.2">
      <c r="A1172" s="250"/>
      <c r="B1172" s="210" t="s">
        <v>742</v>
      </c>
      <c r="C1172" s="210" t="s">
        <v>289</v>
      </c>
      <c r="D1172" s="210" t="s">
        <v>723</v>
      </c>
      <c r="E1172" s="210" t="s">
        <v>164</v>
      </c>
      <c r="F1172" s="210" t="s">
        <v>114</v>
      </c>
      <c r="G1172" s="210" t="s">
        <v>724</v>
      </c>
      <c r="H1172" s="197">
        <v>0</v>
      </c>
      <c r="I1172" s="210" t="s">
        <v>221</v>
      </c>
      <c r="J1172" s="210">
        <v>2024</v>
      </c>
      <c r="K1172" s="210">
        <v>2024</v>
      </c>
      <c r="L1172" s="268" t="str">
        <f t="shared" si="244"/>
        <v>Simple</v>
      </c>
      <c r="M1172" s="197">
        <v>62016</v>
      </c>
      <c r="N1172" s="197">
        <v>0</v>
      </c>
      <c r="O1172" s="257">
        <f>IF(ISNA(MATCH(H1172,'Operating leases'!$B$32:$B$43,0)),0,INDEX('Operating leases'!$M$32:$S$43,MATCH(H1172,'Operating leases'!$B$32:$B$43,0),MATCH(J1172,'Operating leases'!$M$11:$S$11,0)))</f>
        <v>0</v>
      </c>
      <c r="P1172" s="257">
        <f t="shared" si="245"/>
        <v>62016</v>
      </c>
      <c r="Q1172" s="257">
        <f t="shared" si="246"/>
        <v>62016</v>
      </c>
      <c r="R1172" s="258">
        <f>INDEX('Escalators '!$M$124:$S$129,MATCH(I1172,'Escalators '!$B$124:$B$129,0),MATCH(J1172,'Escalators '!$M$113:$S$113,0))</f>
        <v>1.06512715891222</v>
      </c>
      <c r="S1172" s="257">
        <f t="shared" si="247"/>
        <v>0</v>
      </c>
      <c r="T1172" s="257">
        <f t="shared" si="248"/>
        <v>0</v>
      </c>
      <c r="U1172" s="269">
        <f t="shared" si="249"/>
        <v>66054.925887100238</v>
      </c>
      <c r="V1172" s="269">
        <f t="shared" si="250"/>
        <v>66054.925887100238</v>
      </c>
      <c r="W1172" s="269">
        <f t="shared" si="251"/>
        <v>66054.925887100238</v>
      </c>
      <c r="X1172" s="257">
        <f t="shared" si="252"/>
        <v>66054.925887100238</v>
      </c>
      <c r="Y1172" s="270">
        <f>IF(L1172="Complex",(INDEX('Escalators '!$M$176:$S$176,MATCH('Forecast capex'!J1172,'Escalators '!$M$178:$S$178,0))/12+1)^((K1172-J1172)*12)-1,0)</f>
        <v>0</v>
      </c>
      <c r="Z1172" s="257">
        <f t="shared" si="253"/>
        <v>0</v>
      </c>
      <c r="AA1172" s="257">
        <f t="shared" si="254"/>
        <v>0</v>
      </c>
      <c r="AB1172" s="269">
        <f t="shared" si="255"/>
        <v>0</v>
      </c>
      <c r="AC1172" s="269">
        <f t="shared" si="256"/>
        <v>0</v>
      </c>
      <c r="AD1172" s="271" t="str">
        <f>INDEX('Global inputs'!$C$134:$C$171,MATCH(F1172,'Global inputs'!$B$134:$B$171,0))</f>
        <v>Asset replacement and renewal</v>
      </c>
      <c r="AE1172" s="272">
        <f>IF(OR(H1172='Operating leases'!$B$32,H1172='Operating leases'!$B$33),"",INDEX('Global inputs'!$C$186:$C$243,MATCH(E1172,'Global inputs'!$B$186:$B$243,0)))</f>
        <v>0.08</v>
      </c>
    </row>
    <row r="1173" spans="1:31" s="27" customFormat="1" x14ac:dyDescent="0.2">
      <c r="A1173" s="250"/>
      <c r="B1173" s="210" t="s">
        <v>742</v>
      </c>
      <c r="C1173" s="210" t="s">
        <v>290</v>
      </c>
      <c r="D1173" s="210" t="s">
        <v>718</v>
      </c>
      <c r="E1173" s="210" t="s">
        <v>170</v>
      </c>
      <c r="F1173" s="210" t="s">
        <v>110</v>
      </c>
      <c r="G1173" s="210" t="s">
        <v>721</v>
      </c>
      <c r="H1173" s="197">
        <v>0</v>
      </c>
      <c r="I1173" s="210" t="s">
        <v>229</v>
      </c>
      <c r="J1173" s="210">
        <v>2024</v>
      </c>
      <c r="K1173" s="210">
        <v>2024</v>
      </c>
      <c r="L1173" s="268" t="str">
        <f t="shared" si="244"/>
        <v>Simple</v>
      </c>
      <c r="M1173" s="197">
        <v>104500</v>
      </c>
      <c r="N1173" s="197">
        <v>0</v>
      </c>
      <c r="O1173" s="257">
        <f>IF(ISNA(MATCH(H1173,'Operating leases'!$B$32:$B$43,0)),0,INDEX('Operating leases'!$M$32:$S$43,MATCH(H1173,'Operating leases'!$B$32:$B$43,0),MATCH(J1173,'Operating leases'!$M$11:$S$11,0)))</f>
        <v>0</v>
      </c>
      <c r="P1173" s="257">
        <f t="shared" si="245"/>
        <v>104500</v>
      </c>
      <c r="Q1173" s="257">
        <f t="shared" si="246"/>
        <v>104500</v>
      </c>
      <c r="R1173" s="258">
        <f>INDEX('Escalators '!$M$124:$S$129,MATCH(I1173,'Escalators '!$B$124:$B$129,0),MATCH(J1173,'Escalators '!$M$113:$S$113,0))</f>
        <v>1.0731681760713303</v>
      </c>
      <c r="S1173" s="257">
        <f t="shared" si="247"/>
        <v>0</v>
      </c>
      <c r="T1173" s="257">
        <f t="shared" si="248"/>
        <v>0</v>
      </c>
      <c r="U1173" s="269">
        <f t="shared" si="249"/>
        <v>112146.07439945401</v>
      </c>
      <c r="V1173" s="269">
        <f t="shared" si="250"/>
        <v>112146.07439945401</v>
      </c>
      <c r="W1173" s="269">
        <f t="shared" si="251"/>
        <v>112146.07439945401</v>
      </c>
      <c r="X1173" s="257">
        <f t="shared" si="252"/>
        <v>112146.07439945401</v>
      </c>
      <c r="Y1173" s="270">
        <f>IF(L1173="Complex",(INDEX('Escalators '!$M$176:$S$176,MATCH('Forecast capex'!J1173,'Escalators '!$M$178:$S$178,0))/12+1)^((K1173-J1173)*12)-1,0)</f>
        <v>0</v>
      </c>
      <c r="Z1173" s="257">
        <f t="shared" si="253"/>
        <v>0</v>
      </c>
      <c r="AA1173" s="257">
        <f t="shared" si="254"/>
        <v>0</v>
      </c>
      <c r="AB1173" s="269">
        <f t="shared" si="255"/>
        <v>0</v>
      </c>
      <c r="AC1173" s="269">
        <f t="shared" si="256"/>
        <v>0</v>
      </c>
      <c r="AD1173" s="271" t="str">
        <f>INDEX('Global inputs'!$C$134:$C$171,MATCH(F1173,'Global inputs'!$B$134:$B$171,0))</f>
        <v>Asset replacement and renewal</v>
      </c>
      <c r="AE1173" s="272">
        <f>IF(OR(H1173='Operating leases'!$B$32,H1173='Operating leases'!$B$33),"",INDEX('Global inputs'!$C$186:$C$243,MATCH(E1173,'Global inputs'!$B$186:$B$243,0)))</f>
        <v>0.08</v>
      </c>
    </row>
    <row r="1174" spans="1:31" s="27" customFormat="1" x14ac:dyDescent="0.2">
      <c r="A1174" s="250"/>
      <c r="B1174" s="210" t="s">
        <v>742</v>
      </c>
      <c r="C1174" s="210" t="s">
        <v>290</v>
      </c>
      <c r="D1174" s="210" t="s">
        <v>718</v>
      </c>
      <c r="E1174" s="210" t="s">
        <v>170</v>
      </c>
      <c r="F1174" s="210" t="s">
        <v>110</v>
      </c>
      <c r="G1174" s="210" t="s">
        <v>721</v>
      </c>
      <c r="H1174" s="197">
        <v>0</v>
      </c>
      <c r="I1174" s="210" t="s">
        <v>221</v>
      </c>
      <c r="J1174" s="210">
        <v>2024</v>
      </c>
      <c r="K1174" s="210">
        <v>2024</v>
      </c>
      <c r="L1174" s="268" t="str">
        <f t="shared" si="244"/>
        <v>Simple</v>
      </c>
      <c r="M1174" s="197">
        <v>104500</v>
      </c>
      <c r="N1174" s="197">
        <v>0</v>
      </c>
      <c r="O1174" s="257">
        <f>IF(ISNA(MATCH(H1174,'Operating leases'!$B$32:$B$43,0)),0,INDEX('Operating leases'!$M$32:$S$43,MATCH(H1174,'Operating leases'!$B$32:$B$43,0),MATCH(J1174,'Operating leases'!$M$11:$S$11,0)))</f>
        <v>0</v>
      </c>
      <c r="P1174" s="257">
        <f t="shared" si="245"/>
        <v>104500</v>
      </c>
      <c r="Q1174" s="257">
        <f t="shared" si="246"/>
        <v>104500</v>
      </c>
      <c r="R1174" s="258">
        <f>INDEX('Escalators '!$M$124:$S$129,MATCH(I1174,'Escalators '!$B$124:$B$129,0),MATCH(J1174,'Escalators '!$M$113:$S$113,0))</f>
        <v>1.06512715891222</v>
      </c>
      <c r="S1174" s="257">
        <f t="shared" si="247"/>
        <v>0</v>
      </c>
      <c r="T1174" s="257">
        <f t="shared" si="248"/>
        <v>0</v>
      </c>
      <c r="U1174" s="269">
        <f t="shared" si="249"/>
        <v>111305.78810632699</v>
      </c>
      <c r="V1174" s="269">
        <f t="shared" si="250"/>
        <v>111305.78810632699</v>
      </c>
      <c r="W1174" s="269">
        <f t="shared" si="251"/>
        <v>111305.78810632699</v>
      </c>
      <c r="X1174" s="257">
        <f t="shared" si="252"/>
        <v>111305.78810632699</v>
      </c>
      <c r="Y1174" s="270">
        <f>IF(L1174="Complex",(INDEX('Escalators '!$M$176:$S$176,MATCH('Forecast capex'!J1174,'Escalators '!$M$178:$S$178,0))/12+1)^((K1174-J1174)*12)-1,0)</f>
        <v>0</v>
      </c>
      <c r="Z1174" s="257">
        <f t="shared" si="253"/>
        <v>0</v>
      </c>
      <c r="AA1174" s="257">
        <f t="shared" si="254"/>
        <v>0</v>
      </c>
      <c r="AB1174" s="269">
        <f t="shared" si="255"/>
        <v>0</v>
      </c>
      <c r="AC1174" s="269">
        <f t="shared" si="256"/>
        <v>0</v>
      </c>
      <c r="AD1174" s="271" t="str">
        <f>INDEX('Global inputs'!$C$134:$C$171,MATCH(F1174,'Global inputs'!$B$134:$B$171,0))</f>
        <v>Asset replacement and renewal</v>
      </c>
      <c r="AE1174" s="272">
        <f>IF(OR(H1174='Operating leases'!$B$32,H1174='Operating leases'!$B$33),"",INDEX('Global inputs'!$C$186:$C$243,MATCH(E1174,'Global inputs'!$B$186:$B$243,0)))</f>
        <v>0.08</v>
      </c>
    </row>
    <row r="1175" spans="1:31" s="27" customFormat="1" x14ac:dyDescent="0.2">
      <c r="A1175" s="250"/>
      <c r="B1175" s="210" t="s">
        <v>742</v>
      </c>
      <c r="C1175" s="210" t="s">
        <v>288</v>
      </c>
      <c r="D1175" s="210" t="s">
        <v>223</v>
      </c>
      <c r="E1175" s="210" t="s">
        <v>158</v>
      </c>
      <c r="F1175" s="210" t="s">
        <v>107</v>
      </c>
      <c r="G1175" s="210" t="s">
        <v>728</v>
      </c>
      <c r="H1175" s="197">
        <v>0</v>
      </c>
      <c r="I1175" s="210" t="s">
        <v>223</v>
      </c>
      <c r="J1175" s="210">
        <v>2024</v>
      </c>
      <c r="K1175" s="210">
        <v>2024</v>
      </c>
      <c r="L1175" s="268" t="str">
        <f t="shared" si="244"/>
        <v>Simple</v>
      </c>
      <c r="M1175" s="197">
        <v>113821.02000000002</v>
      </c>
      <c r="N1175" s="197">
        <v>0</v>
      </c>
      <c r="O1175" s="257">
        <f>IF(ISNA(MATCH(H1175,'Operating leases'!$B$32:$B$43,0)),0,INDEX('Operating leases'!$M$32:$S$43,MATCH(H1175,'Operating leases'!$B$32:$B$43,0),MATCH(J1175,'Operating leases'!$M$11:$S$11,0)))</f>
        <v>0</v>
      </c>
      <c r="P1175" s="257">
        <f t="shared" si="245"/>
        <v>113821.02000000002</v>
      </c>
      <c r="Q1175" s="257">
        <f t="shared" si="246"/>
        <v>113821.02000000002</v>
      </c>
      <c r="R1175" s="258">
        <f>INDEX('Escalators '!$M$124:$S$129,MATCH(I1175,'Escalators '!$B$124:$B$129,0),MATCH(J1175,'Escalators '!$M$113:$S$113,0))</f>
        <v>1.0992204162588337</v>
      </c>
      <c r="S1175" s="257">
        <f t="shared" si="247"/>
        <v>0</v>
      </c>
      <c r="T1175" s="257">
        <f t="shared" si="248"/>
        <v>0</v>
      </c>
      <c r="U1175" s="269">
        <f t="shared" si="249"/>
        <v>125114.38898340506</v>
      </c>
      <c r="V1175" s="269">
        <f t="shared" si="250"/>
        <v>125114.38898340506</v>
      </c>
      <c r="W1175" s="269">
        <f t="shared" si="251"/>
        <v>125114.38898340506</v>
      </c>
      <c r="X1175" s="257">
        <f t="shared" si="252"/>
        <v>125114.38898340506</v>
      </c>
      <c r="Y1175" s="270">
        <f>IF(L1175="Complex",(INDEX('Escalators '!$M$176:$S$176,MATCH('Forecast capex'!J1175,'Escalators '!$M$178:$S$178,0))/12+1)^((K1175-J1175)*12)-1,0)</f>
        <v>0</v>
      </c>
      <c r="Z1175" s="257">
        <f t="shared" si="253"/>
        <v>0</v>
      </c>
      <c r="AA1175" s="257">
        <f t="shared" si="254"/>
        <v>0</v>
      </c>
      <c r="AB1175" s="269">
        <f t="shared" si="255"/>
        <v>0</v>
      </c>
      <c r="AC1175" s="269">
        <f t="shared" si="256"/>
        <v>0</v>
      </c>
      <c r="AD1175" s="271" t="str">
        <f>INDEX('Global inputs'!$C$134:$C$171,MATCH(F1175,'Global inputs'!$B$134:$B$171,0))</f>
        <v>Asset replacement and renewal</v>
      </c>
      <c r="AE1175" s="272">
        <f>IF(OR(H1175='Operating leases'!$B$32,H1175='Operating leases'!$B$33),"",INDEX('Global inputs'!$C$186:$C$243,MATCH(E1175,'Global inputs'!$B$186:$B$243,0)))</f>
        <v>0.08</v>
      </c>
    </row>
    <row r="1176" spans="1:31" s="27" customFormat="1" x14ac:dyDescent="0.2">
      <c r="A1176" s="250"/>
      <c r="B1176" s="210" t="s">
        <v>742</v>
      </c>
      <c r="C1176" s="210" t="s">
        <v>288</v>
      </c>
      <c r="D1176" s="210" t="s">
        <v>223</v>
      </c>
      <c r="E1176" s="210" t="s">
        <v>158</v>
      </c>
      <c r="F1176" s="210" t="s">
        <v>107</v>
      </c>
      <c r="G1176" s="210" t="s">
        <v>728</v>
      </c>
      <c r="H1176" s="197">
        <v>0</v>
      </c>
      <c r="I1176" s="210" t="s">
        <v>221</v>
      </c>
      <c r="J1176" s="210">
        <v>2024</v>
      </c>
      <c r="K1176" s="210">
        <v>2024</v>
      </c>
      <c r="L1176" s="268" t="str">
        <f t="shared" si="244"/>
        <v>Simple</v>
      </c>
      <c r="M1176" s="197">
        <v>170731.53</v>
      </c>
      <c r="N1176" s="197">
        <v>0</v>
      </c>
      <c r="O1176" s="257">
        <f>IF(ISNA(MATCH(H1176,'Operating leases'!$B$32:$B$43,0)),0,INDEX('Operating leases'!$M$32:$S$43,MATCH(H1176,'Operating leases'!$B$32:$B$43,0),MATCH(J1176,'Operating leases'!$M$11:$S$11,0)))</f>
        <v>0</v>
      </c>
      <c r="P1176" s="257">
        <f t="shared" si="245"/>
        <v>170731.53</v>
      </c>
      <c r="Q1176" s="257">
        <f t="shared" si="246"/>
        <v>170731.53</v>
      </c>
      <c r="R1176" s="258">
        <f>INDEX('Escalators '!$M$124:$S$129,MATCH(I1176,'Escalators '!$B$124:$B$129,0),MATCH(J1176,'Escalators '!$M$113:$S$113,0))</f>
        <v>1.06512715891222</v>
      </c>
      <c r="S1176" s="257">
        <f t="shared" si="247"/>
        <v>0</v>
      </c>
      <c r="T1176" s="257">
        <f t="shared" si="248"/>
        <v>0</v>
      </c>
      <c r="U1176" s="269">
        <f t="shared" si="249"/>
        <v>181850.78948563646</v>
      </c>
      <c r="V1176" s="269">
        <f t="shared" si="250"/>
        <v>181850.78948563646</v>
      </c>
      <c r="W1176" s="269">
        <f t="shared" si="251"/>
        <v>181850.78948563646</v>
      </c>
      <c r="X1176" s="257">
        <f t="shared" si="252"/>
        <v>181850.78948563646</v>
      </c>
      <c r="Y1176" s="270">
        <f>IF(L1176="Complex",(INDEX('Escalators '!$M$176:$S$176,MATCH('Forecast capex'!J1176,'Escalators '!$M$178:$S$178,0))/12+1)^((K1176-J1176)*12)-1,0)</f>
        <v>0</v>
      </c>
      <c r="Z1176" s="257">
        <f t="shared" si="253"/>
        <v>0</v>
      </c>
      <c r="AA1176" s="257">
        <f t="shared" si="254"/>
        <v>0</v>
      </c>
      <c r="AB1176" s="269">
        <f t="shared" si="255"/>
        <v>0</v>
      </c>
      <c r="AC1176" s="269">
        <f t="shared" si="256"/>
        <v>0</v>
      </c>
      <c r="AD1176" s="271" t="str">
        <f>INDEX('Global inputs'!$C$134:$C$171,MATCH(F1176,'Global inputs'!$B$134:$B$171,0))</f>
        <v>Asset replacement and renewal</v>
      </c>
      <c r="AE1176" s="272">
        <f>IF(OR(H1176='Operating leases'!$B$32,H1176='Operating leases'!$B$33),"",INDEX('Global inputs'!$C$186:$C$243,MATCH(E1176,'Global inputs'!$B$186:$B$243,0)))</f>
        <v>0.08</v>
      </c>
    </row>
    <row r="1177" spans="1:31" s="27" customFormat="1" x14ac:dyDescent="0.2">
      <c r="A1177" s="250"/>
      <c r="B1177" s="210" t="s">
        <v>742</v>
      </c>
      <c r="C1177" s="210" t="s">
        <v>290</v>
      </c>
      <c r="D1177" s="210" t="s">
        <v>718</v>
      </c>
      <c r="E1177" s="210" t="s">
        <v>168</v>
      </c>
      <c r="F1177" s="210" t="s">
        <v>111</v>
      </c>
      <c r="G1177" s="210" t="s">
        <v>720</v>
      </c>
      <c r="H1177" s="197">
        <v>0</v>
      </c>
      <c r="I1177" s="210" t="s">
        <v>229</v>
      </c>
      <c r="J1177" s="210">
        <v>2024</v>
      </c>
      <c r="K1177" s="210">
        <v>2024</v>
      </c>
      <c r="L1177" s="268" t="str">
        <f t="shared" si="244"/>
        <v>Simple</v>
      </c>
      <c r="M1177" s="197">
        <v>411160</v>
      </c>
      <c r="N1177" s="197">
        <v>0</v>
      </c>
      <c r="O1177" s="257">
        <f>IF(ISNA(MATCH(H1177,'Operating leases'!$B$32:$B$43,0)),0,INDEX('Operating leases'!$M$32:$S$43,MATCH(H1177,'Operating leases'!$B$32:$B$43,0),MATCH(J1177,'Operating leases'!$M$11:$S$11,0)))</f>
        <v>0</v>
      </c>
      <c r="P1177" s="257">
        <f t="shared" si="245"/>
        <v>411160</v>
      </c>
      <c r="Q1177" s="257">
        <f t="shared" si="246"/>
        <v>411160</v>
      </c>
      <c r="R1177" s="258">
        <f>INDEX('Escalators '!$M$124:$S$129,MATCH(I1177,'Escalators '!$B$124:$B$129,0),MATCH(J1177,'Escalators '!$M$113:$S$113,0))</f>
        <v>1.0731681760713303</v>
      </c>
      <c r="S1177" s="257">
        <f t="shared" si="247"/>
        <v>0</v>
      </c>
      <c r="T1177" s="257">
        <f t="shared" si="248"/>
        <v>0</v>
      </c>
      <c r="U1177" s="269">
        <f t="shared" si="249"/>
        <v>441243.82727348816</v>
      </c>
      <c r="V1177" s="269">
        <f t="shared" si="250"/>
        <v>441243.82727348816</v>
      </c>
      <c r="W1177" s="269">
        <f t="shared" si="251"/>
        <v>441243.82727348816</v>
      </c>
      <c r="X1177" s="257">
        <f t="shared" si="252"/>
        <v>441243.82727348816</v>
      </c>
      <c r="Y1177" s="270">
        <f>IF(L1177="Complex",(INDEX('Escalators '!$M$176:$S$176,MATCH('Forecast capex'!J1177,'Escalators '!$M$178:$S$178,0))/12+1)^((K1177-J1177)*12)-1,0)</f>
        <v>0</v>
      </c>
      <c r="Z1177" s="257">
        <f t="shared" si="253"/>
        <v>0</v>
      </c>
      <c r="AA1177" s="257">
        <f t="shared" si="254"/>
        <v>0</v>
      </c>
      <c r="AB1177" s="269">
        <f t="shared" si="255"/>
        <v>0</v>
      </c>
      <c r="AC1177" s="269">
        <f t="shared" si="256"/>
        <v>0</v>
      </c>
      <c r="AD1177" s="271" t="str">
        <f>INDEX('Global inputs'!$C$134:$C$171,MATCH(F1177,'Global inputs'!$B$134:$B$171,0))</f>
        <v>Asset replacement and renewal</v>
      </c>
      <c r="AE1177" s="272">
        <f>IF(OR(H1177='Operating leases'!$B$32,H1177='Operating leases'!$B$33),"",INDEX('Global inputs'!$C$186:$C$243,MATCH(E1177,'Global inputs'!$B$186:$B$243,0)))</f>
        <v>0.08</v>
      </c>
    </row>
    <row r="1178" spans="1:31" s="27" customFormat="1" x14ac:dyDescent="0.2">
      <c r="A1178" s="250"/>
      <c r="B1178" s="210" t="s">
        <v>742</v>
      </c>
      <c r="C1178" s="210" t="s">
        <v>290</v>
      </c>
      <c r="D1178" s="210" t="s">
        <v>718</v>
      </c>
      <c r="E1178" s="210" t="s">
        <v>168</v>
      </c>
      <c r="F1178" s="210" t="s">
        <v>111</v>
      </c>
      <c r="G1178" s="210" t="s">
        <v>720</v>
      </c>
      <c r="H1178" s="197">
        <v>0</v>
      </c>
      <c r="I1178" s="210" t="s">
        <v>221</v>
      </c>
      <c r="J1178" s="210">
        <v>2024</v>
      </c>
      <c r="K1178" s="210">
        <v>2024</v>
      </c>
      <c r="L1178" s="268" t="str">
        <f t="shared" si="244"/>
        <v>Simple</v>
      </c>
      <c r="M1178" s="197">
        <v>102790</v>
      </c>
      <c r="N1178" s="197">
        <v>0</v>
      </c>
      <c r="O1178" s="257">
        <f>IF(ISNA(MATCH(H1178,'Operating leases'!$B$32:$B$43,0)),0,INDEX('Operating leases'!$M$32:$S$43,MATCH(H1178,'Operating leases'!$B$32:$B$43,0),MATCH(J1178,'Operating leases'!$M$11:$S$11,0)))</f>
        <v>0</v>
      </c>
      <c r="P1178" s="257">
        <f t="shared" si="245"/>
        <v>102790</v>
      </c>
      <c r="Q1178" s="257">
        <f t="shared" si="246"/>
        <v>102790</v>
      </c>
      <c r="R1178" s="258">
        <f>INDEX('Escalators '!$M$124:$S$129,MATCH(I1178,'Escalators '!$B$124:$B$129,0),MATCH(J1178,'Escalators '!$M$113:$S$113,0))</f>
        <v>1.06512715891222</v>
      </c>
      <c r="S1178" s="257">
        <f t="shared" si="247"/>
        <v>0</v>
      </c>
      <c r="T1178" s="257">
        <f t="shared" si="248"/>
        <v>0</v>
      </c>
      <c r="U1178" s="269">
        <f t="shared" si="249"/>
        <v>109484.42066458709</v>
      </c>
      <c r="V1178" s="269">
        <f t="shared" si="250"/>
        <v>109484.42066458709</v>
      </c>
      <c r="W1178" s="269">
        <f t="shared" si="251"/>
        <v>109484.42066458709</v>
      </c>
      <c r="X1178" s="257">
        <f t="shared" si="252"/>
        <v>109484.42066458709</v>
      </c>
      <c r="Y1178" s="270">
        <f>IF(L1178="Complex",(INDEX('Escalators '!$M$176:$S$176,MATCH('Forecast capex'!J1178,'Escalators '!$M$178:$S$178,0))/12+1)^((K1178-J1178)*12)-1,0)</f>
        <v>0</v>
      </c>
      <c r="Z1178" s="257">
        <f t="shared" si="253"/>
        <v>0</v>
      </c>
      <c r="AA1178" s="257">
        <f t="shared" si="254"/>
        <v>0</v>
      </c>
      <c r="AB1178" s="269">
        <f t="shared" si="255"/>
        <v>0</v>
      </c>
      <c r="AC1178" s="269">
        <f t="shared" si="256"/>
        <v>0</v>
      </c>
      <c r="AD1178" s="271" t="str">
        <f>INDEX('Global inputs'!$C$134:$C$171,MATCH(F1178,'Global inputs'!$B$134:$B$171,0))</f>
        <v>Asset replacement and renewal</v>
      </c>
      <c r="AE1178" s="272">
        <f>IF(OR(H1178='Operating leases'!$B$32,H1178='Operating leases'!$B$33),"",INDEX('Global inputs'!$C$186:$C$243,MATCH(E1178,'Global inputs'!$B$186:$B$243,0)))</f>
        <v>0.08</v>
      </c>
    </row>
    <row r="1179" spans="1:31" s="27" customFormat="1" x14ac:dyDescent="0.2">
      <c r="A1179" s="250"/>
      <c r="B1179" s="210" t="s">
        <v>742</v>
      </c>
      <c r="C1179" s="210" t="s">
        <v>291</v>
      </c>
      <c r="D1179" s="210" t="s">
        <v>735</v>
      </c>
      <c r="E1179" s="210" t="s">
        <v>175</v>
      </c>
      <c r="F1179" s="210" t="s">
        <v>119</v>
      </c>
      <c r="G1179" s="210" t="s">
        <v>748</v>
      </c>
      <c r="H1179" s="197">
        <v>0</v>
      </c>
      <c r="I1179" s="210" t="s">
        <v>229</v>
      </c>
      <c r="J1179" s="210">
        <v>2024</v>
      </c>
      <c r="K1179" s="210">
        <v>2024</v>
      </c>
      <c r="L1179" s="268" t="str">
        <f t="shared" si="244"/>
        <v>Simple</v>
      </c>
      <c r="M1179" s="197">
        <v>43890</v>
      </c>
      <c r="N1179" s="197">
        <v>0</v>
      </c>
      <c r="O1179" s="257">
        <f>IF(ISNA(MATCH(H1179,'Operating leases'!$B$32:$B$43,0)),0,INDEX('Operating leases'!$M$32:$S$43,MATCH(H1179,'Operating leases'!$B$32:$B$43,0),MATCH(J1179,'Operating leases'!$M$11:$S$11,0)))</f>
        <v>0</v>
      </c>
      <c r="P1179" s="257">
        <f t="shared" si="245"/>
        <v>43890</v>
      </c>
      <c r="Q1179" s="257">
        <f t="shared" si="246"/>
        <v>43890</v>
      </c>
      <c r="R1179" s="258">
        <f>INDEX('Escalators '!$M$124:$S$129,MATCH(I1179,'Escalators '!$B$124:$B$129,0),MATCH(J1179,'Escalators '!$M$113:$S$113,0))</f>
        <v>1.0731681760713303</v>
      </c>
      <c r="S1179" s="257">
        <f t="shared" si="247"/>
        <v>0</v>
      </c>
      <c r="T1179" s="257">
        <f t="shared" si="248"/>
        <v>0</v>
      </c>
      <c r="U1179" s="269">
        <f t="shared" si="249"/>
        <v>47101.35124777069</v>
      </c>
      <c r="V1179" s="269">
        <f t="shared" si="250"/>
        <v>47101.35124777069</v>
      </c>
      <c r="W1179" s="269">
        <f t="shared" si="251"/>
        <v>47101.35124777069</v>
      </c>
      <c r="X1179" s="257">
        <f t="shared" si="252"/>
        <v>47101.35124777069</v>
      </c>
      <c r="Y1179" s="270">
        <f>IF(L1179="Complex",(INDEX('Escalators '!$M$176:$S$176,MATCH('Forecast capex'!J1179,'Escalators '!$M$178:$S$178,0))/12+1)^((K1179-J1179)*12)-1,0)</f>
        <v>0</v>
      </c>
      <c r="Z1179" s="257">
        <f t="shared" si="253"/>
        <v>0</v>
      </c>
      <c r="AA1179" s="257">
        <f t="shared" si="254"/>
        <v>0</v>
      </c>
      <c r="AB1179" s="269">
        <f t="shared" si="255"/>
        <v>0</v>
      </c>
      <c r="AC1179" s="269">
        <f t="shared" si="256"/>
        <v>0</v>
      </c>
      <c r="AD1179" s="271" t="str">
        <f>INDEX('Global inputs'!$C$134:$C$171,MATCH(F1179,'Global inputs'!$B$134:$B$171,0))</f>
        <v>Asset replacement and renewal</v>
      </c>
      <c r="AE1179" s="272">
        <f>IF(OR(H1179='Operating leases'!$B$32,H1179='Operating leases'!$B$33),"",INDEX('Global inputs'!$C$186:$C$243,MATCH(E1179,'Global inputs'!$B$186:$B$243,0)))</f>
        <v>0.1</v>
      </c>
    </row>
    <row r="1180" spans="1:31" s="27" customFormat="1" x14ac:dyDescent="0.2">
      <c r="A1180" s="250"/>
      <c r="B1180" s="210" t="s">
        <v>742</v>
      </c>
      <c r="C1180" s="210" t="s">
        <v>291</v>
      </c>
      <c r="D1180" s="210" t="s">
        <v>735</v>
      </c>
      <c r="E1180" s="210" t="s">
        <v>175</v>
      </c>
      <c r="F1180" s="210" t="s">
        <v>119</v>
      </c>
      <c r="G1180" s="210" t="s">
        <v>748</v>
      </c>
      <c r="H1180" s="197">
        <v>0</v>
      </c>
      <c r="I1180" s="210" t="s">
        <v>221</v>
      </c>
      <c r="J1180" s="210">
        <v>2024</v>
      </c>
      <c r="K1180" s="210">
        <v>2024</v>
      </c>
      <c r="L1180" s="268" t="str">
        <f t="shared" si="244"/>
        <v>Simple</v>
      </c>
      <c r="M1180" s="197">
        <v>175560</v>
      </c>
      <c r="N1180" s="197">
        <v>0</v>
      </c>
      <c r="O1180" s="257">
        <f>IF(ISNA(MATCH(H1180,'Operating leases'!$B$32:$B$43,0)),0,INDEX('Operating leases'!$M$32:$S$43,MATCH(H1180,'Operating leases'!$B$32:$B$43,0),MATCH(J1180,'Operating leases'!$M$11:$S$11,0)))</f>
        <v>0</v>
      </c>
      <c r="P1180" s="257">
        <f t="shared" si="245"/>
        <v>175560</v>
      </c>
      <c r="Q1180" s="257">
        <f t="shared" si="246"/>
        <v>175560</v>
      </c>
      <c r="R1180" s="258">
        <f>INDEX('Escalators '!$M$124:$S$129,MATCH(I1180,'Escalators '!$B$124:$B$129,0),MATCH(J1180,'Escalators '!$M$113:$S$113,0))</f>
        <v>1.06512715891222</v>
      </c>
      <c r="S1180" s="257">
        <f t="shared" si="247"/>
        <v>0</v>
      </c>
      <c r="T1180" s="257">
        <f t="shared" si="248"/>
        <v>0</v>
      </c>
      <c r="U1180" s="269">
        <f t="shared" si="249"/>
        <v>186993.72401862935</v>
      </c>
      <c r="V1180" s="269">
        <f t="shared" si="250"/>
        <v>186993.72401862935</v>
      </c>
      <c r="W1180" s="269">
        <f t="shared" si="251"/>
        <v>186993.72401862935</v>
      </c>
      <c r="X1180" s="257">
        <f t="shared" si="252"/>
        <v>186993.72401862935</v>
      </c>
      <c r="Y1180" s="270">
        <f>IF(L1180="Complex",(INDEX('Escalators '!$M$176:$S$176,MATCH('Forecast capex'!J1180,'Escalators '!$M$178:$S$178,0))/12+1)^((K1180-J1180)*12)-1,0)</f>
        <v>0</v>
      </c>
      <c r="Z1180" s="257">
        <f t="shared" si="253"/>
        <v>0</v>
      </c>
      <c r="AA1180" s="257">
        <f t="shared" si="254"/>
        <v>0</v>
      </c>
      <c r="AB1180" s="269">
        <f t="shared" si="255"/>
        <v>0</v>
      </c>
      <c r="AC1180" s="269">
        <f t="shared" si="256"/>
        <v>0</v>
      </c>
      <c r="AD1180" s="271" t="str">
        <f>INDEX('Global inputs'!$C$134:$C$171,MATCH(F1180,'Global inputs'!$B$134:$B$171,0))</f>
        <v>Asset replacement and renewal</v>
      </c>
      <c r="AE1180" s="272">
        <f>IF(OR(H1180='Operating leases'!$B$32,H1180='Operating leases'!$B$33),"",INDEX('Global inputs'!$C$186:$C$243,MATCH(E1180,'Global inputs'!$B$186:$B$243,0)))</f>
        <v>0.1</v>
      </c>
    </row>
    <row r="1181" spans="1:31" s="27" customFormat="1" x14ac:dyDescent="0.2">
      <c r="A1181" s="250"/>
      <c r="B1181" s="210" t="s">
        <v>742</v>
      </c>
      <c r="C1181" s="210" t="s">
        <v>289</v>
      </c>
      <c r="D1181" s="210" t="s">
        <v>718</v>
      </c>
      <c r="E1181" s="210" t="s">
        <v>165</v>
      </c>
      <c r="F1181" s="210" t="s">
        <v>113</v>
      </c>
      <c r="G1181" s="210" t="s">
        <v>745</v>
      </c>
      <c r="H1181" s="197">
        <v>0</v>
      </c>
      <c r="I1181" s="210" t="s">
        <v>229</v>
      </c>
      <c r="J1181" s="210">
        <v>2024</v>
      </c>
      <c r="K1181" s="210">
        <v>2024</v>
      </c>
      <c r="L1181" s="268" t="str">
        <f t="shared" si="244"/>
        <v>Simple</v>
      </c>
      <c r="M1181" s="197">
        <v>469194.07499999995</v>
      </c>
      <c r="N1181" s="197">
        <v>0</v>
      </c>
      <c r="O1181" s="257">
        <f>IF(ISNA(MATCH(H1181,'Operating leases'!$B$32:$B$43,0)),0,INDEX('Operating leases'!$M$32:$S$43,MATCH(H1181,'Operating leases'!$B$32:$B$43,0),MATCH(J1181,'Operating leases'!$M$11:$S$11,0)))</f>
        <v>0</v>
      </c>
      <c r="P1181" s="257">
        <f t="shared" si="245"/>
        <v>469194.07499999995</v>
      </c>
      <c r="Q1181" s="257">
        <f t="shared" si="246"/>
        <v>469194.07499999995</v>
      </c>
      <c r="R1181" s="258">
        <f>INDEX('Escalators '!$M$124:$S$129,MATCH(I1181,'Escalators '!$B$124:$B$129,0),MATCH(J1181,'Escalators '!$M$113:$S$113,0))</f>
        <v>1.0731681760713303</v>
      </c>
      <c r="S1181" s="257">
        <f t="shared" si="247"/>
        <v>0</v>
      </c>
      <c r="T1181" s="257">
        <f t="shared" si="248"/>
        <v>0</v>
      </c>
      <c r="U1181" s="269">
        <f t="shared" si="249"/>
        <v>503524.14969122491</v>
      </c>
      <c r="V1181" s="269">
        <f t="shared" si="250"/>
        <v>503524.14969122491</v>
      </c>
      <c r="W1181" s="269">
        <f t="shared" si="251"/>
        <v>503524.14969122491</v>
      </c>
      <c r="X1181" s="257">
        <f t="shared" si="252"/>
        <v>503524.14969122491</v>
      </c>
      <c r="Y1181" s="270">
        <f>IF(L1181="Complex",(INDEX('Escalators '!$M$176:$S$176,MATCH('Forecast capex'!J1181,'Escalators '!$M$178:$S$178,0))/12+1)^((K1181-J1181)*12)-1,0)</f>
        <v>0</v>
      </c>
      <c r="Z1181" s="257">
        <f t="shared" si="253"/>
        <v>0</v>
      </c>
      <c r="AA1181" s="257">
        <f t="shared" si="254"/>
        <v>0</v>
      </c>
      <c r="AB1181" s="269">
        <f t="shared" si="255"/>
        <v>0</v>
      </c>
      <c r="AC1181" s="269">
        <f t="shared" si="256"/>
        <v>0</v>
      </c>
      <c r="AD1181" s="271" t="str">
        <f>INDEX('Global inputs'!$C$134:$C$171,MATCH(F1181,'Global inputs'!$B$134:$B$171,0))</f>
        <v>Asset replacement and renewal</v>
      </c>
      <c r="AE1181" s="272">
        <f>IF(OR(H1181='Operating leases'!$B$32,H1181='Operating leases'!$B$33),"",INDEX('Global inputs'!$C$186:$C$243,MATCH(E1181,'Global inputs'!$B$186:$B$243,0)))</f>
        <v>0.1</v>
      </c>
    </row>
    <row r="1182" spans="1:31" s="27" customFormat="1" x14ac:dyDescent="0.2">
      <c r="A1182" s="250"/>
      <c r="B1182" s="210" t="s">
        <v>742</v>
      </c>
      <c r="C1182" s="210" t="s">
        <v>289</v>
      </c>
      <c r="D1182" s="210" t="s">
        <v>718</v>
      </c>
      <c r="E1182" s="210" t="s">
        <v>165</v>
      </c>
      <c r="F1182" s="210" t="s">
        <v>113</v>
      </c>
      <c r="G1182" s="210" t="s">
        <v>745</v>
      </c>
      <c r="H1182" s="197">
        <v>0</v>
      </c>
      <c r="I1182" s="210" t="s">
        <v>221</v>
      </c>
      <c r="J1182" s="210">
        <v>2024</v>
      </c>
      <c r="K1182" s="210">
        <v>2024</v>
      </c>
      <c r="L1182" s="268" t="str">
        <f t="shared" si="244"/>
        <v>Simple</v>
      </c>
      <c r="M1182" s="197">
        <v>469194.07499999995</v>
      </c>
      <c r="N1182" s="197">
        <v>0</v>
      </c>
      <c r="O1182" s="257">
        <f>IF(ISNA(MATCH(H1182,'Operating leases'!$B$32:$B$43,0)),0,INDEX('Operating leases'!$M$32:$S$43,MATCH(H1182,'Operating leases'!$B$32:$B$43,0),MATCH(J1182,'Operating leases'!$M$11:$S$11,0)))</f>
        <v>0</v>
      </c>
      <c r="P1182" s="257">
        <f t="shared" si="245"/>
        <v>469194.07499999995</v>
      </c>
      <c r="Q1182" s="257">
        <f t="shared" si="246"/>
        <v>469194.07499999995</v>
      </c>
      <c r="R1182" s="258">
        <f>INDEX('Escalators '!$M$124:$S$129,MATCH(I1182,'Escalators '!$B$124:$B$129,0),MATCH(J1182,'Escalators '!$M$113:$S$113,0))</f>
        <v>1.06512715891222</v>
      </c>
      <c r="S1182" s="257">
        <f t="shared" si="247"/>
        <v>0</v>
      </c>
      <c r="T1182" s="257">
        <f t="shared" si="248"/>
        <v>0</v>
      </c>
      <c r="U1182" s="269">
        <f t="shared" si="249"/>
        <v>499751.35208319704</v>
      </c>
      <c r="V1182" s="269">
        <f t="shared" si="250"/>
        <v>499751.35208319704</v>
      </c>
      <c r="W1182" s="269">
        <f t="shared" si="251"/>
        <v>499751.35208319704</v>
      </c>
      <c r="X1182" s="257">
        <f t="shared" si="252"/>
        <v>499751.35208319704</v>
      </c>
      <c r="Y1182" s="270">
        <f>IF(L1182="Complex",(INDEX('Escalators '!$M$176:$S$176,MATCH('Forecast capex'!J1182,'Escalators '!$M$178:$S$178,0))/12+1)^((K1182-J1182)*12)-1,0)</f>
        <v>0</v>
      </c>
      <c r="Z1182" s="257">
        <f t="shared" si="253"/>
        <v>0</v>
      </c>
      <c r="AA1182" s="257">
        <f t="shared" si="254"/>
        <v>0</v>
      </c>
      <c r="AB1182" s="269">
        <f t="shared" si="255"/>
        <v>0</v>
      </c>
      <c r="AC1182" s="269">
        <f t="shared" si="256"/>
        <v>0</v>
      </c>
      <c r="AD1182" s="271" t="str">
        <f>INDEX('Global inputs'!$C$134:$C$171,MATCH(F1182,'Global inputs'!$B$134:$B$171,0))</f>
        <v>Asset replacement and renewal</v>
      </c>
      <c r="AE1182" s="272">
        <f>IF(OR(H1182='Operating leases'!$B$32,H1182='Operating leases'!$B$33),"",INDEX('Global inputs'!$C$186:$C$243,MATCH(E1182,'Global inputs'!$B$186:$B$243,0)))</f>
        <v>0.1</v>
      </c>
    </row>
    <row r="1183" spans="1:31" s="27" customFormat="1" x14ac:dyDescent="0.2">
      <c r="A1183" s="250"/>
      <c r="B1183" s="210" t="s">
        <v>742</v>
      </c>
      <c r="C1183" s="210" t="s">
        <v>285</v>
      </c>
      <c r="D1183" s="210" t="s">
        <v>718</v>
      </c>
      <c r="E1183" s="210" t="s">
        <v>132</v>
      </c>
      <c r="F1183" s="210" t="s">
        <v>113</v>
      </c>
      <c r="G1183" s="210" t="s">
        <v>745</v>
      </c>
      <c r="H1183" s="197">
        <v>0</v>
      </c>
      <c r="I1183" s="210" t="s">
        <v>229</v>
      </c>
      <c r="J1183" s="210">
        <v>2024</v>
      </c>
      <c r="K1183" s="210">
        <v>2024</v>
      </c>
      <c r="L1183" s="268" t="str">
        <f t="shared" si="244"/>
        <v>Simple</v>
      </c>
      <c r="M1183" s="197">
        <v>47500</v>
      </c>
      <c r="N1183" s="197">
        <v>0</v>
      </c>
      <c r="O1183" s="257">
        <f>IF(ISNA(MATCH(H1183,'Operating leases'!$B$32:$B$43,0)),0,INDEX('Operating leases'!$M$32:$S$43,MATCH(H1183,'Operating leases'!$B$32:$B$43,0),MATCH(J1183,'Operating leases'!$M$11:$S$11,0)))</f>
        <v>0</v>
      </c>
      <c r="P1183" s="257">
        <f t="shared" si="245"/>
        <v>47500</v>
      </c>
      <c r="Q1183" s="257">
        <f t="shared" si="246"/>
        <v>47500</v>
      </c>
      <c r="R1183" s="258">
        <f>INDEX('Escalators '!$M$124:$S$129,MATCH(I1183,'Escalators '!$B$124:$B$129,0),MATCH(J1183,'Escalators '!$M$113:$S$113,0))</f>
        <v>1.0731681760713303</v>
      </c>
      <c r="S1183" s="257">
        <f t="shared" si="247"/>
        <v>0</v>
      </c>
      <c r="T1183" s="257">
        <f t="shared" si="248"/>
        <v>0</v>
      </c>
      <c r="U1183" s="269">
        <f t="shared" si="249"/>
        <v>50975.488363388191</v>
      </c>
      <c r="V1183" s="269">
        <f t="shared" si="250"/>
        <v>50975.488363388191</v>
      </c>
      <c r="W1183" s="269">
        <f t="shared" si="251"/>
        <v>50975.488363388191</v>
      </c>
      <c r="X1183" s="257">
        <f t="shared" si="252"/>
        <v>50975.488363388191</v>
      </c>
      <c r="Y1183" s="270">
        <f>IF(L1183="Complex",(INDEX('Escalators '!$M$176:$S$176,MATCH('Forecast capex'!J1183,'Escalators '!$M$178:$S$178,0))/12+1)^((K1183-J1183)*12)-1,0)</f>
        <v>0</v>
      </c>
      <c r="Z1183" s="257">
        <f t="shared" si="253"/>
        <v>0</v>
      </c>
      <c r="AA1183" s="257">
        <f t="shared" si="254"/>
        <v>0</v>
      </c>
      <c r="AB1183" s="269">
        <f t="shared" si="255"/>
        <v>0</v>
      </c>
      <c r="AC1183" s="269">
        <f t="shared" si="256"/>
        <v>0</v>
      </c>
      <c r="AD1183" s="271" t="str">
        <f>INDEX('Global inputs'!$C$134:$C$171,MATCH(F1183,'Global inputs'!$B$134:$B$171,0))</f>
        <v>Asset replacement and renewal</v>
      </c>
      <c r="AE1183" s="272">
        <f>IF(OR(H1183='Operating leases'!$B$32,H1183='Operating leases'!$B$33),"",INDEX('Global inputs'!$C$186:$C$243,MATCH(E1183,'Global inputs'!$B$186:$B$243,0)))</f>
        <v>0.08</v>
      </c>
    </row>
    <row r="1184" spans="1:31" s="27" customFormat="1" x14ac:dyDescent="0.2">
      <c r="A1184" s="250"/>
      <c r="B1184" s="210" t="s">
        <v>742</v>
      </c>
      <c r="C1184" s="210" t="s">
        <v>285</v>
      </c>
      <c r="D1184" s="210" t="s">
        <v>718</v>
      </c>
      <c r="E1184" s="210" t="s">
        <v>132</v>
      </c>
      <c r="F1184" s="210" t="s">
        <v>113</v>
      </c>
      <c r="G1184" s="210" t="s">
        <v>745</v>
      </c>
      <c r="H1184" s="197">
        <v>0</v>
      </c>
      <c r="I1184" s="210" t="s">
        <v>221</v>
      </c>
      <c r="J1184" s="210">
        <v>2024</v>
      </c>
      <c r="K1184" s="210">
        <v>2024</v>
      </c>
      <c r="L1184" s="268" t="str">
        <f t="shared" si="244"/>
        <v>Simple</v>
      </c>
      <c r="M1184" s="197">
        <v>47500</v>
      </c>
      <c r="N1184" s="197">
        <v>0</v>
      </c>
      <c r="O1184" s="257">
        <f>IF(ISNA(MATCH(H1184,'Operating leases'!$B$32:$B$43,0)),0,INDEX('Operating leases'!$M$32:$S$43,MATCH(H1184,'Operating leases'!$B$32:$B$43,0),MATCH(J1184,'Operating leases'!$M$11:$S$11,0)))</f>
        <v>0</v>
      </c>
      <c r="P1184" s="257">
        <f t="shared" si="245"/>
        <v>47500</v>
      </c>
      <c r="Q1184" s="257">
        <f t="shared" si="246"/>
        <v>47500</v>
      </c>
      <c r="R1184" s="258">
        <f>INDEX('Escalators '!$M$124:$S$129,MATCH(I1184,'Escalators '!$B$124:$B$129,0),MATCH(J1184,'Escalators '!$M$113:$S$113,0))</f>
        <v>1.06512715891222</v>
      </c>
      <c r="S1184" s="257">
        <f t="shared" si="247"/>
        <v>0</v>
      </c>
      <c r="T1184" s="257">
        <f t="shared" si="248"/>
        <v>0</v>
      </c>
      <c r="U1184" s="269">
        <f t="shared" si="249"/>
        <v>50593.540048330447</v>
      </c>
      <c r="V1184" s="269">
        <f t="shared" si="250"/>
        <v>50593.540048330447</v>
      </c>
      <c r="W1184" s="269">
        <f t="shared" si="251"/>
        <v>50593.540048330447</v>
      </c>
      <c r="X1184" s="257">
        <f t="shared" si="252"/>
        <v>50593.540048330447</v>
      </c>
      <c r="Y1184" s="270">
        <f>IF(L1184="Complex",(INDEX('Escalators '!$M$176:$S$176,MATCH('Forecast capex'!J1184,'Escalators '!$M$178:$S$178,0))/12+1)^((K1184-J1184)*12)-1,0)</f>
        <v>0</v>
      </c>
      <c r="Z1184" s="257">
        <f t="shared" si="253"/>
        <v>0</v>
      </c>
      <c r="AA1184" s="257">
        <f t="shared" si="254"/>
        <v>0</v>
      </c>
      <c r="AB1184" s="269">
        <f t="shared" si="255"/>
        <v>0</v>
      </c>
      <c r="AC1184" s="269">
        <f t="shared" si="256"/>
        <v>0</v>
      </c>
      <c r="AD1184" s="271" t="str">
        <f>INDEX('Global inputs'!$C$134:$C$171,MATCH(F1184,'Global inputs'!$B$134:$B$171,0))</f>
        <v>Asset replacement and renewal</v>
      </c>
      <c r="AE1184" s="272">
        <f>IF(OR(H1184='Operating leases'!$B$32,H1184='Operating leases'!$B$33),"",INDEX('Global inputs'!$C$186:$C$243,MATCH(E1184,'Global inputs'!$B$186:$B$243,0)))</f>
        <v>0.08</v>
      </c>
    </row>
    <row r="1185" spans="1:31" s="27" customFormat="1" x14ac:dyDescent="0.2">
      <c r="A1185" s="250"/>
      <c r="B1185" s="210" t="s">
        <v>746</v>
      </c>
      <c r="C1185" s="210" t="s">
        <v>287</v>
      </c>
      <c r="D1185" s="210" t="s">
        <v>715</v>
      </c>
      <c r="E1185" s="210" t="s">
        <v>150</v>
      </c>
      <c r="F1185" s="210" t="s">
        <v>86</v>
      </c>
      <c r="G1185" s="210" t="s">
        <v>716</v>
      </c>
      <c r="H1185" s="197">
        <v>0</v>
      </c>
      <c r="I1185" s="210" t="s">
        <v>229</v>
      </c>
      <c r="J1185" s="210">
        <v>2024</v>
      </c>
      <c r="K1185" s="210">
        <v>2024</v>
      </c>
      <c r="L1185" s="268" t="str">
        <f t="shared" si="244"/>
        <v>Simple</v>
      </c>
      <c r="M1185" s="197">
        <v>51610.734963203031</v>
      </c>
      <c r="N1185" s="197">
        <v>0</v>
      </c>
      <c r="O1185" s="257">
        <f>IF(ISNA(MATCH(H1185,'Operating leases'!$B$32:$B$43,0)),0,INDEX('Operating leases'!$M$32:$S$43,MATCH(H1185,'Operating leases'!$B$32:$B$43,0),MATCH(J1185,'Operating leases'!$M$11:$S$11,0)))</f>
        <v>0</v>
      </c>
      <c r="P1185" s="257">
        <f t="shared" si="245"/>
        <v>51610.734963203031</v>
      </c>
      <c r="Q1185" s="257">
        <f t="shared" si="246"/>
        <v>51610.734963203031</v>
      </c>
      <c r="R1185" s="258">
        <f>INDEX('Escalators '!$M$124:$S$129,MATCH(I1185,'Escalators '!$B$124:$B$129,0),MATCH(J1185,'Escalators '!$M$113:$S$113,0))</f>
        <v>1.0731681760713303</v>
      </c>
      <c r="S1185" s="257">
        <f t="shared" si="247"/>
        <v>0</v>
      </c>
      <c r="T1185" s="257">
        <f t="shared" si="248"/>
        <v>0</v>
      </c>
      <c r="U1185" s="269">
        <f t="shared" si="249"/>
        <v>55386.998306161433</v>
      </c>
      <c r="V1185" s="269">
        <f t="shared" si="250"/>
        <v>55386.998306161433</v>
      </c>
      <c r="W1185" s="269">
        <f t="shared" si="251"/>
        <v>55386.998306161433</v>
      </c>
      <c r="X1185" s="257">
        <f t="shared" si="252"/>
        <v>55386.998306161433</v>
      </c>
      <c r="Y1185" s="270">
        <f>IF(L1185="Complex",(INDEX('Escalators '!$M$176:$S$176,MATCH('Forecast capex'!J1185,'Escalators '!$M$178:$S$178,0))/12+1)^((K1185-J1185)*12)-1,0)</f>
        <v>0</v>
      </c>
      <c r="Z1185" s="257">
        <f t="shared" si="253"/>
        <v>0</v>
      </c>
      <c r="AA1185" s="257">
        <f t="shared" si="254"/>
        <v>0</v>
      </c>
      <c r="AB1185" s="269">
        <f t="shared" si="255"/>
        <v>0</v>
      </c>
      <c r="AC1185" s="269">
        <f t="shared" si="256"/>
        <v>0</v>
      </c>
      <c r="AD1185" s="271" t="str">
        <f>INDEX('Global inputs'!$C$134:$C$171,MATCH(F1185,'Global inputs'!$B$134:$B$171,0))</f>
        <v xml:space="preserve">System growth </v>
      </c>
      <c r="AE1185" s="272">
        <f>IF(OR(H1185='Operating leases'!$B$32,H1185='Operating leases'!$B$33),"",INDEX('Global inputs'!$C$186:$C$243,MATCH(E1185,'Global inputs'!$B$186:$B$243,0)))</f>
        <v>0.08</v>
      </c>
    </row>
    <row r="1186" spans="1:31" s="27" customFormat="1" x14ac:dyDescent="0.2">
      <c r="A1186" s="250"/>
      <c r="B1186" s="210" t="s">
        <v>746</v>
      </c>
      <c r="C1186" s="210" t="s">
        <v>287</v>
      </c>
      <c r="D1186" s="210" t="s">
        <v>715</v>
      </c>
      <c r="E1186" s="210" t="s">
        <v>150</v>
      </c>
      <c r="F1186" s="210" t="s">
        <v>86</v>
      </c>
      <c r="G1186" s="210" t="s">
        <v>716</v>
      </c>
      <c r="H1186" s="197">
        <v>0</v>
      </c>
      <c r="I1186" s="210" t="s">
        <v>221</v>
      </c>
      <c r="J1186" s="210">
        <v>2024</v>
      </c>
      <c r="K1186" s="210">
        <v>2024</v>
      </c>
      <c r="L1186" s="268" t="str">
        <f t="shared" si="244"/>
        <v>Simple</v>
      </c>
      <c r="M1186" s="197">
        <v>51610.734963203031</v>
      </c>
      <c r="N1186" s="197">
        <v>0</v>
      </c>
      <c r="O1186" s="257">
        <f>IF(ISNA(MATCH(H1186,'Operating leases'!$B$32:$B$43,0)),0,INDEX('Operating leases'!$M$32:$S$43,MATCH(H1186,'Operating leases'!$B$32:$B$43,0),MATCH(J1186,'Operating leases'!$M$11:$S$11,0)))</f>
        <v>0</v>
      </c>
      <c r="P1186" s="257">
        <f t="shared" si="245"/>
        <v>51610.734963203031</v>
      </c>
      <c r="Q1186" s="257">
        <f t="shared" si="246"/>
        <v>51610.734963203031</v>
      </c>
      <c r="R1186" s="258">
        <f>INDEX('Escalators '!$M$124:$S$129,MATCH(I1186,'Escalators '!$B$124:$B$129,0),MATCH(J1186,'Escalators '!$M$113:$S$113,0))</f>
        <v>1.06512715891222</v>
      </c>
      <c r="S1186" s="257">
        <f t="shared" si="247"/>
        <v>0</v>
      </c>
      <c r="T1186" s="257">
        <f t="shared" si="248"/>
        <v>0</v>
      </c>
      <c r="U1186" s="269">
        <f t="shared" si="249"/>
        <v>54971.995500728022</v>
      </c>
      <c r="V1186" s="269">
        <f t="shared" si="250"/>
        <v>54971.995500728022</v>
      </c>
      <c r="W1186" s="269">
        <f t="shared" si="251"/>
        <v>54971.995500728022</v>
      </c>
      <c r="X1186" s="257">
        <f t="shared" si="252"/>
        <v>54971.995500728022</v>
      </c>
      <c r="Y1186" s="270">
        <f>IF(L1186="Complex",(INDEX('Escalators '!$M$176:$S$176,MATCH('Forecast capex'!J1186,'Escalators '!$M$178:$S$178,0))/12+1)^((K1186-J1186)*12)-1,0)</f>
        <v>0</v>
      </c>
      <c r="Z1186" s="257">
        <f t="shared" si="253"/>
        <v>0</v>
      </c>
      <c r="AA1186" s="257">
        <f t="shared" si="254"/>
        <v>0</v>
      </c>
      <c r="AB1186" s="269">
        <f t="shared" si="255"/>
        <v>0</v>
      </c>
      <c r="AC1186" s="269">
        <f t="shared" si="256"/>
        <v>0</v>
      </c>
      <c r="AD1186" s="271" t="str">
        <f>INDEX('Global inputs'!$C$134:$C$171,MATCH(F1186,'Global inputs'!$B$134:$B$171,0))</f>
        <v xml:space="preserve">System growth </v>
      </c>
      <c r="AE1186" s="272">
        <f>IF(OR(H1186='Operating leases'!$B$32,H1186='Operating leases'!$B$33),"",INDEX('Global inputs'!$C$186:$C$243,MATCH(E1186,'Global inputs'!$B$186:$B$243,0)))</f>
        <v>0.08</v>
      </c>
    </row>
    <row r="1187" spans="1:31" s="27" customFormat="1" x14ac:dyDescent="0.2">
      <c r="A1187" s="250"/>
      <c r="B1187" s="210" t="s">
        <v>746</v>
      </c>
      <c r="C1187" s="210" t="s">
        <v>287</v>
      </c>
      <c r="D1187" s="210" t="s">
        <v>715</v>
      </c>
      <c r="E1187" s="210" t="s">
        <v>151</v>
      </c>
      <c r="F1187" s="210" t="s">
        <v>86</v>
      </c>
      <c r="G1187" s="210" t="s">
        <v>716</v>
      </c>
      <c r="H1187" s="197">
        <v>0</v>
      </c>
      <c r="I1187" s="210" t="s">
        <v>229</v>
      </c>
      <c r="J1187" s="210">
        <v>2024</v>
      </c>
      <c r="K1187" s="210">
        <v>2024</v>
      </c>
      <c r="L1187" s="268" t="str">
        <f t="shared" si="244"/>
        <v>Simple</v>
      </c>
      <c r="M1187" s="197">
        <v>51610.734963203031</v>
      </c>
      <c r="N1187" s="197">
        <v>0</v>
      </c>
      <c r="O1187" s="257">
        <f>IF(ISNA(MATCH(H1187,'Operating leases'!$B$32:$B$43,0)),0,INDEX('Operating leases'!$M$32:$S$43,MATCH(H1187,'Operating leases'!$B$32:$B$43,0),MATCH(J1187,'Operating leases'!$M$11:$S$11,0)))</f>
        <v>0</v>
      </c>
      <c r="P1187" s="257">
        <f t="shared" si="245"/>
        <v>51610.734963203031</v>
      </c>
      <c r="Q1187" s="257">
        <f t="shared" si="246"/>
        <v>51610.734963203031</v>
      </c>
      <c r="R1187" s="258">
        <f>INDEX('Escalators '!$M$124:$S$129,MATCH(I1187,'Escalators '!$B$124:$B$129,0),MATCH(J1187,'Escalators '!$M$113:$S$113,0))</f>
        <v>1.0731681760713303</v>
      </c>
      <c r="S1187" s="257">
        <f t="shared" si="247"/>
        <v>0</v>
      </c>
      <c r="T1187" s="257">
        <f t="shared" si="248"/>
        <v>0</v>
      </c>
      <c r="U1187" s="269">
        <f t="shared" si="249"/>
        <v>55386.998306161433</v>
      </c>
      <c r="V1187" s="269">
        <f t="shared" si="250"/>
        <v>55386.998306161433</v>
      </c>
      <c r="W1187" s="269">
        <f t="shared" si="251"/>
        <v>55386.998306161433</v>
      </c>
      <c r="X1187" s="257">
        <f t="shared" si="252"/>
        <v>55386.998306161433</v>
      </c>
      <c r="Y1187" s="270">
        <f>IF(L1187="Complex",(INDEX('Escalators '!$M$176:$S$176,MATCH('Forecast capex'!J1187,'Escalators '!$M$178:$S$178,0))/12+1)^((K1187-J1187)*12)-1,0)</f>
        <v>0</v>
      </c>
      <c r="Z1187" s="257">
        <f t="shared" si="253"/>
        <v>0</v>
      </c>
      <c r="AA1187" s="257">
        <f t="shared" si="254"/>
        <v>0</v>
      </c>
      <c r="AB1187" s="269">
        <f t="shared" si="255"/>
        <v>0</v>
      </c>
      <c r="AC1187" s="269">
        <f t="shared" si="256"/>
        <v>0</v>
      </c>
      <c r="AD1187" s="271" t="str">
        <f>INDEX('Global inputs'!$C$134:$C$171,MATCH(F1187,'Global inputs'!$B$134:$B$171,0))</f>
        <v xml:space="preserve">System growth </v>
      </c>
      <c r="AE1187" s="272">
        <f>IF(OR(H1187='Operating leases'!$B$32,H1187='Operating leases'!$B$33),"",INDEX('Global inputs'!$C$186:$C$243,MATCH(E1187,'Global inputs'!$B$186:$B$243,0)))</f>
        <v>0.1</v>
      </c>
    </row>
    <row r="1188" spans="1:31" s="27" customFormat="1" x14ac:dyDescent="0.2">
      <c r="A1188" s="250"/>
      <c r="B1188" s="210" t="s">
        <v>746</v>
      </c>
      <c r="C1188" s="210" t="s">
        <v>287</v>
      </c>
      <c r="D1188" s="210" t="s">
        <v>715</v>
      </c>
      <c r="E1188" s="210" t="s">
        <v>151</v>
      </c>
      <c r="F1188" s="210" t="s">
        <v>86</v>
      </c>
      <c r="G1188" s="210" t="s">
        <v>716</v>
      </c>
      <c r="H1188" s="197">
        <v>0</v>
      </c>
      <c r="I1188" s="210" t="s">
        <v>221</v>
      </c>
      <c r="J1188" s="210">
        <v>2024</v>
      </c>
      <c r="K1188" s="210">
        <v>2024</v>
      </c>
      <c r="L1188" s="268" t="str">
        <f t="shared" si="244"/>
        <v>Simple</v>
      </c>
      <c r="M1188" s="197">
        <v>51610.734963203031</v>
      </c>
      <c r="N1188" s="197">
        <v>0</v>
      </c>
      <c r="O1188" s="257">
        <f>IF(ISNA(MATCH(H1188,'Operating leases'!$B$32:$B$43,0)),0,INDEX('Operating leases'!$M$32:$S$43,MATCH(H1188,'Operating leases'!$B$32:$B$43,0),MATCH(J1188,'Operating leases'!$M$11:$S$11,0)))</f>
        <v>0</v>
      </c>
      <c r="P1188" s="257">
        <f t="shared" si="245"/>
        <v>51610.734963203031</v>
      </c>
      <c r="Q1188" s="257">
        <f t="shared" si="246"/>
        <v>51610.734963203031</v>
      </c>
      <c r="R1188" s="258">
        <f>INDEX('Escalators '!$M$124:$S$129,MATCH(I1188,'Escalators '!$B$124:$B$129,0),MATCH(J1188,'Escalators '!$M$113:$S$113,0))</f>
        <v>1.06512715891222</v>
      </c>
      <c r="S1188" s="257">
        <f t="shared" si="247"/>
        <v>0</v>
      </c>
      <c r="T1188" s="257">
        <f t="shared" si="248"/>
        <v>0</v>
      </c>
      <c r="U1188" s="269">
        <f t="shared" si="249"/>
        <v>54971.995500728022</v>
      </c>
      <c r="V1188" s="269">
        <f t="shared" si="250"/>
        <v>54971.995500728022</v>
      </c>
      <c r="W1188" s="269">
        <f t="shared" si="251"/>
        <v>54971.995500728022</v>
      </c>
      <c r="X1188" s="257">
        <f t="shared" si="252"/>
        <v>54971.995500728022</v>
      </c>
      <c r="Y1188" s="270">
        <f>IF(L1188="Complex",(INDEX('Escalators '!$M$176:$S$176,MATCH('Forecast capex'!J1188,'Escalators '!$M$178:$S$178,0))/12+1)^((K1188-J1188)*12)-1,0)</f>
        <v>0</v>
      </c>
      <c r="Z1188" s="257">
        <f t="shared" si="253"/>
        <v>0</v>
      </c>
      <c r="AA1188" s="257">
        <f t="shared" si="254"/>
        <v>0</v>
      </c>
      <c r="AB1188" s="269">
        <f t="shared" si="255"/>
        <v>0</v>
      </c>
      <c r="AC1188" s="269">
        <f t="shared" si="256"/>
        <v>0</v>
      </c>
      <c r="AD1188" s="271" t="str">
        <f>INDEX('Global inputs'!$C$134:$C$171,MATCH(F1188,'Global inputs'!$B$134:$B$171,0))</f>
        <v xml:space="preserve">System growth </v>
      </c>
      <c r="AE1188" s="272">
        <f>IF(OR(H1188='Operating leases'!$B$32,H1188='Operating leases'!$B$33),"",INDEX('Global inputs'!$C$186:$C$243,MATCH(E1188,'Global inputs'!$B$186:$B$243,0)))</f>
        <v>0.1</v>
      </c>
    </row>
    <row r="1189" spans="1:31" s="27" customFormat="1" x14ac:dyDescent="0.2">
      <c r="A1189" s="250"/>
      <c r="B1189" s="210" t="s">
        <v>746</v>
      </c>
      <c r="C1189" s="210" t="s">
        <v>287</v>
      </c>
      <c r="D1189" s="210" t="s">
        <v>715</v>
      </c>
      <c r="E1189" s="210" t="s">
        <v>153</v>
      </c>
      <c r="F1189" s="210" t="s">
        <v>86</v>
      </c>
      <c r="G1189" s="210" t="s">
        <v>716</v>
      </c>
      <c r="H1189" s="197">
        <v>0</v>
      </c>
      <c r="I1189" s="210" t="s">
        <v>229</v>
      </c>
      <c r="J1189" s="210">
        <v>2024</v>
      </c>
      <c r="K1189" s="210">
        <v>2024</v>
      </c>
      <c r="L1189" s="268" t="str">
        <f t="shared" si="244"/>
        <v>Simple</v>
      </c>
      <c r="M1189" s="197">
        <v>22938.104428090239</v>
      </c>
      <c r="N1189" s="197">
        <v>0</v>
      </c>
      <c r="O1189" s="257">
        <f>IF(ISNA(MATCH(H1189,'Operating leases'!$B$32:$B$43,0)),0,INDEX('Operating leases'!$M$32:$S$43,MATCH(H1189,'Operating leases'!$B$32:$B$43,0),MATCH(J1189,'Operating leases'!$M$11:$S$11,0)))</f>
        <v>0</v>
      </c>
      <c r="P1189" s="257">
        <f t="shared" si="245"/>
        <v>22938.104428090239</v>
      </c>
      <c r="Q1189" s="257">
        <f t="shared" si="246"/>
        <v>22938.104428090239</v>
      </c>
      <c r="R1189" s="258">
        <f>INDEX('Escalators '!$M$124:$S$129,MATCH(I1189,'Escalators '!$B$124:$B$129,0),MATCH(J1189,'Escalators '!$M$113:$S$113,0))</f>
        <v>1.0731681760713303</v>
      </c>
      <c r="S1189" s="257">
        <f t="shared" si="247"/>
        <v>0</v>
      </c>
      <c r="T1189" s="257">
        <f t="shared" si="248"/>
        <v>0</v>
      </c>
      <c r="U1189" s="269">
        <f t="shared" si="249"/>
        <v>24616.443691627308</v>
      </c>
      <c r="V1189" s="269">
        <f t="shared" si="250"/>
        <v>24616.443691627308</v>
      </c>
      <c r="W1189" s="269">
        <f t="shared" si="251"/>
        <v>24616.443691627308</v>
      </c>
      <c r="X1189" s="257">
        <f t="shared" si="252"/>
        <v>24616.443691627308</v>
      </c>
      <c r="Y1189" s="270">
        <f>IF(L1189="Complex",(INDEX('Escalators '!$M$176:$S$176,MATCH('Forecast capex'!J1189,'Escalators '!$M$178:$S$178,0))/12+1)^((K1189-J1189)*12)-1,0)</f>
        <v>0</v>
      </c>
      <c r="Z1189" s="257">
        <f t="shared" si="253"/>
        <v>0</v>
      </c>
      <c r="AA1189" s="257">
        <f t="shared" si="254"/>
        <v>0</v>
      </c>
      <c r="AB1189" s="269">
        <f t="shared" si="255"/>
        <v>0</v>
      </c>
      <c r="AC1189" s="269">
        <f t="shared" si="256"/>
        <v>0</v>
      </c>
      <c r="AD1189" s="271" t="str">
        <f>INDEX('Global inputs'!$C$134:$C$171,MATCH(F1189,'Global inputs'!$B$134:$B$171,0))</f>
        <v xml:space="preserve">System growth </v>
      </c>
      <c r="AE1189" s="272">
        <f>IF(OR(H1189='Operating leases'!$B$32,H1189='Operating leases'!$B$33),"",INDEX('Global inputs'!$C$186:$C$243,MATCH(E1189,'Global inputs'!$B$186:$B$243,0)))</f>
        <v>0.08</v>
      </c>
    </row>
    <row r="1190" spans="1:31" s="27" customFormat="1" x14ac:dyDescent="0.2">
      <c r="A1190" s="250"/>
      <c r="B1190" s="210" t="s">
        <v>746</v>
      </c>
      <c r="C1190" s="210" t="s">
        <v>287</v>
      </c>
      <c r="D1190" s="210" t="s">
        <v>715</v>
      </c>
      <c r="E1190" s="210" t="s">
        <v>153</v>
      </c>
      <c r="F1190" s="210" t="s">
        <v>86</v>
      </c>
      <c r="G1190" s="210" t="s">
        <v>716</v>
      </c>
      <c r="H1190" s="197">
        <v>0</v>
      </c>
      <c r="I1190" s="210" t="s">
        <v>221</v>
      </c>
      <c r="J1190" s="210">
        <v>2024</v>
      </c>
      <c r="K1190" s="210">
        <v>2024</v>
      </c>
      <c r="L1190" s="268" t="str">
        <f t="shared" si="244"/>
        <v>Simple</v>
      </c>
      <c r="M1190" s="197">
        <v>22938.104428090239</v>
      </c>
      <c r="N1190" s="197">
        <v>0</v>
      </c>
      <c r="O1190" s="257">
        <f>IF(ISNA(MATCH(H1190,'Operating leases'!$B$32:$B$43,0)),0,INDEX('Operating leases'!$M$32:$S$43,MATCH(H1190,'Operating leases'!$B$32:$B$43,0),MATCH(J1190,'Operating leases'!$M$11:$S$11,0)))</f>
        <v>0</v>
      </c>
      <c r="P1190" s="257">
        <f t="shared" si="245"/>
        <v>22938.104428090239</v>
      </c>
      <c r="Q1190" s="257">
        <f t="shared" si="246"/>
        <v>22938.104428090239</v>
      </c>
      <c r="R1190" s="258">
        <f>INDEX('Escalators '!$M$124:$S$129,MATCH(I1190,'Escalators '!$B$124:$B$129,0),MATCH(J1190,'Escalators '!$M$113:$S$113,0))</f>
        <v>1.06512715891222</v>
      </c>
      <c r="S1190" s="257">
        <f t="shared" si="247"/>
        <v>0</v>
      </c>
      <c r="T1190" s="257">
        <f t="shared" si="248"/>
        <v>0</v>
      </c>
      <c r="U1190" s="269">
        <f t="shared" si="249"/>
        <v>24431.998000323569</v>
      </c>
      <c r="V1190" s="269">
        <f t="shared" si="250"/>
        <v>24431.998000323569</v>
      </c>
      <c r="W1190" s="269">
        <f t="shared" si="251"/>
        <v>24431.998000323569</v>
      </c>
      <c r="X1190" s="257">
        <f t="shared" si="252"/>
        <v>24431.998000323569</v>
      </c>
      <c r="Y1190" s="270">
        <f>IF(L1190="Complex",(INDEX('Escalators '!$M$176:$S$176,MATCH('Forecast capex'!J1190,'Escalators '!$M$178:$S$178,0))/12+1)^((K1190-J1190)*12)-1,0)</f>
        <v>0</v>
      </c>
      <c r="Z1190" s="257">
        <f t="shared" si="253"/>
        <v>0</v>
      </c>
      <c r="AA1190" s="257">
        <f t="shared" si="254"/>
        <v>0</v>
      </c>
      <c r="AB1190" s="269">
        <f t="shared" si="255"/>
        <v>0</v>
      </c>
      <c r="AC1190" s="269">
        <f t="shared" si="256"/>
        <v>0</v>
      </c>
      <c r="AD1190" s="271" t="str">
        <f>INDEX('Global inputs'!$C$134:$C$171,MATCH(F1190,'Global inputs'!$B$134:$B$171,0))</f>
        <v xml:space="preserve">System growth </v>
      </c>
      <c r="AE1190" s="272">
        <f>IF(OR(H1190='Operating leases'!$B$32,H1190='Operating leases'!$B$33),"",INDEX('Global inputs'!$C$186:$C$243,MATCH(E1190,'Global inputs'!$B$186:$B$243,0)))</f>
        <v>0.08</v>
      </c>
    </row>
    <row r="1191" spans="1:31" s="27" customFormat="1" x14ac:dyDescent="0.2">
      <c r="A1191" s="250"/>
      <c r="B1191" s="210" t="s">
        <v>746</v>
      </c>
      <c r="C1191" s="210" t="s">
        <v>287</v>
      </c>
      <c r="D1191" s="210" t="s">
        <v>715</v>
      </c>
      <c r="E1191" s="210" t="s">
        <v>154</v>
      </c>
      <c r="F1191" s="210" t="s">
        <v>86</v>
      </c>
      <c r="G1191" s="210" t="s">
        <v>716</v>
      </c>
      <c r="H1191" s="197">
        <v>0</v>
      </c>
      <c r="I1191" s="210" t="s">
        <v>229</v>
      </c>
      <c r="J1191" s="210">
        <v>2024</v>
      </c>
      <c r="K1191" s="210">
        <v>2024</v>
      </c>
      <c r="L1191" s="268" t="str">
        <f t="shared" si="244"/>
        <v>Simple</v>
      </c>
      <c r="M1191" s="197">
        <v>22938.104428090239</v>
      </c>
      <c r="N1191" s="197">
        <v>0</v>
      </c>
      <c r="O1191" s="257">
        <f>IF(ISNA(MATCH(H1191,'Operating leases'!$B$32:$B$43,0)),0,INDEX('Operating leases'!$M$32:$S$43,MATCH(H1191,'Operating leases'!$B$32:$B$43,0),MATCH(J1191,'Operating leases'!$M$11:$S$11,0)))</f>
        <v>0</v>
      </c>
      <c r="P1191" s="257">
        <f t="shared" si="245"/>
        <v>22938.104428090239</v>
      </c>
      <c r="Q1191" s="257">
        <f t="shared" si="246"/>
        <v>22938.104428090239</v>
      </c>
      <c r="R1191" s="258">
        <f>INDEX('Escalators '!$M$124:$S$129,MATCH(I1191,'Escalators '!$B$124:$B$129,0),MATCH(J1191,'Escalators '!$M$113:$S$113,0))</f>
        <v>1.0731681760713303</v>
      </c>
      <c r="S1191" s="257">
        <f t="shared" si="247"/>
        <v>0</v>
      </c>
      <c r="T1191" s="257">
        <f t="shared" si="248"/>
        <v>0</v>
      </c>
      <c r="U1191" s="269">
        <f t="shared" si="249"/>
        <v>24616.443691627308</v>
      </c>
      <c r="V1191" s="269">
        <f t="shared" si="250"/>
        <v>24616.443691627308</v>
      </c>
      <c r="W1191" s="269">
        <f t="shared" si="251"/>
        <v>24616.443691627308</v>
      </c>
      <c r="X1191" s="257">
        <f t="shared" si="252"/>
        <v>24616.443691627308</v>
      </c>
      <c r="Y1191" s="270">
        <f>IF(L1191="Complex",(INDEX('Escalators '!$M$176:$S$176,MATCH('Forecast capex'!J1191,'Escalators '!$M$178:$S$178,0))/12+1)^((K1191-J1191)*12)-1,0)</f>
        <v>0</v>
      </c>
      <c r="Z1191" s="257">
        <f t="shared" si="253"/>
        <v>0</v>
      </c>
      <c r="AA1191" s="257">
        <f t="shared" si="254"/>
        <v>0</v>
      </c>
      <c r="AB1191" s="269">
        <f t="shared" si="255"/>
        <v>0</v>
      </c>
      <c r="AC1191" s="269">
        <f t="shared" si="256"/>
        <v>0</v>
      </c>
      <c r="AD1191" s="271" t="str">
        <f>INDEX('Global inputs'!$C$134:$C$171,MATCH(F1191,'Global inputs'!$B$134:$B$171,0))</f>
        <v xml:space="preserve">System growth </v>
      </c>
      <c r="AE1191" s="272">
        <f>IF(OR(H1191='Operating leases'!$B$32,H1191='Operating leases'!$B$33),"",INDEX('Global inputs'!$C$186:$C$243,MATCH(E1191,'Global inputs'!$B$186:$B$243,0)))</f>
        <v>0.1</v>
      </c>
    </row>
    <row r="1192" spans="1:31" s="27" customFormat="1" x14ac:dyDescent="0.2">
      <c r="A1192" s="250"/>
      <c r="B1192" s="210" t="s">
        <v>746</v>
      </c>
      <c r="C1192" s="210" t="s">
        <v>287</v>
      </c>
      <c r="D1192" s="210" t="s">
        <v>715</v>
      </c>
      <c r="E1192" s="210" t="s">
        <v>154</v>
      </c>
      <c r="F1192" s="210" t="s">
        <v>86</v>
      </c>
      <c r="G1192" s="210" t="s">
        <v>716</v>
      </c>
      <c r="H1192" s="197">
        <v>0</v>
      </c>
      <c r="I1192" s="210" t="s">
        <v>221</v>
      </c>
      <c r="J1192" s="210">
        <v>2024</v>
      </c>
      <c r="K1192" s="210">
        <v>2024</v>
      </c>
      <c r="L1192" s="268" t="str">
        <f t="shared" si="244"/>
        <v>Simple</v>
      </c>
      <c r="M1192" s="197">
        <v>22938.104428090239</v>
      </c>
      <c r="N1192" s="197">
        <v>0</v>
      </c>
      <c r="O1192" s="257">
        <f>IF(ISNA(MATCH(H1192,'Operating leases'!$B$32:$B$43,0)),0,INDEX('Operating leases'!$M$32:$S$43,MATCH(H1192,'Operating leases'!$B$32:$B$43,0),MATCH(J1192,'Operating leases'!$M$11:$S$11,0)))</f>
        <v>0</v>
      </c>
      <c r="P1192" s="257">
        <f t="shared" si="245"/>
        <v>22938.104428090239</v>
      </c>
      <c r="Q1192" s="257">
        <f t="shared" si="246"/>
        <v>22938.104428090239</v>
      </c>
      <c r="R1192" s="258">
        <f>INDEX('Escalators '!$M$124:$S$129,MATCH(I1192,'Escalators '!$B$124:$B$129,0),MATCH(J1192,'Escalators '!$M$113:$S$113,0))</f>
        <v>1.06512715891222</v>
      </c>
      <c r="S1192" s="257">
        <f t="shared" si="247"/>
        <v>0</v>
      </c>
      <c r="T1192" s="257">
        <f t="shared" si="248"/>
        <v>0</v>
      </c>
      <c r="U1192" s="269">
        <f t="shared" si="249"/>
        <v>24431.998000323569</v>
      </c>
      <c r="V1192" s="269">
        <f t="shared" si="250"/>
        <v>24431.998000323569</v>
      </c>
      <c r="W1192" s="269">
        <f t="shared" si="251"/>
        <v>24431.998000323569</v>
      </c>
      <c r="X1192" s="257">
        <f t="shared" si="252"/>
        <v>24431.998000323569</v>
      </c>
      <c r="Y1192" s="270">
        <f>IF(L1192="Complex",(INDEX('Escalators '!$M$176:$S$176,MATCH('Forecast capex'!J1192,'Escalators '!$M$178:$S$178,0))/12+1)^((K1192-J1192)*12)-1,0)</f>
        <v>0</v>
      </c>
      <c r="Z1192" s="257">
        <f t="shared" si="253"/>
        <v>0</v>
      </c>
      <c r="AA1192" s="257">
        <f t="shared" si="254"/>
        <v>0</v>
      </c>
      <c r="AB1192" s="269">
        <f t="shared" si="255"/>
        <v>0</v>
      </c>
      <c r="AC1192" s="269">
        <f t="shared" si="256"/>
        <v>0</v>
      </c>
      <c r="AD1192" s="271" t="str">
        <f>INDEX('Global inputs'!$C$134:$C$171,MATCH(F1192,'Global inputs'!$B$134:$B$171,0))</f>
        <v xml:space="preserve">System growth </v>
      </c>
      <c r="AE1192" s="272">
        <f>IF(OR(H1192='Operating leases'!$B$32,H1192='Operating leases'!$B$33),"",INDEX('Global inputs'!$C$186:$C$243,MATCH(E1192,'Global inputs'!$B$186:$B$243,0)))</f>
        <v>0.1</v>
      </c>
    </row>
    <row r="1193" spans="1:31" s="27" customFormat="1" x14ac:dyDescent="0.2">
      <c r="A1193" s="250"/>
      <c r="B1193" s="210" t="s">
        <v>746</v>
      </c>
      <c r="C1193" s="210" t="s">
        <v>287</v>
      </c>
      <c r="D1193" s="210" t="s">
        <v>715</v>
      </c>
      <c r="E1193" s="210" t="s">
        <v>150</v>
      </c>
      <c r="F1193" s="210" t="s">
        <v>86</v>
      </c>
      <c r="G1193" s="210" t="s">
        <v>717</v>
      </c>
      <c r="H1193" s="197">
        <v>0</v>
      </c>
      <c r="I1193" s="210" t="s">
        <v>229</v>
      </c>
      <c r="J1193" s="210">
        <v>2024</v>
      </c>
      <c r="K1193" s="210">
        <v>2024</v>
      </c>
      <c r="L1193" s="268" t="str">
        <f t="shared" si="244"/>
        <v>Simple</v>
      </c>
      <c r="M1193" s="197">
        <v>34407.156642135356</v>
      </c>
      <c r="N1193" s="197">
        <v>0</v>
      </c>
      <c r="O1193" s="257">
        <f>IF(ISNA(MATCH(H1193,'Operating leases'!$B$32:$B$43,0)),0,INDEX('Operating leases'!$M$32:$S$43,MATCH(H1193,'Operating leases'!$B$32:$B$43,0),MATCH(J1193,'Operating leases'!$M$11:$S$11,0)))</f>
        <v>0</v>
      </c>
      <c r="P1193" s="257">
        <f t="shared" si="245"/>
        <v>34407.156642135356</v>
      </c>
      <c r="Q1193" s="257">
        <f t="shared" si="246"/>
        <v>34407.156642135356</v>
      </c>
      <c r="R1193" s="258">
        <f>INDEX('Escalators '!$M$124:$S$129,MATCH(I1193,'Escalators '!$B$124:$B$129,0),MATCH(J1193,'Escalators '!$M$113:$S$113,0))</f>
        <v>1.0731681760713303</v>
      </c>
      <c r="S1193" s="257">
        <f t="shared" si="247"/>
        <v>0</v>
      </c>
      <c r="T1193" s="257">
        <f t="shared" si="248"/>
        <v>0</v>
      </c>
      <c r="U1193" s="269">
        <f t="shared" si="249"/>
        <v>36924.66553744096</v>
      </c>
      <c r="V1193" s="269">
        <f t="shared" si="250"/>
        <v>36924.66553744096</v>
      </c>
      <c r="W1193" s="269">
        <f t="shared" si="251"/>
        <v>36924.66553744096</v>
      </c>
      <c r="X1193" s="257">
        <f t="shared" si="252"/>
        <v>36924.66553744096</v>
      </c>
      <c r="Y1193" s="270">
        <f>IF(L1193="Complex",(INDEX('Escalators '!$M$176:$S$176,MATCH('Forecast capex'!J1193,'Escalators '!$M$178:$S$178,0))/12+1)^((K1193-J1193)*12)-1,0)</f>
        <v>0</v>
      </c>
      <c r="Z1193" s="257">
        <f t="shared" si="253"/>
        <v>0</v>
      </c>
      <c r="AA1193" s="257">
        <f t="shared" si="254"/>
        <v>0</v>
      </c>
      <c r="AB1193" s="269">
        <f t="shared" si="255"/>
        <v>0</v>
      </c>
      <c r="AC1193" s="269">
        <f t="shared" si="256"/>
        <v>0</v>
      </c>
      <c r="AD1193" s="271" t="str">
        <f>INDEX('Global inputs'!$C$134:$C$171,MATCH(F1193,'Global inputs'!$B$134:$B$171,0))</f>
        <v xml:space="preserve">System growth </v>
      </c>
      <c r="AE1193" s="272">
        <f>IF(OR(H1193='Operating leases'!$B$32,H1193='Operating leases'!$B$33),"",INDEX('Global inputs'!$C$186:$C$243,MATCH(E1193,'Global inputs'!$B$186:$B$243,0)))</f>
        <v>0.08</v>
      </c>
    </row>
    <row r="1194" spans="1:31" s="27" customFormat="1" x14ac:dyDescent="0.2">
      <c r="A1194" s="250"/>
      <c r="B1194" s="210" t="s">
        <v>746</v>
      </c>
      <c r="C1194" s="210" t="s">
        <v>287</v>
      </c>
      <c r="D1194" s="210" t="s">
        <v>715</v>
      </c>
      <c r="E1194" s="210" t="s">
        <v>150</v>
      </c>
      <c r="F1194" s="210" t="s">
        <v>86</v>
      </c>
      <c r="G1194" s="210" t="s">
        <v>717</v>
      </c>
      <c r="H1194" s="197">
        <v>0</v>
      </c>
      <c r="I1194" s="210" t="s">
        <v>221</v>
      </c>
      <c r="J1194" s="210">
        <v>2024</v>
      </c>
      <c r="K1194" s="210">
        <v>2024</v>
      </c>
      <c r="L1194" s="268" t="str">
        <f t="shared" si="244"/>
        <v>Simple</v>
      </c>
      <c r="M1194" s="197">
        <v>34407.156642135356</v>
      </c>
      <c r="N1194" s="197">
        <v>0</v>
      </c>
      <c r="O1194" s="257">
        <f>IF(ISNA(MATCH(H1194,'Operating leases'!$B$32:$B$43,0)),0,INDEX('Operating leases'!$M$32:$S$43,MATCH(H1194,'Operating leases'!$B$32:$B$43,0),MATCH(J1194,'Operating leases'!$M$11:$S$11,0)))</f>
        <v>0</v>
      </c>
      <c r="P1194" s="257">
        <f t="shared" si="245"/>
        <v>34407.156642135356</v>
      </c>
      <c r="Q1194" s="257">
        <f t="shared" si="246"/>
        <v>34407.156642135356</v>
      </c>
      <c r="R1194" s="258">
        <f>INDEX('Escalators '!$M$124:$S$129,MATCH(I1194,'Escalators '!$B$124:$B$129,0),MATCH(J1194,'Escalators '!$M$113:$S$113,0))</f>
        <v>1.06512715891222</v>
      </c>
      <c r="S1194" s="257">
        <f t="shared" si="247"/>
        <v>0</v>
      </c>
      <c r="T1194" s="257">
        <f t="shared" si="248"/>
        <v>0</v>
      </c>
      <c r="U1194" s="269">
        <f t="shared" si="249"/>
        <v>36647.997000485353</v>
      </c>
      <c r="V1194" s="269">
        <f t="shared" si="250"/>
        <v>36647.997000485353</v>
      </c>
      <c r="W1194" s="269">
        <f t="shared" si="251"/>
        <v>36647.997000485353</v>
      </c>
      <c r="X1194" s="257">
        <f t="shared" si="252"/>
        <v>36647.997000485353</v>
      </c>
      <c r="Y1194" s="270">
        <f>IF(L1194="Complex",(INDEX('Escalators '!$M$176:$S$176,MATCH('Forecast capex'!J1194,'Escalators '!$M$178:$S$178,0))/12+1)^((K1194-J1194)*12)-1,0)</f>
        <v>0</v>
      </c>
      <c r="Z1194" s="257">
        <f t="shared" si="253"/>
        <v>0</v>
      </c>
      <c r="AA1194" s="257">
        <f t="shared" si="254"/>
        <v>0</v>
      </c>
      <c r="AB1194" s="269">
        <f t="shared" si="255"/>
        <v>0</v>
      </c>
      <c r="AC1194" s="269">
        <f t="shared" si="256"/>
        <v>0</v>
      </c>
      <c r="AD1194" s="271" t="str">
        <f>INDEX('Global inputs'!$C$134:$C$171,MATCH(F1194,'Global inputs'!$B$134:$B$171,0))</f>
        <v xml:space="preserve">System growth </v>
      </c>
      <c r="AE1194" s="272">
        <f>IF(OR(H1194='Operating leases'!$B$32,H1194='Operating leases'!$B$33),"",INDEX('Global inputs'!$C$186:$C$243,MATCH(E1194,'Global inputs'!$B$186:$B$243,0)))</f>
        <v>0.08</v>
      </c>
    </row>
    <row r="1195" spans="1:31" s="27" customFormat="1" x14ac:dyDescent="0.2">
      <c r="A1195" s="250"/>
      <c r="B1195" s="210" t="s">
        <v>746</v>
      </c>
      <c r="C1195" s="210" t="s">
        <v>287</v>
      </c>
      <c r="D1195" s="210" t="s">
        <v>715</v>
      </c>
      <c r="E1195" s="210" t="s">
        <v>151</v>
      </c>
      <c r="F1195" s="210" t="s">
        <v>86</v>
      </c>
      <c r="G1195" s="210" t="s">
        <v>717</v>
      </c>
      <c r="H1195" s="197">
        <v>0</v>
      </c>
      <c r="I1195" s="210" t="s">
        <v>229</v>
      </c>
      <c r="J1195" s="210">
        <v>2024</v>
      </c>
      <c r="K1195" s="210">
        <v>2024</v>
      </c>
      <c r="L1195" s="268" t="str">
        <f t="shared" si="244"/>
        <v>Simple</v>
      </c>
      <c r="M1195" s="197">
        <v>34407.156642135356</v>
      </c>
      <c r="N1195" s="197">
        <v>0</v>
      </c>
      <c r="O1195" s="257">
        <f>IF(ISNA(MATCH(H1195,'Operating leases'!$B$32:$B$43,0)),0,INDEX('Operating leases'!$M$32:$S$43,MATCH(H1195,'Operating leases'!$B$32:$B$43,0),MATCH(J1195,'Operating leases'!$M$11:$S$11,0)))</f>
        <v>0</v>
      </c>
      <c r="P1195" s="257">
        <f t="shared" si="245"/>
        <v>34407.156642135356</v>
      </c>
      <c r="Q1195" s="257">
        <f t="shared" si="246"/>
        <v>34407.156642135356</v>
      </c>
      <c r="R1195" s="258">
        <f>INDEX('Escalators '!$M$124:$S$129,MATCH(I1195,'Escalators '!$B$124:$B$129,0),MATCH(J1195,'Escalators '!$M$113:$S$113,0))</f>
        <v>1.0731681760713303</v>
      </c>
      <c r="S1195" s="257">
        <f t="shared" si="247"/>
        <v>0</v>
      </c>
      <c r="T1195" s="257">
        <f t="shared" si="248"/>
        <v>0</v>
      </c>
      <c r="U1195" s="269">
        <f t="shared" si="249"/>
        <v>36924.66553744096</v>
      </c>
      <c r="V1195" s="269">
        <f t="shared" si="250"/>
        <v>36924.66553744096</v>
      </c>
      <c r="W1195" s="269">
        <f t="shared" si="251"/>
        <v>36924.66553744096</v>
      </c>
      <c r="X1195" s="257">
        <f t="shared" si="252"/>
        <v>36924.66553744096</v>
      </c>
      <c r="Y1195" s="270">
        <f>IF(L1195="Complex",(INDEX('Escalators '!$M$176:$S$176,MATCH('Forecast capex'!J1195,'Escalators '!$M$178:$S$178,0))/12+1)^((K1195-J1195)*12)-1,0)</f>
        <v>0</v>
      </c>
      <c r="Z1195" s="257">
        <f t="shared" si="253"/>
        <v>0</v>
      </c>
      <c r="AA1195" s="257">
        <f t="shared" si="254"/>
        <v>0</v>
      </c>
      <c r="AB1195" s="269">
        <f t="shared" si="255"/>
        <v>0</v>
      </c>
      <c r="AC1195" s="269">
        <f t="shared" si="256"/>
        <v>0</v>
      </c>
      <c r="AD1195" s="271" t="str">
        <f>INDEX('Global inputs'!$C$134:$C$171,MATCH(F1195,'Global inputs'!$B$134:$B$171,0))</f>
        <v xml:space="preserve">System growth </v>
      </c>
      <c r="AE1195" s="272">
        <f>IF(OR(H1195='Operating leases'!$B$32,H1195='Operating leases'!$B$33),"",INDEX('Global inputs'!$C$186:$C$243,MATCH(E1195,'Global inputs'!$B$186:$B$243,0)))</f>
        <v>0.1</v>
      </c>
    </row>
    <row r="1196" spans="1:31" s="27" customFormat="1" x14ac:dyDescent="0.2">
      <c r="A1196" s="250"/>
      <c r="B1196" s="210" t="s">
        <v>746</v>
      </c>
      <c r="C1196" s="210" t="s">
        <v>287</v>
      </c>
      <c r="D1196" s="210" t="s">
        <v>715</v>
      </c>
      <c r="E1196" s="210" t="s">
        <v>151</v>
      </c>
      <c r="F1196" s="210" t="s">
        <v>86</v>
      </c>
      <c r="G1196" s="210" t="s">
        <v>717</v>
      </c>
      <c r="H1196" s="197">
        <v>0</v>
      </c>
      <c r="I1196" s="210" t="s">
        <v>221</v>
      </c>
      <c r="J1196" s="210">
        <v>2024</v>
      </c>
      <c r="K1196" s="210">
        <v>2024</v>
      </c>
      <c r="L1196" s="268" t="str">
        <f t="shared" si="244"/>
        <v>Simple</v>
      </c>
      <c r="M1196" s="197">
        <v>34407.156642135356</v>
      </c>
      <c r="N1196" s="197">
        <v>0</v>
      </c>
      <c r="O1196" s="257">
        <f>IF(ISNA(MATCH(H1196,'Operating leases'!$B$32:$B$43,0)),0,INDEX('Operating leases'!$M$32:$S$43,MATCH(H1196,'Operating leases'!$B$32:$B$43,0),MATCH(J1196,'Operating leases'!$M$11:$S$11,0)))</f>
        <v>0</v>
      </c>
      <c r="P1196" s="257">
        <f t="shared" si="245"/>
        <v>34407.156642135356</v>
      </c>
      <c r="Q1196" s="257">
        <f t="shared" si="246"/>
        <v>34407.156642135356</v>
      </c>
      <c r="R1196" s="258">
        <f>INDEX('Escalators '!$M$124:$S$129,MATCH(I1196,'Escalators '!$B$124:$B$129,0),MATCH(J1196,'Escalators '!$M$113:$S$113,0))</f>
        <v>1.06512715891222</v>
      </c>
      <c r="S1196" s="257">
        <f t="shared" si="247"/>
        <v>0</v>
      </c>
      <c r="T1196" s="257">
        <f t="shared" si="248"/>
        <v>0</v>
      </c>
      <c r="U1196" s="269">
        <f t="shared" si="249"/>
        <v>36647.997000485353</v>
      </c>
      <c r="V1196" s="269">
        <f t="shared" si="250"/>
        <v>36647.997000485353</v>
      </c>
      <c r="W1196" s="269">
        <f t="shared" si="251"/>
        <v>36647.997000485353</v>
      </c>
      <c r="X1196" s="257">
        <f t="shared" si="252"/>
        <v>36647.997000485353</v>
      </c>
      <c r="Y1196" s="270">
        <f>IF(L1196="Complex",(INDEX('Escalators '!$M$176:$S$176,MATCH('Forecast capex'!J1196,'Escalators '!$M$178:$S$178,0))/12+1)^((K1196-J1196)*12)-1,0)</f>
        <v>0</v>
      </c>
      <c r="Z1196" s="257">
        <f t="shared" si="253"/>
        <v>0</v>
      </c>
      <c r="AA1196" s="257">
        <f t="shared" si="254"/>
        <v>0</v>
      </c>
      <c r="AB1196" s="269">
        <f t="shared" si="255"/>
        <v>0</v>
      </c>
      <c r="AC1196" s="269">
        <f t="shared" si="256"/>
        <v>0</v>
      </c>
      <c r="AD1196" s="271" t="str">
        <f>INDEX('Global inputs'!$C$134:$C$171,MATCH(F1196,'Global inputs'!$B$134:$B$171,0))</f>
        <v xml:space="preserve">System growth </v>
      </c>
      <c r="AE1196" s="272">
        <f>IF(OR(H1196='Operating leases'!$B$32,H1196='Operating leases'!$B$33),"",INDEX('Global inputs'!$C$186:$C$243,MATCH(E1196,'Global inputs'!$B$186:$B$243,0)))</f>
        <v>0.1</v>
      </c>
    </row>
    <row r="1197" spans="1:31" s="27" customFormat="1" x14ac:dyDescent="0.2">
      <c r="A1197" s="250"/>
      <c r="B1197" s="210" t="s">
        <v>746</v>
      </c>
      <c r="C1197" s="210" t="s">
        <v>287</v>
      </c>
      <c r="D1197" s="210" t="s">
        <v>715</v>
      </c>
      <c r="E1197" s="210" t="s">
        <v>153</v>
      </c>
      <c r="F1197" s="210" t="s">
        <v>86</v>
      </c>
      <c r="G1197" s="210" t="s">
        <v>717</v>
      </c>
      <c r="H1197" s="197">
        <v>0</v>
      </c>
      <c r="I1197" s="210" t="s">
        <v>229</v>
      </c>
      <c r="J1197" s="210">
        <v>2024</v>
      </c>
      <c r="K1197" s="210">
        <v>2024</v>
      </c>
      <c r="L1197" s="268" t="str">
        <f t="shared" si="244"/>
        <v>Simple</v>
      </c>
      <c r="M1197" s="197">
        <v>17203.578321067678</v>
      </c>
      <c r="N1197" s="197">
        <v>0</v>
      </c>
      <c r="O1197" s="257">
        <f>IF(ISNA(MATCH(H1197,'Operating leases'!$B$32:$B$43,0)),0,INDEX('Operating leases'!$M$32:$S$43,MATCH(H1197,'Operating leases'!$B$32:$B$43,0),MATCH(J1197,'Operating leases'!$M$11:$S$11,0)))</f>
        <v>0</v>
      </c>
      <c r="P1197" s="257">
        <f t="shared" si="245"/>
        <v>17203.578321067678</v>
      </c>
      <c r="Q1197" s="257">
        <f t="shared" si="246"/>
        <v>17203.578321067678</v>
      </c>
      <c r="R1197" s="258">
        <f>INDEX('Escalators '!$M$124:$S$129,MATCH(I1197,'Escalators '!$B$124:$B$129,0),MATCH(J1197,'Escalators '!$M$113:$S$113,0))</f>
        <v>1.0731681760713303</v>
      </c>
      <c r="S1197" s="257">
        <f t="shared" si="247"/>
        <v>0</v>
      </c>
      <c r="T1197" s="257">
        <f t="shared" si="248"/>
        <v>0</v>
      </c>
      <c r="U1197" s="269">
        <f t="shared" si="249"/>
        <v>18462.33276872048</v>
      </c>
      <c r="V1197" s="269">
        <f t="shared" si="250"/>
        <v>18462.33276872048</v>
      </c>
      <c r="W1197" s="269">
        <f t="shared" si="251"/>
        <v>18462.33276872048</v>
      </c>
      <c r="X1197" s="257">
        <f t="shared" si="252"/>
        <v>18462.33276872048</v>
      </c>
      <c r="Y1197" s="270">
        <f>IF(L1197="Complex",(INDEX('Escalators '!$M$176:$S$176,MATCH('Forecast capex'!J1197,'Escalators '!$M$178:$S$178,0))/12+1)^((K1197-J1197)*12)-1,0)</f>
        <v>0</v>
      </c>
      <c r="Z1197" s="257">
        <f t="shared" si="253"/>
        <v>0</v>
      </c>
      <c r="AA1197" s="257">
        <f t="shared" si="254"/>
        <v>0</v>
      </c>
      <c r="AB1197" s="269">
        <f t="shared" si="255"/>
        <v>0</v>
      </c>
      <c r="AC1197" s="269">
        <f t="shared" si="256"/>
        <v>0</v>
      </c>
      <c r="AD1197" s="271" t="str">
        <f>INDEX('Global inputs'!$C$134:$C$171,MATCH(F1197,'Global inputs'!$B$134:$B$171,0))</f>
        <v xml:space="preserve">System growth </v>
      </c>
      <c r="AE1197" s="272">
        <f>IF(OR(H1197='Operating leases'!$B$32,H1197='Operating leases'!$B$33),"",INDEX('Global inputs'!$C$186:$C$243,MATCH(E1197,'Global inputs'!$B$186:$B$243,0)))</f>
        <v>0.08</v>
      </c>
    </row>
    <row r="1198" spans="1:31" s="27" customFormat="1" x14ac:dyDescent="0.2">
      <c r="A1198" s="250"/>
      <c r="B1198" s="210" t="s">
        <v>746</v>
      </c>
      <c r="C1198" s="210" t="s">
        <v>287</v>
      </c>
      <c r="D1198" s="210" t="s">
        <v>715</v>
      </c>
      <c r="E1198" s="210" t="s">
        <v>153</v>
      </c>
      <c r="F1198" s="210" t="s">
        <v>86</v>
      </c>
      <c r="G1198" s="210" t="s">
        <v>717</v>
      </c>
      <c r="H1198" s="197">
        <v>0</v>
      </c>
      <c r="I1198" s="210" t="s">
        <v>221</v>
      </c>
      <c r="J1198" s="210">
        <v>2024</v>
      </c>
      <c r="K1198" s="210">
        <v>2024</v>
      </c>
      <c r="L1198" s="268" t="str">
        <f t="shared" si="244"/>
        <v>Simple</v>
      </c>
      <c r="M1198" s="197">
        <v>17203.578321067678</v>
      </c>
      <c r="N1198" s="197">
        <v>0</v>
      </c>
      <c r="O1198" s="257">
        <f>IF(ISNA(MATCH(H1198,'Operating leases'!$B$32:$B$43,0)),0,INDEX('Operating leases'!$M$32:$S$43,MATCH(H1198,'Operating leases'!$B$32:$B$43,0),MATCH(J1198,'Operating leases'!$M$11:$S$11,0)))</f>
        <v>0</v>
      </c>
      <c r="P1198" s="257">
        <f t="shared" si="245"/>
        <v>17203.578321067678</v>
      </c>
      <c r="Q1198" s="257">
        <f t="shared" si="246"/>
        <v>17203.578321067678</v>
      </c>
      <c r="R1198" s="258">
        <f>INDEX('Escalators '!$M$124:$S$129,MATCH(I1198,'Escalators '!$B$124:$B$129,0),MATCH(J1198,'Escalators '!$M$113:$S$113,0))</f>
        <v>1.06512715891222</v>
      </c>
      <c r="S1198" s="257">
        <f t="shared" si="247"/>
        <v>0</v>
      </c>
      <c r="T1198" s="257">
        <f t="shared" si="248"/>
        <v>0</v>
      </c>
      <c r="U1198" s="269">
        <f t="shared" si="249"/>
        <v>18323.998500242677</v>
      </c>
      <c r="V1198" s="269">
        <f t="shared" si="250"/>
        <v>18323.998500242677</v>
      </c>
      <c r="W1198" s="269">
        <f t="shared" si="251"/>
        <v>18323.998500242677</v>
      </c>
      <c r="X1198" s="257">
        <f t="shared" si="252"/>
        <v>18323.998500242677</v>
      </c>
      <c r="Y1198" s="270">
        <f>IF(L1198="Complex",(INDEX('Escalators '!$M$176:$S$176,MATCH('Forecast capex'!J1198,'Escalators '!$M$178:$S$178,0))/12+1)^((K1198-J1198)*12)-1,0)</f>
        <v>0</v>
      </c>
      <c r="Z1198" s="257">
        <f t="shared" si="253"/>
        <v>0</v>
      </c>
      <c r="AA1198" s="257">
        <f t="shared" si="254"/>
        <v>0</v>
      </c>
      <c r="AB1198" s="269">
        <f t="shared" si="255"/>
        <v>0</v>
      </c>
      <c r="AC1198" s="269">
        <f t="shared" si="256"/>
        <v>0</v>
      </c>
      <c r="AD1198" s="271" t="str">
        <f>INDEX('Global inputs'!$C$134:$C$171,MATCH(F1198,'Global inputs'!$B$134:$B$171,0))</f>
        <v xml:space="preserve">System growth </v>
      </c>
      <c r="AE1198" s="272">
        <f>IF(OR(H1198='Operating leases'!$B$32,H1198='Operating leases'!$B$33),"",INDEX('Global inputs'!$C$186:$C$243,MATCH(E1198,'Global inputs'!$B$186:$B$243,0)))</f>
        <v>0.08</v>
      </c>
    </row>
    <row r="1199" spans="1:31" s="27" customFormat="1" x14ac:dyDescent="0.2">
      <c r="A1199" s="250"/>
      <c r="B1199" s="210" t="s">
        <v>746</v>
      </c>
      <c r="C1199" s="210" t="s">
        <v>287</v>
      </c>
      <c r="D1199" s="210" t="s">
        <v>715</v>
      </c>
      <c r="E1199" s="210" t="s">
        <v>154</v>
      </c>
      <c r="F1199" s="210" t="s">
        <v>86</v>
      </c>
      <c r="G1199" s="210" t="s">
        <v>717</v>
      </c>
      <c r="H1199" s="197">
        <v>0</v>
      </c>
      <c r="I1199" s="210" t="s">
        <v>229</v>
      </c>
      <c r="J1199" s="210">
        <v>2024</v>
      </c>
      <c r="K1199" s="210">
        <v>2024</v>
      </c>
      <c r="L1199" s="268" t="str">
        <f t="shared" si="244"/>
        <v>Simple</v>
      </c>
      <c r="M1199" s="197">
        <v>17203.578321067678</v>
      </c>
      <c r="N1199" s="197">
        <v>0</v>
      </c>
      <c r="O1199" s="257">
        <f>IF(ISNA(MATCH(H1199,'Operating leases'!$B$32:$B$43,0)),0,INDEX('Operating leases'!$M$32:$S$43,MATCH(H1199,'Operating leases'!$B$32:$B$43,0),MATCH(J1199,'Operating leases'!$M$11:$S$11,0)))</f>
        <v>0</v>
      </c>
      <c r="P1199" s="257">
        <f t="shared" si="245"/>
        <v>17203.578321067678</v>
      </c>
      <c r="Q1199" s="257">
        <f t="shared" si="246"/>
        <v>17203.578321067678</v>
      </c>
      <c r="R1199" s="258">
        <f>INDEX('Escalators '!$M$124:$S$129,MATCH(I1199,'Escalators '!$B$124:$B$129,0),MATCH(J1199,'Escalators '!$M$113:$S$113,0))</f>
        <v>1.0731681760713303</v>
      </c>
      <c r="S1199" s="257">
        <f t="shared" si="247"/>
        <v>0</v>
      </c>
      <c r="T1199" s="257">
        <f t="shared" si="248"/>
        <v>0</v>
      </c>
      <c r="U1199" s="269">
        <f t="shared" si="249"/>
        <v>18462.33276872048</v>
      </c>
      <c r="V1199" s="269">
        <f t="shared" si="250"/>
        <v>18462.33276872048</v>
      </c>
      <c r="W1199" s="269">
        <f t="shared" si="251"/>
        <v>18462.33276872048</v>
      </c>
      <c r="X1199" s="257">
        <f t="shared" si="252"/>
        <v>18462.33276872048</v>
      </c>
      <c r="Y1199" s="270">
        <f>IF(L1199="Complex",(INDEX('Escalators '!$M$176:$S$176,MATCH('Forecast capex'!J1199,'Escalators '!$M$178:$S$178,0))/12+1)^((K1199-J1199)*12)-1,0)</f>
        <v>0</v>
      </c>
      <c r="Z1199" s="257">
        <f t="shared" si="253"/>
        <v>0</v>
      </c>
      <c r="AA1199" s="257">
        <f t="shared" si="254"/>
        <v>0</v>
      </c>
      <c r="AB1199" s="269">
        <f t="shared" si="255"/>
        <v>0</v>
      </c>
      <c r="AC1199" s="269">
        <f t="shared" si="256"/>
        <v>0</v>
      </c>
      <c r="AD1199" s="271" t="str">
        <f>INDEX('Global inputs'!$C$134:$C$171,MATCH(F1199,'Global inputs'!$B$134:$B$171,0))</f>
        <v xml:space="preserve">System growth </v>
      </c>
      <c r="AE1199" s="272">
        <f>IF(OR(H1199='Operating leases'!$B$32,H1199='Operating leases'!$B$33),"",INDEX('Global inputs'!$C$186:$C$243,MATCH(E1199,'Global inputs'!$B$186:$B$243,0)))</f>
        <v>0.1</v>
      </c>
    </row>
    <row r="1200" spans="1:31" s="27" customFormat="1" x14ac:dyDescent="0.2">
      <c r="A1200" s="250"/>
      <c r="B1200" s="210" t="s">
        <v>746</v>
      </c>
      <c r="C1200" s="210" t="s">
        <v>287</v>
      </c>
      <c r="D1200" s="210" t="s">
        <v>715</v>
      </c>
      <c r="E1200" s="210" t="s">
        <v>154</v>
      </c>
      <c r="F1200" s="210" t="s">
        <v>86</v>
      </c>
      <c r="G1200" s="210" t="s">
        <v>717</v>
      </c>
      <c r="H1200" s="197">
        <v>0</v>
      </c>
      <c r="I1200" s="210" t="s">
        <v>221</v>
      </c>
      <c r="J1200" s="210">
        <v>2024</v>
      </c>
      <c r="K1200" s="210">
        <v>2024</v>
      </c>
      <c r="L1200" s="268" t="str">
        <f t="shared" si="244"/>
        <v>Simple</v>
      </c>
      <c r="M1200" s="197">
        <v>17203.578321067678</v>
      </c>
      <c r="N1200" s="197">
        <v>0</v>
      </c>
      <c r="O1200" s="257">
        <f>IF(ISNA(MATCH(H1200,'Operating leases'!$B$32:$B$43,0)),0,INDEX('Operating leases'!$M$32:$S$43,MATCH(H1200,'Operating leases'!$B$32:$B$43,0),MATCH(J1200,'Operating leases'!$M$11:$S$11,0)))</f>
        <v>0</v>
      </c>
      <c r="P1200" s="257">
        <f t="shared" si="245"/>
        <v>17203.578321067678</v>
      </c>
      <c r="Q1200" s="257">
        <f t="shared" si="246"/>
        <v>17203.578321067678</v>
      </c>
      <c r="R1200" s="258">
        <f>INDEX('Escalators '!$M$124:$S$129,MATCH(I1200,'Escalators '!$B$124:$B$129,0),MATCH(J1200,'Escalators '!$M$113:$S$113,0))</f>
        <v>1.06512715891222</v>
      </c>
      <c r="S1200" s="257">
        <f t="shared" si="247"/>
        <v>0</v>
      </c>
      <c r="T1200" s="257">
        <f t="shared" si="248"/>
        <v>0</v>
      </c>
      <c r="U1200" s="269">
        <f t="shared" si="249"/>
        <v>18323.998500242677</v>
      </c>
      <c r="V1200" s="269">
        <f t="shared" si="250"/>
        <v>18323.998500242677</v>
      </c>
      <c r="W1200" s="269">
        <f t="shared" si="251"/>
        <v>18323.998500242677</v>
      </c>
      <c r="X1200" s="257">
        <f t="shared" si="252"/>
        <v>18323.998500242677</v>
      </c>
      <c r="Y1200" s="270">
        <f>IF(L1200="Complex",(INDEX('Escalators '!$M$176:$S$176,MATCH('Forecast capex'!J1200,'Escalators '!$M$178:$S$178,0))/12+1)^((K1200-J1200)*12)-1,0)</f>
        <v>0</v>
      </c>
      <c r="Z1200" s="257">
        <f t="shared" si="253"/>
        <v>0</v>
      </c>
      <c r="AA1200" s="257">
        <f t="shared" si="254"/>
        <v>0</v>
      </c>
      <c r="AB1200" s="269">
        <f t="shared" si="255"/>
        <v>0</v>
      </c>
      <c r="AC1200" s="269">
        <f t="shared" si="256"/>
        <v>0</v>
      </c>
      <c r="AD1200" s="271" t="str">
        <f>INDEX('Global inputs'!$C$134:$C$171,MATCH(F1200,'Global inputs'!$B$134:$B$171,0))</f>
        <v xml:space="preserve">System growth </v>
      </c>
      <c r="AE1200" s="272">
        <f>IF(OR(H1200='Operating leases'!$B$32,H1200='Operating leases'!$B$33),"",INDEX('Global inputs'!$C$186:$C$243,MATCH(E1200,'Global inputs'!$B$186:$B$243,0)))</f>
        <v>0.1</v>
      </c>
    </row>
    <row r="1201" spans="1:31" s="27" customFormat="1" x14ac:dyDescent="0.2">
      <c r="A1201" s="250"/>
      <c r="B1201" s="210" t="s">
        <v>746</v>
      </c>
      <c r="C1201" s="210" t="s">
        <v>290</v>
      </c>
      <c r="D1201" s="210" t="s">
        <v>718</v>
      </c>
      <c r="E1201" s="210" t="s">
        <v>169</v>
      </c>
      <c r="F1201" s="210" t="s">
        <v>86</v>
      </c>
      <c r="G1201" s="210" t="s">
        <v>720</v>
      </c>
      <c r="H1201" s="197">
        <v>0</v>
      </c>
      <c r="I1201" s="210" t="s">
        <v>229</v>
      </c>
      <c r="J1201" s="210">
        <v>2024</v>
      </c>
      <c r="K1201" s="210">
        <v>2024</v>
      </c>
      <c r="L1201" s="268" t="str">
        <f t="shared" si="244"/>
        <v>Simple</v>
      </c>
      <c r="M1201" s="197">
        <v>55051.450627416561</v>
      </c>
      <c r="N1201" s="197">
        <v>0</v>
      </c>
      <c r="O1201" s="257">
        <f>IF(ISNA(MATCH(H1201,'Operating leases'!$B$32:$B$43,0)),0,INDEX('Operating leases'!$M$32:$S$43,MATCH(H1201,'Operating leases'!$B$32:$B$43,0),MATCH(J1201,'Operating leases'!$M$11:$S$11,0)))</f>
        <v>0</v>
      </c>
      <c r="P1201" s="257">
        <f t="shared" si="245"/>
        <v>55051.450627416561</v>
      </c>
      <c r="Q1201" s="257">
        <f t="shared" si="246"/>
        <v>55051.450627416561</v>
      </c>
      <c r="R1201" s="258">
        <f>INDEX('Escalators '!$M$124:$S$129,MATCH(I1201,'Escalators '!$B$124:$B$129,0),MATCH(J1201,'Escalators '!$M$113:$S$113,0))</f>
        <v>1.0731681760713303</v>
      </c>
      <c r="S1201" s="257">
        <f t="shared" si="247"/>
        <v>0</v>
      </c>
      <c r="T1201" s="257">
        <f t="shared" si="248"/>
        <v>0</v>
      </c>
      <c r="U1201" s="269">
        <f t="shared" si="249"/>
        <v>59079.464859905522</v>
      </c>
      <c r="V1201" s="269">
        <f t="shared" si="250"/>
        <v>59079.464859905522</v>
      </c>
      <c r="W1201" s="269">
        <f t="shared" si="251"/>
        <v>59079.464859905522</v>
      </c>
      <c r="X1201" s="257">
        <f t="shared" si="252"/>
        <v>59079.464859905522</v>
      </c>
      <c r="Y1201" s="270">
        <f>IF(L1201="Complex",(INDEX('Escalators '!$M$176:$S$176,MATCH('Forecast capex'!J1201,'Escalators '!$M$178:$S$178,0))/12+1)^((K1201-J1201)*12)-1,0)</f>
        <v>0</v>
      </c>
      <c r="Z1201" s="257">
        <f t="shared" si="253"/>
        <v>0</v>
      </c>
      <c r="AA1201" s="257">
        <f t="shared" si="254"/>
        <v>0</v>
      </c>
      <c r="AB1201" s="269">
        <f t="shared" si="255"/>
        <v>0</v>
      </c>
      <c r="AC1201" s="269">
        <f t="shared" si="256"/>
        <v>0</v>
      </c>
      <c r="AD1201" s="271" t="str">
        <f>INDEX('Global inputs'!$C$134:$C$171,MATCH(F1201,'Global inputs'!$B$134:$B$171,0))</f>
        <v xml:space="preserve">System growth </v>
      </c>
      <c r="AE1201" s="272">
        <f>IF(OR(H1201='Operating leases'!$B$32,H1201='Operating leases'!$B$33),"",INDEX('Global inputs'!$C$186:$C$243,MATCH(E1201,'Global inputs'!$B$186:$B$243,0)))</f>
        <v>0.08</v>
      </c>
    </row>
    <row r="1202" spans="1:31" s="27" customFormat="1" x14ac:dyDescent="0.2">
      <c r="A1202" s="250"/>
      <c r="B1202" s="210" t="s">
        <v>746</v>
      </c>
      <c r="C1202" s="210" t="s">
        <v>290</v>
      </c>
      <c r="D1202" s="210" t="s">
        <v>718</v>
      </c>
      <c r="E1202" s="210" t="s">
        <v>169</v>
      </c>
      <c r="F1202" s="210" t="s">
        <v>86</v>
      </c>
      <c r="G1202" s="210" t="s">
        <v>720</v>
      </c>
      <c r="H1202" s="197">
        <v>0</v>
      </c>
      <c r="I1202" s="210" t="s">
        <v>221</v>
      </c>
      <c r="J1202" s="210">
        <v>2024</v>
      </c>
      <c r="K1202" s="210">
        <v>2024</v>
      </c>
      <c r="L1202" s="268" t="str">
        <f t="shared" si="244"/>
        <v>Simple</v>
      </c>
      <c r="M1202" s="197">
        <v>36700.967084944386</v>
      </c>
      <c r="N1202" s="197">
        <v>0</v>
      </c>
      <c r="O1202" s="257">
        <f>IF(ISNA(MATCH(H1202,'Operating leases'!$B$32:$B$43,0)),0,INDEX('Operating leases'!$M$32:$S$43,MATCH(H1202,'Operating leases'!$B$32:$B$43,0),MATCH(J1202,'Operating leases'!$M$11:$S$11,0)))</f>
        <v>0</v>
      </c>
      <c r="P1202" s="257">
        <f t="shared" si="245"/>
        <v>36700.967084944386</v>
      </c>
      <c r="Q1202" s="257">
        <f t="shared" si="246"/>
        <v>36700.967084944386</v>
      </c>
      <c r="R1202" s="258">
        <f>INDEX('Escalators '!$M$124:$S$129,MATCH(I1202,'Escalators '!$B$124:$B$129,0),MATCH(J1202,'Escalators '!$M$113:$S$113,0))</f>
        <v>1.06512715891222</v>
      </c>
      <c r="S1202" s="257">
        <f t="shared" si="247"/>
        <v>0</v>
      </c>
      <c r="T1202" s="257">
        <f t="shared" si="248"/>
        <v>0</v>
      </c>
      <c r="U1202" s="269">
        <f t="shared" si="249"/>
        <v>39091.196800517711</v>
      </c>
      <c r="V1202" s="269">
        <f t="shared" si="250"/>
        <v>39091.196800517711</v>
      </c>
      <c r="W1202" s="269">
        <f t="shared" si="251"/>
        <v>39091.196800517711</v>
      </c>
      <c r="X1202" s="257">
        <f t="shared" si="252"/>
        <v>39091.196800517711</v>
      </c>
      <c r="Y1202" s="270">
        <f>IF(L1202="Complex",(INDEX('Escalators '!$M$176:$S$176,MATCH('Forecast capex'!J1202,'Escalators '!$M$178:$S$178,0))/12+1)^((K1202-J1202)*12)-1,0)</f>
        <v>0</v>
      </c>
      <c r="Z1202" s="257">
        <f t="shared" si="253"/>
        <v>0</v>
      </c>
      <c r="AA1202" s="257">
        <f t="shared" si="254"/>
        <v>0</v>
      </c>
      <c r="AB1202" s="269">
        <f t="shared" si="255"/>
        <v>0</v>
      </c>
      <c r="AC1202" s="269">
        <f t="shared" si="256"/>
        <v>0</v>
      </c>
      <c r="AD1202" s="271" t="str">
        <f>INDEX('Global inputs'!$C$134:$C$171,MATCH(F1202,'Global inputs'!$B$134:$B$171,0))</f>
        <v xml:space="preserve">System growth </v>
      </c>
      <c r="AE1202" s="272">
        <f>IF(OR(H1202='Operating leases'!$B$32,H1202='Operating leases'!$B$33),"",INDEX('Global inputs'!$C$186:$C$243,MATCH(E1202,'Global inputs'!$B$186:$B$243,0)))</f>
        <v>0.08</v>
      </c>
    </row>
    <row r="1203" spans="1:31" s="27" customFormat="1" x14ac:dyDescent="0.2">
      <c r="A1203" s="250"/>
      <c r="B1203" s="210" t="s">
        <v>746</v>
      </c>
      <c r="C1203" s="210" t="s">
        <v>290</v>
      </c>
      <c r="D1203" s="210" t="s">
        <v>718</v>
      </c>
      <c r="E1203" s="210" t="s">
        <v>171</v>
      </c>
      <c r="F1203" s="210" t="s">
        <v>86</v>
      </c>
      <c r="G1203" s="210" t="s">
        <v>743</v>
      </c>
      <c r="H1203" s="197">
        <v>0</v>
      </c>
      <c r="I1203" s="210" t="s">
        <v>229</v>
      </c>
      <c r="J1203" s="210">
        <v>2024</v>
      </c>
      <c r="K1203" s="210">
        <v>2024</v>
      </c>
      <c r="L1203" s="268" t="str">
        <f t="shared" si="244"/>
        <v>Simple</v>
      </c>
      <c r="M1203" s="197">
        <v>41288.587970562425</v>
      </c>
      <c r="N1203" s="197">
        <v>0</v>
      </c>
      <c r="O1203" s="257">
        <f>IF(ISNA(MATCH(H1203,'Operating leases'!$B$32:$B$43,0)),0,INDEX('Operating leases'!$M$32:$S$43,MATCH(H1203,'Operating leases'!$B$32:$B$43,0),MATCH(J1203,'Operating leases'!$M$11:$S$11,0)))</f>
        <v>0</v>
      </c>
      <c r="P1203" s="257">
        <f t="shared" si="245"/>
        <v>41288.587970562425</v>
      </c>
      <c r="Q1203" s="257">
        <f t="shared" si="246"/>
        <v>41288.587970562425</v>
      </c>
      <c r="R1203" s="258">
        <f>INDEX('Escalators '!$M$124:$S$129,MATCH(I1203,'Escalators '!$B$124:$B$129,0),MATCH(J1203,'Escalators '!$M$113:$S$113,0))</f>
        <v>1.0731681760713303</v>
      </c>
      <c r="S1203" s="257">
        <f t="shared" si="247"/>
        <v>0</v>
      </c>
      <c r="T1203" s="257">
        <f t="shared" si="248"/>
        <v>0</v>
      </c>
      <c r="U1203" s="269">
        <f t="shared" si="249"/>
        <v>44309.598644929145</v>
      </c>
      <c r="V1203" s="269">
        <f t="shared" si="250"/>
        <v>44309.598644929145</v>
      </c>
      <c r="W1203" s="269">
        <f t="shared" si="251"/>
        <v>44309.598644929145</v>
      </c>
      <c r="X1203" s="257">
        <f t="shared" si="252"/>
        <v>44309.598644929145</v>
      </c>
      <c r="Y1203" s="270">
        <f>IF(L1203="Complex",(INDEX('Escalators '!$M$176:$S$176,MATCH('Forecast capex'!J1203,'Escalators '!$M$178:$S$178,0))/12+1)^((K1203-J1203)*12)-1,0)</f>
        <v>0</v>
      </c>
      <c r="Z1203" s="257">
        <f t="shared" si="253"/>
        <v>0</v>
      </c>
      <c r="AA1203" s="257">
        <f t="shared" si="254"/>
        <v>0</v>
      </c>
      <c r="AB1203" s="269">
        <f t="shared" si="255"/>
        <v>0</v>
      </c>
      <c r="AC1203" s="269">
        <f t="shared" si="256"/>
        <v>0</v>
      </c>
      <c r="AD1203" s="271" t="str">
        <f>INDEX('Global inputs'!$C$134:$C$171,MATCH(F1203,'Global inputs'!$B$134:$B$171,0))</f>
        <v xml:space="preserve">System growth </v>
      </c>
      <c r="AE1203" s="272">
        <f>IF(OR(H1203='Operating leases'!$B$32,H1203='Operating leases'!$B$33),"",INDEX('Global inputs'!$C$186:$C$243,MATCH(E1203,'Global inputs'!$B$186:$B$243,0)))</f>
        <v>0.08</v>
      </c>
    </row>
    <row r="1204" spans="1:31" s="27" customFormat="1" x14ac:dyDescent="0.2">
      <c r="A1204" s="250"/>
      <c r="B1204" s="210" t="s">
        <v>746</v>
      </c>
      <c r="C1204" s="210" t="s">
        <v>290</v>
      </c>
      <c r="D1204" s="210" t="s">
        <v>718</v>
      </c>
      <c r="E1204" s="210" t="s">
        <v>171</v>
      </c>
      <c r="F1204" s="210" t="s">
        <v>86</v>
      </c>
      <c r="G1204" s="210" t="s">
        <v>743</v>
      </c>
      <c r="H1204" s="197">
        <v>0</v>
      </c>
      <c r="I1204" s="210" t="s">
        <v>221</v>
      </c>
      <c r="J1204" s="210">
        <v>2024</v>
      </c>
      <c r="K1204" s="210">
        <v>2024</v>
      </c>
      <c r="L1204" s="268" t="str">
        <f t="shared" si="244"/>
        <v>Simple</v>
      </c>
      <c r="M1204" s="197">
        <v>27525.725313708284</v>
      </c>
      <c r="N1204" s="197">
        <v>0</v>
      </c>
      <c r="O1204" s="257">
        <f>IF(ISNA(MATCH(H1204,'Operating leases'!$B$32:$B$43,0)),0,INDEX('Operating leases'!$M$32:$S$43,MATCH(H1204,'Operating leases'!$B$32:$B$43,0),MATCH(J1204,'Operating leases'!$M$11:$S$11,0)))</f>
        <v>0</v>
      </c>
      <c r="P1204" s="257">
        <f t="shared" si="245"/>
        <v>27525.725313708284</v>
      </c>
      <c r="Q1204" s="257">
        <f t="shared" si="246"/>
        <v>27525.725313708284</v>
      </c>
      <c r="R1204" s="258">
        <f>INDEX('Escalators '!$M$124:$S$129,MATCH(I1204,'Escalators '!$B$124:$B$129,0),MATCH(J1204,'Escalators '!$M$113:$S$113,0))</f>
        <v>1.06512715891222</v>
      </c>
      <c r="S1204" s="257">
        <f t="shared" si="247"/>
        <v>0</v>
      </c>
      <c r="T1204" s="257">
        <f t="shared" si="248"/>
        <v>0</v>
      </c>
      <c r="U1204" s="269">
        <f t="shared" si="249"/>
        <v>29318.397600388282</v>
      </c>
      <c r="V1204" s="269">
        <f t="shared" si="250"/>
        <v>29318.397600388282</v>
      </c>
      <c r="W1204" s="269">
        <f t="shared" si="251"/>
        <v>29318.397600388282</v>
      </c>
      <c r="X1204" s="257">
        <f t="shared" si="252"/>
        <v>29318.397600388282</v>
      </c>
      <c r="Y1204" s="270">
        <f>IF(L1204="Complex",(INDEX('Escalators '!$M$176:$S$176,MATCH('Forecast capex'!J1204,'Escalators '!$M$178:$S$178,0))/12+1)^((K1204-J1204)*12)-1,0)</f>
        <v>0</v>
      </c>
      <c r="Z1204" s="257">
        <f t="shared" si="253"/>
        <v>0</v>
      </c>
      <c r="AA1204" s="257">
        <f t="shared" si="254"/>
        <v>0</v>
      </c>
      <c r="AB1204" s="269">
        <f t="shared" si="255"/>
        <v>0</v>
      </c>
      <c r="AC1204" s="269">
        <f t="shared" si="256"/>
        <v>0</v>
      </c>
      <c r="AD1204" s="271" t="str">
        <f>INDEX('Global inputs'!$C$134:$C$171,MATCH(F1204,'Global inputs'!$B$134:$B$171,0))</f>
        <v xml:space="preserve">System growth </v>
      </c>
      <c r="AE1204" s="272">
        <f>IF(OR(H1204='Operating leases'!$B$32,H1204='Operating leases'!$B$33),"",INDEX('Global inputs'!$C$186:$C$243,MATCH(E1204,'Global inputs'!$B$186:$B$243,0)))</f>
        <v>0.08</v>
      </c>
    </row>
    <row r="1205" spans="1:31" s="27" customFormat="1" x14ac:dyDescent="0.2">
      <c r="A1205" s="250"/>
      <c r="B1205" s="210" t="s">
        <v>746</v>
      </c>
      <c r="C1205" s="210" t="s">
        <v>290</v>
      </c>
      <c r="D1205" s="210" t="s">
        <v>718</v>
      </c>
      <c r="E1205" s="210" t="s">
        <v>170</v>
      </c>
      <c r="F1205" s="210" t="s">
        <v>86</v>
      </c>
      <c r="G1205" s="210" t="s">
        <v>721</v>
      </c>
      <c r="H1205" s="197">
        <v>0</v>
      </c>
      <c r="I1205" s="210" t="s">
        <v>229</v>
      </c>
      <c r="J1205" s="210">
        <v>2024</v>
      </c>
      <c r="K1205" s="210">
        <v>2024</v>
      </c>
      <c r="L1205" s="268" t="str">
        <f t="shared" si="244"/>
        <v>Simple</v>
      </c>
      <c r="M1205" s="197">
        <v>80283.365498315834</v>
      </c>
      <c r="N1205" s="197">
        <v>0</v>
      </c>
      <c r="O1205" s="257">
        <f>IF(ISNA(MATCH(H1205,'Operating leases'!$B$32:$B$43,0)),0,INDEX('Operating leases'!$M$32:$S$43,MATCH(H1205,'Operating leases'!$B$32:$B$43,0),MATCH(J1205,'Operating leases'!$M$11:$S$11,0)))</f>
        <v>0</v>
      </c>
      <c r="P1205" s="257">
        <f t="shared" si="245"/>
        <v>80283.365498315834</v>
      </c>
      <c r="Q1205" s="257">
        <f t="shared" si="246"/>
        <v>80283.365498315834</v>
      </c>
      <c r="R1205" s="258">
        <f>INDEX('Escalators '!$M$124:$S$129,MATCH(I1205,'Escalators '!$B$124:$B$129,0),MATCH(J1205,'Escalators '!$M$113:$S$113,0))</f>
        <v>1.0731681760713303</v>
      </c>
      <c r="S1205" s="257">
        <f t="shared" si="247"/>
        <v>0</v>
      </c>
      <c r="T1205" s="257">
        <f t="shared" si="248"/>
        <v>0</v>
      </c>
      <c r="U1205" s="269">
        <f t="shared" si="249"/>
        <v>86157.552920695569</v>
      </c>
      <c r="V1205" s="269">
        <f t="shared" si="250"/>
        <v>86157.552920695569</v>
      </c>
      <c r="W1205" s="269">
        <f t="shared" si="251"/>
        <v>86157.552920695569</v>
      </c>
      <c r="X1205" s="257">
        <f t="shared" si="252"/>
        <v>86157.552920695569</v>
      </c>
      <c r="Y1205" s="270">
        <f>IF(L1205="Complex",(INDEX('Escalators '!$M$176:$S$176,MATCH('Forecast capex'!J1205,'Escalators '!$M$178:$S$178,0))/12+1)^((K1205-J1205)*12)-1,0)</f>
        <v>0</v>
      </c>
      <c r="Z1205" s="257">
        <f t="shared" si="253"/>
        <v>0</v>
      </c>
      <c r="AA1205" s="257">
        <f t="shared" si="254"/>
        <v>0</v>
      </c>
      <c r="AB1205" s="269">
        <f t="shared" si="255"/>
        <v>0</v>
      </c>
      <c r="AC1205" s="269">
        <f t="shared" si="256"/>
        <v>0</v>
      </c>
      <c r="AD1205" s="271" t="str">
        <f>INDEX('Global inputs'!$C$134:$C$171,MATCH(F1205,'Global inputs'!$B$134:$B$171,0))</f>
        <v xml:space="preserve">System growth </v>
      </c>
      <c r="AE1205" s="272">
        <f>IF(OR(H1205='Operating leases'!$B$32,H1205='Operating leases'!$B$33),"",INDEX('Global inputs'!$C$186:$C$243,MATCH(E1205,'Global inputs'!$B$186:$B$243,0)))</f>
        <v>0.08</v>
      </c>
    </row>
    <row r="1206" spans="1:31" s="27" customFormat="1" x14ac:dyDescent="0.2">
      <c r="A1206" s="250"/>
      <c r="B1206" s="210" t="s">
        <v>746</v>
      </c>
      <c r="C1206" s="210" t="s">
        <v>290</v>
      </c>
      <c r="D1206" s="210" t="s">
        <v>718</v>
      </c>
      <c r="E1206" s="210" t="s">
        <v>170</v>
      </c>
      <c r="F1206" s="210" t="s">
        <v>86</v>
      </c>
      <c r="G1206" s="210" t="s">
        <v>721</v>
      </c>
      <c r="H1206" s="197">
        <v>0</v>
      </c>
      <c r="I1206" s="210" t="s">
        <v>221</v>
      </c>
      <c r="J1206" s="210">
        <v>2024</v>
      </c>
      <c r="K1206" s="210">
        <v>2024</v>
      </c>
      <c r="L1206" s="268" t="str">
        <f t="shared" si="244"/>
        <v>Simple</v>
      </c>
      <c r="M1206" s="197">
        <v>80283.365498315834</v>
      </c>
      <c r="N1206" s="197">
        <v>0</v>
      </c>
      <c r="O1206" s="257">
        <f>IF(ISNA(MATCH(H1206,'Operating leases'!$B$32:$B$43,0)),0,INDEX('Operating leases'!$M$32:$S$43,MATCH(H1206,'Operating leases'!$B$32:$B$43,0),MATCH(J1206,'Operating leases'!$M$11:$S$11,0)))</f>
        <v>0</v>
      </c>
      <c r="P1206" s="257">
        <f t="shared" si="245"/>
        <v>80283.365498315834</v>
      </c>
      <c r="Q1206" s="257">
        <f t="shared" si="246"/>
        <v>80283.365498315834</v>
      </c>
      <c r="R1206" s="258">
        <f>INDEX('Escalators '!$M$124:$S$129,MATCH(I1206,'Escalators '!$B$124:$B$129,0),MATCH(J1206,'Escalators '!$M$113:$S$113,0))</f>
        <v>1.06512715891222</v>
      </c>
      <c r="S1206" s="257">
        <f t="shared" si="247"/>
        <v>0</v>
      </c>
      <c r="T1206" s="257">
        <f t="shared" si="248"/>
        <v>0</v>
      </c>
      <c r="U1206" s="269">
        <f t="shared" si="249"/>
        <v>85511.99300113249</v>
      </c>
      <c r="V1206" s="269">
        <f t="shared" si="250"/>
        <v>85511.99300113249</v>
      </c>
      <c r="W1206" s="269">
        <f t="shared" si="251"/>
        <v>85511.99300113249</v>
      </c>
      <c r="X1206" s="257">
        <f t="shared" si="252"/>
        <v>85511.99300113249</v>
      </c>
      <c r="Y1206" s="270">
        <f>IF(L1206="Complex",(INDEX('Escalators '!$M$176:$S$176,MATCH('Forecast capex'!J1206,'Escalators '!$M$178:$S$178,0))/12+1)^((K1206-J1206)*12)-1,0)</f>
        <v>0</v>
      </c>
      <c r="Z1206" s="257">
        <f t="shared" si="253"/>
        <v>0</v>
      </c>
      <c r="AA1206" s="257">
        <f t="shared" si="254"/>
        <v>0</v>
      </c>
      <c r="AB1206" s="269">
        <f t="shared" si="255"/>
        <v>0</v>
      </c>
      <c r="AC1206" s="269">
        <f t="shared" si="256"/>
        <v>0</v>
      </c>
      <c r="AD1206" s="271" t="str">
        <f>INDEX('Global inputs'!$C$134:$C$171,MATCH(F1206,'Global inputs'!$B$134:$B$171,0))</f>
        <v xml:space="preserve">System growth </v>
      </c>
      <c r="AE1206" s="272">
        <f>IF(OR(H1206='Operating leases'!$B$32,H1206='Operating leases'!$B$33),"",INDEX('Global inputs'!$C$186:$C$243,MATCH(E1206,'Global inputs'!$B$186:$B$243,0)))</f>
        <v>0.08</v>
      </c>
    </row>
    <row r="1207" spans="1:31" s="27" customFormat="1" x14ac:dyDescent="0.2">
      <c r="A1207" s="250"/>
      <c r="B1207" s="210" t="s">
        <v>746</v>
      </c>
      <c r="C1207" s="210" t="s">
        <v>288</v>
      </c>
      <c r="D1207" s="210" t="s">
        <v>718</v>
      </c>
      <c r="E1207" s="210" t="s">
        <v>160</v>
      </c>
      <c r="F1207" s="210" t="s">
        <v>86</v>
      </c>
      <c r="G1207" s="210" t="s">
        <v>722</v>
      </c>
      <c r="H1207" s="197">
        <v>0</v>
      </c>
      <c r="I1207" s="210" t="s">
        <v>229</v>
      </c>
      <c r="J1207" s="210">
        <v>2024</v>
      </c>
      <c r="K1207" s="210">
        <v>2024</v>
      </c>
      <c r="L1207" s="268" t="str">
        <f t="shared" si="244"/>
        <v>Simple</v>
      </c>
      <c r="M1207" s="197">
        <v>11469.052214045119</v>
      </c>
      <c r="N1207" s="197">
        <v>0</v>
      </c>
      <c r="O1207" s="257">
        <f>IF(ISNA(MATCH(H1207,'Operating leases'!$B$32:$B$43,0)),0,INDEX('Operating leases'!$M$32:$S$43,MATCH(H1207,'Operating leases'!$B$32:$B$43,0),MATCH(J1207,'Operating leases'!$M$11:$S$11,0)))</f>
        <v>0</v>
      </c>
      <c r="P1207" s="257">
        <f t="shared" si="245"/>
        <v>11469.052214045119</v>
      </c>
      <c r="Q1207" s="257">
        <f t="shared" si="246"/>
        <v>11469.052214045119</v>
      </c>
      <c r="R1207" s="258">
        <f>INDEX('Escalators '!$M$124:$S$129,MATCH(I1207,'Escalators '!$B$124:$B$129,0),MATCH(J1207,'Escalators '!$M$113:$S$113,0))</f>
        <v>1.0731681760713303</v>
      </c>
      <c r="S1207" s="257">
        <f t="shared" si="247"/>
        <v>0</v>
      </c>
      <c r="T1207" s="257">
        <f t="shared" si="248"/>
        <v>0</v>
      </c>
      <c r="U1207" s="269">
        <f t="shared" si="249"/>
        <v>12308.221845813654</v>
      </c>
      <c r="V1207" s="269">
        <f t="shared" si="250"/>
        <v>12308.221845813654</v>
      </c>
      <c r="W1207" s="269">
        <f t="shared" si="251"/>
        <v>12308.221845813654</v>
      </c>
      <c r="X1207" s="257">
        <f t="shared" si="252"/>
        <v>12308.221845813654</v>
      </c>
      <c r="Y1207" s="270">
        <f>IF(L1207="Complex",(INDEX('Escalators '!$M$176:$S$176,MATCH('Forecast capex'!J1207,'Escalators '!$M$178:$S$178,0))/12+1)^((K1207-J1207)*12)-1,0)</f>
        <v>0</v>
      </c>
      <c r="Z1207" s="257">
        <f t="shared" si="253"/>
        <v>0</v>
      </c>
      <c r="AA1207" s="257">
        <f t="shared" si="254"/>
        <v>0</v>
      </c>
      <c r="AB1207" s="269">
        <f t="shared" si="255"/>
        <v>0</v>
      </c>
      <c r="AC1207" s="269">
        <f t="shared" si="256"/>
        <v>0</v>
      </c>
      <c r="AD1207" s="271" t="str">
        <f>INDEX('Global inputs'!$C$134:$C$171,MATCH(F1207,'Global inputs'!$B$134:$B$171,0))</f>
        <v xml:space="preserve">System growth </v>
      </c>
      <c r="AE1207" s="272">
        <f>IF(OR(H1207='Operating leases'!$B$32,H1207='Operating leases'!$B$33),"",INDEX('Global inputs'!$C$186:$C$243,MATCH(E1207,'Global inputs'!$B$186:$B$243,0)))</f>
        <v>0.08</v>
      </c>
    </row>
    <row r="1208" spans="1:31" s="27" customFormat="1" x14ac:dyDescent="0.2">
      <c r="A1208" s="250"/>
      <c r="B1208" s="210" t="s">
        <v>746</v>
      </c>
      <c r="C1208" s="210" t="s">
        <v>288</v>
      </c>
      <c r="D1208" s="210" t="s">
        <v>718</v>
      </c>
      <c r="E1208" s="210" t="s">
        <v>160</v>
      </c>
      <c r="F1208" s="210" t="s">
        <v>86</v>
      </c>
      <c r="G1208" s="210" t="s">
        <v>722</v>
      </c>
      <c r="H1208" s="197">
        <v>0</v>
      </c>
      <c r="I1208" s="210" t="s">
        <v>221</v>
      </c>
      <c r="J1208" s="210">
        <v>2024</v>
      </c>
      <c r="K1208" s="210">
        <v>2024</v>
      </c>
      <c r="L1208" s="268" t="str">
        <f t="shared" si="244"/>
        <v>Simple</v>
      </c>
      <c r="M1208" s="197">
        <v>11469.052214045119</v>
      </c>
      <c r="N1208" s="197">
        <v>0</v>
      </c>
      <c r="O1208" s="257">
        <f>IF(ISNA(MATCH(H1208,'Operating leases'!$B$32:$B$43,0)),0,INDEX('Operating leases'!$M$32:$S$43,MATCH(H1208,'Operating leases'!$B$32:$B$43,0),MATCH(J1208,'Operating leases'!$M$11:$S$11,0)))</f>
        <v>0</v>
      </c>
      <c r="P1208" s="257">
        <f t="shared" si="245"/>
        <v>11469.052214045119</v>
      </c>
      <c r="Q1208" s="257">
        <f t="shared" si="246"/>
        <v>11469.052214045119</v>
      </c>
      <c r="R1208" s="258">
        <f>INDEX('Escalators '!$M$124:$S$129,MATCH(I1208,'Escalators '!$B$124:$B$129,0),MATCH(J1208,'Escalators '!$M$113:$S$113,0))</f>
        <v>1.06512715891222</v>
      </c>
      <c r="S1208" s="257">
        <f t="shared" si="247"/>
        <v>0</v>
      </c>
      <c r="T1208" s="257">
        <f t="shared" si="248"/>
        <v>0</v>
      </c>
      <c r="U1208" s="269">
        <f t="shared" si="249"/>
        <v>12215.999000161784</v>
      </c>
      <c r="V1208" s="269">
        <f t="shared" si="250"/>
        <v>12215.999000161784</v>
      </c>
      <c r="W1208" s="269">
        <f t="shared" si="251"/>
        <v>12215.999000161784</v>
      </c>
      <c r="X1208" s="257">
        <f t="shared" si="252"/>
        <v>12215.999000161784</v>
      </c>
      <c r="Y1208" s="270">
        <f>IF(L1208="Complex",(INDEX('Escalators '!$M$176:$S$176,MATCH('Forecast capex'!J1208,'Escalators '!$M$178:$S$178,0))/12+1)^((K1208-J1208)*12)-1,0)</f>
        <v>0</v>
      </c>
      <c r="Z1208" s="257">
        <f t="shared" si="253"/>
        <v>0</v>
      </c>
      <c r="AA1208" s="257">
        <f t="shared" si="254"/>
        <v>0</v>
      </c>
      <c r="AB1208" s="269">
        <f t="shared" si="255"/>
        <v>0</v>
      </c>
      <c r="AC1208" s="269">
        <f t="shared" si="256"/>
        <v>0</v>
      </c>
      <c r="AD1208" s="271" t="str">
        <f>INDEX('Global inputs'!$C$134:$C$171,MATCH(F1208,'Global inputs'!$B$134:$B$171,0))</f>
        <v xml:space="preserve">System growth </v>
      </c>
      <c r="AE1208" s="272">
        <f>IF(OR(H1208='Operating leases'!$B$32,H1208='Operating leases'!$B$33),"",INDEX('Global inputs'!$C$186:$C$243,MATCH(E1208,'Global inputs'!$B$186:$B$243,0)))</f>
        <v>0.08</v>
      </c>
    </row>
    <row r="1209" spans="1:31" s="27" customFormat="1" x14ac:dyDescent="0.2">
      <c r="A1209" s="250"/>
      <c r="B1209" s="210" t="s">
        <v>746</v>
      </c>
      <c r="C1209" s="210" t="s">
        <v>289</v>
      </c>
      <c r="D1209" s="210" t="s">
        <v>723</v>
      </c>
      <c r="E1209" s="210" t="s">
        <v>164</v>
      </c>
      <c r="F1209" s="210" t="s">
        <v>86</v>
      </c>
      <c r="G1209" s="210" t="s">
        <v>724</v>
      </c>
      <c r="H1209" s="197">
        <v>0</v>
      </c>
      <c r="I1209" s="210" t="s">
        <v>139</v>
      </c>
      <c r="J1209" s="210">
        <v>2024</v>
      </c>
      <c r="K1209" s="210">
        <v>2024</v>
      </c>
      <c r="L1209" s="268" t="str">
        <f t="shared" si="244"/>
        <v>Simple</v>
      </c>
      <c r="M1209" s="197">
        <v>183504.83542472194</v>
      </c>
      <c r="N1209" s="197">
        <v>0</v>
      </c>
      <c r="O1209" s="257">
        <f>IF(ISNA(MATCH(H1209,'Operating leases'!$B$32:$B$43,0)),0,INDEX('Operating leases'!$M$32:$S$43,MATCH(H1209,'Operating leases'!$B$32:$B$43,0),MATCH(J1209,'Operating leases'!$M$11:$S$11,0)))</f>
        <v>0</v>
      </c>
      <c r="P1209" s="257">
        <f t="shared" si="245"/>
        <v>183504.83542472194</v>
      </c>
      <c r="Q1209" s="257">
        <f t="shared" si="246"/>
        <v>183504.83542472194</v>
      </c>
      <c r="R1209" s="258">
        <f>INDEX('Escalators '!$M$124:$S$129,MATCH(I1209,'Escalators '!$B$124:$B$129,0),MATCH(J1209,'Escalators '!$M$113:$S$113,0))</f>
        <v>1.0400802295441569</v>
      </c>
      <c r="S1209" s="257">
        <f t="shared" si="247"/>
        <v>0</v>
      </c>
      <c r="T1209" s="257">
        <f t="shared" si="248"/>
        <v>0</v>
      </c>
      <c r="U1209" s="269">
        <f t="shared" si="249"/>
        <v>190859.75135100752</v>
      </c>
      <c r="V1209" s="269">
        <f t="shared" si="250"/>
        <v>190859.75135100752</v>
      </c>
      <c r="W1209" s="269">
        <f t="shared" si="251"/>
        <v>190859.75135100752</v>
      </c>
      <c r="X1209" s="257">
        <f t="shared" si="252"/>
        <v>190859.75135100752</v>
      </c>
      <c r="Y1209" s="270">
        <f>IF(L1209="Complex",(INDEX('Escalators '!$M$176:$S$176,MATCH('Forecast capex'!J1209,'Escalators '!$M$178:$S$178,0))/12+1)^((K1209-J1209)*12)-1,0)</f>
        <v>0</v>
      </c>
      <c r="Z1209" s="257">
        <f t="shared" si="253"/>
        <v>0</v>
      </c>
      <c r="AA1209" s="257">
        <f t="shared" si="254"/>
        <v>0</v>
      </c>
      <c r="AB1209" s="269">
        <f t="shared" si="255"/>
        <v>0</v>
      </c>
      <c r="AC1209" s="269">
        <f t="shared" si="256"/>
        <v>0</v>
      </c>
      <c r="AD1209" s="271" t="str">
        <f>INDEX('Global inputs'!$C$134:$C$171,MATCH(F1209,'Global inputs'!$B$134:$B$171,0))</f>
        <v xml:space="preserve">System growth </v>
      </c>
      <c r="AE1209" s="272">
        <f>IF(OR(H1209='Operating leases'!$B$32,H1209='Operating leases'!$B$33),"",INDEX('Global inputs'!$C$186:$C$243,MATCH(E1209,'Global inputs'!$B$186:$B$243,0)))</f>
        <v>0.08</v>
      </c>
    </row>
    <row r="1210" spans="1:31" s="27" customFormat="1" x14ac:dyDescent="0.2">
      <c r="A1210" s="250"/>
      <c r="B1210" s="210" t="s">
        <v>746</v>
      </c>
      <c r="C1210" s="210" t="s">
        <v>289</v>
      </c>
      <c r="D1210" s="210" t="s">
        <v>723</v>
      </c>
      <c r="E1210" s="210" t="s">
        <v>164</v>
      </c>
      <c r="F1210" s="210" t="s">
        <v>86</v>
      </c>
      <c r="G1210" s="210" t="s">
        <v>724</v>
      </c>
      <c r="H1210" s="197">
        <v>0</v>
      </c>
      <c r="I1210" s="210" t="s">
        <v>221</v>
      </c>
      <c r="J1210" s="210">
        <v>2024</v>
      </c>
      <c r="K1210" s="210">
        <v>2024</v>
      </c>
      <c r="L1210" s="268" t="str">
        <f t="shared" si="244"/>
        <v>Simple</v>
      </c>
      <c r="M1210" s="197">
        <v>45876.208856180485</v>
      </c>
      <c r="N1210" s="197">
        <v>0</v>
      </c>
      <c r="O1210" s="257">
        <f>IF(ISNA(MATCH(H1210,'Operating leases'!$B$32:$B$43,0)),0,INDEX('Operating leases'!$M$32:$S$43,MATCH(H1210,'Operating leases'!$B$32:$B$43,0),MATCH(J1210,'Operating leases'!$M$11:$S$11,0)))</f>
        <v>0</v>
      </c>
      <c r="P1210" s="257">
        <f t="shared" si="245"/>
        <v>45876.208856180485</v>
      </c>
      <c r="Q1210" s="257">
        <f t="shared" si="246"/>
        <v>45876.208856180485</v>
      </c>
      <c r="R1210" s="258">
        <f>INDEX('Escalators '!$M$124:$S$129,MATCH(I1210,'Escalators '!$B$124:$B$129,0),MATCH(J1210,'Escalators '!$M$113:$S$113,0))</f>
        <v>1.06512715891222</v>
      </c>
      <c r="S1210" s="257">
        <f t="shared" si="247"/>
        <v>0</v>
      </c>
      <c r="T1210" s="257">
        <f t="shared" si="248"/>
        <v>0</v>
      </c>
      <c r="U1210" s="269">
        <f t="shared" si="249"/>
        <v>48863.996000647145</v>
      </c>
      <c r="V1210" s="269">
        <f t="shared" si="250"/>
        <v>48863.996000647145</v>
      </c>
      <c r="W1210" s="269">
        <f t="shared" si="251"/>
        <v>48863.996000647145</v>
      </c>
      <c r="X1210" s="257">
        <f t="shared" si="252"/>
        <v>48863.996000647145</v>
      </c>
      <c r="Y1210" s="270">
        <f>IF(L1210="Complex",(INDEX('Escalators '!$M$176:$S$176,MATCH('Forecast capex'!J1210,'Escalators '!$M$178:$S$178,0))/12+1)^((K1210-J1210)*12)-1,0)</f>
        <v>0</v>
      </c>
      <c r="Z1210" s="257">
        <f t="shared" si="253"/>
        <v>0</v>
      </c>
      <c r="AA1210" s="257">
        <f t="shared" si="254"/>
        <v>0</v>
      </c>
      <c r="AB1210" s="269">
        <f t="shared" si="255"/>
        <v>0</v>
      </c>
      <c r="AC1210" s="269">
        <f t="shared" si="256"/>
        <v>0</v>
      </c>
      <c r="AD1210" s="271" t="str">
        <f>INDEX('Global inputs'!$C$134:$C$171,MATCH(F1210,'Global inputs'!$B$134:$B$171,0))</f>
        <v xml:space="preserve">System growth </v>
      </c>
      <c r="AE1210" s="272">
        <f>IF(OR(H1210='Operating leases'!$B$32,H1210='Operating leases'!$B$33),"",INDEX('Global inputs'!$C$186:$C$243,MATCH(E1210,'Global inputs'!$B$186:$B$243,0)))</f>
        <v>0.08</v>
      </c>
    </row>
    <row r="1211" spans="1:31" s="27" customFormat="1" x14ac:dyDescent="0.2">
      <c r="A1211" s="250"/>
      <c r="B1211" s="210" t="s">
        <v>746</v>
      </c>
      <c r="C1211" s="210" t="s">
        <v>289</v>
      </c>
      <c r="D1211" s="210" t="s">
        <v>723</v>
      </c>
      <c r="E1211" s="210" t="s">
        <v>163</v>
      </c>
      <c r="F1211" s="210" t="s">
        <v>86</v>
      </c>
      <c r="G1211" s="210" t="s">
        <v>725</v>
      </c>
      <c r="H1211" s="197">
        <v>0</v>
      </c>
      <c r="I1211" s="210" t="s">
        <v>139</v>
      </c>
      <c r="J1211" s="210">
        <v>2024</v>
      </c>
      <c r="K1211" s="210">
        <v>2024</v>
      </c>
      <c r="L1211" s="268" t="str">
        <f t="shared" si="244"/>
        <v>Simple</v>
      </c>
      <c r="M1211" s="197">
        <v>55051.450627416569</v>
      </c>
      <c r="N1211" s="197">
        <v>0</v>
      </c>
      <c r="O1211" s="257">
        <f>IF(ISNA(MATCH(H1211,'Operating leases'!$B$32:$B$43,0)),0,INDEX('Operating leases'!$M$32:$S$43,MATCH(H1211,'Operating leases'!$B$32:$B$43,0),MATCH(J1211,'Operating leases'!$M$11:$S$11,0)))</f>
        <v>0</v>
      </c>
      <c r="P1211" s="257">
        <f t="shared" si="245"/>
        <v>55051.450627416569</v>
      </c>
      <c r="Q1211" s="257">
        <f t="shared" si="246"/>
        <v>55051.450627416569</v>
      </c>
      <c r="R1211" s="258">
        <f>INDEX('Escalators '!$M$124:$S$129,MATCH(I1211,'Escalators '!$B$124:$B$129,0),MATCH(J1211,'Escalators '!$M$113:$S$113,0))</f>
        <v>1.0400802295441569</v>
      </c>
      <c r="S1211" s="257">
        <f t="shared" si="247"/>
        <v>0</v>
      </c>
      <c r="T1211" s="257">
        <f t="shared" si="248"/>
        <v>0</v>
      </c>
      <c r="U1211" s="269">
        <f t="shared" si="249"/>
        <v>57257.925405302245</v>
      </c>
      <c r="V1211" s="269">
        <f t="shared" si="250"/>
        <v>57257.925405302245</v>
      </c>
      <c r="W1211" s="269">
        <f t="shared" si="251"/>
        <v>57257.925405302245</v>
      </c>
      <c r="X1211" s="257">
        <f t="shared" si="252"/>
        <v>57257.925405302245</v>
      </c>
      <c r="Y1211" s="270">
        <f>IF(L1211="Complex",(INDEX('Escalators '!$M$176:$S$176,MATCH('Forecast capex'!J1211,'Escalators '!$M$178:$S$178,0))/12+1)^((K1211-J1211)*12)-1,0)</f>
        <v>0</v>
      </c>
      <c r="Z1211" s="257">
        <f t="shared" si="253"/>
        <v>0</v>
      </c>
      <c r="AA1211" s="257">
        <f t="shared" si="254"/>
        <v>0</v>
      </c>
      <c r="AB1211" s="269">
        <f t="shared" si="255"/>
        <v>0</v>
      </c>
      <c r="AC1211" s="269">
        <f t="shared" si="256"/>
        <v>0</v>
      </c>
      <c r="AD1211" s="271" t="str">
        <f>INDEX('Global inputs'!$C$134:$C$171,MATCH(F1211,'Global inputs'!$B$134:$B$171,0))</f>
        <v xml:space="preserve">System growth </v>
      </c>
      <c r="AE1211" s="272">
        <f>IF(OR(H1211='Operating leases'!$B$32,H1211='Operating leases'!$B$33),"",INDEX('Global inputs'!$C$186:$C$243,MATCH(E1211,'Global inputs'!$B$186:$B$243,0)))</f>
        <v>0.08</v>
      </c>
    </row>
    <row r="1212" spans="1:31" s="27" customFormat="1" x14ac:dyDescent="0.2">
      <c r="A1212" s="250"/>
      <c r="B1212" s="210" t="s">
        <v>746</v>
      </c>
      <c r="C1212" s="210" t="s">
        <v>289</v>
      </c>
      <c r="D1212" s="210" t="s">
        <v>723</v>
      </c>
      <c r="E1212" s="210" t="s">
        <v>163</v>
      </c>
      <c r="F1212" s="210" t="s">
        <v>86</v>
      </c>
      <c r="G1212" s="210" t="s">
        <v>725</v>
      </c>
      <c r="H1212" s="197">
        <v>0</v>
      </c>
      <c r="I1212" s="210" t="s">
        <v>221</v>
      </c>
      <c r="J1212" s="210">
        <v>2024</v>
      </c>
      <c r="K1212" s="210">
        <v>2024</v>
      </c>
      <c r="L1212" s="268" t="str">
        <f t="shared" si="244"/>
        <v>Simple</v>
      </c>
      <c r="M1212" s="197">
        <v>13762.862656854142</v>
      </c>
      <c r="N1212" s="197">
        <v>0</v>
      </c>
      <c r="O1212" s="257">
        <f>IF(ISNA(MATCH(H1212,'Operating leases'!$B$32:$B$43,0)),0,INDEX('Operating leases'!$M$32:$S$43,MATCH(H1212,'Operating leases'!$B$32:$B$43,0),MATCH(J1212,'Operating leases'!$M$11:$S$11,0)))</f>
        <v>0</v>
      </c>
      <c r="P1212" s="257">
        <f t="shared" si="245"/>
        <v>13762.862656854142</v>
      </c>
      <c r="Q1212" s="257">
        <f t="shared" si="246"/>
        <v>13762.862656854142</v>
      </c>
      <c r="R1212" s="258">
        <f>INDEX('Escalators '!$M$124:$S$129,MATCH(I1212,'Escalators '!$B$124:$B$129,0),MATCH(J1212,'Escalators '!$M$113:$S$113,0))</f>
        <v>1.06512715891222</v>
      </c>
      <c r="S1212" s="257">
        <f t="shared" si="247"/>
        <v>0</v>
      </c>
      <c r="T1212" s="257">
        <f t="shared" si="248"/>
        <v>0</v>
      </c>
      <c r="U1212" s="269">
        <f t="shared" si="249"/>
        <v>14659.198800194141</v>
      </c>
      <c r="V1212" s="269">
        <f t="shared" si="250"/>
        <v>14659.198800194141</v>
      </c>
      <c r="W1212" s="269">
        <f t="shared" si="251"/>
        <v>14659.198800194141</v>
      </c>
      <c r="X1212" s="257">
        <f t="shared" si="252"/>
        <v>14659.198800194141</v>
      </c>
      <c r="Y1212" s="270">
        <f>IF(L1212="Complex",(INDEX('Escalators '!$M$176:$S$176,MATCH('Forecast capex'!J1212,'Escalators '!$M$178:$S$178,0))/12+1)^((K1212-J1212)*12)-1,0)</f>
        <v>0</v>
      </c>
      <c r="Z1212" s="257">
        <f t="shared" si="253"/>
        <v>0</v>
      </c>
      <c r="AA1212" s="257">
        <f t="shared" si="254"/>
        <v>0</v>
      </c>
      <c r="AB1212" s="269">
        <f t="shared" si="255"/>
        <v>0</v>
      </c>
      <c r="AC1212" s="269">
        <f t="shared" si="256"/>
        <v>0</v>
      </c>
      <c r="AD1212" s="271" t="str">
        <f>INDEX('Global inputs'!$C$134:$C$171,MATCH(F1212,'Global inputs'!$B$134:$B$171,0))</f>
        <v xml:space="preserve">System growth </v>
      </c>
      <c r="AE1212" s="272">
        <f>IF(OR(H1212='Operating leases'!$B$32,H1212='Operating leases'!$B$33),"",INDEX('Global inputs'!$C$186:$C$243,MATCH(E1212,'Global inputs'!$B$186:$B$243,0)))</f>
        <v>0.08</v>
      </c>
    </row>
    <row r="1213" spans="1:31" s="27" customFormat="1" x14ac:dyDescent="0.2">
      <c r="A1213" s="250"/>
      <c r="B1213" s="210" t="s">
        <v>746</v>
      </c>
      <c r="C1213" s="210" t="s">
        <v>290</v>
      </c>
      <c r="D1213" s="210" t="s">
        <v>723</v>
      </c>
      <c r="E1213" s="210" t="s">
        <v>172</v>
      </c>
      <c r="F1213" s="210" t="s">
        <v>86</v>
      </c>
      <c r="G1213" s="210" t="s">
        <v>747</v>
      </c>
      <c r="H1213" s="197">
        <v>0</v>
      </c>
      <c r="I1213" s="210" t="s">
        <v>139</v>
      </c>
      <c r="J1213" s="210">
        <v>2024</v>
      </c>
      <c r="K1213" s="210">
        <v>2024</v>
      </c>
      <c r="L1213" s="268" t="str">
        <f t="shared" si="244"/>
        <v>Simple</v>
      </c>
      <c r="M1213" s="197">
        <v>9175.2417712360966</v>
      </c>
      <c r="N1213" s="197">
        <v>0</v>
      </c>
      <c r="O1213" s="257">
        <f>IF(ISNA(MATCH(H1213,'Operating leases'!$B$32:$B$43,0)),0,INDEX('Operating leases'!$M$32:$S$43,MATCH(H1213,'Operating leases'!$B$32:$B$43,0),MATCH(J1213,'Operating leases'!$M$11:$S$11,0)))</f>
        <v>0</v>
      </c>
      <c r="P1213" s="257">
        <f t="shared" si="245"/>
        <v>9175.2417712360966</v>
      </c>
      <c r="Q1213" s="257">
        <f t="shared" si="246"/>
        <v>9175.2417712360966</v>
      </c>
      <c r="R1213" s="258">
        <f>INDEX('Escalators '!$M$124:$S$129,MATCH(I1213,'Escalators '!$B$124:$B$129,0),MATCH(J1213,'Escalators '!$M$113:$S$113,0))</f>
        <v>1.0400802295441569</v>
      </c>
      <c r="S1213" s="257">
        <f t="shared" si="247"/>
        <v>0</v>
      </c>
      <c r="T1213" s="257">
        <f t="shared" si="248"/>
        <v>0</v>
      </c>
      <c r="U1213" s="269">
        <f t="shared" si="249"/>
        <v>9542.9875675503754</v>
      </c>
      <c r="V1213" s="269">
        <f t="shared" si="250"/>
        <v>9542.9875675503754</v>
      </c>
      <c r="W1213" s="269">
        <f t="shared" si="251"/>
        <v>9542.9875675503754</v>
      </c>
      <c r="X1213" s="257">
        <f t="shared" si="252"/>
        <v>9542.9875675503754</v>
      </c>
      <c r="Y1213" s="270">
        <f>IF(L1213="Complex",(INDEX('Escalators '!$M$176:$S$176,MATCH('Forecast capex'!J1213,'Escalators '!$M$178:$S$178,0))/12+1)^((K1213-J1213)*12)-1,0)</f>
        <v>0</v>
      </c>
      <c r="Z1213" s="257">
        <f t="shared" si="253"/>
        <v>0</v>
      </c>
      <c r="AA1213" s="257">
        <f t="shared" si="254"/>
        <v>0</v>
      </c>
      <c r="AB1213" s="269">
        <f t="shared" si="255"/>
        <v>0</v>
      </c>
      <c r="AC1213" s="269">
        <f t="shared" si="256"/>
        <v>0</v>
      </c>
      <c r="AD1213" s="271" t="str">
        <f>INDEX('Global inputs'!$C$134:$C$171,MATCH(F1213,'Global inputs'!$B$134:$B$171,0))</f>
        <v xml:space="preserve">System growth </v>
      </c>
      <c r="AE1213" s="272">
        <f>IF(OR(H1213='Operating leases'!$B$32,H1213='Operating leases'!$B$33),"",INDEX('Global inputs'!$C$186:$C$243,MATCH(E1213,'Global inputs'!$B$186:$B$243,0)))</f>
        <v>0.08</v>
      </c>
    </row>
    <row r="1214" spans="1:31" s="27" customFormat="1" x14ac:dyDescent="0.2">
      <c r="A1214" s="250"/>
      <c r="B1214" s="210" t="s">
        <v>746</v>
      </c>
      <c r="C1214" s="210" t="s">
        <v>290</v>
      </c>
      <c r="D1214" s="210" t="s">
        <v>723</v>
      </c>
      <c r="E1214" s="210" t="s">
        <v>172</v>
      </c>
      <c r="F1214" s="210" t="s">
        <v>86</v>
      </c>
      <c r="G1214" s="210" t="s">
        <v>747</v>
      </c>
      <c r="H1214" s="197">
        <v>0</v>
      </c>
      <c r="I1214" s="210" t="s">
        <v>221</v>
      </c>
      <c r="J1214" s="210">
        <v>2024</v>
      </c>
      <c r="K1214" s="210">
        <v>2024</v>
      </c>
      <c r="L1214" s="268" t="str">
        <f t="shared" si="244"/>
        <v>Simple</v>
      </c>
      <c r="M1214" s="197">
        <v>2293.8104428090242</v>
      </c>
      <c r="N1214" s="197">
        <v>0</v>
      </c>
      <c r="O1214" s="257">
        <f>IF(ISNA(MATCH(H1214,'Operating leases'!$B$32:$B$43,0)),0,INDEX('Operating leases'!$M$32:$S$43,MATCH(H1214,'Operating leases'!$B$32:$B$43,0),MATCH(J1214,'Operating leases'!$M$11:$S$11,0)))</f>
        <v>0</v>
      </c>
      <c r="P1214" s="257">
        <f t="shared" si="245"/>
        <v>2293.8104428090242</v>
      </c>
      <c r="Q1214" s="257">
        <f t="shared" si="246"/>
        <v>2293.8104428090242</v>
      </c>
      <c r="R1214" s="258">
        <f>INDEX('Escalators '!$M$124:$S$129,MATCH(I1214,'Escalators '!$B$124:$B$129,0),MATCH(J1214,'Escalators '!$M$113:$S$113,0))</f>
        <v>1.06512715891222</v>
      </c>
      <c r="S1214" s="257">
        <f t="shared" si="247"/>
        <v>0</v>
      </c>
      <c r="T1214" s="257">
        <f t="shared" si="248"/>
        <v>0</v>
      </c>
      <c r="U1214" s="269">
        <f t="shared" si="249"/>
        <v>2443.199800032357</v>
      </c>
      <c r="V1214" s="269">
        <f t="shared" si="250"/>
        <v>2443.199800032357</v>
      </c>
      <c r="W1214" s="269">
        <f t="shared" si="251"/>
        <v>2443.199800032357</v>
      </c>
      <c r="X1214" s="257">
        <f t="shared" si="252"/>
        <v>2443.199800032357</v>
      </c>
      <c r="Y1214" s="270">
        <f>IF(L1214="Complex",(INDEX('Escalators '!$M$176:$S$176,MATCH('Forecast capex'!J1214,'Escalators '!$M$178:$S$178,0))/12+1)^((K1214-J1214)*12)-1,0)</f>
        <v>0</v>
      </c>
      <c r="Z1214" s="257">
        <f t="shared" si="253"/>
        <v>0</v>
      </c>
      <c r="AA1214" s="257">
        <f t="shared" si="254"/>
        <v>0</v>
      </c>
      <c r="AB1214" s="269">
        <f t="shared" si="255"/>
        <v>0</v>
      </c>
      <c r="AC1214" s="269">
        <f t="shared" si="256"/>
        <v>0</v>
      </c>
      <c r="AD1214" s="271" t="str">
        <f>INDEX('Global inputs'!$C$134:$C$171,MATCH(F1214,'Global inputs'!$B$134:$B$171,0))</f>
        <v xml:space="preserve">System growth </v>
      </c>
      <c r="AE1214" s="272">
        <f>IF(OR(H1214='Operating leases'!$B$32,H1214='Operating leases'!$B$33),"",INDEX('Global inputs'!$C$186:$C$243,MATCH(E1214,'Global inputs'!$B$186:$B$243,0)))</f>
        <v>0.08</v>
      </c>
    </row>
    <row r="1215" spans="1:31" s="27" customFormat="1" x14ac:dyDescent="0.2">
      <c r="A1215" s="250"/>
      <c r="B1215" s="210" t="s">
        <v>746</v>
      </c>
      <c r="C1215" s="210" t="s">
        <v>286</v>
      </c>
      <c r="D1215" s="210" t="s">
        <v>735</v>
      </c>
      <c r="E1215" s="210" t="s">
        <v>144</v>
      </c>
      <c r="F1215" s="210" t="s">
        <v>86</v>
      </c>
      <c r="G1215" s="210" t="s">
        <v>736</v>
      </c>
      <c r="H1215" s="197">
        <v>0</v>
      </c>
      <c r="I1215" s="210" t="s">
        <v>229</v>
      </c>
      <c r="J1215" s="210">
        <v>2024</v>
      </c>
      <c r="K1215" s="210">
        <v>2024</v>
      </c>
      <c r="L1215" s="268" t="str">
        <f t="shared" si="244"/>
        <v>Simple</v>
      </c>
      <c r="M1215" s="197">
        <v>4587.6208856180483</v>
      </c>
      <c r="N1215" s="197">
        <v>0</v>
      </c>
      <c r="O1215" s="257">
        <f>IF(ISNA(MATCH(H1215,'Operating leases'!$B$32:$B$43,0)),0,INDEX('Operating leases'!$M$32:$S$43,MATCH(H1215,'Operating leases'!$B$32:$B$43,0),MATCH(J1215,'Operating leases'!$M$11:$S$11,0)))</f>
        <v>0</v>
      </c>
      <c r="P1215" s="257">
        <f t="shared" si="245"/>
        <v>4587.6208856180483</v>
      </c>
      <c r="Q1215" s="257">
        <f t="shared" si="246"/>
        <v>4587.6208856180483</v>
      </c>
      <c r="R1215" s="258">
        <f>INDEX('Escalators '!$M$124:$S$129,MATCH(I1215,'Escalators '!$B$124:$B$129,0),MATCH(J1215,'Escalators '!$M$113:$S$113,0))</f>
        <v>1.0731681760713303</v>
      </c>
      <c r="S1215" s="257">
        <f t="shared" si="247"/>
        <v>0</v>
      </c>
      <c r="T1215" s="257">
        <f t="shared" si="248"/>
        <v>0</v>
      </c>
      <c r="U1215" s="269">
        <f t="shared" si="249"/>
        <v>4923.288738325462</v>
      </c>
      <c r="V1215" s="269">
        <f t="shared" si="250"/>
        <v>4923.288738325462</v>
      </c>
      <c r="W1215" s="269">
        <f t="shared" si="251"/>
        <v>4923.288738325462</v>
      </c>
      <c r="X1215" s="257">
        <f t="shared" si="252"/>
        <v>4923.288738325462</v>
      </c>
      <c r="Y1215" s="270">
        <f>IF(L1215="Complex",(INDEX('Escalators '!$M$176:$S$176,MATCH('Forecast capex'!J1215,'Escalators '!$M$178:$S$178,0))/12+1)^((K1215-J1215)*12)-1,0)</f>
        <v>0</v>
      </c>
      <c r="Z1215" s="257">
        <f t="shared" si="253"/>
        <v>0</v>
      </c>
      <c r="AA1215" s="257">
        <f t="shared" si="254"/>
        <v>0</v>
      </c>
      <c r="AB1215" s="269">
        <f t="shared" si="255"/>
        <v>0</v>
      </c>
      <c r="AC1215" s="269">
        <f t="shared" si="256"/>
        <v>0</v>
      </c>
      <c r="AD1215" s="271" t="str">
        <f>INDEX('Global inputs'!$C$134:$C$171,MATCH(F1215,'Global inputs'!$B$134:$B$171,0))</f>
        <v xml:space="preserve">System growth </v>
      </c>
      <c r="AE1215" s="272">
        <f>IF(OR(H1215='Operating leases'!$B$32,H1215='Operating leases'!$B$33),"",INDEX('Global inputs'!$C$186:$C$243,MATCH(E1215,'Global inputs'!$B$186:$B$243,0)))</f>
        <v>0.08</v>
      </c>
    </row>
    <row r="1216" spans="1:31" s="27" customFormat="1" x14ac:dyDescent="0.2">
      <c r="A1216" s="250"/>
      <c r="B1216" s="210" t="s">
        <v>746</v>
      </c>
      <c r="C1216" s="210" t="s">
        <v>286</v>
      </c>
      <c r="D1216" s="210" t="s">
        <v>735</v>
      </c>
      <c r="E1216" s="210" t="s">
        <v>144</v>
      </c>
      <c r="F1216" s="210" t="s">
        <v>86</v>
      </c>
      <c r="G1216" s="210" t="s">
        <v>736</v>
      </c>
      <c r="H1216" s="197">
        <v>0</v>
      </c>
      <c r="I1216" s="210" t="s">
        <v>221</v>
      </c>
      <c r="J1216" s="210">
        <v>2024</v>
      </c>
      <c r="K1216" s="210">
        <v>2024</v>
      </c>
      <c r="L1216" s="268" t="str">
        <f t="shared" si="244"/>
        <v>Simple</v>
      </c>
      <c r="M1216" s="197">
        <v>18350.483542472193</v>
      </c>
      <c r="N1216" s="197">
        <v>0</v>
      </c>
      <c r="O1216" s="257">
        <f>IF(ISNA(MATCH(H1216,'Operating leases'!$B$32:$B$43,0)),0,INDEX('Operating leases'!$M$32:$S$43,MATCH(H1216,'Operating leases'!$B$32:$B$43,0),MATCH(J1216,'Operating leases'!$M$11:$S$11,0)))</f>
        <v>0</v>
      </c>
      <c r="P1216" s="257">
        <f t="shared" si="245"/>
        <v>18350.483542472193</v>
      </c>
      <c r="Q1216" s="257">
        <f t="shared" si="246"/>
        <v>18350.483542472193</v>
      </c>
      <c r="R1216" s="258">
        <f>INDEX('Escalators '!$M$124:$S$129,MATCH(I1216,'Escalators '!$B$124:$B$129,0),MATCH(J1216,'Escalators '!$M$113:$S$113,0))</f>
        <v>1.06512715891222</v>
      </c>
      <c r="S1216" s="257">
        <f t="shared" si="247"/>
        <v>0</v>
      </c>
      <c r="T1216" s="257">
        <f t="shared" si="248"/>
        <v>0</v>
      </c>
      <c r="U1216" s="269">
        <f t="shared" si="249"/>
        <v>19545.598400258856</v>
      </c>
      <c r="V1216" s="269">
        <f t="shared" si="250"/>
        <v>19545.598400258856</v>
      </c>
      <c r="W1216" s="269">
        <f t="shared" si="251"/>
        <v>19545.598400258856</v>
      </c>
      <c r="X1216" s="257">
        <f t="shared" si="252"/>
        <v>19545.598400258856</v>
      </c>
      <c r="Y1216" s="270">
        <f>IF(L1216="Complex",(INDEX('Escalators '!$M$176:$S$176,MATCH('Forecast capex'!J1216,'Escalators '!$M$178:$S$178,0))/12+1)^((K1216-J1216)*12)-1,0)</f>
        <v>0</v>
      </c>
      <c r="Z1216" s="257">
        <f t="shared" si="253"/>
        <v>0</v>
      </c>
      <c r="AA1216" s="257">
        <f t="shared" si="254"/>
        <v>0</v>
      </c>
      <c r="AB1216" s="269">
        <f t="shared" si="255"/>
        <v>0</v>
      </c>
      <c r="AC1216" s="269">
        <f t="shared" si="256"/>
        <v>0</v>
      </c>
      <c r="AD1216" s="271" t="str">
        <f>INDEX('Global inputs'!$C$134:$C$171,MATCH(F1216,'Global inputs'!$B$134:$B$171,0))</f>
        <v xml:space="preserve">System growth </v>
      </c>
      <c r="AE1216" s="272">
        <f>IF(OR(H1216='Operating leases'!$B$32,H1216='Operating leases'!$B$33),"",INDEX('Global inputs'!$C$186:$C$243,MATCH(E1216,'Global inputs'!$B$186:$B$243,0)))</f>
        <v>0.08</v>
      </c>
    </row>
    <row r="1217" spans="1:31" s="27" customFormat="1" x14ac:dyDescent="0.2">
      <c r="A1217" s="250"/>
      <c r="B1217" s="210" t="s">
        <v>746</v>
      </c>
      <c r="C1217" s="210" t="s">
        <v>291</v>
      </c>
      <c r="D1217" s="210" t="s">
        <v>735</v>
      </c>
      <c r="E1217" s="210" t="s">
        <v>175</v>
      </c>
      <c r="F1217" s="210" t="s">
        <v>86</v>
      </c>
      <c r="G1217" s="210" t="s">
        <v>748</v>
      </c>
      <c r="H1217" s="197">
        <v>0</v>
      </c>
      <c r="I1217" s="210" t="s">
        <v>229</v>
      </c>
      <c r="J1217" s="210">
        <v>2024</v>
      </c>
      <c r="K1217" s="210">
        <v>2024</v>
      </c>
      <c r="L1217" s="268" t="str">
        <f t="shared" si="244"/>
        <v>Simple</v>
      </c>
      <c r="M1217" s="197">
        <v>2293.8104428090242</v>
      </c>
      <c r="N1217" s="197">
        <v>0</v>
      </c>
      <c r="O1217" s="257">
        <f>IF(ISNA(MATCH(H1217,'Operating leases'!$B$32:$B$43,0)),0,INDEX('Operating leases'!$M$32:$S$43,MATCH(H1217,'Operating leases'!$B$32:$B$43,0),MATCH(J1217,'Operating leases'!$M$11:$S$11,0)))</f>
        <v>0</v>
      </c>
      <c r="P1217" s="257">
        <f t="shared" si="245"/>
        <v>2293.8104428090242</v>
      </c>
      <c r="Q1217" s="257">
        <f t="shared" si="246"/>
        <v>2293.8104428090242</v>
      </c>
      <c r="R1217" s="258">
        <f>INDEX('Escalators '!$M$124:$S$129,MATCH(I1217,'Escalators '!$B$124:$B$129,0),MATCH(J1217,'Escalators '!$M$113:$S$113,0))</f>
        <v>1.0731681760713303</v>
      </c>
      <c r="S1217" s="257">
        <f t="shared" si="247"/>
        <v>0</v>
      </c>
      <c r="T1217" s="257">
        <f t="shared" si="248"/>
        <v>0</v>
      </c>
      <c r="U1217" s="269">
        <f t="shared" si="249"/>
        <v>2461.644369162731</v>
      </c>
      <c r="V1217" s="269">
        <f t="shared" si="250"/>
        <v>2461.644369162731</v>
      </c>
      <c r="W1217" s="269">
        <f t="shared" si="251"/>
        <v>2461.644369162731</v>
      </c>
      <c r="X1217" s="257">
        <f t="shared" si="252"/>
        <v>2461.644369162731</v>
      </c>
      <c r="Y1217" s="270">
        <f>IF(L1217="Complex",(INDEX('Escalators '!$M$176:$S$176,MATCH('Forecast capex'!J1217,'Escalators '!$M$178:$S$178,0))/12+1)^((K1217-J1217)*12)-1,0)</f>
        <v>0</v>
      </c>
      <c r="Z1217" s="257">
        <f t="shared" si="253"/>
        <v>0</v>
      </c>
      <c r="AA1217" s="257">
        <f t="shared" si="254"/>
        <v>0</v>
      </c>
      <c r="AB1217" s="269">
        <f t="shared" si="255"/>
        <v>0</v>
      </c>
      <c r="AC1217" s="269">
        <f t="shared" si="256"/>
        <v>0</v>
      </c>
      <c r="AD1217" s="271" t="str">
        <f>INDEX('Global inputs'!$C$134:$C$171,MATCH(F1217,'Global inputs'!$B$134:$B$171,0))</f>
        <v xml:space="preserve">System growth </v>
      </c>
      <c r="AE1217" s="272">
        <f>IF(OR(H1217='Operating leases'!$B$32,H1217='Operating leases'!$B$33),"",INDEX('Global inputs'!$C$186:$C$243,MATCH(E1217,'Global inputs'!$B$186:$B$243,0)))</f>
        <v>0.1</v>
      </c>
    </row>
    <row r="1218" spans="1:31" s="27" customFormat="1" x14ac:dyDescent="0.2">
      <c r="A1218" s="250"/>
      <c r="B1218" s="210" t="s">
        <v>746</v>
      </c>
      <c r="C1218" s="210" t="s">
        <v>291</v>
      </c>
      <c r="D1218" s="210" t="s">
        <v>735</v>
      </c>
      <c r="E1218" s="210" t="s">
        <v>175</v>
      </c>
      <c r="F1218" s="210" t="s">
        <v>86</v>
      </c>
      <c r="G1218" s="210" t="s">
        <v>748</v>
      </c>
      <c r="H1218" s="197">
        <v>0</v>
      </c>
      <c r="I1218" s="210" t="s">
        <v>221</v>
      </c>
      <c r="J1218" s="210">
        <v>2024</v>
      </c>
      <c r="K1218" s="210">
        <v>2024</v>
      </c>
      <c r="L1218" s="268" t="str">
        <f t="shared" si="244"/>
        <v>Simple</v>
      </c>
      <c r="M1218" s="197">
        <v>9175.2417712360966</v>
      </c>
      <c r="N1218" s="197">
        <v>0</v>
      </c>
      <c r="O1218" s="257">
        <f>IF(ISNA(MATCH(H1218,'Operating leases'!$B$32:$B$43,0)),0,INDEX('Operating leases'!$M$32:$S$43,MATCH(H1218,'Operating leases'!$B$32:$B$43,0),MATCH(J1218,'Operating leases'!$M$11:$S$11,0)))</f>
        <v>0</v>
      </c>
      <c r="P1218" s="257">
        <f t="shared" si="245"/>
        <v>9175.2417712360966</v>
      </c>
      <c r="Q1218" s="257">
        <f t="shared" si="246"/>
        <v>9175.2417712360966</v>
      </c>
      <c r="R1218" s="258">
        <f>INDEX('Escalators '!$M$124:$S$129,MATCH(I1218,'Escalators '!$B$124:$B$129,0),MATCH(J1218,'Escalators '!$M$113:$S$113,0))</f>
        <v>1.06512715891222</v>
      </c>
      <c r="S1218" s="257">
        <f t="shared" si="247"/>
        <v>0</v>
      </c>
      <c r="T1218" s="257">
        <f t="shared" si="248"/>
        <v>0</v>
      </c>
      <c r="U1218" s="269">
        <f t="shared" si="249"/>
        <v>9772.7992001294278</v>
      </c>
      <c r="V1218" s="269">
        <f t="shared" si="250"/>
        <v>9772.7992001294278</v>
      </c>
      <c r="W1218" s="269">
        <f t="shared" si="251"/>
        <v>9772.7992001294278</v>
      </c>
      <c r="X1218" s="257">
        <f t="shared" si="252"/>
        <v>9772.7992001294278</v>
      </c>
      <c r="Y1218" s="270">
        <f>IF(L1218="Complex",(INDEX('Escalators '!$M$176:$S$176,MATCH('Forecast capex'!J1218,'Escalators '!$M$178:$S$178,0))/12+1)^((K1218-J1218)*12)-1,0)</f>
        <v>0</v>
      </c>
      <c r="Z1218" s="257">
        <f t="shared" si="253"/>
        <v>0</v>
      </c>
      <c r="AA1218" s="257">
        <f t="shared" si="254"/>
        <v>0</v>
      </c>
      <c r="AB1218" s="269">
        <f t="shared" si="255"/>
        <v>0</v>
      </c>
      <c r="AC1218" s="269">
        <f t="shared" si="256"/>
        <v>0</v>
      </c>
      <c r="AD1218" s="271" t="str">
        <f>INDEX('Global inputs'!$C$134:$C$171,MATCH(F1218,'Global inputs'!$B$134:$B$171,0))</f>
        <v xml:space="preserve">System growth </v>
      </c>
      <c r="AE1218" s="272">
        <f>IF(OR(H1218='Operating leases'!$B$32,H1218='Operating leases'!$B$33),"",INDEX('Global inputs'!$C$186:$C$243,MATCH(E1218,'Global inputs'!$B$186:$B$243,0)))</f>
        <v>0.1</v>
      </c>
    </row>
    <row r="1219" spans="1:31" s="27" customFormat="1" x14ac:dyDescent="0.2">
      <c r="A1219" s="250"/>
      <c r="B1219" s="210" t="s">
        <v>746</v>
      </c>
      <c r="C1219" s="210" t="s">
        <v>288</v>
      </c>
      <c r="D1219" s="210" t="s">
        <v>223</v>
      </c>
      <c r="E1219" s="210" t="s">
        <v>156</v>
      </c>
      <c r="F1219" s="210" t="s">
        <v>86</v>
      </c>
      <c r="G1219" s="210" t="s">
        <v>727</v>
      </c>
      <c r="H1219" s="197">
        <v>0</v>
      </c>
      <c r="I1219" s="210" t="s">
        <v>223</v>
      </c>
      <c r="J1219" s="210">
        <v>2024</v>
      </c>
      <c r="K1219" s="210">
        <v>2024</v>
      </c>
      <c r="L1219" s="268" t="str">
        <f t="shared" si="244"/>
        <v>Simple</v>
      </c>
      <c r="M1219" s="197">
        <v>185798.64586753096</v>
      </c>
      <c r="N1219" s="197">
        <v>0</v>
      </c>
      <c r="O1219" s="257">
        <f>IF(ISNA(MATCH(H1219,'Operating leases'!$B$32:$B$43,0)),0,INDEX('Operating leases'!$M$32:$S$43,MATCH(H1219,'Operating leases'!$B$32:$B$43,0),MATCH(J1219,'Operating leases'!$M$11:$S$11,0)))</f>
        <v>0</v>
      </c>
      <c r="P1219" s="257">
        <f t="shared" si="245"/>
        <v>185798.64586753096</v>
      </c>
      <c r="Q1219" s="257">
        <f t="shared" si="246"/>
        <v>185798.64586753096</v>
      </c>
      <c r="R1219" s="258">
        <f>INDEX('Escalators '!$M$124:$S$129,MATCH(I1219,'Escalators '!$B$124:$B$129,0),MATCH(J1219,'Escalators '!$M$113:$S$113,0))</f>
        <v>1.0992204162588337</v>
      </c>
      <c r="S1219" s="257">
        <f t="shared" si="247"/>
        <v>0</v>
      </c>
      <c r="T1219" s="257">
        <f t="shared" si="248"/>
        <v>0</v>
      </c>
      <c r="U1219" s="269">
        <f t="shared" si="249"/>
        <v>204233.66485083502</v>
      </c>
      <c r="V1219" s="269">
        <f t="shared" si="250"/>
        <v>204233.66485083502</v>
      </c>
      <c r="W1219" s="269">
        <f t="shared" si="251"/>
        <v>204233.66485083502</v>
      </c>
      <c r="X1219" s="257">
        <f t="shared" si="252"/>
        <v>204233.66485083502</v>
      </c>
      <c r="Y1219" s="270">
        <f>IF(L1219="Complex",(INDEX('Escalators '!$M$176:$S$176,MATCH('Forecast capex'!J1219,'Escalators '!$M$178:$S$178,0))/12+1)^((K1219-J1219)*12)-1,0)</f>
        <v>0</v>
      </c>
      <c r="Z1219" s="257">
        <f t="shared" si="253"/>
        <v>0</v>
      </c>
      <c r="AA1219" s="257">
        <f t="shared" si="254"/>
        <v>0</v>
      </c>
      <c r="AB1219" s="269">
        <f t="shared" si="255"/>
        <v>0</v>
      </c>
      <c r="AC1219" s="269">
        <f t="shared" si="256"/>
        <v>0</v>
      </c>
      <c r="AD1219" s="271" t="str">
        <f>INDEX('Global inputs'!$C$134:$C$171,MATCH(F1219,'Global inputs'!$B$134:$B$171,0))</f>
        <v xml:space="preserve">System growth </v>
      </c>
      <c r="AE1219" s="272">
        <f>IF(OR(H1219='Operating leases'!$B$32,H1219='Operating leases'!$B$33),"",INDEX('Global inputs'!$C$186:$C$243,MATCH(E1219,'Global inputs'!$B$186:$B$243,0)))</f>
        <v>0.08</v>
      </c>
    </row>
    <row r="1220" spans="1:31" s="27" customFormat="1" x14ac:dyDescent="0.2">
      <c r="A1220" s="250"/>
      <c r="B1220" s="210" t="s">
        <v>746</v>
      </c>
      <c r="C1220" s="210" t="s">
        <v>288</v>
      </c>
      <c r="D1220" s="210" t="s">
        <v>223</v>
      </c>
      <c r="E1220" s="210" t="s">
        <v>156</v>
      </c>
      <c r="F1220" s="210" t="s">
        <v>86</v>
      </c>
      <c r="G1220" s="210" t="s">
        <v>727</v>
      </c>
      <c r="H1220" s="197">
        <v>0</v>
      </c>
      <c r="I1220" s="210" t="s">
        <v>221</v>
      </c>
      <c r="J1220" s="210">
        <v>2024</v>
      </c>
      <c r="K1220" s="210">
        <v>2024</v>
      </c>
      <c r="L1220" s="268" t="str">
        <f t="shared" si="244"/>
        <v>Simple</v>
      </c>
      <c r="M1220" s="197">
        <v>433530.17369090556</v>
      </c>
      <c r="N1220" s="197">
        <v>0</v>
      </c>
      <c r="O1220" s="257">
        <f>IF(ISNA(MATCH(H1220,'Operating leases'!$B$32:$B$43,0)),0,INDEX('Operating leases'!$M$32:$S$43,MATCH(H1220,'Operating leases'!$B$32:$B$43,0),MATCH(J1220,'Operating leases'!$M$11:$S$11,0)))</f>
        <v>0</v>
      </c>
      <c r="P1220" s="257">
        <f t="shared" si="245"/>
        <v>433530.17369090556</v>
      </c>
      <c r="Q1220" s="257">
        <f t="shared" si="246"/>
        <v>433530.17369090556</v>
      </c>
      <c r="R1220" s="258">
        <f>INDEX('Escalators '!$M$124:$S$129,MATCH(I1220,'Escalators '!$B$124:$B$129,0),MATCH(J1220,'Escalators '!$M$113:$S$113,0))</f>
        <v>1.06512715891222</v>
      </c>
      <c r="S1220" s="257">
        <f t="shared" si="247"/>
        <v>0</v>
      </c>
      <c r="T1220" s="257">
        <f t="shared" si="248"/>
        <v>0</v>
      </c>
      <c r="U1220" s="269">
        <f t="shared" si="249"/>
        <v>461764.76220611553</v>
      </c>
      <c r="V1220" s="269">
        <f t="shared" si="250"/>
        <v>461764.76220611553</v>
      </c>
      <c r="W1220" s="269">
        <f t="shared" si="251"/>
        <v>461764.76220611553</v>
      </c>
      <c r="X1220" s="257">
        <f t="shared" si="252"/>
        <v>461764.76220611553</v>
      </c>
      <c r="Y1220" s="270">
        <f>IF(L1220="Complex",(INDEX('Escalators '!$M$176:$S$176,MATCH('Forecast capex'!J1220,'Escalators '!$M$178:$S$178,0))/12+1)^((K1220-J1220)*12)-1,0)</f>
        <v>0</v>
      </c>
      <c r="Z1220" s="257">
        <f t="shared" si="253"/>
        <v>0</v>
      </c>
      <c r="AA1220" s="257">
        <f t="shared" si="254"/>
        <v>0</v>
      </c>
      <c r="AB1220" s="269">
        <f t="shared" si="255"/>
        <v>0</v>
      </c>
      <c r="AC1220" s="269">
        <f t="shared" si="256"/>
        <v>0</v>
      </c>
      <c r="AD1220" s="271" t="str">
        <f>INDEX('Global inputs'!$C$134:$C$171,MATCH(F1220,'Global inputs'!$B$134:$B$171,0))</f>
        <v xml:space="preserve">System growth </v>
      </c>
      <c r="AE1220" s="272">
        <f>IF(OR(H1220='Operating leases'!$B$32,H1220='Operating leases'!$B$33),"",INDEX('Global inputs'!$C$186:$C$243,MATCH(E1220,'Global inputs'!$B$186:$B$243,0)))</f>
        <v>0.08</v>
      </c>
    </row>
    <row r="1221" spans="1:31" s="27" customFormat="1" x14ac:dyDescent="0.2">
      <c r="A1221" s="250"/>
      <c r="B1221" s="210" t="s">
        <v>746</v>
      </c>
      <c r="C1221" s="210" t="s">
        <v>288</v>
      </c>
      <c r="D1221" s="210" t="s">
        <v>223</v>
      </c>
      <c r="E1221" s="210" t="s">
        <v>158</v>
      </c>
      <c r="F1221" s="210" t="s">
        <v>86</v>
      </c>
      <c r="G1221" s="210" t="s">
        <v>728</v>
      </c>
      <c r="H1221" s="197">
        <v>0</v>
      </c>
      <c r="I1221" s="210" t="s">
        <v>223</v>
      </c>
      <c r="J1221" s="210">
        <v>2024</v>
      </c>
      <c r="K1221" s="210">
        <v>2024</v>
      </c>
      <c r="L1221" s="268" t="str">
        <f t="shared" si="244"/>
        <v>Simple</v>
      </c>
      <c r="M1221" s="197">
        <v>18350.483542472193</v>
      </c>
      <c r="N1221" s="197">
        <v>0</v>
      </c>
      <c r="O1221" s="257">
        <f>IF(ISNA(MATCH(H1221,'Operating leases'!$B$32:$B$43,0)),0,INDEX('Operating leases'!$M$32:$S$43,MATCH(H1221,'Operating leases'!$B$32:$B$43,0),MATCH(J1221,'Operating leases'!$M$11:$S$11,0)))</f>
        <v>0</v>
      </c>
      <c r="P1221" s="257">
        <f t="shared" si="245"/>
        <v>18350.483542472193</v>
      </c>
      <c r="Q1221" s="257">
        <f t="shared" si="246"/>
        <v>18350.483542472193</v>
      </c>
      <c r="R1221" s="258">
        <f>INDEX('Escalators '!$M$124:$S$129,MATCH(I1221,'Escalators '!$B$124:$B$129,0),MATCH(J1221,'Escalators '!$M$113:$S$113,0))</f>
        <v>1.0992204162588337</v>
      </c>
      <c r="S1221" s="257">
        <f t="shared" si="247"/>
        <v>0</v>
      </c>
      <c r="T1221" s="257">
        <f t="shared" si="248"/>
        <v>0</v>
      </c>
      <c r="U1221" s="269">
        <f t="shared" si="249"/>
        <v>20171.226158107162</v>
      </c>
      <c r="V1221" s="269">
        <f t="shared" si="250"/>
        <v>20171.226158107162</v>
      </c>
      <c r="W1221" s="269">
        <f t="shared" si="251"/>
        <v>20171.226158107162</v>
      </c>
      <c r="X1221" s="257">
        <f t="shared" si="252"/>
        <v>20171.226158107162</v>
      </c>
      <c r="Y1221" s="270">
        <f>IF(L1221="Complex",(INDEX('Escalators '!$M$176:$S$176,MATCH('Forecast capex'!J1221,'Escalators '!$M$178:$S$178,0))/12+1)^((K1221-J1221)*12)-1,0)</f>
        <v>0</v>
      </c>
      <c r="Z1221" s="257">
        <f t="shared" si="253"/>
        <v>0</v>
      </c>
      <c r="AA1221" s="257">
        <f t="shared" si="254"/>
        <v>0</v>
      </c>
      <c r="AB1221" s="269">
        <f t="shared" si="255"/>
        <v>0</v>
      </c>
      <c r="AC1221" s="269">
        <f t="shared" si="256"/>
        <v>0</v>
      </c>
      <c r="AD1221" s="271" t="str">
        <f>INDEX('Global inputs'!$C$134:$C$171,MATCH(F1221,'Global inputs'!$B$134:$B$171,0))</f>
        <v xml:space="preserve">System growth </v>
      </c>
      <c r="AE1221" s="272">
        <f>IF(OR(H1221='Operating leases'!$B$32,H1221='Operating leases'!$B$33),"",INDEX('Global inputs'!$C$186:$C$243,MATCH(E1221,'Global inputs'!$B$186:$B$243,0)))</f>
        <v>0.08</v>
      </c>
    </row>
    <row r="1222" spans="1:31" s="27" customFormat="1" x14ac:dyDescent="0.2">
      <c r="A1222" s="250"/>
      <c r="B1222" s="210" t="s">
        <v>746</v>
      </c>
      <c r="C1222" s="210" t="s">
        <v>288</v>
      </c>
      <c r="D1222" s="210" t="s">
        <v>223</v>
      </c>
      <c r="E1222" s="210" t="s">
        <v>158</v>
      </c>
      <c r="F1222" s="210" t="s">
        <v>86</v>
      </c>
      <c r="G1222" s="210" t="s">
        <v>728</v>
      </c>
      <c r="H1222" s="197">
        <v>0</v>
      </c>
      <c r="I1222" s="210" t="s">
        <v>221</v>
      </c>
      <c r="J1222" s="210">
        <v>2024</v>
      </c>
      <c r="K1222" s="210">
        <v>2024</v>
      </c>
      <c r="L1222" s="268" t="str">
        <f t="shared" si="244"/>
        <v>Simple</v>
      </c>
      <c r="M1222" s="197">
        <v>27525.725313708281</v>
      </c>
      <c r="N1222" s="197">
        <v>0</v>
      </c>
      <c r="O1222" s="257">
        <f>IF(ISNA(MATCH(H1222,'Operating leases'!$B$32:$B$43,0)),0,INDEX('Operating leases'!$M$32:$S$43,MATCH(H1222,'Operating leases'!$B$32:$B$43,0),MATCH(J1222,'Operating leases'!$M$11:$S$11,0)))</f>
        <v>0</v>
      </c>
      <c r="P1222" s="257">
        <f t="shared" si="245"/>
        <v>27525.725313708281</v>
      </c>
      <c r="Q1222" s="257">
        <f t="shared" si="246"/>
        <v>27525.725313708281</v>
      </c>
      <c r="R1222" s="258">
        <f>INDEX('Escalators '!$M$124:$S$129,MATCH(I1222,'Escalators '!$B$124:$B$129,0),MATCH(J1222,'Escalators '!$M$113:$S$113,0))</f>
        <v>1.06512715891222</v>
      </c>
      <c r="S1222" s="257">
        <f t="shared" si="247"/>
        <v>0</v>
      </c>
      <c r="T1222" s="257">
        <f t="shared" si="248"/>
        <v>0</v>
      </c>
      <c r="U1222" s="269">
        <f t="shared" si="249"/>
        <v>29318.397600388274</v>
      </c>
      <c r="V1222" s="269">
        <f t="shared" si="250"/>
        <v>29318.397600388274</v>
      </c>
      <c r="W1222" s="269">
        <f t="shared" si="251"/>
        <v>29318.397600388274</v>
      </c>
      <c r="X1222" s="257">
        <f t="shared" si="252"/>
        <v>29318.397600388274</v>
      </c>
      <c r="Y1222" s="270">
        <f>IF(L1222="Complex",(INDEX('Escalators '!$M$176:$S$176,MATCH('Forecast capex'!J1222,'Escalators '!$M$178:$S$178,0))/12+1)^((K1222-J1222)*12)-1,0)</f>
        <v>0</v>
      </c>
      <c r="Z1222" s="257">
        <f t="shared" si="253"/>
        <v>0</v>
      </c>
      <c r="AA1222" s="257">
        <f t="shared" si="254"/>
        <v>0</v>
      </c>
      <c r="AB1222" s="269">
        <f t="shared" si="255"/>
        <v>0</v>
      </c>
      <c r="AC1222" s="269">
        <f t="shared" si="256"/>
        <v>0</v>
      </c>
      <c r="AD1222" s="271" t="str">
        <f>INDEX('Global inputs'!$C$134:$C$171,MATCH(F1222,'Global inputs'!$B$134:$B$171,0))</f>
        <v xml:space="preserve">System growth </v>
      </c>
      <c r="AE1222" s="272">
        <f>IF(OR(H1222='Operating leases'!$B$32,H1222='Operating leases'!$B$33),"",INDEX('Global inputs'!$C$186:$C$243,MATCH(E1222,'Global inputs'!$B$186:$B$243,0)))</f>
        <v>0.08</v>
      </c>
    </row>
    <row r="1223" spans="1:31" s="27" customFormat="1" x14ac:dyDescent="0.2">
      <c r="A1223" s="250"/>
      <c r="B1223" s="210" t="s">
        <v>746</v>
      </c>
      <c r="C1223" s="210" t="s">
        <v>287</v>
      </c>
      <c r="D1223" s="210" t="s">
        <v>729</v>
      </c>
      <c r="E1223" s="210" t="s">
        <v>150</v>
      </c>
      <c r="F1223" s="210" t="s">
        <v>86</v>
      </c>
      <c r="G1223" s="210" t="s">
        <v>731</v>
      </c>
      <c r="H1223" s="197">
        <v>0</v>
      </c>
      <c r="I1223" s="210" t="s">
        <v>225</v>
      </c>
      <c r="J1223" s="210">
        <v>2024</v>
      </c>
      <c r="K1223" s="210">
        <v>2024</v>
      </c>
      <c r="L1223" s="268" t="str">
        <f t="shared" si="244"/>
        <v>Simple</v>
      </c>
      <c r="M1223" s="197">
        <v>36700.967084944386</v>
      </c>
      <c r="N1223" s="197">
        <v>0</v>
      </c>
      <c r="O1223" s="257">
        <f>IF(ISNA(MATCH(H1223,'Operating leases'!$B$32:$B$43,0)),0,INDEX('Operating leases'!$M$32:$S$43,MATCH(H1223,'Operating leases'!$B$32:$B$43,0),MATCH(J1223,'Operating leases'!$M$11:$S$11,0)))</f>
        <v>0</v>
      </c>
      <c r="P1223" s="257">
        <f t="shared" si="245"/>
        <v>36700.967084944386</v>
      </c>
      <c r="Q1223" s="257">
        <f t="shared" si="246"/>
        <v>36700.967084944386</v>
      </c>
      <c r="R1223" s="258">
        <f>INDEX('Escalators '!$M$124:$S$129,MATCH(I1223,'Escalators '!$B$124:$B$129,0),MATCH(J1223,'Escalators '!$M$113:$S$113,0))</f>
        <v>1.0991168876021189</v>
      </c>
      <c r="S1223" s="257">
        <f t="shared" si="247"/>
        <v>0</v>
      </c>
      <c r="T1223" s="257">
        <f t="shared" si="248"/>
        <v>0</v>
      </c>
      <c r="U1223" s="269">
        <f t="shared" si="249"/>
        <v>40338.652714391887</v>
      </c>
      <c r="V1223" s="269">
        <f t="shared" si="250"/>
        <v>40338.652714391887</v>
      </c>
      <c r="W1223" s="269">
        <f t="shared" si="251"/>
        <v>40338.652714391887</v>
      </c>
      <c r="X1223" s="257">
        <f t="shared" si="252"/>
        <v>40338.652714391887</v>
      </c>
      <c r="Y1223" s="270">
        <f>IF(L1223="Complex",(INDEX('Escalators '!$M$176:$S$176,MATCH('Forecast capex'!J1223,'Escalators '!$M$178:$S$178,0))/12+1)^((K1223-J1223)*12)-1,0)</f>
        <v>0</v>
      </c>
      <c r="Z1223" s="257">
        <f t="shared" si="253"/>
        <v>0</v>
      </c>
      <c r="AA1223" s="257">
        <f t="shared" si="254"/>
        <v>0</v>
      </c>
      <c r="AB1223" s="269">
        <f t="shared" si="255"/>
        <v>0</v>
      </c>
      <c r="AC1223" s="269">
        <f t="shared" si="256"/>
        <v>0</v>
      </c>
      <c r="AD1223" s="271" t="str">
        <f>INDEX('Global inputs'!$C$134:$C$171,MATCH(F1223,'Global inputs'!$B$134:$B$171,0))</f>
        <v xml:space="preserve">System growth </v>
      </c>
      <c r="AE1223" s="272">
        <f>IF(OR(H1223='Operating leases'!$B$32,H1223='Operating leases'!$B$33),"",INDEX('Global inputs'!$C$186:$C$243,MATCH(E1223,'Global inputs'!$B$186:$B$243,0)))</f>
        <v>0.08</v>
      </c>
    </row>
    <row r="1224" spans="1:31" s="27" customFormat="1" x14ac:dyDescent="0.2">
      <c r="A1224" s="250"/>
      <c r="B1224" s="210" t="s">
        <v>746</v>
      </c>
      <c r="C1224" s="210" t="s">
        <v>287</v>
      </c>
      <c r="D1224" s="210" t="s">
        <v>729</v>
      </c>
      <c r="E1224" s="210" t="s">
        <v>150</v>
      </c>
      <c r="F1224" s="210" t="s">
        <v>86</v>
      </c>
      <c r="G1224" s="210" t="s">
        <v>731</v>
      </c>
      <c r="H1224" s="197">
        <v>0</v>
      </c>
      <c r="I1224" s="210" t="s">
        <v>221</v>
      </c>
      <c r="J1224" s="210">
        <v>2024</v>
      </c>
      <c r="K1224" s="210">
        <v>2024</v>
      </c>
      <c r="L1224" s="268" t="str">
        <f t="shared" si="244"/>
        <v>Simple</v>
      </c>
      <c r="M1224" s="197">
        <v>146803.86833977755</v>
      </c>
      <c r="N1224" s="197">
        <v>0</v>
      </c>
      <c r="O1224" s="257">
        <f>IF(ISNA(MATCH(H1224,'Operating leases'!$B$32:$B$43,0)),0,INDEX('Operating leases'!$M$32:$S$43,MATCH(H1224,'Operating leases'!$B$32:$B$43,0),MATCH(J1224,'Operating leases'!$M$11:$S$11,0)))</f>
        <v>0</v>
      </c>
      <c r="P1224" s="257">
        <f t="shared" si="245"/>
        <v>146803.86833977755</v>
      </c>
      <c r="Q1224" s="257">
        <f t="shared" si="246"/>
        <v>146803.86833977755</v>
      </c>
      <c r="R1224" s="258">
        <f>INDEX('Escalators '!$M$124:$S$129,MATCH(I1224,'Escalators '!$B$124:$B$129,0),MATCH(J1224,'Escalators '!$M$113:$S$113,0))</f>
        <v>1.06512715891222</v>
      </c>
      <c r="S1224" s="257">
        <f t="shared" si="247"/>
        <v>0</v>
      </c>
      <c r="T1224" s="257">
        <f t="shared" si="248"/>
        <v>0</v>
      </c>
      <c r="U1224" s="269">
        <f t="shared" si="249"/>
        <v>156364.78720207085</v>
      </c>
      <c r="V1224" s="269">
        <f t="shared" si="250"/>
        <v>156364.78720207085</v>
      </c>
      <c r="W1224" s="269">
        <f t="shared" si="251"/>
        <v>156364.78720207085</v>
      </c>
      <c r="X1224" s="257">
        <f t="shared" si="252"/>
        <v>156364.78720207085</v>
      </c>
      <c r="Y1224" s="270">
        <f>IF(L1224="Complex",(INDEX('Escalators '!$M$176:$S$176,MATCH('Forecast capex'!J1224,'Escalators '!$M$178:$S$178,0))/12+1)^((K1224-J1224)*12)-1,0)</f>
        <v>0</v>
      </c>
      <c r="Z1224" s="257">
        <f t="shared" si="253"/>
        <v>0</v>
      </c>
      <c r="AA1224" s="257">
        <f t="shared" si="254"/>
        <v>0</v>
      </c>
      <c r="AB1224" s="269">
        <f t="shared" si="255"/>
        <v>0</v>
      </c>
      <c r="AC1224" s="269">
        <f t="shared" si="256"/>
        <v>0</v>
      </c>
      <c r="AD1224" s="271" t="str">
        <f>INDEX('Global inputs'!$C$134:$C$171,MATCH(F1224,'Global inputs'!$B$134:$B$171,0))</f>
        <v xml:space="preserve">System growth </v>
      </c>
      <c r="AE1224" s="272">
        <f>IF(OR(H1224='Operating leases'!$B$32,H1224='Operating leases'!$B$33),"",INDEX('Global inputs'!$C$186:$C$243,MATCH(E1224,'Global inputs'!$B$186:$B$243,0)))</f>
        <v>0.08</v>
      </c>
    </row>
    <row r="1225" spans="1:31" s="27" customFormat="1" x14ac:dyDescent="0.2">
      <c r="A1225" s="250"/>
      <c r="B1225" s="210" t="s">
        <v>746</v>
      </c>
      <c r="C1225" s="210" t="s">
        <v>287</v>
      </c>
      <c r="D1225" s="210" t="s">
        <v>729</v>
      </c>
      <c r="E1225" s="210" t="s">
        <v>151</v>
      </c>
      <c r="F1225" s="210" t="s">
        <v>86</v>
      </c>
      <c r="G1225" s="210" t="s">
        <v>731</v>
      </c>
      <c r="H1225" s="197">
        <v>0</v>
      </c>
      <c r="I1225" s="210" t="s">
        <v>225</v>
      </c>
      <c r="J1225" s="210">
        <v>2024</v>
      </c>
      <c r="K1225" s="210">
        <v>2024</v>
      </c>
      <c r="L1225" s="268" t="str">
        <f t="shared" si="244"/>
        <v>Simple</v>
      </c>
      <c r="M1225" s="197">
        <v>36700.967084944386</v>
      </c>
      <c r="N1225" s="197">
        <v>0</v>
      </c>
      <c r="O1225" s="257">
        <f>IF(ISNA(MATCH(H1225,'Operating leases'!$B$32:$B$43,0)),0,INDEX('Operating leases'!$M$32:$S$43,MATCH(H1225,'Operating leases'!$B$32:$B$43,0),MATCH(J1225,'Operating leases'!$M$11:$S$11,0)))</f>
        <v>0</v>
      </c>
      <c r="P1225" s="257">
        <f t="shared" si="245"/>
        <v>36700.967084944386</v>
      </c>
      <c r="Q1225" s="257">
        <f t="shared" si="246"/>
        <v>36700.967084944386</v>
      </c>
      <c r="R1225" s="258">
        <f>INDEX('Escalators '!$M$124:$S$129,MATCH(I1225,'Escalators '!$B$124:$B$129,0),MATCH(J1225,'Escalators '!$M$113:$S$113,0))</f>
        <v>1.0991168876021189</v>
      </c>
      <c r="S1225" s="257">
        <f t="shared" si="247"/>
        <v>0</v>
      </c>
      <c r="T1225" s="257">
        <f t="shared" si="248"/>
        <v>0</v>
      </c>
      <c r="U1225" s="269">
        <f t="shared" si="249"/>
        <v>40338.652714391887</v>
      </c>
      <c r="V1225" s="269">
        <f t="shared" si="250"/>
        <v>40338.652714391887</v>
      </c>
      <c r="W1225" s="269">
        <f t="shared" si="251"/>
        <v>40338.652714391887</v>
      </c>
      <c r="X1225" s="257">
        <f t="shared" si="252"/>
        <v>40338.652714391887</v>
      </c>
      <c r="Y1225" s="270">
        <f>IF(L1225="Complex",(INDEX('Escalators '!$M$176:$S$176,MATCH('Forecast capex'!J1225,'Escalators '!$M$178:$S$178,0))/12+1)^((K1225-J1225)*12)-1,0)</f>
        <v>0</v>
      </c>
      <c r="Z1225" s="257">
        <f t="shared" si="253"/>
        <v>0</v>
      </c>
      <c r="AA1225" s="257">
        <f t="shared" si="254"/>
        <v>0</v>
      </c>
      <c r="AB1225" s="269">
        <f t="shared" si="255"/>
        <v>0</v>
      </c>
      <c r="AC1225" s="269">
        <f t="shared" si="256"/>
        <v>0</v>
      </c>
      <c r="AD1225" s="271" t="str">
        <f>INDEX('Global inputs'!$C$134:$C$171,MATCH(F1225,'Global inputs'!$B$134:$B$171,0))</f>
        <v xml:space="preserve">System growth </v>
      </c>
      <c r="AE1225" s="272">
        <f>IF(OR(H1225='Operating leases'!$B$32,H1225='Operating leases'!$B$33),"",INDEX('Global inputs'!$C$186:$C$243,MATCH(E1225,'Global inputs'!$B$186:$B$243,0)))</f>
        <v>0.1</v>
      </c>
    </row>
    <row r="1226" spans="1:31" s="27" customFormat="1" x14ac:dyDescent="0.2">
      <c r="A1226" s="250"/>
      <c r="B1226" s="210" t="s">
        <v>746</v>
      </c>
      <c r="C1226" s="210" t="s">
        <v>287</v>
      </c>
      <c r="D1226" s="210" t="s">
        <v>729</v>
      </c>
      <c r="E1226" s="210" t="s">
        <v>151</v>
      </c>
      <c r="F1226" s="210" t="s">
        <v>86</v>
      </c>
      <c r="G1226" s="210" t="s">
        <v>731</v>
      </c>
      <c r="H1226" s="197">
        <v>0</v>
      </c>
      <c r="I1226" s="210" t="s">
        <v>221</v>
      </c>
      <c r="J1226" s="210">
        <v>2024</v>
      </c>
      <c r="K1226" s="210">
        <v>2024</v>
      </c>
      <c r="L1226" s="268" t="str">
        <f t="shared" ref="L1226:L1289" si="257">IF(J1226=K1226,"Simple","Complex")</f>
        <v>Simple</v>
      </c>
      <c r="M1226" s="197">
        <v>146803.86833977755</v>
      </c>
      <c r="N1226" s="197">
        <v>0</v>
      </c>
      <c r="O1226" s="257">
        <f>IF(ISNA(MATCH(H1226,'Operating leases'!$B$32:$B$43,0)),0,INDEX('Operating leases'!$M$32:$S$43,MATCH(H1226,'Operating leases'!$B$32:$B$43,0),MATCH(J1226,'Operating leases'!$M$11:$S$11,0)))</f>
        <v>0</v>
      </c>
      <c r="P1226" s="257">
        <f t="shared" ref="P1226:P1289" si="258">O1226+M1226</f>
        <v>146803.86833977755</v>
      </c>
      <c r="Q1226" s="257">
        <f t="shared" ref="Q1226:Q1289" si="259">M1226+N1226+O1226</f>
        <v>146803.86833977755</v>
      </c>
      <c r="R1226" s="258">
        <f>INDEX('Escalators '!$M$124:$S$129,MATCH(I1226,'Escalators '!$B$124:$B$129,0),MATCH(J1226,'Escalators '!$M$113:$S$113,0))</f>
        <v>1.06512715891222</v>
      </c>
      <c r="S1226" s="257">
        <f t="shared" ref="S1226:S1289" si="260">O1226*R1226</f>
        <v>0</v>
      </c>
      <c r="T1226" s="257">
        <f t="shared" ref="T1226:T1289" si="261">N1226*R1226</f>
        <v>0</v>
      </c>
      <c r="U1226" s="269">
        <f t="shared" ref="U1226:U1289" si="262">W1226-S1226</f>
        <v>156364.78720207085</v>
      </c>
      <c r="V1226" s="269">
        <f t="shared" ref="V1226:V1289" si="263">U1226+T1226</f>
        <v>156364.78720207085</v>
      </c>
      <c r="W1226" s="269">
        <f t="shared" ref="W1226:W1289" si="264">X1226-T1226</f>
        <v>156364.78720207085</v>
      </c>
      <c r="X1226" s="257">
        <f t="shared" ref="X1226:X1289" si="265">Q1226*R1226</f>
        <v>156364.78720207085</v>
      </c>
      <c r="Y1226" s="270">
        <f>IF(L1226="Complex",(INDEX('Escalators '!$M$176:$S$176,MATCH('Forecast capex'!J1226,'Escalators '!$M$178:$S$178,0))/12+1)^((K1226-J1226)*12)-1,0)</f>
        <v>0</v>
      </c>
      <c r="Z1226" s="257">
        <f t="shared" ref="Z1226:Z1289" si="266">P1226*Y1226</f>
        <v>0</v>
      </c>
      <c r="AA1226" s="257">
        <f t="shared" ref="AA1226:AA1289" si="267">W1226*Y1226</f>
        <v>0</v>
      </c>
      <c r="AB1226" s="269">
        <f t="shared" ref="AB1226:AB1289" si="268">IF(L1226="Complex",AC1226-T1226,0)</f>
        <v>0</v>
      </c>
      <c r="AC1226" s="269">
        <f t="shared" ref="AC1226:AC1289" si="269">IF(L1226="Complex",V1226+AA1226,0)</f>
        <v>0</v>
      </c>
      <c r="AD1226" s="271" t="str">
        <f>INDEX('Global inputs'!$C$134:$C$171,MATCH(F1226,'Global inputs'!$B$134:$B$171,0))</f>
        <v xml:space="preserve">System growth </v>
      </c>
      <c r="AE1226" s="272">
        <f>IF(OR(H1226='Operating leases'!$B$32,H1226='Operating leases'!$B$33),"",INDEX('Global inputs'!$C$186:$C$243,MATCH(E1226,'Global inputs'!$B$186:$B$243,0)))</f>
        <v>0.1</v>
      </c>
    </row>
    <row r="1227" spans="1:31" s="27" customFormat="1" x14ac:dyDescent="0.2">
      <c r="A1227" s="250"/>
      <c r="B1227" s="210" t="s">
        <v>746</v>
      </c>
      <c r="C1227" s="210" t="s">
        <v>287</v>
      </c>
      <c r="D1227" s="210" t="s">
        <v>729</v>
      </c>
      <c r="E1227" s="210" t="s">
        <v>153</v>
      </c>
      <c r="F1227" s="210" t="s">
        <v>86</v>
      </c>
      <c r="G1227" s="210" t="s">
        <v>737</v>
      </c>
      <c r="H1227" s="197">
        <v>0</v>
      </c>
      <c r="I1227" s="210" t="s">
        <v>225</v>
      </c>
      <c r="J1227" s="210">
        <v>2024</v>
      </c>
      <c r="K1227" s="210">
        <v>2024</v>
      </c>
      <c r="L1227" s="268" t="str">
        <f t="shared" si="257"/>
        <v>Simple</v>
      </c>
      <c r="M1227" s="197">
        <v>6881.4313284270711</v>
      </c>
      <c r="N1227" s="197">
        <v>0</v>
      </c>
      <c r="O1227" s="257">
        <f>IF(ISNA(MATCH(H1227,'Operating leases'!$B$32:$B$43,0)),0,INDEX('Operating leases'!$M$32:$S$43,MATCH(H1227,'Operating leases'!$B$32:$B$43,0),MATCH(J1227,'Operating leases'!$M$11:$S$11,0)))</f>
        <v>0</v>
      </c>
      <c r="P1227" s="257">
        <f t="shared" si="258"/>
        <v>6881.4313284270711</v>
      </c>
      <c r="Q1227" s="257">
        <f t="shared" si="259"/>
        <v>6881.4313284270711</v>
      </c>
      <c r="R1227" s="258">
        <f>INDEX('Escalators '!$M$124:$S$129,MATCH(I1227,'Escalators '!$B$124:$B$129,0),MATCH(J1227,'Escalators '!$M$113:$S$113,0))</f>
        <v>1.0991168876021189</v>
      </c>
      <c r="S1227" s="257">
        <f t="shared" si="260"/>
        <v>0</v>
      </c>
      <c r="T1227" s="257">
        <f t="shared" si="261"/>
        <v>0</v>
      </c>
      <c r="U1227" s="269">
        <f t="shared" si="262"/>
        <v>7563.4973839484765</v>
      </c>
      <c r="V1227" s="269">
        <f t="shared" si="263"/>
        <v>7563.4973839484765</v>
      </c>
      <c r="W1227" s="269">
        <f t="shared" si="264"/>
        <v>7563.4973839484765</v>
      </c>
      <c r="X1227" s="257">
        <f t="shared" si="265"/>
        <v>7563.4973839484765</v>
      </c>
      <c r="Y1227" s="270">
        <f>IF(L1227="Complex",(INDEX('Escalators '!$M$176:$S$176,MATCH('Forecast capex'!J1227,'Escalators '!$M$178:$S$178,0))/12+1)^((K1227-J1227)*12)-1,0)</f>
        <v>0</v>
      </c>
      <c r="Z1227" s="257">
        <f t="shared" si="266"/>
        <v>0</v>
      </c>
      <c r="AA1227" s="257">
        <f t="shared" si="267"/>
        <v>0</v>
      </c>
      <c r="AB1227" s="269">
        <f t="shared" si="268"/>
        <v>0</v>
      </c>
      <c r="AC1227" s="269">
        <f t="shared" si="269"/>
        <v>0</v>
      </c>
      <c r="AD1227" s="271" t="str">
        <f>INDEX('Global inputs'!$C$134:$C$171,MATCH(F1227,'Global inputs'!$B$134:$B$171,0))</f>
        <v xml:space="preserve">System growth </v>
      </c>
      <c r="AE1227" s="272">
        <f>IF(OR(H1227='Operating leases'!$B$32,H1227='Operating leases'!$B$33),"",INDEX('Global inputs'!$C$186:$C$243,MATCH(E1227,'Global inputs'!$B$186:$B$243,0)))</f>
        <v>0.08</v>
      </c>
    </row>
    <row r="1228" spans="1:31" s="27" customFormat="1" x14ac:dyDescent="0.2">
      <c r="A1228" s="250"/>
      <c r="B1228" s="210" t="s">
        <v>746</v>
      </c>
      <c r="C1228" s="210" t="s">
        <v>287</v>
      </c>
      <c r="D1228" s="210" t="s">
        <v>729</v>
      </c>
      <c r="E1228" s="210" t="s">
        <v>153</v>
      </c>
      <c r="F1228" s="210" t="s">
        <v>86</v>
      </c>
      <c r="G1228" s="210" t="s">
        <v>737</v>
      </c>
      <c r="H1228" s="197">
        <v>0</v>
      </c>
      <c r="I1228" s="210" t="s">
        <v>221</v>
      </c>
      <c r="J1228" s="210">
        <v>2024</v>
      </c>
      <c r="K1228" s="210">
        <v>2024</v>
      </c>
      <c r="L1228" s="268" t="str">
        <f t="shared" si="257"/>
        <v>Simple</v>
      </c>
      <c r="M1228" s="197">
        <v>27525.725313708284</v>
      </c>
      <c r="N1228" s="197">
        <v>0</v>
      </c>
      <c r="O1228" s="257">
        <f>IF(ISNA(MATCH(H1228,'Operating leases'!$B$32:$B$43,0)),0,INDEX('Operating leases'!$M$32:$S$43,MATCH(H1228,'Operating leases'!$B$32:$B$43,0),MATCH(J1228,'Operating leases'!$M$11:$S$11,0)))</f>
        <v>0</v>
      </c>
      <c r="P1228" s="257">
        <f t="shared" si="258"/>
        <v>27525.725313708284</v>
      </c>
      <c r="Q1228" s="257">
        <f t="shared" si="259"/>
        <v>27525.725313708284</v>
      </c>
      <c r="R1228" s="258">
        <f>INDEX('Escalators '!$M$124:$S$129,MATCH(I1228,'Escalators '!$B$124:$B$129,0),MATCH(J1228,'Escalators '!$M$113:$S$113,0))</f>
        <v>1.06512715891222</v>
      </c>
      <c r="S1228" s="257">
        <f t="shared" si="260"/>
        <v>0</v>
      </c>
      <c r="T1228" s="257">
        <f t="shared" si="261"/>
        <v>0</v>
      </c>
      <c r="U1228" s="269">
        <f t="shared" si="262"/>
        <v>29318.397600388282</v>
      </c>
      <c r="V1228" s="269">
        <f t="shared" si="263"/>
        <v>29318.397600388282</v>
      </c>
      <c r="W1228" s="269">
        <f t="shared" si="264"/>
        <v>29318.397600388282</v>
      </c>
      <c r="X1228" s="257">
        <f t="shared" si="265"/>
        <v>29318.397600388282</v>
      </c>
      <c r="Y1228" s="270">
        <f>IF(L1228="Complex",(INDEX('Escalators '!$M$176:$S$176,MATCH('Forecast capex'!J1228,'Escalators '!$M$178:$S$178,0))/12+1)^((K1228-J1228)*12)-1,0)</f>
        <v>0</v>
      </c>
      <c r="Z1228" s="257">
        <f t="shared" si="266"/>
        <v>0</v>
      </c>
      <c r="AA1228" s="257">
        <f t="shared" si="267"/>
        <v>0</v>
      </c>
      <c r="AB1228" s="269">
        <f t="shared" si="268"/>
        <v>0</v>
      </c>
      <c r="AC1228" s="269">
        <f t="shared" si="269"/>
        <v>0</v>
      </c>
      <c r="AD1228" s="271" t="str">
        <f>INDEX('Global inputs'!$C$134:$C$171,MATCH(F1228,'Global inputs'!$B$134:$B$171,0))</f>
        <v xml:space="preserve">System growth </v>
      </c>
      <c r="AE1228" s="272">
        <f>IF(OR(H1228='Operating leases'!$B$32,H1228='Operating leases'!$B$33),"",INDEX('Global inputs'!$C$186:$C$243,MATCH(E1228,'Global inputs'!$B$186:$B$243,0)))</f>
        <v>0.08</v>
      </c>
    </row>
    <row r="1229" spans="1:31" s="27" customFormat="1" x14ac:dyDescent="0.2">
      <c r="A1229" s="250"/>
      <c r="B1229" s="210" t="s">
        <v>746</v>
      </c>
      <c r="C1229" s="210" t="s">
        <v>287</v>
      </c>
      <c r="D1229" s="210" t="s">
        <v>729</v>
      </c>
      <c r="E1229" s="210" t="s">
        <v>154</v>
      </c>
      <c r="F1229" s="210" t="s">
        <v>86</v>
      </c>
      <c r="G1229" s="210" t="s">
        <v>737</v>
      </c>
      <c r="H1229" s="197">
        <v>0</v>
      </c>
      <c r="I1229" s="210" t="s">
        <v>225</v>
      </c>
      <c r="J1229" s="210">
        <v>2024</v>
      </c>
      <c r="K1229" s="210">
        <v>2024</v>
      </c>
      <c r="L1229" s="268" t="str">
        <f t="shared" si="257"/>
        <v>Simple</v>
      </c>
      <c r="M1229" s="197">
        <v>6881.4313284270711</v>
      </c>
      <c r="N1229" s="197">
        <v>0</v>
      </c>
      <c r="O1229" s="257">
        <f>IF(ISNA(MATCH(H1229,'Operating leases'!$B$32:$B$43,0)),0,INDEX('Operating leases'!$M$32:$S$43,MATCH(H1229,'Operating leases'!$B$32:$B$43,0),MATCH(J1229,'Operating leases'!$M$11:$S$11,0)))</f>
        <v>0</v>
      </c>
      <c r="P1229" s="257">
        <f t="shared" si="258"/>
        <v>6881.4313284270711</v>
      </c>
      <c r="Q1229" s="257">
        <f t="shared" si="259"/>
        <v>6881.4313284270711</v>
      </c>
      <c r="R1229" s="258">
        <f>INDEX('Escalators '!$M$124:$S$129,MATCH(I1229,'Escalators '!$B$124:$B$129,0),MATCH(J1229,'Escalators '!$M$113:$S$113,0))</f>
        <v>1.0991168876021189</v>
      </c>
      <c r="S1229" s="257">
        <f t="shared" si="260"/>
        <v>0</v>
      </c>
      <c r="T1229" s="257">
        <f t="shared" si="261"/>
        <v>0</v>
      </c>
      <c r="U1229" s="269">
        <f t="shared" si="262"/>
        <v>7563.4973839484765</v>
      </c>
      <c r="V1229" s="269">
        <f t="shared" si="263"/>
        <v>7563.4973839484765</v>
      </c>
      <c r="W1229" s="269">
        <f t="shared" si="264"/>
        <v>7563.4973839484765</v>
      </c>
      <c r="X1229" s="257">
        <f t="shared" si="265"/>
        <v>7563.4973839484765</v>
      </c>
      <c r="Y1229" s="270">
        <f>IF(L1229="Complex",(INDEX('Escalators '!$M$176:$S$176,MATCH('Forecast capex'!J1229,'Escalators '!$M$178:$S$178,0))/12+1)^((K1229-J1229)*12)-1,0)</f>
        <v>0</v>
      </c>
      <c r="Z1229" s="257">
        <f t="shared" si="266"/>
        <v>0</v>
      </c>
      <c r="AA1229" s="257">
        <f t="shared" si="267"/>
        <v>0</v>
      </c>
      <c r="AB1229" s="269">
        <f t="shared" si="268"/>
        <v>0</v>
      </c>
      <c r="AC1229" s="269">
        <f t="shared" si="269"/>
        <v>0</v>
      </c>
      <c r="AD1229" s="271" t="str">
        <f>INDEX('Global inputs'!$C$134:$C$171,MATCH(F1229,'Global inputs'!$B$134:$B$171,0))</f>
        <v xml:space="preserve">System growth </v>
      </c>
      <c r="AE1229" s="272">
        <f>IF(OR(H1229='Operating leases'!$B$32,H1229='Operating leases'!$B$33),"",INDEX('Global inputs'!$C$186:$C$243,MATCH(E1229,'Global inputs'!$B$186:$B$243,0)))</f>
        <v>0.1</v>
      </c>
    </row>
    <row r="1230" spans="1:31" s="27" customFormat="1" x14ac:dyDescent="0.2">
      <c r="A1230" s="250"/>
      <c r="B1230" s="210" t="s">
        <v>746</v>
      </c>
      <c r="C1230" s="210" t="s">
        <v>287</v>
      </c>
      <c r="D1230" s="210" t="s">
        <v>729</v>
      </c>
      <c r="E1230" s="210" t="s">
        <v>154</v>
      </c>
      <c r="F1230" s="210" t="s">
        <v>86</v>
      </c>
      <c r="G1230" s="210" t="s">
        <v>737</v>
      </c>
      <c r="H1230" s="197">
        <v>0</v>
      </c>
      <c r="I1230" s="210" t="s">
        <v>221</v>
      </c>
      <c r="J1230" s="210">
        <v>2024</v>
      </c>
      <c r="K1230" s="210">
        <v>2024</v>
      </c>
      <c r="L1230" s="268" t="str">
        <f t="shared" si="257"/>
        <v>Simple</v>
      </c>
      <c r="M1230" s="197">
        <v>27525.725313708284</v>
      </c>
      <c r="N1230" s="197">
        <v>0</v>
      </c>
      <c r="O1230" s="257">
        <f>IF(ISNA(MATCH(H1230,'Operating leases'!$B$32:$B$43,0)),0,INDEX('Operating leases'!$M$32:$S$43,MATCH(H1230,'Operating leases'!$B$32:$B$43,0),MATCH(J1230,'Operating leases'!$M$11:$S$11,0)))</f>
        <v>0</v>
      </c>
      <c r="P1230" s="257">
        <f t="shared" si="258"/>
        <v>27525.725313708284</v>
      </c>
      <c r="Q1230" s="257">
        <f t="shared" si="259"/>
        <v>27525.725313708284</v>
      </c>
      <c r="R1230" s="258">
        <f>INDEX('Escalators '!$M$124:$S$129,MATCH(I1230,'Escalators '!$B$124:$B$129,0),MATCH(J1230,'Escalators '!$M$113:$S$113,0))</f>
        <v>1.06512715891222</v>
      </c>
      <c r="S1230" s="257">
        <f t="shared" si="260"/>
        <v>0</v>
      </c>
      <c r="T1230" s="257">
        <f t="shared" si="261"/>
        <v>0</v>
      </c>
      <c r="U1230" s="269">
        <f t="shared" si="262"/>
        <v>29318.397600388282</v>
      </c>
      <c r="V1230" s="269">
        <f t="shared" si="263"/>
        <v>29318.397600388282</v>
      </c>
      <c r="W1230" s="269">
        <f t="shared" si="264"/>
        <v>29318.397600388282</v>
      </c>
      <c r="X1230" s="257">
        <f t="shared" si="265"/>
        <v>29318.397600388282</v>
      </c>
      <c r="Y1230" s="270">
        <f>IF(L1230="Complex",(INDEX('Escalators '!$M$176:$S$176,MATCH('Forecast capex'!J1230,'Escalators '!$M$178:$S$178,0))/12+1)^((K1230-J1230)*12)-1,0)</f>
        <v>0</v>
      </c>
      <c r="Z1230" s="257">
        <f t="shared" si="266"/>
        <v>0</v>
      </c>
      <c r="AA1230" s="257">
        <f t="shared" si="267"/>
        <v>0</v>
      </c>
      <c r="AB1230" s="269">
        <f t="shared" si="268"/>
        <v>0</v>
      </c>
      <c r="AC1230" s="269">
        <f t="shared" si="269"/>
        <v>0</v>
      </c>
      <c r="AD1230" s="271" t="str">
        <f>INDEX('Global inputs'!$C$134:$C$171,MATCH(F1230,'Global inputs'!$B$134:$B$171,0))</f>
        <v xml:space="preserve">System growth </v>
      </c>
      <c r="AE1230" s="272">
        <f>IF(OR(H1230='Operating leases'!$B$32,H1230='Operating leases'!$B$33),"",INDEX('Global inputs'!$C$186:$C$243,MATCH(E1230,'Global inputs'!$B$186:$B$243,0)))</f>
        <v>0.1</v>
      </c>
    </row>
    <row r="1231" spans="1:31" s="27" customFormat="1" x14ac:dyDescent="0.2">
      <c r="A1231" s="250"/>
      <c r="B1231" s="210" t="s">
        <v>742</v>
      </c>
      <c r="C1231" s="210" t="s">
        <v>287</v>
      </c>
      <c r="D1231" s="210" t="s">
        <v>715</v>
      </c>
      <c r="E1231" s="210" t="s">
        <v>150</v>
      </c>
      <c r="F1231" s="210" t="s">
        <v>99</v>
      </c>
      <c r="G1231" s="210" t="s">
        <v>716</v>
      </c>
      <c r="H1231" s="197">
        <v>0</v>
      </c>
      <c r="I1231" s="210" t="s">
        <v>229</v>
      </c>
      <c r="J1231" s="210">
        <v>2024</v>
      </c>
      <c r="K1231" s="210">
        <v>2024</v>
      </c>
      <c r="L1231" s="268" t="str">
        <f t="shared" si="257"/>
        <v>Simple</v>
      </c>
      <c r="M1231" s="197">
        <v>4867800</v>
      </c>
      <c r="N1231" s="197">
        <v>0</v>
      </c>
      <c r="O1231" s="257">
        <f>IF(ISNA(MATCH(H1231,'Operating leases'!$B$32:$B$43,0)),0,INDEX('Operating leases'!$M$32:$S$43,MATCH(H1231,'Operating leases'!$B$32:$B$43,0),MATCH(J1231,'Operating leases'!$M$11:$S$11,0)))</f>
        <v>0</v>
      </c>
      <c r="P1231" s="257">
        <f t="shared" si="258"/>
        <v>4867800</v>
      </c>
      <c r="Q1231" s="257">
        <f t="shared" si="259"/>
        <v>4867800</v>
      </c>
      <c r="R1231" s="258">
        <f>INDEX('Escalators '!$M$124:$S$129,MATCH(I1231,'Escalators '!$B$124:$B$129,0),MATCH(J1231,'Escalators '!$M$113:$S$113,0))</f>
        <v>1.0731681760713303</v>
      </c>
      <c r="S1231" s="257">
        <f t="shared" si="260"/>
        <v>0</v>
      </c>
      <c r="T1231" s="257">
        <f t="shared" si="261"/>
        <v>0</v>
      </c>
      <c r="U1231" s="269">
        <f t="shared" si="262"/>
        <v>5223968.0474800216</v>
      </c>
      <c r="V1231" s="269">
        <f t="shared" si="263"/>
        <v>5223968.0474800216</v>
      </c>
      <c r="W1231" s="269">
        <f t="shared" si="264"/>
        <v>5223968.0474800216</v>
      </c>
      <c r="X1231" s="257">
        <f t="shared" si="265"/>
        <v>5223968.0474800216</v>
      </c>
      <c r="Y1231" s="270">
        <f>IF(L1231="Complex",(INDEX('Escalators '!$M$176:$S$176,MATCH('Forecast capex'!J1231,'Escalators '!$M$178:$S$178,0))/12+1)^((K1231-J1231)*12)-1,0)</f>
        <v>0</v>
      </c>
      <c r="Z1231" s="257">
        <f t="shared" si="266"/>
        <v>0</v>
      </c>
      <c r="AA1231" s="257">
        <f t="shared" si="267"/>
        <v>0</v>
      </c>
      <c r="AB1231" s="269">
        <f t="shared" si="268"/>
        <v>0</v>
      </c>
      <c r="AC1231" s="269">
        <f t="shared" si="269"/>
        <v>0</v>
      </c>
      <c r="AD1231" s="271" t="str">
        <f>INDEX('Global inputs'!$C$134:$C$171,MATCH(F1231,'Global inputs'!$B$134:$B$171,0))</f>
        <v>Asset replacement and renewal</v>
      </c>
      <c r="AE1231" s="272">
        <f>IF(OR(H1231='Operating leases'!$B$32,H1231='Operating leases'!$B$33),"",INDEX('Global inputs'!$C$186:$C$243,MATCH(E1231,'Global inputs'!$B$186:$B$243,0)))</f>
        <v>0.08</v>
      </c>
    </row>
    <row r="1232" spans="1:31" s="27" customFormat="1" x14ac:dyDescent="0.2">
      <c r="A1232" s="250"/>
      <c r="B1232" s="210" t="s">
        <v>742</v>
      </c>
      <c r="C1232" s="210" t="s">
        <v>287</v>
      </c>
      <c r="D1232" s="210" t="s">
        <v>715</v>
      </c>
      <c r="E1232" s="210" t="s">
        <v>150</v>
      </c>
      <c r="F1232" s="210" t="s">
        <v>99</v>
      </c>
      <c r="G1232" s="210" t="s">
        <v>716</v>
      </c>
      <c r="H1232" s="197">
        <v>0</v>
      </c>
      <c r="I1232" s="210" t="s">
        <v>221</v>
      </c>
      <c r="J1232" s="210">
        <v>2024</v>
      </c>
      <c r="K1232" s="210">
        <v>2024</v>
      </c>
      <c r="L1232" s="268" t="str">
        <f t="shared" si="257"/>
        <v>Simple</v>
      </c>
      <c r="M1232" s="197">
        <v>4867800</v>
      </c>
      <c r="N1232" s="197">
        <v>0</v>
      </c>
      <c r="O1232" s="257">
        <f>IF(ISNA(MATCH(H1232,'Operating leases'!$B$32:$B$43,0)),0,INDEX('Operating leases'!$M$32:$S$43,MATCH(H1232,'Operating leases'!$B$32:$B$43,0),MATCH(J1232,'Operating leases'!$M$11:$S$11,0)))</f>
        <v>0</v>
      </c>
      <c r="P1232" s="257">
        <f t="shared" si="258"/>
        <v>4867800</v>
      </c>
      <c r="Q1232" s="257">
        <f t="shared" si="259"/>
        <v>4867800</v>
      </c>
      <c r="R1232" s="258">
        <f>INDEX('Escalators '!$M$124:$S$129,MATCH(I1232,'Escalators '!$B$124:$B$129,0),MATCH(J1232,'Escalators '!$M$113:$S$113,0))</f>
        <v>1.06512715891222</v>
      </c>
      <c r="S1232" s="257">
        <f t="shared" si="260"/>
        <v>0</v>
      </c>
      <c r="T1232" s="257">
        <f t="shared" si="261"/>
        <v>0</v>
      </c>
      <c r="U1232" s="269">
        <f t="shared" si="262"/>
        <v>5184825.9841529047</v>
      </c>
      <c r="V1232" s="269">
        <f t="shared" si="263"/>
        <v>5184825.9841529047</v>
      </c>
      <c r="W1232" s="269">
        <f t="shared" si="264"/>
        <v>5184825.9841529047</v>
      </c>
      <c r="X1232" s="257">
        <f t="shared" si="265"/>
        <v>5184825.9841529047</v>
      </c>
      <c r="Y1232" s="270">
        <f>IF(L1232="Complex",(INDEX('Escalators '!$M$176:$S$176,MATCH('Forecast capex'!J1232,'Escalators '!$M$178:$S$178,0))/12+1)^((K1232-J1232)*12)-1,0)</f>
        <v>0</v>
      </c>
      <c r="Z1232" s="257">
        <f t="shared" si="266"/>
        <v>0</v>
      </c>
      <c r="AA1232" s="257">
        <f t="shared" si="267"/>
        <v>0</v>
      </c>
      <c r="AB1232" s="269">
        <f t="shared" si="268"/>
        <v>0</v>
      </c>
      <c r="AC1232" s="269">
        <f t="shared" si="269"/>
        <v>0</v>
      </c>
      <c r="AD1232" s="271" t="str">
        <f>INDEX('Global inputs'!$C$134:$C$171,MATCH(F1232,'Global inputs'!$B$134:$B$171,0))</f>
        <v>Asset replacement and renewal</v>
      </c>
      <c r="AE1232" s="272">
        <f>IF(OR(H1232='Operating leases'!$B$32,H1232='Operating leases'!$B$33),"",INDEX('Global inputs'!$C$186:$C$243,MATCH(E1232,'Global inputs'!$B$186:$B$243,0)))</f>
        <v>0.08</v>
      </c>
    </row>
    <row r="1233" spans="1:31" s="27" customFormat="1" x14ac:dyDescent="0.2">
      <c r="A1233" s="250"/>
      <c r="B1233" s="210" t="s">
        <v>742</v>
      </c>
      <c r="C1233" s="210" t="s">
        <v>287</v>
      </c>
      <c r="D1233" s="210" t="s">
        <v>715</v>
      </c>
      <c r="E1233" s="210" t="s">
        <v>150</v>
      </c>
      <c r="F1233" s="210" t="s">
        <v>101</v>
      </c>
      <c r="G1233" s="210" t="s">
        <v>717</v>
      </c>
      <c r="H1233" s="197">
        <v>0</v>
      </c>
      <c r="I1233" s="210" t="s">
        <v>229</v>
      </c>
      <c r="J1233" s="210">
        <v>2024</v>
      </c>
      <c r="K1233" s="210">
        <v>2024</v>
      </c>
      <c r="L1233" s="268" t="str">
        <f t="shared" si="257"/>
        <v>Simple</v>
      </c>
      <c r="M1233" s="197">
        <v>4041576</v>
      </c>
      <c r="N1233" s="197">
        <v>0</v>
      </c>
      <c r="O1233" s="257">
        <f>IF(ISNA(MATCH(H1233,'Operating leases'!$B$32:$B$43,0)),0,INDEX('Operating leases'!$M$32:$S$43,MATCH(H1233,'Operating leases'!$B$32:$B$43,0),MATCH(J1233,'Operating leases'!$M$11:$S$11,0)))</f>
        <v>0</v>
      </c>
      <c r="P1233" s="257">
        <f t="shared" si="258"/>
        <v>4041576</v>
      </c>
      <c r="Q1233" s="257">
        <f t="shared" si="259"/>
        <v>4041576</v>
      </c>
      <c r="R1233" s="258">
        <f>INDEX('Escalators '!$M$124:$S$129,MATCH(I1233,'Escalators '!$B$124:$B$129,0),MATCH(J1233,'Escalators '!$M$113:$S$113,0))</f>
        <v>1.0731681760713303</v>
      </c>
      <c r="S1233" s="257">
        <f t="shared" si="260"/>
        <v>0</v>
      </c>
      <c r="T1233" s="257">
        <f t="shared" si="261"/>
        <v>0</v>
      </c>
      <c r="U1233" s="269">
        <f t="shared" si="262"/>
        <v>4337290.7443736624</v>
      </c>
      <c r="V1233" s="269">
        <f t="shared" si="263"/>
        <v>4337290.7443736624</v>
      </c>
      <c r="W1233" s="269">
        <f t="shared" si="264"/>
        <v>4337290.7443736624</v>
      </c>
      <c r="X1233" s="257">
        <f t="shared" si="265"/>
        <v>4337290.7443736624</v>
      </c>
      <c r="Y1233" s="270">
        <f>IF(L1233="Complex",(INDEX('Escalators '!$M$176:$S$176,MATCH('Forecast capex'!J1233,'Escalators '!$M$178:$S$178,0))/12+1)^((K1233-J1233)*12)-1,0)</f>
        <v>0</v>
      </c>
      <c r="Z1233" s="257">
        <f t="shared" si="266"/>
        <v>0</v>
      </c>
      <c r="AA1233" s="257">
        <f t="shared" si="267"/>
        <v>0</v>
      </c>
      <c r="AB1233" s="269">
        <f t="shared" si="268"/>
        <v>0</v>
      </c>
      <c r="AC1233" s="269">
        <f t="shared" si="269"/>
        <v>0</v>
      </c>
      <c r="AD1233" s="271" t="str">
        <f>INDEX('Global inputs'!$C$134:$C$171,MATCH(F1233,'Global inputs'!$B$134:$B$171,0))</f>
        <v>Asset replacement and renewal</v>
      </c>
      <c r="AE1233" s="272">
        <f>IF(OR(H1233='Operating leases'!$B$32,H1233='Operating leases'!$B$33),"",INDEX('Global inputs'!$C$186:$C$243,MATCH(E1233,'Global inputs'!$B$186:$B$243,0)))</f>
        <v>0.08</v>
      </c>
    </row>
    <row r="1234" spans="1:31" s="27" customFormat="1" x14ac:dyDescent="0.2">
      <c r="A1234" s="250"/>
      <c r="B1234" s="210" t="s">
        <v>742</v>
      </c>
      <c r="C1234" s="210" t="s">
        <v>287</v>
      </c>
      <c r="D1234" s="210" t="s">
        <v>715</v>
      </c>
      <c r="E1234" s="210" t="s">
        <v>150</v>
      </c>
      <c r="F1234" s="210" t="s">
        <v>101</v>
      </c>
      <c r="G1234" s="210" t="s">
        <v>717</v>
      </c>
      <c r="H1234" s="197">
        <v>0</v>
      </c>
      <c r="I1234" s="210" t="s">
        <v>221</v>
      </c>
      <c r="J1234" s="210">
        <v>2024</v>
      </c>
      <c r="K1234" s="210">
        <v>2024</v>
      </c>
      <c r="L1234" s="268" t="str">
        <f t="shared" si="257"/>
        <v>Simple</v>
      </c>
      <c r="M1234" s="197">
        <v>4041576</v>
      </c>
      <c r="N1234" s="197">
        <v>0</v>
      </c>
      <c r="O1234" s="257">
        <f>IF(ISNA(MATCH(H1234,'Operating leases'!$B$32:$B$43,0)),0,INDEX('Operating leases'!$M$32:$S$43,MATCH(H1234,'Operating leases'!$B$32:$B$43,0),MATCH(J1234,'Operating leases'!$M$11:$S$11,0)))</f>
        <v>0</v>
      </c>
      <c r="P1234" s="257">
        <f t="shared" si="258"/>
        <v>4041576</v>
      </c>
      <c r="Q1234" s="257">
        <f t="shared" si="259"/>
        <v>4041576</v>
      </c>
      <c r="R1234" s="258">
        <f>INDEX('Escalators '!$M$124:$S$129,MATCH(I1234,'Escalators '!$B$124:$B$129,0),MATCH(J1234,'Escalators '!$M$113:$S$113,0))</f>
        <v>1.06512715891222</v>
      </c>
      <c r="S1234" s="257">
        <f t="shared" si="260"/>
        <v>0</v>
      </c>
      <c r="T1234" s="257">
        <f t="shared" si="261"/>
        <v>0</v>
      </c>
      <c r="U1234" s="269">
        <f t="shared" si="262"/>
        <v>4304792.3624078147</v>
      </c>
      <c r="V1234" s="269">
        <f t="shared" si="263"/>
        <v>4304792.3624078147</v>
      </c>
      <c r="W1234" s="269">
        <f t="shared" si="264"/>
        <v>4304792.3624078147</v>
      </c>
      <c r="X1234" s="257">
        <f t="shared" si="265"/>
        <v>4304792.3624078147</v>
      </c>
      <c r="Y1234" s="270">
        <f>IF(L1234="Complex",(INDEX('Escalators '!$M$176:$S$176,MATCH('Forecast capex'!J1234,'Escalators '!$M$178:$S$178,0))/12+1)^((K1234-J1234)*12)-1,0)</f>
        <v>0</v>
      </c>
      <c r="Z1234" s="257">
        <f t="shared" si="266"/>
        <v>0</v>
      </c>
      <c r="AA1234" s="257">
        <f t="shared" si="267"/>
        <v>0</v>
      </c>
      <c r="AB1234" s="269">
        <f t="shared" si="268"/>
        <v>0</v>
      </c>
      <c r="AC1234" s="269">
        <f t="shared" si="269"/>
        <v>0</v>
      </c>
      <c r="AD1234" s="271" t="str">
        <f>INDEX('Global inputs'!$C$134:$C$171,MATCH(F1234,'Global inputs'!$B$134:$B$171,0))</f>
        <v>Asset replacement and renewal</v>
      </c>
      <c r="AE1234" s="272">
        <f>IF(OR(H1234='Operating leases'!$B$32,H1234='Operating leases'!$B$33),"",INDEX('Global inputs'!$C$186:$C$243,MATCH(E1234,'Global inputs'!$B$186:$B$243,0)))</f>
        <v>0.08</v>
      </c>
    </row>
    <row r="1235" spans="1:31" s="27" customFormat="1" x14ac:dyDescent="0.2">
      <c r="A1235" s="250"/>
      <c r="B1235" s="210" t="s">
        <v>742</v>
      </c>
      <c r="C1235" s="210" t="s">
        <v>287</v>
      </c>
      <c r="D1235" s="210" t="s">
        <v>729</v>
      </c>
      <c r="E1235" s="210" t="s">
        <v>150</v>
      </c>
      <c r="F1235" s="210" t="s">
        <v>103</v>
      </c>
      <c r="G1235" s="210" t="s">
        <v>731</v>
      </c>
      <c r="H1235" s="197">
        <v>0</v>
      </c>
      <c r="I1235" s="210" t="s">
        <v>225</v>
      </c>
      <c r="J1235" s="210">
        <v>2024</v>
      </c>
      <c r="K1235" s="210">
        <v>2024</v>
      </c>
      <c r="L1235" s="268" t="str">
        <f t="shared" si="257"/>
        <v>Simple</v>
      </c>
      <c r="M1235" s="197">
        <v>1134015</v>
      </c>
      <c r="N1235" s="197">
        <v>0</v>
      </c>
      <c r="O1235" s="257">
        <f>IF(ISNA(MATCH(H1235,'Operating leases'!$B$32:$B$43,0)),0,INDEX('Operating leases'!$M$32:$S$43,MATCH(H1235,'Operating leases'!$B$32:$B$43,0),MATCH(J1235,'Operating leases'!$M$11:$S$11,0)))</f>
        <v>0</v>
      </c>
      <c r="P1235" s="257">
        <f t="shared" si="258"/>
        <v>1134015</v>
      </c>
      <c r="Q1235" s="257">
        <f t="shared" si="259"/>
        <v>1134015</v>
      </c>
      <c r="R1235" s="258">
        <f>INDEX('Escalators '!$M$124:$S$129,MATCH(I1235,'Escalators '!$B$124:$B$129,0),MATCH(J1235,'Escalators '!$M$113:$S$113,0))</f>
        <v>1.0991168876021189</v>
      </c>
      <c r="S1235" s="257">
        <f t="shared" si="260"/>
        <v>0</v>
      </c>
      <c r="T1235" s="257">
        <f t="shared" si="261"/>
        <v>0</v>
      </c>
      <c r="U1235" s="269">
        <f t="shared" si="262"/>
        <v>1246415.0372941168</v>
      </c>
      <c r="V1235" s="269">
        <f t="shared" si="263"/>
        <v>1246415.0372941168</v>
      </c>
      <c r="W1235" s="269">
        <f t="shared" si="264"/>
        <v>1246415.0372941168</v>
      </c>
      <c r="X1235" s="257">
        <f t="shared" si="265"/>
        <v>1246415.0372941168</v>
      </c>
      <c r="Y1235" s="270">
        <f>IF(L1235="Complex",(INDEX('Escalators '!$M$176:$S$176,MATCH('Forecast capex'!J1235,'Escalators '!$M$178:$S$178,0))/12+1)^((K1235-J1235)*12)-1,0)</f>
        <v>0</v>
      </c>
      <c r="Z1235" s="257">
        <f t="shared" si="266"/>
        <v>0</v>
      </c>
      <c r="AA1235" s="257">
        <f t="shared" si="267"/>
        <v>0</v>
      </c>
      <c r="AB1235" s="269">
        <f t="shared" si="268"/>
        <v>0</v>
      </c>
      <c r="AC1235" s="269">
        <f t="shared" si="269"/>
        <v>0</v>
      </c>
      <c r="AD1235" s="271" t="str">
        <f>INDEX('Global inputs'!$C$134:$C$171,MATCH(F1235,'Global inputs'!$B$134:$B$171,0))</f>
        <v>Asset replacement and renewal</v>
      </c>
      <c r="AE1235" s="272">
        <f>IF(OR(H1235='Operating leases'!$B$32,H1235='Operating leases'!$B$33),"",INDEX('Global inputs'!$C$186:$C$243,MATCH(E1235,'Global inputs'!$B$186:$B$243,0)))</f>
        <v>0.08</v>
      </c>
    </row>
    <row r="1236" spans="1:31" s="27" customFormat="1" x14ac:dyDescent="0.2">
      <c r="A1236" s="250"/>
      <c r="B1236" s="210" t="s">
        <v>742</v>
      </c>
      <c r="C1236" s="210" t="s">
        <v>287</v>
      </c>
      <c r="D1236" s="210" t="s">
        <v>729</v>
      </c>
      <c r="E1236" s="210" t="s">
        <v>150</v>
      </c>
      <c r="F1236" s="210" t="s">
        <v>103</v>
      </c>
      <c r="G1236" s="210" t="s">
        <v>731</v>
      </c>
      <c r="H1236" s="197">
        <v>0</v>
      </c>
      <c r="I1236" s="210" t="s">
        <v>221</v>
      </c>
      <c r="J1236" s="210">
        <v>2024</v>
      </c>
      <c r="K1236" s="210">
        <v>2024</v>
      </c>
      <c r="L1236" s="268" t="str">
        <f t="shared" si="257"/>
        <v>Simple</v>
      </c>
      <c r="M1236" s="197">
        <v>4536060</v>
      </c>
      <c r="N1236" s="197">
        <v>0</v>
      </c>
      <c r="O1236" s="257">
        <f>IF(ISNA(MATCH(H1236,'Operating leases'!$B$32:$B$43,0)),0,INDEX('Operating leases'!$M$32:$S$43,MATCH(H1236,'Operating leases'!$B$32:$B$43,0),MATCH(J1236,'Operating leases'!$M$11:$S$11,0)))</f>
        <v>0</v>
      </c>
      <c r="P1236" s="257">
        <f t="shared" si="258"/>
        <v>4536060</v>
      </c>
      <c r="Q1236" s="257">
        <f t="shared" si="259"/>
        <v>4536060</v>
      </c>
      <c r="R1236" s="258">
        <f>INDEX('Escalators '!$M$124:$S$129,MATCH(I1236,'Escalators '!$B$124:$B$129,0),MATCH(J1236,'Escalators '!$M$113:$S$113,0))</f>
        <v>1.06512715891222</v>
      </c>
      <c r="S1236" s="257">
        <f t="shared" si="260"/>
        <v>0</v>
      </c>
      <c r="T1236" s="257">
        <f t="shared" si="261"/>
        <v>0</v>
      </c>
      <c r="U1236" s="269">
        <f t="shared" si="262"/>
        <v>4831480.7004553648</v>
      </c>
      <c r="V1236" s="269">
        <f t="shared" si="263"/>
        <v>4831480.7004553648</v>
      </c>
      <c r="W1236" s="269">
        <f t="shared" si="264"/>
        <v>4831480.7004553648</v>
      </c>
      <c r="X1236" s="257">
        <f t="shared" si="265"/>
        <v>4831480.7004553648</v>
      </c>
      <c r="Y1236" s="270">
        <f>IF(L1236="Complex",(INDEX('Escalators '!$M$176:$S$176,MATCH('Forecast capex'!J1236,'Escalators '!$M$178:$S$178,0))/12+1)^((K1236-J1236)*12)-1,0)</f>
        <v>0</v>
      </c>
      <c r="Z1236" s="257">
        <f t="shared" si="266"/>
        <v>0</v>
      </c>
      <c r="AA1236" s="257">
        <f t="shared" si="267"/>
        <v>0</v>
      </c>
      <c r="AB1236" s="269">
        <f t="shared" si="268"/>
        <v>0</v>
      </c>
      <c r="AC1236" s="269">
        <f t="shared" si="269"/>
        <v>0</v>
      </c>
      <c r="AD1236" s="271" t="str">
        <f>INDEX('Global inputs'!$C$134:$C$171,MATCH(F1236,'Global inputs'!$B$134:$B$171,0))</f>
        <v>Asset replacement and renewal</v>
      </c>
      <c r="AE1236" s="272">
        <f>IF(OR(H1236='Operating leases'!$B$32,H1236='Operating leases'!$B$33),"",INDEX('Global inputs'!$C$186:$C$243,MATCH(E1236,'Global inputs'!$B$186:$B$243,0)))</f>
        <v>0.08</v>
      </c>
    </row>
    <row r="1237" spans="1:31" s="27" customFormat="1" x14ac:dyDescent="0.2">
      <c r="A1237" s="250"/>
      <c r="B1237" s="210" t="s">
        <v>742</v>
      </c>
      <c r="C1237" s="210" t="s">
        <v>287</v>
      </c>
      <c r="D1237" s="210" t="s">
        <v>729</v>
      </c>
      <c r="E1237" s="210" t="s">
        <v>150</v>
      </c>
      <c r="F1237" s="210" t="s">
        <v>104</v>
      </c>
      <c r="G1237" s="210" t="s">
        <v>731</v>
      </c>
      <c r="H1237" s="197">
        <v>0</v>
      </c>
      <c r="I1237" s="210" t="s">
        <v>225</v>
      </c>
      <c r="J1237" s="210">
        <v>2024</v>
      </c>
      <c r="K1237" s="210">
        <v>2024</v>
      </c>
      <c r="L1237" s="268" t="str">
        <f t="shared" si="257"/>
        <v>Simple</v>
      </c>
      <c r="M1237" s="197">
        <v>811566</v>
      </c>
      <c r="N1237" s="197">
        <v>0</v>
      </c>
      <c r="O1237" s="257">
        <f>IF(ISNA(MATCH(H1237,'Operating leases'!$B$32:$B$43,0)),0,INDEX('Operating leases'!$M$32:$S$43,MATCH(H1237,'Operating leases'!$B$32:$B$43,0),MATCH(J1237,'Operating leases'!$M$11:$S$11,0)))</f>
        <v>0</v>
      </c>
      <c r="P1237" s="257">
        <f t="shared" si="258"/>
        <v>811566</v>
      </c>
      <c r="Q1237" s="257">
        <f t="shared" si="259"/>
        <v>811566</v>
      </c>
      <c r="R1237" s="258">
        <f>INDEX('Escalators '!$M$124:$S$129,MATCH(I1237,'Escalators '!$B$124:$B$129,0),MATCH(J1237,'Escalators '!$M$113:$S$113,0))</f>
        <v>1.0991168876021189</v>
      </c>
      <c r="S1237" s="257">
        <f t="shared" si="260"/>
        <v>0</v>
      </c>
      <c r="T1237" s="257">
        <f t="shared" si="261"/>
        <v>0</v>
      </c>
      <c r="U1237" s="269">
        <f t="shared" si="262"/>
        <v>892005.89600370126</v>
      </c>
      <c r="V1237" s="269">
        <f t="shared" si="263"/>
        <v>892005.89600370126</v>
      </c>
      <c r="W1237" s="269">
        <f t="shared" si="264"/>
        <v>892005.89600370126</v>
      </c>
      <c r="X1237" s="257">
        <f t="shared" si="265"/>
        <v>892005.89600370126</v>
      </c>
      <c r="Y1237" s="270">
        <f>IF(L1237="Complex",(INDEX('Escalators '!$M$176:$S$176,MATCH('Forecast capex'!J1237,'Escalators '!$M$178:$S$178,0))/12+1)^((K1237-J1237)*12)-1,0)</f>
        <v>0</v>
      </c>
      <c r="Z1237" s="257">
        <f t="shared" si="266"/>
        <v>0</v>
      </c>
      <c r="AA1237" s="257">
        <f t="shared" si="267"/>
        <v>0</v>
      </c>
      <c r="AB1237" s="269">
        <f t="shared" si="268"/>
        <v>0</v>
      </c>
      <c r="AC1237" s="269">
        <f t="shared" si="269"/>
        <v>0</v>
      </c>
      <c r="AD1237" s="271" t="str">
        <f>INDEX('Global inputs'!$C$134:$C$171,MATCH(F1237,'Global inputs'!$B$134:$B$171,0))</f>
        <v>Asset replacement and renewal</v>
      </c>
      <c r="AE1237" s="272">
        <f>IF(OR(H1237='Operating leases'!$B$32,H1237='Operating leases'!$B$33),"",INDEX('Global inputs'!$C$186:$C$243,MATCH(E1237,'Global inputs'!$B$186:$B$243,0)))</f>
        <v>0.08</v>
      </c>
    </row>
    <row r="1238" spans="1:31" s="27" customFormat="1" x14ac:dyDescent="0.2">
      <c r="A1238" s="250"/>
      <c r="B1238" s="210" t="s">
        <v>742</v>
      </c>
      <c r="C1238" s="210" t="s">
        <v>287</v>
      </c>
      <c r="D1238" s="210" t="s">
        <v>729</v>
      </c>
      <c r="E1238" s="210" t="s">
        <v>150</v>
      </c>
      <c r="F1238" s="210" t="s">
        <v>104</v>
      </c>
      <c r="G1238" s="210" t="s">
        <v>731</v>
      </c>
      <c r="H1238" s="197">
        <v>0</v>
      </c>
      <c r="I1238" s="210" t="s">
        <v>221</v>
      </c>
      <c r="J1238" s="210">
        <v>2024</v>
      </c>
      <c r="K1238" s="210">
        <v>2024</v>
      </c>
      <c r="L1238" s="268" t="str">
        <f t="shared" si="257"/>
        <v>Simple</v>
      </c>
      <c r="M1238" s="197">
        <v>3246264</v>
      </c>
      <c r="N1238" s="197">
        <v>0</v>
      </c>
      <c r="O1238" s="257">
        <f>IF(ISNA(MATCH(H1238,'Operating leases'!$B$32:$B$43,0)),0,INDEX('Operating leases'!$M$32:$S$43,MATCH(H1238,'Operating leases'!$B$32:$B$43,0),MATCH(J1238,'Operating leases'!$M$11:$S$11,0)))</f>
        <v>0</v>
      </c>
      <c r="P1238" s="257">
        <f t="shared" si="258"/>
        <v>3246264</v>
      </c>
      <c r="Q1238" s="257">
        <f t="shared" si="259"/>
        <v>3246264</v>
      </c>
      <c r="R1238" s="258">
        <f>INDEX('Escalators '!$M$124:$S$129,MATCH(I1238,'Escalators '!$B$124:$B$129,0),MATCH(J1238,'Escalators '!$M$113:$S$113,0))</f>
        <v>1.06512715891222</v>
      </c>
      <c r="S1238" s="257">
        <f t="shared" si="260"/>
        <v>0</v>
      </c>
      <c r="T1238" s="257">
        <f t="shared" si="261"/>
        <v>0</v>
      </c>
      <c r="U1238" s="269">
        <f t="shared" si="262"/>
        <v>3457683.951399019</v>
      </c>
      <c r="V1238" s="269">
        <f t="shared" si="263"/>
        <v>3457683.951399019</v>
      </c>
      <c r="W1238" s="269">
        <f t="shared" si="264"/>
        <v>3457683.951399019</v>
      </c>
      <c r="X1238" s="257">
        <f t="shared" si="265"/>
        <v>3457683.951399019</v>
      </c>
      <c r="Y1238" s="270">
        <f>IF(L1238="Complex",(INDEX('Escalators '!$M$176:$S$176,MATCH('Forecast capex'!J1238,'Escalators '!$M$178:$S$178,0))/12+1)^((K1238-J1238)*12)-1,0)</f>
        <v>0</v>
      </c>
      <c r="Z1238" s="257">
        <f t="shared" si="266"/>
        <v>0</v>
      </c>
      <c r="AA1238" s="257">
        <f t="shared" si="267"/>
        <v>0</v>
      </c>
      <c r="AB1238" s="269">
        <f t="shared" si="268"/>
        <v>0</v>
      </c>
      <c r="AC1238" s="269">
        <f t="shared" si="269"/>
        <v>0</v>
      </c>
      <c r="AD1238" s="271" t="str">
        <f>INDEX('Global inputs'!$C$134:$C$171,MATCH(F1238,'Global inputs'!$B$134:$B$171,0))</f>
        <v>Asset replacement and renewal</v>
      </c>
      <c r="AE1238" s="272">
        <f>IF(OR(H1238='Operating leases'!$B$32,H1238='Operating leases'!$B$33),"",INDEX('Global inputs'!$C$186:$C$243,MATCH(E1238,'Global inputs'!$B$186:$B$243,0)))</f>
        <v>0.08</v>
      </c>
    </row>
    <row r="1239" spans="1:31" s="27" customFormat="1" x14ac:dyDescent="0.2">
      <c r="A1239" s="250"/>
      <c r="B1239" s="210" t="s">
        <v>742</v>
      </c>
      <c r="C1239" s="210" t="s">
        <v>290</v>
      </c>
      <c r="D1239" s="210" t="s">
        <v>718</v>
      </c>
      <c r="E1239" s="210" t="s">
        <v>173</v>
      </c>
      <c r="F1239" s="210" t="s">
        <v>109</v>
      </c>
      <c r="G1239" s="210" t="s">
        <v>719</v>
      </c>
      <c r="H1239" s="197">
        <v>0</v>
      </c>
      <c r="I1239" s="210" t="s">
        <v>142</v>
      </c>
      <c r="J1239" s="210">
        <v>2024</v>
      </c>
      <c r="K1239" s="210">
        <v>2024</v>
      </c>
      <c r="L1239" s="268" t="str">
        <f t="shared" si="257"/>
        <v>Simple</v>
      </c>
      <c r="M1239" s="197">
        <v>2371314</v>
      </c>
      <c r="N1239" s="197">
        <v>0</v>
      </c>
      <c r="O1239" s="257">
        <f>IF(ISNA(MATCH(H1239,'Operating leases'!$B$32:$B$43,0)),0,INDEX('Operating leases'!$M$32:$S$43,MATCH(H1239,'Operating leases'!$B$32:$B$43,0),MATCH(J1239,'Operating leases'!$M$11:$S$11,0)))</f>
        <v>0</v>
      </c>
      <c r="P1239" s="257">
        <f t="shared" si="258"/>
        <v>2371314</v>
      </c>
      <c r="Q1239" s="257">
        <f t="shared" si="259"/>
        <v>2371314</v>
      </c>
      <c r="R1239" s="258">
        <f>INDEX('Escalators '!$M$124:$S$129,MATCH(I1239,'Escalators '!$B$124:$B$129,0),MATCH(J1239,'Escalators '!$M$113:$S$113,0))</f>
        <v>1.06767964286932</v>
      </c>
      <c r="S1239" s="257">
        <f t="shared" si="260"/>
        <v>0</v>
      </c>
      <c r="T1239" s="257">
        <f t="shared" si="261"/>
        <v>0</v>
      </c>
      <c r="U1239" s="269">
        <f t="shared" si="262"/>
        <v>2531803.6846510186</v>
      </c>
      <c r="V1239" s="269">
        <f t="shared" si="263"/>
        <v>2531803.6846510186</v>
      </c>
      <c r="W1239" s="269">
        <f t="shared" si="264"/>
        <v>2531803.6846510186</v>
      </c>
      <c r="X1239" s="257">
        <f t="shared" si="265"/>
        <v>2531803.6846510186</v>
      </c>
      <c r="Y1239" s="270">
        <f>IF(L1239="Complex",(INDEX('Escalators '!$M$176:$S$176,MATCH('Forecast capex'!J1239,'Escalators '!$M$178:$S$178,0))/12+1)^((K1239-J1239)*12)-1,0)</f>
        <v>0</v>
      </c>
      <c r="Z1239" s="257">
        <f t="shared" si="266"/>
        <v>0</v>
      </c>
      <c r="AA1239" s="257">
        <f t="shared" si="267"/>
        <v>0</v>
      </c>
      <c r="AB1239" s="269">
        <f t="shared" si="268"/>
        <v>0</v>
      </c>
      <c r="AC1239" s="269">
        <f t="shared" si="269"/>
        <v>0</v>
      </c>
      <c r="AD1239" s="271" t="str">
        <f>INDEX('Global inputs'!$C$134:$C$171,MATCH(F1239,'Global inputs'!$B$134:$B$171,0))</f>
        <v>Asset replacement and renewal</v>
      </c>
      <c r="AE1239" s="272">
        <f>IF(OR(H1239='Operating leases'!$B$32,H1239='Operating leases'!$B$33),"",INDEX('Global inputs'!$C$186:$C$243,MATCH(E1239,'Global inputs'!$B$186:$B$243,0)))</f>
        <v>0.08</v>
      </c>
    </row>
    <row r="1240" spans="1:31" s="27" customFormat="1" x14ac:dyDescent="0.2">
      <c r="A1240" s="250"/>
      <c r="B1240" s="210" t="s">
        <v>742</v>
      </c>
      <c r="C1240" s="210" t="s">
        <v>290</v>
      </c>
      <c r="D1240" s="210" t="s">
        <v>718</v>
      </c>
      <c r="E1240" s="210" t="s">
        <v>173</v>
      </c>
      <c r="F1240" s="210" t="s">
        <v>109</v>
      </c>
      <c r="G1240" s="210" t="s">
        <v>719</v>
      </c>
      <c r="H1240" s="197">
        <v>0</v>
      </c>
      <c r="I1240" s="210" t="s">
        <v>221</v>
      </c>
      <c r="J1240" s="210">
        <v>2024</v>
      </c>
      <c r="K1240" s="210">
        <v>2024</v>
      </c>
      <c r="L1240" s="268" t="str">
        <f t="shared" si="257"/>
        <v>Simple</v>
      </c>
      <c r="M1240" s="197">
        <v>592828.5</v>
      </c>
      <c r="N1240" s="197">
        <v>0</v>
      </c>
      <c r="O1240" s="257">
        <f>IF(ISNA(MATCH(H1240,'Operating leases'!$B$32:$B$43,0)),0,INDEX('Operating leases'!$M$32:$S$43,MATCH(H1240,'Operating leases'!$B$32:$B$43,0),MATCH(J1240,'Operating leases'!$M$11:$S$11,0)))</f>
        <v>0</v>
      </c>
      <c r="P1240" s="257">
        <f t="shared" si="258"/>
        <v>592828.5</v>
      </c>
      <c r="Q1240" s="257">
        <f t="shared" si="259"/>
        <v>592828.5</v>
      </c>
      <c r="R1240" s="258">
        <f>INDEX('Escalators '!$M$124:$S$129,MATCH(I1240,'Escalators '!$B$124:$B$129,0),MATCH(J1240,'Escalators '!$M$113:$S$113,0))</f>
        <v>1.06512715891222</v>
      </c>
      <c r="S1240" s="257">
        <f t="shared" si="260"/>
        <v>0</v>
      </c>
      <c r="T1240" s="257">
        <f t="shared" si="261"/>
        <v>0</v>
      </c>
      <c r="U1240" s="269">
        <f t="shared" si="262"/>
        <v>631437.73592719296</v>
      </c>
      <c r="V1240" s="269">
        <f t="shared" si="263"/>
        <v>631437.73592719296</v>
      </c>
      <c r="W1240" s="269">
        <f t="shared" si="264"/>
        <v>631437.73592719296</v>
      </c>
      <c r="X1240" s="257">
        <f t="shared" si="265"/>
        <v>631437.73592719296</v>
      </c>
      <c r="Y1240" s="270">
        <f>IF(L1240="Complex",(INDEX('Escalators '!$M$176:$S$176,MATCH('Forecast capex'!J1240,'Escalators '!$M$178:$S$178,0))/12+1)^((K1240-J1240)*12)-1,0)</f>
        <v>0</v>
      </c>
      <c r="Z1240" s="257">
        <f t="shared" si="266"/>
        <v>0</v>
      </c>
      <c r="AA1240" s="257">
        <f t="shared" si="267"/>
        <v>0</v>
      </c>
      <c r="AB1240" s="269">
        <f t="shared" si="268"/>
        <v>0</v>
      </c>
      <c r="AC1240" s="269">
        <f t="shared" si="269"/>
        <v>0</v>
      </c>
      <c r="AD1240" s="271" t="str">
        <f>INDEX('Global inputs'!$C$134:$C$171,MATCH(F1240,'Global inputs'!$B$134:$B$171,0))</f>
        <v>Asset replacement and renewal</v>
      </c>
      <c r="AE1240" s="272">
        <f>IF(OR(H1240='Operating leases'!$B$32,H1240='Operating leases'!$B$33),"",INDEX('Global inputs'!$C$186:$C$243,MATCH(E1240,'Global inputs'!$B$186:$B$243,0)))</f>
        <v>0.08</v>
      </c>
    </row>
    <row r="1241" spans="1:31" s="27" customFormat="1" x14ac:dyDescent="0.2">
      <c r="A1241" s="250"/>
      <c r="B1241" s="210" t="s">
        <v>742</v>
      </c>
      <c r="C1241" s="210" t="s">
        <v>288</v>
      </c>
      <c r="D1241" s="210" t="s">
        <v>718</v>
      </c>
      <c r="E1241" s="210" t="s">
        <v>160</v>
      </c>
      <c r="F1241" s="210" t="s">
        <v>112</v>
      </c>
      <c r="G1241" s="210" t="s">
        <v>722</v>
      </c>
      <c r="H1241" s="197">
        <v>0</v>
      </c>
      <c r="I1241" s="210" t="s">
        <v>229</v>
      </c>
      <c r="J1241" s="210">
        <v>2024</v>
      </c>
      <c r="K1241" s="210">
        <v>2024</v>
      </c>
      <c r="L1241" s="268" t="str">
        <f t="shared" si="257"/>
        <v>Simple</v>
      </c>
      <c r="M1241" s="197">
        <v>526800</v>
      </c>
      <c r="N1241" s="197">
        <v>0</v>
      </c>
      <c r="O1241" s="257">
        <f>IF(ISNA(MATCH(H1241,'Operating leases'!$B$32:$B$43,0)),0,INDEX('Operating leases'!$M$32:$S$43,MATCH(H1241,'Operating leases'!$B$32:$B$43,0),MATCH(J1241,'Operating leases'!$M$11:$S$11,0)))</f>
        <v>0</v>
      </c>
      <c r="P1241" s="257">
        <f t="shared" si="258"/>
        <v>526800</v>
      </c>
      <c r="Q1241" s="257">
        <f t="shared" si="259"/>
        <v>526800</v>
      </c>
      <c r="R1241" s="258">
        <f>INDEX('Escalators '!$M$124:$S$129,MATCH(I1241,'Escalators '!$B$124:$B$129,0),MATCH(J1241,'Escalators '!$M$113:$S$113,0))</f>
        <v>1.0731681760713303</v>
      </c>
      <c r="S1241" s="257">
        <f t="shared" si="260"/>
        <v>0</v>
      </c>
      <c r="T1241" s="257">
        <f t="shared" si="261"/>
        <v>0</v>
      </c>
      <c r="U1241" s="269">
        <f t="shared" si="262"/>
        <v>565344.99515437684</v>
      </c>
      <c r="V1241" s="269">
        <f t="shared" si="263"/>
        <v>565344.99515437684</v>
      </c>
      <c r="W1241" s="269">
        <f t="shared" si="264"/>
        <v>565344.99515437684</v>
      </c>
      <c r="X1241" s="257">
        <f t="shared" si="265"/>
        <v>565344.99515437684</v>
      </c>
      <c r="Y1241" s="270">
        <f>IF(L1241="Complex",(INDEX('Escalators '!$M$176:$S$176,MATCH('Forecast capex'!J1241,'Escalators '!$M$178:$S$178,0))/12+1)^((K1241-J1241)*12)-1,0)</f>
        <v>0</v>
      </c>
      <c r="Z1241" s="257">
        <f t="shared" si="266"/>
        <v>0</v>
      </c>
      <c r="AA1241" s="257">
        <f t="shared" si="267"/>
        <v>0</v>
      </c>
      <c r="AB1241" s="269">
        <f t="shared" si="268"/>
        <v>0</v>
      </c>
      <c r="AC1241" s="269">
        <f t="shared" si="269"/>
        <v>0</v>
      </c>
      <c r="AD1241" s="271" t="str">
        <f>INDEX('Global inputs'!$C$134:$C$171,MATCH(F1241,'Global inputs'!$B$134:$B$171,0))</f>
        <v>Asset replacement and renewal</v>
      </c>
      <c r="AE1241" s="272">
        <f>IF(OR(H1241='Operating leases'!$B$32,H1241='Operating leases'!$B$33),"",INDEX('Global inputs'!$C$186:$C$243,MATCH(E1241,'Global inputs'!$B$186:$B$243,0)))</f>
        <v>0.08</v>
      </c>
    </row>
    <row r="1242" spans="1:31" s="27" customFormat="1" x14ac:dyDescent="0.2">
      <c r="A1242" s="250"/>
      <c r="B1242" s="210" t="s">
        <v>742</v>
      </c>
      <c r="C1242" s="210" t="s">
        <v>288</v>
      </c>
      <c r="D1242" s="210" t="s">
        <v>718</v>
      </c>
      <c r="E1242" s="210" t="s">
        <v>160</v>
      </c>
      <c r="F1242" s="210" t="s">
        <v>112</v>
      </c>
      <c r="G1242" s="210" t="s">
        <v>722</v>
      </c>
      <c r="H1242" s="197">
        <v>0</v>
      </c>
      <c r="I1242" s="210" t="s">
        <v>221</v>
      </c>
      <c r="J1242" s="210">
        <v>2024</v>
      </c>
      <c r="K1242" s="210">
        <v>2024</v>
      </c>
      <c r="L1242" s="268" t="str">
        <f t="shared" si="257"/>
        <v>Simple</v>
      </c>
      <c r="M1242" s="197">
        <v>526800</v>
      </c>
      <c r="N1242" s="197">
        <v>0</v>
      </c>
      <c r="O1242" s="257">
        <f>IF(ISNA(MATCH(H1242,'Operating leases'!$B$32:$B$43,0)),0,INDEX('Operating leases'!$M$32:$S$43,MATCH(H1242,'Operating leases'!$B$32:$B$43,0),MATCH(J1242,'Operating leases'!$M$11:$S$11,0)))</f>
        <v>0</v>
      </c>
      <c r="P1242" s="257">
        <f t="shared" si="258"/>
        <v>526800</v>
      </c>
      <c r="Q1242" s="257">
        <f t="shared" si="259"/>
        <v>526800</v>
      </c>
      <c r="R1242" s="258">
        <f>INDEX('Escalators '!$M$124:$S$129,MATCH(I1242,'Escalators '!$B$124:$B$129,0),MATCH(J1242,'Escalators '!$M$113:$S$113,0))</f>
        <v>1.06512715891222</v>
      </c>
      <c r="S1242" s="257">
        <f t="shared" si="260"/>
        <v>0</v>
      </c>
      <c r="T1242" s="257">
        <f t="shared" si="261"/>
        <v>0</v>
      </c>
      <c r="U1242" s="269">
        <f t="shared" si="262"/>
        <v>561108.98731495754</v>
      </c>
      <c r="V1242" s="269">
        <f t="shared" si="263"/>
        <v>561108.98731495754</v>
      </c>
      <c r="W1242" s="269">
        <f t="shared" si="264"/>
        <v>561108.98731495754</v>
      </c>
      <c r="X1242" s="257">
        <f t="shared" si="265"/>
        <v>561108.98731495754</v>
      </c>
      <c r="Y1242" s="270">
        <f>IF(L1242="Complex",(INDEX('Escalators '!$M$176:$S$176,MATCH('Forecast capex'!J1242,'Escalators '!$M$178:$S$178,0))/12+1)^((K1242-J1242)*12)-1,0)</f>
        <v>0</v>
      </c>
      <c r="Z1242" s="257">
        <f t="shared" si="266"/>
        <v>0</v>
      </c>
      <c r="AA1242" s="257">
        <f t="shared" si="267"/>
        <v>0</v>
      </c>
      <c r="AB1242" s="269">
        <f t="shared" si="268"/>
        <v>0</v>
      </c>
      <c r="AC1242" s="269">
        <f t="shared" si="269"/>
        <v>0</v>
      </c>
      <c r="AD1242" s="271" t="str">
        <f>INDEX('Global inputs'!$C$134:$C$171,MATCH(F1242,'Global inputs'!$B$134:$B$171,0))</f>
        <v>Asset replacement and renewal</v>
      </c>
      <c r="AE1242" s="272">
        <f>IF(OR(H1242='Operating leases'!$B$32,H1242='Operating leases'!$B$33),"",INDEX('Global inputs'!$C$186:$C$243,MATCH(E1242,'Global inputs'!$B$186:$B$243,0)))</f>
        <v>0.08</v>
      </c>
    </row>
    <row r="1243" spans="1:31" s="27" customFormat="1" x14ac:dyDescent="0.2">
      <c r="A1243" s="250"/>
      <c r="B1243" s="210" t="s">
        <v>742</v>
      </c>
      <c r="C1243" s="210" t="s">
        <v>288</v>
      </c>
      <c r="D1243" s="210" t="s">
        <v>718</v>
      </c>
      <c r="E1243" s="210" t="s">
        <v>161</v>
      </c>
      <c r="F1243" s="210" t="s">
        <v>112</v>
      </c>
      <c r="G1243" s="210" t="s">
        <v>722</v>
      </c>
      <c r="H1243" s="197">
        <v>0</v>
      </c>
      <c r="I1243" s="210" t="s">
        <v>229</v>
      </c>
      <c r="J1243" s="210">
        <v>2024</v>
      </c>
      <c r="K1243" s="210">
        <v>2024</v>
      </c>
      <c r="L1243" s="268" t="str">
        <f t="shared" si="257"/>
        <v>Simple</v>
      </c>
      <c r="M1243" s="197">
        <v>450000</v>
      </c>
      <c r="N1243" s="197">
        <v>0</v>
      </c>
      <c r="O1243" s="257">
        <f>IF(ISNA(MATCH(H1243,'Operating leases'!$B$32:$B$43,0)),0,INDEX('Operating leases'!$M$32:$S$43,MATCH(H1243,'Operating leases'!$B$32:$B$43,0),MATCH(J1243,'Operating leases'!$M$11:$S$11,0)))</f>
        <v>0</v>
      </c>
      <c r="P1243" s="257">
        <f t="shared" si="258"/>
        <v>450000</v>
      </c>
      <c r="Q1243" s="257">
        <f t="shared" si="259"/>
        <v>450000</v>
      </c>
      <c r="R1243" s="258">
        <f>INDEX('Escalators '!$M$124:$S$129,MATCH(I1243,'Escalators '!$B$124:$B$129,0),MATCH(J1243,'Escalators '!$M$113:$S$113,0))</f>
        <v>1.0731681760713303</v>
      </c>
      <c r="S1243" s="257">
        <f t="shared" si="260"/>
        <v>0</v>
      </c>
      <c r="T1243" s="257">
        <f t="shared" si="261"/>
        <v>0</v>
      </c>
      <c r="U1243" s="269">
        <f t="shared" si="262"/>
        <v>482925.67923209863</v>
      </c>
      <c r="V1243" s="269">
        <f t="shared" si="263"/>
        <v>482925.67923209863</v>
      </c>
      <c r="W1243" s="269">
        <f t="shared" si="264"/>
        <v>482925.67923209863</v>
      </c>
      <c r="X1243" s="257">
        <f t="shared" si="265"/>
        <v>482925.67923209863</v>
      </c>
      <c r="Y1243" s="270">
        <f>IF(L1243="Complex",(INDEX('Escalators '!$M$176:$S$176,MATCH('Forecast capex'!J1243,'Escalators '!$M$178:$S$178,0))/12+1)^((K1243-J1243)*12)-1,0)</f>
        <v>0</v>
      </c>
      <c r="Z1243" s="257">
        <f t="shared" si="266"/>
        <v>0</v>
      </c>
      <c r="AA1243" s="257">
        <f t="shared" si="267"/>
        <v>0</v>
      </c>
      <c r="AB1243" s="269">
        <f t="shared" si="268"/>
        <v>0</v>
      </c>
      <c r="AC1243" s="269">
        <f t="shared" si="269"/>
        <v>0</v>
      </c>
      <c r="AD1243" s="271" t="str">
        <f>INDEX('Global inputs'!$C$134:$C$171,MATCH(F1243,'Global inputs'!$B$134:$B$171,0))</f>
        <v>Asset replacement and renewal</v>
      </c>
      <c r="AE1243" s="272">
        <f>IF(OR(H1243='Operating leases'!$B$32,H1243='Operating leases'!$B$33),"",INDEX('Global inputs'!$C$186:$C$243,MATCH(E1243,'Global inputs'!$B$186:$B$243,0)))</f>
        <v>0.08</v>
      </c>
    </row>
    <row r="1244" spans="1:31" s="27" customFormat="1" x14ac:dyDescent="0.2">
      <c r="A1244" s="250"/>
      <c r="B1244" s="210" t="s">
        <v>742</v>
      </c>
      <c r="C1244" s="210" t="s">
        <v>288</v>
      </c>
      <c r="D1244" s="210" t="s">
        <v>718</v>
      </c>
      <c r="E1244" s="210" t="s">
        <v>161</v>
      </c>
      <c r="F1244" s="210" t="s">
        <v>112</v>
      </c>
      <c r="G1244" s="210" t="s">
        <v>722</v>
      </c>
      <c r="H1244" s="197">
        <v>0</v>
      </c>
      <c r="I1244" s="210" t="s">
        <v>221</v>
      </c>
      <c r="J1244" s="210">
        <v>2024</v>
      </c>
      <c r="K1244" s="210">
        <v>2024</v>
      </c>
      <c r="L1244" s="268" t="str">
        <f t="shared" si="257"/>
        <v>Simple</v>
      </c>
      <c r="M1244" s="197">
        <v>450000</v>
      </c>
      <c r="N1244" s="197">
        <v>0</v>
      </c>
      <c r="O1244" s="257">
        <f>IF(ISNA(MATCH(H1244,'Operating leases'!$B$32:$B$43,0)),0,INDEX('Operating leases'!$M$32:$S$43,MATCH(H1244,'Operating leases'!$B$32:$B$43,0),MATCH(J1244,'Operating leases'!$M$11:$S$11,0)))</f>
        <v>0</v>
      </c>
      <c r="P1244" s="257">
        <f t="shared" si="258"/>
        <v>450000</v>
      </c>
      <c r="Q1244" s="257">
        <f t="shared" si="259"/>
        <v>450000</v>
      </c>
      <c r="R1244" s="258">
        <f>INDEX('Escalators '!$M$124:$S$129,MATCH(I1244,'Escalators '!$B$124:$B$129,0),MATCH(J1244,'Escalators '!$M$113:$S$113,0))</f>
        <v>1.06512715891222</v>
      </c>
      <c r="S1244" s="257">
        <f t="shared" si="260"/>
        <v>0</v>
      </c>
      <c r="T1244" s="257">
        <f t="shared" si="261"/>
        <v>0</v>
      </c>
      <c r="U1244" s="269">
        <f t="shared" si="262"/>
        <v>479307.22151049902</v>
      </c>
      <c r="V1244" s="269">
        <f t="shared" si="263"/>
        <v>479307.22151049902</v>
      </c>
      <c r="W1244" s="269">
        <f t="shared" si="264"/>
        <v>479307.22151049902</v>
      </c>
      <c r="X1244" s="257">
        <f t="shared" si="265"/>
        <v>479307.22151049902</v>
      </c>
      <c r="Y1244" s="270">
        <f>IF(L1244="Complex",(INDEX('Escalators '!$M$176:$S$176,MATCH('Forecast capex'!J1244,'Escalators '!$M$178:$S$178,0))/12+1)^((K1244-J1244)*12)-1,0)</f>
        <v>0</v>
      </c>
      <c r="Z1244" s="257">
        <f t="shared" si="266"/>
        <v>0</v>
      </c>
      <c r="AA1244" s="257">
        <f t="shared" si="267"/>
        <v>0</v>
      </c>
      <c r="AB1244" s="269">
        <f t="shared" si="268"/>
        <v>0</v>
      </c>
      <c r="AC1244" s="269">
        <f t="shared" si="269"/>
        <v>0</v>
      </c>
      <c r="AD1244" s="271" t="str">
        <f>INDEX('Global inputs'!$C$134:$C$171,MATCH(F1244,'Global inputs'!$B$134:$B$171,0))</f>
        <v>Asset replacement and renewal</v>
      </c>
      <c r="AE1244" s="272">
        <f>IF(OR(H1244='Operating leases'!$B$32,H1244='Operating leases'!$B$33),"",INDEX('Global inputs'!$C$186:$C$243,MATCH(E1244,'Global inputs'!$B$186:$B$243,0)))</f>
        <v>0.08</v>
      </c>
    </row>
    <row r="1245" spans="1:31" s="27" customFormat="1" x14ac:dyDescent="0.2">
      <c r="A1245" s="250"/>
      <c r="B1245" s="210" t="s">
        <v>742</v>
      </c>
      <c r="C1245" s="210" t="s">
        <v>286</v>
      </c>
      <c r="D1245" s="210" t="s">
        <v>735</v>
      </c>
      <c r="E1245" s="210" t="s">
        <v>144</v>
      </c>
      <c r="F1245" s="210" t="s">
        <v>117</v>
      </c>
      <c r="G1245" s="210" t="s">
        <v>736</v>
      </c>
      <c r="H1245" s="197">
        <v>0</v>
      </c>
      <c r="I1245" s="210" t="s">
        <v>229</v>
      </c>
      <c r="J1245" s="210">
        <v>2024</v>
      </c>
      <c r="K1245" s="210">
        <v>2024</v>
      </c>
      <c r="L1245" s="268" t="str">
        <f t="shared" si="257"/>
        <v>Simple</v>
      </c>
      <c r="M1245" s="197">
        <v>366700.00000000052</v>
      </c>
      <c r="N1245" s="197">
        <v>0</v>
      </c>
      <c r="O1245" s="257">
        <f>IF(ISNA(MATCH(H1245,'Operating leases'!$B$32:$B$43,0)),0,INDEX('Operating leases'!$M$32:$S$43,MATCH(H1245,'Operating leases'!$B$32:$B$43,0),MATCH(J1245,'Operating leases'!$M$11:$S$11,0)))</f>
        <v>0</v>
      </c>
      <c r="P1245" s="257">
        <f t="shared" si="258"/>
        <v>366700.00000000052</v>
      </c>
      <c r="Q1245" s="257">
        <f t="shared" si="259"/>
        <v>366700.00000000052</v>
      </c>
      <c r="R1245" s="258">
        <f>INDEX('Escalators '!$M$124:$S$129,MATCH(I1245,'Escalators '!$B$124:$B$129,0),MATCH(J1245,'Escalators '!$M$113:$S$113,0))</f>
        <v>1.0731681760713303</v>
      </c>
      <c r="S1245" s="257">
        <f t="shared" si="260"/>
        <v>0</v>
      </c>
      <c r="T1245" s="257">
        <f t="shared" si="261"/>
        <v>0</v>
      </c>
      <c r="U1245" s="269">
        <f t="shared" si="262"/>
        <v>393530.77016535739</v>
      </c>
      <c r="V1245" s="269">
        <f t="shared" si="263"/>
        <v>393530.77016535739</v>
      </c>
      <c r="W1245" s="269">
        <f t="shared" si="264"/>
        <v>393530.77016535739</v>
      </c>
      <c r="X1245" s="257">
        <f t="shared" si="265"/>
        <v>393530.77016535739</v>
      </c>
      <c r="Y1245" s="270">
        <f>IF(L1245="Complex",(INDEX('Escalators '!$M$176:$S$176,MATCH('Forecast capex'!J1245,'Escalators '!$M$178:$S$178,0))/12+1)^((K1245-J1245)*12)-1,0)</f>
        <v>0</v>
      </c>
      <c r="Z1245" s="257">
        <f t="shared" si="266"/>
        <v>0</v>
      </c>
      <c r="AA1245" s="257">
        <f t="shared" si="267"/>
        <v>0</v>
      </c>
      <c r="AB1245" s="269">
        <f t="shared" si="268"/>
        <v>0</v>
      </c>
      <c r="AC1245" s="269">
        <f t="shared" si="269"/>
        <v>0</v>
      </c>
      <c r="AD1245" s="271" t="str">
        <f>INDEX('Global inputs'!$C$134:$C$171,MATCH(F1245,'Global inputs'!$B$134:$B$171,0))</f>
        <v>Asset replacement and renewal</v>
      </c>
      <c r="AE1245" s="272">
        <f>IF(OR(H1245='Operating leases'!$B$32,H1245='Operating leases'!$B$33),"",INDEX('Global inputs'!$C$186:$C$243,MATCH(E1245,'Global inputs'!$B$186:$B$243,0)))</f>
        <v>0.08</v>
      </c>
    </row>
    <row r="1246" spans="1:31" s="27" customFormat="1" x14ac:dyDescent="0.2">
      <c r="A1246" s="250"/>
      <c r="B1246" s="210" t="s">
        <v>742</v>
      </c>
      <c r="C1246" s="210" t="s">
        <v>286</v>
      </c>
      <c r="D1246" s="210" t="s">
        <v>735</v>
      </c>
      <c r="E1246" s="210" t="s">
        <v>144</v>
      </c>
      <c r="F1246" s="210" t="s">
        <v>117</v>
      </c>
      <c r="G1246" s="210" t="s">
        <v>736</v>
      </c>
      <c r="H1246" s="197">
        <v>0</v>
      </c>
      <c r="I1246" s="210" t="s">
        <v>221</v>
      </c>
      <c r="J1246" s="210">
        <v>2024</v>
      </c>
      <c r="K1246" s="210">
        <v>2024</v>
      </c>
      <c r="L1246" s="268" t="str">
        <f t="shared" si="257"/>
        <v>Simple</v>
      </c>
      <c r="M1246" s="197">
        <v>1466800.0000000021</v>
      </c>
      <c r="N1246" s="197">
        <v>0</v>
      </c>
      <c r="O1246" s="257">
        <f>IF(ISNA(MATCH(H1246,'Operating leases'!$B$32:$B$43,0)),0,INDEX('Operating leases'!$M$32:$S$43,MATCH(H1246,'Operating leases'!$B$32:$B$43,0),MATCH(J1246,'Operating leases'!$M$11:$S$11,0)))</f>
        <v>0</v>
      </c>
      <c r="P1246" s="257">
        <f t="shared" si="258"/>
        <v>1466800.0000000021</v>
      </c>
      <c r="Q1246" s="257">
        <f t="shared" si="259"/>
        <v>1466800.0000000021</v>
      </c>
      <c r="R1246" s="258">
        <f>INDEX('Escalators '!$M$124:$S$129,MATCH(I1246,'Escalators '!$B$124:$B$129,0),MATCH(J1246,'Escalators '!$M$113:$S$113,0))</f>
        <v>1.06512715891222</v>
      </c>
      <c r="S1246" s="257">
        <f t="shared" si="260"/>
        <v>0</v>
      </c>
      <c r="T1246" s="257">
        <f t="shared" si="261"/>
        <v>0</v>
      </c>
      <c r="U1246" s="269">
        <f t="shared" si="262"/>
        <v>1562328.5166924465</v>
      </c>
      <c r="V1246" s="269">
        <f t="shared" si="263"/>
        <v>1562328.5166924465</v>
      </c>
      <c r="W1246" s="269">
        <f t="shared" si="264"/>
        <v>1562328.5166924465</v>
      </c>
      <c r="X1246" s="257">
        <f t="shared" si="265"/>
        <v>1562328.5166924465</v>
      </c>
      <c r="Y1246" s="270">
        <f>IF(L1246="Complex",(INDEX('Escalators '!$M$176:$S$176,MATCH('Forecast capex'!J1246,'Escalators '!$M$178:$S$178,0))/12+1)^((K1246-J1246)*12)-1,0)</f>
        <v>0</v>
      </c>
      <c r="Z1246" s="257">
        <f t="shared" si="266"/>
        <v>0</v>
      </c>
      <c r="AA1246" s="257">
        <f t="shared" si="267"/>
        <v>0</v>
      </c>
      <c r="AB1246" s="269">
        <f t="shared" si="268"/>
        <v>0</v>
      </c>
      <c r="AC1246" s="269">
        <f t="shared" si="269"/>
        <v>0</v>
      </c>
      <c r="AD1246" s="271" t="str">
        <f>INDEX('Global inputs'!$C$134:$C$171,MATCH(F1246,'Global inputs'!$B$134:$B$171,0))</f>
        <v>Asset replacement and renewal</v>
      </c>
      <c r="AE1246" s="272">
        <f>IF(OR(H1246='Operating leases'!$B$32,H1246='Operating leases'!$B$33),"",INDEX('Global inputs'!$C$186:$C$243,MATCH(E1246,'Global inputs'!$B$186:$B$243,0)))</f>
        <v>0.08</v>
      </c>
    </row>
    <row r="1247" spans="1:31" s="27" customFormat="1" x14ac:dyDescent="0.2">
      <c r="A1247" s="250"/>
      <c r="B1247" s="210" t="s">
        <v>738</v>
      </c>
      <c r="C1247" s="210" t="s">
        <v>292</v>
      </c>
      <c r="D1247" s="210" t="s">
        <v>739</v>
      </c>
      <c r="E1247" s="210" t="s">
        <v>181</v>
      </c>
      <c r="F1247" s="210" t="s">
        <v>89</v>
      </c>
      <c r="G1247" s="210" t="s">
        <v>749</v>
      </c>
      <c r="H1247" s="197">
        <v>0</v>
      </c>
      <c r="I1247" s="210" t="s">
        <v>229</v>
      </c>
      <c r="J1247" s="210">
        <v>2024</v>
      </c>
      <c r="K1247" s="210">
        <v>2024</v>
      </c>
      <c r="L1247" s="268" t="str">
        <f t="shared" si="257"/>
        <v>Simple</v>
      </c>
      <c r="M1247" s="197">
        <v>86000</v>
      </c>
      <c r="N1247" s="197">
        <v>0</v>
      </c>
      <c r="O1247" s="257">
        <f>IF(ISNA(MATCH(H1247,'Operating leases'!$B$32:$B$43,0)),0,INDEX('Operating leases'!$M$32:$S$43,MATCH(H1247,'Operating leases'!$B$32:$B$43,0),MATCH(J1247,'Operating leases'!$M$11:$S$11,0)))</f>
        <v>0</v>
      </c>
      <c r="P1247" s="257">
        <f t="shared" si="258"/>
        <v>86000</v>
      </c>
      <c r="Q1247" s="257">
        <f t="shared" si="259"/>
        <v>86000</v>
      </c>
      <c r="R1247" s="258">
        <f>INDEX('Escalators '!$M$124:$S$129,MATCH(I1247,'Escalators '!$B$124:$B$129,0),MATCH(J1247,'Escalators '!$M$113:$S$113,0))</f>
        <v>1.0731681760713303</v>
      </c>
      <c r="S1247" s="257">
        <f t="shared" si="260"/>
        <v>0</v>
      </c>
      <c r="T1247" s="257">
        <f t="shared" si="261"/>
        <v>0</v>
      </c>
      <c r="U1247" s="269">
        <f t="shared" si="262"/>
        <v>92292.463142134409</v>
      </c>
      <c r="V1247" s="269">
        <f t="shared" si="263"/>
        <v>92292.463142134409</v>
      </c>
      <c r="W1247" s="269">
        <f t="shared" si="264"/>
        <v>92292.463142134409</v>
      </c>
      <c r="X1247" s="257">
        <f t="shared" si="265"/>
        <v>92292.463142134409</v>
      </c>
      <c r="Y1247" s="270">
        <f>IF(L1247="Complex",(INDEX('Escalators '!$M$176:$S$176,MATCH('Forecast capex'!J1247,'Escalators '!$M$178:$S$178,0))/12+1)^((K1247-J1247)*12)-1,0)</f>
        <v>0</v>
      </c>
      <c r="Z1247" s="257">
        <f t="shared" si="266"/>
        <v>0</v>
      </c>
      <c r="AA1247" s="257">
        <f t="shared" si="267"/>
        <v>0</v>
      </c>
      <c r="AB1247" s="269">
        <f t="shared" si="268"/>
        <v>0</v>
      </c>
      <c r="AC1247" s="269">
        <f t="shared" si="269"/>
        <v>0</v>
      </c>
      <c r="AD1247" s="271" t="str">
        <f>INDEX('Global inputs'!$C$134:$C$171,MATCH(F1247,'Global inputs'!$B$134:$B$171,0))</f>
        <v>Non-network CAPEX</v>
      </c>
      <c r="AE1247" s="272">
        <f>IF(OR(H1247='Operating leases'!$B$32,H1247='Operating leases'!$B$33),"",INDEX('Global inputs'!$C$186:$C$243,MATCH(E1247,'Global inputs'!$B$186:$B$243,0)))</f>
        <v>0.5</v>
      </c>
    </row>
    <row r="1248" spans="1:31" s="27" customFormat="1" x14ac:dyDescent="0.2">
      <c r="A1248" s="250"/>
      <c r="B1248" s="210" t="s">
        <v>738</v>
      </c>
      <c r="C1248" s="210" t="s">
        <v>292</v>
      </c>
      <c r="D1248" s="210" t="s">
        <v>739</v>
      </c>
      <c r="E1248" s="210" t="s">
        <v>183</v>
      </c>
      <c r="F1248" s="210" t="s">
        <v>89</v>
      </c>
      <c r="G1248" s="210" t="s">
        <v>750</v>
      </c>
      <c r="H1248" s="197">
        <v>0</v>
      </c>
      <c r="I1248" s="210" t="s">
        <v>229</v>
      </c>
      <c r="J1248" s="210">
        <v>2024</v>
      </c>
      <c r="K1248" s="210">
        <v>2024</v>
      </c>
      <c r="L1248" s="268" t="str">
        <f t="shared" si="257"/>
        <v>Simple</v>
      </c>
      <c r="M1248" s="197">
        <v>1634000</v>
      </c>
      <c r="N1248" s="197">
        <v>0</v>
      </c>
      <c r="O1248" s="257">
        <f>IF(ISNA(MATCH(H1248,'Operating leases'!$B$32:$B$43,0)),0,INDEX('Operating leases'!$M$32:$S$43,MATCH(H1248,'Operating leases'!$B$32:$B$43,0),MATCH(J1248,'Operating leases'!$M$11:$S$11,0)))</f>
        <v>0</v>
      </c>
      <c r="P1248" s="257">
        <f t="shared" si="258"/>
        <v>1634000</v>
      </c>
      <c r="Q1248" s="257">
        <f t="shared" si="259"/>
        <v>1634000</v>
      </c>
      <c r="R1248" s="258">
        <f>INDEX('Escalators '!$M$124:$S$129,MATCH(I1248,'Escalators '!$B$124:$B$129,0),MATCH(J1248,'Escalators '!$M$113:$S$113,0))</f>
        <v>1.0731681760713303</v>
      </c>
      <c r="S1248" s="257">
        <f t="shared" si="260"/>
        <v>0</v>
      </c>
      <c r="T1248" s="257">
        <f t="shared" si="261"/>
        <v>0</v>
      </c>
      <c r="U1248" s="269">
        <f t="shared" si="262"/>
        <v>1753556.7997005538</v>
      </c>
      <c r="V1248" s="269">
        <f t="shared" si="263"/>
        <v>1753556.7997005538</v>
      </c>
      <c r="W1248" s="269">
        <f t="shared" si="264"/>
        <v>1753556.7997005538</v>
      </c>
      <c r="X1248" s="257">
        <f t="shared" si="265"/>
        <v>1753556.7997005538</v>
      </c>
      <c r="Y1248" s="270">
        <f>IF(L1248="Complex",(INDEX('Escalators '!$M$176:$S$176,MATCH('Forecast capex'!J1248,'Escalators '!$M$178:$S$178,0))/12+1)^((K1248-J1248)*12)-1,0)</f>
        <v>0</v>
      </c>
      <c r="Z1248" s="257">
        <f t="shared" si="266"/>
        <v>0</v>
      </c>
      <c r="AA1248" s="257">
        <f t="shared" si="267"/>
        <v>0</v>
      </c>
      <c r="AB1248" s="269">
        <f t="shared" si="268"/>
        <v>0</v>
      </c>
      <c r="AC1248" s="269">
        <f t="shared" si="269"/>
        <v>0</v>
      </c>
      <c r="AD1248" s="271" t="str">
        <f>INDEX('Global inputs'!$C$134:$C$171,MATCH(F1248,'Global inputs'!$B$134:$B$171,0))</f>
        <v>Non-network CAPEX</v>
      </c>
      <c r="AE1248" s="272">
        <f>IF(OR(H1248='Operating leases'!$B$32,H1248='Operating leases'!$B$33),"",INDEX('Global inputs'!$C$186:$C$243,MATCH(E1248,'Global inputs'!$B$186:$B$243,0)))</f>
        <v>0.5</v>
      </c>
    </row>
    <row r="1249" spans="1:31" s="27" customFormat="1" x14ac:dyDescent="0.2">
      <c r="A1249" s="250"/>
      <c r="B1249" s="210" t="s">
        <v>738</v>
      </c>
      <c r="C1249" s="210" t="s">
        <v>292</v>
      </c>
      <c r="D1249" s="210" t="s">
        <v>739</v>
      </c>
      <c r="E1249" s="210" t="s">
        <v>186</v>
      </c>
      <c r="F1249" s="210" t="s">
        <v>89</v>
      </c>
      <c r="G1249" s="210">
        <v>0</v>
      </c>
      <c r="H1249" s="197" t="s">
        <v>89</v>
      </c>
      <c r="I1249" s="210" t="s">
        <v>229</v>
      </c>
      <c r="J1249" s="210">
        <v>2024</v>
      </c>
      <c r="K1249" s="210">
        <v>2024</v>
      </c>
      <c r="L1249" s="268" t="str">
        <f t="shared" si="257"/>
        <v>Simple</v>
      </c>
      <c r="M1249" s="197">
        <v>0</v>
      </c>
      <c r="N1249" s="197">
        <v>0</v>
      </c>
      <c r="O1249" s="257">
        <f>IF(ISNA(MATCH(H1249,'Operating leases'!$B$32:$B$43,0)),0,INDEX('Operating leases'!$M$32:$S$43,MATCH(H1249,'Operating leases'!$B$32:$B$43,0),MATCH(J1249,'Operating leases'!$M$11:$S$11,0)))</f>
        <v>155726.22986255892</v>
      </c>
      <c r="P1249" s="257">
        <f t="shared" si="258"/>
        <v>155726.22986255892</v>
      </c>
      <c r="Q1249" s="257">
        <f t="shared" si="259"/>
        <v>155726.22986255892</v>
      </c>
      <c r="R1249" s="258">
        <f>INDEX('Escalators '!$M$124:$S$129,MATCH(I1249,'Escalators '!$B$124:$B$129,0),MATCH(J1249,'Escalators '!$M$113:$S$113,0))</f>
        <v>1.0731681760713303</v>
      </c>
      <c r="S1249" s="257">
        <f t="shared" si="260"/>
        <v>167120.43406806709</v>
      </c>
      <c r="T1249" s="257">
        <f t="shared" si="261"/>
        <v>0</v>
      </c>
      <c r="U1249" s="269">
        <f t="shared" si="262"/>
        <v>0</v>
      </c>
      <c r="V1249" s="269">
        <f t="shared" si="263"/>
        <v>0</v>
      </c>
      <c r="W1249" s="269">
        <f t="shared" si="264"/>
        <v>167120.43406806709</v>
      </c>
      <c r="X1249" s="257">
        <f t="shared" si="265"/>
        <v>167120.43406806709</v>
      </c>
      <c r="Y1249" s="270">
        <f>IF(L1249="Complex",(INDEX('Escalators '!$M$176:$S$176,MATCH('Forecast capex'!J1249,'Escalators '!$M$178:$S$178,0))/12+1)^((K1249-J1249)*12)-1,0)</f>
        <v>0</v>
      </c>
      <c r="Z1249" s="257">
        <f t="shared" si="266"/>
        <v>0</v>
      </c>
      <c r="AA1249" s="257">
        <f t="shared" si="267"/>
        <v>0</v>
      </c>
      <c r="AB1249" s="269">
        <f t="shared" si="268"/>
        <v>0</v>
      </c>
      <c r="AC1249" s="269">
        <f t="shared" si="269"/>
        <v>0</v>
      </c>
      <c r="AD1249" s="271" t="str">
        <f>INDEX('Global inputs'!$C$134:$C$171,MATCH(F1249,'Global inputs'!$B$134:$B$171,0))</f>
        <v>Non-network CAPEX</v>
      </c>
      <c r="AE1249" s="272" t="str">
        <f>IF(OR(H1249='Operating leases'!$B$32,H1249='Operating leases'!$B$33),"",INDEX('Global inputs'!$C$186:$C$243,MATCH(E1249,'Global inputs'!$B$186:$B$243,0)))</f>
        <v/>
      </c>
    </row>
    <row r="1250" spans="1:31" s="27" customFormat="1" x14ac:dyDescent="0.2">
      <c r="A1250" s="250"/>
      <c r="B1250" s="210" t="s">
        <v>738</v>
      </c>
      <c r="C1250" s="210" t="s">
        <v>292</v>
      </c>
      <c r="D1250" s="210" t="s">
        <v>739</v>
      </c>
      <c r="E1250" s="210" t="s">
        <v>185</v>
      </c>
      <c r="F1250" s="210" t="s">
        <v>91</v>
      </c>
      <c r="G1250" s="210">
        <v>0</v>
      </c>
      <c r="H1250" s="197" t="s">
        <v>91</v>
      </c>
      <c r="I1250" s="210" t="s">
        <v>229</v>
      </c>
      <c r="J1250" s="210">
        <v>2024</v>
      </c>
      <c r="K1250" s="210">
        <v>2024</v>
      </c>
      <c r="L1250" s="268" t="str">
        <f t="shared" si="257"/>
        <v>Simple</v>
      </c>
      <c r="M1250" s="197">
        <v>0</v>
      </c>
      <c r="N1250" s="197">
        <v>0</v>
      </c>
      <c r="O1250" s="257">
        <f>IF(ISNA(MATCH(H1250,'Operating leases'!$B$32:$B$43,0)),0,INDEX('Operating leases'!$M$32:$S$43,MATCH(H1250,'Operating leases'!$B$32:$B$43,0),MATCH(J1250,'Operating leases'!$M$11:$S$11,0)))</f>
        <v>305513.10731964739</v>
      </c>
      <c r="P1250" s="257">
        <f t="shared" si="258"/>
        <v>305513.10731964739</v>
      </c>
      <c r="Q1250" s="257">
        <f t="shared" si="259"/>
        <v>305513.10731964739</v>
      </c>
      <c r="R1250" s="258">
        <f>INDEX('Escalators '!$M$124:$S$129,MATCH(I1250,'Escalators '!$B$124:$B$129,0),MATCH(J1250,'Escalators '!$M$113:$S$113,0))</f>
        <v>1.0731681760713303</v>
      </c>
      <c r="S1250" s="257">
        <f t="shared" si="260"/>
        <v>327866.94414811058</v>
      </c>
      <c r="T1250" s="257">
        <f t="shared" si="261"/>
        <v>0</v>
      </c>
      <c r="U1250" s="269">
        <f t="shared" si="262"/>
        <v>0</v>
      </c>
      <c r="V1250" s="269">
        <f t="shared" si="263"/>
        <v>0</v>
      </c>
      <c r="W1250" s="269">
        <f t="shared" si="264"/>
        <v>327866.94414811058</v>
      </c>
      <c r="X1250" s="257">
        <f t="shared" si="265"/>
        <v>327866.94414811058</v>
      </c>
      <c r="Y1250" s="270">
        <f>IF(L1250="Complex",(INDEX('Escalators '!$M$176:$S$176,MATCH('Forecast capex'!J1250,'Escalators '!$M$178:$S$178,0))/12+1)^((K1250-J1250)*12)-1,0)</f>
        <v>0</v>
      </c>
      <c r="Z1250" s="257">
        <f t="shared" si="266"/>
        <v>0</v>
      </c>
      <c r="AA1250" s="257">
        <f t="shared" si="267"/>
        <v>0</v>
      </c>
      <c r="AB1250" s="269">
        <f t="shared" si="268"/>
        <v>0</v>
      </c>
      <c r="AC1250" s="269">
        <f t="shared" si="269"/>
        <v>0</v>
      </c>
      <c r="AD1250" s="271" t="str">
        <f>INDEX('Global inputs'!$C$134:$C$171,MATCH(F1250,'Global inputs'!$B$134:$B$171,0))</f>
        <v>Non-network CAPEX</v>
      </c>
      <c r="AE1250" s="272" t="str">
        <f>IF(OR(H1250='Operating leases'!$B$32,H1250='Operating leases'!$B$33),"",INDEX('Global inputs'!$C$186:$C$243,MATCH(E1250,'Global inputs'!$B$186:$B$243,0)))</f>
        <v/>
      </c>
    </row>
    <row r="1251" spans="1:31" s="27" customFormat="1" x14ac:dyDescent="0.2">
      <c r="A1251" s="250"/>
      <c r="B1251" s="210" t="s">
        <v>742</v>
      </c>
      <c r="C1251" s="210" t="s">
        <v>285</v>
      </c>
      <c r="D1251" s="210" t="s">
        <v>223</v>
      </c>
      <c r="E1251" s="210" t="s">
        <v>134</v>
      </c>
      <c r="F1251" s="210" t="s">
        <v>105</v>
      </c>
      <c r="G1251" s="210" t="s">
        <v>726</v>
      </c>
      <c r="H1251" s="197">
        <v>0</v>
      </c>
      <c r="I1251" s="210" t="s">
        <v>223</v>
      </c>
      <c r="J1251" s="210">
        <v>2024</v>
      </c>
      <c r="K1251" s="210">
        <v>2024</v>
      </c>
      <c r="L1251" s="268" t="str">
        <f t="shared" si="257"/>
        <v>Simple</v>
      </c>
      <c r="M1251" s="197">
        <v>568814.4</v>
      </c>
      <c r="N1251" s="197">
        <v>0</v>
      </c>
      <c r="O1251" s="257">
        <f>IF(ISNA(MATCH(H1251,'Operating leases'!$B$32:$B$43,0)),0,INDEX('Operating leases'!$M$32:$S$43,MATCH(H1251,'Operating leases'!$B$32:$B$43,0),MATCH(J1251,'Operating leases'!$M$11:$S$11,0)))</f>
        <v>0</v>
      </c>
      <c r="P1251" s="257">
        <f t="shared" si="258"/>
        <v>568814.4</v>
      </c>
      <c r="Q1251" s="257">
        <f t="shared" si="259"/>
        <v>568814.4</v>
      </c>
      <c r="R1251" s="258">
        <f>INDEX('Escalators '!$M$124:$S$129,MATCH(I1251,'Escalators '!$B$124:$B$129,0),MATCH(J1251,'Escalators '!$M$113:$S$113,0))</f>
        <v>1.0992204162588337</v>
      </c>
      <c r="S1251" s="257">
        <f t="shared" si="260"/>
        <v>0</v>
      </c>
      <c r="T1251" s="257">
        <f t="shared" si="261"/>
        <v>0</v>
      </c>
      <c r="U1251" s="269">
        <f t="shared" si="262"/>
        <v>625252.40154201875</v>
      </c>
      <c r="V1251" s="269">
        <f t="shared" si="263"/>
        <v>625252.40154201875</v>
      </c>
      <c r="W1251" s="269">
        <f t="shared" si="264"/>
        <v>625252.40154201875</v>
      </c>
      <c r="X1251" s="257">
        <f t="shared" si="265"/>
        <v>625252.40154201875</v>
      </c>
      <c r="Y1251" s="270">
        <f>IF(L1251="Complex",(INDEX('Escalators '!$M$176:$S$176,MATCH('Forecast capex'!J1251,'Escalators '!$M$178:$S$178,0))/12+1)^((K1251-J1251)*12)-1,0)</f>
        <v>0</v>
      </c>
      <c r="Z1251" s="257">
        <f t="shared" si="266"/>
        <v>0</v>
      </c>
      <c r="AA1251" s="257">
        <f t="shared" si="267"/>
        <v>0</v>
      </c>
      <c r="AB1251" s="269">
        <f t="shared" si="268"/>
        <v>0</v>
      </c>
      <c r="AC1251" s="269">
        <f t="shared" si="269"/>
        <v>0</v>
      </c>
      <c r="AD1251" s="271" t="str">
        <f>INDEX('Global inputs'!$C$134:$C$171,MATCH(F1251,'Global inputs'!$B$134:$B$171,0))</f>
        <v>Asset replacement and renewal</v>
      </c>
      <c r="AE1251" s="272">
        <f>IF(OR(H1251='Operating leases'!$B$32,H1251='Operating leases'!$B$33),"",INDEX('Global inputs'!$C$186:$C$243,MATCH(E1251,'Global inputs'!$B$186:$B$243,0)))</f>
        <v>0.08</v>
      </c>
    </row>
    <row r="1252" spans="1:31" s="27" customFormat="1" x14ac:dyDescent="0.2">
      <c r="A1252" s="250"/>
      <c r="B1252" s="210" t="s">
        <v>742</v>
      </c>
      <c r="C1252" s="210" t="s">
        <v>285</v>
      </c>
      <c r="D1252" s="210" t="s">
        <v>223</v>
      </c>
      <c r="E1252" s="210" t="s">
        <v>134</v>
      </c>
      <c r="F1252" s="210" t="s">
        <v>105</v>
      </c>
      <c r="G1252" s="210" t="s">
        <v>726</v>
      </c>
      <c r="H1252" s="197">
        <v>0</v>
      </c>
      <c r="I1252" s="210" t="s">
        <v>221</v>
      </c>
      <c r="J1252" s="210">
        <v>2024</v>
      </c>
      <c r="K1252" s="210">
        <v>2024</v>
      </c>
      <c r="L1252" s="268" t="str">
        <f t="shared" si="257"/>
        <v>Simple</v>
      </c>
      <c r="M1252" s="197">
        <v>1327233.5999999996</v>
      </c>
      <c r="N1252" s="197">
        <v>0</v>
      </c>
      <c r="O1252" s="257">
        <f>IF(ISNA(MATCH(H1252,'Operating leases'!$B$32:$B$43,0)),0,INDEX('Operating leases'!$M$32:$S$43,MATCH(H1252,'Operating leases'!$B$32:$B$43,0),MATCH(J1252,'Operating leases'!$M$11:$S$11,0)))</f>
        <v>0</v>
      </c>
      <c r="P1252" s="257">
        <f t="shared" si="258"/>
        <v>1327233.5999999996</v>
      </c>
      <c r="Q1252" s="257">
        <f t="shared" si="259"/>
        <v>1327233.5999999996</v>
      </c>
      <c r="R1252" s="258">
        <f>INDEX('Escalators '!$M$124:$S$129,MATCH(I1252,'Escalators '!$B$124:$B$129,0),MATCH(J1252,'Escalators '!$M$113:$S$113,0))</f>
        <v>1.06512715891222</v>
      </c>
      <c r="S1252" s="257">
        <f t="shared" si="260"/>
        <v>0</v>
      </c>
      <c r="T1252" s="257">
        <f t="shared" si="261"/>
        <v>0</v>
      </c>
      <c r="U1252" s="269">
        <f t="shared" si="262"/>
        <v>1413672.5535808373</v>
      </c>
      <c r="V1252" s="269">
        <f t="shared" si="263"/>
        <v>1413672.5535808373</v>
      </c>
      <c r="W1252" s="269">
        <f t="shared" si="264"/>
        <v>1413672.5535808373</v>
      </c>
      <c r="X1252" s="257">
        <f t="shared" si="265"/>
        <v>1413672.5535808373</v>
      </c>
      <c r="Y1252" s="270">
        <f>IF(L1252="Complex",(INDEX('Escalators '!$M$176:$S$176,MATCH('Forecast capex'!J1252,'Escalators '!$M$178:$S$178,0))/12+1)^((K1252-J1252)*12)-1,0)</f>
        <v>0</v>
      </c>
      <c r="Z1252" s="257">
        <f t="shared" si="266"/>
        <v>0</v>
      </c>
      <c r="AA1252" s="257">
        <f t="shared" si="267"/>
        <v>0</v>
      </c>
      <c r="AB1252" s="269">
        <f t="shared" si="268"/>
        <v>0</v>
      </c>
      <c r="AC1252" s="269">
        <f t="shared" si="269"/>
        <v>0</v>
      </c>
      <c r="AD1252" s="271" t="str">
        <f>INDEX('Global inputs'!$C$134:$C$171,MATCH(F1252,'Global inputs'!$B$134:$B$171,0))</f>
        <v>Asset replacement and renewal</v>
      </c>
      <c r="AE1252" s="272">
        <f>IF(OR(H1252='Operating leases'!$B$32,H1252='Operating leases'!$B$33),"",INDEX('Global inputs'!$C$186:$C$243,MATCH(E1252,'Global inputs'!$B$186:$B$243,0)))</f>
        <v>0.08</v>
      </c>
    </row>
    <row r="1253" spans="1:31" s="27" customFormat="1" x14ac:dyDescent="0.2">
      <c r="A1253" s="250"/>
      <c r="B1253" s="210" t="s">
        <v>746</v>
      </c>
      <c r="C1253" s="210" t="s">
        <v>285</v>
      </c>
      <c r="D1253" s="210" t="s">
        <v>223</v>
      </c>
      <c r="E1253" s="210" t="s">
        <v>134</v>
      </c>
      <c r="F1253" s="210" t="s">
        <v>76</v>
      </c>
      <c r="G1253" s="210" t="s">
        <v>726</v>
      </c>
      <c r="H1253" s="197">
        <v>0</v>
      </c>
      <c r="I1253" s="210" t="s">
        <v>223</v>
      </c>
      <c r="J1253" s="210">
        <v>2024</v>
      </c>
      <c r="K1253" s="210">
        <v>2024</v>
      </c>
      <c r="L1253" s="268" t="str">
        <f t="shared" si="257"/>
        <v>Simple</v>
      </c>
      <c r="M1253" s="197">
        <v>0</v>
      </c>
      <c r="N1253" s="197">
        <v>0</v>
      </c>
      <c r="O1253" s="257">
        <f>IF(ISNA(MATCH(H1253,'Operating leases'!$B$32:$B$43,0)),0,INDEX('Operating leases'!$M$32:$S$43,MATCH(H1253,'Operating leases'!$B$32:$B$43,0),MATCH(J1253,'Operating leases'!$M$11:$S$11,0)))</f>
        <v>0</v>
      </c>
      <c r="P1253" s="257">
        <f t="shared" si="258"/>
        <v>0</v>
      </c>
      <c r="Q1253" s="257">
        <f t="shared" si="259"/>
        <v>0</v>
      </c>
      <c r="R1253" s="258">
        <f>INDEX('Escalators '!$M$124:$S$129,MATCH(I1253,'Escalators '!$B$124:$B$129,0),MATCH(J1253,'Escalators '!$M$113:$S$113,0))</f>
        <v>1.0992204162588337</v>
      </c>
      <c r="S1253" s="257">
        <f t="shared" si="260"/>
        <v>0</v>
      </c>
      <c r="T1253" s="257">
        <f t="shared" si="261"/>
        <v>0</v>
      </c>
      <c r="U1253" s="269">
        <f t="shared" si="262"/>
        <v>0</v>
      </c>
      <c r="V1253" s="269">
        <f t="shared" si="263"/>
        <v>0</v>
      </c>
      <c r="W1253" s="269">
        <f t="shared" si="264"/>
        <v>0</v>
      </c>
      <c r="X1253" s="257">
        <f t="shared" si="265"/>
        <v>0</v>
      </c>
      <c r="Y1253" s="270">
        <f>IF(L1253="Complex",(INDEX('Escalators '!$M$176:$S$176,MATCH('Forecast capex'!J1253,'Escalators '!$M$178:$S$178,0))/12+1)^((K1253-J1253)*12)-1,0)</f>
        <v>0</v>
      </c>
      <c r="Z1253" s="257">
        <f t="shared" si="266"/>
        <v>0</v>
      </c>
      <c r="AA1253" s="257">
        <f t="shared" si="267"/>
        <v>0</v>
      </c>
      <c r="AB1253" s="269">
        <f t="shared" si="268"/>
        <v>0</v>
      </c>
      <c r="AC1253" s="269">
        <f t="shared" si="269"/>
        <v>0</v>
      </c>
      <c r="AD1253" s="271" t="str">
        <f>INDEX('Global inputs'!$C$134:$C$171,MATCH(F1253,'Global inputs'!$B$134:$B$171,0))</f>
        <v xml:space="preserve">System growth </v>
      </c>
      <c r="AE1253" s="272">
        <f>IF(OR(H1253='Operating leases'!$B$32,H1253='Operating leases'!$B$33),"",INDEX('Global inputs'!$C$186:$C$243,MATCH(E1253,'Global inputs'!$B$186:$B$243,0)))</f>
        <v>0.08</v>
      </c>
    </row>
    <row r="1254" spans="1:31" s="27" customFormat="1" x14ac:dyDescent="0.2">
      <c r="A1254" s="250"/>
      <c r="B1254" s="210" t="s">
        <v>746</v>
      </c>
      <c r="C1254" s="210" t="s">
        <v>285</v>
      </c>
      <c r="D1254" s="210" t="s">
        <v>223</v>
      </c>
      <c r="E1254" s="210" t="s">
        <v>134</v>
      </c>
      <c r="F1254" s="210" t="s">
        <v>76</v>
      </c>
      <c r="G1254" s="210" t="s">
        <v>726</v>
      </c>
      <c r="H1254" s="197">
        <v>0</v>
      </c>
      <c r="I1254" s="210" t="s">
        <v>221</v>
      </c>
      <c r="J1254" s="210">
        <v>2024</v>
      </c>
      <c r="K1254" s="210">
        <v>2024</v>
      </c>
      <c r="L1254" s="268" t="str">
        <f t="shared" si="257"/>
        <v>Simple</v>
      </c>
      <c r="M1254" s="197">
        <v>0</v>
      </c>
      <c r="N1254" s="197">
        <v>0</v>
      </c>
      <c r="O1254" s="257">
        <f>IF(ISNA(MATCH(H1254,'Operating leases'!$B$32:$B$43,0)),0,INDEX('Operating leases'!$M$32:$S$43,MATCH(H1254,'Operating leases'!$B$32:$B$43,0),MATCH(J1254,'Operating leases'!$M$11:$S$11,0)))</f>
        <v>0</v>
      </c>
      <c r="P1254" s="257">
        <f t="shared" si="258"/>
        <v>0</v>
      </c>
      <c r="Q1254" s="257">
        <f t="shared" si="259"/>
        <v>0</v>
      </c>
      <c r="R1254" s="258">
        <f>INDEX('Escalators '!$M$124:$S$129,MATCH(I1254,'Escalators '!$B$124:$B$129,0),MATCH(J1254,'Escalators '!$M$113:$S$113,0))</f>
        <v>1.06512715891222</v>
      </c>
      <c r="S1254" s="257">
        <f t="shared" si="260"/>
        <v>0</v>
      </c>
      <c r="T1254" s="257">
        <f t="shared" si="261"/>
        <v>0</v>
      </c>
      <c r="U1254" s="269">
        <f t="shared" si="262"/>
        <v>0</v>
      </c>
      <c r="V1254" s="269">
        <f t="shared" si="263"/>
        <v>0</v>
      </c>
      <c r="W1254" s="269">
        <f t="shared" si="264"/>
        <v>0</v>
      </c>
      <c r="X1254" s="257">
        <f t="shared" si="265"/>
        <v>0</v>
      </c>
      <c r="Y1254" s="270">
        <f>IF(L1254="Complex",(INDEX('Escalators '!$M$176:$S$176,MATCH('Forecast capex'!J1254,'Escalators '!$M$178:$S$178,0))/12+1)^((K1254-J1254)*12)-1,0)</f>
        <v>0</v>
      </c>
      <c r="Z1254" s="257">
        <f t="shared" si="266"/>
        <v>0</v>
      </c>
      <c r="AA1254" s="257">
        <f t="shared" si="267"/>
        <v>0</v>
      </c>
      <c r="AB1254" s="269">
        <f t="shared" si="268"/>
        <v>0</v>
      </c>
      <c r="AC1254" s="269">
        <f t="shared" si="269"/>
        <v>0</v>
      </c>
      <c r="AD1254" s="271" t="str">
        <f>INDEX('Global inputs'!$C$134:$C$171,MATCH(F1254,'Global inputs'!$B$134:$B$171,0))</f>
        <v xml:space="preserve">System growth </v>
      </c>
      <c r="AE1254" s="272">
        <f>IF(OR(H1254='Operating leases'!$B$32,H1254='Operating leases'!$B$33),"",INDEX('Global inputs'!$C$186:$C$243,MATCH(E1254,'Global inputs'!$B$186:$B$243,0)))</f>
        <v>0.08</v>
      </c>
    </row>
    <row r="1255" spans="1:31" s="27" customFormat="1" x14ac:dyDescent="0.2">
      <c r="A1255" s="250"/>
      <c r="B1255" s="210" t="s">
        <v>746</v>
      </c>
      <c r="C1255" s="210" t="s">
        <v>284</v>
      </c>
      <c r="D1255" s="210" t="s">
        <v>729</v>
      </c>
      <c r="E1255" s="210" t="s">
        <v>127</v>
      </c>
      <c r="F1255" s="210" t="s">
        <v>76</v>
      </c>
      <c r="G1255" s="210" t="s">
        <v>730</v>
      </c>
      <c r="H1255" s="197">
        <v>0</v>
      </c>
      <c r="I1255" s="210" t="s">
        <v>225</v>
      </c>
      <c r="J1255" s="210">
        <v>2024</v>
      </c>
      <c r="K1255" s="210">
        <v>2024</v>
      </c>
      <c r="L1255" s="268" t="str">
        <f t="shared" si="257"/>
        <v>Simple</v>
      </c>
      <c r="M1255" s="197">
        <v>0</v>
      </c>
      <c r="N1255" s="197">
        <v>0</v>
      </c>
      <c r="O1255" s="257">
        <f>IF(ISNA(MATCH(H1255,'Operating leases'!$B$32:$B$43,0)),0,INDEX('Operating leases'!$M$32:$S$43,MATCH(H1255,'Operating leases'!$B$32:$B$43,0),MATCH(J1255,'Operating leases'!$M$11:$S$11,0)))</f>
        <v>0</v>
      </c>
      <c r="P1255" s="257">
        <f t="shared" si="258"/>
        <v>0</v>
      </c>
      <c r="Q1255" s="257">
        <f t="shared" si="259"/>
        <v>0</v>
      </c>
      <c r="R1255" s="258">
        <f>INDEX('Escalators '!$M$124:$S$129,MATCH(I1255,'Escalators '!$B$124:$B$129,0),MATCH(J1255,'Escalators '!$M$113:$S$113,0))</f>
        <v>1.0991168876021189</v>
      </c>
      <c r="S1255" s="257">
        <f t="shared" si="260"/>
        <v>0</v>
      </c>
      <c r="T1255" s="257">
        <f t="shared" si="261"/>
        <v>0</v>
      </c>
      <c r="U1255" s="269">
        <f t="shared" si="262"/>
        <v>0</v>
      </c>
      <c r="V1255" s="269">
        <f t="shared" si="263"/>
        <v>0</v>
      </c>
      <c r="W1255" s="269">
        <f t="shared" si="264"/>
        <v>0</v>
      </c>
      <c r="X1255" s="257">
        <f t="shared" si="265"/>
        <v>0</v>
      </c>
      <c r="Y1255" s="270">
        <f>IF(L1255="Complex",(INDEX('Escalators '!$M$176:$S$176,MATCH('Forecast capex'!J1255,'Escalators '!$M$178:$S$178,0))/12+1)^((K1255-J1255)*12)-1,0)</f>
        <v>0</v>
      </c>
      <c r="Z1255" s="257">
        <f t="shared" si="266"/>
        <v>0</v>
      </c>
      <c r="AA1255" s="257">
        <f t="shared" si="267"/>
        <v>0</v>
      </c>
      <c r="AB1255" s="269">
        <f t="shared" si="268"/>
        <v>0</v>
      </c>
      <c r="AC1255" s="269">
        <f t="shared" si="269"/>
        <v>0</v>
      </c>
      <c r="AD1255" s="271" t="str">
        <f>INDEX('Global inputs'!$C$134:$C$171,MATCH(F1255,'Global inputs'!$B$134:$B$171,0))</f>
        <v xml:space="preserve">System growth </v>
      </c>
      <c r="AE1255" s="272">
        <f>IF(OR(H1255='Operating leases'!$B$32,H1255='Operating leases'!$B$33),"",INDEX('Global inputs'!$C$186:$C$243,MATCH(E1255,'Global inputs'!$B$186:$B$243,0)))</f>
        <v>0.08</v>
      </c>
    </row>
    <row r="1256" spans="1:31" s="27" customFormat="1" x14ac:dyDescent="0.2">
      <c r="A1256" s="250"/>
      <c r="B1256" s="210" t="s">
        <v>746</v>
      </c>
      <c r="C1256" s="210" t="s">
        <v>284</v>
      </c>
      <c r="D1256" s="210" t="s">
        <v>729</v>
      </c>
      <c r="E1256" s="210" t="s">
        <v>127</v>
      </c>
      <c r="F1256" s="210" t="s">
        <v>76</v>
      </c>
      <c r="G1256" s="210" t="s">
        <v>730</v>
      </c>
      <c r="H1256" s="197">
        <v>0</v>
      </c>
      <c r="I1256" s="210" t="s">
        <v>221</v>
      </c>
      <c r="J1256" s="210">
        <v>2024</v>
      </c>
      <c r="K1256" s="210">
        <v>2024</v>
      </c>
      <c r="L1256" s="268" t="str">
        <f t="shared" si="257"/>
        <v>Simple</v>
      </c>
      <c r="M1256" s="197">
        <v>0</v>
      </c>
      <c r="N1256" s="197">
        <v>0</v>
      </c>
      <c r="O1256" s="257">
        <f>IF(ISNA(MATCH(H1256,'Operating leases'!$B$32:$B$43,0)),0,INDEX('Operating leases'!$M$32:$S$43,MATCH(H1256,'Operating leases'!$B$32:$B$43,0),MATCH(J1256,'Operating leases'!$M$11:$S$11,0)))</f>
        <v>0</v>
      </c>
      <c r="P1256" s="257">
        <f t="shared" si="258"/>
        <v>0</v>
      </c>
      <c r="Q1256" s="257">
        <f t="shared" si="259"/>
        <v>0</v>
      </c>
      <c r="R1256" s="258">
        <f>INDEX('Escalators '!$M$124:$S$129,MATCH(I1256,'Escalators '!$B$124:$B$129,0),MATCH(J1256,'Escalators '!$M$113:$S$113,0))</f>
        <v>1.06512715891222</v>
      </c>
      <c r="S1256" s="257">
        <f t="shared" si="260"/>
        <v>0</v>
      </c>
      <c r="T1256" s="257">
        <f t="shared" si="261"/>
        <v>0</v>
      </c>
      <c r="U1256" s="269">
        <f t="shared" si="262"/>
        <v>0</v>
      </c>
      <c r="V1256" s="269">
        <f t="shared" si="263"/>
        <v>0</v>
      </c>
      <c r="W1256" s="269">
        <f t="shared" si="264"/>
        <v>0</v>
      </c>
      <c r="X1256" s="257">
        <f t="shared" si="265"/>
        <v>0</v>
      </c>
      <c r="Y1256" s="270">
        <f>IF(L1256="Complex",(INDEX('Escalators '!$M$176:$S$176,MATCH('Forecast capex'!J1256,'Escalators '!$M$178:$S$178,0))/12+1)^((K1256-J1256)*12)-1,0)</f>
        <v>0</v>
      </c>
      <c r="Z1256" s="257">
        <f t="shared" si="266"/>
        <v>0</v>
      </c>
      <c r="AA1256" s="257">
        <f t="shared" si="267"/>
        <v>0</v>
      </c>
      <c r="AB1256" s="269">
        <f t="shared" si="268"/>
        <v>0</v>
      </c>
      <c r="AC1256" s="269">
        <f t="shared" si="269"/>
        <v>0</v>
      </c>
      <c r="AD1256" s="271" t="str">
        <f>INDEX('Global inputs'!$C$134:$C$171,MATCH(F1256,'Global inputs'!$B$134:$B$171,0))</f>
        <v xml:space="preserve">System growth </v>
      </c>
      <c r="AE1256" s="272">
        <f>IF(OR(H1256='Operating leases'!$B$32,H1256='Operating leases'!$B$33),"",INDEX('Global inputs'!$C$186:$C$243,MATCH(E1256,'Global inputs'!$B$186:$B$243,0)))</f>
        <v>0.08</v>
      </c>
    </row>
    <row r="1257" spans="1:31" s="27" customFormat="1" x14ac:dyDescent="0.2">
      <c r="A1257" s="250"/>
      <c r="B1257" s="210" t="s">
        <v>746</v>
      </c>
      <c r="C1257" s="210" t="s">
        <v>284</v>
      </c>
      <c r="D1257" s="210" t="s">
        <v>729</v>
      </c>
      <c r="E1257" s="210" t="s">
        <v>129</v>
      </c>
      <c r="F1257" s="210" t="s">
        <v>76</v>
      </c>
      <c r="G1257" s="210" t="s">
        <v>730</v>
      </c>
      <c r="H1257" s="197">
        <v>0</v>
      </c>
      <c r="I1257" s="210" t="s">
        <v>225</v>
      </c>
      <c r="J1257" s="210">
        <v>2024</v>
      </c>
      <c r="K1257" s="210">
        <v>2024</v>
      </c>
      <c r="L1257" s="268" t="str">
        <f t="shared" si="257"/>
        <v>Simple</v>
      </c>
      <c r="M1257" s="197">
        <v>0</v>
      </c>
      <c r="N1257" s="197">
        <v>0</v>
      </c>
      <c r="O1257" s="257">
        <f>IF(ISNA(MATCH(H1257,'Operating leases'!$B$32:$B$43,0)),0,INDEX('Operating leases'!$M$32:$S$43,MATCH(H1257,'Operating leases'!$B$32:$B$43,0),MATCH(J1257,'Operating leases'!$M$11:$S$11,0)))</f>
        <v>0</v>
      </c>
      <c r="P1257" s="257">
        <f t="shared" si="258"/>
        <v>0</v>
      </c>
      <c r="Q1257" s="257">
        <f t="shared" si="259"/>
        <v>0</v>
      </c>
      <c r="R1257" s="258">
        <f>INDEX('Escalators '!$M$124:$S$129,MATCH(I1257,'Escalators '!$B$124:$B$129,0),MATCH(J1257,'Escalators '!$M$113:$S$113,0))</f>
        <v>1.0991168876021189</v>
      </c>
      <c r="S1257" s="257">
        <f t="shared" si="260"/>
        <v>0</v>
      </c>
      <c r="T1257" s="257">
        <f t="shared" si="261"/>
        <v>0</v>
      </c>
      <c r="U1257" s="269">
        <f t="shared" si="262"/>
        <v>0</v>
      </c>
      <c r="V1257" s="269">
        <f t="shared" si="263"/>
        <v>0</v>
      </c>
      <c r="W1257" s="269">
        <f t="shared" si="264"/>
        <v>0</v>
      </c>
      <c r="X1257" s="257">
        <f t="shared" si="265"/>
        <v>0</v>
      </c>
      <c r="Y1257" s="270">
        <f>IF(L1257="Complex",(INDEX('Escalators '!$M$176:$S$176,MATCH('Forecast capex'!J1257,'Escalators '!$M$178:$S$178,0))/12+1)^((K1257-J1257)*12)-1,0)</f>
        <v>0</v>
      </c>
      <c r="Z1257" s="257">
        <f t="shared" si="266"/>
        <v>0</v>
      </c>
      <c r="AA1257" s="257">
        <f t="shared" si="267"/>
        <v>0</v>
      </c>
      <c r="AB1257" s="269">
        <f t="shared" si="268"/>
        <v>0</v>
      </c>
      <c r="AC1257" s="269">
        <f t="shared" si="269"/>
        <v>0</v>
      </c>
      <c r="AD1257" s="271" t="str">
        <f>INDEX('Global inputs'!$C$134:$C$171,MATCH(F1257,'Global inputs'!$B$134:$B$171,0))</f>
        <v xml:space="preserve">System growth </v>
      </c>
      <c r="AE1257" s="272">
        <f>IF(OR(H1257='Operating leases'!$B$32,H1257='Operating leases'!$B$33),"",INDEX('Global inputs'!$C$186:$C$243,MATCH(E1257,'Global inputs'!$B$186:$B$243,0)))</f>
        <v>0.1</v>
      </c>
    </row>
    <row r="1258" spans="1:31" s="27" customFormat="1" x14ac:dyDescent="0.2">
      <c r="A1258" s="250"/>
      <c r="B1258" s="210" t="s">
        <v>746</v>
      </c>
      <c r="C1258" s="210" t="s">
        <v>284</v>
      </c>
      <c r="D1258" s="210" t="s">
        <v>729</v>
      </c>
      <c r="E1258" s="210" t="s">
        <v>129</v>
      </c>
      <c r="F1258" s="210" t="s">
        <v>76</v>
      </c>
      <c r="G1258" s="210" t="s">
        <v>730</v>
      </c>
      <c r="H1258" s="197">
        <v>0</v>
      </c>
      <c r="I1258" s="210" t="s">
        <v>221</v>
      </c>
      <c r="J1258" s="210">
        <v>2024</v>
      </c>
      <c r="K1258" s="210">
        <v>2024</v>
      </c>
      <c r="L1258" s="268" t="str">
        <f t="shared" si="257"/>
        <v>Simple</v>
      </c>
      <c r="M1258" s="197">
        <v>0</v>
      </c>
      <c r="N1258" s="197">
        <v>0</v>
      </c>
      <c r="O1258" s="257">
        <f>IF(ISNA(MATCH(H1258,'Operating leases'!$B$32:$B$43,0)),0,INDEX('Operating leases'!$M$32:$S$43,MATCH(H1258,'Operating leases'!$B$32:$B$43,0),MATCH(J1258,'Operating leases'!$M$11:$S$11,0)))</f>
        <v>0</v>
      </c>
      <c r="P1258" s="257">
        <f t="shared" si="258"/>
        <v>0</v>
      </c>
      <c r="Q1258" s="257">
        <f t="shared" si="259"/>
        <v>0</v>
      </c>
      <c r="R1258" s="258">
        <f>INDEX('Escalators '!$M$124:$S$129,MATCH(I1258,'Escalators '!$B$124:$B$129,0),MATCH(J1258,'Escalators '!$M$113:$S$113,0))</f>
        <v>1.06512715891222</v>
      </c>
      <c r="S1258" s="257">
        <f t="shared" si="260"/>
        <v>0</v>
      </c>
      <c r="T1258" s="257">
        <f t="shared" si="261"/>
        <v>0</v>
      </c>
      <c r="U1258" s="269">
        <f t="shared" si="262"/>
        <v>0</v>
      </c>
      <c r="V1258" s="269">
        <f t="shared" si="263"/>
        <v>0</v>
      </c>
      <c r="W1258" s="269">
        <f t="shared" si="264"/>
        <v>0</v>
      </c>
      <c r="X1258" s="257">
        <f t="shared" si="265"/>
        <v>0</v>
      </c>
      <c r="Y1258" s="270">
        <f>IF(L1258="Complex",(INDEX('Escalators '!$M$176:$S$176,MATCH('Forecast capex'!J1258,'Escalators '!$M$178:$S$178,0))/12+1)^((K1258-J1258)*12)-1,0)</f>
        <v>0</v>
      </c>
      <c r="Z1258" s="257">
        <f t="shared" si="266"/>
        <v>0</v>
      </c>
      <c r="AA1258" s="257">
        <f t="shared" si="267"/>
        <v>0</v>
      </c>
      <c r="AB1258" s="269">
        <f t="shared" si="268"/>
        <v>0</v>
      </c>
      <c r="AC1258" s="269">
        <f t="shared" si="269"/>
        <v>0</v>
      </c>
      <c r="AD1258" s="271" t="str">
        <f>INDEX('Global inputs'!$C$134:$C$171,MATCH(F1258,'Global inputs'!$B$134:$B$171,0))</f>
        <v xml:space="preserve">System growth </v>
      </c>
      <c r="AE1258" s="272">
        <f>IF(OR(H1258='Operating leases'!$B$32,H1258='Operating leases'!$B$33),"",INDEX('Global inputs'!$C$186:$C$243,MATCH(E1258,'Global inputs'!$B$186:$B$243,0)))</f>
        <v>0.1</v>
      </c>
    </row>
    <row r="1259" spans="1:31" s="27" customFormat="1" x14ac:dyDescent="0.2">
      <c r="A1259" s="250"/>
      <c r="B1259" s="210" t="s">
        <v>746</v>
      </c>
      <c r="C1259" s="210" t="s">
        <v>286</v>
      </c>
      <c r="D1259" s="210" t="s">
        <v>732</v>
      </c>
      <c r="E1259" s="210" t="s">
        <v>143</v>
      </c>
      <c r="F1259" s="210" t="s">
        <v>76</v>
      </c>
      <c r="G1259" s="210" t="s">
        <v>734</v>
      </c>
      <c r="H1259" s="197">
        <v>0</v>
      </c>
      <c r="I1259" s="210" t="s">
        <v>142</v>
      </c>
      <c r="J1259" s="210">
        <v>2024</v>
      </c>
      <c r="K1259" s="210">
        <v>2024</v>
      </c>
      <c r="L1259" s="268" t="str">
        <f t="shared" si="257"/>
        <v>Simple</v>
      </c>
      <c r="M1259" s="197">
        <v>0</v>
      </c>
      <c r="N1259" s="197">
        <v>0</v>
      </c>
      <c r="O1259" s="257">
        <f>IF(ISNA(MATCH(H1259,'Operating leases'!$B$32:$B$43,0)),0,INDEX('Operating leases'!$M$32:$S$43,MATCH(H1259,'Operating leases'!$B$32:$B$43,0),MATCH(J1259,'Operating leases'!$M$11:$S$11,0)))</f>
        <v>0</v>
      </c>
      <c r="P1259" s="257">
        <f t="shared" si="258"/>
        <v>0</v>
      </c>
      <c r="Q1259" s="257">
        <f t="shared" si="259"/>
        <v>0</v>
      </c>
      <c r="R1259" s="258">
        <f>INDEX('Escalators '!$M$124:$S$129,MATCH(I1259,'Escalators '!$B$124:$B$129,0),MATCH(J1259,'Escalators '!$M$113:$S$113,0))</f>
        <v>1.06767964286932</v>
      </c>
      <c r="S1259" s="257">
        <f t="shared" si="260"/>
        <v>0</v>
      </c>
      <c r="T1259" s="257">
        <f t="shared" si="261"/>
        <v>0</v>
      </c>
      <c r="U1259" s="269">
        <f t="shared" si="262"/>
        <v>0</v>
      </c>
      <c r="V1259" s="269">
        <f t="shared" si="263"/>
        <v>0</v>
      </c>
      <c r="W1259" s="269">
        <f t="shared" si="264"/>
        <v>0</v>
      </c>
      <c r="X1259" s="257">
        <f t="shared" si="265"/>
        <v>0</v>
      </c>
      <c r="Y1259" s="270">
        <f>IF(L1259="Complex",(INDEX('Escalators '!$M$176:$S$176,MATCH('Forecast capex'!J1259,'Escalators '!$M$178:$S$178,0))/12+1)^((K1259-J1259)*12)-1,0)</f>
        <v>0</v>
      </c>
      <c r="Z1259" s="257">
        <f t="shared" si="266"/>
        <v>0</v>
      </c>
      <c r="AA1259" s="257">
        <f t="shared" si="267"/>
        <v>0</v>
      </c>
      <c r="AB1259" s="269">
        <f t="shared" si="268"/>
        <v>0</v>
      </c>
      <c r="AC1259" s="269">
        <f t="shared" si="269"/>
        <v>0</v>
      </c>
      <c r="AD1259" s="271" t="str">
        <f>INDEX('Global inputs'!$C$134:$C$171,MATCH(F1259,'Global inputs'!$B$134:$B$171,0))</f>
        <v xml:space="preserve">System growth </v>
      </c>
      <c r="AE1259" s="272">
        <f>IF(OR(H1259='Operating leases'!$B$32,H1259='Operating leases'!$B$33),"",INDEX('Global inputs'!$C$186:$C$243,MATCH(E1259,'Global inputs'!$B$186:$B$243,0)))</f>
        <v>0.08</v>
      </c>
    </row>
    <row r="1260" spans="1:31" s="27" customFormat="1" x14ac:dyDescent="0.2">
      <c r="A1260" s="250"/>
      <c r="B1260" s="210" t="s">
        <v>746</v>
      </c>
      <c r="C1260" s="210" t="s">
        <v>286</v>
      </c>
      <c r="D1260" s="210" t="s">
        <v>732</v>
      </c>
      <c r="E1260" s="210" t="s">
        <v>143</v>
      </c>
      <c r="F1260" s="210" t="s">
        <v>76</v>
      </c>
      <c r="G1260" s="210" t="s">
        <v>734</v>
      </c>
      <c r="H1260" s="197">
        <v>0</v>
      </c>
      <c r="I1260" s="210" t="s">
        <v>221</v>
      </c>
      <c r="J1260" s="210">
        <v>2024</v>
      </c>
      <c r="K1260" s="210">
        <v>2024</v>
      </c>
      <c r="L1260" s="268" t="str">
        <f t="shared" si="257"/>
        <v>Simple</v>
      </c>
      <c r="M1260" s="197">
        <v>0</v>
      </c>
      <c r="N1260" s="197">
        <v>0</v>
      </c>
      <c r="O1260" s="257">
        <f>IF(ISNA(MATCH(H1260,'Operating leases'!$B$32:$B$43,0)),0,INDEX('Operating leases'!$M$32:$S$43,MATCH(H1260,'Operating leases'!$B$32:$B$43,0),MATCH(J1260,'Operating leases'!$M$11:$S$11,0)))</f>
        <v>0</v>
      </c>
      <c r="P1260" s="257">
        <f t="shared" si="258"/>
        <v>0</v>
      </c>
      <c r="Q1260" s="257">
        <f t="shared" si="259"/>
        <v>0</v>
      </c>
      <c r="R1260" s="258">
        <f>INDEX('Escalators '!$M$124:$S$129,MATCH(I1260,'Escalators '!$B$124:$B$129,0),MATCH(J1260,'Escalators '!$M$113:$S$113,0))</f>
        <v>1.06512715891222</v>
      </c>
      <c r="S1260" s="257">
        <f t="shared" si="260"/>
        <v>0</v>
      </c>
      <c r="T1260" s="257">
        <f t="shared" si="261"/>
        <v>0</v>
      </c>
      <c r="U1260" s="269">
        <f t="shared" si="262"/>
        <v>0</v>
      </c>
      <c r="V1260" s="269">
        <f t="shared" si="263"/>
        <v>0</v>
      </c>
      <c r="W1260" s="269">
        <f t="shared" si="264"/>
        <v>0</v>
      </c>
      <c r="X1260" s="257">
        <f t="shared" si="265"/>
        <v>0</v>
      </c>
      <c r="Y1260" s="270">
        <f>IF(L1260="Complex",(INDEX('Escalators '!$M$176:$S$176,MATCH('Forecast capex'!J1260,'Escalators '!$M$178:$S$178,0))/12+1)^((K1260-J1260)*12)-1,0)</f>
        <v>0</v>
      </c>
      <c r="Z1260" s="257">
        <f t="shared" si="266"/>
        <v>0</v>
      </c>
      <c r="AA1260" s="257">
        <f t="shared" si="267"/>
        <v>0</v>
      </c>
      <c r="AB1260" s="269">
        <f t="shared" si="268"/>
        <v>0</v>
      </c>
      <c r="AC1260" s="269">
        <f t="shared" si="269"/>
        <v>0</v>
      </c>
      <c r="AD1260" s="271" t="str">
        <f>INDEX('Global inputs'!$C$134:$C$171,MATCH(F1260,'Global inputs'!$B$134:$B$171,0))</f>
        <v xml:space="preserve">System growth </v>
      </c>
      <c r="AE1260" s="272">
        <f>IF(OR(H1260='Operating leases'!$B$32,H1260='Operating leases'!$B$33),"",INDEX('Global inputs'!$C$186:$C$243,MATCH(E1260,'Global inputs'!$B$186:$B$243,0)))</f>
        <v>0.08</v>
      </c>
    </row>
    <row r="1261" spans="1:31" s="27" customFormat="1" x14ac:dyDescent="0.2">
      <c r="A1261" s="250"/>
      <c r="B1261" s="210" t="s">
        <v>746</v>
      </c>
      <c r="C1261" s="210" t="s">
        <v>286</v>
      </c>
      <c r="D1261" s="210" t="s">
        <v>732</v>
      </c>
      <c r="E1261" s="210" t="s">
        <v>138</v>
      </c>
      <c r="F1261" s="210" t="s">
        <v>79</v>
      </c>
      <c r="G1261" s="210" t="s">
        <v>752</v>
      </c>
      <c r="H1261" s="197">
        <v>0</v>
      </c>
      <c r="I1261" s="210" t="s">
        <v>139</v>
      </c>
      <c r="J1261" s="210">
        <v>2024</v>
      </c>
      <c r="K1261" s="210">
        <v>2024</v>
      </c>
      <c r="L1261" s="268" t="str">
        <f t="shared" si="257"/>
        <v>Simple</v>
      </c>
      <c r="M1261" s="197">
        <v>58542.666666666657</v>
      </c>
      <c r="N1261" s="197">
        <v>0</v>
      </c>
      <c r="O1261" s="257">
        <f>IF(ISNA(MATCH(H1261,'Operating leases'!$B$32:$B$43,0)),0,INDEX('Operating leases'!$M$32:$S$43,MATCH(H1261,'Operating leases'!$B$32:$B$43,0),MATCH(J1261,'Operating leases'!$M$11:$S$11,0)))</f>
        <v>0</v>
      </c>
      <c r="P1261" s="257">
        <f t="shared" si="258"/>
        <v>58542.666666666657</v>
      </c>
      <c r="Q1261" s="257">
        <f t="shared" si="259"/>
        <v>58542.666666666657</v>
      </c>
      <c r="R1261" s="258">
        <f>INDEX('Escalators '!$M$124:$S$129,MATCH(I1261,'Escalators '!$B$124:$B$129,0),MATCH(J1261,'Escalators '!$M$113:$S$113,0))</f>
        <v>1.0400802295441569</v>
      </c>
      <c r="S1261" s="257">
        <f t="shared" si="260"/>
        <v>0</v>
      </c>
      <c r="T1261" s="257">
        <f t="shared" si="261"/>
        <v>0</v>
      </c>
      <c r="U1261" s="269">
        <f t="shared" si="262"/>
        <v>60889.070184793716</v>
      </c>
      <c r="V1261" s="269">
        <f t="shared" si="263"/>
        <v>60889.070184793716</v>
      </c>
      <c r="W1261" s="269">
        <f t="shared" si="264"/>
        <v>60889.070184793716</v>
      </c>
      <c r="X1261" s="257">
        <f t="shared" si="265"/>
        <v>60889.070184793716</v>
      </c>
      <c r="Y1261" s="270">
        <f>IF(L1261="Complex",(INDEX('Escalators '!$M$176:$S$176,MATCH('Forecast capex'!J1261,'Escalators '!$M$178:$S$178,0))/12+1)^((K1261-J1261)*12)-1,0)</f>
        <v>0</v>
      </c>
      <c r="Z1261" s="257">
        <f t="shared" si="266"/>
        <v>0</v>
      </c>
      <c r="AA1261" s="257">
        <f t="shared" si="267"/>
        <v>0</v>
      </c>
      <c r="AB1261" s="269">
        <f t="shared" si="268"/>
        <v>0</v>
      </c>
      <c r="AC1261" s="269">
        <f t="shared" si="269"/>
        <v>0</v>
      </c>
      <c r="AD1261" s="271" t="str">
        <f>INDEX('Global inputs'!$C$134:$C$171,MATCH(F1261,'Global inputs'!$B$134:$B$171,0))</f>
        <v xml:space="preserve">System growth </v>
      </c>
      <c r="AE1261" s="272">
        <f>IF(OR(H1261='Operating leases'!$B$32,H1261='Operating leases'!$B$33),"",INDEX('Global inputs'!$C$186:$C$243,MATCH(E1261,'Global inputs'!$B$186:$B$243,0)))</f>
        <v>0.08</v>
      </c>
    </row>
    <row r="1262" spans="1:31" s="27" customFormat="1" x14ac:dyDescent="0.2">
      <c r="A1262" s="250"/>
      <c r="B1262" s="210" t="s">
        <v>746</v>
      </c>
      <c r="C1262" s="210" t="s">
        <v>286</v>
      </c>
      <c r="D1262" s="210" t="s">
        <v>732</v>
      </c>
      <c r="E1262" s="210" t="s">
        <v>138</v>
      </c>
      <c r="F1262" s="210" t="s">
        <v>79</v>
      </c>
      <c r="G1262" s="210" t="s">
        <v>752</v>
      </c>
      <c r="H1262" s="197">
        <v>0</v>
      </c>
      <c r="I1262" s="210" t="s">
        <v>221</v>
      </c>
      <c r="J1262" s="210">
        <v>2024</v>
      </c>
      <c r="K1262" s="210">
        <v>2024</v>
      </c>
      <c r="L1262" s="268" t="str">
        <f t="shared" si="257"/>
        <v>Simple</v>
      </c>
      <c r="M1262" s="197">
        <v>39028.444444444438</v>
      </c>
      <c r="N1262" s="197">
        <v>0</v>
      </c>
      <c r="O1262" s="257">
        <f>IF(ISNA(MATCH(H1262,'Operating leases'!$B$32:$B$43,0)),0,INDEX('Operating leases'!$M$32:$S$43,MATCH(H1262,'Operating leases'!$B$32:$B$43,0),MATCH(J1262,'Operating leases'!$M$11:$S$11,0)))</f>
        <v>0</v>
      </c>
      <c r="P1262" s="257">
        <f t="shared" si="258"/>
        <v>39028.444444444438</v>
      </c>
      <c r="Q1262" s="257">
        <f t="shared" si="259"/>
        <v>39028.444444444438</v>
      </c>
      <c r="R1262" s="258">
        <f>INDEX('Escalators '!$M$124:$S$129,MATCH(I1262,'Escalators '!$B$124:$B$129,0),MATCH(J1262,'Escalators '!$M$113:$S$113,0))</f>
        <v>1.06512715891222</v>
      </c>
      <c r="S1262" s="257">
        <f t="shared" si="260"/>
        <v>0</v>
      </c>
      <c r="T1262" s="257">
        <f t="shared" si="261"/>
        <v>0</v>
      </c>
      <c r="U1262" s="269">
        <f t="shared" si="262"/>
        <v>41570.256147874519</v>
      </c>
      <c r="V1262" s="269">
        <f t="shared" si="263"/>
        <v>41570.256147874519</v>
      </c>
      <c r="W1262" s="269">
        <f t="shared" si="264"/>
        <v>41570.256147874519</v>
      </c>
      <c r="X1262" s="257">
        <f t="shared" si="265"/>
        <v>41570.256147874519</v>
      </c>
      <c r="Y1262" s="270">
        <f>IF(L1262="Complex",(INDEX('Escalators '!$M$176:$S$176,MATCH('Forecast capex'!J1262,'Escalators '!$M$178:$S$178,0))/12+1)^((K1262-J1262)*12)-1,0)</f>
        <v>0</v>
      </c>
      <c r="Z1262" s="257">
        <f t="shared" si="266"/>
        <v>0</v>
      </c>
      <c r="AA1262" s="257">
        <f t="shared" si="267"/>
        <v>0</v>
      </c>
      <c r="AB1262" s="269">
        <f t="shared" si="268"/>
        <v>0</v>
      </c>
      <c r="AC1262" s="269">
        <f t="shared" si="269"/>
        <v>0</v>
      </c>
      <c r="AD1262" s="271" t="str">
        <f>INDEX('Global inputs'!$C$134:$C$171,MATCH(F1262,'Global inputs'!$B$134:$B$171,0))</f>
        <v xml:space="preserve">System growth </v>
      </c>
      <c r="AE1262" s="272">
        <f>IF(OR(H1262='Operating leases'!$B$32,H1262='Operating leases'!$B$33),"",INDEX('Global inputs'!$C$186:$C$243,MATCH(E1262,'Global inputs'!$B$186:$B$243,0)))</f>
        <v>0.08</v>
      </c>
    </row>
    <row r="1263" spans="1:31" s="27" customFormat="1" x14ac:dyDescent="0.2">
      <c r="A1263" s="250"/>
      <c r="B1263" s="210" t="s">
        <v>746</v>
      </c>
      <c r="C1263" s="210" t="s">
        <v>286</v>
      </c>
      <c r="D1263" s="210" t="s">
        <v>732</v>
      </c>
      <c r="E1263" s="210" t="s">
        <v>143</v>
      </c>
      <c r="F1263" s="210" t="s">
        <v>79</v>
      </c>
      <c r="G1263" s="210" t="s">
        <v>734</v>
      </c>
      <c r="H1263" s="197">
        <v>0</v>
      </c>
      <c r="I1263" s="210" t="s">
        <v>142</v>
      </c>
      <c r="J1263" s="210">
        <v>2024</v>
      </c>
      <c r="K1263" s="210">
        <v>2024</v>
      </c>
      <c r="L1263" s="268" t="str">
        <f t="shared" si="257"/>
        <v>Simple</v>
      </c>
      <c r="M1263" s="197">
        <v>374673.06666666665</v>
      </c>
      <c r="N1263" s="197">
        <v>0</v>
      </c>
      <c r="O1263" s="257">
        <f>IF(ISNA(MATCH(H1263,'Operating leases'!$B$32:$B$43,0)),0,INDEX('Operating leases'!$M$32:$S$43,MATCH(H1263,'Operating leases'!$B$32:$B$43,0),MATCH(J1263,'Operating leases'!$M$11:$S$11,0)))</f>
        <v>0</v>
      </c>
      <c r="P1263" s="257">
        <f t="shared" si="258"/>
        <v>374673.06666666665</v>
      </c>
      <c r="Q1263" s="257">
        <f t="shared" si="259"/>
        <v>374673.06666666665</v>
      </c>
      <c r="R1263" s="258">
        <f>INDEX('Escalators '!$M$124:$S$129,MATCH(I1263,'Escalators '!$B$124:$B$129,0),MATCH(J1263,'Escalators '!$M$113:$S$113,0))</f>
        <v>1.06767964286932</v>
      </c>
      <c r="S1263" s="257">
        <f t="shared" si="260"/>
        <v>0</v>
      </c>
      <c r="T1263" s="257">
        <f t="shared" si="261"/>
        <v>0</v>
      </c>
      <c r="U1263" s="269">
        <f t="shared" si="262"/>
        <v>400030.80601141957</v>
      </c>
      <c r="V1263" s="269">
        <f t="shared" si="263"/>
        <v>400030.80601141957</v>
      </c>
      <c r="W1263" s="269">
        <f t="shared" si="264"/>
        <v>400030.80601141957</v>
      </c>
      <c r="X1263" s="257">
        <f t="shared" si="265"/>
        <v>400030.80601141957</v>
      </c>
      <c r="Y1263" s="270">
        <f>IF(L1263="Complex",(INDEX('Escalators '!$M$176:$S$176,MATCH('Forecast capex'!J1263,'Escalators '!$M$178:$S$178,0))/12+1)^((K1263-J1263)*12)-1,0)</f>
        <v>0</v>
      </c>
      <c r="Z1263" s="257">
        <f t="shared" si="266"/>
        <v>0</v>
      </c>
      <c r="AA1263" s="257">
        <f t="shared" si="267"/>
        <v>0</v>
      </c>
      <c r="AB1263" s="269">
        <f t="shared" si="268"/>
        <v>0</v>
      </c>
      <c r="AC1263" s="269">
        <f t="shared" si="269"/>
        <v>0</v>
      </c>
      <c r="AD1263" s="271" t="str">
        <f>INDEX('Global inputs'!$C$134:$C$171,MATCH(F1263,'Global inputs'!$B$134:$B$171,0))</f>
        <v xml:space="preserve">System growth </v>
      </c>
      <c r="AE1263" s="272">
        <f>IF(OR(H1263='Operating leases'!$B$32,H1263='Operating leases'!$B$33),"",INDEX('Global inputs'!$C$186:$C$243,MATCH(E1263,'Global inputs'!$B$186:$B$243,0)))</f>
        <v>0.08</v>
      </c>
    </row>
    <row r="1264" spans="1:31" s="27" customFormat="1" x14ac:dyDescent="0.2">
      <c r="A1264" s="250"/>
      <c r="B1264" s="210" t="s">
        <v>746</v>
      </c>
      <c r="C1264" s="210" t="s">
        <v>286</v>
      </c>
      <c r="D1264" s="210" t="s">
        <v>732</v>
      </c>
      <c r="E1264" s="210" t="s">
        <v>143</v>
      </c>
      <c r="F1264" s="210" t="s">
        <v>79</v>
      </c>
      <c r="G1264" s="210" t="s">
        <v>734</v>
      </c>
      <c r="H1264" s="197">
        <v>0</v>
      </c>
      <c r="I1264" s="210" t="s">
        <v>221</v>
      </c>
      <c r="J1264" s="210">
        <v>2024</v>
      </c>
      <c r="K1264" s="210">
        <v>2024</v>
      </c>
      <c r="L1264" s="268" t="str">
        <f t="shared" si="257"/>
        <v>Simple</v>
      </c>
      <c r="M1264" s="197">
        <v>93668.266666666663</v>
      </c>
      <c r="N1264" s="197">
        <v>0</v>
      </c>
      <c r="O1264" s="257">
        <f>IF(ISNA(MATCH(H1264,'Operating leases'!$B$32:$B$43,0)),0,INDEX('Operating leases'!$M$32:$S$43,MATCH(H1264,'Operating leases'!$B$32:$B$43,0),MATCH(J1264,'Operating leases'!$M$11:$S$11,0)))</f>
        <v>0</v>
      </c>
      <c r="P1264" s="257">
        <f t="shared" si="258"/>
        <v>93668.266666666663</v>
      </c>
      <c r="Q1264" s="257">
        <f t="shared" si="259"/>
        <v>93668.266666666663</v>
      </c>
      <c r="R1264" s="258">
        <f>INDEX('Escalators '!$M$124:$S$129,MATCH(I1264,'Escalators '!$B$124:$B$129,0),MATCH(J1264,'Escalators '!$M$113:$S$113,0))</f>
        <v>1.06512715891222</v>
      </c>
      <c r="S1264" s="257">
        <f t="shared" si="260"/>
        <v>0</v>
      </c>
      <c r="T1264" s="257">
        <f t="shared" si="261"/>
        <v>0</v>
      </c>
      <c r="U1264" s="269">
        <f t="shared" si="262"/>
        <v>99768.614754898867</v>
      </c>
      <c r="V1264" s="269">
        <f t="shared" si="263"/>
        <v>99768.614754898867</v>
      </c>
      <c r="W1264" s="269">
        <f t="shared" si="264"/>
        <v>99768.614754898867</v>
      </c>
      <c r="X1264" s="257">
        <f t="shared" si="265"/>
        <v>99768.614754898867</v>
      </c>
      <c r="Y1264" s="270">
        <f>IF(L1264="Complex",(INDEX('Escalators '!$M$176:$S$176,MATCH('Forecast capex'!J1264,'Escalators '!$M$178:$S$178,0))/12+1)^((K1264-J1264)*12)-1,0)</f>
        <v>0</v>
      </c>
      <c r="Z1264" s="257">
        <f t="shared" si="266"/>
        <v>0</v>
      </c>
      <c r="AA1264" s="257">
        <f t="shared" si="267"/>
        <v>0</v>
      </c>
      <c r="AB1264" s="269">
        <f t="shared" si="268"/>
        <v>0</v>
      </c>
      <c r="AC1264" s="269">
        <f t="shared" si="269"/>
        <v>0</v>
      </c>
      <c r="AD1264" s="271" t="str">
        <f>INDEX('Global inputs'!$C$134:$C$171,MATCH(F1264,'Global inputs'!$B$134:$B$171,0))</f>
        <v xml:space="preserve">System growth </v>
      </c>
      <c r="AE1264" s="272">
        <f>IF(OR(H1264='Operating leases'!$B$32,H1264='Operating leases'!$B$33),"",INDEX('Global inputs'!$C$186:$C$243,MATCH(E1264,'Global inputs'!$B$186:$B$243,0)))</f>
        <v>0.08</v>
      </c>
    </row>
    <row r="1265" spans="1:31" s="27" customFormat="1" x14ac:dyDescent="0.2">
      <c r="A1265" s="250"/>
      <c r="B1265" s="210" t="s">
        <v>746</v>
      </c>
      <c r="C1265" s="210" t="s">
        <v>286</v>
      </c>
      <c r="D1265" s="210" t="s">
        <v>732</v>
      </c>
      <c r="E1265" s="210" t="s">
        <v>136</v>
      </c>
      <c r="F1265" s="210" t="s">
        <v>79</v>
      </c>
      <c r="G1265" s="210" t="s">
        <v>751</v>
      </c>
      <c r="H1265" s="197">
        <v>0</v>
      </c>
      <c r="I1265" s="210" t="s">
        <v>229</v>
      </c>
      <c r="J1265" s="210">
        <v>2024</v>
      </c>
      <c r="K1265" s="210">
        <v>2024</v>
      </c>
      <c r="L1265" s="268" t="str">
        <f t="shared" si="257"/>
        <v>Simple</v>
      </c>
      <c r="M1265" s="197">
        <v>536641.11111111112</v>
      </c>
      <c r="N1265" s="197">
        <v>0</v>
      </c>
      <c r="O1265" s="257">
        <f>IF(ISNA(MATCH(H1265,'Operating leases'!$B$32:$B$43,0)),0,INDEX('Operating leases'!$M$32:$S$43,MATCH(H1265,'Operating leases'!$B$32:$B$43,0),MATCH(J1265,'Operating leases'!$M$11:$S$11,0)))</f>
        <v>0</v>
      </c>
      <c r="P1265" s="257">
        <f t="shared" si="258"/>
        <v>536641.11111111112</v>
      </c>
      <c r="Q1265" s="257">
        <f t="shared" si="259"/>
        <v>536641.11111111112</v>
      </c>
      <c r="R1265" s="258">
        <f>INDEX('Escalators '!$M$124:$S$129,MATCH(I1265,'Escalators '!$B$124:$B$129,0),MATCH(J1265,'Escalators '!$M$113:$S$113,0))</f>
        <v>1.0731681760713303</v>
      </c>
      <c r="S1265" s="257">
        <f t="shared" si="260"/>
        <v>0</v>
      </c>
      <c r="T1265" s="257">
        <f t="shared" si="261"/>
        <v>0</v>
      </c>
      <c r="U1265" s="269">
        <f t="shared" si="262"/>
        <v>575906.16241600318</v>
      </c>
      <c r="V1265" s="269">
        <f t="shared" si="263"/>
        <v>575906.16241600318</v>
      </c>
      <c r="W1265" s="269">
        <f t="shared" si="264"/>
        <v>575906.16241600318</v>
      </c>
      <c r="X1265" s="257">
        <f t="shared" si="265"/>
        <v>575906.16241600318</v>
      </c>
      <c r="Y1265" s="270">
        <f>IF(L1265="Complex",(INDEX('Escalators '!$M$176:$S$176,MATCH('Forecast capex'!J1265,'Escalators '!$M$178:$S$178,0))/12+1)^((K1265-J1265)*12)-1,0)</f>
        <v>0</v>
      </c>
      <c r="Z1265" s="257">
        <f t="shared" si="266"/>
        <v>0</v>
      </c>
      <c r="AA1265" s="257">
        <f t="shared" si="267"/>
        <v>0</v>
      </c>
      <c r="AB1265" s="269">
        <f t="shared" si="268"/>
        <v>0</v>
      </c>
      <c r="AC1265" s="269">
        <f t="shared" si="269"/>
        <v>0</v>
      </c>
      <c r="AD1265" s="271" t="str">
        <f>INDEX('Global inputs'!$C$134:$C$171,MATCH(F1265,'Global inputs'!$B$134:$B$171,0))</f>
        <v xml:space="preserve">System growth </v>
      </c>
      <c r="AE1265" s="272">
        <f>IF(OR(H1265='Operating leases'!$B$32,H1265='Operating leases'!$B$33),"",INDEX('Global inputs'!$C$186:$C$243,MATCH(E1265,'Global inputs'!$B$186:$B$243,0)))</f>
        <v>0</v>
      </c>
    </row>
    <row r="1266" spans="1:31" s="27" customFormat="1" x14ac:dyDescent="0.2">
      <c r="A1266" s="250"/>
      <c r="B1266" s="210" t="s">
        <v>746</v>
      </c>
      <c r="C1266" s="210" t="s">
        <v>286</v>
      </c>
      <c r="D1266" s="210" t="s">
        <v>732</v>
      </c>
      <c r="E1266" s="210" t="s">
        <v>136</v>
      </c>
      <c r="F1266" s="210" t="s">
        <v>79</v>
      </c>
      <c r="G1266" s="210" t="s">
        <v>751</v>
      </c>
      <c r="H1266" s="197">
        <v>0</v>
      </c>
      <c r="I1266" s="210" t="s">
        <v>221</v>
      </c>
      <c r="J1266" s="210">
        <v>2024</v>
      </c>
      <c r="K1266" s="210">
        <v>2024</v>
      </c>
      <c r="L1266" s="268" t="str">
        <f t="shared" si="257"/>
        <v>Simple</v>
      </c>
      <c r="M1266" s="197">
        <v>536641.11111111112</v>
      </c>
      <c r="N1266" s="197">
        <v>0</v>
      </c>
      <c r="O1266" s="257">
        <f>IF(ISNA(MATCH(H1266,'Operating leases'!$B$32:$B$43,0)),0,INDEX('Operating leases'!$M$32:$S$43,MATCH(H1266,'Operating leases'!$B$32:$B$43,0),MATCH(J1266,'Operating leases'!$M$11:$S$11,0)))</f>
        <v>0</v>
      </c>
      <c r="P1266" s="257">
        <f t="shared" si="258"/>
        <v>536641.11111111112</v>
      </c>
      <c r="Q1266" s="257">
        <f t="shared" si="259"/>
        <v>536641.11111111112</v>
      </c>
      <c r="R1266" s="258">
        <f>INDEX('Escalators '!$M$124:$S$129,MATCH(I1266,'Escalators '!$B$124:$B$129,0),MATCH(J1266,'Escalators '!$M$113:$S$113,0))</f>
        <v>1.06512715891222</v>
      </c>
      <c r="S1266" s="257">
        <f t="shared" si="260"/>
        <v>0</v>
      </c>
      <c r="T1266" s="257">
        <f t="shared" si="261"/>
        <v>0</v>
      </c>
      <c r="U1266" s="269">
        <f t="shared" si="262"/>
        <v>571591.02203327476</v>
      </c>
      <c r="V1266" s="269">
        <f t="shared" si="263"/>
        <v>571591.02203327476</v>
      </c>
      <c r="W1266" s="269">
        <f t="shared" si="264"/>
        <v>571591.02203327476</v>
      </c>
      <c r="X1266" s="257">
        <f t="shared" si="265"/>
        <v>571591.02203327476</v>
      </c>
      <c r="Y1266" s="270">
        <f>IF(L1266="Complex",(INDEX('Escalators '!$M$176:$S$176,MATCH('Forecast capex'!J1266,'Escalators '!$M$178:$S$178,0))/12+1)^((K1266-J1266)*12)-1,0)</f>
        <v>0</v>
      </c>
      <c r="Z1266" s="257">
        <f t="shared" si="266"/>
        <v>0</v>
      </c>
      <c r="AA1266" s="257">
        <f t="shared" si="267"/>
        <v>0</v>
      </c>
      <c r="AB1266" s="269">
        <f t="shared" si="268"/>
        <v>0</v>
      </c>
      <c r="AC1266" s="269">
        <f t="shared" si="269"/>
        <v>0</v>
      </c>
      <c r="AD1266" s="271" t="str">
        <f>INDEX('Global inputs'!$C$134:$C$171,MATCH(F1266,'Global inputs'!$B$134:$B$171,0))</f>
        <v xml:space="preserve">System growth </v>
      </c>
      <c r="AE1266" s="272">
        <f>IF(OR(H1266='Operating leases'!$B$32,H1266='Operating leases'!$B$33),"",INDEX('Global inputs'!$C$186:$C$243,MATCH(E1266,'Global inputs'!$B$186:$B$243,0)))</f>
        <v>0</v>
      </c>
    </row>
    <row r="1267" spans="1:31" s="27" customFormat="1" x14ac:dyDescent="0.2">
      <c r="A1267" s="250"/>
      <c r="B1267" s="210" t="s">
        <v>746</v>
      </c>
      <c r="C1267" s="210" t="s">
        <v>286</v>
      </c>
      <c r="D1267" s="210" t="s">
        <v>735</v>
      </c>
      <c r="E1267" s="210" t="s">
        <v>144</v>
      </c>
      <c r="F1267" s="210" t="s">
        <v>79</v>
      </c>
      <c r="G1267" s="210" t="s">
        <v>736</v>
      </c>
      <c r="H1267" s="197">
        <v>0</v>
      </c>
      <c r="I1267" s="210" t="s">
        <v>229</v>
      </c>
      <c r="J1267" s="210">
        <v>2024</v>
      </c>
      <c r="K1267" s="210">
        <v>2024</v>
      </c>
      <c r="L1267" s="268" t="str">
        <f t="shared" si="257"/>
        <v>Simple</v>
      </c>
      <c r="M1267" s="197">
        <v>35125.599999999991</v>
      </c>
      <c r="N1267" s="197">
        <v>0</v>
      </c>
      <c r="O1267" s="257">
        <f>IF(ISNA(MATCH(H1267,'Operating leases'!$B$32:$B$43,0)),0,INDEX('Operating leases'!$M$32:$S$43,MATCH(H1267,'Operating leases'!$B$32:$B$43,0),MATCH(J1267,'Operating leases'!$M$11:$S$11,0)))</f>
        <v>0</v>
      </c>
      <c r="P1267" s="257">
        <f t="shared" si="258"/>
        <v>35125.599999999991</v>
      </c>
      <c r="Q1267" s="257">
        <f t="shared" si="259"/>
        <v>35125.599999999991</v>
      </c>
      <c r="R1267" s="258">
        <f>INDEX('Escalators '!$M$124:$S$129,MATCH(I1267,'Escalators '!$B$124:$B$129,0),MATCH(J1267,'Escalators '!$M$113:$S$113,0))</f>
        <v>1.0731681760713303</v>
      </c>
      <c r="S1267" s="257">
        <f t="shared" si="260"/>
        <v>0</v>
      </c>
      <c r="T1267" s="257">
        <f t="shared" si="261"/>
        <v>0</v>
      </c>
      <c r="U1267" s="269">
        <f t="shared" si="262"/>
        <v>37695.676085411113</v>
      </c>
      <c r="V1267" s="269">
        <f t="shared" si="263"/>
        <v>37695.676085411113</v>
      </c>
      <c r="W1267" s="269">
        <f t="shared" si="264"/>
        <v>37695.676085411113</v>
      </c>
      <c r="X1267" s="257">
        <f t="shared" si="265"/>
        <v>37695.676085411113</v>
      </c>
      <c r="Y1267" s="270">
        <f>IF(L1267="Complex",(INDEX('Escalators '!$M$176:$S$176,MATCH('Forecast capex'!J1267,'Escalators '!$M$178:$S$178,0))/12+1)^((K1267-J1267)*12)-1,0)</f>
        <v>0</v>
      </c>
      <c r="Z1267" s="257">
        <f t="shared" si="266"/>
        <v>0</v>
      </c>
      <c r="AA1267" s="257">
        <f t="shared" si="267"/>
        <v>0</v>
      </c>
      <c r="AB1267" s="269">
        <f t="shared" si="268"/>
        <v>0</v>
      </c>
      <c r="AC1267" s="269">
        <f t="shared" si="269"/>
        <v>0</v>
      </c>
      <c r="AD1267" s="271" t="str">
        <f>INDEX('Global inputs'!$C$134:$C$171,MATCH(F1267,'Global inputs'!$B$134:$B$171,0))</f>
        <v xml:space="preserve">System growth </v>
      </c>
      <c r="AE1267" s="272">
        <f>IF(OR(H1267='Operating leases'!$B$32,H1267='Operating leases'!$B$33),"",INDEX('Global inputs'!$C$186:$C$243,MATCH(E1267,'Global inputs'!$B$186:$B$243,0)))</f>
        <v>0.08</v>
      </c>
    </row>
    <row r="1268" spans="1:31" s="27" customFormat="1" x14ac:dyDescent="0.2">
      <c r="A1268" s="250"/>
      <c r="B1268" s="210" t="s">
        <v>746</v>
      </c>
      <c r="C1268" s="210" t="s">
        <v>286</v>
      </c>
      <c r="D1268" s="210" t="s">
        <v>735</v>
      </c>
      <c r="E1268" s="210" t="s">
        <v>144</v>
      </c>
      <c r="F1268" s="210" t="s">
        <v>79</v>
      </c>
      <c r="G1268" s="210" t="s">
        <v>736</v>
      </c>
      <c r="H1268" s="197">
        <v>0</v>
      </c>
      <c r="I1268" s="210" t="s">
        <v>221</v>
      </c>
      <c r="J1268" s="210">
        <v>2024</v>
      </c>
      <c r="K1268" s="210">
        <v>2024</v>
      </c>
      <c r="L1268" s="268" t="str">
        <f t="shared" si="257"/>
        <v>Simple</v>
      </c>
      <c r="M1268" s="197">
        <v>140502.39999999997</v>
      </c>
      <c r="N1268" s="197">
        <v>0</v>
      </c>
      <c r="O1268" s="257">
        <f>IF(ISNA(MATCH(H1268,'Operating leases'!$B$32:$B$43,0)),0,INDEX('Operating leases'!$M$32:$S$43,MATCH(H1268,'Operating leases'!$B$32:$B$43,0),MATCH(J1268,'Operating leases'!$M$11:$S$11,0)))</f>
        <v>0</v>
      </c>
      <c r="P1268" s="257">
        <f t="shared" si="258"/>
        <v>140502.39999999997</v>
      </c>
      <c r="Q1268" s="257">
        <f t="shared" si="259"/>
        <v>140502.39999999997</v>
      </c>
      <c r="R1268" s="258">
        <f>INDEX('Escalators '!$M$124:$S$129,MATCH(I1268,'Escalators '!$B$124:$B$129,0),MATCH(J1268,'Escalators '!$M$113:$S$113,0))</f>
        <v>1.06512715891222</v>
      </c>
      <c r="S1268" s="257">
        <f t="shared" si="260"/>
        <v>0</v>
      </c>
      <c r="T1268" s="257">
        <f t="shared" si="261"/>
        <v>0</v>
      </c>
      <c r="U1268" s="269">
        <f t="shared" si="262"/>
        <v>149652.92213234826</v>
      </c>
      <c r="V1268" s="269">
        <f t="shared" si="263"/>
        <v>149652.92213234826</v>
      </c>
      <c r="W1268" s="269">
        <f t="shared" si="264"/>
        <v>149652.92213234826</v>
      </c>
      <c r="X1268" s="257">
        <f t="shared" si="265"/>
        <v>149652.92213234826</v>
      </c>
      <c r="Y1268" s="270">
        <f>IF(L1268="Complex",(INDEX('Escalators '!$M$176:$S$176,MATCH('Forecast capex'!J1268,'Escalators '!$M$178:$S$178,0))/12+1)^((K1268-J1268)*12)-1,0)</f>
        <v>0</v>
      </c>
      <c r="Z1268" s="257">
        <f t="shared" si="266"/>
        <v>0</v>
      </c>
      <c r="AA1268" s="257">
        <f t="shared" si="267"/>
        <v>0</v>
      </c>
      <c r="AB1268" s="269">
        <f t="shared" si="268"/>
        <v>0</v>
      </c>
      <c r="AC1268" s="269">
        <f t="shared" si="269"/>
        <v>0</v>
      </c>
      <c r="AD1268" s="271" t="str">
        <f>INDEX('Global inputs'!$C$134:$C$171,MATCH(F1268,'Global inputs'!$B$134:$B$171,0))</f>
        <v xml:space="preserve">System growth </v>
      </c>
      <c r="AE1268" s="272">
        <f>IF(OR(H1268='Operating leases'!$B$32,H1268='Operating leases'!$B$33),"",INDEX('Global inputs'!$C$186:$C$243,MATCH(E1268,'Global inputs'!$B$186:$B$243,0)))</f>
        <v>0.08</v>
      </c>
    </row>
    <row r="1269" spans="1:31" s="27" customFormat="1" x14ac:dyDescent="0.2">
      <c r="A1269" s="250"/>
      <c r="B1269" s="210" t="s">
        <v>746</v>
      </c>
      <c r="C1269" s="210" t="s">
        <v>286</v>
      </c>
      <c r="D1269" s="210" t="s">
        <v>735</v>
      </c>
      <c r="E1269" s="210" t="s">
        <v>147</v>
      </c>
      <c r="F1269" s="210" t="s">
        <v>79</v>
      </c>
      <c r="G1269" s="210" t="s">
        <v>744</v>
      </c>
      <c r="H1269" s="197">
        <v>0</v>
      </c>
      <c r="I1269" s="210" t="s">
        <v>229</v>
      </c>
      <c r="J1269" s="210">
        <v>2024</v>
      </c>
      <c r="K1269" s="210">
        <v>2024</v>
      </c>
      <c r="L1269" s="268" t="str">
        <f t="shared" si="257"/>
        <v>Simple</v>
      </c>
      <c r="M1269" s="197">
        <v>21855.928888888888</v>
      </c>
      <c r="N1269" s="197">
        <v>0</v>
      </c>
      <c r="O1269" s="257">
        <f>IF(ISNA(MATCH(H1269,'Operating leases'!$B$32:$B$43,0)),0,INDEX('Operating leases'!$M$32:$S$43,MATCH(H1269,'Operating leases'!$B$32:$B$43,0),MATCH(J1269,'Operating leases'!$M$11:$S$11,0)))</f>
        <v>0</v>
      </c>
      <c r="P1269" s="257">
        <f t="shared" si="258"/>
        <v>21855.928888888888</v>
      </c>
      <c r="Q1269" s="257">
        <f t="shared" si="259"/>
        <v>21855.928888888888</v>
      </c>
      <c r="R1269" s="258">
        <f>INDEX('Escalators '!$M$124:$S$129,MATCH(I1269,'Escalators '!$B$124:$B$129,0),MATCH(J1269,'Escalators '!$M$113:$S$113,0))</f>
        <v>1.0731681760713303</v>
      </c>
      <c r="S1269" s="257">
        <f t="shared" si="260"/>
        <v>0</v>
      </c>
      <c r="T1269" s="257">
        <f t="shared" si="261"/>
        <v>0</v>
      </c>
      <c r="U1269" s="269">
        <f t="shared" si="262"/>
        <v>23455.087342033585</v>
      </c>
      <c r="V1269" s="269">
        <f t="shared" si="263"/>
        <v>23455.087342033585</v>
      </c>
      <c r="W1269" s="269">
        <f t="shared" si="264"/>
        <v>23455.087342033585</v>
      </c>
      <c r="X1269" s="257">
        <f t="shared" si="265"/>
        <v>23455.087342033585</v>
      </c>
      <c r="Y1269" s="270">
        <f>IF(L1269="Complex",(INDEX('Escalators '!$M$176:$S$176,MATCH('Forecast capex'!J1269,'Escalators '!$M$178:$S$178,0))/12+1)^((K1269-J1269)*12)-1,0)</f>
        <v>0</v>
      </c>
      <c r="Z1269" s="257">
        <f t="shared" si="266"/>
        <v>0</v>
      </c>
      <c r="AA1269" s="257">
        <f t="shared" si="267"/>
        <v>0</v>
      </c>
      <c r="AB1269" s="269">
        <f t="shared" si="268"/>
        <v>0</v>
      </c>
      <c r="AC1269" s="269">
        <f t="shared" si="269"/>
        <v>0</v>
      </c>
      <c r="AD1269" s="271" t="str">
        <f>INDEX('Global inputs'!$C$134:$C$171,MATCH(F1269,'Global inputs'!$B$134:$B$171,0))</f>
        <v xml:space="preserve">System growth </v>
      </c>
      <c r="AE1269" s="272">
        <f>IF(OR(H1269='Operating leases'!$B$32,H1269='Operating leases'!$B$33),"",INDEX('Global inputs'!$C$186:$C$243,MATCH(E1269,'Global inputs'!$B$186:$B$243,0)))</f>
        <v>0.08</v>
      </c>
    </row>
    <row r="1270" spans="1:31" s="27" customFormat="1" x14ac:dyDescent="0.2">
      <c r="A1270" s="250"/>
      <c r="B1270" s="210" t="s">
        <v>746</v>
      </c>
      <c r="C1270" s="210" t="s">
        <v>286</v>
      </c>
      <c r="D1270" s="210" t="s">
        <v>735</v>
      </c>
      <c r="E1270" s="210" t="s">
        <v>147</v>
      </c>
      <c r="F1270" s="210" t="s">
        <v>79</v>
      </c>
      <c r="G1270" s="210" t="s">
        <v>744</v>
      </c>
      <c r="H1270" s="197">
        <v>0</v>
      </c>
      <c r="I1270" s="210" t="s">
        <v>221</v>
      </c>
      <c r="J1270" s="210">
        <v>2024</v>
      </c>
      <c r="K1270" s="210">
        <v>2024</v>
      </c>
      <c r="L1270" s="268" t="str">
        <f t="shared" si="257"/>
        <v>Simple</v>
      </c>
      <c r="M1270" s="197">
        <v>87423.715555555551</v>
      </c>
      <c r="N1270" s="197">
        <v>0</v>
      </c>
      <c r="O1270" s="257">
        <f>IF(ISNA(MATCH(H1270,'Operating leases'!$B$32:$B$43,0)),0,INDEX('Operating leases'!$M$32:$S$43,MATCH(H1270,'Operating leases'!$B$32:$B$43,0),MATCH(J1270,'Operating leases'!$M$11:$S$11,0)))</f>
        <v>0</v>
      </c>
      <c r="P1270" s="257">
        <f t="shared" si="258"/>
        <v>87423.715555555551</v>
      </c>
      <c r="Q1270" s="257">
        <f t="shared" si="259"/>
        <v>87423.715555555551</v>
      </c>
      <c r="R1270" s="258">
        <f>INDEX('Escalators '!$M$124:$S$129,MATCH(I1270,'Escalators '!$B$124:$B$129,0),MATCH(J1270,'Escalators '!$M$113:$S$113,0))</f>
        <v>1.06512715891222</v>
      </c>
      <c r="S1270" s="257">
        <f t="shared" si="260"/>
        <v>0</v>
      </c>
      <c r="T1270" s="257">
        <f t="shared" si="261"/>
        <v>0</v>
      </c>
      <c r="U1270" s="269">
        <f t="shared" si="262"/>
        <v>93117.373771238941</v>
      </c>
      <c r="V1270" s="269">
        <f t="shared" si="263"/>
        <v>93117.373771238941</v>
      </c>
      <c r="W1270" s="269">
        <f t="shared" si="264"/>
        <v>93117.373771238941</v>
      </c>
      <c r="X1270" s="257">
        <f t="shared" si="265"/>
        <v>93117.373771238941</v>
      </c>
      <c r="Y1270" s="270">
        <f>IF(L1270="Complex",(INDEX('Escalators '!$M$176:$S$176,MATCH('Forecast capex'!J1270,'Escalators '!$M$178:$S$178,0))/12+1)^((K1270-J1270)*12)-1,0)</f>
        <v>0</v>
      </c>
      <c r="Z1270" s="257">
        <f t="shared" si="266"/>
        <v>0</v>
      </c>
      <c r="AA1270" s="257">
        <f t="shared" si="267"/>
        <v>0</v>
      </c>
      <c r="AB1270" s="269">
        <f t="shared" si="268"/>
        <v>0</v>
      </c>
      <c r="AC1270" s="269">
        <f t="shared" si="269"/>
        <v>0</v>
      </c>
      <c r="AD1270" s="271" t="str">
        <f>INDEX('Global inputs'!$C$134:$C$171,MATCH(F1270,'Global inputs'!$B$134:$B$171,0))</f>
        <v xml:space="preserve">System growth </v>
      </c>
      <c r="AE1270" s="272">
        <f>IF(OR(H1270='Operating leases'!$B$32,H1270='Operating leases'!$B$33),"",INDEX('Global inputs'!$C$186:$C$243,MATCH(E1270,'Global inputs'!$B$186:$B$243,0)))</f>
        <v>0.08</v>
      </c>
    </row>
    <row r="1271" spans="1:31" s="27" customFormat="1" x14ac:dyDescent="0.2">
      <c r="A1271" s="250"/>
      <c r="B1271" s="210" t="s">
        <v>746</v>
      </c>
      <c r="C1271" s="210" t="s">
        <v>291</v>
      </c>
      <c r="D1271" s="210" t="s">
        <v>735</v>
      </c>
      <c r="E1271" s="210" t="s">
        <v>175</v>
      </c>
      <c r="F1271" s="210" t="s">
        <v>79</v>
      </c>
      <c r="G1271" s="210" t="s">
        <v>748</v>
      </c>
      <c r="H1271" s="197">
        <v>0</v>
      </c>
      <c r="I1271" s="210" t="s">
        <v>229</v>
      </c>
      <c r="J1271" s="210">
        <v>2024</v>
      </c>
      <c r="K1271" s="210">
        <v>2024</v>
      </c>
      <c r="L1271" s="268" t="str">
        <f t="shared" si="257"/>
        <v>Simple</v>
      </c>
      <c r="M1271" s="197">
        <v>15611.377777777776</v>
      </c>
      <c r="N1271" s="197">
        <v>0</v>
      </c>
      <c r="O1271" s="257">
        <f>IF(ISNA(MATCH(H1271,'Operating leases'!$B$32:$B$43,0)),0,INDEX('Operating leases'!$M$32:$S$43,MATCH(H1271,'Operating leases'!$B$32:$B$43,0),MATCH(J1271,'Operating leases'!$M$11:$S$11,0)))</f>
        <v>0</v>
      </c>
      <c r="P1271" s="257">
        <f t="shared" si="258"/>
        <v>15611.377777777776</v>
      </c>
      <c r="Q1271" s="257">
        <f t="shared" si="259"/>
        <v>15611.377777777776</v>
      </c>
      <c r="R1271" s="258">
        <f>INDEX('Escalators '!$M$124:$S$129,MATCH(I1271,'Escalators '!$B$124:$B$129,0),MATCH(J1271,'Escalators '!$M$113:$S$113,0))</f>
        <v>1.0731681760713303</v>
      </c>
      <c r="S1271" s="257">
        <f t="shared" si="260"/>
        <v>0</v>
      </c>
      <c r="T1271" s="257">
        <f t="shared" si="261"/>
        <v>0</v>
      </c>
      <c r="U1271" s="269">
        <f t="shared" si="262"/>
        <v>16753.633815738274</v>
      </c>
      <c r="V1271" s="269">
        <f t="shared" si="263"/>
        <v>16753.633815738274</v>
      </c>
      <c r="W1271" s="269">
        <f t="shared" si="264"/>
        <v>16753.633815738274</v>
      </c>
      <c r="X1271" s="257">
        <f t="shared" si="265"/>
        <v>16753.633815738274</v>
      </c>
      <c r="Y1271" s="270">
        <f>IF(L1271="Complex",(INDEX('Escalators '!$M$176:$S$176,MATCH('Forecast capex'!J1271,'Escalators '!$M$178:$S$178,0))/12+1)^((K1271-J1271)*12)-1,0)</f>
        <v>0</v>
      </c>
      <c r="Z1271" s="257">
        <f t="shared" si="266"/>
        <v>0</v>
      </c>
      <c r="AA1271" s="257">
        <f t="shared" si="267"/>
        <v>0</v>
      </c>
      <c r="AB1271" s="269">
        <f t="shared" si="268"/>
        <v>0</v>
      </c>
      <c r="AC1271" s="269">
        <f t="shared" si="269"/>
        <v>0</v>
      </c>
      <c r="AD1271" s="271" t="str">
        <f>INDEX('Global inputs'!$C$134:$C$171,MATCH(F1271,'Global inputs'!$B$134:$B$171,0))</f>
        <v xml:space="preserve">System growth </v>
      </c>
      <c r="AE1271" s="272">
        <f>IF(OR(H1271='Operating leases'!$B$32,H1271='Operating leases'!$B$33),"",INDEX('Global inputs'!$C$186:$C$243,MATCH(E1271,'Global inputs'!$B$186:$B$243,0)))</f>
        <v>0.1</v>
      </c>
    </row>
    <row r="1272" spans="1:31" s="27" customFormat="1" x14ac:dyDescent="0.2">
      <c r="A1272" s="250"/>
      <c r="B1272" s="210" t="s">
        <v>746</v>
      </c>
      <c r="C1272" s="210" t="s">
        <v>291</v>
      </c>
      <c r="D1272" s="210" t="s">
        <v>735</v>
      </c>
      <c r="E1272" s="210" t="s">
        <v>175</v>
      </c>
      <c r="F1272" s="210" t="s">
        <v>79</v>
      </c>
      <c r="G1272" s="210" t="s">
        <v>748</v>
      </c>
      <c r="H1272" s="197">
        <v>0</v>
      </c>
      <c r="I1272" s="210" t="s">
        <v>221</v>
      </c>
      <c r="J1272" s="210">
        <v>2024</v>
      </c>
      <c r="K1272" s="210">
        <v>2024</v>
      </c>
      <c r="L1272" s="268" t="str">
        <f t="shared" si="257"/>
        <v>Simple</v>
      </c>
      <c r="M1272" s="197">
        <v>62445.511111111104</v>
      </c>
      <c r="N1272" s="197">
        <v>0</v>
      </c>
      <c r="O1272" s="257">
        <f>IF(ISNA(MATCH(H1272,'Operating leases'!$B$32:$B$43,0)),0,INDEX('Operating leases'!$M$32:$S$43,MATCH(H1272,'Operating leases'!$B$32:$B$43,0),MATCH(J1272,'Operating leases'!$M$11:$S$11,0)))</f>
        <v>0</v>
      </c>
      <c r="P1272" s="257">
        <f t="shared" si="258"/>
        <v>62445.511111111104</v>
      </c>
      <c r="Q1272" s="257">
        <f t="shared" si="259"/>
        <v>62445.511111111104</v>
      </c>
      <c r="R1272" s="258">
        <f>INDEX('Escalators '!$M$124:$S$129,MATCH(I1272,'Escalators '!$B$124:$B$129,0),MATCH(J1272,'Escalators '!$M$113:$S$113,0))</f>
        <v>1.06512715891222</v>
      </c>
      <c r="S1272" s="257">
        <f t="shared" si="260"/>
        <v>0</v>
      </c>
      <c r="T1272" s="257">
        <f t="shared" si="261"/>
        <v>0</v>
      </c>
      <c r="U1272" s="269">
        <f t="shared" si="262"/>
        <v>66512.409836599239</v>
      </c>
      <c r="V1272" s="269">
        <f t="shared" si="263"/>
        <v>66512.409836599239</v>
      </c>
      <c r="W1272" s="269">
        <f t="shared" si="264"/>
        <v>66512.409836599239</v>
      </c>
      <c r="X1272" s="257">
        <f t="shared" si="265"/>
        <v>66512.409836599239</v>
      </c>
      <c r="Y1272" s="270">
        <f>IF(L1272="Complex",(INDEX('Escalators '!$M$176:$S$176,MATCH('Forecast capex'!J1272,'Escalators '!$M$178:$S$178,0))/12+1)^((K1272-J1272)*12)-1,0)</f>
        <v>0</v>
      </c>
      <c r="Z1272" s="257">
        <f t="shared" si="266"/>
        <v>0</v>
      </c>
      <c r="AA1272" s="257">
        <f t="shared" si="267"/>
        <v>0</v>
      </c>
      <c r="AB1272" s="269">
        <f t="shared" si="268"/>
        <v>0</v>
      </c>
      <c r="AC1272" s="269">
        <f t="shared" si="269"/>
        <v>0</v>
      </c>
      <c r="AD1272" s="271" t="str">
        <f>INDEX('Global inputs'!$C$134:$C$171,MATCH(F1272,'Global inputs'!$B$134:$B$171,0))</f>
        <v xml:space="preserve">System growth </v>
      </c>
      <c r="AE1272" s="272">
        <f>IF(OR(H1272='Operating leases'!$B$32,H1272='Operating leases'!$B$33),"",INDEX('Global inputs'!$C$186:$C$243,MATCH(E1272,'Global inputs'!$B$186:$B$243,0)))</f>
        <v>0.1</v>
      </c>
    </row>
    <row r="1273" spans="1:31" s="27" customFormat="1" x14ac:dyDescent="0.2">
      <c r="A1273" s="250"/>
      <c r="B1273" s="210" t="s">
        <v>746</v>
      </c>
      <c r="C1273" s="210" t="s">
        <v>286</v>
      </c>
      <c r="D1273" s="210" t="s">
        <v>732</v>
      </c>
      <c r="E1273" s="210" t="s">
        <v>140</v>
      </c>
      <c r="F1273" s="210" t="s">
        <v>84</v>
      </c>
      <c r="G1273" s="210" t="s">
        <v>733</v>
      </c>
      <c r="H1273" s="197">
        <v>0</v>
      </c>
      <c r="I1273" s="210" t="s">
        <v>142</v>
      </c>
      <c r="J1273" s="210">
        <v>2024</v>
      </c>
      <c r="K1273" s="210">
        <v>2024</v>
      </c>
      <c r="L1273" s="268" t="str">
        <f t="shared" si="257"/>
        <v>Simple</v>
      </c>
      <c r="M1273" s="197">
        <v>0</v>
      </c>
      <c r="N1273" s="197">
        <v>0</v>
      </c>
      <c r="O1273" s="257">
        <f>IF(ISNA(MATCH(H1273,'Operating leases'!$B$32:$B$43,0)),0,INDEX('Operating leases'!$M$32:$S$43,MATCH(H1273,'Operating leases'!$B$32:$B$43,0),MATCH(J1273,'Operating leases'!$M$11:$S$11,0)))</f>
        <v>0</v>
      </c>
      <c r="P1273" s="257">
        <f t="shared" si="258"/>
        <v>0</v>
      </c>
      <c r="Q1273" s="257">
        <f t="shared" si="259"/>
        <v>0</v>
      </c>
      <c r="R1273" s="258">
        <f>INDEX('Escalators '!$M$124:$S$129,MATCH(I1273,'Escalators '!$B$124:$B$129,0),MATCH(J1273,'Escalators '!$M$113:$S$113,0))</f>
        <v>1.06767964286932</v>
      </c>
      <c r="S1273" s="257">
        <f t="shared" si="260"/>
        <v>0</v>
      </c>
      <c r="T1273" s="257">
        <f t="shared" si="261"/>
        <v>0</v>
      </c>
      <c r="U1273" s="269">
        <f t="shared" si="262"/>
        <v>0</v>
      </c>
      <c r="V1273" s="269">
        <f t="shared" si="263"/>
        <v>0</v>
      </c>
      <c r="W1273" s="269">
        <f t="shared" si="264"/>
        <v>0</v>
      </c>
      <c r="X1273" s="257">
        <f t="shared" si="265"/>
        <v>0</v>
      </c>
      <c r="Y1273" s="270">
        <f>IF(L1273="Complex",(INDEX('Escalators '!$M$176:$S$176,MATCH('Forecast capex'!J1273,'Escalators '!$M$178:$S$178,0))/12+1)^((K1273-J1273)*12)-1,0)</f>
        <v>0</v>
      </c>
      <c r="Z1273" s="257">
        <f t="shared" si="266"/>
        <v>0</v>
      </c>
      <c r="AA1273" s="257">
        <f t="shared" si="267"/>
        <v>0</v>
      </c>
      <c r="AB1273" s="269">
        <f t="shared" si="268"/>
        <v>0</v>
      </c>
      <c r="AC1273" s="269">
        <f t="shared" si="269"/>
        <v>0</v>
      </c>
      <c r="AD1273" s="271" t="str">
        <f>INDEX('Global inputs'!$C$134:$C$171,MATCH(F1273,'Global inputs'!$B$134:$B$171,0))</f>
        <v xml:space="preserve">System growth </v>
      </c>
      <c r="AE1273" s="272">
        <f>IF(OR(H1273='Operating leases'!$B$32,H1273='Operating leases'!$B$33),"",INDEX('Global inputs'!$C$186:$C$243,MATCH(E1273,'Global inputs'!$B$186:$B$243,0)))</f>
        <v>0.08</v>
      </c>
    </row>
    <row r="1274" spans="1:31" s="27" customFormat="1" x14ac:dyDescent="0.2">
      <c r="A1274" s="250"/>
      <c r="B1274" s="210" t="s">
        <v>746</v>
      </c>
      <c r="C1274" s="210" t="s">
        <v>286</v>
      </c>
      <c r="D1274" s="210" t="s">
        <v>732</v>
      </c>
      <c r="E1274" s="210" t="s">
        <v>140</v>
      </c>
      <c r="F1274" s="210" t="s">
        <v>84</v>
      </c>
      <c r="G1274" s="210" t="s">
        <v>733</v>
      </c>
      <c r="H1274" s="197">
        <v>0</v>
      </c>
      <c r="I1274" s="210" t="s">
        <v>221</v>
      </c>
      <c r="J1274" s="210">
        <v>2024</v>
      </c>
      <c r="K1274" s="210">
        <v>2024</v>
      </c>
      <c r="L1274" s="268" t="str">
        <f t="shared" si="257"/>
        <v>Simple</v>
      </c>
      <c r="M1274" s="197">
        <v>0</v>
      </c>
      <c r="N1274" s="197">
        <v>0</v>
      </c>
      <c r="O1274" s="257">
        <f>IF(ISNA(MATCH(H1274,'Operating leases'!$B$32:$B$43,0)),0,INDEX('Operating leases'!$M$32:$S$43,MATCH(H1274,'Operating leases'!$B$32:$B$43,0),MATCH(J1274,'Operating leases'!$M$11:$S$11,0)))</f>
        <v>0</v>
      </c>
      <c r="P1274" s="257">
        <f t="shared" si="258"/>
        <v>0</v>
      </c>
      <c r="Q1274" s="257">
        <f t="shared" si="259"/>
        <v>0</v>
      </c>
      <c r="R1274" s="258">
        <f>INDEX('Escalators '!$M$124:$S$129,MATCH(I1274,'Escalators '!$B$124:$B$129,0),MATCH(J1274,'Escalators '!$M$113:$S$113,0))</f>
        <v>1.06512715891222</v>
      </c>
      <c r="S1274" s="257">
        <f t="shared" si="260"/>
        <v>0</v>
      </c>
      <c r="T1274" s="257">
        <f t="shared" si="261"/>
        <v>0</v>
      </c>
      <c r="U1274" s="269">
        <f t="shared" si="262"/>
        <v>0</v>
      </c>
      <c r="V1274" s="269">
        <f t="shared" si="263"/>
        <v>0</v>
      </c>
      <c r="W1274" s="269">
        <f t="shared" si="264"/>
        <v>0</v>
      </c>
      <c r="X1274" s="257">
        <f t="shared" si="265"/>
        <v>0</v>
      </c>
      <c r="Y1274" s="270">
        <f>IF(L1274="Complex",(INDEX('Escalators '!$M$176:$S$176,MATCH('Forecast capex'!J1274,'Escalators '!$M$178:$S$178,0))/12+1)^((K1274-J1274)*12)-1,0)</f>
        <v>0</v>
      </c>
      <c r="Z1274" s="257">
        <f t="shared" si="266"/>
        <v>0</v>
      </c>
      <c r="AA1274" s="257">
        <f t="shared" si="267"/>
        <v>0</v>
      </c>
      <c r="AB1274" s="269">
        <f t="shared" si="268"/>
        <v>0</v>
      </c>
      <c r="AC1274" s="269">
        <f t="shared" si="269"/>
        <v>0</v>
      </c>
      <c r="AD1274" s="271" t="str">
        <f>INDEX('Global inputs'!$C$134:$C$171,MATCH(F1274,'Global inputs'!$B$134:$B$171,0))</f>
        <v xml:space="preserve">System growth </v>
      </c>
      <c r="AE1274" s="272">
        <f>IF(OR(H1274='Operating leases'!$B$32,H1274='Operating leases'!$B$33),"",INDEX('Global inputs'!$C$186:$C$243,MATCH(E1274,'Global inputs'!$B$186:$B$243,0)))</f>
        <v>0.08</v>
      </c>
    </row>
    <row r="1275" spans="1:31" s="27" customFormat="1" x14ac:dyDescent="0.2">
      <c r="A1275" s="250"/>
      <c r="B1275" s="210" t="s">
        <v>746</v>
      </c>
      <c r="C1275" s="210" t="s">
        <v>285</v>
      </c>
      <c r="D1275" s="210" t="s">
        <v>223</v>
      </c>
      <c r="E1275" s="210" t="s">
        <v>134</v>
      </c>
      <c r="F1275" s="210" t="s">
        <v>84</v>
      </c>
      <c r="G1275" s="210" t="s">
        <v>726</v>
      </c>
      <c r="H1275" s="197">
        <v>0</v>
      </c>
      <c r="I1275" s="210" t="s">
        <v>223</v>
      </c>
      <c r="J1275" s="210">
        <v>2024</v>
      </c>
      <c r="K1275" s="210">
        <v>2024</v>
      </c>
      <c r="L1275" s="268" t="str">
        <f t="shared" si="257"/>
        <v>Simple</v>
      </c>
      <c r="M1275" s="197">
        <v>0</v>
      </c>
      <c r="N1275" s="197">
        <v>0</v>
      </c>
      <c r="O1275" s="257">
        <f>IF(ISNA(MATCH(H1275,'Operating leases'!$B$32:$B$43,0)),0,INDEX('Operating leases'!$M$32:$S$43,MATCH(H1275,'Operating leases'!$B$32:$B$43,0),MATCH(J1275,'Operating leases'!$M$11:$S$11,0)))</f>
        <v>0</v>
      </c>
      <c r="P1275" s="257">
        <f t="shared" si="258"/>
        <v>0</v>
      </c>
      <c r="Q1275" s="257">
        <f t="shared" si="259"/>
        <v>0</v>
      </c>
      <c r="R1275" s="258">
        <f>INDEX('Escalators '!$M$124:$S$129,MATCH(I1275,'Escalators '!$B$124:$B$129,0),MATCH(J1275,'Escalators '!$M$113:$S$113,0))</f>
        <v>1.0992204162588337</v>
      </c>
      <c r="S1275" s="257">
        <f t="shared" si="260"/>
        <v>0</v>
      </c>
      <c r="T1275" s="257">
        <f t="shared" si="261"/>
        <v>0</v>
      </c>
      <c r="U1275" s="269">
        <f t="shared" si="262"/>
        <v>0</v>
      </c>
      <c r="V1275" s="269">
        <f t="shared" si="263"/>
        <v>0</v>
      </c>
      <c r="W1275" s="269">
        <f t="shared" si="264"/>
        <v>0</v>
      </c>
      <c r="X1275" s="257">
        <f t="shared" si="265"/>
        <v>0</v>
      </c>
      <c r="Y1275" s="270">
        <f>IF(L1275="Complex",(INDEX('Escalators '!$M$176:$S$176,MATCH('Forecast capex'!J1275,'Escalators '!$M$178:$S$178,0))/12+1)^((K1275-J1275)*12)-1,0)</f>
        <v>0</v>
      </c>
      <c r="Z1275" s="257">
        <f t="shared" si="266"/>
        <v>0</v>
      </c>
      <c r="AA1275" s="257">
        <f t="shared" si="267"/>
        <v>0</v>
      </c>
      <c r="AB1275" s="269">
        <f t="shared" si="268"/>
        <v>0</v>
      </c>
      <c r="AC1275" s="269">
        <f t="shared" si="269"/>
        <v>0</v>
      </c>
      <c r="AD1275" s="271" t="str">
        <f>INDEX('Global inputs'!$C$134:$C$171,MATCH(F1275,'Global inputs'!$B$134:$B$171,0))</f>
        <v xml:space="preserve">System growth </v>
      </c>
      <c r="AE1275" s="272">
        <f>IF(OR(H1275='Operating leases'!$B$32,H1275='Operating leases'!$B$33),"",INDEX('Global inputs'!$C$186:$C$243,MATCH(E1275,'Global inputs'!$B$186:$B$243,0)))</f>
        <v>0.08</v>
      </c>
    </row>
    <row r="1276" spans="1:31" s="27" customFormat="1" x14ac:dyDescent="0.2">
      <c r="A1276" s="250"/>
      <c r="B1276" s="210" t="s">
        <v>746</v>
      </c>
      <c r="C1276" s="210" t="s">
        <v>285</v>
      </c>
      <c r="D1276" s="210" t="s">
        <v>223</v>
      </c>
      <c r="E1276" s="210" t="s">
        <v>134</v>
      </c>
      <c r="F1276" s="210" t="s">
        <v>84</v>
      </c>
      <c r="G1276" s="210" t="s">
        <v>726</v>
      </c>
      <c r="H1276" s="197">
        <v>0</v>
      </c>
      <c r="I1276" s="210" t="s">
        <v>221</v>
      </c>
      <c r="J1276" s="210">
        <v>2024</v>
      </c>
      <c r="K1276" s="210">
        <v>2024</v>
      </c>
      <c r="L1276" s="268" t="str">
        <f t="shared" si="257"/>
        <v>Simple</v>
      </c>
      <c r="M1276" s="197">
        <v>0</v>
      </c>
      <c r="N1276" s="197">
        <v>0</v>
      </c>
      <c r="O1276" s="257">
        <f>IF(ISNA(MATCH(H1276,'Operating leases'!$B$32:$B$43,0)),0,INDEX('Operating leases'!$M$32:$S$43,MATCH(H1276,'Operating leases'!$B$32:$B$43,0),MATCH(J1276,'Operating leases'!$M$11:$S$11,0)))</f>
        <v>0</v>
      </c>
      <c r="P1276" s="257">
        <f t="shared" si="258"/>
        <v>0</v>
      </c>
      <c r="Q1276" s="257">
        <f t="shared" si="259"/>
        <v>0</v>
      </c>
      <c r="R1276" s="258">
        <f>INDEX('Escalators '!$M$124:$S$129,MATCH(I1276,'Escalators '!$B$124:$B$129,0),MATCH(J1276,'Escalators '!$M$113:$S$113,0))</f>
        <v>1.06512715891222</v>
      </c>
      <c r="S1276" s="257">
        <f t="shared" si="260"/>
        <v>0</v>
      </c>
      <c r="T1276" s="257">
        <f t="shared" si="261"/>
        <v>0</v>
      </c>
      <c r="U1276" s="269">
        <f t="shared" si="262"/>
        <v>0</v>
      </c>
      <c r="V1276" s="269">
        <f t="shared" si="263"/>
        <v>0</v>
      </c>
      <c r="W1276" s="269">
        <f t="shared" si="264"/>
        <v>0</v>
      </c>
      <c r="X1276" s="257">
        <f t="shared" si="265"/>
        <v>0</v>
      </c>
      <c r="Y1276" s="270">
        <f>IF(L1276="Complex",(INDEX('Escalators '!$M$176:$S$176,MATCH('Forecast capex'!J1276,'Escalators '!$M$178:$S$178,0))/12+1)^((K1276-J1276)*12)-1,0)</f>
        <v>0</v>
      </c>
      <c r="Z1276" s="257">
        <f t="shared" si="266"/>
        <v>0</v>
      </c>
      <c r="AA1276" s="257">
        <f t="shared" si="267"/>
        <v>0</v>
      </c>
      <c r="AB1276" s="269">
        <f t="shared" si="268"/>
        <v>0</v>
      </c>
      <c r="AC1276" s="269">
        <f t="shared" si="269"/>
        <v>0</v>
      </c>
      <c r="AD1276" s="271" t="str">
        <f>INDEX('Global inputs'!$C$134:$C$171,MATCH(F1276,'Global inputs'!$B$134:$B$171,0))</f>
        <v xml:space="preserve">System growth </v>
      </c>
      <c r="AE1276" s="272">
        <f>IF(OR(H1276='Operating leases'!$B$32,H1276='Operating leases'!$B$33),"",INDEX('Global inputs'!$C$186:$C$243,MATCH(E1276,'Global inputs'!$B$186:$B$243,0)))</f>
        <v>0.08</v>
      </c>
    </row>
    <row r="1277" spans="1:31" s="27" customFormat="1" x14ac:dyDescent="0.2">
      <c r="A1277" s="250"/>
      <c r="B1277" s="210" t="s">
        <v>742</v>
      </c>
      <c r="C1277" s="210" t="s">
        <v>286</v>
      </c>
      <c r="D1277" s="210" t="s">
        <v>732</v>
      </c>
      <c r="E1277" s="210" t="s">
        <v>136</v>
      </c>
      <c r="F1277" s="210" t="s">
        <v>108</v>
      </c>
      <c r="G1277" s="210" t="s">
        <v>751</v>
      </c>
      <c r="H1277" s="197">
        <v>0</v>
      </c>
      <c r="I1277" s="210" t="s">
        <v>221</v>
      </c>
      <c r="J1277" s="210">
        <v>2024</v>
      </c>
      <c r="K1277" s="210">
        <v>2024</v>
      </c>
      <c r="L1277" s="268" t="str">
        <f t="shared" si="257"/>
        <v>Simple</v>
      </c>
      <c r="M1277" s="197">
        <v>266000</v>
      </c>
      <c r="N1277" s="197">
        <v>0</v>
      </c>
      <c r="O1277" s="257">
        <f>IF(ISNA(MATCH(H1277,'Operating leases'!$B$32:$B$43,0)),0,INDEX('Operating leases'!$M$32:$S$43,MATCH(H1277,'Operating leases'!$B$32:$B$43,0),MATCH(J1277,'Operating leases'!$M$11:$S$11,0)))</f>
        <v>0</v>
      </c>
      <c r="P1277" s="257">
        <f t="shared" si="258"/>
        <v>266000</v>
      </c>
      <c r="Q1277" s="257">
        <f t="shared" si="259"/>
        <v>266000</v>
      </c>
      <c r="R1277" s="258">
        <f>INDEX('Escalators '!$M$124:$S$129,MATCH(I1277,'Escalators '!$B$124:$B$129,0),MATCH(J1277,'Escalators '!$M$113:$S$113,0))</f>
        <v>1.06512715891222</v>
      </c>
      <c r="S1277" s="257">
        <f t="shared" si="260"/>
        <v>0</v>
      </c>
      <c r="T1277" s="257">
        <f t="shared" si="261"/>
        <v>0</v>
      </c>
      <c r="U1277" s="269">
        <f t="shared" si="262"/>
        <v>283323.82427065051</v>
      </c>
      <c r="V1277" s="269">
        <f t="shared" si="263"/>
        <v>283323.82427065051</v>
      </c>
      <c r="W1277" s="269">
        <f t="shared" si="264"/>
        <v>283323.82427065051</v>
      </c>
      <c r="X1277" s="257">
        <f t="shared" si="265"/>
        <v>283323.82427065051</v>
      </c>
      <c r="Y1277" s="270">
        <f>IF(L1277="Complex",(INDEX('Escalators '!$M$176:$S$176,MATCH('Forecast capex'!J1277,'Escalators '!$M$178:$S$178,0))/12+1)^((K1277-J1277)*12)-1,0)</f>
        <v>0</v>
      </c>
      <c r="Z1277" s="257">
        <f t="shared" si="266"/>
        <v>0</v>
      </c>
      <c r="AA1277" s="257">
        <f t="shared" si="267"/>
        <v>0</v>
      </c>
      <c r="AB1277" s="269">
        <f t="shared" si="268"/>
        <v>0</v>
      </c>
      <c r="AC1277" s="269">
        <f t="shared" si="269"/>
        <v>0</v>
      </c>
      <c r="AD1277" s="271" t="str">
        <f>INDEX('Global inputs'!$C$134:$C$171,MATCH(F1277,'Global inputs'!$B$134:$B$171,0))</f>
        <v>Asset replacement and renewal</v>
      </c>
      <c r="AE1277" s="272">
        <f>IF(OR(H1277='Operating leases'!$B$32,H1277='Operating leases'!$B$33),"",INDEX('Global inputs'!$C$186:$C$243,MATCH(E1277,'Global inputs'!$B$186:$B$243,0)))</f>
        <v>0</v>
      </c>
    </row>
    <row r="1278" spans="1:31" s="27" customFormat="1" x14ac:dyDescent="0.2">
      <c r="A1278" s="250"/>
      <c r="B1278" s="210" t="s">
        <v>742</v>
      </c>
      <c r="C1278" s="210" t="s">
        <v>286</v>
      </c>
      <c r="D1278" s="210" t="s">
        <v>732</v>
      </c>
      <c r="E1278" s="210" t="s">
        <v>136</v>
      </c>
      <c r="F1278" s="210" t="s">
        <v>108</v>
      </c>
      <c r="G1278" s="210" t="s">
        <v>751</v>
      </c>
      <c r="H1278" s="197">
        <v>0</v>
      </c>
      <c r="I1278" s="210" t="s">
        <v>229</v>
      </c>
      <c r="J1278" s="210">
        <v>2024</v>
      </c>
      <c r="K1278" s="210">
        <v>2024</v>
      </c>
      <c r="L1278" s="268" t="str">
        <f t="shared" si="257"/>
        <v>Simple</v>
      </c>
      <c r="M1278" s="197">
        <v>266000</v>
      </c>
      <c r="N1278" s="197">
        <v>0</v>
      </c>
      <c r="O1278" s="257">
        <f>IF(ISNA(MATCH(H1278,'Operating leases'!$B$32:$B$43,0)),0,INDEX('Operating leases'!$M$32:$S$43,MATCH(H1278,'Operating leases'!$B$32:$B$43,0),MATCH(J1278,'Operating leases'!$M$11:$S$11,0)))</f>
        <v>0</v>
      </c>
      <c r="P1278" s="257">
        <f t="shared" si="258"/>
        <v>266000</v>
      </c>
      <c r="Q1278" s="257">
        <f t="shared" si="259"/>
        <v>266000</v>
      </c>
      <c r="R1278" s="258">
        <f>INDEX('Escalators '!$M$124:$S$129,MATCH(I1278,'Escalators '!$B$124:$B$129,0),MATCH(J1278,'Escalators '!$M$113:$S$113,0))</f>
        <v>1.0731681760713303</v>
      </c>
      <c r="S1278" s="257">
        <f t="shared" si="260"/>
        <v>0</v>
      </c>
      <c r="T1278" s="257">
        <f t="shared" si="261"/>
        <v>0</v>
      </c>
      <c r="U1278" s="269">
        <f t="shared" si="262"/>
        <v>285462.73483497387</v>
      </c>
      <c r="V1278" s="269">
        <f t="shared" si="263"/>
        <v>285462.73483497387</v>
      </c>
      <c r="W1278" s="269">
        <f t="shared" si="264"/>
        <v>285462.73483497387</v>
      </c>
      <c r="X1278" s="257">
        <f t="shared" si="265"/>
        <v>285462.73483497387</v>
      </c>
      <c r="Y1278" s="270">
        <f>IF(L1278="Complex",(INDEX('Escalators '!$M$176:$S$176,MATCH('Forecast capex'!J1278,'Escalators '!$M$178:$S$178,0))/12+1)^((K1278-J1278)*12)-1,0)</f>
        <v>0</v>
      </c>
      <c r="Z1278" s="257">
        <f t="shared" si="266"/>
        <v>0</v>
      </c>
      <c r="AA1278" s="257">
        <f t="shared" si="267"/>
        <v>0</v>
      </c>
      <c r="AB1278" s="269">
        <f t="shared" si="268"/>
        <v>0</v>
      </c>
      <c r="AC1278" s="269">
        <f t="shared" si="269"/>
        <v>0</v>
      </c>
      <c r="AD1278" s="271" t="str">
        <f>INDEX('Global inputs'!$C$134:$C$171,MATCH(F1278,'Global inputs'!$B$134:$B$171,0))</f>
        <v>Asset replacement and renewal</v>
      </c>
      <c r="AE1278" s="272">
        <f>IF(OR(H1278='Operating leases'!$B$32,H1278='Operating leases'!$B$33),"",INDEX('Global inputs'!$C$186:$C$243,MATCH(E1278,'Global inputs'!$B$186:$B$243,0)))</f>
        <v>0</v>
      </c>
    </row>
    <row r="1279" spans="1:31" s="27" customFormat="1" x14ac:dyDescent="0.2">
      <c r="A1279" s="250"/>
      <c r="B1279" s="210" t="s">
        <v>742</v>
      </c>
      <c r="C1279" s="210" t="s">
        <v>286</v>
      </c>
      <c r="D1279" s="210" t="s">
        <v>732</v>
      </c>
      <c r="E1279" s="210" t="s">
        <v>138</v>
      </c>
      <c r="F1279" s="210" t="s">
        <v>108</v>
      </c>
      <c r="G1279" s="210" t="s">
        <v>752</v>
      </c>
      <c r="H1279" s="197">
        <v>0</v>
      </c>
      <c r="I1279" s="210" t="s">
        <v>221</v>
      </c>
      <c r="J1279" s="210">
        <v>2024</v>
      </c>
      <c r="K1279" s="210">
        <v>2024</v>
      </c>
      <c r="L1279" s="268" t="str">
        <f t="shared" si="257"/>
        <v>Simple</v>
      </c>
      <c r="M1279" s="197">
        <v>55860</v>
      </c>
      <c r="N1279" s="197">
        <v>0</v>
      </c>
      <c r="O1279" s="257">
        <f>IF(ISNA(MATCH(H1279,'Operating leases'!$B$32:$B$43,0)),0,INDEX('Operating leases'!$M$32:$S$43,MATCH(H1279,'Operating leases'!$B$32:$B$43,0),MATCH(J1279,'Operating leases'!$M$11:$S$11,0)))</f>
        <v>0</v>
      </c>
      <c r="P1279" s="257">
        <f t="shared" si="258"/>
        <v>55860</v>
      </c>
      <c r="Q1279" s="257">
        <f t="shared" si="259"/>
        <v>55860</v>
      </c>
      <c r="R1279" s="258">
        <f>INDEX('Escalators '!$M$124:$S$129,MATCH(I1279,'Escalators '!$B$124:$B$129,0),MATCH(J1279,'Escalators '!$M$113:$S$113,0))</f>
        <v>1.06512715891222</v>
      </c>
      <c r="S1279" s="257">
        <f t="shared" si="260"/>
        <v>0</v>
      </c>
      <c r="T1279" s="257">
        <f t="shared" si="261"/>
        <v>0</v>
      </c>
      <c r="U1279" s="269">
        <f t="shared" si="262"/>
        <v>59498.003096836612</v>
      </c>
      <c r="V1279" s="269">
        <f t="shared" si="263"/>
        <v>59498.003096836612</v>
      </c>
      <c r="W1279" s="269">
        <f t="shared" si="264"/>
        <v>59498.003096836612</v>
      </c>
      <c r="X1279" s="257">
        <f t="shared" si="265"/>
        <v>59498.003096836612</v>
      </c>
      <c r="Y1279" s="270">
        <f>IF(L1279="Complex",(INDEX('Escalators '!$M$176:$S$176,MATCH('Forecast capex'!J1279,'Escalators '!$M$178:$S$178,0))/12+1)^((K1279-J1279)*12)-1,0)</f>
        <v>0</v>
      </c>
      <c r="Z1279" s="257">
        <f t="shared" si="266"/>
        <v>0</v>
      </c>
      <c r="AA1279" s="257">
        <f t="shared" si="267"/>
        <v>0</v>
      </c>
      <c r="AB1279" s="269">
        <f t="shared" si="268"/>
        <v>0</v>
      </c>
      <c r="AC1279" s="269">
        <f t="shared" si="269"/>
        <v>0</v>
      </c>
      <c r="AD1279" s="271" t="str">
        <f>INDEX('Global inputs'!$C$134:$C$171,MATCH(F1279,'Global inputs'!$B$134:$B$171,0))</f>
        <v>Asset replacement and renewal</v>
      </c>
      <c r="AE1279" s="272">
        <f>IF(OR(H1279='Operating leases'!$B$32,H1279='Operating leases'!$B$33),"",INDEX('Global inputs'!$C$186:$C$243,MATCH(E1279,'Global inputs'!$B$186:$B$243,0)))</f>
        <v>0.08</v>
      </c>
    </row>
    <row r="1280" spans="1:31" s="27" customFormat="1" x14ac:dyDescent="0.2">
      <c r="A1280" s="250"/>
      <c r="B1280" s="210" t="s">
        <v>742</v>
      </c>
      <c r="C1280" s="210" t="s">
        <v>286</v>
      </c>
      <c r="D1280" s="210" t="s">
        <v>732</v>
      </c>
      <c r="E1280" s="210" t="s">
        <v>138</v>
      </c>
      <c r="F1280" s="210" t="s">
        <v>108</v>
      </c>
      <c r="G1280" s="210" t="s">
        <v>752</v>
      </c>
      <c r="H1280" s="197">
        <v>0</v>
      </c>
      <c r="I1280" s="210" t="s">
        <v>139</v>
      </c>
      <c r="J1280" s="210">
        <v>2024</v>
      </c>
      <c r="K1280" s="210">
        <v>2024</v>
      </c>
      <c r="L1280" s="268" t="str">
        <f t="shared" si="257"/>
        <v>Simple</v>
      </c>
      <c r="M1280" s="197">
        <v>83790</v>
      </c>
      <c r="N1280" s="197">
        <v>0</v>
      </c>
      <c r="O1280" s="257">
        <f>IF(ISNA(MATCH(H1280,'Operating leases'!$B$32:$B$43,0)),0,INDEX('Operating leases'!$M$32:$S$43,MATCH(H1280,'Operating leases'!$B$32:$B$43,0),MATCH(J1280,'Operating leases'!$M$11:$S$11,0)))</f>
        <v>0</v>
      </c>
      <c r="P1280" s="257">
        <f t="shared" si="258"/>
        <v>83790</v>
      </c>
      <c r="Q1280" s="257">
        <f t="shared" si="259"/>
        <v>83790</v>
      </c>
      <c r="R1280" s="258">
        <f>INDEX('Escalators '!$M$124:$S$129,MATCH(I1280,'Escalators '!$B$124:$B$129,0),MATCH(J1280,'Escalators '!$M$113:$S$113,0))</f>
        <v>1.0400802295441569</v>
      </c>
      <c r="S1280" s="257">
        <f t="shared" si="260"/>
        <v>0</v>
      </c>
      <c r="T1280" s="257">
        <f t="shared" si="261"/>
        <v>0</v>
      </c>
      <c r="U1280" s="269">
        <f t="shared" si="262"/>
        <v>87148.322433504902</v>
      </c>
      <c r="V1280" s="269">
        <f t="shared" si="263"/>
        <v>87148.322433504902</v>
      </c>
      <c r="W1280" s="269">
        <f t="shared" si="264"/>
        <v>87148.322433504902</v>
      </c>
      <c r="X1280" s="257">
        <f t="shared" si="265"/>
        <v>87148.322433504902</v>
      </c>
      <c r="Y1280" s="270">
        <f>IF(L1280="Complex",(INDEX('Escalators '!$M$176:$S$176,MATCH('Forecast capex'!J1280,'Escalators '!$M$178:$S$178,0))/12+1)^((K1280-J1280)*12)-1,0)</f>
        <v>0</v>
      </c>
      <c r="Z1280" s="257">
        <f t="shared" si="266"/>
        <v>0</v>
      </c>
      <c r="AA1280" s="257">
        <f t="shared" si="267"/>
        <v>0</v>
      </c>
      <c r="AB1280" s="269">
        <f t="shared" si="268"/>
        <v>0</v>
      </c>
      <c r="AC1280" s="269">
        <f t="shared" si="269"/>
        <v>0</v>
      </c>
      <c r="AD1280" s="271" t="str">
        <f>INDEX('Global inputs'!$C$134:$C$171,MATCH(F1280,'Global inputs'!$B$134:$B$171,0))</f>
        <v>Asset replacement and renewal</v>
      </c>
      <c r="AE1280" s="272">
        <f>IF(OR(H1280='Operating leases'!$B$32,H1280='Operating leases'!$B$33),"",INDEX('Global inputs'!$C$186:$C$243,MATCH(E1280,'Global inputs'!$B$186:$B$243,0)))</f>
        <v>0.08</v>
      </c>
    </row>
    <row r="1281" spans="1:31" s="27" customFormat="1" x14ac:dyDescent="0.2">
      <c r="A1281" s="250"/>
      <c r="B1281" s="210" t="s">
        <v>742</v>
      </c>
      <c r="C1281" s="210" t="s">
        <v>286</v>
      </c>
      <c r="D1281" s="210" t="s">
        <v>732</v>
      </c>
      <c r="E1281" s="210" t="s">
        <v>140</v>
      </c>
      <c r="F1281" s="210" t="s">
        <v>108</v>
      </c>
      <c r="G1281" s="210" t="s">
        <v>733</v>
      </c>
      <c r="H1281" s="197">
        <v>0</v>
      </c>
      <c r="I1281" s="210" t="s">
        <v>221</v>
      </c>
      <c r="J1281" s="210">
        <v>2024</v>
      </c>
      <c r="K1281" s="210">
        <v>2024</v>
      </c>
      <c r="L1281" s="268" t="str">
        <f t="shared" si="257"/>
        <v>Simple</v>
      </c>
      <c r="M1281" s="197">
        <v>359100</v>
      </c>
      <c r="N1281" s="197">
        <v>0</v>
      </c>
      <c r="O1281" s="257">
        <f>IF(ISNA(MATCH(H1281,'Operating leases'!$B$32:$B$43,0)),0,INDEX('Operating leases'!$M$32:$S$43,MATCH(H1281,'Operating leases'!$B$32:$B$43,0),MATCH(J1281,'Operating leases'!$M$11:$S$11,0)))</f>
        <v>0</v>
      </c>
      <c r="P1281" s="257">
        <f t="shared" si="258"/>
        <v>359100</v>
      </c>
      <c r="Q1281" s="257">
        <f t="shared" si="259"/>
        <v>359100</v>
      </c>
      <c r="R1281" s="258">
        <f>INDEX('Escalators '!$M$124:$S$129,MATCH(I1281,'Escalators '!$B$124:$B$129,0),MATCH(J1281,'Escalators '!$M$113:$S$113,0))</f>
        <v>1.06512715891222</v>
      </c>
      <c r="S1281" s="257">
        <f t="shared" si="260"/>
        <v>0</v>
      </c>
      <c r="T1281" s="257">
        <f t="shared" si="261"/>
        <v>0</v>
      </c>
      <c r="U1281" s="269">
        <f t="shared" si="262"/>
        <v>382487.16276537819</v>
      </c>
      <c r="V1281" s="269">
        <f t="shared" si="263"/>
        <v>382487.16276537819</v>
      </c>
      <c r="W1281" s="269">
        <f t="shared" si="264"/>
        <v>382487.16276537819</v>
      </c>
      <c r="X1281" s="257">
        <f t="shared" si="265"/>
        <v>382487.16276537819</v>
      </c>
      <c r="Y1281" s="270">
        <f>IF(L1281="Complex",(INDEX('Escalators '!$M$176:$S$176,MATCH('Forecast capex'!J1281,'Escalators '!$M$178:$S$178,0))/12+1)^((K1281-J1281)*12)-1,0)</f>
        <v>0</v>
      </c>
      <c r="Z1281" s="257">
        <f t="shared" si="266"/>
        <v>0</v>
      </c>
      <c r="AA1281" s="257">
        <f t="shared" si="267"/>
        <v>0</v>
      </c>
      <c r="AB1281" s="269">
        <f t="shared" si="268"/>
        <v>0</v>
      </c>
      <c r="AC1281" s="269">
        <f t="shared" si="269"/>
        <v>0</v>
      </c>
      <c r="AD1281" s="271" t="str">
        <f>INDEX('Global inputs'!$C$134:$C$171,MATCH(F1281,'Global inputs'!$B$134:$B$171,0))</f>
        <v>Asset replacement and renewal</v>
      </c>
      <c r="AE1281" s="272">
        <f>IF(OR(H1281='Operating leases'!$B$32,H1281='Operating leases'!$B$33),"",INDEX('Global inputs'!$C$186:$C$243,MATCH(E1281,'Global inputs'!$B$186:$B$243,0)))</f>
        <v>0.08</v>
      </c>
    </row>
    <row r="1282" spans="1:31" s="27" customFormat="1" x14ac:dyDescent="0.2">
      <c r="A1282" s="250"/>
      <c r="B1282" s="210" t="s">
        <v>742</v>
      </c>
      <c r="C1282" s="210" t="s">
        <v>286</v>
      </c>
      <c r="D1282" s="210" t="s">
        <v>732</v>
      </c>
      <c r="E1282" s="210" t="s">
        <v>140</v>
      </c>
      <c r="F1282" s="210" t="s">
        <v>108</v>
      </c>
      <c r="G1282" s="210" t="s">
        <v>733</v>
      </c>
      <c r="H1282" s="197">
        <v>0</v>
      </c>
      <c r="I1282" s="210" t="s">
        <v>142</v>
      </c>
      <c r="J1282" s="210">
        <v>2024</v>
      </c>
      <c r="K1282" s="210">
        <v>2024</v>
      </c>
      <c r="L1282" s="268" t="str">
        <f t="shared" si="257"/>
        <v>Simple</v>
      </c>
      <c r="M1282" s="197">
        <v>538650</v>
      </c>
      <c r="N1282" s="197">
        <v>0</v>
      </c>
      <c r="O1282" s="257">
        <f>IF(ISNA(MATCH(H1282,'Operating leases'!$B$32:$B$43,0)),0,INDEX('Operating leases'!$M$32:$S$43,MATCH(H1282,'Operating leases'!$B$32:$B$43,0),MATCH(J1282,'Operating leases'!$M$11:$S$11,0)))</f>
        <v>0</v>
      </c>
      <c r="P1282" s="257">
        <f t="shared" si="258"/>
        <v>538650</v>
      </c>
      <c r="Q1282" s="257">
        <f t="shared" si="259"/>
        <v>538650</v>
      </c>
      <c r="R1282" s="258">
        <f>INDEX('Escalators '!$M$124:$S$129,MATCH(I1282,'Escalators '!$B$124:$B$129,0),MATCH(J1282,'Escalators '!$M$113:$S$113,0))</f>
        <v>1.06767964286932</v>
      </c>
      <c r="S1282" s="257">
        <f t="shared" si="260"/>
        <v>0</v>
      </c>
      <c r="T1282" s="257">
        <f t="shared" si="261"/>
        <v>0</v>
      </c>
      <c r="U1282" s="269">
        <f t="shared" si="262"/>
        <v>575105.63963155926</v>
      </c>
      <c r="V1282" s="269">
        <f t="shared" si="263"/>
        <v>575105.63963155926</v>
      </c>
      <c r="W1282" s="269">
        <f t="shared" si="264"/>
        <v>575105.63963155926</v>
      </c>
      <c r="X1282" s="257">
        <f t="shared" si="265"/>
        <v>575105.63963155926</v>
      </c>
      <c r="Y1282" s="270">
        <f>IF(L1282="Complex",(INDEX('Escalators '!$M$176:$S$176,MATCH('Forecast capex'!J1282,'Escalators '!$M$178:$S$178,0))/12+1)^((K1282-J1282)*12)-1,0)</f>
        <v>0</v>
      </c>
      <c r="Z1282" s="257">
        <f t="shared" si="266"/>
        <v>0</v>
      </c>
      <c r="AA1282" s="257">
        <f t="shared" si="267"/>
        <v>0</v>
      </c>
      <c r="AB1282" s="269">
        <f t="shared" si="268"/>
        <v>0</v>
      </c>
      <c r="AC1282" s="269">
        <f t="shared" si="269"/>
        <v>0</v>
      </c>
      <c r="AD1282" s="271" t="str">
        <f>INDEX('Global inputs'!$C$134:$C$171,MATCH(F1282,'Global inputs'!$B$134:$B$171,0))</f>
        <v>Asset replacement and renewal</v>
      </c>
      <c r="AE1282" s="272">
        <f>IF(OR(H1282='Operating leases'!$B$32,H1282='Operating leases'!$B$33),"",INDEX('Global inputs'!$C$186:$C$243,MATCH(E1282,'Global inputs'!$B$186:$B$243,0)))</f>
        <v>0.08</v>
      </c>
    </row>
    <row r="1283" spans="1:31" s="27" customFormat="1" x14ac:dyDescent="0.2">
      <c r="A1283" s="250"/>
      <c r="B1283" s="210" t="s">
        <v>742</v>
      </c>
      <c r="C1283" s="210" t="s">
        <v>286</v>
      </c>
      <c r="D1283" s="210" t="s">
        <v>735</v>
      </c>
      <c r="E1283" s="210" t="s">
        <v>147</v>
      </c>
      <c r="F1283" s="210" t="s">
        <v>108</v>
      </c>
      <c r="G1283" s="210" t="s">
        <v>744</v>
      </c>
      <c r="H1283" s="197">
        <v>0</v>
      </c>
      <c r="I1283" s="210" t="s">
        <v>221</v>
      </c>
      <c r="J1283" s="210">
        <v>2024</v>
      </c>
      <c r="K1283" s="210">
        <v>2024</v>
      </c>
      <c r="L1283" s="268" t="str">
        <f t="shared" si="257"/>
        <v>Simple</v>
      </c>
      <c r="M1283" s="197">
        <v>62562.641399999993</v>
      </c>
      <c r="N1283" s="197">
        <v>0</v>
      </c>
      <c r="O1283" s="257">
        <f>IF(ISNA(MATCH(H1283,'Operating leases'!$B$32:$B$43,0)),0,INDEX('Operating leases'!$M$32:$S$43,MATCH(H1283,'Operating leases'!$B$32:$B$43,0),MATCH(J1283,'Operating leases'!$M$11:$S$11,0)))</f>
        <v>0</v>
      </c>
      <c r="P1283" s="257">
        <f t="shared" si="258"/>
        <v>62562.641399999993</v>
      </c>
      <c r="Q1283" s="257">
        <f t="shared" si="259"/>
        <v>62562.641399999993</v>
      </c>
      <c r="R1283" s="258">
        <f>INDEX('Escalators '!$M$124:$S$129,MATCH(I1283,'Escalators '!$B$124:$B$129,0),MATCH(J1283,'Escalators '!$M$113:$S$113,0))</f>
        <v>1.06512715891222</v>
      </c>
      <c r="S1283" s="257">
        <f t="shared" si="260"/>
        <v>0</v>
      </c>
      <c r="T1283" s="257">
        <f t="shared" si="261"/>
        <v>0</v>
      </c>
      <c r="U1283" s="269">
        <f t="shared" si="262"/>
        <v>66637.168488426032</v>
      </c>
      <c r="V1283" s="269">
        <f t="shared" si="263"/>
        <v>66637.168488426032</v>
      </c>
      <c r="W1283" s="269">
        <f t="shared" si="264"/>
        <v>66637.168488426032</v>
      </c>
      <c r="X1283" s="257">
        <f t="shared" si="265"/>
        <v>66637.168488426032</v>
      </c>
      <c r="Y1283" s="270">
        <f>IF(L1283="Complex",(INDEX('Escalators '!$M$176:$S$176,MATCH('Forecast capex'!J1283,'Escalators '!$M$178:$S$178,0))/12+1)^((K1283-J1283)*12)-1,0)</f>
        <v>0</v>
      </c>
      <c r="Z1283" s="257">
        <f t="shared" si="266"/>
        <v>0</v>
      </c>
      <c r="AA1283" s="257">
        <f t="shared" si="267"/>
        <v>0</v>
      </c>
      <c r="AB1283" s="269">
        <f t="shared" si="268"/>
        <v>0</v>
      </c>
      <c r="AC1283" s="269">
        <f t="shared" si="269"/>
        <v>0</v>
      </c>
      <c r="AD1283" s="271" t="str">
        <f>INDEX('Global inputs'!$C$134:$C$171,MATCH(F1283,'Global inputs'!$B$134:$B$171,0))</f>
        <v>Asset replacement and renewal</v>
      </c>
      <c r="AE1283" s="272">
        <f>IF(OR(H1283='Operating leases'!$B$32,H1283='Operating leases'!$B$33),"",INDEX('Global inputs'!$C$186:$C$243,MATCH(E1283,'Global inputs'!$B$186:$B$243,0)))</f>
        <v>0.08</v>
      </c>
    </row>
    <row r="1284" spans="1:31" s="27" customFormat="1" x14ac:dyDescent="0.2">
      <c r="A1284" s="250"/>
      <c r="B1284" s="210" t="s">
        <v>742</v>
      </c>
      <c r="C1284" s="210" t="s">
        <v>286</v>
      </c>
      <c r="D1284" s="210" t="s">
        <v>735</v>
      </c>
      <c r="E1284" s="210" t="s">
        <v>147</v>
      </c>
      <c r="F1284" s="210" t="s">
        <v>108</v>
      </c>
      <c r="G1284" s="210" t="s">
        <v>744</v>
      </c>
      <c r="H1284" s="197">
        <v>0</v>
      </c>
      <c r="I1284" s="210" t="s">
        <v>229</v>
      </c>
      <c r="J1284" s="210">
        <v>2024</v>
      </c>
      <c r="K1284" s="210">
        <v>2024</v>
      </c>
      <c r="L1284" s="268" t="str">
        <f t="shared" si="257"/>
        <v>Simple</v>
      </c>
      <c r="M1284" s="197">
        <v>15640.660349999998</v>
      </c>
      <c r="N1284" s="197">
        <v>0</v>
      </c>
      <c r="O1284" s="257">
        <f>IF(ISNA(MATCH(H1284,'Operating leases'!$B$32:$B$43,0)),0,INDEX('Operating leases'!$M$32:$S$43,MATCH(H1284,'Operating leases'!$B$32:$B$43,0),MATCH(J1284,'Operating leases'!$M$11:$S$11,0)))</f>
        <v>0</v>
      </c>
      <c r="P1284" s="257">
        <f t="shared" si="258"/>
        <v>15640.660349999998</v>
      </c>
      <c r="Q1284" s="257">
        <f t="shared" si="259"/>
        <v>15640.660349999998</v>
      </c>
      <c r="R1284" s="258">
        <f>INDEX('Escalators '!$M$124:$S$129,MATCH(I1284,'Escalators '!$B$124:$B$129,0),MATCH(J1284,'Escalators '!$M$113:$S$113,0))</f>
        <v>1.0731681760713303</v>
      </c>
      <c r="S1284" s="257">
        <f t="shared" si="260"/>
        <v>0</v>
      </c>
      <c r="T1284" s="257">
        <f t="shared" si="261"/>
        <v>0</v>
      </c>
      <c r="U1284" s="269">
        <f t="shared" si="262"/>
        <v>16785.058940360672</v>
      </c>
      <c r="V1284" s="269">
        <f t="shared" si="263"/>
        <v>16785.058940360672</v>
      </c>
      <c r="W1284" s="269">
        <f t="shared" si="264"/>
        <v>16785.058940360672</v>
      </c>
      <c r="X1284" s="257">
        <f t="shared" si="265"/>
        <v>16785.058940360672</v>
      </c>
      <c r="Y1284" s="270">
        <f>IF(L1284="Complex",(INDEX('Escalators '!$M$176:$S$176,MATCH('Forecast capex'!J1284,'Escalators '!$M$178:$S$178,0))/12+1)^((K1284-J1284)*12)-1,0)</f>
        <v>0</v>
      </c>
      <c r="Z1284" s="257">
        <f t="shared" si="266"/>
        <v>0</v>
      </c>
      <c r="AA1284" s="257">
        <f t="shared" si="267"/>
        <v>0</v>
      </c>
      <c r="AB1284" s="269">
        <f t="shared" si="268"/>
        <v>0</v>
      </c>
      <c r="AC1284" s="269">
        <f t="shared" si="269"/>
        <v>0</v>
      </c>
      <c r="AD1284" s="271" t="str">
        <f>INDEX('Global inputs'!$C$134:$C$171,MATCH(F1284,'Global inputs'!$B$134:$B$171,0))</f>
        <v>Asset replacement and renewal</v>
      </c>
      <c r="AE1284" s="272">
        <f>IF(OR(H1284='Operating leases'!$B$32,H1284='Operating leases'!$B$33),"",INDEX('Global inputs'!$C$186:$C$243,MATCH(E1284,'Global inputs'!$B$186:$B$243,0)))</f>
        <v>0.08</v>
      </c>
    </row>
    <row r="1285" spans="1:31" s="27" customFormat="1" x14ac:dyDescent="0.2">
      <c r="A1285" s="250"/>
      <c r="B1285" s="210" t="s">
        <v>742</v>
      </c>
      <c r="C1285" s="210" t="s">
        <v>290</v>
      </c>
      <c r="D1285" s="210" t="s">
        <v>718</v>
      </c>
      <c r="E1285" s="210" t="s">
        <v>173</v>
      </c>
      <c r="F1285" s="210" t="s">
        <v>108</v>
      </c>
      <c r="G1285" s="210" t="s">
        <v>719</v>
      </c>
      <c r="H1285" s="197">
        <v>0</v>
      </c>
      <c r="I1285" s="210" t="s">
        <v>221</v>
      </c>
      <c r="J1285" s="210">
        <v>2024</v>
      </c>
      <c r="K1285" s="210">
        <v>2024</v>
      </c>
      <c r="L1285" s="268" t="str">
        <f t="shared" si="257"/>
        <v>Simple</v>
      </c>
      <c r="M1285" s="197">
        <v>19950</v>
      </c>
      <c r="N1285" s="197">
        <v>0</v>
      </c>
      <c r="O1285" s="257">
        <f>IF(ISNA(MATCH(H1285,'Operating leases'!$B$32:$B$43,0)),0,INDEX('Operating leases'!$M$32:$S$43,MATCH(H1285,'Operating leases'!$B$32:$B$43,0),MATCH(J1285,'Operating leases'!$M$11:$S$11,0)))</f>
        <v>0</v>
      </c>
      <c r="P1285" s="257">
        <f t="shared" si="258"/>
        <v>19950</v>
      </c>
      <c r="Q1285" s="257">
        <f t="shared" si="259"/>
        <v>19950</v>
      </c>
      <c r="R1285" s="258">
        <f>INDEX('Escalators '!$M$124:$S$129,MATCH(I1285,'Escalators '!$B$124:$B$129,0),MATCH(J1285,'Escalators '!$M$113:$S$113,0))</f>
        <v>1.06512715891222</v>
      </c>
      <c r="S1285" s="257">
        <f t="shared" si="260"/>
        <v>0</v>
      </c>
      <c r="T1285" s="257">
        <f t="shared" si="261"/>
        <v>0</v>
      </c>
      <c r="U1285" s="269">
        <f t="shared" si="262"/>
        <v>21249.286820298788</v>
      </c>
      <c r="V1285" s="269">
        <f t="shared" si="263"/>
        <v>21249.286820298788</v>
      </c>
      <c r="W1285" s="269">
        <f t="shared" si="264"/>
        <v>21249.286820298788</v>
      </c>
      <c r="X1285" s="257">
        <f t="shared" si="265"/>
        <v>21249.286820298788</v>
      </c>
      <c r="Y1285" s="270">
        <f>IF(L1285="Complex",(INDEX('Escalators '!$M$176:$S$176,MATCH('Forecast capex'!J1285,'Escalators '!$M$178:$S$178,0))/12+1)^((K1285-J1285)*12)-1,0)</f>
        <v>0</v>
      </c>
      <c r="Z1285" s="257">
        <f t="shared" si="266"/>
        <v>0</v>
      </c>
      <c r="AA1285" s="257">
        <f t="shared" si="267"/>
        <v>0</v>
      </c>
      <c r="AB1285" s="269">
        <f t="shared" si="268"/>
        <v>0</v>
      </c>
      <c r="AC1285" s="269">
        <f t="shared" si="269"/>
        <v>0</v>
      </c>
      <c r="AD1285" s="271" t="str">
        <f>INDEX('Global inputs'!$C$134:$C$171,MATCH(F1285,'Global inputs'!$B$134:$B$171,0))</f>
        <v>Asset replacement and renewal</v>
      </c>
      <c r="AE1285" s="272">
        <f>IF(OR(H1285='Operating leases'!$B$32,H1285='Operating leases'!$B$33),"",INDEX('Global inputs'!$C$186:$C$243,MATCH(E1285,'Global inputs'!$B$186:$B$243,0)))</f>
        <v>0.08</v>
      </c>
    </row>
    <row r="1286" spans="1:31" s="27" customFormat="1" x14ac:dyDescent="0.2">
      <c r="A1286" s="250"/>
      <c r="B1286" s="210" t="s">
        <v>742</v>
      </c>
      <c r="C1286" s="210" t="s">
        <v>290</v>
      </c>
      <c r="D1286" s="210" t="s">
        <v>718</v>
      </c>
      <c r="E1286" s="210" t="s">
        <v>173</v>
      </c>
      <c r="F1286" s="210" t="s">
        <v>108</v>
      </c>
      <c r="G1286" s="210" t="s">
        <v>719</v>
      </c>
      <c r="H1286" s="197">
        <v>0</v>
      </c>
      <c r="I1286" s="210" t="s">
        <v>142</v>
      </c>
      <c r="J1286" s="210">
        <v>2024</v>
      </c>
      <c r="K1286" s="210">
        <v>2024</v>
      </c>
      <c r="L1286" s="268" t="str">
        <f t="shared" si="257"/>
        <v>Simple</v>
      </c>
      <c r="M1286" s="197">
        <v>79800</v>
      </c>
      <c r="N1286" s="197">
        <v>0</v>
      </c>
      <c r="O1286" s="257">
        <f>IF(ISNA(MATCH(H1286,'Operating leases'!$B$32:$B$43,0)),0,INDEX('Operating leases'!$M$32:$S$43,MATCH(H1286,'Operating leases'!$B$32:$B$43,0),MATCH(J1286,'Operating leases'!$M$11:$S$11,0)))</f>
        <v>0</v>
      </c>
      <c r="P1286" s="257">
        <f t="shared" si="258"/>
        <v>79800</v>
      </c>
      <c r="Q1286" s="257">
        <f t="shared" si="259"/>
        <v>79800</v>
      </c>
      <c r="R1286" s="258">
        <f>INDEX('Escalators '!$M$124:$S$129,MATCH(I1286,'Escalators '!$B$124:$B$129,0),MATCH(J1286,'Escalators '!$M$113:$S$113,0))</f>
        <v>1.06767964286932</v>
      </c>
      <c r="S1286" s="257">
        <f t="shared" si="260"/>
        <v>0</v>
      </c>
      <c r="T1286" s="257">
        <f t="shared" si="261"/>
        <v>0</v>
      </c>
      <c r="U1286" s="269">
        <f t="shared" si="262"/>
        <v>85200.835500971734</v>
      </c>
      <c r="V1286" s="269">
        <f t="shared" si="263"/>
        <v>85200.835500971734</v>
      </c>
      <c r="W1286" s="269">
        <f t="shared" si="264"/>
        <v>85200.835500971734</v>
      </c>
      <c r="X1286" s="257">
        <f t="shared" si="265"/>
        <v>85200.835500971734</v>
      </c>
      <c r="Y1286" s="270">
        <f>IF(L1286="Complex",(INDEX('Escalators '!$M$176:$S$176,MATCH('Forecast capex'!J1286,'Escalators '!$M$178:$S$178,0))/12+1)^((K1286-J1286)*12)-1,0)</f>
        <v>0</v>
      </c>
      <c r="Z1286" s="257">
        <f t="shared" si="266"/>
        <v>0</v>
      </c>
      <c r="AA1286" s="257">
        <f t="shared" si="267"/>
        <v>0</v>
      </c>
      <c r="AB1286" s="269">
        <f t="shared" si="268"/>
        <v>0</v>
      </c>
      <c r="AC1286" s="269">
        <f t="shared" si="269"/>
        <v>0</v>
      </c>
      <c r="AD1286" s="271" t="str">
        <f>INDEX('Global inputs'!$C$134:$C$171,MATCH(F1286,'Global inputs'!$B$134:$B$171,0))</f>
        <v>Asset replacement and renewal</v>
      </c>
      <c r="AE1286" s="272">
        <f>IF(OR(H1286='Operating leases'!$B$32,H1286='Operating leases'!$B$33),"",INDEX('Global inputs'!$C$186:$C$243,MATCH(E1286,'Global inputs'!$B$186:$B$243,0)))</f>
        <v>0.08</v>
      </c>
    </row>
    <row r="1287" spans="1:31" s="27" customFormat="1" x14ac:dyDescent="0.2">
      <c r="A1287" s="250"/>
      <c r="B1287" s="210" t="s">
        <v>742</v>
      </c>
      <c r="C1287" s="210" t="s">
        <v>289</v>
      </c>
      <c r="D1287" s="210" t="s">
        <v>723</v>
      </c>
      <c r="E1287" s="210" t="s">
        <v>164</v>
      </c>
      <c r="F1287" s="210" t="s">
        <v>108</v>
      </c>
      <c r="G1287" s="210" t="s">
        <v>724</v>
      </c>
      <c r="H1287" s="197">
        <v>0</v>
      </c>
      <c r="I1287" s="210" t="s">
        <v>221</v>
      </c>
      <c r="J1287" s="210">
        <v>2024</v>
      </c>
      <c r="K1287" s="210">
        <v>2024</v>
      </c>
      <c r="L1287" s="268" t="str">
        <f t="shared" si="257"/>
        <v>Simple</v>
      </c>
      <c r="M1287" s="197">
        <v>12129.599999999999</v>
      </c>
      <c r="N1287" s="197">
        <v>0</v>
      </c>
      <c r="O1287" s="257">
        <f>IF(ISNA(MATCH(H1287,'Operating leases'!$B$32:$B$43,0)),0,INDEX('Operating leases'!$M$32:$S$43,MATCH(H1287,'Operating leases'!$B$32:$B$43,0),MATCH(J1287,'Operating leases'!$M$11:$S$11,0)))</f>
        <v>0</v>
      </c>
      <c r="P1287" s="257">
        <f t="shared" si="258"/>
        <v>12129.599999999999</v>
      </c>
      <c r="Q1287" s="257">
        <f t="shared" si="259"/>
        <v>12129.599999999999</v>
      </c>
      <c r="R1287" s="258">
        <f>INDEX('Escalators '!$M$124:$S$129,MATCH(I1287,'Escalators '!$B$124:$B$129,0),MATCH(J1287,'Escalators '!$M$113:$S$113,0))</f>
        <v>1.06512715891222</v>
      </c>
      <c r="S1287" s="257">
        <f t="shared" si="260"/>
        <v>0</v>
      </c>
      <c r="T1287" s="257">
        <f t="shared" si="261"/>
        <v>0</v>
      </c>
      <c r="U1287" s="269">
        <f t="shared" si="262"/>
        <v>12919.566386741662</v>
      </c>
      <c r="V1287" s="269">
        <f t="shared" si="263"/>
        <v>12919.566386741662</v>
      </c>
      <c r="W1287" s="269">
        <f t="shared" si="264"/>
        <v>12919.566386741662</v>
      </c>
      <c r="X1287" s="257">
        <f t="shared" si="265"/>
        <v>12919.566386741662</v>
      </c>
      <c r="Y1287" s="270">
        <f>IF(L1287="Complex",(INDEX('Escalators '!$M$176:$S$176,MATCH('Forecast capex'!J1287,'Escalators '!$M$178:$S$178,0))/12+1)^((K1287-J1287)*12)-1,0)</f>
        <v>0</v>
      </c>
      <c r="Z1287" s="257">
        <f t="shared" si="266"/>
        <v>0</v>
      </c>
      <c r="AA1287" s="257">
        <f t="shared" si="267"/>
        <v>0</v>
      </c>
      <c r="AB1287" s="269">
        <f t="shared" si="268"/>
        <v>0</v>
      </c>
      <c r="AC1287" s="269">
        <f t="shared" si="269"/>
        <v>0</v>
      </c>
      <c r="AD1287" s="271" t="str">
        <f>INDEX('Global inputs'!$C$134:$C$171,MATCH(F1287,'Global inputs'!$B$134:$B$171,0))</f>
        <v>Asset replacement and renewal</v>
      </c>
      <c r="AE1287" s="272">
        <f>IF(OR(H1287='Operating leases'!$B$32,H1287='Operating leases'!$B$33),"",INDEX('Global inputs'!$C$186:$C$243,MATCH(E1287,'Global inputs'!$B$186:$B$243,0)))</f>
        <v>0.08</v>
      </c>
    </row>
    <row r="1288" spans="1:31" s="27" customFormat="1" x14ac:dyDescent="0.2">
      <c r="A1288" s="250"/>
      <c r="B1288" s="210" t="s">
        <v>742</v>
      </c>
      <c r="C1288" s="210" t="s">
        <v>289</v>
      </c>
      <c r="D1288" s="210" t="s">
        <v>723</v>
      </c>
      <c r="E1288" s="210" t="s">
        <v>164</v>
      </c>
      <c r="F1288" s="210" t="s">
        <v>108</v>
      </c>
      <c r="G1288" s="210" t="s">
        <v>724</v>
      </c>
      <c r="H1288" s="197">
        <v>0</v>
      </c>
      <c r="I1288" s="210" t="s">
        <v>139</v>
      </c>
      <c r="J1288" s="210">
        <v>2024</v>
      </c>
      <c r="K1288" s="210">
        <v>2024</v>
      </c>
      <c r="L1288" s="268" t="str">
        <f t="shared" si="257"/>
        <v>Simple</v>
      </c>
      <c r="M1288" s="197">
        <v>48518.399999999994</v>
      </c>
      <c r="N1288" s="197">
        <v>0</v>
      </c>
      <c r="O1288" s="257">
        <f>IF(ISNA(MATCH(H1288,'Operating leases'!$B$32:$B$43,0)),0,INDEX('Operating leases'!$M$32:$S$43,MATCH(H1288,'Operating leases'!$B$32:$B$43,0),MATCH(J1288,'Operating leases'!$M$11:$S$11,0)))</f>
        <v>0</v>
      </c>
      <c r="P1288" s="257">
        <f t="shared" si="258"/>
        <v>48518.399999999994</v>
      </c>
      <c r="Q1288" s="257">
        <f t="shared" si="259"/>
        <v>48518.399999999994</v>
      </c>
      <c r="R1288" s="258">
        <f>INDEX('Escalators '!$M$124:$S$129,MATCH(I1288,'Escalators '!$B$124:$B$129,0),MATCH(J1288,'Escalators '!$M$113:$S$113,0))</f>
        <v>1.0400802295441569</v>
      </c>
      <c r="S1288" s="257">
        <f t="shared" si="260"/>
        <v>0</v>
      </c>
      <c r="T1288" s="257">
        <f t="shared" si="261"/>
        <v>0</v>
      </c>
      <c r="U1288" s="269">
        <f t="shared" si="262"/>
        <v>50463.028609115216</v>
      </c>
      <c r="V1288" s="269">
        <f t="shared" si="263"/>
        <v>50463.028609115216</v>
      </c>
      <c r="W1288" s="269">
        <f t="shared" si="264"/>
        <v>50463.028609115216</v>
      </c>
      <c r="X1288" s="257">
        <f t="shared" si="265"/>
        <v>50463.028609115216</v>
      </c>
      <c r="Y1288" s="270">
        <f>IF(L1288="Complex",(INDEX('Escalators '!$M$176:$S$176,MATCH('Forecast capex'!J1288,'Escalators '!$M$178:$S$178,0))/12+1)^((K1288-J1288)*12)-1,0)</f>
        <v>0</v>
      </c>
      <c r="Z1288" s="257">
        <f t="shared" si="266"/>
        <v>0</v>
      </c>
      <c r="AA1288" s="257">
        <f t="shared" si="267"/>
        <v>0</v>
      </c>
      <c r="AB1288" s="269">
        <f t="shared" si="268"/>
        <v>0</v>
      </c>
      <c r="AC1288" s="269">
        <f t="shared" si="269"/>
        <v>0</v>
      </c>
      <c r="AD1288" s="271" t="str">
        <f>INDEX('Global inputs'!$C$134:$C$171,MATCH(F1288,'Global inputs'!$B$134:$B$171,0))</f>
        <v>Asset replacement and renewal</v>
      </c>
      <c r="AE1288" s="272">
        <f>IF(OR(H1288='Operating leases'!$B$32,H1288='Operating leases'!$B$33),"",INDEX('Global inputs'!$C$186:$C$243,MATCH(E1288,'Global inputs'!$B$186:$B$243,0)))</f>
        <v>0.08</v>
      </c>
    </row>
    <row r="1289" spans="1:31" s="27" customFormat="1" x14ac:dyDescent="0.2">
      <c r="A1289" s="250"/>
      <c r="B1289" s="210" t="s">
        <v>742</v>
      </c>
      <c r="C1289" s="210" t="s">
        <v>291</v>
      </c>
      <c r="D1289" s="210" t="s">
        <v>735</v>
      </c>
      <c r="E1289" s="210" t="s">
        <v>175</v>
      </c>
      <c r="F1289" s="210" t="s">
        <v>108</v>
      </c>
      <c r="G1289" s="210" t="s">
        <v>748</v>
      </c>
      <c r="H1289" s="197">
        <v>0</v>
      </c>
      <c r="I1289" s="210" t="s">
        <v>221</v>
      </c>
      <c r="J1289" s="210">
        <v>2024</v>
      </c>
      <c r="K1289" s="210">
        <v>2024</v>
      </c>
      <c r="L1289" s="268" t="str">
        <f t="shared" si="257"/>
        <v>Simple</v>
      </c>
      <c r="M1289" s="197">
        <v>78204</v>
      </c>
      <c r="N1289" s="197">
        <v>0</v>
      </c>
      <c r="O1289" s="257">
        <f>IF(ISNA(MATCH(H1289,'Operating leases'!$B$32:$B$43,0)),0,INDEX('Operating leases'!$M$32:$S$43,MATCH(H1289,'Operating leases'!$B$32:$B$43,0),MATCH(J1289,'Operating leases'!$M$11:$S$11,0)))</f>
        <v>0</v>
      </c>
      <c r="P1289" s="257">
        <f t="shared" si="258"/>
        <v>78204</v>
      </c>
      <c r="Q1289" s="257">
        <f t="shared" si="259"/>
        <v>78204</v>
      </c>
      <c r="R1289" s="258">
        <f>INDEX('Escalators '!$M$124:$S$129,MATCH(I1289,'Escalators '!$B$124:$B$129,0),MATCH(J1289,'Escalators '!$M$113:$S$113,0))</f>
        <v>1.06512715891222</v>
      </c>
      <c r="S1289" s="257">
        <f t="shared" si="260"/>
        <v>0</v>
      </c>
      <c r="T1289" s="257">
        <f t="shared" si="261"/>
        <v>0</v>
      </c>
      <c r="U1289" s="269">
        <f t="shared" si="262"/>
        <v>83297.204335571252</v>
      </c>
      <c r="V1289" s="269">
        <f t="shared" si="263"/>
        <v>83297.204335571252</v>
      </c>
      <c r="W1289" s="269">
        <f t="shared" si="264"/>
        <v>83297.204335571252</v>
      </c>
      <c r="X1289" s="257">
        <f t="shared" si="265"/>
        <v>83297.204335571252</v>
      </c>
      <c r="Y1289" s="270">
        <f>IF(L1289="Complex",(INDEX('Escalators '!$M$176:$S$176,MATCH('Forecast capex'!J1289,'Escalators '!$M$178:$S$178,0))/12+1)^((K1289-J1289)*12)-1,0)</f>
        <v>0</v>
      </c>
      <c r="Z1289" s="257">
        <f t="shared" si="266"/>
        <v>0</v>
      </c>
      <c r="AA1289" s="257">
        <f t="shared" si="267"/>
        <v>0</v>
      </c>
      <c r="AB1289" s="269">
        <f t="shared" si="268"/>
        <v>0</v>
      </c>
      <c r="AC1289" s="269">
        <f t="shared" si="269"/>
        <v>0</v>
      </c>
      <c r="AD1289" s="271" t="str">
        <f>INDEX('Global inputs'!$C$134:$C$171,MATCH(F1289,'Global inputs'!$B$134:$B$171,0))</f>
        <v>Asset replacement and renewal</v>
      </c>
      <c r="AE1289" s="272">
        <f>IF(OR(H1289='Operating leases'!$B$32,H1289='Operating leases'!$B$33),"",INDEX('Global inputs'!$C$186:$C$243,MATCH(E1289,'Global inputs'!$B$186:$B$243,0)))</f>
        <v>0.1</v>
      </c>
    </row>
    <row r="1290" spans="1:31" s="27" customFormat="1" x14ac:dyDescent="0.2">
      <c r="A1290" s="250"/>
      <c r="B1290" s="210" t="s">
        <v>742</v>
      </c>
      <c r="C1290" s="210" t="s">
        <v>291</v>
      </c>
      <c r="D1290" s="210" t="s">
        <v>735</v>
      </c>
      <c r="E1290" s="210" t="s">
        <v>175</v>
      </c>
      <c r="F1290" s="210" t="s">
        <v>108</v>
      </c>
      <c r="G1290" s="210" t="s">
        <v>748</v>
      </c>
      <c r="H1290" s="197">
        <v>0</v>
      </c>
      <c r="I1290" s="210" t="s">
        <v>229</v>
      </c>
      <c r="J1290" s="210">
        <v>2024</v>
      </c>
      <c r="K1290" s="210">
        <v>2024</v>
      </c>
      <c r="L1290" s="268" t="str">
        <f t="shared" ref="L1290:L1353" si="270">IF(J1290=K1290,"Simple","Complex")</f>
        <v>Simple</v>
      </c>
      <c r="M1290" s="197">
        <v>19551</v>
      </c>
      <c r="N1290" s="197">
        <v>0</v>
      </c>
      <c r="O1290" s="257">
        <f>IF(ISNA(MATCH(H1290,'Operating leases'!$B$32:$B$43,0)),0,INDEX('Operating leases'!$M$32:$S$43,MATCH(H1290,'Operating leases'!$B$32:$B$43,0),MATCH(J1290,'Operating leases'!$M$11:$S$11,0)))</f>
        <v>0</v>
      </c>
      <c r="P1290" s="257">
        <f t="shared" ref="P1290:P1353" si="271">O1290+M1290</f>
        <v>19551</v>
      </c>
      <c r="Q1290" s="257">
        <f t="shared" ref="Q1290:Q1353" si="272">M1290+N1290+O1290</f>
        <v>19551</v>
      </c>
      <c r="R1290" s="258">
        <f>INDEX('Escalators '!$M$124:$S$129,MATCH(I1290,'Escalators '!$B$124:$B$129,0),MATCH(J1290,'Escalators '!$M$113:$S$113,0))</f>
        <v>1.0731681760713303</v>
      </c>
      <c r="S1290" s="257">
        <f t="shared" ref="S1290:S1353" si="273">O1290*R1290</f>
        <v>0</v>
      </c>
      <c r="T1290" s="257">
        <f t="shared" ref="T1290:T1353" si="274">N1290*R1290</f>
        <v>0</v>
      </c>
      <c r="U1290" s="269">
        <f t="shared" ref="U1290:U1353" si="275">W1290-S1290</f>
        <v>20981.511010370577</v>
      </c>
      <c r="V1290" s="269">
        <f t="shared" ref="V1290:V1353" si="276">U1290+T1290</f>
        <v>20981.511010370577</v>
      </c>
      <c r="W1290" s="269">
        <f t="shared" ref="W1290:W1353" si="277">X1290-T1290</f>
        <v>20981.511010370577</v>
      </c>
      <c r="X1290" s="257">
        <f t="shared" ref="X1290:X1353" si="278">Q1290*R1290</f>
        <v>20981.511010370577</v>
      </c>
      <c r="Y1290" s="270">
        <f>IF(L1290="Complex",(INDEX('Escalators '!$M$176:$S$176,MATCH('Forecast capex'!J1290,'Escalators '!$M$178:$S$178,0))/12+1)^((K1290-J1290)*12)-1,0)</f>
        <v>0</v>
      </c>
      <c r="Z1290" s="257">
        <f t="shared" ref="Z1290:Z1353" si="279">P1290*Y1290</f>
        <v>0</v>
      </c>
      <c r="AA1290" s="257">
        <f t="shared" ref="AA1290:AA1353" si="280">W1290*Y1290</f>
        <v>0</v>
      </c>
      <c r="AB1290" s="269">
        <f t="shared" ref="AB1290:AB1353" si="281">IF(L1290="Complex",AC1290-T1290,0)</f>
        <v>0</v>
      </c>
      <c r="AC1290" s="269">
        <f t="shared" ref="AC1290:AC1353" si="282">IF(L1290="Complex",V1290+AA1290,0)</f>
        <v>0</v>
      </c>
      <c r="AD1290" s="271" t="str">
        <f>INDEX('Global inputs'!$C$134:$C$171,MATCH(F1290,'Global inputs'!$B$134:$B$171,0))</f>
        <v>Asset replacement and renewal</v>
      </c>
      <c r="AE1290" s="272">
        <f>IF(OR(H1290='Operating leases'!$B$32,H1290='Operating leases'!$B$33),"",INDEX('Global inputs'!$C$186:$C$243,MATCH(E1290,'Global inputs'!$B$186:$B$243,0)))</f>
        <v>0.1</v>
      </c>
    </row>
    <row r="1291" spans="1:31" s="27" customFormat="1" x14ac:dyDescent="0.2">
      <c r="A1291" s="250"/>
      <c r="B1291" s="210" t="s">
        <v>742</v>
      </c>
      <c r="C1291" s="210" t="s">
        <v>286</v>
      </c>
      <c r="D1291" s="210" t="s">
        <v>732</v>
      </c>
      <c r="E1291" s="210" t="s">
        <v>136</v>
      </c>
      <c r="F1291" s="210" t="s">
        <v>108</v>
      </c>
      <c r="G1291" s="210" t="s">
        <v>751</v>
      </c>
      <c r="H1291" s="197">
        <v>0</v>
      </c>
      <c r="I1291" s="210" t="s">
        <v>221</v>
      </c>
      <c r="J1291" s="210">
        <v>2024</v>
      </c>
      <c r="K1291" s="210">
        <v>2024</v>
      </c>
      <c r="L1291" s="268" t="str">
        <f t="shared" si="270"/>
        <v>Simple</v>
      </c>
      <c r="M1291" s="197">
        <v>304237.5</v>
      </c>
      <c r="N1291" s="197">
        <v>0</v>
      </c>
      <c r="O1291" s="257">
        <f>IF(ISNA(MATCH(H1291,'Operating leases'!$B$32:$B$43,0)),0,INDEX('Operating leases'!$M$32:$S$43,MATCH(H1291,'Operating leases'!$B$32:$B$43,0),MATCH(J1291,'Operating leases'!$M$11:$S$11,0)))</f>
        <v>0</v>
      </c>
      <c r="P1291" s="257">
        <f t="shared" si="271"/>
        <v>304237.5</v>
      </c>
      <c r="Q1291" s="257">
        <f t="shared" si="272"/>
        <v>304237.5</v>
      </c>
      <c r="R1291" s="258">
        <f>INDEX('Escalators '!$M$124:$S$129,MATCH(I1291,'Escalators '!$B$124:$B$129,0),MATCH(J1291,'Escalators '!$M$113:$S$113,0))</f>
        <v>1.06512715891222</v>
      </c>
      <c r="S1291" s="257">
        <f t="shared" si="273"/>
        <v>0</v>
      </c>
      <c r="T1291" s="257">
        <f t="shared" si="274"/>
        <v>0</v>
      </c>
      <c r="U1291" s="269">
        <f t="shared" si="275"/>
        <v>324051.62400955654</v>
      </c>
      <c r="V1291" s="269">
        <f t="shared" si="276"/>
        <v>324051.62400955654</v>
      </c>
      <c r="W1291" s="269">
        <f t="shared" si="277"/>
        <v>324051.62400955654</v>
      </c>
      <c r="X1291" s="257">
        <f t="shared" si="278"/>
        <v>324051.62400955654</v>
      </c>
      <c r="Y1291" s="270">
        <f>IF(L1291="Complex",(INDEX('Escalators '!$M$176:$S$176,MATCH('Forecast capex'!J1291,'Escalators '!$M$178:$S$178,0))/12+1)^((K1291-J1291)*12)-1,0)</f>
        <v>0</v>
      </c>
      <c r="Z1291" s="257">
        <f t="shared" si="279"/>
        <v>0</v>
      </c>
      <c r="AA1291" s="257">
        <f t="shared" si="280"/>
        <v>0</v>
      </c>
      <c r="AB1291" s="269">
        <f t="shared" si="281"/>
        <v>0</v>
      </c>
      <c r="AC1291" s="269">
        <f t="shared" si="282"/>
        <v>0</v>
      </c>
      <c r="AD1291" s="271" t="str">
        <f>INDEX('Global inputs'!$C$134:$C$171,MATCH(F1291,'Global inputs'!$B$134:$B$171,0))</f>
        <v>Asset replacement and renewal</v>
      </c>
      <c r="AE1291" s="272">
        <f>IF(OR(H1291='Operating leases'!$B$32,H1291='Operating leases'!$B$33),"",INDEX('Global inputs'!$C$186:$C$243,MATCH(E1291,'Global inputs'!$B$186:$B$243,0)))</f>
        <v>0</v>
      </c>
    </row>
    <row r="1292" spans="1:31" s="27" customFormat="1" x14ac:dyDescent="0.2">
      <c r="A1292" s="250"/>
      <c r="B1292" s="210" t="s">
        <v>742</v>
      </c>
      <c r="C1292" s="210" t="s">
        <v>286</v>
      </c>
      <c r="D1292" s="210" t="s">
        <v>732</v>
      </c>
      <c r="E1292" s="210" t="s">
        <v>136</v>
      </c>
      <c r="F1292" s="210" t="s">
        <v>108</v>
      </c>
      <c r="G1292" s="210" t="s">
        <v>751</v>
      </c>
      <c r="H1292" s="197">
        <v>0</v>
      </c>
      <c r="I1292" s="210" t="s">
        <v>229</v>
      </c>
      <c r="J1292" s="210">
        <v>2024</v>
      </c>
      <c r="K1292" s="210">
        <v>2024</v>
      </c>
      <c r="L1292" s="268" t="str">
        <f t="shared" si="270"/>
        <v>Simple</v>
      </c>
      <c r="M1292" s="197">
        <v>304237.5</v>
      </c>
      <c r="N1292" s="197">
        <v>0</v>
      </c>
      <c r="O1292" s="257">
        <f>IF(ISNA(MATCH(H1292,'Operating leases'!$B$32:$B$43,0)),0,INDEX('Operating leases'!$M$32:$S$43,MATCH(H1292,'Operating leases'!$B$32:$B$43,0),MATCH(J1292,'Operating leases'!$M$11:$S$11,0)))</f>
        <v>0</v>
      </c>
      <c r="P1292" s="257">
        <f t="shared" si="271"/>
        <v>304237.5</v>
      </c>
      <c r="Q1292" s="257">
        <f t="shared" si="272"/>
        <v>304237.5</v>
      </c>
      <c r="R1292" s="258">
        <f>INDEX('Escalators '!$M$124:$S$129,MATCH(I1292,'Escalators '!$B$124:$B$129,0),MATCH(J1292,'Escalators '!$M$113:$S$113,0))</f>
        <v>1.0731681760713303</v>
      </c>
      <c r="S1292" s="257">
        <f t="shared" si="273"/>
        <v>0</v>
      </c>
      <c r="T1292" s="257">
        <f t="shared" si="274"/>
        <v>0</v>
      </c>
      <c r="U1292" s="269">
        <f t="shared" si="275"/>
        <v>326498.00296750135</v>
      </c>
      <c r="V1292" s="269">
        <f t="shared" si="276"/>
        <v>326498.00296750135</v>
      </c>
      <c r="W1292" s="269">
        <f t="shared" si="277"/>
        <v>326498.00296750135</v>
      </c>
      <c r="X1292" s="257">
        <f t="shared" si="278"/>
        <v>326498.00296750135</v>
      </c>
      <c r="Y1292" s="270">
        <f>IF(L1292="Complex",(INDEX('Escalators '!$M$176:$S$176,MATCH('Forecast capex'!J1292,'Escalators '!$M$178:$S$178,0))/12+1)^((K1292-J1292)*12)-1,0)</f>
        <v>0</v>
      </c>
      <c r="Z1292" s="257">
        <f t="shared" si="279"/>
        <v>0</v>
      </c>
      <c r="AA1292" s="257">
        <f t="shared" si="280"/>
        <v>0</v>
      </c>
      <c r="AB1292" s="269">
        <f t="shared" si="281"/>
        <v>0</v>
      </c>
      <c r="AC1292" s="269">
        <f t="shared" si="282"/>
        <v>0</v>
      </c>
      <c r="AD1292" s="271" t="str">
        <f>INDEX('Global inputs'!$C$134:$C$171,MATCH(F1292,'Global inputs'!$B$134:$B$171,0))</f>
        <v>Asset replacement and renewal</v>
      </c>
      <c r="AE1292" s="272">
        <f>IF(OR(H1292='Operating leases'!$B$32,H1292='Operating leases'!$B$33),"",INDEX('Global inputs'!$C$186:$C$243,MATCH(E1292,'Global inputs'!$B$186:$B$243,0)))</f>
        <v>0</v>
      </c>
    </row>
    <row r="1293" spans="1:31" s="27" customFormat="1" x14ac:dyDescent="0.2">
      <c r="A1293" s="250"/>
      <c r="B1293" s="210" t="s">
        <v>742</v>
      </c>
      <c r="C1293" s="210" t="s">
        <v>286</v>
      </c>
      <c r="D1293" s="210" t="s">
        <v>732</v>
      </c>
      <c r="E1293" s="210" t="s">
        <v>138</v>
      </c>
      <c r="F1293" s="210" t="s">
        <v>108</v>
      </c>
      <c r="G1293" s="210" t="s">
        <v>752</v>
      </c>
      <c r="H1293" s="197">
        <v>0</v>
      </c>
      <c r="I1293" s="210" t="s">
        <v>221</v>
      </c>
      <c r="J1293" s="210">
        <v>2024</v>
      </c>
      <c r="K1293" s="210">
        <v>2024</v>
      </c>
      <c r="L1293" s="268" t="str">
        <f t="shared" si="270"/>
        <v>Simple</v>
      </c>
      <c r="M1293" s="197">
        <v>853700.39999999991</v>
      </c>
      <c r="N1293" s="197">
        <v>0</v>
      </c>
      <c r="O1293" s="257">
        <f>IF(ISNA(MATCH(H1293,'Operating leases'!$B$32:$B$43,0)),0,INDEX('Operating leases'!$M$32:$S$43,MATCH(H1293,'Operating leases'!$B$32:$B$43,0),MATCH(J1293,'Operating leases'!$M$11:$S$11,0)))</f>
        <v>0</v>
      </c>
      <c r="P1293" s="257">
        <f t="shared" si="271"/>
        <v>853700.39999999991</v>
      </c>
      <c r="Q1293" s="257">
        <f t="shared" si="272"/>
        <v>853700.39999999991</v>
      </c>
      <c r="R1293" s="258">
        <f>INDEX('Escalators '!$M$124:$S$129,MATCH(I1293,'Escalators '!$B$124:$B$129,0),MATCH(J1293,'Escalators '!$M$113:$S$113,0))</f>
        <v>1.06512715891222</v>
      </c>
      <c r="S1293" s="257">
        <f t="shared" si="273"/>
        <v>0</v>
      </c>
      <c r="T1293" s="257">
        <f t="shared" si="274"/>
        <v>0</v>
      </c>
      <c r="U1293" s="269">
        <f t="shared" si="275"/>
        <v>909299.48161422566</v>
      </c>
      <c r="V1293" s="269">
        <f t="shared" si="276"/>
        <v>909299.48161422566</v>
      </c>
      <c r="W1293" s="269">
        <f t="shared" si="277"/>
        <v>909299.48161422566</v>
      </c>
      <c r="X1293" s="257">
        <f t="shared" si="278"/>
        <v>909299.48161422566</v>
      </c>
      <c r="Y1293" s="270">
        <f>IF(L1293="Complex",(INDEX('Escalators '!$M$176:$S$176,MATCH('Forecast capex'!J1293,'Escalators '!$M$178:$S$178,0))/12+1)^((K1293-J1293)*12)-1,0)</f>
        <v>0</v>
      </c>
      <c r="Z1293" s="257">
        <f t="shared" si="279"/>
        <v>0</v>
      </c>
      <c r="AA1293" s="257">
        <f t="shared" si="280"/>
        <v>0</v>
      </c>
      <c r="AB1293" s="269">
        <f t="shared" si="281"/>
        <v>0</v>
      </c>
      <c r="AC1293" s="269">
        <f t="shared" si="282"/>
        <v>0</v>
      </c>
      <c r="AD1293" s="271" t="str">
        <f>INDEX('Global inputs'!$C$134:$C$171,MATCH(F1293,'Global inputs'!$B$134:$B$171,0))</f>
        <v>Asset replacement and renewal</v>
      </c>
      <c r="AE1293" s="272">
        <f>IF(OR(H1293='Operating leases'!$B$32,H1293='Operating leases'!$B$33),"",INDEX('Global inputs'!$C$186:$C$243,MATCH(E1293,'Global inputs'!$B$186:$B$243,0)))</f>
        <v>0.08</v>
      </c>
    </row>
    <row r="1294" spans="1:31" s="27" customFormat="1" x14ac:dyDescent="0.2">
      <c r="A1294" s="250"/>
      <c r="B1294" s="210" t="s">
        <v>742</v>
      </c>
      <c r="C1294" s="210" t="s">
        <v>286</v>
      </c>
      <c r="D1294" s="210" t="s">
        <v>732</v>
      </c>
      <c r="E1294" s="210" t="s">
        <v>138</v>
      </c>
      <c r="F1294" s="210" t="s">
        <v>108</v>
      </c>
      <c r="G1294" s="210" t="s">
        <v>752</v>
      </c>
      <c r="H1294" s="197">
        <v>0</v>
      </c>
      <c r="I1294" s="210" t="s">
        <v>139</v>
      </c>
      <c r="J1294" s="210">
        <v>2024</v>
      </c>
      <c r="K1294" s="210">
        <v>2024</v>
      </c>
      <c r="L1294" s="268" t="str">
        <f t="shared" si="270"/>
        <v>Simple</v>
      </c>
      <c r="M1294" s="197">
        <v>1280550.5999999999</v>
      </c>
      <c r="N1294" s="197">
        <v>0</v>
      </c>
      <c r="O1294" s="257">
        <f>IF(ISNA(MATCH(H1294,'Operating leases'!$B$32:$B$43,0)),0,INDEX('Operating leases'!$M$32:$S$43,MATCH(H1294,'Operating leases'!$B$32:$B$43,0),MATCH(J1294,'Operating leases'!$M$11:$S$11,0)))</f>
        <v>0</v>
      </c>
      <c r="P1294" s="257">
        <f t="shared" si="271"/>
        <v>1280550.5999999999</v>
      </c>
      <c r="Q1294" s="257">
        <f t="shared" si="272"/>
        <v>1280550.5999999999</v>
      </c>
      <c r="R1294" s="258">
        <f>INDEX('Escalators '!$M$124:$S$129,MATCH(I1294,'Escalators '!$B$124:$B$129,0),MATCH(J1294,'Escalators '!$M$113:$S$113,0))</f>
        <v>1.0400802295441569</v>
      </c>
      <c r="S1294" s="257">
        <f t="shared" si="273"/>
        <v>0</v>
      </c>
      <c r="T1294" s="257">
        <f t="shared" si="274"/>
        <v>0</v>
      </c>
      <c r="U1294" s="269">
        <f t="shared" si="275"/>
        <v>1331875.3619909077</v>
      </c>
      <c r="V1294" s="269">
        <f t="shared" si="276"/>
        <v>1331875.3619909077</v>
      </c>
      <c r="W1294" s="269">
        <f t="shared" si="277"/>
        <v>1331875.3619909077</v>
      </c>
      <c r="X1294" s="257">
        <f t="shared" si="278"/>
        <v>1331875.3619909077</v>
      </c>
      <c r="Y1294" s="270">
        <f>IF(L1294="Complex",(INDEX('Escalators '!$M$176:$S$176,MATCH('Forecast capex'!J1294,'Escalators '!$M$178:$S$178,0))/12+1)^((K1294-J1294)*12)-1,0)</f>
        <v>0</v>
      </c>
      <c r="Z1294" s="257">
        <f t="shared" si="279"/>
        <v>0</v>
      </c>
      <c r="AA1294" s="257">
        <f t="shared" si="280"/>
        <v>0</v>
      </c>
      <c r="AB1294" s="269">
        <f t="shared" si="281"/>
        <v>0</v>
      </c>
      <c r="AC1294" s="269">
        <f t="shared" si="282"/>
        <v>0</v>
      </c>
      <c r="AD1294" s="271" t="str">
        <f>INDEX('Global inputs'!$C$134:$C$171,MATCH(F1294,'Global inputs'!$B$134:$B$171,0))</f>
        <v>Asset replacement and renewal</v>
      </c>
      <c r="AE1294" s="272">
        <f>IF(OR(H1294='Operating leases'!$B$32,H1294='Operating leases'!$B$33),"",INDEX('Global inputs'!$C$186:$C$243,MATCH(E1294,'Global inputs'!$B$186:$B$243,0)))</f>
        <v>0.08</v>
      </c>
    </row>
    <row r="1295" spans="1:31" s="27" customFormat="1" x14ac:dyDescent="0.2">
      <c r="A1295" s="250"/>
      <c r="B1295" s="210" t="s">
        <v>742</v>
      </c>
      <c r="C1295" s="210" t="s">
        <v>286</v>
      </c>
      <c r="D1295" s="210" t="s">
        <v>732</v>
      </c>
      <c r="E1295" s="210" t="s">
        <v>140</v>
      </c>
      <c r="F1295" s="210" t="s">
        <v>108</v>
      </c>
      <c r="G1295" s="210" t="s">
        <v>733</v>
      </c>
      <c r="H1295" s="197">
        <v>0</v>
      </c>
      <c r="I1295" s="210" t="s">
        <v>221</v>
      </c>
      <c r="J1295" s="210">
        <v>2024</v>
      </c>
      <c r="K1295" s="210">
        <v>2024</v>
      </c>
      <c r="L1295" s="268" t="str">
        <f t="shared" si="270"/>
        <v>Simple</v>
      </c>
      <c r="M1295" s="197">
        <v>359100</v>
      </c>
      <c r="N1295" s="197">
        <v>0</v>
      </c>
      <c r="O1295" s="257">
        <f>IF(ISNA(MATCH(H1295,'Operating leases'!$B$32:$B$43,0)),0,INDEX('Operating leases'!$M$32:$S$43,MATCH(H1295,'Operating leases'!$B$32:$B$43,0),MATCH(J1295,'Operating leases'!$M$11:$S$11,0)))</f>
        <v>0</v>
      </c>
      <c r="P1295" s="257">
        <f t="shared" si="271"/>
        <v>359100</v>
      </c>
      <c r="Q1295" s="257">
        <f t="shared" si="272"/>
        <v>359100</v>
      </c>
      <c r="R1295" s="258">
        <f>INDEX('Escalators '!$M$124:$S$129,MATCH(I1295,'Escalators '!$B$124:$B$129,0),MATCH(J1295,'Escalators '!$M$113:$S$113,0))</f>
        <v>1.06512715891222</v>
      </c>
      <c r="S1295" s="257">
        <f t="shared" si="273"/>
        <v>0</v>
      </c>
      <c r="T1295" s="257">
        <f t="shared" si="274"/>
        <v>0</v>
      </c>
      <c r="U1295" s="269">
        <f t="shared" si="275"/>
        <v>382487.16276537819</v>
      </c>
      <c r="V1295" s="269">
        <f t="shared" si="276"/>
        <v>382487.16276537819</v>
      </c>
      <c r="W1295" s="269">
        <f t="shared" si="277"/>
        <v>382487.16276537819</v>
      </c>
      <c r="X1295" s="257">
        <f t="shared" si="278"/>
        <v>382487.16276537819</v>
      </c>
      <c r="Y1295" s="270">
        <f>IF(L1295="Complex",(INDEX('Escalators '!$M$176:$S$176,MATCH('Forecast capex'!J1295,'Escalators '!$M$178:$S$178,0))/12+1)^((K1295-J1295)*12)-1,0)</f>
        <v>0</v>
      </c>
      <c r="Z1295" s="257">
        <f t="shared" si="279"/>
        <v>0</v>
      </c>
      <c r="AA1295" s="257">
        <f t="shared" si="280"/>
        <v>0</v>
      </c>
      <c r="AB1295" s="269">
        <f t="shared" si="281"/>
        <v>0</v>
      </c>
      <c r="AC1295" s="269">
        <f t="shared" si="282"/>
        <v>0</v>
      </c>
      <c r="AD1295" s="271" t="str">
        <f>INDEX('Global inputs'!$C$134:$C$171,MATCH(F1295,'Global inputs'!$B$134:$B$171,0))</f>
        <v>Asset replacement and renewal</v>
      </c>
      <c r="AE1295" s="272">
        <f>IF(OR(H1295='Operating leases'!$B$32,H1295='Operating leases'!$B$33),"",INDEX('Global inputs'!$C$186:$C$243,MATCH(E1295,'Global inputs'!$B$186:$B$243,0)))</f>
        <v>0.08</v>
      </c>
    </row>
    <row r="1296" spans="1:31" s="27" customFormat="1" x14ac:dyDescent="0.2">
      <c r="A1296" s="250"/>
      <c r="B1296" s="210" t="s">
        <v>742</v>
      </c>
      <c r="C1296" s="210" t="s">
        <v>286</v>
      </c>
      <c r="D1296" s="210" t="s">
        <v>732</v>
      </c>
      <c r="E1296" s="210" t="s">
        <v>140</v>
      </c>
      <c r="F1296" s="210" t="s">
        <v>108</v>
      </c>
      <c r="G1296" s="210" t="s">
        <v>733</v>
      </c>
      <c r="H1296" s="197">
        <v>0</v>
      </c>
      <c r="I1296" s="210" t="s">
        <v>142</v>
      </c>
      <c r="J1296" s="210">
        <v>2024</v>
      </c>
      <c r="K1296" s="210">
        <v>2024</v>
      </c>
      <c r="L1296" s="268" t="str">
        <f t="shared" si="270"/>
        <v>Simple</v>
      </c>
      <c r="M1296" s="197">
        <v>538650</v>
      </c>
      <c r="N1296" s="197">
        <v>0</v>
      </c>
      <c r="O1296" s="257">
        <f>IF(ISNA(MATCH(H1296,'Operating leases'!$B$32:$B$43,0)),0,INDEX('Operating leases'!$M$32:$S$43,MATCH(H1296,'Operating leases'!$B$32:$B$43,0),MATCH(J1296,'Operating leases'!$M$11:$S$11,0)))</f>
        <v>0</v>
      </c>
      <c r="P1296" s="257">
        <f t="shared" si="271"/>
        <v>538650</v>
      </c>
      <c r="Q1296" s="257">
        <f t="shared" si="272"/>
        <v>538650</v>
      </c>
      <c r="R1296" s="258">
        <f>INDEX('Escalators '!$M$124:$S$129,MATCH(I1296,'Escalators '!$B$124:$B$129,0),MATCH(J1296,'Escalators '!$M$113:$S$113,0))</f>
        <v>1.06767964286932</v>
      </c>
      <c r="S1296" s="257">
        <f t="shared" si="273"/>
        <v>0</v>
      </c>
      <c r="T1296" s="257">
        <f t="shared" si="274"/>
        <v>0</v>
      </c>
      <c r="U1296" s="269">
        <f t="shared" si="275"/>
        <v>575105.63963155926</v>
      </c>
      <c r="V1296" s="269">
        <f t="shared" si="276"/>
        <v>575105.63963155926</v>
      </c>
      <c r="W1296" s="269">
        <f t="shared" si="277"/>
        <v>575105.63963155926</v>
      </c>
      <c r="X1296" s="257">
        <f t="shared" si="278"/>
        <v>575105.63963155926</v>
      </c>
      <c r="Y1296" s="270">
        <f>IF(L1296="Complex",(INDEX('Escalators '!$M$176:$S$176,MATCH('Forecast capex'!J1296,'Escalators '!$M$178:$S$178,0))/12+1)^((K1296-J1296)*12)-1,0)</f>
        <v>0</v>
      </c>
      <c r="Z1296" s="257">
        <f t="shared" si="279"/>
        <v>0</v>
      </c>
      <c r="AA1296" s="257">
        <f t="shared" si="280"/>
        <v>0</v>
      </c>
      <c r="AB1296" s="269">
        <f t="shared" si="281"/>
        <v>0</v>
      </c>
      <c r="AC1296" s="269">
        <f t="shared" si="282"/>
        <v>0</v>
      </c>
      <c r="AD1296" s="271" t="str">
        <f>INDEX('Global inputs'!$C$134:$C$171,MATCH(F1296,'Global inputs'!$B$134:$B$171,0))</f>
        <v>Asset replacement and renewal</v>
      </c>
      <c r="AE1296" s="272">
        <f>IF(OR(H1296='Operating leases'!$B$32,H1296='Operating leases'!$B$33),"",INDEX('Global inputs'!$C$186:$C$243,MATCH(E1296,'Global inputs'!$B$186:$B$243,0)))</f>
        <v>0.08</v>
      </c>
    </row>
    <row r="1297" spans="1:31" s="27" customFormat="1" x14ac:dyDescent="0.2">
      <c r="A1297" s="250"/>
      <c r="B1297" s="210" t="s">
        <v>742</v>
      </c>
      <c r="C1297" s="210" t="s">
        <v>286</v>
      </c>
      <c r="D1297" s="210" t="s">
        <v>735</v>
      </c>
      <c r="E1297" s="210" t="s">
        <v>144</v>
      </c>
      <c r="F1297" s="210" t="s">
        <v>108</v>
      </c>
      <c r="G1297" s="210" t="s">
        <v>736</v>
      </c>
      <c r="H1297" s="197">
        <v>0</v>
      </c>
      <c r="I1297" s="210" t="s">
        <v>221</v>
      </c>
      <c r="J1297" s="210">
        <v>2024</v>
      </c>
      <c r="K1297" s="210">
        <v>2024</v>
      </c>
      <c r="L1297" s="268" t="str">
        <f t="shared" si="270"/>
        <v>Simple</v>
      </c>
      <c r="M1297" s="197">
        <v>111720</v>
      </c>
      <c r="N1297" s="197">
        <v>0</v>
      </c>
      <c r="O1297" s="257">
        <f>IF(ISNA(MATCH(H1297,'Operating leases'!$B$32:$B$43,0)),0,INDEX('Operating leases'!$M$32:$S$43,MATCH(H1297,'Operating leases'!$B$32:$B$43,0),MATCH(J1297,'Operating leases'!$M$11:$S$11,0)))</f>
        <v>0</v>
      </c>
      <c r="P1297" s="257">
        <f t="shared" si="271"/>
        <v>111720</v>
      </c>
      <c r="Q1297" s="257">
        <f t="shared" si="272"/>
        <v>111720</v>
      </c>
      <c r="R1297" s="258">
        <f>INDEX('Escalators '!$M$124:$S$129,MATCH(I1297,'Escalators '!$B$124:$B$129,0),MATCH(J1297,'Escalators '!$M$113:$S$113,0))</f>
        <v>1.06512715891222</v>
      </c>
      <c r="S1297" s="257">
        <f t="shared" si="273"/>
        <v>0</v>
      </c>
      <c r="T1297" s="257">
        <f t="shared" si="274"/>
        <v>0</v>
      </c>
      <c r="U1297" s="269">
        <f t="shared" si="275"/>
        <v>118996.00619367322</v>
      </c>
      <c r="V1297" s="269">
        <f t="shared" si="276"/>
        <v>118996.00619367322</v>
      </c>
      <c r="W1297" s="269">
        <f t="shared" si="277"/>
        <v>118996.00619367322</v>
      </c>
      <c r="X1297" s="257">
        <f t="shared" si="278"/>
        <v>118996.00619367322</v>
      </c>
      <c r="Y1297" s="270">
        <f>IF(L1297="Complex",(INDEX('Escalators '!$M$176:$S$176,MATCH('Forecast capex'!J1297,'Escalators '!$M$178:$S$178,0))/12+1)^((K1297-J1297)*12)-1,0)</f>
        <v>0</v>
      </c>
      <c r="Z1297" s="257">
        <f t="shared" si="279"/>
        <v>0</v>
      </c>
      <c r="AA1297" s="257">
        <f t="shared" si="280"/>
        <v>0</v>
      </c>
      <c r="AB1297" s="269">
        <f t="shared" si="281"/>
        <v>0</v>
      </c>
      <c r="AC1297" s="269">
        <f t="shared" si="282"/>
        <v>0</v>
      </c>
      <c r="AD1297" s="271" t="str">
        <f>INDEX('Global inputs'!$C$134:$C$171,MATCH(F1297,'Global inputs'!$B$134:$B$171,0))</f>
        <v>Asset replacement and renewal</v>
      </c>
      <c r="AE1297" s="272">
        <f>IF(OR(H1297='Operating leases'!$B$32,H1297='Operating leases'!$B$33),"",INDEX('Global inputs'!$C$186:$C$243,MATCH(E1297,'Global inputs'!$B$186:$B$243,0)))</f>
        <v>0.08</v>
      </c>
    </row>
    <row r="1298" spans="1:31" s="27" customFormat="1" x14ac:dyDescent="0.2">
      <c r="A1298" s="250"/>
      <c r="B1298" s="210" t="s">
        <v>742</v>
      </c>
      <c r="C1298" s="210" t="s">
        <v>286</v>
      </c>
      <c r="D1298" s="210" t="s">
        <v>735</v>
      </c>
      <c r="E1298" s="210" t="s">
        <v>144</v>
      </c>
      <c r="F1298" s="210" t="s">
        <v>108</v>
      </c>
      <c r="G1298" s="210" t="s">
        <v>736</v>
      </c>
      <c r="H1298" s="197">
        <v>0</v>
      </c>
      <c r="I1298" s="210" t="s">
        <v>229</v>
      </c>
      <c r="J1298" s="210">
        <v>2024</v>
      </c>
      <c r="K1298" s="210">
        <v>2024</v>
      </c>
      <c r="L1298" s="268" t="str">
        <f t="shared" si="270"/>
        <v>Simple</v>
      </c>
      <c r="M1298" s="197">
        <v>27930</v>
      </c>
      <c r="N1298" s="197">
        <v>0</v>
      </c>
      <c r="O1298" s="257">
        <f>IF(ISNA(MATCH(H1298,'Operating leases'!$B$32:$B$43,0)),0,INDEX('Operating leases'!$M$32:$S$43,MATCH(H1298,'Operating leases'!$B$32:$B$43,0),MATCH(J1298,'Operating leases'!$M$11:$S$11,0)))</f>
        <v>0</v>
      </c>
      <c r="P1298" s="257">
        <f t="shared" si="271"/>
        <v>27930</v>
      </c>
      <c r="Q1298" s="257">
        <f t="shared" si="272"/>
        <v>27930</v>
      </c>
      <c r="R1298" s="258">
        <f>INDEX('Escalators '!$M$124:$S$129,MATCH(I1298,'Escalators '!$B$124:$B$129,0),MATCH(J1298,'Escalators '!$M$113:$S$113,0))</f>
        <v>1.0731681760713303</v>
      </c>
      <c r="S1298" s="257">
        <f t="shared" si="273"/>
        <v>0</v>
      </c>
      <c r="T1298" s="257">
        <f t="shared" si="274"/>
        <v>0</v>
      </c>
      <c r="U1298" s="269">
        <f t="shared" si="275"/>
        <v>29973.587157672257</v>
      </c>
      <c r="V1298" s="269">
        <f t="shared" si="276"/>
        <v>29973.587157672257</v>
      </c>
      <c r="W1298" s="269">
        <f t="shared" si="277"/>
        <v>29973.587157672257</v>
      </c>
      <c r="X1298" s="257">
        <f t="shared" si="278"/>
        <v>29973.587157672257</v>
      </c>
      <c r="Y1298" s="270">
        <f>IF(L1298="Complex",(INDEX('Escalators '!$M$176:$S$176,MATCH('Forecast capex'!J1298,'Escalators '!$M$178:$S$178,0))/12+1)^((K1298-J1298)*12)-1,0)</f>
        <v>0</v>
      </c>
      <c r="Z1298" s="257">
        <f t="shared" si="279"/>
        <v>0</v>
      </c>
      <c r="AA1298" s="257">
        <f t="shared" si="280"/>
        <v>0</v>
      </c>
      <c r="AB1298" s="269">
        <f t="shared" si="281"/>
        <v>0</v>
      </c>
      <c r="AC1298" s="269">
        <f t="shared" si="282"/>
        <v>0</v>
      </c>
      <c r="AD1298" s="271" t="str">
        <f>INDEX('Global inputs'!$C$134:$C$171,MATCH(F1298,'Global inputs'!$B$134:$B$171,0))</f>
        <v>Asset replacement and renewal</v>
      </c>
      <c r="AE1298" s="272">
        <f>IF(OR(H1298='Operating leases'!$B$32,H1298='Operating leases'!$B$33),"",INDEX('Global inputs'!$C$186:$C$243,MATCH(E1298,'Global inputs'!$B$186:$B$243,0)))</f>
        <v>0.08</v>
      </c>
    </row>
    <row r="1299" spans="1:31" s="27" customFormat="1" x14ac:dyDescent="0.2">
      <c r="A1299" s="250"/>
      <c r="B1299" s="210" t="s">
        <v>742</v>
      </c>
      <c r="C1299" s="210" t="s">
        <v>286</v>
      </c>
      <c r="D1299" s="210" t="s">
        <v>735</v>
      </c>
      <c r="E1299" s="210" t="s">
        <v>147</v>
      </c>
      <c r="F1299" s="210" t="s">
        <v>108</v>
      </c>
      <c r="G1299" s="210" t="s">
        <v>744</v>
      </c>
      <c r="H1299" s="197">
        <v>0</v>
      </c>
      <c r="I1299" s="210" t="s">
        <v>221</v>
      </c>
      <c r="J1299" s="210">
        <v>2024</v>
      </c>
      <c r="K1299" s="210">
        <v>2024</v>
      </c>
      <c r="L1299" s="268" t="str">
        <f t="shared" si="270"/>
        <v>Simple</v>
      </c>
      <c r="M1299" s="197">
        <v>59105.2</v>
      </c>
      <c r="N1299" s="197">
        <v>0</v>
      </c>
      <c r="O1299" s="257">
        <f>IF(ISNA(MATCH(H1299,'Operating leases'!$B$32:$B$43,0)),0,INDEX('Operating leases'!$M$32:$S$43,MATCH(H1299,'Operating leases'!$B$32:$B$43,0),MATCH(J1299,'Operating leases'!$M$11:$S$11,0)))</f>
        <v>0</v>
      </c>
      <c r="P1299" s="257">
        <f t="shared" si="271"/>
        <v>59105.2</v>
      </c>
      <c r="Q1299" s="257">
        <f t="shared" si="272"/>
        <v>59105.2</v>
      </c>
      <c r="R1299" s="258">
        <f>INDEX('Escalators '!$M$124:$S$129,MATCH(I1299,'Escalators '!$B$124:$B$129,0),MATCH(J1299,'Escalators '!$M$113:$S$113,0))</f>
        <v>1.06512715891222</v>
      </c>
      <c r="S1299" s="257">
        <f t="shared" si="273"/>
        <v>0</v>
      </c>
      <c r="T1299" s="257">
        <f t="shared" si="274"/>
        <v>0</v>
      </c>
      <c r="U1299" s="269">
        <f t="shared" si="275"/>
        <v>62954.55375293854</v>
      </c>
      <c r="V1299" s="269">
        <f t="shared" si="276"/>
        <v>62954.55375293854</v>
      </c>
      <c r="W1299" s="269">
        <f t="shared" si="277"/>
        <v>62954.55375293854</v>
      </c>
      <c r="X1299" s="257">
        <f t="shared" si="278"/>
        <v>62954.55375293854</v>
      </c>
      <c r="Y1299" s="270">
        <f>IF(L1299="Complex",(INDEX('Escalators '!$M$176:$S$176,MATCH('Forecast capex'!J1299,'Escalators '!$M$178:$S$178,0))/12+1)^((K1299-J1299)*12)-1,0)</f>
        <v>0</v>
      </c>
      <c r="Z1299" s="257">
        <f t="shared" si="279"/>
        <v>0</v>
      </c>
      <c r="AA1299" s="257">
        <f t="shared" si="280"/>
        <v>0</v>
      </c>
      <c r="AB1299" s="269">
        <f t="shared" si="281"/>
        <v>0</v>
      </c>
      <c r="AC1299" s="269">
        <f t="shared" si="282"/>
        <v>0</v>
      </c>
      <c r="AD1299" s="271" t="str">
        <f>INDEX('Global inputs'!$C$134:$C$171,MATCH(F1299,'Global inputs'!$B$134:$B$171,0))</f>
        <v>Asset replacement and renewal</v>
      </c>
      <c r="AE1299" s="272">
        <f>IF(OR(H1299='Operating leases'!$B$32,H1299='Operating leases'!$B$33),"",INDEX('Global inputs'!$C$186:$C$243,MATCH(E1299,'Global inputs'!$B$186:$B$243,0)))</f>
        <v>0.08</v>
      </c>
    </row>
    <row r="1300" spans="1:31" s="27" customFormat="1" x14ac:dyDescent="0.2">
      <c r="A1300" s="250"/>
      <c r="B1300" s="210" t="s">
        <v>742</v>
      </c>
      <c r="C1300" s="210" t="s">
        <v>286</v>
      </c>
      <c r="D1300" s="210" t="s">
        <v>735</v>
      </c>
      <c r="E1300" s="210" t="s">
        <v>147</v>
      </c>
      <c r="F1300" s="210" t="s">
        <v>108</v>
      </c>
      <c r="G1300" s="210" t="s">
        <v>744</v>
      </c>
      <c r="H1300" s="197">
        <v>0</v>
      </c>
      <c r="I1300" s="210" t="s">
        <v>229</v>
      </c>
      <c r="J1300" s="210">
        <v>2024</v>
      </c>
      <c r="K1300" s="210">
        <v>2024</v>
      </c>
      <c r="L1300" s="268" t="str">
        <f t="shared" si="270"/>
        <v>Simple</v>
      </c>
      <c r="M1300" s="197">
        <v>14776.3</v>
      </c>
      <c r="N1300" s="197">
        <v>0</v>
      </c>
      <c r="O1300" s="257">
        <f>IF(ISNA(MATCH(H1300,'Operating leases'!$B$32:$B$43,0)),0,INDEX('Operating leases'!$M$32:$S$43,MATCH(H1300,'Operating leases'!$B$32:$B$43,0),MATCH(J1300,'Operating leases'!$M$11:$S$11,0)))</f>
        <v>0</v>
      </c>
      <c r="P1300" s="257">
        <f t="shared" si="271"/>
        <v>14776.3</v>
      </c>
      <c r="Q1300" s="257">
        <f t="shared" si="272"/>
        <v>14776.3</v>
      </c>
      <c r="R1300" s="258">
        <f>INDEX('Escalators '!$M$124:$S$129,MATCH(I1300,'Escalators '!$B$124:$B$129,0),MATCH(J1300,'Escalators '!$M$113:$S$113,0))</f>
        <v>1.0731681760713303</v>
      </c>
      <c r="S1300" s="257">
        <f t="shared" si="273"/>
        <v>0</v>
      </c>
      <c r="T1300" s="257">
        <f t="shared" si="274"/>
        <v>0</v>
      </c>
      <c r="U1300" s="269">
        <f t="shared" si="275"/>
        <v>15857.454920082797</v>
      </c>
      <c r="V1300" s="269">
        <f t="shared" si="276"/>
        <v>15857.454920082797</v>
      </c>
      <c r="W1300" s="269">
        <f t="shared" si="277"/>
        <v>15857.454920082797</v>
      </c>
      <c r="X1300" s="257">
        <f t="shared" si="278"/>
        <v>15857.454920082797</v>
      </c>
      <c r="Y1300" s="270">
        <f>IF(L1300="Complex",(INDEX('Escalators '!$M$176:$S$176,MATCH('Forecast capex'!J1300,'Escalators '!$M$178:$S$178,0))/12+1)^((K1300-J1300)*12)-1,0)</f>
        <v>0</v>
      </c>
      <c r="Z1300" s="257">
        <f t="shared" si="279"/>
        <v>0</v>
      </c>
      <c r="AA1300" s="257">
        <f t="shared" si="280"/>
        <v>0</v>
      </c>
      <c r="AB1300" s="269">
        <f t="shared" si="281"/>
        <v>0</v>
      </c>
      <c r="AC1300" s="269">
        <f t="shared" si="282"/>
        <v>0</v>
      </c>
      <c r="AD1300" s="271" t="str">
        <f>INDEX('Global inputs'!$C$134:$C$171,MATCH(F1300,'Global inputs'!$B$134:$B$171,0))</f>
        <v>Asset replacement and renewal</v>
      </c>
      <c r="AE1300" s="272">
        <f>IF(OR(H1300='Operating leases'!$B$32,H1300='Operating leases'!$B$33),"",INDEX('Global inputs'!$C$186:$C$243,MATCH(E1300,'Global inputs'!$B$186:$B$243,0)))</f>
        <v>0.08</v>
      </c>
    </row>
    <row r="1301" spans="1:31" s="27" customFormat="1" x14ac:dyDescent="0.2">
      <c r="A1301" s="250"/>
      <c r="B1301" s="210" t="s">
        <v>742</v>
      </c>
      <c r="C1301" s="210" t="s">
        <v>288</v>
      </c>
      <c r="D1301" s="210" t="s">
        <v>223</v>
      </c>
      <c r="E1301" s="210" t="s">
        <v>156</v>
      </c>
      <c r="F1301" s="210" t="s">
        <v>108</v>
      </c>
      <c r="G1301" s="210" t="s">
        <v>727</v>
      </c>
      <c r="H1301" s="197">
        <v>0</v>
      </c>
      <c r="I1301" s="210" t="s">
        <v>221</v>
      </c>
      <c r="J1301" s="210">
        <v>2024</v>
      </c>
      <c r="K1301" s="210">
        <v>2024</v>
      </c>
      <c r="L1301" s="268" t="str">
        <f t="shared" si="270"/>
        <v>Simple</v>
      </c>
      <c r="M1301" s="197">
        <v>86555.069999999992</v>
      </c>
      <c r="N1301" s="197">
        <v>0</v>
      </c>
      <c r="O1301" s="257">
        <f>IF(ISNA(MATCH(H1301,'Operating leases'!$B$32:$B$43,0)),0,INDEX('Operating leases'!$M$32:$S$43,MATCH(H1301,'Operating leases'!$B$32:$B$43,0),MATCH(J1301,'Operating leases'!$M$11:$S$11,0)))</f>
        <v>0</v>
      </c>
      <c r="P1301" s="257">
        <f t="shared" si="271"/>
        <v>86555.069999999992</v>
      </c>
      <c r="Q1301" s="257">
        <f t="shared" si="272"/>
        <v>86555.069999999992</v>
      </c>
      <c r="R1301" s="258">
        <f>INDEX('Escalators '!$M$124:$S$129,MATCH(I1301,'Escalators '!$B$124:$B$129,0),MATCH(J1301,'Escalators '!$M$113:$S$113,0))</f>
        <v>1.06512715891222</v>
      </c>
      <c r="S1301" s="257">
        <f t="shared" si="273"/>
        <v>0</v>
      </c>
      <c r="T1301" s="257">
        <f t="shared" si="274"/>
        <v>0</v>
      </c>
      <c r="U1301" s="269">
        <f t="shared" si="275"/>
        <v>92192.155798548323</v>
      </c>
      <c r="V1301" s="269">
        <f t="shared" si="276"/>
        <v>92192.155798548323</v>
      </c>
      <c r="W1301" s="269">
        <f t="shared" si="277"/>
        <v>92192.155798548323</v>
      </c>
      <c r="X1301" s="257">
        <f t="shared" si="278"/>
        <v>92192.155798548323</v>
      </c>
      <c r="Y1301" s="270">
        <f>IF(L1301="Complex",(INDEX('Escalators '!$M$176:$S$176,MATCH('Forecast capex'!J1301,'Escalators '!$M$178:$S$178,0))/12+1)^((K1301-J1301)*12)-1,0)</f>
        <v>0</v>
      </c>
      <c r="Z1301" s="257">
        <f t="shared" si="279"/>
        <v>0</v>
      </c>
      <c r="AA1301" s="257">
        <f t="shared" si="280"/>
        <v>0</v>
      </c>
      <c r="AB1301" s="269">
        <f t="shared" si="281"/>
        <v>0</v>
      </c>
      <c r="AC1301" s="269">
        <f t="shared" si="282"/>
        <v>0</v>
      </c>
      <c r="AD1301" s="271" t="str">
        <f>INDEX('Global inputs'!$C$134:$C$171,MATCH(F1301,'Global inputs'!$B$134:$B$171,0))</f>
        <v>Asset replacement and renewal</v>
      </c>
      <c r="AE1301" s="272">
        <f>IF(OR(H1301='Operating leases'!$B$32,H1301='Operating leases'!$B$33),"",INDEX('Global inputs'!$C$186:$C$243,MATCH(E1301,'Global inputs'!$B$186:$B$243,0)))</f>
        <v>0.08</v>
      </c>
    </row>
    <row r="1302" spans="1:31" s="27" customFormat="1" x14ac:dyDescent="0.2">
      <c r="A1302" s="250"/>
      <c r="B1302" s="210" t="s">
        <v>742</v>
      </c>
      <c r="C1302" s="210" t="s">
        <v>288</v>
      </c>
      <c r="D1302" s="210" t="s">
        <v>223</v>
      </c>
      <c r="E1302" s="210" t="s">
        <v>156</v>
      </c>
      <c r="F1302" s="210" t="s">
        <v>108</v>
      </c>
      <c r="G1302" s="210" t="s">
        <v>727</v>
      </c>
      <c r="H1302" s="197">
        <v>0</v>
      </c>
      <c r="I1302" s="210" t="s">
        <v>223</v>
      </c>
      <c r="J1302" s="210">
        <v>2024</v>
      </c>
      <c r="K1302" s="210">
        <v>2024</v>
      </c>
      <c r="L1302" s="268" t="str">
        <f t="shared" si="270"/>
        <v>Simple</v>
      </c>
      <c r="M1302" s="197">
        <v>37095.03</v>
      </c>
      <c r="N1302" s="197">
        <v>0</v>
      </c>
      <c r="O1302" s="257">
        <f>IF(ISNA(MATCH(H1302,'Operating leases'!$B$32:$B$43,0)),0,INDEX('Operating leases'!$M$32:$S$43,MATCH(H1302,'Operating leases'!$B$32:$B$43,0),MATCH(J1302,'Operating leases'!$M$11:$S$11,0)))</f>
        <v>0</v>
      </c>
      <c r="P1302" s="257">
        <f t="shared" si="271"/>
        <v>37095.03</v>
      </c>
      <c r="Q1302" s="257">
        <f t="shared" si="272"/>
        <v>37095.03</v>
      </c>
      <c r="R1302" s="258">
        <f>INDEX('Escalators '!$M$124:$S$129,MATCH(I1302,'Escalators '!$B$124:$B$129,0),MATCH(J1302,'Escalators '!$M$113:$S$113,0))</f>
        <v>1.0992204162588337</v>
      </c>
      <c r="S1302" s="257">
        <f t="shared" si="273"/>
        <v>0</v>
      </c>
      <c r="T1302" s="257">
        <f t="shared" si="274"/>
        <v>0</v>
      </c>
      <c r="U1302" s="269">
        <f t="shared" si="275"/>
        <v>40775.614317733925</v>
      </c>
      <c r="V1302" s="269">
        <f t="shared" si="276"/>
        <v>40775.614317733925</v>
      </c>
      <c r="W1302" s="269">
        <f t="shared" si="277"/>
        <v>40775.614317733925</v>
      </c>
      <c r="X1302" s="257">
        <f t="shared" si="278"/>
        <v>40775.614317733925</v>
      </c>
      <c r="Y1302" s="270">
        <f>IF(L1302="Complex",(INDEX('Escalators '!$M$176:$S$176,MATCH('Forecast capex'!J1302,'Escalators '!$M$178:$S$178,0))/12+1)^((K1302-J1302)*12)-1,0)</f>
        <v>0</v>
      </c>
      <c r="Z1302" s="257">
        <f t="shared" si="279"/>
        <v>0</v>
      </c>
      <c r="AA1302" s="257">
        <f t="shared" si="280"/>
        <v>0</v>
      </c>
      <c r="AB1302" s="269">
        <f t="shared" si="281"/>
        <v>0</v>
      </c>
      <c r="AC1302" s="269">
        <f t="shared" si="282"/>
        <v>0</v>
      </c>
      <c r="AD1302" s="271" t="str">
        <f>INDEX('Global inputs'!$C$134:$C$171,MATCH(F1302,'Global inputs'!$B$134:$B$171,0))</f>
        <v>Asset replacement and renewal</v>
      </c>
      <c r="AE1302" s="272">
        <f>IF(OR(H1302='Operating leases'!$B$32,H1302='Operating leases'!$B$33),"",INDEX('Global inputs'!$C$186:$C$243,MATCH(E1302,'Global inputs'!$B$186:$B$243,0)))</f>
        <v>0.08</v>
      </c>
    </row>
    <row r="1303" spans="1:31" s="27" customFormat="1" x14ac:dyDescent="0.2">
      <c r="A1303" s="250"/>
      <c r="B1303" s="210" t="s">
        <v>742</v>
      </c>
      <c r="C1303" s="210" t="s">
        <v>291</v>
      </c>
      <c r="D1303" s="210" t="s">
        <v>735</v>
      </c>
      <c r="E1303" s="210" t="s">
        <v>175</v>
      </c>
      <c r="F1303" s="210" t="s">
        <v>108</v>
      </c>
      <c r="G1303" s="210" t="s">
        <v>748</v>
      </c>
      <c r="H1303" s="197">
        <v>0</v>
      </c>
      <c r="I1303" s="210" t="s">
        <v>221</v>
      </c>
      <c r="J1303" s="210">
        <v>2024</v>
      </c>
      <c r="K1303" s="210">
        <v>2024</v>
      </c>
      <c r="L1303" s="268" t="str">
        <f t="shared" si="270"/>
        <v>Simple</v>
      </c>
      <c r="M1303" s="197">
        <v>78204</v>
      </c>
      <c r="N1303" s="197">
        <v>0</v>
      </c>
      <c r="O1303" s="257">
        <f>IF(ISNA(MATCH(H1303,'Operating leases'!$B$32:$B$43,0)),0,INDEX('Operating leases'!$M$32:$S$43,MATCH(H1303,'Operating leases'!$B$32:$B$43,0),MATCH(J1303,'Operating leases'!$M$11:$S$11,0)))</f>
        <v>0</v>
      </c>
      <c r="P1303" s="257">
        <f t="shared" si="271"/>
        <v>78204</v>
      </c>
      <c r="Q1303" s="257">
        <f t="shared" si="272"/>
        <v>78204</v>
      </c>
      <c r="R1303" s="258">
        <f>INDEX('Escalators '!$M$124:$S$129,MATCH(I1303,'Escalators '!$B$124:$B$129,0),MATCH(J1303,'Escalators '!$M$113:$S$113,0))</f>
        <v>1.06512715891222</v>
      </c>
      <c r="S1303" s="257">
        <f t="shared" si="273"/>
        <v>0</v>
      </c>
      <c r="T1303" s="257">
        <f t="shared" si="274"/>
        <v>0</v>
      </c>
      <c r="U1303" s="269">
        <f t="shared" si="275"/>
        <v>83297.204335571252</v>
      </c>
      <c r="V1303" s="269">
        <f t="shared" si="276"/>
        <v>83297.204335571252</v>
      </c>
      <c r="W1303" s="269">
        <f t="shared" si="277"/>
        <v>83297.204335571252</v>
      </c>
      <c r="X1303" s="257">
        <f t="shared" si="278"/>
        <v>83297.204335571252</v>
      </c>
      <c r="Y1303" s="270">
        <f>IF(L1303="Complex",(INDEX('Escalators '!$M$176:$S$176,MATCH('Forecast capex'!J1303,'Escalators '!$M$178:$S$178,0))/12+1)^((K1303-J1303)*12)-1,0)</f>
        <v>0</v>
      </c>
      <c r="Z1303" s="257">
        <f t="shared" si="279"/>
        <v>0</v>
      </c>
      <c r="AA1303" s="257">
        <f t="shared" si="280"/>
        <v>0</v>
      </c>
      <c r="AB1303" s="269">
        <f t="shared" si="281"/>
        <v>0</v>
      </c>
      <c r="AC1303" s="269">
        <f t="shared" si="282"/>
        <v>0</v>
      </c>
      <c r="AD1303" s="271" t="str">
        <f>INDEX('Global inputs'!$C$134:$C$171,MATCH(F1303,'Global inputs'!$B$134:$B$171,0))</f>
        <v>Asset replacement and renewal</v>
      </c>
      <c r="AE1303" s="272">
        <f>IF(OR(H1303='Operating leases'!$B$32,H1303='Operating leases'!$B$33),"",INDEX('Global inputs'!$C$186:$C$243,MATCH(E1303,'Global inputs'!$B$186:$B$243,0)))</f>
        <v>0.1</v>
      </c>
    </row>
    <row r="1304" spans="1:31" s="27" customFormat="1" x14ac:dyDescent="0.2">
      <c r="A1304" s="250"/>
      <c r="B1304" s="210" t="s">
        <v>742</v>
      </c>
      <c r="C1304" s="210" t="s">
        <v>291</v>
      </c>
      <c r="D1304" s="210" t="s">
        <v>735</v>
      </c>
      <c r="E1304" s="210" t="s">
        <v>175</v>
      </c>
      <c r="F1304" s="210" t="s">
        <v>108</v>
      </c>
      <c r="G1304" s="210" t="s">
        <v>748</v>
      </c>
      <c r="H1304" s="197">
        <v>0</v>
      </c>
      <c r="I1304" s="210" t="s">
        <v>229</v>
      </c>
      <c r="J1304" s="210">
        <v>2024</v>
      </c>
      <c r="K1304" s="210">
        <v>2024</v>
      </c>
      <c r="L1304" s="268" t="str">
        <f t="shared" si="270"/>
        <v>Simple</v>
      </c>
      <c r="M1304" s="197">
        <v>19551</v>
      </c>
      <c r="N1304" s="197">
        <v>0</v>
      </c>
      <c r="O1304" s="257">
        <f>IF(ISNA(MATCH(H1304,'Operating leases'!$B$32:$B$43,0)),0,INDEX('Operating leases'!$M$32:$S$43,MATCH(H1304,'Operating leases'!$B$32:$B$43,0),MATCH(J1304,'Operating leases'!$M$11:$S$11,0)))</f>
        <v>0</v>
      </c>
      <c r="P1304" s="257">
        <f t="shared" si="271"/>
        <v>19551</v>
      </c>
      <c r="Q1304" s="257">
        <f t="shared" si="272"/>
        <v>19551</v>
      </c>
      <c r="R1304" s="258">
        <f>INDEX('Escalators '!$M$124:$S$129,MATCH(I1304,'Escalators '!$B$124:$B$129,0),MATCH(J1304,'Escalators '!$M$113:$S$113,0))</f>
        <v>1.0731681760713303</v>
      </c>
      <c r="S1304" s="257">
        <f t="shared" si="273"/>
        <v>0</v>
      </c>
      <c r="T1304" s="257">
        <f t="shared" si="274"/>
        <v>0</v>
      </c>
      <c r="U1304" s="269">
        <f t="shared" si="275"/>
        <v>20981.511010370577</v>
      </c>
      <c r="V1304" s="269">
        <f t="shared" si="276"/>
        <v>20981.511010370577</v>
      </c>
      <c r="W1304" s="269">
        <f t="shared" si="277"/>
        <v>20981.511010370577</v>
      </c>
      <c r="X1304" s="257">
        <f t="shared" si="278"/>
        <v>20981.511010370577</v>
      </c>
      <c r="Y1304" s="270">
        <f>IF(L1304="Complex",(INDEX('Escalators '!$M$176:$S$176,MATCH('Forecast capex'!J1304,'Escalators '!$M$178:$S$178,0))/12+1)^((K1304-J1304)*12)-1,0)</f>
        <v>0</v>
      </c>
      <c r="Z1304" s="257">
        <f t="shared" si="279"/>
        <v>0</v>
      </c>
      <c r="AA1304" s="257">
        <f t="shared" si="280"/>
        <v>0</v>
      </c>
      <c r="AB1304" s="269">
        <f t="shared" si="281"/>
        <v>0</v>
      </c>
      <c r="AC1304" s="269">
        <f t="shared" si="282"/>
        <v>0</v>
      </c>
      <c r="AD1304" s="271" t="str">
        <f>INDEX('Global inputs'!$C$134:$C$171,MATCH(F1304,'Global inputs'!$B$134:$B$171,0))</f>
        <v>Asset replacement and renewal</v>
      </c>
      <c r="AE1304" s="272">
        <f>IF(OR(H1304='Operating leases'!$B$32,H1304='Operating leases'!$B$33),"",INDEX('Global inputs'!$C$186:$C$243,MATCH(E1304,'Global inputs'!$B$186:$B$243,0)))</f>
        <v>0.1</v>
      </c>
    </row>
    <row r="1305" spans="1:31" s="27" customFormat="1" x14ac:dyDescent="0.2">
      <c r="A1305" s="250"/>
      <c r="B1305" s="210" t="s">
        <v>746</v>
      </c>
      <c r="C1305" s="210" t="s">
        <v>286</v>
      </c>
      <c r="D1305" s="210" t="s">
        <v>732</v>
      </c>
      <c r="E1305" s="210" t="s">
        <v>136</v>
      </c>
      <c r="F1305" s="210" t="s">
        <v>78</v>
      </c>
      <c r="G1305" s="210" t="s">
        <v>751</v>
      </c>
      <c r="H1305" s="197">
        <v>0</v>
      </c>
      <c r="I1305" s="210" t="s">
        <v>229</v>
      </c>
      <c r="J1305" s="210">
        <v>2024</v>
      </c>
      <c r="K1305" s="210">
        <v>2025</v>
      </c>
      <c r="L1305" s="268" t="str">
        <f t="shared" si="270"/>
        <v>Complex</v>
      </c>
      <c r="M1305" s="197">
        <v>0</v>
      </c>
      <c r="N1305" s="197">
        <v>0</v>
      </c>
      <c r="O1305" s="257">
        <f>IF(ISNA(MATCH(H1305,'Operating leases'!$B$32:$B$43,0)),0,INDEX('Operating leases'!$M$32:$S$43,MATCH(H1305,'Operating leases'!$B$32:$B$43,0),MATCH(J1305,'Operating leases'!$M$11:$S$11,0)))</f>
        <v>0</v>
      </c>
      <c r="P1305" s="257">
        <f t="shared" si="271"/>
        <v>0</v>
      </c>
      <c r="Q1305" s="257">
        <f t="shared" si="272"/>
        <v>0</v>
      </c>
      <c r="R1305" s="258">
        <f>INDEX('Escalators '!$M$124:$S$129,MATCH(I1305,'Escalators '!$B$124:$B$129,0),MATCH(J1305,'Escalators '!$M$113:$S$113,0))</f>
        <v>1.0731681760713303</v>
      </c>
      <c r="S1305" s="257">
        <f t="shared" si="273"/>
        <v>0</v>
      </c>
      <c r="T1305" s="257">
        <f t="shared" si="274"/>
        <v>0</v>
      </c>
      <c r="U1305" s="269">
        <f t="shared" si="275"/>
        <v>0</v>
      </c>
      <c r="V1305" s="269">
        <f t="shared" si="276"/>
        <v>0</v>
      </c>
      <c r="W1305" s="269">
        <f t="shared" si="277"/>
        <v>0</v>
      </c>
      <c r="X1305" s="257">
        <f t="shared" si="278"/>
        <v>0</v>
      </c>
      <c r="Y1305" s="270">
        <f>IF(L1305="Complex",(INDEX('Escalators '!$M$176:$S$176,MATCH('Forecast capex'!J1305,'Escalators '!$M$178:$S$178,0))/12+1)^((K1305-J1305)*12)-1,0)</f>
        <v>3.5566952945970565E-2</v>
      </c>
      <c r="Z1305" s="257">
        <f t="shared" si="279"/>
        <v>0</v>
      </c>
      <c r="AA1305" s="257">
        <f t="shared" si="280"/>
        <v>0</v>
      </c>
      <c r="AB1305" s="269">
        <f t="shared" si="281"/>
        <v>0</v>
      </c>
      <c r="AC1305" s="269">
        <f t="shared" si="282"/>
        <v>0</v>
      </c>
      <c r="AD1305" s="271" t="str">
        <f>INDEX('Global inputs'!$C$134:$C$171,MATCH(F1305,'Global inputs'!$B$134:$B$171,0))</f>
        <v xml:space="preserve">System growth </v>
      </c>
      <c r="AE1305" s="272">
        <f>IF(OR(H1305='Operating leases'!$B$32,H1305='Operating leases'!$B$33),"",INDEX('Global inputs'!$C$186:$C$243,MATCH(E1305,'Global inputs'!$B$186:$B$243,0)))</f>
        <v>0</v>
      </c>
    </row>
    <row r="1306" spans="1:31" s="27" customFormat="1" x14ac:dyDescent="0.2">
      <c r="A1306" s="250"/>
      <c r="B1306" s="210" t="s">
        <v>746</v>
      </c>
      <c r="C1306" s="210" t="s">
        <v>286</v>
      </c>
      <c r="D1306" s="210" t="s">
        <v>732</v>
      </c>
      <c r="E1306" s="210" t="s">
        <v>136</v>
      </c>
      <c r="F1306" s="210" t="s">
        <v>78</v>
      </c>
      <c r="G1306" s="210" t="s">
        <v>751</v>
      </c>
      <c r="H1306" s="197">
        <v>0</v>
      </c>
      <c r="I1306" s="210" t="s">
        <v>221</v>
      </c>
      <c r="J1306" s="210">
        <v>2024</v>
      </c>
      <c r="K1306" s="210">
        <v>2025</v>
      </c>
      <c r="L1306" s="268" t="str">
        <f t="shared" si="270"/>
        <v>Complex</v>
      </c>
      <c r="M1306" s="197">
        <v>0</v>
      </c>
      <c r="N1306" s="197">
        <v>0</v>
      </c>
      <c r="O1306" s="257">
        <f>IF(ISNA(MATCH(H1306,'Operating leases'!$B$32:$B$43,0)),0,INDEX('Operating leases'!$M$32:$S$43,MATCH(H1306,'Operating leases'!$B$32:$B$43,0),MATCH(J1306,'Operating leases'!$M$11:$S$11,0)))</f>
        <v>0</v>
      </c>
      <c r="P1306" s="257">
        <f t="shared" si="271"/>
        <v>0</v>
      </c>
      <c r="Q1306" s="257">
        <f t="shared" si="272"/>
        <v>0</v>
      </c>
      <c r="R1306" s="258">
        <f>INDEX('Escalators '!$M$124:$S$129,MATCH(I1306,'Escalators '!$B$124:$B$129,0),MATCH(J1306,'Escalators '!$M$113:$S$113,0))</f>
        <v>1.06512715891222</v>
      </c>
      <c r="S1306" s="257">
        <f t="shared" si="273"/>
        <v>0</v>
      </c>
      <c r="T1306" s="257">
        <f t="shared" si="274"/>
        <v>0</v>
      </c>
      <c r="U1306" s="269">
        <f t="shared" si="275"/>
        <v>0</v>
      </c>
      <c r="V1306" s="269">
        <f t="shared" si="276"/>
        <v>0</v>
      </c>
      <c r="W1306" s="269">
        <f t="shared" si="277"/>
        <v>0</v>
      </c>
      <c r="X1306" s="257">
        <f t="shared" si="278"/>
        <v>0</v>
      </c>
      <c r="Y1306" s="270">
        <f>IF(L1306="Complex",(INDEX('Escalators '!$M$176:$S$176,MATCH('Forecast capex'!J1306,'Escalators '!$M$178:$S$178,0))/12+1)^((K1306-J1306)*12)-1,0)</f>
        <v>3.5566952945970565E-2</v>
      </c>
      <c r="Z1306" s="257">
        <f t="shared" si="279"/>
        <v>0</v>
      </c>
      <c r="AA1306" s="257">
        <f t="shared" si="280"/>
        <v>0</v>
      </c>
      <c r="AB1306" s="269">
        <f t="shared" si="281"/>
        <v>0</v>
      </c>
      <c r="AC1306" s="269">
        <f t="shared" si="282"/>
        <v>0</v>
      </c>
      <c r="AD1306" s="271" t="str">
        <f>INDEX('Global inputs'!$C$134:$C$171,MATCH(F1306,'Global inputs'!$B$134:$B$171,0))</f>
        <v xml:space="preserve">System growth </v>
      </c>
      <c r="AE1306" s="272">
        <f>IF(OR(H1306='Operating leases'!$B$32,H1306='Operating leases'!$B$33),"",INDEX('Global inputs'!$C$186:$C$243,MATCH(E1306,'Global inputs'!$B$186:$B$243,0)))</f>
        <v>0</v>
      </c>
    </row>
    <row r="1307" spans="1:31" s="27" customFormat="1" x14ac:dyDescent="0.2">
      <c r="A1307" s="250"/>
      <c r="B1307" s="210" t="s">
        <v>746</v>
      </c>
      <c r="C1307" s="210" t="s">
        <v>286</v>
      </c>
      <c r="D1307" s="210" t="s">
        <v>732</v>
      </c>
      <c r="E1307" s="210" t="s">
        <v>140</v>
      </c>
      <c r="F1307" s="210" t="s">
        <v>78</v>
      </c>
      <c r="G1307" s="210" t="s">
        <v>733</v>
      </c>
      <c r="H1307" s="197">
        <v>0</v>
      </c>
      <c r="I1307" s="210" t="s">
        <v>142</v>
      </c>
      <c r="J1307" s="210">
        <v>2024</v>
      </c>
      <c r="K1307" s="210">
        <v>2025</v>
      </c>
      <c r="L1307" s="268" t="str">
        <f t="shared" si="270"/>
        <v>Complex</v>
      </c>
      <c r="M1307" s="197">
        <v>0</v>
      </c>
      <c r="N1307" s="197">
        <v>0</v>
      </c>
      <c r="O1307" s="257">
        <f>IF(ISNA(MATCH(H1307,'Operating leases'!$B$32:$B$43,0)),0,INDEX('Operating leases'!$M$32:$S$43,MATCH(H1307,'Operating leases'!$B$32:$B$43,0),MATCH(J1307,'Operating leases'!$M$11:$S$11,0)))</f>
        <v>0</v>
      </c>
      <c r="P1307" s="257">
        <f t="shared" si="271"/>
        <v>0</v>
      </c>
      <c r="Q1307" s="257">
        <f t="shared" si="272"/>
        <v>0</v>
      </c>
      <c r="R1307" s="258">
        <f>INDEX('Escalators '!$M$124:$S$129,MATCH(I1307,'Escalators '!$B$124:$B$129,0),MATCH(J1307,'Escalators '!$M$113:$S$113,0))</f>
        <v>1.06767964286932</v>
      </c>
      <c r="S1307" s="257">
        <f t="shared" si="273"/>
        <v>0</v>
      </c>
      <c r="T1307" s="257">
        <f t="shared" si="274"/>
        <v>0</v>
      </c>
      <c r="U1307" s="269">
        <f t="shared" si="275"/>
        <v>0</v>
      </c>
      <c r="V1307" s="269">
        <f t="shared" si="276"/>
        <v>0</v>
      </c>
      <c r="W1307" s="269">
        <f t="shared" si="277"/>
        <v>0</v>
      </c>
      <c r="X1307" s="257">
        <f t="shared" si="278"/>
        <v>0</v>
      </c>
      <c r="Y1307" s="270">
        <f>IF(L1307="Complex",(INDEX('Escalators '!$M$176:$S$176,MATCH('Forecast capex'!J1307,'Escalators '!$M$178:$S$178,0))/12+1)^((K1307-J1307)*12)-1,0)</f>
        <v>3.5566952945970565E-2</v>
      </c>
      <c r="Z1307" s="257">
        <f t="shared" si="279"/>
        <v>0</v>
      </c>
      <c r="AA1307" s="257">
        <f t="shared" si="280"/>
        <v>0</v>
      </c>
      <c r="AB1307" s="269">
        <f t="shared" si="281"/>
        <v>0</v>
      </c>
      <c r="AC1307" s="269">
        <f t="shared" si="282"/>
        <v>0</v>
      </c>
      <c r="AD1307" s="271" t="str">
        <f>INDEX('Global inputs'!$C$134:$C$171,MATCH(F1307,'Global inputs'!$B$134:$B$171,0))</f>
        <v xml:space="preserve">System growth </v>
      </c>
      <c r="AE1307" s="272">
        <f>IF(OR(H1307='Operating leases'!$B$32,H1307='Operating leases'!$B$33),"",INDEX('Global inputs'!$C$186:$C$243,MATCH(E1307,'Global inputs'!$B$186:$B$243,0)))</f>
        <v>0.08</v>
      </c>
    </row>
    <row r="1308" spans="1:31" s="27" customFormat="1" x14ac:dyDescent="0.2">
      <c r="A1308" s="250"/>
      <c r="B1308" s="210" t="s">
        <v>746</v>
      </c>
      <c r="C1308" s="210" t="s">
        <v>286</v>
      </c>
      <c r="D1308" s="210" t="s">
        <v>732</v>
      </c>
      <c r="E1308" s="210" t="s">
        <v>140</v>
      </c>
      <c r="F1308" s="210" t="s">
        <v>78</v>
      </c>
      <c r="G1308" s="210" t="s">
        <v>733</v>
      </c>
      <c r="H1308" s="197">
        <v>0</v>
      </c>
      <c r="I1308" s="210" t="s">
        <v>221</v>
      </c>
      <c r="J1308" s="210">
        <v>2024</v>
      </c>
      <c r="K1308" s="210">
        <v>2025</v>
      </c>
      <c r="L1308" s="268" t="str">
        <f t="shared" si="270"/>
        <v>Complex</v>
      </c>
      <c r="M1308" s="197">
        <v>0</v>
      </c>
      <c r="N1308" s="197">
        <v>0</v>
      </c>
      <c r="O1308" s="257">
        <f>IF(ISNA(MATCH(H1308,'Operating leases'!$B$32:$B$43,0)),0,INDEX('Operating leases'!$M$32:$S$43,MATCH(H1308,'Operating leases'!$B$32:$B$43,0),MATCH(J1308,'Operating leases'!$M$11:$S$11,0)))</f>
        <v>0</v>
      </c>
      <c r="P1308" s="257">
        <f t="shared" si="271"/>
        <v>0</v>
      </c>
      <c r="Q1308" s="257">
        <f t="shared" si="272"/>
        <v>0</v>
      </c>
      <c r="R1308" s="258">
        <f>INDEX('Escalators '!$M$124:$S$129,MATCH(I1308,'Escalators '!$B$124:$B$129,0),MATCH(J1308,'Escalators '!$M$113:$S$113,0))</f>
        <v>1.06512715891222</v>
      </c>
      <c r="S1308" s="257">
        <f t="shared" si="273"/>
        <v>0</v>
      </c>
      <c r="T1308" s="257">
        <f t="shared" si="274"/>
        <v>0</v>
      </c>
      <c r="U1308" s="269">
        <f t="shared" si="275"/>
        <v>0</v>
      </c>
      <c r="V1308" s="269">
        <f t="shared" si="276"/>
        <v>0</v>
      </c>
      <c r="W1308" s="269">
        <f t="shared" si="277"/>
        <v>0</v>
      </c>
      <c r="X1308" s="257">
        <f t="shared" si="278"/>
        <v>0</v>
      </c>
      <c r="Y1308" s="270">
        <f>IF(L1308="Complex",(INDEX('Escalators '!$M$176:$S$176,MATCH('Forecast capex'!J1308,'Escalators '!$M$178:$S$178,0))/12+1)^((K1308-J1308)*12)-1,0)</f>
        <v>3.5566952945970565E-2</v>
      </c>
      <c r="Z1308" s="257">
        <f t="shared" si="279"/>
        <v>0</v>
      </c>
      <c r="AA1308" s="257">
        <f t="shared" si="280"/>
        <v>0</v>
      </c>
      <c r="AB1308" s="269">
        <f t="shared" si="281"/>
        <v>0</v>
      </c>
      <c r="AC1308" s="269">
        <f t="shared" si="282"/>
        <v>0</v>
      </c>
      <c r="AD1308" s="271" t="str">
        <f>INDEX('Global inputs'!$C$134:$C$171,MATCH(F1308,'Global inputs'!$B$134:$B$171,0))</f>
        <v xml:space="preserve">System growth </v>
      </c>
      <c r="AE1308" s="272">
        <f>IF(OR(H1308='Operating leases'!$B$32,H1308='Operating leases'!$B$33),"",INDEX('Global inputs'!$C$186:$C$243,MATCH(E1308,'Global inputs'!$B$186:$B$243,0)))</f>
        <v>0.08</v>
      </c>
    </row>
    <row r="1309" spans="1:31" s="27" customFormat="1" x14ac:dyDescent="0.2">
      <c r="A1309" s="250"/>
      <c r="B1309" s="210" t="s">
        <v>746</v>
      </c>
      <c r="C1309" s="210" t="s">
        <v>286</v>
      </c>
      <c r="D1309" s="210" t="s">
        <v>735</v>
      </c>
      <c r="E1309" s="210" t="s">
        <v>144</v>
      </c>
      <c r="F1309" s="210" t="s">
        <v>78</v>
      </c>
      <c r="G1309" s="210" t="s">
        <v>736</v>
      </c>
      <c r="H1309" s="197">
        <v>0</v>
      </c>
      <c r="I1309" s="210" t="s">
        <v>229</v>
      </c>
      <c r="J1309" s="210">
        <v>2024</v>
      </c>
      <c r="K1309" s="210">
        <v>2025</v>
      </c>
      <c r="L1309" s="268" t="str">
        <f t="shared" si="270"/>
        <v>Complex</v>
      </c>
      <c r="M1309" s="197">
        <v>0</v>
      </c>
      <c r="N1309" s="197">
        <v>0</v>
      </c>
      <c r="O1309" s="257">
        <f>IF(ISNA(MATCH(H1309,'Operating leases'!$B$32:$B$43,0)),0,INDEX('Operating leases'!$M$32:$S$43,MATCH(H1309,'Operating leases'!$B$32:$B$43,0),MATCH(J1309,'Operating leases'!$M$11:$S$11,0)))</f>
        <v>0</v>
      </c>
      <c r="P1309" s="257">
        <f t="shared" si="271"/>
        <v>0</v>
      </c>
      <c r="Q1309" s="257">
        <f t="shared" si="272"/>
        <v>0</v>
      </c>
      <c r="R1309" s="258">
        <f>INDEX('Escalators '!$M$124:$S$129,MATCH(I1309,'Escalators '!$B$124:$B$129,0),MATCH(J1309,'Escalators '!$M$113:$S$113,0))</f>
        <v>1.0731681760713303</v>
      </c>
      <c r="S1309" s="257">
        <f t="shared" si="273"/>
        <v>0</v>
      </c>
      <c r="T1309" s="257">
        <f t="shared" si="274"/>
        <v>0</v>
      </c>
      <c r="U1309" s="269">
        <f t="shared" si="275"/>
        <v>0</v>
      </c>
      <c r="V1309" s="269">
        <f t="shared" si="276"/>
        <v>0</v>
      </c>
      <c r="W1309" s="269">
        <f t="shared" si="277"/>
        <v>0</v>
      </c>
      <c r="X1309" s="257">
        <f t="shared" si="278"/>
        <v>0</v>
      </c>
      <c r="Y1309" s="270">
        <f>IF(L1309="Complex",(INDEX('Escalators '!$M$176:$S$176,MATCH('Forecast capex'!J1309,'Escalators '!$M$178:$S$178,0))/12+1)^((K1309-J1309)*12)-1,0)</f>
        <v>3.5566952945970565E-2</v>
      </c>
      <c r="Z1309" s="257">
        <f t="shared" si="279"/>
        <v>0</v>
      </c>
      <c r="AA1309" s="257">
        <f t="shared" si="280"/>
        <v>0</v>
      </c>
      <c r="AB1309" s="269">
        <f t="shared" si="281"/>
        <v>0</v>
      </c>
      <c r="AC1309" s="269">
        <f t="shared" si="282"/>
        <v>0</v>
      </c>
      <c r="AD1309" s="271" t="str">
        <f>INDEX('Global inputs'!$C$134:$C$171,MATCH(F1309,'Global inputs'!$B$134:$B$171,0))</f>
        <v xml:space="preserve">System growth </v>
      </c>
      <c r="AE1309" s="272">
        <f>IF(OR(H1309='Operating leases'!$B$32,H1309='Operating leases'!$B$33),"",INDEX('Global inputs'!$C$186:$C$243,MATCH(E1309,'Global inputs'!$B$186:$B$243,0)))</f>
        <v>0.08</v>
      </c>
    </row>
    <row r="1310" spans="1:31" s="27" customFormat="1" x14ac:dyDescent="0.2">
      <c r="A1310" s="250"/>
      <c r="B1310" s="210" t="s">
        <v>746</v>
      </c>
      <c r="C1310" s="210" t="s">
        <v>286</v>
      </c>
      <c r="D1310" s="210" t="s">
        <v>735</v>
      </c>
      <c r="E1310" s="210" t="s">
        <v>144</v>
      </c>
      <c r="F1310" s="210" t="s">
        <v>78</v>
      </c>
      <c r="G1310" s="210" t="s">
        <v>736</v>
      </c>
      <c r="H1310" s="197">
        <v>0</v>
      </c>
      <c r="I1310" s="210" t="s">
        <v>221</v>
      </c>
      <c r="J1310" s="210">
        <v>2024</v>
      </c>
      <c r="K1310" s="210">
        <v>2025</v>
      </c>
      <c r="L1310" s="268" t="str">
        <f t="shared" si="270"/>
        <v>Complex</v>
      </c>
      <c r="M1310" s="197">
        <v>0</v>
      </c>
      <c r="N1310" s="197">
        <v>0</v>
      </c>
      <c r="O1310" s="257">
        <f>IF(ISNA(MATCH(H1310,'Operating leases'!$B$32:$B$43,0)),0,INDEX('Operating leases'!$M$32:$S$43,MATCH(H1310,'Operating leases'!$B$32:$B$43,0),MATCH(J1310,'Operating leases'!$M$11:$S$11,0)))</f>
        <v>0</v>
      </c>
      <c r="P1310" s="257">
        <f t="shared" si="271"/>
        <v>0</v>
      </c>
      <c r="Q1310" s="257">
        <f t="shared" si="272"/>
        <v>0</v>
      </c>
      <c r="R1310" s="258">
        <f>INDEX('Escalators '!$M$124:$S$129,MATCH(I1310,'Escalators '!$B$124:$B$129,0),MATCH(J1310,'Escalators '!$M$113:$S$113,0))</f>
        <v>1.06512715891222</v>
      </c>
      <c r="S1310" s="257">
        <f t="shared" si="273"/>
        <v>0</v>
      </c>
      <c r="T1310" s="257">
        <f t="shared" si="274"/>
        <v>0</v>
      </c>
      <c r="U1310" s="269">
        <f t="shared" si="275"/>
        <v>0</v>
      </c>
      <c r="V1310" s="269">
        <f t="shared" si="276"/>
        <v>0</v>
      </c>
      <c r="W1310" s="269">
        <f t="shared" si="277"/>
        <v>0</v>
      </c>
      <c r="X1310" s="257">
        <f t="shared" si="278"/>
        <v>0</v>
      </c>
      <c r="Y1310" s="270">
        <f>IF(L1310="Complex",(INDEX('Escalators '!$M$176:$S$176,MATCH('Forecast capex'!J1310,'Escalators '!$M$178:$S$178,0))/12+1)^((K1310-J1310)*12)-1,0)</f>
        <v>3.5566952945970565E-2</v>
      </c>
      <c r="Z1310" s="257">
        <f t="shared" si="279"/>
        <v>0</v>
      </c>
      <c r="AA1310" s="257">
        <f t="shared" si="280"/>
        <v>0</v>
      </c>
      <c r="AB1310" s="269">
        <f t="shared" si="281"/>
        <v>0</v>
      </c>
      <c r="AC1310" s="269">
        <f t="shared" si="282"/>
        <v>0</v>
      </c>
      <c r="AD1310" s="271" t="str">
        <f>INDEX('Global inputs'!$C$134:$C$171,MATCH(F1310,'Global inputs'!$B$134:$B$171,0))</f>
        <v xml:space="preserve">System growth </v>
      </c>
      <c r="AE1310" s="272">
        <f>IF(OR(H1310='Operating leases'!$B$32,H1310='Operating leases'!$B$33),"",INDEX('Global inputs'!$C$186:$C$243,MATCH(E1310,'Global inputs'!$B$186:$B$243,0)))</f>
        <v>0.08</v>
      </c>
    </row>
    <row r="1311" spans="1:31" s="27" customFormat="1" x14ac:dyDescent="0.2">
      <c r="A1311" s="250"/>
      <c r="B1311" s="210" t="s">
        <v>746</v>
      </c>
      <c r="C1311" s="210" t="s">
        <v>286</v>
      </c>
      <c r="D1311" s="210" t="s">
        <v>735</v>
      </c>
      <c r="E1311" s="210" t="s">
        <v>147</v>
      </c>
      <c r="F1311" s="210" t="s">
        <v>78</v>
      </c>
      <c r="G1311" s="210" t="s">
        <v>744</v>
      </c>
      <c r="H1311" s="197">
        <v>0</v>
      </c>
      <c r="I1311" s="210" t="s">
        <v>229</v>
      </c>
      <c r="J1311" s="210">
        <v>2024</v>
      </c>
      <c r="K1311" s="210">
        <v>2025</v>
      </c>
      <c r="L1311" s="268" t="str">
        <f t="shared" si="270"/>
        <v>Complex</v>
      </c>
      <c r="M1311" s="197">
        <v>0</v>
      </c>
      <c r="N1311" s="197">
        <v>0</v>
      </c>
      <c r="O1311" s="257">
        <f>IF(ISNA(MATCH(H1311,'Operating leases'!$B$32:$B$43,0)),0,INDEX('Operating leases'!$M$32:$S$43,MATCH(H1311,'Operating leases'!$B$32:$B$43,0),MATCH(J1311,'Operating leases'!$M$11:$S$11,0)))</f>
        <v>0</v>
      </c>
      <c r="P1311" s="257">
        <f t="shared" si="271"/>
        <v>0</v>
      </c>
      <c r="Q1311" s="257">
        <f t="shared" si="272"/>
        <v>0</v>
      </c>
      <c r="R1311" s="258">
        <f>INDEX('Escalators '!$M$124:$S$129,MATCH(I1311,'Escalators '!$B$124:$B$129,0),MATCH(J1311,'Escalators '!$M$113:$S$113,0))</f>
        <v>1.0731681760713303</v>
      </c>
      <c r="S1311" s="257">
        <f t="shared" si="273"/>
        <v>0</v>
      </c>
      <c r="T1311" s="257">
        <f t="shared" si="274"/>
        <v>0</v>
      </c>
      <c r="U1311" s="269">
        <f t="shared" si="275"/>
        <v>0</v>
      </c>
      <c r="V1311" s="269">
        <f t="shared" si="276"/>
        <v>0</v>
      </c>
      <c r="W1311" s="269">
        <f t="shared" si="277"/>
        <v>0</v>
      </c>
      <c r="X1311" s="257">
        <f t="shared" si="278"/>
        <v>0</v>
      </c>
      <c r="Y1311" s="270">
        <f>IF(L1311="Complex",(INDEX('Escalators '!$M$176:$S$176,MATCH('Forecast capex'!J1311,'Escalators '!$M$178:$S$178,0))/12+1)^((K1311-J1311)*12)-1,0)</f>
        <v>3.5566952945970565E-2</v>
      </c>
      <c r="Z1311" s="257">
        <f t="shared" si="279"/>
        <v>0</v>
      </c>
      <c r="AA1311" s="257">
        <f t="shared" si="280"/>
        <v>0</v>
      </c>
      <c r="AB1311" s="269">
        <f t="shared" si="281"/>
        <v>0</v>
      </c>
      <c r="AC1311" s="269">
        <f t="shared" si="282"/>
        <v>0</v>
      </c>
      <c r="AD1311" s="271" t="str">
        <f>INDEX('Global inputs'!$C$134:$C$171,MATCH(F1311,'Global inputs'!$B$134:$B$171,0))</f>
        <v xml:space="preserve">System growth </v>
      </c>
      <c r="AE1311" s="272">
        <f>IF(OR(H1311='Operating leases'!$B$32,H1311='Operating leases'!$B$33),"",INDEX('Global inputs'!$C$186:$C$243,MATCH(E1311,'Global inputs'!$B$186:$B$243,0)))</f>
        <v>0.08</v>
      </c>
    </row>
    <row r="1312" spans="1:31" s="27" customFormat="1" x14ac:dyDescent="0.2">
      <c r="A1312" s="250"/>
      <c r="B1312" s="210" t="s">
        <v>746</v>
      </c>
      <c r="C1312" s="210" t="s">
        <v>286</v>
      </c>
      <c r="D1312" s="210" t="s">
        <v>735</v>
      </c>
      <c r="E1312" s="210" t="s">
        <v>147</v>
      </c>
      <c r="F1312" s="210" t="s">
        <v>78</v>
      </c>
      <c r="G1312" s="210" t="s">
        <v>744</v>
      </c>
      <c r="H1312" s="197">
        <v>0</v>
      </c>
      <c r="I1312" s="210" t="s">
        <v>221</v>
      </c>
      <c r="J1312" s="210">
        <v>2024</v>
      </c>
      <c r="K1312" s="210">
        <v>2025</v>
      </c>
      <c r="L1312" s="268" t="str">
        <f t="shared" si="270"/>
        <v>Complex</v>
      </c>
      <c r="M1312" s="197">
        <v>0</v>
      </c>
      <c r="N1312" s="197">
        <v>0</v>
      </c>
      <c r="O1312" s="257">
        <f>IF(ISNA(MATCH(H1312,'Operating leases'!$B$32:$B$43,0)),0,INDEX('Operating leases'!$M$32:$S$43,MATCH(H1312,'Operating leases'!$B$32:$B$43,0),MATCH(J1312,'Operating leases'!$M$11:$S$11,0)))</f>
        <v>0</v>
      </c>
      <c r="P1312" s="257">
        <f t="shared" si="271"/>
        <v>0</v>
      </c>
      <c r="Q1312" s="257">
        <f t="shared" si="272"/>
        <v>0</v>
      </c>
      <c r="R1312" s="258">
        <f>INDEX('Escalators '!$M$124:$S$129,MATCH(I1312,'Escalators '!$B$124:$B$129,0),MATCH(J1312,'Escalators '!$M$113:$S$113,0))</f>
        <v>1.06512715891222</v>
      </c>
      <c r="S1312" s="257">
        <f t="shared" si="273"/>
        <v>0</v>
      </c>
      <c r="T1312" s="257">
        <f t="shared" si="274"/>
        <v>0</v>
      </c>
      <c r="U1312" s="269">
        <f t="shared" si="275"/>
        <v>0</v>
      </c>
      <c r="V1312" s="269">
        <f t="shared" si="276"/>
        <v>0</v>
      </c>
      <c r="W1312" s="269">
        <f t="shared" si="277"/>
        <v>0</v>
      </c>
      <c r="X1312" s="257">
        <f t="shared" si="278"/>
        <v>0</v>
      </c>
      <c r="Y1312" s="270">
        <f>IF(L1312="Complex",(INDEX('Escalators '!$M$176:$S$176,MATCH('Forecast capex'!J1312,'Escalators '!$M$178:$S$178,0))/12+1)^((K1312-J1312)*12)-1,0)</f>
        <v>3.5566952945970565E-2</v>
      </c>
      <c r="Z1312" s="257">
        <f t="shared" si="279"/>
        <v>0</v>
      </c>
      <c r="AA1312" s="257">
        <f t="shared" si="280"/>
        <v>0</v>
      </c>
      <c r="AB1312" s="269">
        <f t="shared" si="281"/>
        <v>0</v>
      </c>
      <c r="AC1312" s="269">
        <f t="shared" si="282"/>
        <v>0</v>
      </c>
      <c r="AD1312" s="271" t="str">
        <f>INDEX('Global inputs'!$C$134:$C$171,MATCH(F1312,'Global inputs'!$B$134:$B$171,0))</f>
        <v xml:space="preserve">System growth </v>
      </c>
      <c r="AE1312" s="272">
        <f>IF(OR(H1312='Operating leases'!$B$32,H1312='Operating leases'!$B$33),"",INDEX('Global inputs'!$C$186:$C$243,MATCH(E1312,'Global inputs'!$B$186:$B$243,0)))</f>
        <v>0.08</v>
      </c>
    </row>
    <row r="1313" spans="1:31" s="27" customFormat="1" x14ac:dyDescent="0.2">
      <c r="A1313" s="250"/>
      <c r="B1313" s="210" t="s">
        <v>746</v>
      </c>
      <c r="C1313" s="210" t="s">
        <v>291</v>
      </c>
      <c r="D1313" s="210" t="s">
        <v>735</v>
      </c>
      <c r="E1313" s="210" t="s">
        <v>175</v>
      </c>
      <c r="F1313" s="210" t="s">
        <v>78</v>
      </c>
      <c r="G1313" s="210" t="s">
        <v>748</v>
      </c>
      <c r="H1313" s="197">
        <v>0</v>
      </c>
      <c r="I1313" s="210" t="s">
        <v>229</v>
      </c>
      <c r="J1313" s="210">
        <v>2024</v>
      </c>
      <c r="K1313" s="210">
        <v>2025</v>
      </c>
      <c r="L1313" s="268" t="str">
        <f t="shared" si="270"/>
        <v>Complex</v>
      </c>
      <c r="M1313" s="197">
        <v>0</v>
      </c>
      <c r="N1313" s="197">
        <v>0</v>
      </c>
      <c r="O1313" s="257">
        <f>IF(ISNA(MATCH(H1313,'Operating leases'!$B$32:$B$43,0)),0,INDEX('Operating leases'!$M$32:$S$43,MATCH(H1313,'Operating leases'!$B$32:$B$43,0),MATCH(J1313,'Operating leases'!$M$11:$S$11,0)))</f>
        <v>0</v>
      </c>
      <c r="P1313" s="257">
        <f t="shared" si="271"/>
        <v>0</v>
      </c>
      <c r="Q1313" s="257">
        <f t="shared" si="272"/>
        <v>0</v>
      </c>
      <c r="R1313" s="258">
        <f>INDEX('Escalators '!$M$124:$S$129,MATCH(I1313,'Escalators '!$B$124:$B$129,0),MATCH(J1313,'Escalators '!$M$113:$S$113,0))</f>
        <v>1.0731681760713303</v>
      </c>
      <c r="S1313" s="257">
        <f t="shared" si="273"/>
        <v>0</v>
      </c>
      <c r="T1313" s="257">
        <f t="shared" si="274"/>
        <v>0</v>
      </c>
      <c r="U1313" s="269">
        <f t="shared" si="275"/>
        <v>0</v>
      </c>
      <c r="V1313" s="269">
        <f t="shared" si="276"/>
        <v>0</v>
      </c>
      <c r="W1313" s="269">
        <f t="shared" si="277"/>
        <v>0</v>
      </c>
      <c r="X1313" s="257">
        <f t="shared" si="278"/>
        <v>0</v>
      </c>
      <c r="Y1313" s="270">
        <f>IF(L1313="Complex",(INDEX('Escalators '!$M$176:$S$176,MATCH('Forecast capex'!J1313,'Escalators '!$M$178:$S$178,0))/12+1)^((K1313-J1313)*12)-1,0)</f>
        <v>3.5566952945970565E-2</v>
      </c>
      <c r="Z1313" s="257">
        <f t="shared" si="279"/>
        <v>0</v>
      </c>
      <c r="AA1313" s="257">
        <f t="shared" si="280"/>
        <v>0</v>
      </c>
      <c r="AB1313" s="269">
        <f t="shared" si="281"/>
        <v>0</v>
      </c>
      <c r="AC1313" s="269">
        <f t="shared" si="282"/>
        <v>0</v>
      </c>
      <c r="AD1313" s="271" t="str">
        <f>INDEX('Global inputs'!$C$134:$C$171,MATCH(F1313,'Global inputs'!$B$134:$B$171,0))</f>
        <v xml:space="preserve">System growth </v>
      </c>
      <c r="AE1313" s="272">
        <f>IF(OR(H1313='Operating leases'!$B$32,H1313='Operating leases'!$B$33),"",INDEX('Global inputs'!$C$186:$C$243,MATCH(E1313,'Global inputs'!$B$186:$B$243,0)))</f>
        <v>0.1</v>
      </c>
    </row>
    <row r="1314" spans="1:31" s="27" customFormat="1" x14ac:dyDescent="0.2">
      <c r="A1314" s="250"/>
      <c r="B1314" s="210" t="s">
        <v>746</v>
      </c>
      <c r="C1314" s="210" t="s">
        <v>291</v>
      </c>
      <c r="D1314" s="210" t="s">
        <v>735</v>
      </c>
      <c r="E1314" s="210" t="s">
        <v>175</v>
      </c>
      <c r="F1314" s="210" t="s">
        <v>78</v>
      </c>
      <c r="G1314" s="210" t="s">
        <v>748</v>
      </c>
      <c r="H1314" s="197">
        <v>0</v>
      </c>
      <c r="I1314" s="210" t="s">
        <v>221</v>
      </c>
      <c r="J1314" s="210">
        <v>2024</v>
      </c>
      <c r="K1314" s="210">
        <v>2025</v>
      </c>
      <c r="L1314" s="268" t="str">
        <f t="shared" si="270"/>
        <v>Complex</v>
      </c>
      <c r="M1314" s="197">
        <v>0</v>
      </c>
      <c r="N1314" s="197">
        <v>0</v>
      </c>
      <c r="O1314" s="257">
        <f>IF(ISNA(MATCH(H1314,'Operating leases'!$B$32:$B$43,0)),0,INDEX('Operating leases'!$M$32:$S$43,MATCH(H1314,'Operating leases'!$B$32:$B$43,0),MATCH(J1314,'Operating leases'!$M$11:$S$11,0)))</f>
        <v>0</v>
      </c>
      <c r="P1314" s="257">
        <f t="shared" si="271"/>
        <v>0</v>
      </c>
      <c r="Q1314" s="257">
        <f t="shared" si="272"/>
        <v>0</v>
      </c>
      <c r="R1314" s="258">
        <f>INDEX('Escalators '!$M$124:$S$129,MATCH(I1314,'Escalators '!$B$124:$B$129,0),MATCH(J1314,'Escalators '!$M$113:$S$113,0))</f>
        <v>1.06512715891222</v>
      </c>
      <c r="S1314" s="257">
        <f t="shared" si="273"/>
        <v>0</v>
      </c>
      <c r="T1314" s="257">
        <f t="shared" si="274"/>
        <v>0</v>
      </c>
      <c r="U1314" s="269">
        <f t="shared" si="275"/>
        <v>0</v>
      </c>
      <c r="V1314" s="269">
        <f t="shared" si="276"/>
        <v>0</v>
      </c>
      <c r="W1314" s="269">
        <f t="shared" si="277"/>
        <v>0</v>
      </c>
      <c r="X1314" s="257">
        <f t="shared" si="278"/>
        <v>0</v>
      </c>
      <c r="Y1314" s="270">
        <f>IF(L1314="Complex",(INDEX('Escalators '!$M$176:$S$176,MATCH('Forecast capex'!J1314,'Escalators '!$M$178:$S$178,0))/12+1)^((K1314-J1314)*12)-1,0)</f>
        <v>3.5566952945970565E-2</v>
      </c>
      <c r="Z1314" s="257">
        <f t="shared" si="279"/>
        <v>0</v>
      </c>
      <c r="AA1314" s="257">
        <f t="shared" si="280"/>
        <v>0</v>
      </c>
      <c r="AB1314" s="269">
        <f t="shared" si="281"/>
        <v>0</v>
      </c>
      <c r="AC1314" s="269">
        <f t="shared" si="282"/>
        <v>0</v>
      </c>
      <c r="AD1314" s="271" t="str">
        <f>INDEX('Global inputs'!$C$134:$C$171,MATCH(F1314,'Global inputs'!$B$134:$B$171,0))</f>
        <v xml:space="preserve">System growth </v>
      </c>
      <c r="AE1314" s="272">
        <f>IF(OR(H1314='Operating leases'!$B$32,H1314='Operating leases'!$B$33),"",INDEX('Global inputs'!$C$186:$C$243,MATCH(E1314,'Global inputs'!$B$186:$B$243,0)))</f>
        <v>0.1</v>
      </c>
    </row>
    <row r="1315" spans="1:31" s="27" customFormat="1" x14ac:dyDescent="0.2">
      <c r="A1315" s="250"/>
      <c r="B1315" s="210" t="s">
        <v>742</v>
      </c>
      <c r="C1315" s="210" t="s">
        <v>286</v>
      </c>
      <c r="D1315" s="210" t="s">
        <v>732</v>
      </c>
      <c r="E1315" s="210" t="s">
        <v>136</v>
      </c>
      <c r="F1315" s="210" t="s">
        <v>108</v>
      </c>
      <c r="G1315" s="210" t="s">
        <v>751</v>
      </c>
      <c r="H1315" s="197">
        <v>0</v>
      </c>
      <c r="I1315" s="210" t="s">
        <v>221</v>
      </c>
      <c r="J1315" s="210">
        <v>2024</v>
      </c>
      <c r="K1315" s="210">
        <v>2025</v>
      </c>
      <c r="L1315" s="268" t="str">
        <f t="shared" si="270"/>
        <v>Complex</v>
      </c>
      <c r="M1315" s="197">
        <v>14250</v>
      </c>
      <c r="N1315" s="197">
        <v>0</v>
      </c>
      <c r="O1315" s="257">
        <f>IF(ISNA(MATCH(H1315,'Operating leases'!$B$32:$B$43,0)),0,INDEX('Operating leases'!$M$32:$S$43,MATCH(H1315,'Operating leases'!$B$32:$B$43,0),MATCH(J1315,'Operating leases'!$M$11:$S$11,0)))</f>
        <v>0</v>
      </c>
      <c r="P1315" s="257">
        <f t="shared" si="271"/>
        <v>14250</v>
      </c>
      <c r="Q1315" s="257">
        <f t="shared" si="272"/>
        <v>14250</v>
      </c>
      <c r="R1315" s="258">
        <f>INDEX('Escalators '!$M$124:$S$129,MATCH(I1315,'Escalators '!$B$124:$B$129,0),MATCH(J1315,'Escalators '!$M$113:$S$113,0))</f>
        <v>1.06512715891222</v>
      </c>
      <c r="S1315" s="257">
        <f t="shared" si="273"/>
        <v>0</v>
      </c>
      <c r="T1315" s="257">
        <f t="shared" si="274"/>
        <v>0</v>
      </c>
      <c r="U1315" s="269">
        <f t="shared" si="275"/>
        <v>15178.062014499135</v>
      </c>
      <c r="V1315" s="269">
        <f t="shared" si="276"/>
        <v>15178.062014499135</v>
      </c>
      <c r="W1315" s="269">
        <f t="shared" si="277"/>
        <v>15178.062014499135</v>
      </c>
      <c r="X1315" s="257">
        <f t="shared" si="278"/>
        <v>15178.062014499135</v>
      </c>
      <c r="Y1315" s="270">
        <f>IF(L1315="Complex",(INDEX('Escalators '!$M$176:$S$176,MATCH('Forecast capex'!J1315,'Escalators '!$M$178:$S$178,0))/12+1)^((K1315-J1315)*12)-1,0)</f>
        <v>3.5566952945970565E-2</v>
      </c>
      <c r="Z1315" s="257">
        <f t="shared" si="279"/>
        <v>506.82907948008057</v>
      </c>
      <c r="AA1315" s="257">
        <f t="shared" si="280"/>
        <v>539.83741748071395</v>
      </c>
      <c r="AB1315" s="269">
        <f t="shared" si="281"/>
        <v>15717.899431979849</v>
      </c>
      <c r="AC1315" s="269">
        <f t="shared" si="282"/>
        <v>15717.899431979849</v>
      </c>
      <c r="AD1315" s="271" t="str">
        <f>INDEX('Global inputs'!$C$134:$C$171,MATCH(F1315,'Global inputs'!$B$134:$B$171,0))</f>
        <v>Asset replacement and renewal</v>
      </c>
      <c r="AE1315" s="272">
        <f>IF(OR(H1315='Operating leases'!$B$32,H1315='Operating leases'!$B$33),"",INDEX('Global inputs'!$C$186:$C$243,MATCH(E1315,'Global inputs'!$B$186:$B$243,0)))</f>
        <v>0</v>
      </c>
    </row>
    <row r="1316" spans="1:31" s="27" customFormat="1" x14ac:dyDescent="0.2">
      <c r="A1316" s="250"/>
      <c r="B1316" s="210" t="s">
        <v>742</v>
      </c>
      <c r="C1316" s="210" t="s">
        <v>286</v>
      </c>
      <c r="D1316" s="210" t="s">
        <v>732</v>
      </c>
      <c r="E1316" s="210" t="s">
        <v>136</v>
      </c>
      <c r="F1316" s="210" t="s">
        <v>108</v>
      </c>
      <c r="G1316" s="210" t="s">
        <v>751</v>
      </c>
      <c r="H1316" s="197">
        <v>0</v>
      </c>
      <c r="I1316" s="210" t="s">
        <v>229</v>
      </c>
      <c r="J1316" s="210">
        <v>2024</v>
      </c>
      <c r="K1316" s="210">
        <v>2025</v>
      </c>
      <c r="L1316" s="268" t="str">
        <f t="shared" si="270"/>
        <v>Complex</v>
      </c>
      <c r="M1316" s="197">
        <v>14250</v>
      </c>
      <c r="N1316" s="197">
        <v>0</v>
      </c>
      <c r="O1316" s="257">
        <f>IF(ISNA(MATCH(H1316,'Operating leases'!$B$32:$B$43,0)),0,INDEX('Operating leases'!$M$32:$S$43,MATCH(H1316,'Operating leases'!$B$32:$B$43,0),MATCH(J1316,'Operating leases'!$M$11:$S$11,0)))</f>
        <v>0</v>
      </c>
      <c r="P1316" s="257">
        <f t="shared" si="271"/>
        <v>14250</v>
      </c>
      <c r="Q1316" s="257">
        <f t="shared" si="272"/>
        <v>14250</v>
      </c>
      <c r="R1316" s="258">
        <f>INDEX('Escalators '!$M$124:$S$129,MATCH(I1316,'Escalators '!$B$124:$B$129,0),MATCH(J1316,'Escalators '!$M$113:$S$113,0))</f>
        <v>1.0731681760713303</v>
      </c>
      <c r="S1316" s="257">
        <f t="shared" si="273"/>
        <v>0</v>
      </c>
      <c r="T1316" s="257">
        <f t="shared" si="274"/>
        <v>0</v>
      </c>
      <c r="U1316" s="269">
        <f t="shared" si="275"/>
        <v>15292.646509016457</v>
      </c>
      <c r="V1316" s="269">
        <f t="shared" si="276"/>
        <v>15292.646509016457</v>
      </c>
      <c r="W1316" s="269">
        <f t="shared" si="277"/>
        <v>15292.646509016457</v>
      </c>
      <c r="X1316" s="257">
        <f t="shared" si="278"/>
        <v>15292.646509016457</v>
      </c>
      <c r="Y1316" s="270">
        <f>IF(L1316="Complex",(INDEX('Escalators '!$M$176:$S$176,MATCH('Forecast capex'!J1316,'Escalators '!$M$178:$S$178,0))/12+1)^((K1316-J1316)*12)-1,0)</f>
        <v>3.5566952945970565E-2</v>
      </c>
      <c r="Z1316" s="257">
        <f t="shared" si="279"/>
        <v>506.82907948008057</v>
      </c>
      <c r="AA1316" s="257">
        <f t="shared" si="280"/>
        <v>543.91283880554931</v>
      </c>
      <c r="AB1316" s="269">
        <f t="shared" si="281"/>
        <v>15836.559347822005</v>
      </c>
      <c r="AC1316" s="269">
        <f t="shared" si="282"/>
        <v>15836.559347822005</v>
      </c>
      <c r="AD1316" s="271" t="str">
        <f>INDEX('Global inputs'!$C$134:$C$171,MATCH(F1316,'Global inputs'!$B$134:$B$171,0))</f>
        <v>Asset replacement and renewal</v>
      </c>
      <c r="AE1316" s="272">
        <f>IF(OR(H1316='Operating leases'!$B$32,H1316='Operating leases'!$B$33),"",INDEX('Global inputs'!$C$186:$C$243,MATCH(E1316,'Global inputs'!$B$186:$B$243,0)))</f>
        <v>0</v>
      </c>
    </row>
    <row r="1317" spans="1:31" s="27" customFormat="1" x14ac:dyDescent="0.2">
      <c r="A1317" s="250"/>
      <c r="B1317" s="210" t="s">
        <v>742</v>
      </c>
      <c r="C1317" s="210" t="s">
        <v>286</v>
      </c>
      <c r="D1317" s="210" t="s">
        <v>732</v>
      </c>
      <c r="E1317" s="210" t="s">
        <v>138</v>
      </c>
      <c r="F1317" s="210" t="s">
        <v>108</v>
      </c>
      <c r="G1317" s="210" t="s">
        <v>752</v>
      </c>
      <c r="H1317" s="197">
        <v>0</v>
      </c>
      <c r="I1317" s="210" t="s">
        <v>221</v>
      </c>
      <c r="J1317" s="210">
        <v>2024</v>
      </c>
      <c r="K1317" s="210">
        <v>2025</v>
      </c>
      <c r="L1317" s="268" t="str">
        <f t="shared" si="270"/>
        <v>Complex</v>
      </c>
      <c r="M1317" s="197">
        <v>22959.599999999999</v>
      </c>
      <c r="N1317" s="197">
        <v>0</v>
      </c>
      <c r="O1317" s="257">
        <f>IF(ISNA(MATCH(H1317,'Operating leases'!$B$32:$B$43,0)),0,INDEX('Operating leases'!$M$32:$S$43,MATCH(H1317,'Operating leases'!$B$32:$B$43,0),MATCH(J1317,'Operating leases'!$M$11:$S$11,0)))</f>
        <v>0</v>
      </c>
      <c r="P1317" s="257">
        <f t="shared" si="271"/>
        <v>22959.599999999999</v>
      </c>
      <c r="Q1317" s="257">
        <f t="shared" si="272"/>
        <v>22959.599999999999</v>
      </c>
      <c r="R1317" s="258">
        <f>INDEX('Escalators '!$M$124:$S$129,MATCH(I1317,'Escalators '!$B$124:$B$129,0),MATCH(J1317,'Escalators '!$M$113:$S$113,0))</f>
        <v>1.06512715891222</v>
      </c>
      <c r="S1317" s="257">
        <f t="shared" si="273"/>
        <v>0</v>
      </c>
      <c r="T1317" s="257">
        <f t="shared" si="274"/>
        <v>0</v>
      </c>
      <c r="U1317" s="269">
        <f t="shared" si="275"/>
        <v>24454.893517761004</v>
      </c>
      <c r="V1317" s="269">
        <f t="shared" si="276"/>
        <v>24454.893517761004</v>
      </c>
      <c r="W1317" s="269">
        <f t="shared" si="277"/>
        <v>24454.893517761004</v>
      </c>
      <c r="X1317" s="257">
        <f t="shared" si="278"/>
        <v>24454.893517761004</v>
      </c>
      <c r="Y1317" s="270">
        <f>IF(L1317="Complex",(INDEX('Escalators '!$M$176:$S$176,MATCH('Forecast capex'!J1317,'Escalators '!$M$178:$S$178,0))/12+1)^((K1317-J1317)*12)-1,0)</f>
        <v>3.5566952945970565E-2</v>
      </c>
      <c r="Z1317" s="257">
        <f t="shared" si="279"/>
        <v>816.60301285830576</v>
      </c>
      <c r="AA1317" s="257">
        <f t="shared" si="280"/>
        <v>869.78604704492625</v>
      </c>
      <c r="AB1317" s="269">
        <f t="shared" si="281"/>
        <v>25324.679564805931</v>
      </c>
      <c r="AC1317" s="269">
        <f t="shared" si="282"/>
        <v>25324.679564805931</v>
      </c>
      <c r="AD1317" s="271" t="str">
        <f>INDEX('Global inputs'!$C$134:$C$171,MATCH(F1317,'Global inputs'!$B$134:$B$171,0))</f>
        <v>Asset replacement and renewal</v>
      </c>
      <c r="AE1317" s="272">
        <f>IF(OR(H1317='Operating leases'!$B$32,H1317='Operating leases'!$B$33),"",INDEX('Global inputs'!$C$186:$C$243,MATCH(E1317,'Global inputs'!$B$186:$B$243,0)))</f>
        <v>0.08</v>
      </c>
    </row>
    <row r="1318" spans="1:31" s="27" customFormat="1" x14ac:dyDescent="0.2">
      <c r="A1318" s="250"/>
      <c r="B1318" s="210" t="s">
        <v>742</v>
      </c>
      <c r="C1318" s="210" t="s">
        <v>286</v>
      </c>
      <c r="D1318" s="210" t="s">
        <v>732</v>
      </c>
      <c r="E1318" s="210" t="s">
        <v>138</v>
      </c>
      <c r="F1318" s="210" t="s">
        <v>108</v>
      </c>
      <c r="G1318" s="210" t="s">
        <v>752</v>
      </c>
      <c r="H1318" s="197">
        <v>0</v>
      </c>
      <c r="I1318" s="210" t="s">
        <v>139</v>
      </c>
      <c r="J1318" s="210">
        <v>2024</v>
      </c>
      <c r="K1318" s="210">
        <v>2025</v>
      </c>
      <c r="L1318" s="268" t="str">
        <f t="shared" si="270"/>
        <v>Complex</v>
      </c>
      <c r="M1318" s="197">
        <v>34439.4</v>
      </c>
      <c r="N1318" s="197">
        <v>0</v>
      </c>
      <c r="O1318" s="257">
        <f>IF(ISNA(MATCH(H1318,'Operating leases'!$B$32:$B$43,0)),0,INDEX('Operating leases'!$M$32:$S$43,MATCH(H1318,'Operating leases'!$B$32:$B$43,0),MATCH(J1318,'Operating leases'!$M$11:$S$11,0)))</f>
        <v>0</v>
      </c>
      <c r="P1318" s="257">
        <f t="shared" si="271"/>
        <v>34439.4</v>
      </c>
      <c r="Q1318" s="257">
        <f t="shared" si="272"/>
        <v>34439.4</v>
      </c>
      <c r="R1318" s="258">
        <f>INDEX('Escalators '!$M$124:$S$129,MATCH(I1318,'Escalators '!$B$124:$B$129,0),MATCH(J1318,'Escalators '!$M$113:$S$113,0))</f>
        <v>1.0400802295441569</v>
      </c>
      <c r="S1318" s="257">
        <f t="shared" si="273"/>
        <v>0</v>
      </c>
      <c r="T1318" s="257">
        <f t="shared" si="274"/>
        <v>0</v>
      </c>
      <c r="U1318" s="269">
        <f t="shared" si="275"/>
        <v>35819.73905736304</v>
      </c>
      <c r="V1318" s="269">
        <f t="shared" si="276"/>
        <v>35819.73905736304</v>
      </c>
      <c r="W1318" s="269">
        <f t="shared" si="277"/>
        <v>35819.73905736304</v>
      </c>
      <c r="X1318" s="257">
        <f t="shared" si="278"/>
        <v>35819.73905736304</v>
      </c>
      <c r="Y1318" s="270">
        <f>IF(L1318="Complex",(INDEX('Escalators '!$M$176:$S$176,MATCH('Forecast capex'!J1318,'Escalators '!$M$178:$S$178,0))/12+1)^((K1318-J1318)*12)-1,0)</f>
        <v>3.5566952945970565E-2</v>
      </c>
      <c r="Z1318" s="257">
        <f t="shared" si="279"/>
        <v>1224.9045192874587</v>
      </c>
      <c r="AA1318" s="257">
        <f t="shared" si="280"/>
        <v>1273.9989735901752</v>
      </c>
      <c r="AB1318" s="269">
        <f t="shared" si="281"/>
        <v>37093.738030953216</v>
      </c>
      <c r="AC1318" s="269">
        <f t="shared" si="282"/>
        <v>37093.738030953216</v>
      </c>
      <c r="AD1318" s="271" t="str">
        <f>INDEX('Global inputs'!$C$134:$C$171,MATCH(F1318,'Global inputs'!$B$134:$B$171,0))</f>
        <v>Asset replacement and renewal</v>
      </c>
      <c r="AE1318" s="272">
        <f>IF(OR(H1318='Operating leases'!$B$32,H1318='Operating leases'!$B$33),"",INDEX('Global inputs'!$C$186:$C$243,MATCH(E1318,'Global inputs'!$B$186:$B$243,0)))</f>
        <v>0.08</v>
      </c>
    </row>
    <row r="1319" spans="1:31" s="27" customFormat="1" x14ac:dyDescent="0.2">
      <c r="A1319" s="250"/>
      <c r="B1319" s="210" t="s">
        <v>742</v>
      </c>
      <c r="C1319" s="210" t="s">
        <v>286</v>
      </c>
      <c r="D1319" s="210" t="s">
        <v>732</v>
      </c>
      <c r="E1319" s="210" t="s">
        <v>140</v>
      </c>
      <c r="F1319" s="210" t="s">
        <v>108</v>
      </c>
      <c r="G1319" s="210" t="s">
        <v>733</v>
      </c>
      <c r="H1319" s="197">
        <v>0</v>
      </c>
      <c r="I1319" s="210" t="s">
        <v>221</v>
      </c>
      <c r="J1319" s="210">
        <v>2024</v>
      </c>
      <c r="K1319" s="210">
        <v>2025</v>
      </c>
      <c r="L1319" s="268" t="str">
        <f t="shared" si="270"/>
        <v>Complex</v>
      </c>
      <c r="M1319" s="197">
        <v>164160</v>
      </c>
      <c r="N1319" s="197">
        <v>0</v>
      </c>
      <c r="O1319" s="257">
        <f>IF(ISNA(MATCH(H1319,'Operating leases'!$B$32:$B$43,0)),0,INDEX('Operating leases'!$M$32:$S$43,MATCH(H1319,'Operating leases'!$B$32:$B$43,0),MATCH(J1319,'Operating leases'!$M$11:$S$11,0)))</f>
        <v>0</v>
      </c>
      <c r="P1319" s="257">
        <f t="shared" si="271"/>
        <v>164160</v>
      </c>
      <c r="Q1319" s="257">
        <f t="shared" si="272"/>
        <v>164160</v>
      </c>
      <c r="R1319" s="258">
        <f>INDEX('Escalators '!$M$124:$S$129,MATCH(I1319,'Escalators '!$B$124:$B$129,0),MATCH(J1319,'Escalators '!$M$113:$S$113,0))</f>
        <v>1.06512715891222</v>
      </c>
      <c r="S1319" s="257">
        <f t="shared" si="273"/>
        <v>0</v>
      </c>
      <c r="T1319" s="257">
        <f t="shared" si="274"/>
        <v>0</v>
      </c>
      <c r="U1319" s="269">
        <f t="shared" si="275"/>
        <v>174851.27440703003</v>
      </c>
      <c r="V1319" s="269">
        <f t="shared" si="276"/>
        <v>174851.27440703003</v>
      </c>
      <c r="W1319" s="269">
        <f t="shared" si="277"/>
        <v>174851.27440703003</v>
      </c>
      <c r="X1319" s="257">
        <f t="shared" si="278"/>
        <v>174851.27440703003</v>
      </c>
      <c r="Y1319" s="270">
        <f>IF(L1319="Complex",(INDEX('Escalators '!$M$176:$S$176,MATCH('Forecast capex'!J1319,'Escalators '!$M$178:$S$178,0))/12+1)^((K1319-J1319)*12)-1,0)</f>
        <v>3.5566952945970565E-2</v>
      </c>
      <c r="Z1319" s="257">
        <f t="shared" si="279"/>
        <v>5838.6709956105278</v>
      </c>
      <c r="AA1319" s="257">
        <f t="shared" si="280"/>
        <v>6218.927049377824</v>
      </c>
      <c r="AB1319" s="269">
        <f t="shared" si="281"/>
        <v>181070.20145640784</v>
      </c>
      <c r="AC1319" s="269">
        <f t="shared" si="282"/>
        <v>181070.20145640784</v>
      </c>
      <c r="AD1319" s="271" t="str">
        <f>INDEX('Global inputs'!$C$134:$C$171,MATCH(F1319,'Global inputs'!$B$134:$B$171,0))</f>
        <v>Asset replacement and renewal</v>
      </c>
      <c r="AE1319" s="272">
        <f>IF(OR(H1319='Operating leases'!$B$32,H1319='Operating leases'!$B$33),"",INDEX('Global inputs'!$C$186:$C$243,MATCH(E1319,'Global inputs'!$B$186:$B$243,0)))</f>
        <v>0.08</v>
      </c>
    </row>
    <row r="1320" spans="1:31" s="27" customFormat="1" x14ac:dyDescent="0.2">
      <c r="A1320" s="250"/>
      <c r="B1320" s="210" t="s">
        <v>742</v>
      </c>
      <c r="C1320" s="210" t="s">
        <v>286</v>
      </c>
      <c r="D1320" s="210" t="s">
        <v>732</v>
      </c>
      <c r="E1320" s="210" t="s">
        <v>140</v>
      </c>
      <c r="F1320" s="210" t="s">
        <v>108</v>
      </c>
      <c r="G1320" s="210" t="s">
        <v>733</v>
      </c>
      <c r="H1320" s="197">
        <v>0</v>
      </c>
      <c r="I1320" s="210" t="s">
        <v>142</v>
      </c>
      <c r="J1320" s="210">
        <v>2024</v>
      </c>
      <c r="K1320" s="210">
        <v>2025</v>
      </c>
      <c r="L1320" s="268" t="str">
        <f t="shared" si="270"/>
        <v>Complex</v>
      </c>
      <c r="M1320" s="197">
        <v>246240</v>
      </c>
      <c r="N1320" s="197">
        <v>0</v>
      </c>
      <c r="O1320" s="257">
        <f>IF(ISNA(MATCH(H1320,'Operating leases'!$B$32:$B$43,0)),0,INDEX('Operating leases'!$M$32:$S$43,MATCH(H1320,'Operating leases'!$B$32:$B$43,0),MATCH(J1320,'Operating leases'!$M$11:$S$11,0)))</f>
        <v>0</v>
      </c>
      <c r="P1320" s="257">
        <f t="shared" si="271"/>
        <v>246240</v>
      </c>
      <c r="Q1320" s="257">
        <f t="shared" si="272"/>
        <v>246240</v>
      </c>
      <c r="R1320" s="258">
        <f>INDEX('Escalators '!$M$124:$S$129,MATCH(I1320,'Escalators '!$B$124:$B$129,0),MATCH(J1320,'Escalators '!$M$113:$S$113,0))</f>
        <v>1.06767964286932</v>
      </c>
      <c r="S1320" s="257">
        <f t="shared" si="273"/>
        <v>0</v>
      </c>
      <c r="T1320" s="257">
        <f t="shared" si="274"/>
        <v>0</v>
      </c>
      <c r="U1320" s="269">
        <f t="shared" si="275"/>
        <v>262905.43526014138</v>
      </c>
      <c r="V1320" s="269">
        <f t="shared" si="276"/>
        <v>262905.43526014138</v>
      </c>
      <c r="W1320" s="269">
        <f t="shared" si="277"/>
        <v>262905.43526014138</v>
      </c>
      <c r="X1320" s="257">
        <f t="shared" si="278"/>
        <v>262905.43526014138</v>
      </c>
      <c r="Y1320" s="270">
        <f>IF(L1320="Complex",(INDEX('Escalators '!$M$176:$S$176,MATCH('Forecast capex'!J1320,'Escalators '!$M$178:$S$178,0))/12+1)^((K1320-J1320)*12)-1,0)</f>
        <v>3.5566952945970565E-2</v>
      </c>
      <c r="Z1320" s="257">
        <f t="shared" si="279"/>
        <v>8758.0064934157926</v>
      </c>
      <c r="AA1320" s="257">
        <f t="shared" si="280"/>
        <v>9350.7452451373592</v>
      </c>
      <c r="AB1320" s="269">
        <f t="shared" si="281"/>
        <v>272256.18050527875</v>
      </c>
      <c r="AC1320" s="269">
        <f t="shared" si="282"/>
        <v>272256.18050527875</v>
      </c>
      <c r="AD1320" s="271" t="str">
        <f>INDEX('Global inputs'!$C$134:$C$171,MATCH(F1320,'Global inputs'!$B$134:$B$171,0))</f>
        <v>Asset replacement and renewal</v>
      </c>
      <c r="AE1320" s="272">
        <f>IF(OR(H1320='Operating leases'!$B$32,H1320='Operating leases'!$B$33),"",INDEX('Global inputs'!$C$186:$C$243,MATCH(E1320,'Global inputs'!$B$186:$B$243,0)))</f>
        <v>0.08</v>
      </c>
    </row>
    <row r="1321" spans="1:31" s="27" customFormat="1" x14ac:dyDescent="0.2">
      <c r="A1321" s="250"/>
      <c r="B1321" s="210" t="s">
        <v>742</v>
      </c>
      <c r="C1321" s="210" t="s">
        <v>286</v>
      </c>
      <c r="D1321" s="210" t="s">
        <v>735</v>
      </c>
      <c r="E1321" s="210" t="s">
        <v>147</v>
      </c>
      <c r="F1321" s="210" t="s">
        <v>108</v>
      </c>
      <c r="G1321" s="210" t="s">
        <v>744</v>
      </c>
      <c r="H1321" s="197">
        <v>0</v>
      </c>
      <c r="I1321" s="210" t="s">
        <v>221</v>
      </c>
      <c r="J1321" s="210">
        <v>2024</v>
      </c>
      <c r="K1321" s="210">
        <v>2025</v>
      </c>
      <c r="L1321" s="268" t="str">
        <f t="shared" si="270"/>
        <v>Complex</v>
      </c>
      <c r="M1321" s="197">
        <v>26812.560599999997</v>
      </c>
      <c r="N1321" s="197">
        <v>0</v>
      </c>
      <c r="O1321" s="257">
        <f>IF(ISNA(MATCH(H1321,'Operating leases'!$B$32:$B$43,0)),0,INDEX('Operating leases'!$M$32:$S$43,MATCH(H1321,'Operating leases'!$B$32:$B$43,0),MATCH(J1321,'Operating leases'!$M$11:$S$11,0)))</f>
        <v>0</v>
      </c>
      <c r="P1321" s="257">
        <f t="shared" si="271"/>
        <v>26812.560599999997</v>
      </c>
      <c r="Q1321" s="257">
        <f t="shared" si="272"/>
        <v>26812.560599999997</v>
      </c>
      <c r="R1321" s="258">
        <f>INDEX('Escalators '!$M$124:$S$129,MATCH(I1321,'Escalators '!$B$124:$B$129,0),MATCH(J1321,'Escalators '!$M$113:$S$113,0))</f>
        <v>1.06512715891222</v>
      </c>
      <c r="S1321" s="257">
        <f t="shared" si="273"/>
        <v>0</v>
      </c>
      <c r="T1321" s="257">
        <f t="shared" si="274"/>
        <v>0</v>
      </c>
      <c r="U1321" s="269">
        <f t="shared" si="275"/>
        <v>28558.786495039727</v>
      </c>
      <c r="V1321" s="269">
        <f t="shared" si="276"/>
        <v>28558.786495039727</v>
      </c>
      <c r="W1321" s="269">
        <f t="shared" si="277"/>
        <v>28558.786495039727</v>
      </c>
      <c r="X1321" s="257">
        <f t="shared" si="278"/>
        <v>28558.786495039727</v>
      </c>
      <c r="Y1321" s="270">
        <f>IF(L1321="Complex",(INDEX('Escalators '!$M$176:$S$176,MATCH('Forecast capex'!J1321,'Escalators '!$M$178:$S$178,0))/12+1)^((K1321-J1321)*12)-1,0)</f>
        <v>3.5566952945970565E-2</v>
      </c>
      <c r="Z1321" s="257">
        <f t="shared" si="279"/>
        <v>953.64108122118421</v>
      </c>
      <c r="AA1321" s="257">
        <f t="shared" si="280"/>
        <v>1015.7490154630976</v>
      </c>
      <c r="AB1321" s="269">
        <f t="shared" si="281"/>
        <v>29574.535510502825</v>
      </c>
      <c r="AC1321" s="269">
        <f t="shared" si="282"/>
        <v>29574.535510502825</v>
      </c>
      <c r="AD1321" s="271" t="str">
        <f>INDEX('Global inputs'!$C$134:$C$171,MATCH(F1321,'Global inputs'!$B$134:$B$171,0))</f>
        <v>Asset replacement and renewal</v>
      </c>
      <c r="AE1321" s="272">
        <f>IF(OR(H1321='Operating leases'!$B$32,H1321='Operating leases'!$B$33),"",INDEX('Global inputs'!$C$186:$C$243,MATCH(E1321,'Global inputs'!$B$186:$B$243,0)))</f>
        <v>0.08</v>
      </c>
    </row>
    <row r="1322" spans="1:31" s="27" customFormat="1" x14ac:dyDescent="0.2">
      <c r="A1322" s="250"/>
      <c r="B1322" s="210" t="s">
        <v>742</v>
      </c>
      <c r="C1322" s="210" t="s">
        <v>286</v>
      </c>
      <c r="D1322" s="210" t="s">
        <v>735</v>
      </c>
      <c r="E1322" s="210" t="s">
        <v>147</v>
      </c>
      <c r="F1322" s="210" t="s">
        <v>108</v>
      </c>
      <c r="G1322" s="210" t="s">
        <v>744</v>
      </c>
      <c r="H1322" s="197">
        <v>0</v>
      </c>
      <c r="I1322" s="210" t="s">
        <v>229</v>
      </c>
      <c r="J1322" s="210">
        <v>2024</v>
      </c>
      <c r="K1322" s="210">
        <v>2025</v>
      </c>
      <c r="L1322" s="268" t="str">
        <f t="shared" si="270"/>
        <v>Complex</v>
      </c>
      <c r="M1322" s="197">
        <v>6703.1401499999993</v>
      </c>
      <c r="N1322" s="197">
        <v>0</v>
      </c>
      <c r="O1322" s="257">
        <f>IF(ISNA(MATCH(H1322,'Operating leases'!$B$32:$B$43,0)),0,INDEX('Operating leases'!$M$32:$S$43,MATCH(H1322,'Operating leases'!$B$32:$B$43,0),MATCH(J1322,'Operating leases'!$M$11:$S$11,0)))</f>
        <v>0</v>
      </c>
      <c r="P1322" s="257">
        <f t="shared" si="271"/>
        <v>6703.1401499999993</v>
      </c>
      <c r="Q1322" s="257">
        <f t="shared" si="272"/>
        <v>6703.1401499999993</v>
      </c>
      <c r="R1322" s="258">
        <f>INDEX('Escalators '!$M$124:$S$129,MATCH(I1322,'Escalators '!$B$124:$B$129,0),MATCH(J1322,'Escalators '!$M$113:$S$113,0))</f>
        <v>1.0731681760713303</v>
      </c>
      <c r="S1322" s="257">
        <f t="shared" si="273"/>
        <v>0</v>
      </c>
      <c r="T1322" s="257">
        <f t="shared" si="274"/>
        <v>0</v>
      </c>
      <c r="U1322" s="269">
        <f t="shared" si="275"/>
        <v>7193.5966887260029</v>
      </c>
      <c r="V1322" s="269">
        <f t="shared" si="276"/>
        <v>7193.5966887260029</v>
      </c>
      <c r="W1322" s="269">
        <f t="shared" si="277"/>
        <v>7193.5966887260029</v>
      </c>
      <c r="X1322" s="257">
        <f t="shared" si="278"/>
        <v>7193.5966887260029</v>
      </c>
      <c r="Y1322" s="270">
        <f>IF(L1322="Complex",(INDEX('Escalators '!$M$176:$S$176,MATCH('Forecast capex'!J1322,'Escalators '!$M$178:$S$178,0))/12+1)^((K1322-J1322)*12)-1,0)</f>
        <v>3.5566952945970565E-2</v>
      </c>
      <c r="Z1322" s="257">
        <f t="shared" si="279"/>
        <v>238.41027030529605</v>
      </c>
      <c r="AA1322" s="257">
        <f t="shared" si="280"/>
        <v>255.85431494020742</v>
      </c>
      <c r="AB1322" s="269">
        <f t="shared" si="281"/>
        <v>7449.4510036662105</v>
      </c>
      <c r="AC1322" s="269">
        <f t="shared" si="282"/>
        <v>7449.4510036662105</v>
      </c>
      <c r="AD1322" s="271" t="str">
        <f>INDEX('Global inputs'!$C$134:$C$171,MATCH(F1322,'Global inputs'!$B$134:$B$171,0))</f>
        <v>Asset replacement and renewal</v>
      </c>
      <c r="AE1322" s="272">
        <f>IF(OR(H1322='Operating leases'!$B$32,H1322='Operating leases'!$B$33),"",INDEX('Global inputs'!$C$186:$C$243,MATCH(E1322,'Global inputs'!$B$186:$B$243,0)))</f>
        <v>0.08</v>
      </c>
    </row>
    <row r="1323" spans="1:31" s="27" customFormat="1" x14ac:dyDescent="0.2">
      <c r="A1323" s="250"/>
      <c r="B1323" s="210" t="s">
        <v>742</v>
      </c>
      <c r="C1323" s="210" t="s">
        <v>288</v>
      </c>
      <c r="D1323" s="210" t="s">
        <v>223</v>
      </c>
      <c r="E1323" s="210" t="s">
        <v>156</v>
      </c>
      <c r="F1323" s="210" t="s">
        <v>108</v>
      </c>
      <c r="G1323" s="210" t="s">
        <v>727</v>
      </c>
      <c r="H1323" s="197">
        <v>0</v>
      </c>
      <c r="I1323" s="210" t="s">
        <v>221</v>
      </c>
      <c r="J1323" s="210">
        <v>2024</v>
      </c>
      <c r="K1323" s="210">
        <v>2025</v>
      </c>
      <c r="L1323" s="268" t="str">
        <f t="shared" si="270"/>
        <v>Complex</v>
      </c>
      <c r="M1323" s="197">
        <v>2493.75</v>
      </c>
      <c r="N1323" s="197">
        <v>0</v>
      </c>
      <c r="O1323" s="257">
        <f>IF(ISNA(MATCH(H1323,'Operating leases'!$B$32:$B$43,0)),0,INDEX('Operating leases'!$M$32:$S$43,MATCH(H1323,'Operating leases'!$B$32:$B$43,0),MATCH(J1323,'Operating leases'!$M$11:$S$11,0)))</f>
        <v>0</v>
      </c>
      <c r="P1323" s="257">
        <f t="shared" si="271"/>
        <v>2493.75</v>
      </c>
      <c r="Q1323" s="257">
        <f t="shared" si="272"/>
        <v>2493.75</v>
      </c>
      <c r="R1323" s="258">
        <f>INDEX('Escalators '!$M$124:$S$129,MATCH(I1323,'Escalators '!$B$124:$B$129,0),MATCH(J1323,'Escalators '!$M$113:$S$113,0))</f>
        <v>1.06512715891222</v>
      </c>
      <c r="S1323" s="257">
        <f t="shared" si="273"/>
        <v>0</v>
      </c>
      <c r="T1323" s="257">
        <f t="shared" si="274"/>
        <v>0</v>
      </c>
      <c r="U1323" s="269">
        <f t="shared" si="275"/>
        <v>2656.1608525373485</v>
      </c>
      <c r="V1323" s="269">
        <f t="shared" si="276"/>
        <v>2656.1608525373485</v>
      </c>
      <c r="W1323" s="269">
        <f t="shared" si="277"/>
        <v>2656.1608525373485</v>
      </c>
      <c r="X1323" s="257">
        <f t="shared" si="278"/>
        <v>2656.1608525373485</v>
      </c>
      <c r="Y1323" s="270">
        <f>IF(L1323="Complex",(INDEX('Escalators '!$M$176:$S$176,MATCH('Forecast capex'!J1323,'Escalators '!$M$178:$S$178,0))/12+1)^((K1323-J1323)*12)-1,0)</f>
        <v>3.5566952945970565E-2</v>
      </c>
      <c r="Z1323" s="257">
        <f t="shared" si="279"/>
        <v>88.695088909014089</v>
      </c>
      <c r="AA1323" s="257">
        <f t="shared" si="280"/>
        <v>94.471548059124942</v>
      </c>
      <c r="AB1323" s="269">
        <f t="shared" si="281"/>
        <v>2750.6324005964734</v>
      </c>
      <c r="AC1323" s="269">
        <f t="shared" si="282"/>
        <v>2750.6324005964734</v>
      </c>
      <c r="AD1323" s="271" t="str">
        <f>INDEX('Global inputs'!$C$134:$C$171,MATCH(F1323,'Global inputs'!$B$134:$B$171,0))</f>
        <v>Asset replacement and renewal</v>
      </c>
      <c r="AE1323" s="272">
        <f>IF(OR(H1323='Operating leases'!$B$32,H1323='Operating leases'!$B$33),"",INDEX('Global inputs'!$C$186:$C$243,MATCH(E1323,'Global inputs'!$B$186:$B$243,0)))</f>
        <v>0.08</v>
      </c>
    </row>
    <row r="1324" spans="1:31" s="27" customFormat="1" x14ac:dyDescent="0.2">
      <c r="A1324" s="250"/>
      <c r="B1324" s="210" t="s">
        <v>742</v>
      </c>
      <c r="C1324" s="210" t="s">
        <v>288</v>
      </c>
      <c r="D1324" s="210" t="s">
        <v>223</v>
      </c>
      <c r="E1324" s="210" t="s">
        <v>156</v>
      </c>
      <c r="F1324" s="210" t="s">
        <v>108</v>
      </c>
      <c r="G1324" s="210" t="s">
        <v>727</v>
      </c>
      <c r="H1324" s="197">
        <v>0</v>
      </c>
      <c r="I1324" s="210" t="s">
        <v>223</v>
      </c>
      <c r="J1324" s="210">
        <v>2024</v>
      </c>
      <c r="K1324" s="210">
        <v>2025</v>
      </c>
      <c r="L1324" s="268" t="str">
        <f t="shared" si="270"/>
        <v>Complex</v>
      </c>
      <c r="M1324" s="197">
        <v>1068.75</v>
      </c>
      <c r="N1324" s="197">
        <v>0</v>
      </c>
      <c r="O1324" s="257">
        <f>IF(ISNA(MATCH(H1324,'Operating leases'!$B$32:$B$43,0)),0,INDEX('Operating leases'!$M$32:$S$43,MATCH(H1324,'Operating leases'!$B$32:$B$43,0),MATCH(J1324,'Operating leases'!$M$11:$S$11,0)))</f>
        <v>0</v>
      </c>
      <c r="P1324" s="257">
        <f t="shared" si="271"/>
        <v>1068.75</v>
      </c>
      <c r="Q1324" s="257">
        <f t="shared" si="272"/>
        <v>1068.75</v>
      </c>
      <c r="R1324" s="258">
        <f>INDEX('Escalators '!$M$124:$S$129,MATCH(I1324,'Escalators '!$B$124:$B$129,0),MATCH(J1324,'Escalators '!$M$113:$S$113,0))</f>
        <v>1.0992204162588337</v>
      </c>
      <c r="S1324" s="257">
        <f t="shared" si="273"/>
        <v>0</v>
      </c>
      <c r="T1324" s="257">
        <f t="shared" si="274"/>
        <v>0</v>
      </c>
      <c r="U1324" s="269">
        <f t="shared" si="275"/>
        <v>1174.7918198766286</v>
      </c>
      <c r="V1324" s="269">
        <f t="shared" si="276"/>
        <v>1174.7918198766286</v>
      </c>
      <c r="W1324" s="269">
        <f t="shared" si="277"/>
        <v>1174.7918198766286</v>
      </c>
      <c r="X1324" s="257">
        <f t="shared" si="278"/>
        <v>1174.7918198766286</v>
      </c>
      <c r="Y1324" s="270">
        <f>IF(L1324="Complex",(INDEX('Escalators '!$M$176:$S$176,MATCH('Forecast capex'!J1324,'Escalators '!$M$178:$S$178,0))/12+1)^((K1324-J1324)*12)-1,0)</f>
        <v>3.5566952945970565E-2</v>
      </c>
      <c r="Z1324" s="257">
        <f t="shared" si="279"/>
        <v>38.012180961006038</v>
      </c>
      <c r="AA1324" s="257">
        <f t="shared" si="280"/>
        <v>41.783765378863173</v>
      </c>
      <c r="AB1324" s="269">
        <f t="shared" si="281"/>
        <v>1216.5755852554917</v>
      </c>
      <c r="AC1324" s="269">
        <f t="shared" si="282"/>
        <v>1216.5755852554917</v>
      </c>
      <c r="AD1324" s="271" t="str">
        <f>INDEX('Global inputs'!$C$134:$C$171,MATCH(F1324,'Global inputs'!$B$134:$B$171,0))</f>
        <v>Asset replacement and renewal</v>
      </c>
      <c r="AE1324" s="272">
        <f>IF(OR(H1324='Operating leases'!$B$32,H1324='Operating leases'!$B$33),"",INDEX('Global inputs'!$C$186:$C$243,MATCH(E1324,'Global inputs'!$B$186:$B$243,0)))</f>
        <v>0.08</v>
      </c>
    </row>
    <row r="1325" spans="1:31" s="27" customFormat="1" x14ac:dyDescent="0.2">
      <c r="A1325" s="250"/>
      <c r="B1325" s="210" t="s">
        <v>742</v>
      </c>
      <c r="C1325" s="210" t="s">
        <v>290</v>
      </c>
      <c r="D1325" s="210" t="s">
        <v>718</v>
      </c>
      <c r="E1325" s="210" t="s">
        <v>173</v>
      </c>
      <c r="F1325" s="210" t="s">
        <v>108</v>
      </c>
      <c r="G1325" s="210" t="s">
        <v>719</v>
      </c>
      <c r="H1325" s="197">
        <v>0</v>
      </c>
      <c r="I1325" s="210" t="s">
        <v>221</v>
      </c>
      <c r="J1325" s="210">
        <v>2024</v>
      </c>
      <c r="K1325" s="210">
        <v>2025</v>
      </c>
      <c r="L1325" s="268" t="str">
        <f t="shared" si="270"/>
        <v>Complex</v>
      </c>
      <c r="M1325" s="197">
        <v>8550</v>
      </c>
      <c r="N1325" s="197">
        <v>0</v>
      </c>
      <c r="O1325" s="257">
        <f>IF(ISNA(MATCH(H1325,'Operating leases'!$B$32:$B$43,0)),0,INDEX('Operating leases'!$M$32:$S$43,MATCH(H1325,'Operating leases'!$B$32:$B$43,0),MATCH(J1325,'Operating leases'!$M$11:$S$11,0)))</f>
        <v>0</v>
      </c>
      <c r="P1325" s="257">
        <f t="shared" si="271"/>
        <v>8550</v>
      </c>
      <c r="Q1325" s="257">
        <f t="shared" si="272"/>
        <v>8550</v>
      </c>
      <c r="R1325" s="258">
        <f>INDEX('Escalators '!$M$124:$S$129,MATCH(I1325,'Escalators '!$B$124:$B$129,0),MATCH(J1325,'Escalators '!$M$113:$S$113,0))</f>
        <v>1.06512715891222</v>
      </c>
      <c r="S1325" s="257">
        <f t="shared" si="273"/>
        <v>0</v>
      </c>
      <c r="T1325" s="257">
        <f t="shared" si="274"/>
        <v>0</v>
      </c>
      <c r="U1325" s="269">
        <f t="shared" si="275"/>
        <v>9106.8372086994805</v>
      </c>
      <c r="V1325" s="269">
        <f t="shared" si="276"/>
        <v>9106.8372086994805</v>
      </c>
      <c r="W1325" s="269">
        <f t="shared" si="277"/>
        <v>9106.8372086994805</v>
      </c>
      <c r="X1325" s="257">
        <f t="shared" si="278"/>
        <v>9106.8372086994805</v>
      </c>
      <c r="Y1325" s="270">
        <f>IF(L1325="Complex",(INDEX('Escalators '!$M$176:$S$176,MATCH('Forecast capex'!J1325,'Escalators '!$M$178:$S$178,0))/12+1)^((K1325-J1325)*12)-1,0)</f>
        <v>3.5566952945970565E-2</v>
      </c>
      <c r="Z1325" s="257">
        <f t="shared" si="279"/>
        <v>304.09744768804831</v>
      </c>
      <c r="AA1325" s="257">
        <f t="shared" si="280"/>
        <v>323.90245048842831</v>
      </c>
      <c r="AB1325" s="269">
        <f t="shared" si="281"/>
        <v>9430.7396591879096</v>
      </c>
      <c r="AC1325" s="269">
        <f t="shared" si="282"/>
        <v>9430.7396591879096</v>
      </c>
      <c r="AD1325" s="271" t="str">
        <f>INDEX('Global inputs'!$C$134:$C$171,MATCH(F1325,'Global inputs'!$B$134:$B$171,0))</f>
        <v>Asset replacement and renewal</v>
      </c>
      <c r="AE1325" s="272">
        <f>IF(OR(H1325='Operating leases'!$B$32,H1325='Operating leases'!$B$33),"",INDEX('Global inputs'!$C$186:$C$243,MATCH(E1325,'Global inputs'!$B$186:$B$243,0)))</f>
        <v>0.08</v>
      </c>
    </row>
    <row r="1326" spans="1:31" s="27" customFormat="1" x14ac:dyDescent="0.2">
      <c r="A1326" s="250"/>
      <c r="B1326" s="210" t="s">
        <v>742</v>
      </c>
      <c r="C1326" s="210" t="s">
        <v>290</v>
      </c>
      <c r="D1326" s="210" t="s">
        <v>718</v>
      </c>
      <c r="E1326" s="210" t="s">
        <v>173</v>
      </c>
      <c r="F1326" s="210" t="s">
        <v>108</v>
      </c>
      <c r="G1326" s="210" t="s">
        <v>719</v>
      </c>
      <c r="H1326" s="197">
        <v>0</v>
      </c>
      <c r="I1326" s="210" t="s">
        <v>142</v>
      </c>
      <c r="J1326" s="210">
        <v>2024</v>
      </c>
      <c r="K1326" s="210">
        <v>2025</v>
      </c>
      <c r="L1326" s="268" t="str">
        <f t="shared" si="270"/>
        <v>Complex</v>
      </c>
      <c r="M1326" s="197">
        <v>34200</v>
      </c>
      <c r="N1326" s="197">
        <v>0</v>
      </c>
      <c r="O1326" s="257">
        <f>IF(ISNA(MATCH(H1326,'Operating leases'!$B$32:$B$43,0)),0,INDEX('Operating leases'!$M$32:$S$43,MATCH(H1326,'Operating leases'!$B$32:$B$43,0),MATCH(J1326,'Operating leases'!$M$11:$S$11,0)))</f>
        <v>0</v>
      </c>
      <c r="P1326" s="257">
        <f t="shared" si="271"/>
        <v>34200</v>
      </c>
      <c r="Q1326" s="257">
        <f t="shared" si="272"/>
        <v>34200</v>
      </c>
      <c r="R1326" s="258">
        <f>INDEX('Escalators '!$M$124:$S$129,MATCH(I1326,'Escalators '!$B$124:$B$129,0),MATCH(J1326,'Escalators '!$M$113:$S$113,0))</f>
        <v>1.06767964286932</v>
      </c>
      <c r="S1326" s="257">
        <f t="shared" si="273"/>
        <v>0</v>
      </c>
      <c r="T1326" s="257">
        <f t="shared" si="274"/>
        <v>0</v>
      </c>
      <c r="U1326" s="269">
        <f t="shared" si="275"/>
        <v>36514.643786130742</v>
      </c>
      <c r="V1326" s="269">
        <f t="shared" si="276"/>
        <v>36514.643786130742</v>
      </c>
      <c r="W1326" s="269">
        <f t="shared" si="277"/>
        <v>36514.643786130742</v>
      </c>
      <c r="X1326" s="257">
        <f t="shared" si="278"/>
        <v>36514.643786130742</v>
      </c>
      <c r="Y1326" s="270">
        <f>IF(L1326="Complex",(INDEX('Escalators '!$M$176:$S$176,MATCH('Forecast capex'!J1326,'Escalators '!$M$178:$S$178,0))/12+1)^((K1326-J1326)*12)-1,0)</f>
        <v>3.5566952945970565E-2</v>
      </c>
      <c r="Z1326" s="257">
        <f t="shared" si="279"/>
        <v>1216.3897907521932</v>
      </c>
      <c r="AA1326" s="257">
        <f t="shared" si="280"/>
        <v>1298.7146173801887</v>
      </c>
      <c r="AB1326" s="269">
        <f t="shared" si="281"/>
        <v>37813.358403510931</v>
      </c>
      <c r="AC1326" s="269">
        <f t="shared" si="282"/>
        <v>37813.358403510931</v>
      </c>
      <c r="AD1326" s="271" t="str">
        <f>INDEX('Global inputs'!$C$134:$C$171,MATCH(F1326,'Global inputs'!$B$134:$B$171,0))</f>
        <v>Asset replacement and renewal</v>
      </c>
      <c r="AE1326" s="272">
        <f>IF(OR(H1326='Operating leases'!$B$32,H1326='Operating leases'!$B$33),"",INDEX('Global inputs'!$C$186:$C$243,MATCH(E1326,'Global inputs'!$B$186:$B$243,0)))</f>
        <v>0.08</v>
      </c>
    </row>
    <row r="1327" spans="1:31" s="27" customFormat="1" x14ac:dyDescent="0.2">
      <c r="A1327" s="250"/>
      <c r="B1327" s="210" t="s">
        <v>742</v>
      </c>
      <c r="C1327" s="210" t="s">
        <v>289</v>
      </c>
      <c r="D1327" s="210" t="s">
        <v>723</v>
      </c>
      <c r="E1327" s="210" t="s">
        <v>164</v>
      </c>
      <c r="F1327" s="210" t="s">
        <v>108</v>
      </c>
      <c r="G1327" s="210" t="s">
        <v>724</v>
      </c>
      <c r="H1327" s="197">
        <v>0</v>
      </c>
      <c r="I1327" s="210" t="s">
        <v>221</v>
      </c>
      <c r="J1327" s="210">
        <v>2024</v>
      </c>
      <c r="K1327" s="210">
        <v>2025</v>
      </c>
      <c r="L1327" s="268" t="str">
        <f t="shared" si="270"/>
        <v>Complex</v>
      </c>
      <c r="M1327" s="197">
        <v>5198.3999999999996</v>
      </c>
      <c r="N1327" s="197">
        <v>0</v>
      </c>
      <c r="O1327" s="257">
        <f>IF(ISNA(MATCH(H1327,'Operating leases'!$B$32:$B$43,0)),0,INDEX('Operating leases'!$M$32:$S$43,MATCH(H1327,'Operating leases'!$B$32:$B$43,0),MATCH(J1327,'Operating leases'!$M$11:$S$11,0)))</f>
        <v>0</v>
      </c>
      <c r="P1327" s="257">
        <f t="shared" si="271"/>
        <v>5198.3999999999996</v>
      </c>
      <c r="Q1327" s="257">
        <f t="shared" si="272"/>
        <v>5198.3999999999996</v>
      </c>
      <c r="R1327" s="258">
        <f>INDEX('Escalators '!$M$124:$S$129,MATCH(I1327,'Escalators '!$B$124:$B$129,0),MATCH(J1327,'Escalators '!$M$113:$S$113,0))</f>
        <v>1.06512715891222</v>
      </c>
      <c r="S1327" s="257">
        <f t="shared" si="273"/>
        <v>0</v>
      </c>
      <c r="T1327" s="257">
        <f t="shared" si="274"/>
        <v>0</v>
      </c>
      <c r="U1327" s="269">
        <f t="shared" si="275"/>
        <v>5536.9570228892844</v>
      </c>
      <c r="V1327" s="269">
        <f t="shared" si="276"/>
        <v>5536.9570228892844</v>
      </c>
      <c r="W1327" s="269">
        <f t="shared" si="277"/>
        <v>5536.9570228892844</v>
      </c>
      <c r="X1327" s="257">
        <f t="shared" si="278"/>
        <v>5536.9570228892844</v>
      </c>
      <c r="Y1327" s="270">
        <f>IF(L1327="Complex",(INDEX('Escalators '!$M$176:$S$176,MATCH('Forecast capex'!J1327,'Escalators '!$M$178:$S$178,0))/12+1)^((K1327-J1327)*12)-1,0)</f>
        <v>3.5566952945970565E-2</v>
      </c>
      <c r="Z1327" s="257">
        <f t="shared" si="279"/>
        <v>184.89124819433337</v>
      </c>
      <c r="AA1327" s="257">
        <f t="shared" si="280"/>
        <v>196.93268989696443</v>
      </c>
      <c r="AB1327" s="269">
        <f t="shared" si="281"/>
        <v>5733.8897127862492</v>
      </c>
      <c r="AC1327" s="269">
        <f t="shared" si="282"/>
        <v>5733.8897127862492</v>
      </c>
      <c r="AD1327" s="271" t="str">
        <f>INDEX('Global inputs'!$C$134:$C$171,MATCH(F1327,'Global inputs'!$B$134:$B$171,0))</f>
        <v>Asset replacement and renewal</v>
      </c>
      <c r="AE1327" s="272">
        <f>IF(OR(H1327='Operating leases'!$B$32,H1327='Operating leases'!$B$33),"",INDEX('Global inputs'!$C$186:$C$243,MATCH(E1327,'Global inputs'!$B$186:$B$243,0)))</f>
        <v>0.08</v>
      </c>
    </row>
    <row r="1328" spans="1:31" s="27" customFormat="1" x14ac:dyDescent="0.2">
      <c r="A1328" s="250"/>
      <c r="B1328" s="210" t="s">
        <v>742</v>
      </c>
      <c r="C1328" s="210" t="s">
        <v>289</v>
      </c>
      <c r="D1328" s="210" t="s">
        <v>723</v>
      </c>
      <c r="E1328" s="210" t="s">
        <v>164</v>
      </c>
      <c r="F1328" s="210" t="s">
        <v>108</v>
      </c>
      <c r="G1328" s="210" t="s">
        <v>724</v>
      </c>
      <c r="H1328" s="197">
        <v>0</v>
      </c>
      <c r="I1328" s="210" t="s">
        <v>139</v>
      </c>
      <c r="J1328" s="210">
        <v>2024</v>
      </c>
      <c r="K1328" s="210">
        <v>2025</v>
      </c>
      <c r="L1328" s="268" t="str">
        <f t="shared" si="270"/>
        <v>Complex</v>
      </c>
      <c r="M1328" s="197">
        <v>20793.599999999999</v>
      </c>
      <c r="N1328" s="197">
        <v>0</v>
      </c>
      <c r="O1328" s="257">
        <f>IF(ISNA(MATCH(H1328,'Operating leases'!$B$32:$B$43,0)),0,INDEX('Operating leases'!$M$32:$S$43,MATCH(H1328,'Operating leases'!$B$32:$B$43,0),MATCH(J1328,'Operating leases'!$M$11:$S$11,0)))</f>
        <v>0</v>
      </c>
      <c r="P1328" s="257">
        <f t="shared" si="271"/>
        <v>20793.599999999999</v>
      </c>
      <c r="Q1328" s="257">
        <f t="shared" si="272"/>
        <v>20793.599999999999</v>
      </c>
      <c r="R1328" s="258">
        <f>INDEX('Escalators '!$M$124:$S$129,MATCH(I1328,'Escalators '!$B$124:$B$129,0),MATCH(J1328,'Escalators '!$M$113:$S$113,0))</f>
        <v>1.0400802295441569</v>
      </c>
      <c r="S1328" s="257">
        <f t="shared" si="273"/>
        <v>0</v>
      </c>
      <c r="T1328" s="257">
        <f t="shared" si="274"/>
        <v>0</v>
      </c>
      <c r="U1328" s="269">
        <f t="shared" si="275"/>
        <v>21627.012261049378</v>
      </c>
      <c r="V1328" s="269">
        <f t="shared" si="276"/>
        <v>21627.012261049378</v>
      </c>
      <c r="W1328" s="269">
        <f t="shared" si="277"/>
        <v>21627.012261049378</v>
      </c>
      <c r="X1328" s="257">
        <f t="shared" si="278"/>
        <v>21627.012261049378</v>
      </c>
      <c r="Y1328" s="270">
        <f>IF(L1328="Complex",(INDEX('Escalators '!$M$176:$S$176,MATCH('Forecast capex'!J1328,'Escalators '!$M$178:$S$178,0))/12+1)^((K1328-J1328)*12)-1,0)</f>
        <v>3.5566952945970565E-2</v>
      </c>
      <c r="Z1328" s="257">
        <f t="shared" si="279"/>
        <v>739.56499277733349</v>
      </c>
      <c r="AA1328" s="257">
        <f t="shared" si="280"/>
        <v>769.20692745067174</v>
      </c>
      <c r="AB1328" s="269">
        <f t="shared" si="281"/>
        <v>22396.21918850005</v>
      </c>
      <c r="AC1328" s="269">
        <f t="shared" si="282"/>
        <v>22396.21918850005</v>
      </c>
      <c r="AD1328" s="271" t="str">
        <f>INDEX('Global inputs'!$C$134:$C$171,MATCH(F1328,'Global inputs'!$B$134:$B$171,0))</f>
        <v>Asset replacement and renewal</v>
      </c>
      <c r="AE1328" s="272">
        <f>IF(OR(H1328='Operating leases'!$B$32,H1328='Operating leases'!$B$33),"",INDEX('Global inputs'!$C$186:$C$243,MATCH(E1328,'Global inputs'!$B$186:$B$243,0)))</f>
        <v>0.08</v>
      </c>
    </row>
    <row r="1329" spans="1:31" s="27" customFormat="1" x14ac:dyDescent="0.2">
      <c r="A1329" s="250"/>
      <c r="B1329" s="210" t="s">
        <v>742</v>
      </c>
      <c r="C1329" s="210" t="s">
        <v>291</v>
      </c>
      <c r="D1329" s="210" t="s">
        <v>735</v>
      </c>
      <c r="E1329" s="210" t="s">
        <v>175</v>
      </c>
      <c r="F1329" s="210" t="s">
        <v>108</v>
      </c>
      <c r="G1329" s="210" t="s">
        <v>748</v>
      </c>
      <c r="H1329" s="197">
        <v>0</v>
      </c>
      <c r="I1329" s="210" t="s">
        <v>221</v>
      </c>
      <c r="J1329" s="210">
        <v>2024</v>
      </c>
      <c r="K1329" s="210">
        <v>2025</v>
      </c>
      <c r="L1329" s="268" t="str">
        <f t="shared" si="270"/>
        <v>Complex</v>
      </c>
      <c r="M1329" s="197">
        <v>33516</v>
      </c>
      <c r="N1329" s="197">
        <v>0</v>
      </c>
      <c r="O1329" s="257">
        <f>IF(ISNA(MATCH(H1329,'Operating leases'!$B$32:$B$43,0)),0,INDEX('Operating leases'!$M$32:$S$43,MATCH(H1329,'Operating leases'!$B$32:$B$43,0),MATCH(J1329,'Operating leases'!$M$11:$S$11,0)))</f>
        <v>0</v>
      </c>
      <c r="P1329" s="257">
        <f t="shared" si="271"/>
        <v>33516</v>
      </c>
      <c r="Q1329" s="257">
        <f t="shared" si="272"/>
        <v>33516</v>
      </c>
      <c r="R1329" s="258">
        <f>INDEX('Escalators '!$M$124:$S$129,MATCH(I1329,'Escalators '!$B$124:$B$129,0),MATCH(J1329,'Escalators '!$M$113:$S$113,0))</f>
        <v>1.06512715891222</v>
      </c>
      <c r="S1329" s="257">
        <f t="shared" si="273"/>
        <v>0</v>
      </c>
      <c r="T1329" s="257">
        <f t="shared" si="274"/>
        <v>0</v>
      </c>
      <c r="U1329" s="269">
        <f t="shared" si="275"/>
        <v>35698.801858101964</v>
      </c>
      <c r="V1329" s="269">
        <f t="shared" si="276"/>
        <v>35698.801858101964</v>
      </c>
      <c r="W1329" s="269">
        <f t="shared" si="277"/>
        <v>35698.801858101964</v>
      </c>
      <c r="X1329" s="257">
        <f t="shared" si="278"/>
        <v>35698.801858101964</v>
      </c>
      <c r="Y1329" s="270">
        <f>IF(L1329="Complex",(INDEX('Escalators '!$M$176:$S$176,MATCH('Forecast capex'!J1329,'Escalators '!$M$178:$S$178,0))/12+1)^((K1329-J1329)*12)-1,0)</f>
        <v>3.5566952945970565E-2</v>
      </c>
      <c r="Z1329" s="257">
        <f t="shared" si="279"/>
        <v>1192.0619949371494</v>
      </c>
      <c r="AA1329" s="257">
        <f t="shared" si="280"/>
        <v>1269.6976059146391</v>
      </c>
      <c r="AB1329" s="269">
        <f t="shared" si="281"/>
        <v>36968.499464016604</v>
      </c>
      <c r="AC1329" s="269">
        <f t="shared" si="282"/>
        <v>36968.499464016604</v>
      </c>
      <c r="AD1329" s="271" t="str">
        <f>INDEX('Global inputs'!$C$134:$C$171,MATCH(F1329,'Global inputs'!$B$134:$B$171,0))</f>
        <v>Asset replacement and renewal</v>
      </c>
      <c r="AE1329" s="272">
        <f>IF(OR(H1329='Operating leases'!$B$32,H1329='Operating leases'!$B$33),"",INDEX('Global inputs'!$C$186:$C$243,MATCH(E1329,'Global inputs'!$B$186:$B$243,0)))</f>
        <v>0.1</v>
      </c>
    </row>
    <row r="1330" spans="1:31" s="27" customFormat="1" x14ac:dyDescent="0.2">
      <c r="A1330" s="250"/>
      <c r="B1330" s="210" t="s">
        <v>742</v>
      </c>
      <c r="C1330" s="210" t="s">
        <v>291</v>
      </c>
      <c r="D1330" s="210" t="s">
        <v>735</v>
      </c>
      <c r="E1330" s="210" t="s">
        <v>175</v>
      </c>
      <c r="F1330" s="210" t="s">
        <v>108</v>
      </c>
      <c r="G1330" s="210" t="s">
        <v>748</v>
      </c>
      <c r="H1330" s="197">
        <v>0</v>
      </c>
      <c r="I1330" s="210" t="s">
        <v>229</v>
      </c>
      <c r="J1330" s="210">
        <v>2024</v>
      </c>
      <c r="K1330" s="210">
        <v>2025</v>
      </c>
      <c r="L1330" s="268" t="str">
        <f t="shared" si="270"/>
        <v>Complex</v>
      </c>
      <c r="M1330" s="197">
        <v>8379</v>
      </c>
      <c r="N1330" s="197">
        <v>0</v>
      </c>
      <c r="O1330" s="257">
        <f>IF(ISNA(MATCH(H1330,'Operating leases'!$B$32:$B$43,0)),0,INDEX('Operating leases'!$M$32:$S$43,MATCH(H1330,'Operating leases'!$B$32:$B$43,0),MATCH(J1330,'Operating leases'!$M$11:$S$11,0)))</f>
        <v>0</v>
      </c>
      <c r="P1330" s="257">
        <f t="shared" si="271"/>
        <v>8379</v>
      </c>
      <c r="Q1330" s="257">
        <f t="shared" si="272"/>
        <v>8379</v>
      </c>
      <c r="R1330" s="258">
        <f>INDEX('Escalators '!$M$124:$S$129,MATCH(I1330,'Escalators '!$B$124:$B$129,0),MATCH(J1330,'Escalators '!$M$113:$S$113,0))</f>
        <v>1.0731681760713303</v>
      </c>
      <c r="S1330" s="257">
        <f t="shared" si="273"/>
        <v>0</v>
      </c>
      <c r="T1330" s="257">
        <f t="shared" si="274"/>
        <v>0</v>
      </c>
      <c r="U1330" s="269">
        <f t="shared" si="275"/>
        <v>8992.0761473016773</v>
      </c>
      <c r="V1330" s="269">
        <f t="shared" si="276"/>
        <v>8992.0761473016773</v>
      </c>
      <c r="W1330" s="269">
        <f t="shared" si="277"/>
        <v>8992.0761473016773</v>
      </c>
      <c r="X1330" s="257">
        <f t="shared" si="278"/>
        <v>8992.0761473016773</v>
      </c>
      <c r="Y1330" s="270">
        <f>IF(L1330="Complex",(INDEX('Escalators '!$M$176:$S$176,MATCH('Forecast capex'!J1330,'Escalators '!$M$178:$S$178,0))/12+1)^((K1330-J1330)*12)-1,0)</f>
        <v>3.5566952945970565E-2</v>
      </c>
      <c r="Z1330" s="257">
        <f t="shared" si="279"/>
        <v>298.01549873428735</v>
      </c>
      <c r="AA1330" s="257">
        <f t="shared" si="280"/>
        <v>319.82074921766304</v>
      </c>
      <c r="AB1330" s="269">
        <f t="shared" si="281"/>
        <v>9311.8968965193399</v>
      </c>
      <c r="AC1330" s="269">
        <f t="shared" si="282"/>
        <v>9311.8968965193399</v>
      </c>
      <c r="AD1330" s="271" t="str">
        <f>INDEX('Global inputs'!$C$134:$C$171,MATCH(F1330,'Global inputs'!$B$134:$B$171,0))</f>
        <v>Asset replacement and renewal</v>
      </c>
      <c r="AE1330" s="272">
        <f>IF(OR(H1330='Operating leases'!$B$32,H1330='Operating leases'!$B$33),"",INDEX('Global inputs'!$C$186:$C$243,MATCH(E1330,'Global inputs'!$B$186:$B$243,0)))</f>
        <v>0.1</v>
      </c>
    </row>
    <row r="1331" spans="1:31" s="27" customFormat="1" x14ac:dyDescent="0.2">
      <c r="A1331" s="250"/>
      <c r="B1331" s="210" t="s">
        <v>742</v>
      </c>
      <c r="C1331" s="210" t="s">
        <v>286</v>
      </c>
      <c r="D1331" s="210" t="s">
        <v>732</v>
      </c>
      <c r="E1331" s="210" t="s">
        <v>136</v>
      </c>
      <c r="F1331" s="210" t="s">
        <v>108</v>
      </c>
      <c r="G1331" s="210" t="s">
        <v>751</v>
      </c>
      <c r="H1331" s="197">
        <v>0</v>
      </c>
      <c r="I1331" s="210" t="s">
        <v>221</v>
      </c>
      <c r="J1331" s="210">
        <v>2024</v>
      </c>
      <c r="K1331" s="210">
        <v>2025</v>
      </c>
      <c r="L1331" s="268" t="str">
        <f t="shared" si="270"/>
        <v>Complex</v>
      </c>
      <c r="M1331" s="197">
        <v>229282.5</v>
      </c>
      <c r="N1331" s="197">
        <v>0</v>
      </c>
      <c r="O1331" s="257">
        <f>IF(ISNA(MATCH(H1331,'Operating leases'!$B$32:$B$43,0)),0,INDEX('Operating leases'!$M$32:$S$43,MATCH(H1331,'Operating leases'!$B$32:$B$43,0),MATCH(J1331,'Operating leases'!$M$11:$S$11,0)))</f>
        <v>0</v>
      </c>
      <c r="P1331" s="257">
        <f t="shared" si="271"/>
        <v>229282.5</v>
      </c>
      <c r="Q1331" s="257">
        <f t="shared" si="272"/>
        <v>229282.5</v>
      </c>
      <c r="R1331" s="258">
        <f>INDEX('Escalators '!$M$124:$S$129,MATCH(I1331,'Escalators '!$B$124:$B$129,0),MATCH(J1331,'Escalators '!$M$113:$S$113,0))</f>
        <v>1.06512715891222</v>
      </c>
      <c r="S1331" s="257">
        <f t="shared" si="273"/>
        <v>0</v>
      </c>
      <c r="T1331" s="257">
        <f t="shared" si="274"/>
        <v>0</v>
      </c>
      <c r="U1331" s="269">
        <f t="shared" si="275"/>
        <v>244215.01781329108</v>
      </c>
      <c r="V1331" s="269">
        <f t="shared" si="276"/>
        <v>244215.01781329108</v>
      </c>
      <c r="W1331" s="269">
        <f t="shared" si="277"/>
        <v>244215.01781329108</v>
      </c>
      <c r="X1331" s="257">
        <f t="shared" si="278"/>
        <v>244215.01781329108</v>
      </c>
      <c r="Y1331" s="270">
        <f>IF(L1331="Complex",(INDEX('Escalators '!$M$176:$S$176,MATCH('Forecast capex'!J1331,'Escalators '!$M$178:$S$178,0))/12+1)^((K1331-J1331)*12)-1,0)</f>
        <v>3.5566952945970565E-2</v>
      </c>
      <c r="Z1331" s="257">
        <f t="shared" si="279"/>
        <v>8154.8798888344963</v>
      </c>
      <c r="AA1331" s="257">
        <f t="shared" si="280"/>
        <v>8685.9840472646865</v>
      </c>
      <c r="AB1331" s="269">
        <f t="shared" si="281"/>
        <v>252901.00186055576</v>
      </c>
      <c r="AC1331" s="269">
        <f t="shared" si="282"/>
        <v>252901.00186055576</v>
      </c>
      <c r="AD1331" s="271" t="str">
        <f>INDEX('Global inputs'!$C$134:$C$171,MATCH(F1331,'Global inputs'!$B$134:$B$171,0))</f>
        <v>Asset replacement and renewal</v>
      </c>
      <c r="AE1331" s="272">
        <f>IF(OR(H1331='Operating leases'!$B$32,H1331='Operating leases'!$B$33),"",INDEX('Global inputs'!$C$186:$C$243,MATCH(E1331,'Global inputs'!$B$186:$B$243,0)))</f>
        <v>0</v>
      </c>
    </row>
    <row r="1332" spans="1:31" s="27" customFormat="1" x14ac:dyDescent="0.2">
      <c r="A1332" s="250"/>
      <c r="B1332" s="210" t="s">
        <v>742</v>
      </c>
      <c r="C1332" s="210" t="s">
        <v>286</v>
      </c>
      <c r="D1332" s="210" t="s">
        <v>732</v>
      </c>
      <c r="E1332" s="210" t="s">
        <v>136</v>
      </c>
      <c r="F1332" s="210" t="s">
        <v>108</v>
      </c>
      <c r="G1332" s="210" t="s">
        <v>751</v>
      </c>
      <c r="H1332" s="197">
        <v>0</v>
      </c>
      <c r="I1332" s="210" t="s">
        <v>229</v>
      </c>
      <c r="J1332" s="210">
        <v>2024</v>
      </c>
      <c r="K1332" s="210">
        <v>2025</v>
      </c>
      <c r="L1332" s="268" t="str">
        <f t="shared" si="270"/>
        <v>Complex</v>
      </c>
      <c r="M1332" s="197">
        <v>229282.5</v>
      </c>
      <c r="N1332" s="197">
        <v>0</v>
      </c>
      <c r="O1332" s="257">
        <f>IF(ISNA(MATCH(H1332,'Operating leases'!$B$32:$B$43,0)),0,INDEX('Operating leases'!$M$32:$S$43,MATCH(H1332,'Operating leases'!$B$32:$B$43,0),MATCH(J1332,'Operating leases'!$M$11:$S$11,0)))</f>
        <v>0</v>
      </c>
      <c r="P1332" s="257">
        <f t="shared" si="271"/>
        <v>229282.5</v>
      </c>
      <c r="Q1332" s="257">
        <f t="shared" si="272"/>
        <v>229282.5</v>
      </c>
      <c r="R1332" s="258">
        <f>INDEX('Escalators '!$M$124:$S$129,MATCH(I1332,'Escalators '!$B$124:$B$129,0),MATCH(J1332,'Escalators '!$M$113:$S$113,0))</f>
        <v>1.0731681760713303</v>
      </c>
      <c r="S1332" s="257">
        <f t="shared" si="273"/>
        <v>0</v>
      </c>
      <c r="T1332" s="257">
        <f t="shared" si="274"/>
        <v>0</v>
      </c>
      <c r="U1332" s="269">
        <f t="shared" si="275"/>
        <v>246058.68233007478</v>
      </c>
      <c r="V1332" s="269">
        <f t="shared" si="276"/>
        <v>246058.68233007478</v>
      </c>
      <c r="W1332" s="269">
        <f t="shared" si="277"/>
        <v>246058.68233007478</v>
      </c>
      <c r="X1332" s="257">
        <f t="shared" si="278"/>
        <v>246058.68233007478</v>
      </c>
      <c r="Y1332" s="270">
        <f>IF(L1332="Complex",(INDEX('Escalators '!$M$176:$S$176,MATCH('Forecast capex'!J1332,'Escalators '!$M$178:$S$178,0))/12+1)^((K1332-J1332)*12)-1,0)</f>
        <v>3.5566952945970565E-2</v>
      </c>
      <c r="Z1332" s="257">
        <f t="shared" si="279"/>
        <v>8154.8798888344963</v>
      </c>
      <c r="AA1332" s="257">
        <f t="shared" si="280"/>
        <v>8751.5575763812885</v>
      </c>
      <c r="AB1332" s="269">
        <f t="shared" si="281"/>
        <v>254810.23990645606</v>
      </c>
      <c r="AC1332" s="269">
        <f t="shared" si="282"/>
        <v>254810.23990645606</v>
      </c>
      <c r="AD1332" s="271" t="str">
        <f>INDEX('Global inputs'!$C$134:$C$171,MATCH(F1332,'Global inputs'!$B$134:$B$171,0))</f>
        <v>Asset replacement and renewal</v>
      </c>
      <c r="AE1332" s="272">
        <f>IF(OR(H1332='Operating leases'!$B$32,H1332='Operating leases'!$B$33),"",INDEX('Global inputs'!$C$186:$C$243,MATCH(E1332,'Global inputs'!$B$186:$B$243,0)))</f>
        <v>0</v>
      </c>
    </row>
    <row r="1333" spans="1:31" s="27" customFormat="1" x14ac:dyDescent="0.2">
      <c r="A1333" s="250"/>
      <c r="B1333" s="210" t="s">
        <v>742</v>
      </c>
      <c r="C1333" s="210" t="s">
        <v>286</v>
      </c>
      <c r="D1333" s="210" t="s">
        <v>732</v>
      </c>
      <c r="E1333" s="210" t="s">
        <v>138</v>
      </c>
      <c r="F1333" s="210" t="s">
        <v>108</v>
      </c>
      <c r="G1333" s="210" t="s">
        <v>752</v>
      </c>
      <c r="H1333" s="197">
        <v>0</v>
      </c>
      <c r="I1333" s="210" t="s">
        <v>221</v>
      </c>
      <c r="J1333" s="210">
        <v>2024</v>
      </c>
      <c r="K1333" s="210">
        <v>2025</v>
      </c>
      <c r="L1333" s="268" t="str">
        <f t="shared" si="270"/>
        <v>Complex</v>
      </c>
      <c r="M1333" s="197">
        <v>131556</v>
      </c>
      <c r="N1333" s="197">
        <v>0</v>
      </c>
      <c r="O1333" s="257">
        <f>IF(ISNA(MATCH(H1333,'Operating leases'!$B$32:$B$43,0)),0,INDEX('Operating leases'!$M$32:$S$43,MATCH(H1333,'Operating leases'!$B$32:$B$43,0),MATCH(J1333,'Operating leases'!$M$11:$S$11,0)))</f>
        <v>0</v>
      </c>
      <c r="P1333" s="257">
        <f t="shared" si="271"/>
        <v>131556</v>
      </c>
      <c r="Q1333" s="257">
        <f t="shared" si="272"/>
        <v>131556</v>
      </c>
      <c r="R1333" s="258">
        <f>INDEX('Escalators '!$M$124:$S$129,MATCH(I1333,'Escalators '!$B$124:$B$129,0),MATCH(J1333,'Escalators '!$M$113:$S$113,0))</f>
        <v>1.06512715891222</v>
      </c>
      <c r="S1333" s="257">
        <f t="shared" si="273"/>
        <v>0</v>
      </c>
      <c r="T1333" s="257">
        <f t="shared" si="274"/>
        <v>0</v>
      </c>
      <c r="U1333" s="269">
        <f t="shared" si="275"/>
        <v>140123.86851785603</v>
      </c>
      <c r="V1333" s="269">
        <f t="shared" si="276"/>
        <v>140123.86851785603</v>
      </c>
      <c r="W1333" s="269">
        <f t="shared" si="277"/>
        <v>140123.86851785603</v>
      </c>
      <c r="X1333" s="257">
        <f t="shared" si="278"/>
        <v>140123.86851785603</v>
      </c>
      <c r="Y1333" s="270">
        <f>IF(L1333="Complex",(INDEX('Escalators '!$M$176:$S$176,MATCH('Forecast capex'!J1333,'Escalators '!$M$178:$S$178,0))/12+1)^((K1333-J1333)*12)-1,0)</f>
        <v>3.5566952945970565E-2</v>
      </c>
      <c r="Z1333" s="257">
        <f t="shared" si="279"/>
        <v>4679.0460617601038</v>
      </c>
      <c r="AA1333" s="257">
        <f t="shared" si="280"/>
        <v>4983.7790381819514</v>
      </c>
      <c r="AB1333" s="269">
        <f t="shared" si="281"/>
        <v>145107.64755603799</v>
      </c>
      <c r="AC1333" s="269">
        <f t="shared" si="282"/>
        <v>145107.64755603799</v>
      </c>
      <c r="AD1333" s="271" t="str">
        <f>INDEX('Global inputs'!$C$134:$C$171,MATCH(F1333,'Global inputs'!$B$134:$B$171,0))</f>
        <v>Asset replacement and renewal</v>
      </c>
      <c r="AE1333" s="272">
        <f>IF(OR(H1333='Operating leases'!$B$32,H1333='Operating leases'!$B$33),"",INDEX('Global inputs'!$C$186:$C$243,MATCH(E1333,'Global inputs'!$B$186:$B$243,0)))</f>
        <v>0.08</v>
      </c>
    </row>
    <row r="1334" spans="1:31" s="27" customFormat="1" x14ac:dyDescent="0.2">
      <c r="A1334" s="250"/>
      <c r="B1334" s="210" t="s">
        <v>742</v>
      </c>
      <c r="C1334" s="210" t="s">
        <v>286</v>
      </c>
      <c r="D1334" s="210" t="s">
        <v>732</v>
      </c>
      <c r="E1334" s="210" t="s">
        <v>138</v>
      </c>
      <c r="F1334" s="210" t="s">
        <v>108</v>
      </c>
      <c r="G1334" s="210" t="s">
        <v>752</v>
      </c>
      <c r="H1334" s="197">
        <v>0</v>
      </c>
      <c r="I1334" s="210" t="s">
        <v>139</v>
      </c>
      <c r="J1334" s="210">
        <v>2024</v>
      </c>
      <c r="K1334" s="210">
        <v>2025</v>
      </c>
      <c r="L1334" s="268" t="str">
        <f t="shared" si="270"/>
        <v>Complex</v>
      </c>
      <c r="M1334" s="197">
        <v>197334</v>
      </c>
      <c r="N1334" s="197">
        <v>0</v>
      </c>
      <c r="O1334" s="257">
        <f>IF(ISNA(MATCH(H1334,'Operating leases'!$B$32:$B$43,0)),0,INDEX('Operating leases'!$M$32:$S$43,MATCH(H1334,'Operating leases'!$B$32:$B$43,0),MATCH(J1334,'Operating leases'!$M$11:$S$11,0)))</f>
        <v>0</v>
      </c>
      <c r="P1334" s="257">
        <f t="shared" si="271"/>
        <v>197334</v>
      </c>
      <c r="Q1334" s="257">
        <f t="shared" si="272"/>
        <v>197334</v>
      </c>
      <c r="R1334" s="258">
        <f>INDEX('Escalators '!$M$124:$S$129,MATCH(I1334,'Escalators '!$B$124:$B$129,0),MATCH(J1334,'Escalators '!$M$113:$S$113,0))</f>
        <v>1.0400802295441569</v>
      </c>
      <c r="S1334" s="257">
        <f t="shared" si="273"/>
        <v>0</v>
      </c>
      <c r="T1334" s="257">
        <f t="shared" si="274"/>
        <v>0</v>
      </c>
      <c r="U1334" s="269">
        <f t="shared" si="275"/>
        <v>205243.19201686667</v>
      </c>
      <c r="V1334" s="269">
        <f t="shared" si="276"/>
        <v>205243.19201686667</v>
      </c>
      <c r="W1334" s="269">
        <f t="shared" si="277"/>
        <v>205243.19201686667</v>
      </c>
      <c r="X1334" s="257">
        <f t="shared" si="278"/>
        <v>205243.19201686667</v>
      </c>
      <c r="Y1334" s="270">
        <f>IF(L1334="Complex",(INDEX('Escalators '!$M$176:$S$176,MATCH('Forecast capex'!J1334,'Escalators '!$M$178:$S$178,0))/12+1)^((K1334-J1334)*12)-1,0)</f>
        <v>3.5566952945970565E-2</v>
      </c>
      <c r="Z1334" s="257">
        <f t="shared" si="279"/>
        <v>7018.5690926401558</v>
      </c>
      <c r="AA1334" s="257">
        <f t="shared" si="280"/>
        <v>7299.8749529446986</v>
      </c>
      <c r="AB1334" s="269">
        <f t="shared" si="281"/>
        <v>212543.06696981136</v>
      </c>
      <c r="AC1334" s="269">
        <f t="shared" si="282"/>
        <v>212543.06696981136</v>
      </c>
      <c r="AD1334" s="271" t="str">
        <f>INDEX('Global inputs'!$C$134:$C$171,MATCH(F1334,'Global inputs'!$B$134:$B$171,0))</f>
        <v>Asset replacement and renewal</v>
      </c>
      <c r="AE1334" s="272">
        <f>IF(OR(H1334='Operating leases'!$B$32,H1334='Operating leases'!$B$33),"",INDEX('Global inputs'!$C$186:$C$243,MATCH(E1334,'Global inputs'!$B$186:$B$243,0)))</f>
        <v>0.08</v>
      </c>
    </row>
    <row r="1335" spans="1:31" s="27" customFormat="1" x14ac:dyDescent="0.2">
      <c r="A1335" s="250"/>
      <c r="B1335" s="210" t="s">
        <v>742</v>
      </c>
      <c r="C1335" s="210" t="s">
        <v>286</v>
      </c>
      <c r="D1335" s="210" t="s">
        <v>732</v>
      </c>
      <c r="E1335" s="210" t="s">
        <v>140</v>
      </c>
      <c r="F1335" s="210" t="s">
        <v>108</v>
      </c>
      <c r="G1335" s="210" t="s">
        <v>733</v>
      </c>
      <c r="H1335" s="197">
        <v>0</v>
      </c>
      <c r="I1335" s="210" t="s">
        <v>221</v>
      </c>
      <c r="J1335" s="210">
        <v>2024</v>
      </c>
      <c r="K1335" s="210">
        <v>2025</v>
      </c>
      <c r="L1335" s="268" t="str">
        <f t="shared" si="270"/>
        <v>Complex</v>
      </c>
      <c r="M1335" s="197">
        <v>185364</v>
      </c>
      <c r="N1335" s="197">
        <v>0</v>
      </c>
      <c r="O1335" s="257">
        <f>IF(ISNA(MATCH(H1335,'Operating leases'!$B$32:$B$43,0)),0,INDEX('Operating leases'!$M$32:$S$43,MATCH(H1335,'Operating leases'!$B$32:$B$43,0),MATCH(J1335,'Operating leases'!$M$11:$S$11,0)))</f>
        <v>0</v>
      </c>
      <c r="P1335" s="257">
        <f t="shared" si="271"/>
        <v>185364</v>
      </c>
      <c r="Q1335" s="257">
        <f t="shared" si="272"/>
        <v>185364</v>
      </c>
      <c r="R1335" s="258">
        <f>INDEX('Escalators '!$M$124:$S$129,MATCH(I1335,'Escalators '!$B$124:$B$129,0),MATCH(J1335,'Escalators '!$M$113:$S$113,0))</f>
        <v>1.06512715891222</v>
      </c>
      <c r="S1335" s="257">
        <f t="shared" si="273"/>
        <v>0</v>
      </c>
      <c r="T1335" s="257">
        <f t="shared" si="274"/>
        <v>0</v>
      </c>
      <c r="U1335" s="269">
        <f t="shared" si="275"/>
        <v>197436.23068460476</v>
      </c>
      <c r="V1335" s="269">
        <f t="shared" si="276"/>
        <v>197436.23068460476</v>
      </c>
      <c r="W1335" s="269">
        <f t="shared" si="277"/>
        <v>197436.23068460476</v>
      </c>
      <c r="X1335" s="257">
        <f t="shared" si="278"/>
        <v>197436.23068460476</v>
      </c>
      <c r="Y1335" s="270">
        <f>IF(L1335="Complex",(INDEX('Escalators '!$M$176:$S$176,MATCH('Forecast capex'!J1335,'Escalators '!$M$178:$S$178,0))/12+1)^((K1335-J1335)*12)-1,0)</f>
        <v>3.5566952945970565E-2</v>
      </c>
      <c r="Z1335" s="257">
        <f t="shared" si="279"/>
        <v>6592.8326658768874</v>
      </c>
      <c r="AA1335" s="257">
        <f t="shared" si="280"/>
        <v>7022.2051265891268</v>
      </c>
      <c r="AB1335" s="269">
        <f t="shared" si="281"/>
        <v>204458.43581119389</v>
      </c>
      <c r="AC1335" s="269">
        <f t="shared" si="282"/>
        <v>204458.43581119389</v>
      </c>
      <c r="AD1335" s="271" t="str">
        <f>INDEX('Global inputs'!$C$134:$C$171,MATCH(F1335,'Global inputs'!$B$134:$B$171,0))</f>
        <v>Asset replacement and renewal</v>
      </c>
      <c r="AE1335" s="272">
        <f>IF(OR(H1335='Operating leases'!$B$32,H1335='Operating leases'!$B$33),"",INDEX('Global inputs'!$C$186:$C$243,MATCH(E1335,'Global inputs'!$B$186:$B$243,0)))</f>
        <v>0.08</v>
      </c>
    </row>
    <row r="1336" spans="1:31" s="27" customFormat="1" x14ac:dyDescent="0.2">
      <c r="A1336" s="250"/>
      <c r="B1336" s="210" t="s">
        <v>742</v>
      </c>
      <c r="C1336" s="210" t="s">
        <v>286</v>
      </c>
      <c r="D1336" s="210" t="s">
        <v>732</v>
      </c>
      <c r="E1336" s="210" t="s">
        <v>140</v>
      </c>
      <c r="F1336" s="210" t="s">
        <v>108</v>
      </c>
      <c r="G1336" s="210" t="s">
        <v>733</v>
      </c>
      <c r="H1336" s="197">
        <v>0</v>
      </c>
      <c r="I1336" s="210" t="s">
        <v>142</v>
      </c>
      <c r="J1336" s="210">
        <v>2024</v>
      </c>
      <c r="K1336" s="210">
        <v>2025</v>
      </c>
      <c r="L1336" s="268" t="str">
        <f t="shared" si="270"/>
        <v>Complex</v>
      </c>
      <c r="M1336" s="197">
        <v>278046</v>
      </c>
      <c r="N1336" s="197">
        <v>0</v>
      </c>
      <c r="O1336" s="257">
        <f>IF(ISNA(MATCH(H1336,'Operating leases'!$B$32:$B$43,0)),0,INDEX('Operating leases'!$M$32:$S$43,MATCH(H1336,'Operating leases'!$B$32:$B$43,0),MATCH(J1336,'Operating leases'!$M$11:$S$11,0)))</f>
        <v>0</v>
      </c>
      <c r="P1336" s="257">
        <f t="shared" si="271"/>
        <v>278046</v>
      </c>
      <c r="Q1336" s="257">
        <f t="shared" si="272"/>
        <v>278046</v>
      </c>
      <c r="R1336" s="258">
        <f>INDEX('Escalators '!$M$124:$S$129,MATCH(I1336,'Escalators '!$B$124:$B$129,0),MATCH(J1336,'Escalators '!$M$113:$S$113,0))</f>
        <v>1.06767964286932</v>
      </c>
      <c r="S1336" s="257">
        <f t="shared" si="273"/>
        <v>0</v>
      </c>
      <c r="T1336" s="257">
        <f t="shared" si="274"/>
        <v>0</v>
      </c>
      <c r="U1336" s="269">
        <f t="shared" si="275"/>
        <v>296864.05398124293</v>
      </c>
      <c r="V1336" s="269">
        <f t="shared" si="276"/>
        <v>296864.05398124293</v>
      </c>
      <c r="W1336" s="269">
        <f t="shared" si="277"/>
        <v>296864.05398124293</v>
      </c>
      <c r="X1336" s="257">
        <f t="shared" si="278"/>
        <v>296864.05398124293</v>
      </c>
      <c r="Y1336" s="270">
        <f>IF(L1336="Complex",(INDEX('Escalators '!$M$176:$S$176,MATCH('Forecast capex'!J1336,'Escalators '!$M$178:$S$178,0))/12+1)^((K1336-J1336)*12)-1,0)</f>
        <v>3.5566952945970565E-2</v>
      </c>
      <c r="Z1336" s="257">
        <f t="shared" si="279"/>
        <v>9889.248998815332</v>
      </c>
      <c r="AA1336" s="257">
        <f t="shared" si="280"/>
        <v>10558.549839300933</v>
      </c>
      <c r="AB1336" s="269">
        <f t="shared" si="281"/>
        <v>307422.60382054385</v>
      </c>
      <c r="AC1336" s="269">
        <f t="shared" si="282"/>
        <v>307422.60382054385</v>
      </c>
      <c r="AD1336" s="271" t="str">
        <f>INDEX('Global inputs'!$C$134:$C$171,MATCH(F1336,'Global inputs'!$B$134:$B$171,0))</f>
        <v>Asset replacement and renewal</v>
      </c>
      <c r="AE1336" s="272">
        <f>IF(OR(H1336='Operating leases'!$B$32,H1336='Operating leases'!$B$33),"",INDEX('Global inputs'!$C$186:$C$243,MATCH(E1336,'Global inputs'!$B$186:$B$243,0)))</f>
        <v>0.08</v>
      </c>
    </row>
    <row r="1337" spans="1:31" s="27" customFormat="1" x14ac:dyDescent="0.2">
      <c r="A1337" s="250"/>
      <c r="B1337" s="210" t="s">
        <v>742</v>
      </c>
      <c r="C1337" s="210" t="s">
        <v>286</v>
      </c>
      <c r="D1337" s="210" t="s">
        <v>735</v>
      </c>
      <c r="E1337" s="210" t="s">
        <v>144</v>
      </c>
      <c r="F1337" s="210" t="s">
        <v>108</v>
      </c>
      <c r="G1337" s="210" t="s">
        <v>736</v>
      </c>
      <c r="H1337" s="197">
        <v>0</v>
      </c>
      <c r="I1337" s="210" t="s">
        <v>221</v>
      </c>
      <c r="J1337" s="210">
        <v>2024</v>
      </c>
      <c r="K1337" s="210">
        <v>2025</v>
      </c>
      <c r="L1337" s="268" t="str">
        <f t="shared" si="270"/>
        <v>Complex</v>
      </c>
      <c r="M1337" s="197">
        <v>101665.2</v>
      </c>
      <c r="N1337" s="197">
        <v>0</v>
      </c>
      <c r="O1337" s="257">
        <f>IF(ISNA(MATCH(H1337,'Operating leases'!$B$32:$B$43,0)),0,INDEX('Operating leases'!$M$32:$S$43,MATCH(H1337,'Operating leases'!$B$32:$B$43,0),MATCH(J1337,'Operating leases'!$M$11:$S$11,0)))</f>
        <v>0</v>
      </c>
      <c r="P1337" s="257">
        <f t="shared" si="271"/>
        <v>101665.2</v>
      </c>
      <c r="Q1337" s="257">
        <f t="shared" si="272"/>
        <v>101665.2</v>
      </c>
      <c r="R1337" s="258">
        <f>INDEX('Escalators '!$M$124:$S$129,MATCH(I1337,'Escalators '!$B$124:$B$129,0),MATCH(J1337,'Escalators '!$M$113:$S$113,0))</f>
        <v>1.06512715891222</v>
      </c>
      <c r="S1337" s="257">
        <f t="shared" si="273"/>
        <v>0</v>
      </c>
      <c r="T1337" s="257">
        <f t="shared" si="274"/>
        <v>0</v>
      </c>
      <c r="U1337" s="269">
        <f t="shared" si="275"/>
        <v>108286.36563624263</v>
      </c>
      <c r="V1337" s="269">
        <f t="shared" si="276"/>
        <v>108286.36563624263</v>
      </c>
      <c r="W1337" s="269">
        <f t="shared" si="277"/>
        <v>108286.36563624263</v>
      </c>
      <c r="X1337" s="257">
        <f t="shared" si="278"/>
        <v>108286.36563624263</v>
      </c>
      <c r="Y1337" s="270">
        <f>IF(L1337="Complex",(INDEX('Escalators '!$M$176:$S$176,MATCH('Forecast capex'!J1337,'Escalators '!$M$178:$S$178,0))/12+1)^((K1337-J1337)*12)-1,0)</f>
        <v>3.5566952945970565E-2</v>
      </c>
      <c r="Z1337" s="257">
        <f t="shared" si="279"/>
        <v>3615.9213846426865</v>
      </c>
      <c r="AA1337" s="257">
        <f t="shared" si="280"/>
        <v>3851.4160712744056</v>
      </c>
      <c r="AB1337" s="269">
        <f t="shared" si="281"/>
        <v>112137.78170751703</v>
      </c>
      <c r="AC1337" s="269">
        <f t="shared" si="282"/>
        <v>112137.78170751703</v>
      </c>
      <c r="AD1337" s="271" t="str">
        <f>INDEX('Global inputs'!$C$134:$C$171,MATCH(F1337,'Global inputs'!$B$134:$B$171,0))</f>
        <v>Asset replacement and renewal</v>
      </c>
      <c r="AE1337" s="272">
        <f>IF(OR(H1337='Operating leases'!$B$32,H1337='Operating leases'!$B$33),"",INDEX('Global inputs'!$C$186:$C$243,MATCH(E1337,'Global inputs'!$B$186:$B$243,0)))</f>
        <v>0.08</v>
      </c>
    </row>
    <row r="1338" spans="1:31" s="27" customFormat="1" x14ac:dyDescent="0.2">
      <c r="A1338" s="250"/>
      <c r="B1338" s="210" t="s">
        <v>742</v>
      </c>
      <c r="C1338" s="210" t="s">
        <v>286</v>
      </c>
      <c r="D1338" s="210" t="s">
        <v>735</v>
      </c>
      <c r="E1338" s="210" t="s">
        <v>144</v>
      </c>
      <c r="F1338" s="210" t="s">
        <v>108</v>
      </c>
      <c r="G1338" s="210" t="s">
        <v>736</v>
      </c>
      <c r="H1338" s="197">
        <v>0</v>
      </c>
      <c r="I1338" s="210" t="s">
        <v>229</v>
      </c>
      <c r="J1338" s="210">
        <v>2024</v>
      </c>
      <c r="K1338" s="210">
        <v>2025</v>
      </c>
      <c r="L1338" s="268" t="str">
        <f t="shared" si="270"/>
        <v>Complex</v>
      </c>
      <c r="M1338" s="197">
        <v>25416.3</v>
      </c>
      <c r="N1338" s="197">
        <v>0</v>
      </c>
      <c r="O1338" s="257">
        <f>IF(ISNA(MATCH(H1338,'Operating leases'!$B$32:$B$43,0)),0,INDEX('Operating leases'!$M$32:$S$43,MATCH(H1338,'Operating leases'!$B$32:$B$43,0),MATCH(J1338,'Operating leases'!$M$11:$S$11,0)))</f>
        <v>0</v>
      </c>
      <c r="P1338" s="257">
        <f t="shared" si="271"/>
        <v>25416.3</v>
      </c>
      <c r="Q1338" s="257">
        <f t="shared" si="272"/>
        <v>25416.3</v>
      </c>
      <c r="R1338" s="258">
        <f>INDEX('Escalators '!$M$124:$S$129,MATCH(I1338,'Escalators '!$B$124:$B$129,0),MATCH(J1338,'Escalators '!$M$113:$S$113,0))</f>
        <v>1.0731681760713303</v>
      </c>
      <c r="S1338" s="257">
        <f t="shared" si="273"/>
        <v>0</v>
      </c>
      <c r="T1338" s="257">
        <f t="shared" si="274"/>
        <v>0</v>
      </c>
      <c r="U1338" s="269">
        <f t="shared" si="275"/>
        <v>27275.964313481752</v>
      </c>
      <c r="V1338" s="269">
        <f t="shared" si="276"/>
        <v>27275.964313481752</v>
      </c>
      <c r="W1338" s="269">
        <f t="shared" si="277"/>
        <v>27275.964313481752</v>
      </c>
      <c r="X1338" s="257">
        <f t="shared" si="278"/>
        <v>27275.964313481752</v>
      </c>
      <c r="Y1338" s="270">
        <f>IF(L1338="Complex",(INDEX('Escalators '!$M$176:$S$176,MATCH('Forecast capex'!J1338,'Escalators '!$M$178:$S$178,0))/12+1)^((K1338-J1338)*12)-1,0)</f>
        <v>3.5566952945970565E-2</v>
      </c>
      <c r="Z1338" s="257">
        <f t="shared" si="279"/>
        <v>903.98034616067162</v>
      </c>
      <c r="AA1338" s="257">
        <f t="shared" si="280"/>
        <v>970.12293929357782</v>
      </c>
      <c r="AB1338" s="269">
        <f t="shared" si="281"/>
        <v>28246.087252775331</v>
      </c>
      <c r="AC1338" s="269">
        <f t="shared" si="282"/>
        <v>28246.087252775331</v>
      </c>
      <c r="AD1338" s="271" t="str">
        <f>INDEX('Global inputs'!$C$134:$C$171,MATCH(F1338,'Global inputs'!$B$134:$B$171,0))</f>
        <v>Asset replacement and renewal</v>
      </c>
      <c r="AE1338" s="272">
        <f>IF(OR(H1338='Operating leases'!$B$32,H1338='Operating leases'!$B$33),"",INDEX('Global inputs'!$C$186:$C$243,MATCH(E1338,'Global inputs'!$B$186:$B$243,0)))</f>
        <v>0.08</v>
      </c>
    </row>
    <row r="1339" spans="1:31" s="27" customFormat="1" x14ac:dyDescent="0.2">
      <c r="A1339" s="250"/>
      <c r="B1339" s="210" t="s">
        <v>742</v>
      </c>
      <c r="C1339" s="210" t="s">
        <v>286</v>
      </c>
      <c r="D1339" s="210" t="s">
        <v>735</v>
      </c>
      <c r="E1339" s="210" t="s">
        <v>147</v>
      </c>
      <c r="F1339" s="210" t="s">
        <v>108</v>
      </c>
      <c r="G1339" s="210" t="s">
        <v>744</v>
      </c>
      <c r="H1339" s="197">
        <v>0</v>
      </c>
      <c r="I1339" s="210" t="s">
        <v>221</v>
      </c>
      <c r="J1339" s="210">
        <v>2024</v>
      </c>
      <c r="K1339" s="210">
        <v>2025</v>
      </c>
      <c r="L1339" s="268" t="str">
        <f t="shared" si="270"/>
        <v>Complex</v>
      </c>
      <c r="M1339" s="197">
        <v>25330.799999999999</v>
      </c>
      <c r="N1339" s="197">
        <v>0</v>
      </c>
      <c r="O1339" s="257">
        <f>IF(ISNA(MATCH(H1339,'Operating leases'!$B$32:$B$43,0)),0,INDEX('Operating leases'!$M$32:$S$43,MATCH(H1339,'Operating leases'!$B$32:$B$43,0),MATCH(J1339,'Operating leases'!$M$11:$S$11,0)))</f>
        <v>0</v>
      </c>
      <c r="P1339" s="257">
        <f t="shared" si="271"/>
        <v>25330.799999999999</v>
      </c>
      <c r="Q1339" s="257">
        <f t="shared" si="272"/>
        <v>25330.799999999999</v>
      </c>
      <c r="R1339" s="258">
        <f>INDEX('Escalators '!$M$124:$S$129,MATCH(I1339,'Escalators '!$B$124:$B$129,0),MATCH(J1339,'Escalators '!$M$113:$S$113,0))</f>
        <v>1.06512715891222</v>
      </c>
      <c r="S1339" s="257">
        <f t="shared" si="273"/>
        <v>0</v>
      </c>
      <c r="T1339" s="257">
        <f t="shared" si="274"/>
        <v>0</v>
      </c>
      <c r="U1339" s="269">
        <f t="shared" si="275"/>
        <v>26980.52303697366</v>
      </c>
      <c r="V1339" s="269">
        <f t="shared" si="276"/>
        <v>26980.52303697366</v>
      </c>
      <c r="W1339" s="269">
        <f t="shared" si="277"/>
        <v>26980.52303697366</v>
      </c>
      <c r="X1339" s="257">
        <f t="shared" si="278"/>
        <v>26980.52303697366</v>
      </c>
      <c r="Y1339" s="270">
        <f>IF(L1339="Complex",(INDEX('Escalators '!$M$176:$S$176,MATCH('Forecast capex'!J1339,'Escalators '!$M$178:$S$178,0))/12+1)^((K1339-J1339)*12)-1,0)</f>
        <v>3.5566952945970565E-2</v>
      </c>
      <c r="Z1339" s="257">
        <f t="shared" si="279"/>
        <v>900.93937168379114</v>
      </c>
      <c r="AA1339" s="257">
        <f t="shared" si="280"/>
        <v>959.61499331371704</v>
      </c>
      <c r="AB1339" s="269">
        <f t="shared" si="281"/>
        <v>27940.138030287377</v>
      </c>
      <c r="AC1339" s="269">
        <f t="shared" si="282"/>
        <v>27940.138030287377</v>
      </c>
      <c r="AD1339" s="271" t="str">
        <f>INDEX('Global inputs'!$C$134:$C$171,MATCH(F1339,'Global inputs'!$B$134:$B$171,0))</f>
        <v>Asset replacement and renewal</v>
      </c>
      <c r="AE1339" s="272">
        <f>IF(OR(H1339='Operating leases'!$B$32,H1339='Operating leases'!$B$33),"",INDEX('Global inputs'!$C$186:$C$243,MATCH(E1339,'Global inputs'!$B$186:$B$243,0)))</f>
        <v>0.08</v>
      </c>
    </row>
    <row r="1340" spans="1:31" s="27" customFormat="1" x14ac:dyDescent="0.2">
      <c r="A1340" s="250"/>
      <c r="B1340" s="210" t="s">
        <v>742</v>
      </c>
      <c r="C1340" s="210" t="s">
        <v>286</v>
      </c>
      <c r="D1340" s="210" t="s">
        <v>735</v>
      </c>
      <c r="E1340" s="210" t="s">
        <v>147</v>
      </c>
      <c r="F1340" s="210" t="s">
        <v>108</v>
      </c>
      <c r="G1340" s="210" t="s">
        <v>744</v>
      </c>
      <c r="H1340" s="197">
        <v>0</v>
      </c>
      <c r="I1340" s="210" t="s">
        <v>229</v>
      </c>
      <c r="J1340" s="210">
        <v>2024</v>
      </c>
      <c r="K1340" s="210">
        <v>2025</v>
      </c>
      <c r="L1340" s="268" t="str">
        <f t="shared" si="270"/>
        <v>Complex</v>
      </c>
      <c r="M1340" s="197">
        <v>6332.7</v>
      </c>
      <c r="N1340" s="197">
        <v>0</v>
      </c>
      <c r="O1340" s="257">
        <f>IF(ISNA(MATCH(H1340,'Operating leases'!$B$32:$B$43,0)),0,INDEX('Operating leases'!$M$32:$S$43,MATCH(H1340,'Operating leases'!$B$32:$B$43,0),MATCH(J1340,'Operating leases'!$M$11:$S$11,0)))</f>
        <v>0</v>
      </c>
      <c r="P1340" s="257">
        <f t="shared" si="271"/>
        <v>6332.7</v>
      </c>
      <c r="Q1340" s="257">
        <f t="shared" si="272"/>
        <v>6332.7</v>
      </c>
      <c r="R1340" s="258">
        <f>INDEX('Escalators '!$M$124:$S$129,MATCH(I1340,'Escalators '!$B$124:$B$129,0),MATCH(J1340,'Escalators '!$M$113:$S$113,0))</f>
        <v>1.0731681760713303</v>
      </c>
      <c r="S1340" s="257">
        <f t="shared" si="273"/>
        <v>0</v>
      </c>
      <c r="T1340" s="257">
        <f t="shared" si="274"/>
        <v>0</v>
      </c>
      <c r="U1340" s="269">
        <f t="shared" si="275"/>
        <v>6796.052108606913</v>
      </c>
      <c r="V1340" s="269">
        <f t="shared" si="276"/>
        <v>6796.052108606913</v>
      </c>
      <c r="W1340" s="269">
        <f t="shared" si="277"/>
        <v>6796.052108606913</v>
      </c>
      <c r="X1340" s="257">
        <f t="shared" si="278"/>
        <v>6796.052108606913</v>
      </c>
      <c r="Y1340" s="270">
        <f>IF(L1340="Complex",(INDEX('Escalators '!$M$176:$S$176,MATCH('Forecast capex'!J1340,'Escalators '!$M$178:$S$178,0))/12+1)^((K1340-J1340)*12)-1,0)</f>
        <v>3.5566952945970565E-2</v>
      </c>
      <c r="Z1340" s="257">
        <f t="shared" si="279"/>
        <v>225.23484292094778</v>
      </c>
      <c r="AA1340" s="257">
        <f t="shared" si="280"/>
        <v>241.7148655651861</v>
      </c>
      <c r="AB1340" s="269">
        <f t="shared" si="281"/>
        <v>7037.7669741720993</v>
      </c>
      <c r="AC1340" s="269">
        <f t="shared" si="282"/>
        <v>7037.7669741720993</v>
      </c>
      <c r="AD1340" s="271" t="str">
        <f>INDEX('Global inputs'!$C$134:$C$171,MATCH(F1340,'Global inputs'!$B$134:$B$171,0))</f>
        <v>Asset replacement and renewal</v>
      </c>
      <c r="AE1340" s="272">
        <f>IF(OR(H1340='Operating leases'!$B$32,H1340='Operating leases'!$B$33),"",INDEX('Global inputs'!$C$186:$C$243,MATCH(E1340,'Global inputs'!$B$186:$B$243,0)))</f>
        <v>0.08</v>
      </c>
    </row>
    <row r="1341" spans="1:31" s="27" customFormat="1" x14ac:dyDescent="0.2">
      <c r="A1341" s="250"/>
      <c r="B1341" s="210" t="s">
        <v>742</v>
      </c>
      <c r="C1341" s="210" t="s">
        <v>288</v>
      </c>
      <c r="D1341" s="210" t="s">
        <v>223</v>
      </c>
      <c r="E1341" s="210" t="s">
        <v>156</v>
      </c>
      <c r="F1341" s="210" t="s">
        <v>108</v>
      </c>
      <c r="G1341" s="210" t="s">
        <v>727</v>
      </c>
      <c r="H1341" s="197">
        <v>0</v>
      </c>
      <c r="I1341" s="210" t="s">
        <v>221</v>
      </c>
      <c r="J1341" s="210">
        <v>2024</v>
      </c>
      <c r="K1341" s="210">
        <v>2025</v>
      </c>
      <c r="L1341" s="268" t="str">
        <f t="shared" si="270"/>
        <v>Complex</v>
      </c>
      <c r="M1341" s="197">
        <v>60428.549999999988</v>
      </c>
      <c r="N1341" s="197">
        <v>0</v>
      </c>
      <c r="O1341" s="257">
        <f>IF(ISNA(MATCH(H1341,'Operating leases'!$B$32:$B$43,0)),0,INDEX('Operating leases'!$M$32:$S$43,MATCH(H1341,'Operating leases'!$B$32:$B$43,0),MATCH(J1341,'Operating leases'!$M$11:$S$11,0)))</f>
        <v>0</v>
      </c>
      <c r="P1341" s="257">
        <f t="shared" si="271"/>
        <v>60428.549999999988</v>
      </c>
      <c r="Q1341" s="257">
        <f t="shared" si="272"/>
        <v>60428.549999999988</v>
      </c>
      <c r="R1341" s="258">
        <f>INDEX('Escalators '!$M$124:$S$129,MATCH(I1341,'Escalators '!$B$124:$B$129,0),MATCH(J1341,'Escalators '!$M$113:$S$113,0))</f>
        <v>1.06512715891222</v>
      </c>
      <c r="S1341" s="257">
        <f t="shared" si="273"/>
        <v>0</v>
      </c>
      <c r="T1341" s="257">
        <f t="shared" si="274"/>
        <v>0</v>
      </c>
      <c r="U1341" s="269">
        <f t="shared" si="275"/>
        <v>64364.089778685018</v>
      </c>
      <c r="V1341" s="269">
        <f t="shared" si="276"/>
        <v>64364.089778685018</v>
      </c>
      <c r="W1341" s="269">
        <f t="shared" si="277"/>
        <v>64364.089778685018</v>
      </c>
      <c r="X1341" s="257">
        <f t="shared" si="278"/>
        <v>64364.089778685018</v>
      </c>
      <c r="Y1341" s="270">
        <f>IF(L1341="Complex",(INDEX('Escalators '!$M$176:$S$176,MATCH('Forecast capex'!J1341,'Escalators '!$M$178:$S$178,0))/12+1)^((K1341-J1341)*12)-1,0)</f>
        <v>3.5566952945970565E-2</v>
      </c>
      <c r="Z1341" s="257">
        <f t="shared" si="279"/>
        <v>2149.2593944432292</v>
      </c>
      <c r="AA1341" s="257">
        <f t="shared" si="280"/>
        <v>2289.2345525687151</v>
      </c>
      <c r="AB1341" s="269">
        <f t="shared" si="281"/>
        <v>66653.324331253738</v>
      </c>
      <c r="AC1341" s="269">
        <f t="shared" si="282"/>
        <v>66653.324331253738</v>
      </c>
      <c r="AD1341" s="271" t="str">
        <f>INDEX('Global inputs'!$C$134:$C$171,MATCH(F1341,'Global inputs'!$B$134:$B$171,0))</f>
        <v>Asset replacement and renewal</v>
      </c>
      <c r="AE1341" s="272">
        <f>IF(OR(H1341='Operating leases'!$B$32,H1341='Operating leases'!$B$33),"",INDEX('Global inputs'!$C$186:$C$243,MATCH(E1341,'Global inputs'!$B$186:$B$243,0)))</f>
        <v>0.08</v>
      </c>
    </row>
    <row r="1342" spans="1:31" s="27" customFormat="1" x14ac:dyDescent="0.2">
      <c r="A1342" s="250"/>
      <c r="B1342" s="210" t="s">
        <v>742</v>
      </c>
      <c r="C1342" s="210" t="s">
        <v>288</v>
      </c>
      <c r="D1342" s="210" t="s">
        <v>223</v>
      </c>
      <c r="E1342" s="210" t="s">
        <v>156</v>
      </c>
      <c r="F1342" s="210" t="s">
        <v>108</v>
      </c>
      <c r="G1342" s="210" t="s">
        <v>727</v>
      </c>
      <c r="H1342" s="197">
        <v>0</v>
      </c>
      <c r="I1342" s="210" t="s">
        <v>223</v>
      </c>
      <c r="J1342" s="210">
        <v>2024</v>
      </c>
      <c r="K1342" s="210">
        <v>2025</v>
      </c>
      <c r="L1342" s="268" t="str">
        <f t="shared" si="270"/>
        <v>Complex</v>
      </c>
      <c r="M1342" s="197">
        <v>25897.949999999997</v>
      </c>
      <c r="N1342" s="197">
        <v>0</v>
      </c>
      <c r="O1342" s="257">
        <f>IF(ISNA(MATCH(H1342,'Operating leases'!$B$32:$B$43,0)),0,INDEX('Operating leases'!$M$32:$S$43,MATCH(H1342,'Operating leases'!$B$32:$B$43,0),MATCH(J1342,'Operating leases'!$M$11:$S$11,0)))</f>
        <v>0</v>
      </c>
      <c r="P1342" s="257">
        <f t="shared" si="271"/>
        <v>25897.949999999997</v>
      </c>
      <c r="Q1342" s="257">
        <f t="shared" si="272"/>
        <v>25897.949999999997</v>
      </c>
      <c r="R1342" s="258">
        <f>INDEX('Escalators '!$M$124:$S$129,MATCH(I1342,'Escalators '!$B$124:$B$129,0),MATCH(J1342,'Escalators '!$M$113:$S$113,0))</f>
        <v>1.0992204162588337</v>
      </c>
      <c r="S1342" s="257">
        <f t="shared" si="273"/>
        <v>0</v>
      </c>
      <c r="T1342" s="257">
        <f t="shared" si="274"/>
        <v>0</v>
      </c>
      <c r="U1342" s="269">
        <f t="shared" si="275"/>
        <v>28467.555379250458</v>
      </c>
      <c r="V1342" s="269">
        <f t="shared" si="276"/>
        <v>28467.555379250458</v>
      </c>
      <c r="W1342" s="269">
        <f t="shared" si="277"/>
        <v>28467.555379250458</v>
      </c>
      <c r="X1342" s="257">
        <f t="shared" si="278"/>
        <v>28467.555379250458</v>
      </c>
      <c r="Y1342" s="270">
        <f>IF(L1342="Complex",(INDEX('Escalators '!$M$176:$S$176,MATCH('Forecast capex'!J1342,'Escalators '!$M$178:$S$178,0))/12+1)^((K1342-J1342)*12)-1,0)</f>
        <v>3.5566952945970565E-2</v>
      </c>
      <c r="Z1342" s="257">
        <f t="shared" si="279"/>
        <v>921.11116904709831</v>
      </c>
      <c r="AA1342" s="257">
        <f t="shared" si="280"/>
        <v>1012.5042026606122</v>
      </c>
      <c r="AB1342" s="269">
        <f t="shared" si="281"/>
        <v>29480.059581911071</v>
      </c>
      <c r="AC1342" s="269">
        <f t="shared" si="282"/>
        <v>29480.059581911071</v>
      </c>
      <c r="AD1342" s="271" t="str">
        <f>INDEX('Global inputs'!$C$134:$C$171,MATCH(F1342,'Global inputs'!$B$134:$B$171,0))</f>
        <v>Asset replacement and renewal</v>
      </c>
      <c r="AE1342" s="272">
        <f>IF(OR(H1342='Operating leases'!$B$32,H1342='Operating leases'!$B$33),"",INDEX('Global inputs'!$C$186:$C$243,MATCH(E1342,'Global inputs'!$B$186:$B$243,0)))</f>
        <v>0.08</v>
      </c>
    </row>
    <row r="1343" spans="1:31" s="27" customFormat="1" x14ac:dyDescent="0.2">
      <c r="A1343" s="250"/>
      <c r="B1343" s="210" t="s">
        <v>742</v>
      </c>
      <c r="C1343" s="210" t="s">
        <v>290</v>
      </c>
      <c r="D1343" s="210" t="s">
        <v>718</v>
      </c>
      <c r="E1343" s="210" t="s">
        <v>173</v>
      </c>
      <c r="F1343" s="210" t="s">
        <v>108</v>
      </c>
      <c r="G1343" s="210" t="s">
        <v>719</v>
      </c>
      <c r="H1343" s="197">
        <v>0</v>
      </c>
      <c r="I1343" s="210" t="s">
        <v>221</v>
      </c>
      <c r="J1343" s="210">
        <v>2024</v>
      </c>
      <c r="K1343" s="210">
        <v>2025</v>
      </c>
      <c r="L1343" s="268" t="str">
        <f t="shared" si="270"/>
        <v>Complex</v>
      </c>
      <c r="M1343" s="197">
        <v>4275</v>
      </c>
      <c r="N1343" s="197">
        <v>0</v>
      </c>
      <c r="O1343" s="257">
        <f>IF(ISNA(MATCH(H1343,'Operating leases'!$B$32:$B$43,0)),0,INDEX('Operating leases'!$M$32:$S$43,MATCH(H1343,'Operating leases'!$B$32:$B$43,0),MATCH(J1343,'Operating leases'!$M$11:$S$11,0)))</f>
        <v>0</v>
      </c>
      <c r="P1343" s="257">
        <f t="shared" si="271"/>
        <v>4275</v>
      </c>
      <c r="Q1343" s="257">
        <f t="shared" si="272"/>
        <v>4275</v>
      </c>
      <c r="R1343" s="258">
        <f>INDEX('Escalators '!$M$124:$S$129,MATCH(I1343,'Escalators '!$B$124:$B$129,0),MATCH(J1343,'Escalators '!$M$113:$S$113,0))</f>
        <v>1.06512715891222</v>
      </c>
      <c r="S1343" s="257">
        <f t="shared" si="273"/>
        <v>0</v>
      </c>
      <c r="T1343" s="257">
        <f t="shared" si="274"/>
        <v>0</v>
      </c>
      <c r="U1343" s="269">
        <f t="shared" si="275"/>
        <v>4553.4186043497402</v>
      </c>
      <c r="V1343" s="269">
        <f t="shared" si="276"/>
        <v>4553.4186043497402</v>
      </c>
      <c r="W1343" s="269">
        <f t="shared" si="277"/>
        <v>4553.4186043497402</v>
      </c>
      <c r="X1343" s="257">
        <f t="shared" si="278"/>
        <v>4553.4186043497402</v>
      </c>
      <c r="Y1343" s="270">
        <f>IF(L1343="Complex",(INDEX('Escalators '!$M$176:$S$176,MATCH('Forecast capex'!J1343,'Escalators '!$M$178:$S$178,0))/12+1)^((K1343-J1343)*12)-1,0)</f>
        <v>3.5566952945970565E-2</v>
      </c>
      <c r="Z1343" s="257">
        <f t="shared" si="279"/>
        <v>152.04872384402415</v>
      </c>
      <c r="AA1343" s="257">
        <f t="shared" si="280"/>
        <v>161.95122524421416</v>
      </c>
      <c r="AB1343" s="269">
        <f t="shared" si="281"/>
        <v>4715.3698295939548</v>
      </c>
      <c r="AC1343" s="269">
        <f t="shared" si="282"/>
        <v>4715.3698295939548</v>
      </c>
      <c r="AD1343" s="271" t="str">
        <f>INDEX('Global inputs'!$C$134:$C$171,MATCH(F1343,'Global inputs'!$B$134:$B$171,0))</f>
        <v>Asset replacement and renewal</v>
      </c>
      <c r="AE1343" s="272">
        <f>IF(OR(H1343='Operating leases'!$B$32,H1343='Operating leases'!$B$33),"",INDEX('Global inputs'!$C$186:$C$243,MATCH(E1343,'Global inputs'!$B$186:$B$243,0)))</f>
        <v>0.08</v>
      </c>
    </row>
    <row r="1344" spans="1:31" s="27" customFormat="1" x14ac:dyDescent="0.2">
      <c r="A1344" s="250"/>
      <c r="B1344" s="210" t="s">
        <v>742</v>
      </c>
      <c r="C1344" s="210" t="s">
        <v>290</v>
      </c>
      <c r="D1344" s="210" t="s">
        <v>718</v>
      </c>
      <c r="E1344" s="210" t="s">
        <v>173</v>
      </c>
      <c r="F1344" s="210" t="s">
        <v>108</v>
      </c>
      <c r="G1344" s="210" t="s">
        <v>719</v>
      </c>
      <c r="H1344" s="197">
        <v>0</v>
      </c>
      <c r="I1344" s="210" t="s">
        <v>142</v>
      </c>
      <c r="J1344" s="210">
        <v>2024</v>
      </c>
      <c r="K1344" s="210">
        <v>2025</v>
      </c>
      <c r="L1344" s="268" t="str">
        <f t="shared" si="270"/>
        <v>Complex</v>
      </c>
      <c r="M1344" s="197">
        <v>17100</v>
      </c>
      <c r="N1344" s="197">
        <v>0</v>
      </c>
      <c r="O1344" s="257">
        <f>IF(ISNA(MATCH(H1344,'Operating leases'!$B$32:$B$43,0)),0,INDEX('Operating leases'!$M$32:$S$43,MATCH(H1344,'Operating leases'!$B$32:$B$43,0),MATCH(J1344,'Operating leases'!$M$11:$S$11,0)))</f>
        <v>0</v>
      </c>
      <c r="P1344" s="257">
        <f t="shared" si="271"/>
        <v>17100</v>
      </c>
      <c r="Q1344" s="257">
        <f t="shared" si="272"/>
        <v>17100</v>
      </c>
      <c r="R1344" s="258">
        <f>INDEX('Escalators '!$M$124:$S$129,MATCH(I1344,'Escalators '!$B$124:$B$129,0),MATCH(J1344,'Escalators '!$M$113:$S$113,0))</f>
        <v>1.06767964286932</v>
      </c>
      <c r="S1344" s="257">
        <f t="shared" si="273"/>
        <v>0</v>
      </c>
      <c r="T1344" s="257">
        <f t="shared" si="274"/>
        <v>0</v>
      </c>
      <c r="U1344" s="269">
        <f t="shared" si="275"/>
        <v>18257.321893065371</v>
      </c>
      <c r="V1344" s="269">
        <f t="shared" si="276"/>
        <v>18257.321893065371</v>
      </c>
      <c r="W1344" s="269">
        <f t="shared" si="277"/>
        <v>18257.321893065371</v>
      </c>
      <c r="X1344" s="257">
        <f t="shared" si="278"/>
        <v>18257.321893065371</v>
      </c>
      <c r="Y1344" s="270">
        <f>IF(L1344="Complex",(INDEX('Escalators '!$M$176:$S$176,MATCH('Forecast capex'!J1344,'Escalators '!$M$178:$S$178,0))/12+1)^((K1344-J1344)*12)-1,0)</f>
        <v>3.5566952945970565E-2</v>
      </c>
      <c r="Z1344" s="257">
        <f t="shared" si="279"/>
        <v>608.19489537609661</v>
      </c>
      <c r="AA1344" s="257">
        <f t="shared" si="280"/>
        <v>649.35730869009433</v>
      </c>
      <c r="AB1344" s="269">
        <f t="shared" si="281"/>
        <v>18906.679201755465</v>
      </c>
      <c r="AC1344" s="269">
        <f t="shared" si="282"/>
        <v>18906.679201755465</v>
      </c>
      <c r="AD1344" s="271" t="str">
        <f>INDEX('Global inputs'!$C$134:$C$171,MATCH(F1344,'Global inputs'!$B$134:$B$171,0))</f>
        <v>Asset replacement and renewal</v>
      </c>
      <c r="AE1344" s="272">
        <f>IF(OR(H1344='Operating leases'!$B$32,H1344='Operating leases'!$B$33),"",INDEX('Global inputs'!$C$186:$C$243,MATCH(E1344,'Global inputs'!$B$186:$B$243,0)))</f>
        <v>0.08</v>
      </c>
    </row>
    <row r="1345" spans="1:31" s="27" customFormat="1" x14ac:dyDescent="0.2">
      <c r="A1345" s="250"/>
      <c r="B1345" s="210" t="s">
        <v>742</v>
      </c>
      <c r="C1345" s="210" t="s">
        <v>289</v>
      </c>
      <c r="D1345" s="210" t="s">
        <v>723</v>
      </c>
      <c r="E1345" s="210" t="s">
        <v>164</v>
      </c>
      <c r="F1345" s="210" t="s">
        <v>108</v>
      </c>
      <c r="G1345" s="210" t="s">
        <v>724</v>
      </c>
      <c r="H1345" s="197">
        <v>0</v>
      </c>
      <c r="I1345" s="210" t="s">
        <v>221</v>
      </c>
      <c r="J1345" s="210">
        <v>2024</v>
      </c>
      <c r="K1345" s="210">
        <v>2025</v>
      </c>
      <c r="L1345" s="268" t="str">
        <f t="shared" si="270"/>
        <v>Complex</v>
      </c>
      <c r="M1345" s="197">
        <v>2599.1999999999998</v>
      </c>
      <c r="N1345" s="197">
        <v>0</v>
      </c>
      <c r="O1345" s="257">
        <f>IF(ISNA(MATCH(H1345,'Operating leases'!$B$32:$B$43,0)),0,INDEX('Operating leases'!$M$32:$S$43,MATCH(H1345,'Operating leases'!$B$32:$B$43,0),MATCH(J1345,'Operating leases'!$M$11:$S$11,0)))</f>
        <v>0</v>
      </c>
      <c r="P1345" s="257">
        <f t="shared" si="271"/>
        <v>2599.1999999999998</v>
      </c>
      <c r="Q1345" s="257">
        <f t="shared" si="272"/>
        <v>2599.1999999999998</v>
      </c>
      <c r="R1345" s="258">
        <f>INDEX('Escalators '!$M$124:$S$129,MATCH(I1345,'Escalators '!$B$124:$B$129,0),MATCH(J1345,'Escalators '!$M$113:$S$113,0))</f>
        <v>1.06512715891222</v>
      </c>
      <c r="S1345" s="257">
        <f t="shared" si="273"/>
        <v>0</v>
      </c>
      <c r="T1345" s="257">
        <f t="shared" si="274"/>
        <v>0</v>
      </c>
      <c r="U1345" s="269">
        <f t="shared" si="275"/>
        <v>2768.4785114446422</v>
      </c>
      <c r="V1345" s="269">
        <f t="shared" si="276"/>
        <v>2768.4785114446422</v>
      </c>
      <c r="W1345" s="269">
        <f t="shared" si="277"/>
        <v>2768.4785114446422</v>
      </c>
      <c r="X1345" s="257">
        <f t="shared" si="278"/>
        <v>2768.4785114446422</v>
      </c>
      <c r="Y1345" s="270">
        <f>IF(L1345="Complex",(INDEX('Escalators '!$M$176:$S$176,MATCH('Forecast capex'!J1345,'Escalators '!$M$178:$S$178,0))/12+1)^((K1345-J1345)*12)-1,0)</f>
        <v>3.5566952945970565E-2</v>
      </c>
      <c r="Z1345" s="257">
        <f t="shared" si="279"/>
        <v>92.445624097166686</v>
      </c>
      <c r="AA1345" s="257">
        <f t="shared" si="280"/>
        <v>98.466344948482217</v>
      </c>
      <c r="AB1345" s="269">
        <f t="shared" si="281"/>
        <v>2866.9448563931246</v>
      </c>
      <c r="AC1345" s="269">
        <f t="shared" si="282"/>
        <v>2866.9448563931246</v>
      </c>
      <c r="AD1345" s="271" t="str">
        <f>INDEX('Global inputs'!$C$134:$C$171,MATCH(F1345,'Global inputs'!$B$134:$B$171,0))</f>
        <v>Asset replacement and renewal</v>
      </c>
      <c r="AE1345" s="272">
        <f>IF(OR(H1345='Operating leases'!$B$32,H1345='Operating leases'!$B$33),"",INDEX('Global inputs'!$C$186:$C$243,MATCH(E1345,'Global inputs'!$B$186:$B$243,0)))</f>
        <v>0.08</v>
      </c>
    </row>
    <row r="1346" spans="1:31" s="27" customFormat="1" x14ac:dyDescent="0.2">
      <c r="A1346" s="250"/>
      <c r="B1346" s="210" t="s">
        <v>742</v>
      </c>
      <c r="C1346" s="210" t="s">
        <v>289</v>
      </c>
      <c r="D1346" s="210" t="s">
        <v>723</v>
      </c>
      <c r="E1346" s="210" t="s">
        <v>164</v>
      </c>
      <c r="F1346" s="210" t="s">
        <v>108</v>
      </c>
      <c r="G1346" s="210" t="s">
        <v>724</v>
      </c>
      <c r="H1346" s="197">
        <v>0</v>
      </c>
      <c r="I1346" s="210" t="s">
        <v>139</v>
      </c>
      <c r="J1346" s="210">
        <v>2024</v>
      </c>
      <c r="K1346" s="210">
        <v>2025</v>
      </c>
      <c r="L1346" s="268" t="str">
        <f t="shared" si="270"/>
        <v>Complex</v>
      </c>
      <c r="M1346" s="197">
        <v>10396.799999999999</v>
      </c>
      <c r="N1346" s="197">
        <v>0</v>
      </c>
      <c r="O1346" s="257">
        <f>IF(ISNA(MATCH(H1346,'Operating leases'!$B$32:$B$43,0)),0,INDEX('Operating leases'!$M$32:$S$43,MATCH(H1346,'Operating leases'!$B$32:$B$43,0),MATCH(J1346,'Operating leases'!$M$11:$S$11,0)))</f>
        <v>0</v>
      </c>
      <c r="P1346" s="257">
        <f t="shared" si="271"/>
        <v>10396.799999999999</v>
      </c>
      <c r="Q1346" s="257">
        <f t="shared" si="272"/>
        <v>10396.799999999999</v>
      </c>
      <c r="R1346" s="258">
        <f>INDEX('Escalators '!$M$124:$S$129,MATCH(I1346,'Escalators '!$B$124:$B$129,0),MATCH(J1346,'Escalators '!$M$113:$S$113,0))</f>
        <v>1.0400802295441569</v>
      </c>
      <c r="S1346" s="257">
        <f t="shared" si="273"/>
        <v>0</v>
      </c>
      <c r="T1346" s="257">
        <f t="shared" si="274"/>
        <v>0</v>
      </c>
      <c r="U1346" s="269">
        <f t="shared" si="275"/>
        <v>10813.506130524689</v>
      </c>
      <c r="V1346" s="269">
        <f t="shared" si="276"/>
        <v>10813.506130524689</v>
      </c>
      <c r="W1346" s="269">
        <f t="shared" si="277"/>
        <v>10813.506130524689</v>
      </c>
      <c r="X1346" s="257">
        <f t="shared" si="278"/>
        <v>10813.506130524689</v>
      </c>
      <c r="Y1346" s="270">
        <f>IF(L1346="Complex",(INDEX('Escalators '!$M$176:$S$176,MATCH('Forecast capex'!J1346,'Escalators '!$M$178:$S$178,0))/12+1)^((K1346-J1346)*12)-1,0)</f>
        <v>3.5566952945970565E-2</v>
      </c>
      <c r="Z1346" s="257">
        <f t="shared" si="279"/>
        <v>369.78249638866674</v>
      </c>
      <c r="AA1346" s="257">
        <f t="shared" si="280"/>
        <v>384.60346372533587</v>
      </c>
      <c r="AB1346" s="269">
        <f t="shared" si="281"/>
        <v>11198.109594250025</v>
      </c>
      <c r="AC1346" s="269">
        <f t="shared" si="282"/>
        <v>11198.109594250025</v>
      </c>
      <c r="AD1346" s="271" t="str">
        <f>INDEX('Global inputs'!$C$134:$C$171,MATCH(F1346,'Global inputs'!$B$134:$B$171,0))</f>
        <v>Asset replacement and renewal</v>
      </c>
      <c r="AE1346" s="272">
        <f>IF(OR(H1346='Operating leases'!$B$32,H1346='Operating leases'!$B$33),"",INDEX('Global inputs'!$C$186:$C$243,MATCH(E1346,'Global inputs'!$B$186:$B$243,0)))</f>
        <v>0.08</v>
      </c>
    </row>
    <row r="1347" spans="1:31" s="27" customFormat="1" x14ac:dyDescent="0.2">
      <c r="A1347" s="250"/>
      <c r="B1347" s="210" t="s">
        <v>742</v>
      </c>
      <c r="C1347" s="210" t="s">
        <v>285</v>
      </c>
      <c r="D1347" s="210" t="s">
        <v>223</v>
      </c>
      <c r="E1347" s="210" t="s">
        <v>134</v>
      </c>
      <c r="F1347" s="210" t="s">
        <v>108</v>
      </c>
      <c r="G1347" s="210" t="s">
        <v>726</v>
      </c>
      <c r="H1347" s="197">
        <v>0</v>
      </c>
      <c r="I1347" s="210" t="s">
        <v>221</v>
      </c>
      <c r="J1347" s="210">
        <v>2024</v>
      </c>
      <c r="K1347" s="210">
        <v>2025</v>
      </c>
      <c r="L1347" s="268" t="str">
        <f t="shared" si="270"/>
        <v>Complex</v>
      </c>
      <c r="M1347" s="197">
        <v>41336.400000000001</v>
      </c>
      <c r="N1347" s="197">
        <v>0</v>
      </c>
      <c r="O1347" s="257">
        <f>IF(ISNA(MATCH(H1347,'Operating leases'!$B$32:$B$43,0)),0,INDEX('Operating leases'!$M$32:$S$43,MATCH(H1347,'Operating leases'!$B$32:$B$43,0),MATCH(J1347,'Operating leases'!$M$11:$S$11,0)))</f>
        <v>0</v>
      </c>
      <c r="P1347" s="257">
        <f t="shared" si="271"/>
        <v>41336.400000000001</v>
      </c>
      <c r="Q1347" s="257">
        <f t="shared" si="272"/>
        <v>41336.400000000001</v>
      </c>
      <c r="R1347" s="258">
        <f>INDEX('Escalators '!$M$124:$S$129,MATCH(I1347,'Escalators '!$B$124:$B$129,0),MATCH(J1347,'Escalators '!$M$113:$S$113,0))</f>
        <v>1.06512715891222</v>
      </c>
      <c r="S1347" s="257">
        <f t="shared" si="273"/>
        <v>0</v>
      </c>
      <c r="T1347" s="257">
        <f t="shared" si="274"/>
        <v>0</v>
      </c>
      <c r="U1347" s="269">
        <f t="shared" si="275"/>
        <v>44028.522291659094</v>
      </c>
      <c r="V1347" s="269">
        <f t="shared" si="276"/>
        <v>44028.522291659094</v>
      </c>
      <c r="W1347" s="269">
        <f t="shared" si="277"/>
        <v>44028.522291659094</v>
      </c>
      <c r="X1347" s="257">
        <f t="shared" si="278"/>
        <v>44028.522291659094</v>
      </c>
      <c r="Y1347" s="270">
        <f>IF(L1347="Complex",(INDEX('Escalators '!$M$176:$S$176,MATCH('Forecast capex'!J1347,'Escalators '!$M$178:$S$178,0))/12+1)^((K1347-J1347)*12)-1,0)</f>
        <v>3.5566952945970565E-2</v>
      </c>
      <c r="Z1347" s="257">
        <f t="shared" si="279"/>
        <v>1470.2097937558176</v>
      </c>
      <c r="AA1347" s="257">
        <f t="shared" si="280"/>
        <v>1565.9603806280552</v>
      </c>
      <c r="AB1347" s="269">
        <f t="shared" si="281"/>
        <v>45594.482672287151</v>
      </c>
      <c r="AC1347" s="269">
        <f t="shared" si="282"/>
        <v>45594.482672287151</v>
      </c>
      <c r="AD1347" s="271" t="str">
        <f>INDEX('Global inputs'!$C$134:$C$171,MATCH(F1347,'Global inputs'!$B$134:$B$171,0))</f>
        <v>Asset replacement and renewal</v>
      </c>
      <c r="AE1347" s="272">
        <f>IF(OR(H1347='Operating leases'!$B$32,H1347='Operating leases'!$B$33),"",INDEX('Global inputs'!$C$186:$C$243,MATCH(E1347,'Global inputs'!$B$186:$B$243,0)))</f>
        <v>0.08</v>
      </c>
    </row>
    <row r="1348" spans="1:31" s="27" customFormat="1" x14ac:dyDescent="0.2">
      <c r="A1348" s="250"/>
      <c r="B1348" s="210" t="s">
        <v>742</v>
      </c>
      <c r="C1348" s="210" t="s">
        <v>285</v>
      </c>
      <c r="D1348" s="210" t="s">
        <v>223</v>
      </c>
      <c r="E1348" s="210" t="s">
        <v>134</v>
      </c>
      <c r="F1348" s="210" t="s">
        <v>108</v>
      </c>
      <c r="G1348" s="210" t="s">
        <v>726</v>
      </c>
      <c r="H1348" s="197">
        <v>0</v>
      </c>
      <c r="I1348" s="210" t="s">
        <v>223</v>
      </c>
      <c r="J1348" s="210">
        <v>2024</v>
      </c>
      <c r="K1348" s="210">
        <v>2025</v>
      </c>
      <c r="L1348" s="268" t="str">
        <f t="shared" si="270"/>
        <v>Complex</v>
      </c>
      <c r="M1348" s="197">
        <v>17715.599999999999</v>
      </c>
      <c r="N1348" s="197">
        <v>0</v>
      </c>
      <c r="O1348" s="257">
        <f>IF(ISNA(MATCH(H1348,'Operating leases'!$B$32:$B$43,0)),0,INDEX('Operating leases'!$M$32:$S$43,MATCH(H1348,'Operating leases'!$B$32:$B$43,0),MATCH(J1348,'Operating leases'!$M$11:$S$11,0)))</f>
        <v>0</v>
      </c>
      <c r="P1348" s="257">
        <f t="shared" si="271"/>
        <v>17715.599999999999</v>
      </c>
      <c r="Q1348" s="257">
        <f t="shared" si="272"/>
        <v>17715.599999999999</v>
      </c>
      <c r="R1348" s="258">
        <f>INDEX('Escalators '!$M$124:$S$129,MATCH(I1348,'Escalators '!$B$124:$B$129,0),MATCH(J1348,'Escalators '!$M$113:$S$113,0))</f>
        <v>1.0992204162588337</v>
      </c>
      <c r="S1348" s="257">
        <f t="shared" si="273"/>
        <v>0</v>
      </c>
      <c r="T1348" s="257">
        <f t="shared" si="274"/>
        <v>0</v>
      </c>
      <c r="U1348" s="269">
        <f t="shared" si="275"/>
        <v>19473.349206274994</v>
      </c>
      <c r="V1348" s="269">
        <f t="shared" si="276"/>
        <v>19473.349206274994</v>
      </c>
      <c r="W1348" s="269">
        <f t="shared" si="277"/>
        <v>19473.349206274994</v>
      </c>
      <c r="X1348" s="257">
        <f t="shared" si="278"/>
        <v>19473.349206274994</v>
      </c>
      <c r="Y1348" s="270">
        <f>IF(L1348="Complex",(INDEX('Escalators '!$M$176:$S$176,MATCH('Forecast capex'!J1348,'Escalators '!$M$178:$S$178,0))/12+1)^((K1348-J1348)*12)-1,0)</f>
        <v>3.5566952945970565E-2</v>
      </c>
      <c r="Z1348" s="257">
        <f t="shared" si="279"/>
        <v>630.08991160963603</v>
      </c>
      <c r="AA1348" s="257">
        <f t="shared" si="280"/>
        <v>692.6076949200359</v>
      </c>
      <c r="AB1348" s="269">
        <f t="shared" si="281"/>
        <v>20165.95690119503</v>
      </c>
      <c r="AC1348" s="269">
        <f t="shared" si="282"/>
        <v>20165.95690119503</v>
      </c>
      <c r="AD1348" s="271" t="str">
        <f>INDEX('Global inputs'!$C$134:$C$171,MATCH(F1348,'Global inputs'!$B$134:$B$171,0))</f>
        <v>Asset replacement and renewal</v>
      </c>
      <c r="AE1348" s="272">
        <f>IF(OR(H1348='Operating leases'!$B$32,H1348='Operating leases'!$B$33),"",INDEX('Global inputs'!$C$186:$C$243,MATCH(E1348,'Global inputs'!$B$186:$B$243,0)))</f>
        <v>0.08</v>
      </c>
    </row>
    <row r="1349" spans="1:31" s="27" customFormat="1" x14ac:dyDescent="0.2">
      <c r="A1349" s="250"/>
      <c r="B1349" s="210" t="s">
        <v>742</v>
      </c>
      <c r="C1349" s="210" t="s">
        <v>291</v>
      </c>
      <c r="D1349" s="210" t="s">
        <v>735</v>
      </c>
      <c r="E1349" s="210" t="s">
        <v>175</v>
      </c>
      <c r="F1349" s="210" t="s">
        <v>108</v>
      </c>
      <c r="G1349" s="210" t="s">
        <v>748</v>
      </c>
      <c r="H1349" s="197">
        <v>0</v>
      </c>
      <c r="I1349" s="210" t="s">
        <v>221</v>
      </c>
      <c r="J1349" s="210">
        <v>2024</v>
      </c>
      <c r="K1349" s="210">
        <v>2025</v>
      </c>
      <c r="L1349" s="268" t="str">
        <f t="shared" si="270"/>
        <v>Complex</v>
      </c>
      <c r="M1349" s="197">
        <v>19152</v>
      </c>
      <c r="N1349" s="197">
        <v>0</v>
      </c>
      <c r="O1349" s="257">
        <f>IF(ISNA(MATCH(H1349,'Operating leases'!$B$32:$B$43,0)),0,INDEX('Operating leases'!$M$32:$S$43,MATCH(H1349,'Operating leases'!$B$32:$B$43,0),MATCH(J1349,'Operating leases'!$M$11:$S$11,0)))</f>
        <v>0</v>
      </c>
      <c r="P1349" s="257">
        <f t="shared" si="271"/>
        <v>19152</v>
      </c>
      <c r="Q1349" s="257">
        <f t="shared" si="272"/>
        <v>19152</v>
      </c>
      <c r="R1349" s="258">
        <f>INDEX('Escalators '!$M$124:$S$129,MATCH(I1349,'Escalators '!$B$124:$B$129,0),MATCH(J1349,'Escalators '!$M$113:$S$113,0))</f>
        <v>1.06512715891222</v>
      </c>
      <c r="S1349" s="257">
        <f t="shared" si="273"/>
        <v>0</v>
      </c>
      <c r="T1349" s="257">
        <f t="shared" si="274"/>
        <v>0</v>
      </c>
      <c r="U1349" s="269">
        <f t="shared" si="275"/>
        <v>20399.315347486838</v>
      </c>
      <c r="V1349" s="269">
        <f t="shared" si="276"/>
        <v>20399.315347486838</v>
      </c>
      <c r="W1349" s="269">
        <f t="shared" si="277"/>
        <v>20399.315347486838</v>
      </c>
      <c r="X1349" s="257">
        <f t="shared" si="278"/>
        <v>20399.315347486838</v>
      </c>
      <c r="Y1349" s="270">
        <f>IF(L1349="Complex",(INDEX('Escalators '!$M$176:$S$176,MATCH('Forecast capex'!J1349,'Escalators '!$M$178:$S$178,0))/12+1)^((K1349-J1349)*12)-1,0)</f>
        <v>3.5566952945970565E-2</v>
      </c>
      <c r="Z1349" s="257">
        <f t="shared" si="279"/>
        <v>681.17828282122821</v>
      </c>
      <c r="AA1349" s="257">
        <f t="shared" si="280"/>
        <v>725.54148909407957</v>
      </c>
      <c r="AB1349" s="269">
        <f t="shared" si="281"/>
        <v>21124.856836580919</v>
      </c>
      <c r="AC1349" s="269">
        <f t="shared" si="282"/>
        <v>21124.856836580919</v>
      </c>
      <c r="AD1349" s="271" t="str">
        <f>INDEX('Global inputs'!$C$134:$C$171,MATCH(F1349,'Global inputs'!$B$134:$B$171,0))</f>
        <v>Asset replacement and renewal</v>
      </c>
      <c r="AE1349" s="272">
        <f>IF(OR(H1349='Operating leases'!$B$32,H1349='Operating leases'!$B$33),"",INDEX('Global inputs'!$C$186:$C$243,MATCH(E1349,'Global inputs'!$B$186:$B$243,0)))</f>
        <v>0.1</v>
      </c>
    </row>
    <row r="1350" spans="1:31" s="27" customFormat="1" x14ac:dyDescent="0.2">
      <c r="A1350" s="250"/>
      <c r="B1350" s="210" t="s">
        <v>742</v>
      </c>
      <c r="C1350" s="210" t="s">
        <v>291</v>
      </c>
      <c r="D1350" s="210" t="s">
        <v>735</v>
      </c>
      <c r="E1350" s="210" t="s">
        <v>175</v>
      </c>
      <c r="F1350" s="210" t="s">
        <v>108</v>
      </c>
      <c r="G1350" s="210" t="s">
        <v>748</v>
      </c>
      <c r="H1350" s="197">
        <v>0</v>
      </c>
      <c r="I1350" s="210" t="s">
        <v>229</v>
      </c>
      <c r="J1350" s="210">
        <v>2024</v>
      </c>
      <c r="K1350" s="210">
        <v>2025</v>
      </c>
      <c r="L1350" s="268" t="str">
        <f t="shared" si="270"/>
        <v>Complex</v>
      </c>
      <c r="M1350" s="197">
        <v>4788</v>
      </c>
      <c r="N1350" s="197">
        <v>0</v>
      </c>
      <c r="O1350" s="257">
        <f>IF(ISNA(MATCH(H1350,'Operating leases'!$B$32:$B$43,0)),0,INDEX('Operating leases'!$M$32:$S$43,MATCH(H1350,'Operating leases'!$B$32:$B$43,0),MATCH(J1350,'Operating leases'!$M$11:$S$11,0)))</f>
        <v>0</v>
      </c>
      <c r="P1350" s="257">
        <f t="shared" si="271"/>
        <v>4788</v>
      </c>
      <c r="Q1350" s="257">
        <f t="shared" si="272"/>
        <v>4788</v>
      </c>
      <c r="R1350" s="258">
        <f>INDEX('Escalators '!$M$124:$S$129,MATCH(I1350,'Escalators '!$B$124:$B$129,0),MATCH(J1350,'Escalators '!$M$113:$S$113,0))</f>
        <v>1.0731681760713303</v>
      </c>
      <c r="S1350" s="257">
        <f t="shared" si="273"/>
        <v>0</v>
      </c>
      <c r="T1350" s="257">
        <f t="shared" si="274"/>
        <v>0</v>
      </c>
      <c r="U1350" s="269">
        <f t="shared" si="275"/>
        <v>5138.3292270295296</v>
      </c>
      <c r="V1350" s="269">
        <f t="shared" si="276"/>
        <v>5138.3292270295296</v>
      </c>
      <c r="W1350" s="269">
        <f t="shared" si="277"/>
        <v>5138.3292270295296</v>
      </c>
      <c r="X1350" s="257">
        <f t="shared" si="278"/>
        <v>5138.3292270295296</v>
      </c>
      <c r="Y1350" s="270">
        <f>IF(L1350="Complex",(INDEX('Escalators '!$M$176:$S$176,MATCH('Forecast capex'!J1350,'Escalators '!$M$178:$S$178,0))/12+1)^((K1350-J1350)*12)-1,0)</f>
        <v>3.5566952945970565E-2</v>
      </c>
      <c r="Z1350" s="257">
        <f t="shared" si="279"/>
        <v>170.29457070530705</v>
      </c>
      <c r="AA1350" s="257">
        <f t="shared" si="280"/>
        <v>182.75471383866457</v>
      </c>
      <c r="AB1350" s="269">
        <f t="shared" si="281"/>
        <v>5321.0839408681941</v>
      </c>
      <c r="AC1350" s="269">
        <f t="shared" si="282"/>
        <v>5321.0839408681941</v>
      </c>
      <c r="AD1350" s="271" t="str">
        <f>INDEX('Global inputs'!$C$134:$C$171,MATCH(F1350,'Global inputs'!$B$134:$B$171,0))</f>
        <v>Asset replacement and renewal</v>
      </c>
      <c r="AE1350" s="272">
        <f>IF(OR(H1350='Operating leases'!$B$32,H1350='Operating leases'!$B$33),"",INDEX('Global inputs'!$C$186:$C$243,MATCH(E1350,'Global inputs'!$B$186:$B$243,0)))</f>
        <v>0.1</v>
      </c>
    </row>
    <row r="1351" spans="1:31" s="27" customFormat="1" x14ac:dyDescent="0.2">
      <c r="A1351" s="250"/>
      <c r="B1351" s="210" t="s">
        <v>742</v>
      </c>
      <c r="C1351" s="210" t="s">
        <v>286</v>
      </c>
      <c r="D1351" s="210" t="s">
        <v>732</v>
      </c>
      <c r="E1351" s="210" t="s">
        <v>138</v>
      </c>
      <c r="F1351" s="210" t="s">
        <v>108</v>
      </c>
      <c r="G1351" s="210" t="s">
        <v>752</v>
      </c>
      <c r="H1351" s="197">
        <v>0</v>
      </c>
      <c r="I1351" s="210" t="s">
        <v>221</v>
      </c>
      <c r="J1351" s="210">
        <v>2024</v>
      </c>
      <c r="K1351" s="210">
        <v>2025</v>
      </c>
      <c r="L1351" s="268" t="str">
        <f t="shared" si="270"/>
        <v>Complex</v>
      </c>
      <c r="M1351" s="197">
        <v>210489.59999999998</v>
      </c>
      <c r="N1351" s="197">
        <v>0</v>
      </c>
      <c r="O1351" s="257">
        <f>IF(ISNA(MATCH(H1351,'Operating leases'!$B$32:$B$43,0)),0,INDEX('Operating leases'!$M$32:$S$43,MATCH(H1351,'Operating leases'!$B$32:$B$43,0),MATCH(J1351,'Operating leases'!$M$11:$S$11,0)))</f>
        <v>0</v>
      </c>
      <c r="P1351" s="257">
        <f t="shared" si="271"/>
        <v>210489.59999999998</v>
      </c>
      <c r="Q1351" s="257">
        <f t="shared" si="272"/>
        <v>210489.59999999998</v>
      </c>
      <c r="R1351" s="258">
        <f>INDEX('Escalators '!$M$124:$S$129,MATCH(I1351,'Escalators '!$B$124:$B$129,0),MATCH(J1351,'Escalators '!$M$113:$S$113,0))</f>
        <v>1.06512715891222</v>
      </c>
      <c r="S1351" s="257">
        <f t="shared" si="273"/>
        <v>0</v>
      </c>
      <c r="T1351" s="257">
        <f t="shared" si="274"/>
        <v>0</v>
      </c>
      <c r="U1351" s="269">
        <f t="shared" si="275"/>
        <v>224198.18962856958</v>
      </c>
      <c r="V1351" s="269">
        <f t="shared" si="276"/>
        <v>224198.18962856958</v>
      </c>
      <c r="W1351" s="269">
        <f t="shared" si="277"/>
        <v>224198.18962856958</v>
      </c>
      <c r="X1351" s="257">
        <f t="shared" si="278"/>
        <v>224198.18962856958</v>
      </c>
      <c r="Y1351" s="270">
        <f>IF(L1351="Complex",(INDEX('Escalators '!$M$176:$S$176,MATCH('Forecast capex'!J1351,'Escalators '!$M$178:$S$178,0))/12+1)^((K1351-J1351)*12)-1,0)</f>
        <v>3.5566952945970565E-2</v>
      </c>
      <c r="Z1351" s="257">
        <f t="shared" si="279"/>
        <v>7486.4736988161649</v>
      </c>
      <c r="AA1351" s="257">
        <f t="shared" si="280"/>
        <v>7974.0464610911204</v>
      </c>
      <c r="AB1351" s="269">
        <f t="shared" si="281"/>
        <v>232172.2360896607</v>
      </c>
      <c r="AC1351" s="269">
        <f t="shared" si="282"/>
        <v>232172.2360896607</v>
      </c>
      <c r="AD1351" s="271" t="str">
        <f>INDEX('Global inputs'!$C$134:$C$171,MATCH(F1351,'Global inputs'!$B$134:$B$171,0))</f>
        <v>Asset replacement and renewal</v>
      </c>
      <c r="AE1351" s="272">
        <f>IF(OR(H1351='Operating leases'!$B$32,H1351='Operating leases'!$B$33),"",INDEX('Global inputs'!$C$186:$C$243,MATCH(E1351,'Global inputs'!$B$186:$B$243,0)))</f>
        <v>0.08</v>
      </c>
    </row>
    <row r="1352" spans="1:31" s="27" customFormat="1" x14ac:dyDescent="0.2">
      <c r="A1352" s="250"/>
      <c r="B1352" s="210" t="s">
        <v>742</v>
      </c>
      <c r="C1352" s="210" t="s">
        <v>286</v>
      </c>
      <c r="D1352" s="210" t="s">
        <v>732</v>
      </c>
      <c r="E1352" s="210" t="s">
        <v>138</v>
      </c>
      <c r="F1352" s="210" t="s">
        <v>108</v>
      </c>
      <c r="G1352" s="210" t="s">
        <v>752</v>
      </c>
      <c r="H1352" s="197">
        <v>0</v>
      </c>
      <c r="I1352" s="210" t="s">
        <v>139</v>
      </c>
      <c r="J1352" s="210">
        <v>2024</v>
      </c>
      <c r="K1352" s="210">
        <v>2025</v>
      </c>
      <c r="L1352" s="268" t="str">
        <f t="shared" si="270"/>
        <v>Complex</v>
      </c>
      <c r="M1352" s="197">
        <v>315734.39999999997</v>
      </c>
      <c r="N1352" s="197">
        <v>0</v>
      </c>
      <c r="O1352" s="257">
        <f>IF(ISNA(MATCH(H1352,'Operating leases'!$B$32:$B$43,0)),0,INDEX('Operating leases'!$M$32:$S$43,MATCH(H1352,'Operating leases'!$B$32:$B$43,0),MATCH(J1352,'Operating leases'!$M$11:$S$11,0)))</f>
        <v>0</v>
      </c>
      <c r="P1352" s="257">
        <f t="shared" si="271"/>
        <v>315734.39999999997</v>
      </c>
      <c r="Q1352" s="257">
        <f t="shared" si="272"/>
        <v>315734.39999999997</v>
      </c>
      <c r="R1352" s="258">
        <f>INDEX('Escalators '!$M$124:$S$129,MATCH(I1352,'Escalators '!$B$124:$B$129,0),MATCH(J1352,'Escalators '!$M$113:$S$113,0))</f>
        <v>1.0400802295441569</v>
      </c>
      <c r="S1352" s="257">
        <f t="shared" si="273"/>
        <v>0</v>
      </c>
      <c r="T1352" s="257">
        <f t="shared" si="274"/>
        <v>0</v>
      </c>
      <c r="U1352" s="269">
        <f t="shared" si="275"/>
        <v>328389.10722698661</v>
      </c>
      <c r="V1352" s="269">
        <f t="shared" si="276"/>
        <v>328389.10722698661</v>
      </c>
      <c r="W1352" s="269">
        <f t="shared" si="277"/>
        <v>328389.10722698661</v>
      </c>
      <c r="X1352" s="257">
        <f t="shared" si="278"/>
        <v>328389.10722698661</v>
      </c>
      <c r="Y1352" s="270">
        <f>IF(L1352="Complex",(INDEX('Escalators '!$M$176:$S$176,MATCH('Forecast capex'!J1352,'Escalators '!$M$178:$S$178,0))/12+1)^((K1352-J1352)*12)-1,0)</f>
        <v>3.5566952945970565E-2</v>
      </c>
      <c r="Z1352" s="257">
        <f t="shared" si="279"/>
        <v>11229.710548224248</v>
      </c>
      <c r="AA1352" s="257">
        <f t="shared" si="280"/>
        <v>11679.799924711515</v>
      </c>
      <c r="AB1352" s="269">
        <f t="shared" si="281"/>
        <v>340068.90715169813</v>
      </c>
      <c r="AC1352" s="269">
        <f t="shared" si="282"/>
        <v>340068.90715169813</v>
      </c>
      <c r="AD1352" s="271" t="str">
        <f>INDEX('Global inputs'!$C$134:$C$171,MATCH(F1352,'Global inputs'!$B$134:$B$171,0))</f>
        <v>Asset replacement and renewal</v>
      </c>
      <c r="AE1352" s="272">
        <f>IF(OR(H1352='Operating leases'!$B$32,H1352='Operating leases'!$B$33),"",INDEX('Global inputs'!$C$186:$C$243,MATCH(E1352,'Global inputs'!$B$186:$B$243,0)))</f>
        <v>0.08</v>
      </c>
    </row>
    <row r="1353" spans="1:31" s="27" customFormat="1" x14ac:dyDescent="0.2">
      <c r="A1353" s="250"/>
      <c r="B1353" s="210" t="s">
        <v>742</v>
      </c>
      <c r="C1353" s="210" t="s">
        <v>286</v>
      </c>
      <c r="D1353" s="210" t="s">
        <v>732</v>
      </c>
      <c r="E1353" s="210" t="s">
        <v>141</v>
      </c>
      <c r="F1353" s="210" t="s">
        <v>108</v>
      </c>
      <c r="G1353" s="210" t="s">
        <v>734</v>
      </c>
      <c r="H1353" s="197">
        <v>0</v>
      </c>
      <c r="I1353" s="210" t="s">
        <v>221</v>
      </c>
      <c r="J1353" s="210">
        <v>2024</v>
      </c>
      <c r="K1353" s="210">
        <v>2025</v>
      </c>
      <c r="L1353" s="268" t="str">
        <f t="shared" si="270"/>
        <v>Complex</v>
      </c>
      <c r="M1353" s="197">
        <v>10773</v>
      </c>
      <c r="N1353" s="197">
        <v>0</v>
      </c>
      <c r="O1353" s="257">
        <f>IF(ISNA(MATCH(H1353,'Operating leases'!$B$32:$B$43,0)),0,INDEX('Operating leases'!$M$32:$S$43,MATCH(H1353,'Operating leases'!$B$32:$B$43,0),MATCH(J1353,'Operating leases'!$M$11:$S$11,0)))</f>
        <v>0</v>
      </c>
      <c r="P1353" s="257">
        <f t="shared" si="271"/>
        <v>10773</v>
      </c>
      <c r="Q1353" s="257">
        <f t="shared" si="272"/>
        <v>10773</v>
      </c>
      <c r="R1353" s="258">
        <f>INDEX('Escalators '!$M$124:$S$129,MATCH(I1353,'Escalators '!$B$124:$B$129,0),MATCH(J1353,'Escalators '!$M$113:$S$113,0))</f>
        <v>1.06512715891222</v>
      </c>
      <c r="S1353" s="257">
        <f t="shared" si="273"/>
        <v>0</v>
      </c>
      <c r="T1353" s="257">
        <f t="shared" si="274"/>
        <v>0</v>
      </c>
      <c r="U1353" s="269">
        <f t="shared" si="275"/>
        <v>11474.614882961347</v>
      </c>
      <c r="V1353" s="269">
        <f t="shared" si="276"/>
        <v>11474.614882961347</v>
      </c>
      <c r="W1353" s="269">
        <f t="shared" si="277"/>
        <v>11474.614882961347</v>
      </c>
      <c r="X1353" s="257">
        <f t="shared" si="278"/>
        <v>11474.614882961347</v>
      </c>
      <c r="Y1353" s="270">
        <f>IF(L1353="Complex",(INDEX('Escalators '!$M$176:$S$176,MATCH('Forecast capex'!J1353,'Escalators '!$M$178:$S$178,0))/12+1)^((K1353-J1353)*12)-1,0)</f>
        <v>3.5566952945970565E-2</v>
      </c>
      <c r="Z1353" s="257">
        <f t="shared" si="279"/>
        <v>383.16278408694092</v>
      </c>
      <c r="AA1353" s="257">
        <f t="shared" si="280"/>
        <v>408.11708761541973</v>
      </c>
      <c r="AB1353" s="269">
        <f t="shared" si="281"/>
        <v>11882.731970576766</v>
      </c>
      <c r="AC1353" s="269">
        <f t="shared" si="282"/>
        <v>11882.731970576766</v>
      </c>
      <c r="AD1353" s="271" t="str">
        <f>INDEX('Global inputs'!$C$134:$C$171,MATCH(F1353,'Global inputs'!$B$134:$B$171,0))</f>
        <v>Asset replacement and renewal</v>
      </c>
      <c r="AE1353" s="272">
        <f>IF(OR(H1353='Operating leases'!$B$32,H1353='Operating leases'!$B$33),"",INDEX('Global inputs'!$C$186:$C$243,MATCH(E1353,'Global inputs'!$B$186:$B$243,0)))</f>
        <v>0.08</v>
      </c>
    </row>
    <row r="1354" spans="1:31" s="27" customFormat="1" x14ac:dyDescent="0.2">
      <c r="A1354" s="250"/>
      <c r="B1354" s="210" t="s">
        <v>742</v>
      </c>
      <c r="C1354" s="210" t="s">
        <v>286</v>
      </c>
      <c r="D1354" s="210" t="s">
        <v>732</v>
      </c>
      <c r="E1354" s="210" t="s">
        <v>141</v>
      </c>
      <c r="F1354" s="210" t="s">
        <v>108</v>
      </c>
      <c r="G1354" s="210" t="s">
        <v>734</v>
      </c>
      <c r="H1354" s="197">
        <v>0</v>
      </c>
      <c r="I1354" s="210" t="s">
        <v>142</v>
      </c>
      <c r="J1354" s="210">
        <v>2024</v>
      </c>
      <c r="K1354" s="210">
        <v>2025</v>
      </c>
      <c r="L1354" s="268" t="str">
        <f t="shared" ref="L1354:L1417" si="283">IF(J1354=K1354,"Simple","Complex")</f>
        <v>Complex</v>
      </c>
      <c r="M1354" s="197">
        <v>43092</v>
      </c>
      <c r="N1354" s="197">
        <v>0</v>
      </c>
      <c r="O1354" s="257">
        <f>IF(ISNA(MATCH(H1354,'Operating leases'!$B$32:$B$43,0)),0,INDEX('Operating leases'!$M$32:$S$43,MATCH(H1354,'Operating leases'!$B$32:$B$43,0),MATCH(J1354,'Operating leases'!$M$11:$S$11,0)))</f>
        <v>0</v>
      </c>
      <c r="P1354" s="257">
        <f t="shared" ref="P1354:P1417" si="284">O1354+M1354</f>
        <v>43092</v>
      </c>
      <c r="Q1354" s="257">
        <f t="shared" ref="Q1354:Q1417" si="285">M1354+N1354+O1354</f>
        <v>43092</v>
      </c>
      <c r="R1354" s="258">
        <f>INDEX('Escalators '!$M$124:$S$129,MATCH(I1354,'Escalators '!$B$124:$B$129,0),MATCH(J1354,'Escalators '!$M$113:$S$113,0))</f>
        <v>1.06767964286932</v>
      </c>
      <c r="S1354" s="257">
        <f t="shared" ref="S1354:S1417" si="286">O1354*R1354</f>
        <v>0</v>
      </c>
      <c r="T1354" s="257">
        <f t="shared" ref="T1354:T1417" si="287">N1354*R1354</f>
        <v>0</v>
      </c>
      <c r="U1354" s="269">
        <f t="shared" ref="U1354:U1417" si="288">W1354-S1354</f>
        <v>46008.451170524742</v>
      </c>
      <c r="V1354" s="269">
        <f t="shared" ref="V1354:V1417" si="289">U1354+T1354</f>
        <v>46008.451170524742</v>
      </c>
      <c r="W1354" s="269">
        <f t="shared" ref="W1354:W1417" si="290">X1354-T1354</f>
        <v>46008.451170524742</v>
      </c>
      <c r="X1354" s="257">
        <f t="shared" ref="X1354:X1417" si="291">Q1354*R1354</f>
        <v>46008.451170524742</v>
      </c>
      <c r="Y1354" s="270">
        <f>IF(L1354="Complex",(INDEX('Escalators '!$M$176:$S$176,MATCH('Forecast capex'!J1354,'Escalators '!$M$178:$S$178,0))/12+1)^((K1354-J1354)*12)-1,0)</f>
        <v>3.5566952945970565E-2</v>
      </c>
      <c r="Z1354" s="257">
        <f t="shared" ref="Z1354:Z1417" si="292">P1354*Y1354</f>
        <v>1532.6511363477637</v>
      </c>
      <c r="AA1354" s="257">
        <f t="shared" ref="AA1354:AA1417" si="293">W1354*Y1354</f>
        <v>1636.3804178990379</v>
      </c>
      <c r="AB1354" s="269">
        <f t="shared" ref="AB1354:AB1417" si="294">IF(L1354="Complex",AC1354-T1354,0)</f>
        <v>47644.831588423782</v>
      </c>
      <c r="AC1354" s="269">
        <f t="shared" ref="AC1354:AC1417" si="295">IF(L1354="Complex",V1354+AA1354,0)</f>
        <v>47644.831588423782</v>
      </c>
      <c r="AD1354" s="271" t="str">
        <f>INDEX('Global inputs'!$C$134:$C$171,MATCH(F1354,'Global inputs'!$B$134:$B$171,0))</f>
        <v>Asset replacement and renewal</v>
      </c>
      <c r="AE1354" s="272">
        <f>IF(OR(H1354='Operating leases'!$B$32,H1354='Operating leases'!$B$33),"",INDEX('Global inputs'!$C$186:$C$243,MATCH(E1354,'Global inputs'!$B$186:$B$243,0)))</f>
        <v>0.08</v>
      </c>
    </row>
    <row r="1355" spans="1:31" s="27" customFormat="1" x14ac:dyDescent="0.2">
      <c r="A1355" s="250"/>
      <c r="B1355" s="210" t="s">
        <v>742</v>
      </c>
      <c r="C1355" s="210" t="s">
        <v>286</v>
      </c>
      <c r="D1355" s="210" t="s">
        <v>735</v>
      </c>
      <c r="E1355" s="210" t="s">
        <v>144</v>
      </c>
      <c r="F1355" s="210" t="s">
        <v>108</v>
      </c>
      <c r="G1355" s="210" t="s">
        <v>736</v>
      </c>
      <c r="H1355" s="197">
        <v>0</v>
      </c>
      <c r="I1355" s="210" t="s">
        <v>221</v>
      </c>
      <c r="J1355" s="210">
        <v>2024</v>
      </c>
      <c r="K1355" s="210">
        <v>2025</v>
      </c>
      <c r="L1355" s="268" t="str">
        <f t="shared" si="283"/>
        <v>Complex</v>
      </c>
      <c r="M1355" s="197">
        <v>52987.199999999997</v>
      </c>
      <c r="N1355" s="197">
        <v>0</v>
      </c>
      <c r="O1355" s="257">
        <f>IF(ISNA(MATCH(H1355,'Operating leases'!$B$32:$B$43,0)),0,INDEX('Operating leases'!$M$32:$S$43,MATCH(H1355,'Operating leases'!$B$32:$B$43,0),MATCH(J1355,'Operating leases'!$M$11:$S$11,0)))</f>
        <v>0</v>
      </c>
      <c r="P1355" s="257">
        <f t="shared" si="284"/>
        <v>52987.199999999997</v>
      </c>
      <c r="Q1355" s="257">
        <f t="shared" si="285"/>
        <v>52987.199999999997</v>
      </c>
      <c r="R1355" s="258">
        <f>INDEX('Escalators '!$M$124:$S$129,MATCH(I1355,'Escalators '!$B$124:$B$129,0),MATCH(J1355,'Escalators '!$M$113:$S$113,0))</f>
        <v>1.06512715891222</v>
      </c>
      <c r="S1355" s="257">
        <f t="shared" si="286"/>
        <v>0</v>
      </c>
      <c r="T1355" s="257">
        <f t="shared" si="287"/>
        <v>0</v>
      </c>
      <c r="U1355" s="269">
        <f t="shared" si="288"/>
        <v>56438.105794713578</v>
      </c>
      <c r="V1355" s="269">
        <f t="shared" si="289"/>
        <v>56438.105794713578</v>
      </c>
      <c r="W1355" s="269">
        <f t="shared" si="290"/>
        <v>56438.105794713578</v>
      </c>
      <c r="X1355" s="257">
        <f t="shared" si="291"/>
        <v>56438.105794713578</v>
      </c>
      <c r="Y1355" s="270">
        <f>IF(L1355="Complex",(INDEX('Escalators '!$M$176:$S$176,MATCH('Forecast capex'!J1355,'Escalators '!$M$178:$S$178,0))/12+1)^((K1355-J1355)*12)-1,0)</f>
        <v>3.5566952945970565E-2</v>
      </c>
      <c r="Z1355" s="257">
        <f t="shared" si="292"/>
        <v>1884.5932491387314</v>
      </c>
      <c r="AA1355" s="257">
        <f t="shared" si="293"/>
        <v>2007.3314531602864</v>
      </c>
      <c r="AB1355" s="269">
        <f t="shared" si="294"/>
        <v>58445.437247873866</v>
      </c>
      <c r="AC1355" s="269">
        <f t="shared" si="295"/>
        <v>58445.437247873866</v>
      </c>
      <c r="AD1355" s="271" t="str">
        <f>INDEX('Global inputs'!$C$134:$C$171,MATCH(F1355,'Global inputs'!$B$134:$B$171,0))</f>
        <v>Asset replacement and renewal</v>
      </c>
      <c r="AE1355" s="272">
        <f>IF(OR(H1355='Operating leases'!$B$32,H1355='Operating leases'!$B$33),"",INDEX('Global inputs'!$C$186:$C$243,MATCH(E1355,'Global inputs'!$B$186:$B$243,0)))</f>
        <v>0.08</v>
      </c>
    </row>
    <row r="1356" spans="1:31" s="27" customFormat="1" x14ac:dyDescent="0.2">
      <c r="A1356" s="250"/>
      <c r="B1356" s="210" t="s">
        <v>742</v>
      </c>
      <c r="C1356" s="210" t="s">
        <v>286</v>
      </c>
      <c r="D1356" s="210" t="s">
        <v>735</v>
      </c>
      <c r="E1356" s="210" t="s">
        <v>144</v>
      </c>
      <c r="F1356" s="210" t="s">
        <v>108</v>
      </c>
      <c r="G1356" s="210" t="s">
        <v>736</v>
      </c>
      <c r="H1356" s="197">
        <v>0</v>
      </c>
      <c r="I1356" s="210" t="s">
        <v>229</v>
      </c>
      <c r="J1356" s="210">
        <v>2024</v>
      </c>
      <c r="K1356" s="210">
        <v>2025</v>
      </c>
      <c r="L1356" s="268" t="str">
        <f t="shared" si="283"/>
        <v>Complex</v>
      </c>
      <c r="M1356" s="197">
        <v>13246.8</v>
      </c>
      <c r="N1356" s="197">
        <v>0</v>
      </c>
      <c r="O1356" s="257">
        <f>IF(ISNA(MATCH(H1356,'Operating leases'!$B$32:$B$43,0)),0,INDEX('Operating leases'!$M$32:$S$43,MATCH(H1356,'Operating leases'!$B$32:$B$43,0),MATCH(J1356,'Operating leases'!$M$11:$S$11,0)))</f>
        <v>0</v>
      </c>
      <c r="P1356" s="257">
        <f t="shared" si="284"/>
        <v>13246.8</v>
      </c>
      <c r="Q1356" s="257">
        <f t="shared" si="285"/>
        <v>13246.8</v>
      </c>
      <c r="R1356" s="258">
        <f>INDEX('Escalators '!$M$124:$S$129,MATCH(I1356,'Escalators '!$B$124:$B$129,0),MATCH(J1356,'Escalators '!$M$113:$S$113,0))</f>
        <v>1.0731681760713303</v>
      </c>
      <c r="S1356" s="257">
        <f t="shared" si="286"/>
        <v>0</v>
      </c>
      <c r="T1356" s="257">
        <f t="shared" si="287"/>
        <v>0</v>
      </c>
      <c r="U1356" s="269">
        <f t="shared" si="288"/>
        <v>14216.044194781698</v>
      </c>
      <c r="V1356" s="269">
        <f t="shared" si="289"/>
        <v>14216.044194781698</v>
      </c>
      <c r="W1356" s="269">
        <f t="shared" si="290"/>
        <v>14216.044194781698</v>
      </c>
      <c r="X1356" s="257">
        <f t="shared" si="291"/>
        <v>14216.044194781698</v>
      </c>
      <c r="Y1356" s="270">
        <f>IF(L1356="Complex",(INDEX('Escalators '!$M$176:$S$176,MATCH('Forecast capex'!J1356,'Escalators '!$M$178:$S$178,0))/12+1)^((K1356-J1356)*12)-1,0)</f>
        <v>3.5566952945970565E-2</v>
      </c>
      <c r="Z1356" s="257">
        <f t="shared" si="292"/>
        <v>471.14831228468285</v>
      </c>
      <c r="AA1356" s="257">
        <f t="shared" si="293"/>
        <v>505.62137495363868</v>
      </c>
      <c r="AB1356" s="269">
        <f t="shared" si="294"/>
        <v>14721.665569735336</v>
      </c>
      <c r="AC1356" s="269">
        <f t="shared" si="295"/>
        <v>14721.665569735336</v>
      </c>
      <c r="AD1356" s="271" t="str">
        <f>INDEX('Global inputs'!$C$134:$C$171,MATCH(F1356,'Global inputs'!$B$134:$B$171,0))</f>
        <v>Asset replacement and renewal</v>
      </c>
      <c r="AE1356" s="272">
        <f>IF(OR(H1356='Operating leases'!$B$32,H1356='Operating leases'!$B$33),"",INDEX('Global inputs'!$C$186:$C$243,MATCH(E1356,'Global inputs'!$B$186:$B$243,0)))</f>
        <v>0.08</v>
      </c>
    </row>
    <row r="1357" spans="1:31" s="27" customFormat="1" x14ac:dyDescent="0.2">
      <c r="A1357" s="250"/>
      <c r="B1357" s="210" t="s">
        <v>742</v>
      </c>
      <c r="C1357" s="210" t="s">
        <v>288</v>
      </c>
      <c r="D1357" s="210" t="s">
        <v>223</v>
      </c>
      <c r="E1357" s="210" t="s">
        <v>156</v>
      </c>
      <c r="F1357" s="210" t="s">
        <v>108</v>
      </c>
      <c r="G1357" s="210" t="s">
        <v>727</v>
      </c>
      <c r="H1357" s="197">
        <v>0</v>
      </c>
      <c r="I1357" s="210" t="s">
        <v>221</v>
      </c>
      <c r="J1357" s="210">
        <v>2024</v>
      </c>
      <c r="K1357" s="210">
        <v>2025</v>
      </c>
      <c r="L1357" s="268" t="str">
        <f t="shared" si="283"/>
        <v>Complex</v>
      </c>
      <c r="M1357" s="197">
        <v>10473.75</v>
      </c>
      <c r="N1357" s="197">
        <v>0</v>
      </c>
      <c r="O1357" s="257">
        <f>IF(ISNA(MATCH(H1357,'Operating leases'!$B$32:$B$43,0)),0,INDEX('Operating leases'!$M$32:$S$43,MATCH(H1357,'Operating leases'!$B$32:$B$43,0),MATCH(J1357,'Operating leases'!$M$11:$S$11,0)))</f>
        <v>0</v>
      </c>
      <c r="P1357" s="257">
        <f t="shared" si="284"/>
        <v>10473.75</v>
      </c>
      <c r="Q1357" s="257">
        <f t="shared" si="285"/>
        <v>10473.75</v>
      </c>
      <c r="R1357" s="258">
        <f>INDEX('Escalators '!$M$124:$S$129,MATCH(I1357,'Escalators '!$B$124:$B$129,0),MATCH(J1357,'Escalators '!$M$113:$S$113,0))</f>
        <v>1.06512715891222</v>
      </c>
      <c r="S1357" s="257">
        <f t="shared" si="286"/>
        <v>0</v>
      </c>
      <c r="T1357" s="257">
        <f t="shared" si="287"/>
        <v>0</v>
      </c>
      <c r="U1357" s="269">
        <f t="shared" si="288"/>
        <v>11155.875580656864</v>
      </c>
      <c r="V1357" s="269">
        <f t="shared" si="289"/>
        <v>11155.875580656864</v>
      </c>
      <c r="W1357" s="269">
        <f t="shared" si="290"/>
        <v>11155.875580656864</v>
      </c>
      <c r="X1357" s="257">
        <f t="shared" si="291"/>
        <v>11155.875580656864</v>
      </c>
      <c r="Y1357" s="270">
        <f>IF(L1357="Complex",(INDEX('Escalators '!$M$176:$S$176,MATCH('Forecast capex'!J1357,'Escalators '!$M$178:$S$178,0))/12+1)^((K1357-J1357)*12)-1,0)</f>
        <v>3.5566952945970565E-2</v>
      </c>
      <c r="Z1357" s="257">
        <f t="shared" si="292"/>
        <v>372.51937341785919</v>
      </c>
      <c r="AA1357" s="257">
        <f t="shared" si="293"/>
        <v>396.78050184832472</v>
      </c>
      <c r="AB1357" s="269">
        <f t="shared" si="294"/>
        <v>11552.656082505189</v>
      </c>
      <c r="AC1357" s="269">
        <f t="shared" si="295"/>
        <v>11552.656082505189</v>
      </c>
      <c r="AD1357" s="271" t="str">
        <f>INDEX('Global inputs'!$C$134:$C$171,MATCH(F1357,'Global inputs'!$B$134:$B$171,0))</f>
        <v>Asset replacement and renewal</v>
      </c>
      <c r="AE1357" s="272">
        <f>IF(OR(H1357='Operating leases'!$B$32,H1357='Operating leases'!$B$33),"",INDEX('Global inputs'!$C$186:$C$243,MATCH(E1357,'Global inputs'!$B$186:$B$243,0)))</f>
        <v>0.08</v>
      </c>
    </row>
    <row r="1358" spans="1:31" s="27" customFormat="1" x14ac:dyDescent="0.2">
      <c r="A1358" s="250"/>
      <c r="B1358" s="210" t="s">
        <v>742</v>
      </c>
      <c r="C1358" s="210" t="s">
        <v>288</v>
      </c>
      <c r="D1358" s="210" t="s">
        <v>223</v>
      </c>
      <c r="E1358" s="210" t="s">
        <v>156</v>
      </c>
      <c r="F1358" s="210" t="s">
        <v>108</v>
      </c>
      <c r="G1358" s="210" t="s">
        <v>727</v>
      </c>
      <c r="H1358" s="197">
        <v>0</v>
      </c>
      <c r="I1358" s="210" t="s">
        <v>223</v>
      </c>
      <c r="J1358" s="210">
        <v>2024</v>
      </c>
      <c r="K1358" s="210">
        <v>2025</v>
      </c>
      <c r="L1358" s="268" t="str">
        <f t="shared" si="283"/>
        <v>Complex</v>
      </c>
      <c r="M1358" s="197">
        <v>4488.75</v>
      </c>
      <c r="N1358" s="197">
        <v>0</v>
      </c>
      <c r="O1358" s="257">
        <f>IF(ISNA(MATCH(H1358,'Operating leases'!$B$32:$B$43,0)),0,INDEX('Operating leases'!$M$32:$S$43,MATCH(H1358,'Operating leases'!$B$32:$B$43,0),MATCH(J1358,'Operating leases'!$M$11:$S$11,0)))</f>
        <v>0</v>
      </c>
      <c r="P1358" s="257">
        <f t="shared" si="284"/>
        <v>4488.75</v>
      </c>
      <c r="Q1358" s="257">
        <f t="shared" si="285"/>
        <v>4488.75</v>
      </c>
      <c r="R1358" s="258">
        <f>INDEX('Escalators '!$M$124:$S$129,MATCH(I1358,'Escalators '!$B$124:$B$129,0),MATCH(J1358,'Escalators '!$M$113:$S$113,0))</f>
        <v>1.0992204162588337</v>
      </c>
      <c r="S1358" s="257">
        <f t="shared" si="286"/>
        <v>0</v>
      </c>
      <c r="T1358" s="257">
        <f t="shared" si="287"/>
        <v>0</v>
      </c>
      <c r="U1358" s="269">
        <f t="shared" si="288"/>
        <v>4934.1256434818397</v>
      </c>
      <c r="V1358" s="269">
        <f t="shared" si="289"/>
        <v>4934.1256434818397</v>
      </c>
      <c r="W1358" s="269">
        <f t="shared" si="290"/>
        <v>4934.1256434818397</v>
      </c>
      <c r="X1358" s="257">
        <f t="shared" si="291"/>
        <v>4934.1256434818397</v>
      </c>
      <c r="Y1358" s="270">
        <f>IF(L1358="Complex",(INDEX('Escalators '!$M$176:$S$176,MATCH('Forecast capex'!J1358,'Escalators '!$M$178:$S$178,0))/12+1)^((K1358-J1358)*12)-1,0)</f>
        <v>3.5566952945970565E-2</v>
      </c>
      <c r="Z1358" s="257">
        <f t="shared" si="292"/>
        <v>159.65116003622538</v>
      </c>
      <c r="AA1358" s="257">
        <f t="shared" si="293"/>
        <v>175.49181459122534</v>
      </c>
      <c r="AB1358" s="269">
        <f t="shared" si="294"/>
        <v>5109.6174580730649</v>
      </c>
      <c r="AC1358" s="269">
        <f t="shared" si="295"/>
        <v>5109.6174580730649</v>
      </c>
      <c r="AD1358" s="271" t="str">
        <f>INDEX('Global inputs'!$C$134:$C$171,MATCH(F1358,'Global inputs'!$B$134:$B$171,0))</f>
        <v>Asset replacement and renewal</v>
      </c>
      <c r="AE1358" s="272">
        <f>IF(OR(H1358='Operating leases'!$B$32,H1358='Operating leases'!$B$33),"",INDEX('Global inputs'!$C$186:$C$243,MATCH(E1358,'Global inputs'!$B$186:$B$243,0)))</f>
        <v>0.08</v>
      </c>
    </row>
    <row r="1359" spans="1:31" s="27" customFormat="1" x14ac:dyDescent="0.2">
      <c r="A1359" s="250"/>
      <c r="B1359" s="210" t="s">
        <v>742</v>
      </c>
      <c r="C1359" s="210" t="s">
        <v>286</v>
      </c>
      <c r="D1359" s="210" t="s">
        <v>732</v>
      </c>
      <c r="E1359" s="210" t="s">
        <v>138</v>
      </c>
      <c r="F1359" s="210" t="s">
        <v>108</v>
      </c>
      <c r="G1359" s="210" t="s">
        <v>752</v>
      </c>
      <c r="H1359" s="197">
        <v>0</v>
      </c>
      <c r="I1359" s="210" t="s">
        <v>221</v>
      </c>
      <c r="J1359" s="210">
        <v>2024</v>
      </c>
      <c r="K1359" s="210">
        <v>2025</v>
      </c>
      <c r="L1359" s="268" t="str">
        <f t="shared" si="283"/>
        <v>Complex</v>
      </c>
      <c r="M1359" s="197">
        <v>310011.59999999998</v>
      </c>
      <c r="N1359" s="197">
        <v>0</v>
      </c>
      <c r="O1359" s="257">
        <f>IF(ISNA(MATCH(H1359,'Operating leases'!$B$32:$B$43,0)),0,INDEX('Operating leases'!$M$32:$S$43,MATCH(H1359,'Operating leases'!$B$32:$B$43,0),MATCH(J1359,'Operating leases'!$M$11:$S$11,0)))</f>
        <v>0</v>
      </c>
      <c r="P1359" s="257">
        <f t="shared" si="284"/>
        <v>310011.59999999998</v>
      </c>
      <c r="Q1359" s="257">
        <f t="shared" si="285"/>
        <v>310011.59999999998</v>
      </c>
      <c r="R1359" s="258">
        <f>INDEX('Escalators '!$M$124:$S$129,MATCH(I1359,'Escalators '!$B$124:$B$129,0),MATCH(J1359,'Escalators '!$M$113:$S$113,0))</f>
        <v>1.06512715891222</v>
      </c>
      <c r="S1359" s="257">
        <f t="shared" si="286"/>
        <v>0</v>
      </c>
      <c r="T1359" s="257">
        <f t="shared" si="287"/>
        <v>0</v>
      </c>
      <c r="U1359" s="269">
        <f t="shared" si="288"/>
        <v>330201.77473783155</v>
      </c>
      <c r="V1359" s="269">
        <f t="shared" si="289"/>
        <v>330201.77473783155</v>
      </c>
      <c r="W1359" s="269">
        <f t="shared" si="290"/>
        <v>330201.77473783155</v>
      </c>
      <c r="X1359" s="257">
        <f t="shared" si="291"/>
        <v>330201.77473783155</v>
      </c>
      <c r="Y1359" s="270">
        <f>IF(L1359="Complex",(INDEX('Escalators '!$M$176:$S$176,MATCH('Forecast capex'!J1359,'Escalators '!$M$178:$S$178,0))/12+1)^((K1359-J1359)*12)-1,0)</f>
        <v>3.5566952945970565E-2</v>
      </c>
      <c r="Z1359" s="257">
        <f t="shared" si="292"/>
        <v>11026.167989905047</v>
      </c>
      <c r="AA1359" s="257">
        <f t="shared" si="293"/>
        <v>11744.270984776427</v>
      </c>
      <c r="AB1359" s="269">
        <f t="shared" si="294"/>
        <v>341946.04572260799</v>
      </c>
      <c r="AC1359" s="269">
        <f t="shared" si="295"/>
        <v>341946.04572260799</v>
      </c>
      <c r="AD1359" s="271" t="str">
        <f>INDEX('Global inputs'!$C$134:$C$171,MATCH(F1359,'Global inputs'!$B$134:$B$171,0))</f>
        <v>Asset replacement and renewal</v>
      </c>
      <c r="AE1359" s="272">
        <f>IF(OR(H1359='Operating leases'!$B$32,H1359='Operating leases'!$B$33),"",INDEX('Global inputs'!$C$186:$C$243,MATCH(E1359,'Global inputs'!$B$186:$B$243,0)))</f>
        <v>0.08</v>
      </c>
    </row>
    <row r="1360" spans="1:31" s="27" customFormat="1" x14ac:dyDescent="0.2">
      <c r="A1360" s="250"/>
      <c r="B1360" s="210" t="s">
        <v>742</v>
      </c>
      <c r="C1360" s="210" t="s">
        <v>286</v>
      </c>
      <c r="D1360" s="210" t="s">
        <v>732</v>
      </c>
      <c r="E1360" s="210" t="s">
        <v>138</v>
      </c>
      <c r="F1360" s="210" t="s">
        <v>108</v>
      </c>
      <c r="G1360" s="210" t="s">
        <v>752</v>
      </c>
      <c r="H1360" s="197">
        <v>0</v>
      </c>
      <c r="I1360" s="210" t="s">
        <v>139</v>
      </c>
      <c r="J1360" s="210">
        <v>2024</v>
      </c>
      <c r="K1360" s="210">
        <v>2025</v>
      </c>
      <c r="L1360" s="268" t="str">
        <f t="shared" si="283"/>
        <v>Complex</v>
      </c>
      <c r="M1360" s="197">
        <v>465017.39999999997</v>
      </c>
      <c r="N1360" s="197">
        <v>0</v>
      </c>
      <c r="O1360" s="257">
        <f>IF(ISNA(MATCH(H1360,'Operating leases'!$B$32:$B$43,0)),0,INDEX('Operating leases'!$M$32:$S$43,MATCH(H1360,'Operating leases'!$B$32:$B$43,0),MATCH(J1360,'Operating leases'!$M$11:$S$11,0)))</f>
        <v>0</v>
      </c>
      <c r="P1360" s="257">
        <f t="shared" si="284"/>
        <v>465017.39999999997</v>
      </c>
      <c r="Q1360" s="257">
        <f t="shared" si="285"/>
        <v>465017.39999999997</v>
      </c>
      <c r="R1360" s="258">
        <f>INDEX('Escalators '!$M$124:$S$129,MATCH(I1360,'Escalators '!$B$124:$B$129,0),MATCH(J1360,'Escalators '!$M$113:$S$113,0))</f>
        <v>1.0400802295441569</v>
      </c>
      <c r="S1360" s="257">
        <f t="shared" si="286"/>
        <v>0</v>
      </c>
      <c r="T1360" s="257">
        <f t="shared" si="287"/>
        <v>0</v>
      </c>
      <c r="U1360" s="269">
        <f t="shared" si="288"/>
        <v>483655.40413402702</v>
      </c>
      <c r="V1360" s="269">
        <f t="shared" si="289"/>
        <v>483655.40413402702</v>
      </c>
      <c r="W1360" s="269">
        <f t="shared" si="290"/>
        <v>483655.40413402702</v>
      </c>
      <c r="X1360" s="257">
        <f t="shared" si="291"/>
        <v>483655.40413402702</v>
      </c>
      <c r="Y1360" s="270">
        <f>IF(L1360="Complex",(INDEX('Escalators '!$M$176:$S$176,MATCH('Forecast capex'!J1360,'Escalators '!$M$178:$S$178,0))/12+1)^((K1360-J1360)*12)-1,0)</f>
        <v>3.5566952945970565E-2</v>
      </c>
      <c r="Z1360" s="257">
        <f t="shared" si="292"/>
        <v>16539.251984857572</v>
      </c>
      <c r="AA1360" s="257">
        <f t="shared" si="293"/>
        <v>17202.149000899317</v>
      </c>
      <c r="AB1360" s="269">
        <f t="shared" si="294"/>
        <v>500857.55313492636</v>
      </c>
      <c r="AC1360" s="269">
        <f t="shared" si="295"/>
        <v>500857.55313492636</v>
      </c>
      <c r="AD1360" s="271" t="str">
        <f>INDEX('Global inputs'!$C$134:$C$171,MATCH(F1360,'Global inputs'!$B$134:$B$171,0))</f>
        <v>Asset replacement and renewal</v>
      </c>
      <c r="AE1360" s="272">
        <f>IF(OR(H1360='Operating leases'!$B$32,H1360='Operating leases'!$B$33),"",INDEX('Global inputs'!$C$186:$C$243,MATCH(E1360,'Global inputs'!$B$186:$B$243,0)))</f>
        <v>0.08</v>
      </c>
    </row>
    <row r="1361" spans="1:31" s="27" customFormat="1" x14ac:dyDescent="0.2">
      <c r="A1361" s="250"/>
      <c r="B1361" s="210" t="s">
        <v>742</v>
      </c>
      <c r="C1361" s="210" t="s">
        <v>286</v>
      </c>
      <c r="D1361" s="210" t="s">
        <v>732</v>
      </c>
      <c r="E1361" s="210" t="s">
        <v>143</v>
      </c>
      <c r="F1361" s="210" t="s">
        <v>108</v>
      </c>
      <c r="G1361" s="210" t="s">
        <v>734</v>
      </c>
      <c r="H1361" s="197">
        <v>0</v>
      </c>
      <c r="I1361" s="210" t="s">
        <v>221</v>
      </c>
      <c r="J1361" s="210">
        <v>2024</v>
      </c>
      <c r="K1361" s="210">
        <v>2025</v>
      </c>
      <c r="L1361" s="268" t="str">
        <f t="shared" si="283"/>
        <v>Complex</v>
      </c>
      <c r="M1361" s="197">
        <v>8436</v>
      </c>
      <c r="N1361" s="197">
        <v>0</v>
      </c>
      <c r="O1361" s="257">
        <f>IF(ISNA(MATCH(H1361,'Operating leases'!$B$32:$B$43,0)),0,INDEX('Operating leases'!$M$32:$S$43,MATCH(H1361,'Operating leases'!$B$32:$B$43,0),MATCH(J1361,'Operating leases'!$M$11:$S$11,0)))</f>
        <v>0</v>
      </c>
      <c r="P1361" s="257">
        <f t="shared" si="284"/>
        <v>8436</v>
      </c>
      <c r="Q1361" s="257">
        <f t="shared" si="285"/>
        <v>8436</v>
      </c>
      <c r="R1361" s="258">
        <f>INDEX('Escalators '!$M$124:$S$129,MATCH(I1361,'Escalators '!$B$124:$B$129,0),MATCH(J1361,'Escalators '!$M$113:$S$113,0))</f>
        <v>1.06512715891222</v>
      </c>
      <c r="S1361" s="257">
        <f t="shared" si="286"/>
        <v>0</v>
      </c>
      <c r="T1361" s="257">
        <f t="shared" si="287"/>
        <v>0</v>
      </c>
      <c r="U1361" s="269">
        <f t="shared" si="288"/>
        <v>8985.4127125834875</v>
      </c>
      <c r="V1361" s="269">
        <f t="shared" si="289"/>
        <v>8985.4127125834875</v>
      </c>
      <c r="W1361" s="269">
        <f t="shared" si="290"/>
        <v>8985.4127125834875</v>
      </c>
      <c r="X1361" s="257">
        <f t="shared" si="291"/>
        <v>8985.4127125834875</v>
      </c>
      <c r="Y1361" s="270">
        <f>IF(L1361="Complex",(INDEX('Escalators '!$M$176:$S$176,MATCH('Forecast capex'!J1361,'Escalators '!$M$178:$S$178,0))/12+1)^((K1361-J1361)*12)-1,0)</f>
        <v>3.5566952945970565E-2</v>
      </c>
      <c r="Z1361" s="257">
        <f t="shared" si="292"/>
        <v>300.04281505220769</v>
      </c>
      <c r="AA1361" s="257">
        <f t="shared" si="293"/>
        <v>319.58375114858262</v>
      </c>
      <c r="AB1361" s="269">
        <f t="shared" si="294"/>
        <v>9304.99646373207</v>
      </c>
      <c r="AC1361" s="269">
        <f t="shared" si="295"/>
        <v>9304.99646373207</v>
      </c>
      <c r="AD1361" s="271" t="str">
        <f>INDEX('Global inputs'!$C$134:$C$171,MATCH(F1361,'Global inputs'!$B$134:$B$171,0))</f>
        <v>Asset replacement and renewal</v>
      </c>
      <c r="AE1361" s="272">
        <f>IF(OR(H1361='Operating leases'!$B$32,H1361='Operating leases'!$B$33),"",INDEX('Global inputs'!$C$186:$C$243,MATCH(E1361,'Global inputs'!$B$186:$B$243,0)))</f>
        <v>0.08</v>
      </c>
    </row>
    <row r="1362" spans="1:31" s="27" customFormat="1" x14ac:dyDescent="0.2">
      <c r="A1362" s="250"/>
      <c r="B1362" s="210" t="s">
        <v>742</v>
      </c>
      <c r="C1362" s="210" t="s">
        <v>286</v>
      </c>
      <c r="D1362" s="210" t="s">
        <v>732</v>
      </c>
      <c r="E1362" s="210" t="s">
        <v>143</v>
      </c>
      <c r="F1362" s="210" t="s">
        <v>108</v>
      </c>
      <c r="G1362" s="210" t="s">
        <v>734</v>
      </c>
      <c r="H1362" s="197">
        <v>0</v>
      </c>
      <c r="I1362" s="210" t="s">
        <v>142</v>
      </c>
      <c r="J1362" s="210">
        <v>2024</v>
      </c>
      <c r="K1362" s="210">
        <v>2025</v>
      </c>
      <c r="L1362" s="268" t="str">
        <f t="shared" si="283"/>
        <v>Complex</v>
      </c>
      <c r="M1362" s="197">
        <v>33744</v>
      </c>
      <c r="N1362" s="197">
        <v>0</v>
      </c>
      <c r="O1362" s="257">
        <f>IF(ISNA(MATCH(H1362,'Operating leases'!$B$32:$B$43,0)),0,INDEX('Operating leases'!$M$32:$S$43,MATCH(H1362,'Operating leases'!$B$32:$B$43,0),MATCH(J1362,'Operating leases'!$M$11:$S$11,0)))</f>
        <v>0</v>
      </c>
      <c r="P1362" s="257">
        <f t="shared" si="284"/>
        <v>33744</v>
      </c>
      <c r="Q1362" s="257">
        <f t="shared" si="285"/>
        <v>33744</v>
      </c>
      <c r="R1362" s="258">
        <f>INDEX('Escalators '!$M$124:$S$129,MATCH(I1362,'Escalators '!$B$124:$B$129,0),MATCH(J1362,'Escalators '!$M$113:$S$113,0))</f>
        <v>1.06767964286932</v>
      </c>
      <c r="S1362" s="257">
        <f t="shared" si="286"/>
        <v>0</v>
      </c>
      <c r="T1362" s="257">
        <f t="shared" si="287"/>
        <v>0</v>
      </c>
      <c r="U1362" s="269">
        <f t="shared" si="288"/>
        <v>36027.781868982333</v>
      </c>
      <c r="V1362" s="269">
        <f t="shared" si="289"/>
        <v>36027.781868982333</v>
      </c>
      <c r="W1362" s="269">
        <f t="shared" si="290"/>
        <v>36027.781868982333</v>
      </c>
      <c r="X1362" s="257">
        <f t="shared" si="291"/>
        <v>36027.781868982333</v>
      </c>
      <c r="Y1362" s="270">
        <f>IF(L1362="Complex",(INDEX('Escalators '!$M$176:$S$176,MATCH('Forecast capex'!J1362,'Escalators '!$M$178:$S$178,0))/12+1)^((K1362-J1362)*12)-1,0)</f>
        <v>3.5566952945970565E-2</v>
      </c>
      <c r="Z1362" s="257">
        <f t="shared" si="292"/>
        <v>1200.1712602088307</v>
      </c>
      <c r="AA1362" s="257">
        <f t="shared" si="293"/>
        <v>1281.3984224817862</v>
      </c>
      <c r="AB1362" s="269">
        <f t="shared" si="294"/>
        <v>37309.180291464116</v>
      </c>
      <c r="AC1362" s="269">
        <f t="shared" si="295"/>
        <v>37309.180291464116</v>
      </c>
      <c r="AD1362" s="271" t="str">
        <f>INDEX('Global inputs'!$C$134:$C$171,MATCH(F1362,'Global inputs'!$B$134:$B$171,0))</f>
        <v>Asset replacement and renewal</v>
      </c>
      <c r="AE1362" s="272">
        <f>IF(OR(H1362='Operating leases'!$B$32,H1362='Operating leases'!$B$33),"",INDEX('Global inputs'!$C$186:$C$243,MATCH(E1362,'Global inputs'!$B$186:$B$243,0)))</f>
        <v>0.08</v>
      </c>
    </row>
    <row r="1363" spans="1:31" s="27" customFormat="1" x14ac:dyDescent="0.2">
      <c r="A1363" s="250"/>
      <c r="B1363" s="210" t="s">
        <v>742</v>
      </c>
      <c r="C1363" s="210" t="s">
        <v>289</v>
      </c>
      <c r="D1363" s="210" t="s">
        <v>723</v>
      </c>
      <c r="E1363" s="210" t="s">
        <v>164</v>
      </c>
      <c r="F1363" s="210" t="s">
        <v>108</v>
      </c>
      <c r="G1363" s="210" t="s">
        <v>724</v>
      </c>
      <c r="H1363" s="197">
        <v>0</v>
      </c>
      <c r="I1363" s="210" t="s">
        <v>221</v>
      </c>
      <c r="J1363" s="210">
        <v>2024</v>
      </c>
      <c r="K1363" s="210">
        <v>2025</v>
      </c>
      <c r="L1363" s="268" t="str">
        <f t="shared" si="283"/>
        <v>Complex</v>
      </c>
      <c r="M1363" s="197">
        <v>5198.3999999999996</v>
      </c>
      <c r="N1363" s="197">
        <v>0</v>
      </c>
      <c r="O1363" s="257">
        <f>IF(ISNA(MATCH(H1363,'Operating leases'!$B$32:$B$43,0)),0,INDEX('Operating leases'!$M$32:$S$43,MATCH(H1363,'Operating leases'!$B$32:$B$43,0),MATCH(J1363,'Operating leases'!$M$11:$S$11,0)))</f>
        <v>0</v>
      </c>
      <c r="P1363" s="257">
        <f t="shared" si="284"/>
        <v>5198.3999999999996</v>
      </c>
      <c r="Q1363" s="257">
        <f t="shared" si="285"/>
        <v>5198.3999999999996</v>
      </c>
      <c r="R1363" s="258">
        <f>INDEX('Escalators '!$M$124:$S$129,MATCH(I1363,'Escalators '!$B$124:$B$129,0),MATCH(J1363,'Escalators '!$M$113:$S$113,0))</f>
        <v>1.06512715891222</v>
      </c>
      <c r="S1363" s="257">
        <f t="shared" si="286"/>
        <v>0</v>
      </c>
      <c r="T1363" s="257">
        <f t="shared" si="287"/>
        <v>0</v>
      </c>
      <c r="U1363" s="269">
        <f t="shared" si="288"/>
        <v>5536.9570228892844</v>
      </c>
      <c r="V1363" s="269">
        <f t="shared" si="289"/>
        <v>5536.9570228892844</v>
      </c>
      <c r="W1363" s="269">
        <f t="shared" si="290"/>
        <v>5536.9570228892844</v>
      </c>
      <c r="X1363" s="257">
        <f t="shared" si="291"/>
        <v>5536.9570228892844</v>
      </c>
      <c r="Y1363" s="270">
        <f>IF(L1363="Complex",(INDEX('Escalators '!$M$176:$S$176,MATCH('Forecast capex'!J1363,'Escalators '!$M$178:$S$178,0))/12+1)^((K1363-J1363)*12)-1,0)</f>
        <v>3.5566952945970565E-2</v>
      </c>
      <c r="Z1363" s="257">
        <f t="shared" si="292"/>
        <v>184.89124819433337</v>
      </c>
      <c r="AA1363" s="257">
        <f t="shared" si="293"/>
        <v>196.93268989696443</v>
      </c>
      <c r="AB1363" s="269">
        <f t="shared" si="294"/>
        <v>5733.8897127862492</v>
      </c>
      <c r="AC1363" s="269">
        <f t="shared" si="295"/>
        <v>5733.8897127862492</v>
      </c>
      <c r="AD1363" s="271" t="str">
        <f>INDEX('Global inputs'!$C$134:$C$171,MATCH(F1363,'Global inputs'!$B$134:$B$171,0))</f>
        <v>Asset replacement and renewal</v>
      </c>
      <c r="AE1363" s="272">
        <f>IF(OR(H1363='Operating leases'!$B$32,H1363='Operating leases'!$B$33),"",INDEX('Global inputs'!$C$186:$C$243,MATCH(E1363,'Global inputs'!$B$186:$B$243,0)))</f>
        <v>0.08</v>
      </c>
    </row>
    <row r="1364" spans="1:31" s="27" customFormat="1" x14ac:dyDescent="0.2">
      <c r="A1364" s="250"/>
      <c r="B1364" s="210" t="s">
        <v>742</v>
      </c>
      <c r="C1364" s="210" t="s">
        <v>289</v>
      </c>
      <c r="D1364" s="210" t="s">
        <v>723</v>
      </c>
      <c r="E1364" s="210" t="s">
        <v>164</v>
      </c>
      <c r="F1364" s="210" t="s">
        <v>108</v>
      </c>
      <c r="G1364" s="210" t="s">
        <v>724</v>
      </c>
      <c r="H1364" s="197">
        <v>0</v>
      </c>
      <c r="I1364" s="210" t="s">
        <v>139</v>
      </c>
      <c r="J1364" s="210">
        <v>2024</v>
      </c>
      <c r="K1364" s="210">
        <v>2025</v>
      </c>
      <c r="L1364" s="268" t="str">
        <f t="shared" si="283"/>
        <v>Complex</v>
      </c>
      <c r="M1364" s="197">
        <v>20793.599999999999</v>
      </c>
      <c r="N1364" s="197">
        <v>0</v>
      </c>
      <c r="O1364" s="257">
        <f>IF(ISNA(MATCH(H1364,'Operating leases'!$B$32:$B$43,0)),0,INDEX('Operating leases'!$M$32:$S$43,MATCH(H1364,'Operating leases'!$B$32:$B$43,0),MATCH(J1364,'Operating leases'!$M$11:$S$11,0)))</f>
        <v>0</v>
      </c>
      <c r="P1364" s="257">
        <f t="shared" si="284"/>
        <v>20793.599999999999</v>
      </c>
      <c r="Q1364" s="257">
        <f t="shared" si="285"/>
        <v>20793.599999999999</v>
      </c>
      <c r="R1364" s="258">
        <f>INDEX('Escalators '!$M$124:$S$129,MATCH(I1364,'Escalators '!$B$124:$B$129,0),MATCH(J1364,'Escalators '!$M$113:$S$113,0))</f>
        <v>1.0400802295441569</v>
      </c>
      <c r="S1364" s="257">
        <f t="shared" si="286"/>
        <v>0</v>
      </c>
      <c r="T1364" s="257">
        <f t="shared" si="287"/>
        <v>0</v>
      </c>
      <c r="U1364" s="269">
        <f t="shared" si="288"/>
        <v>21627.012261049378</v>
      </c>
      <c r="V1364" s="269">
        <f t="shared" si="289"/>
        <v>21627.012261049378</v>
      </c>
      <c r="W1364" s="269">
        <f t="shared" si="290"/>
        <v>21627.012261049378</v>
      </c>
      <c r="X1364" s="257">
        <f t="shared" si="291"/>
        <v>21627.012261049378</v>
      </c>
      <c r="Y1364" s="270">
        <f>IF(L1364="Complex",(INDEX('Escalators '!$M$176:$S$176,MATCH('Forecast capex'!J1364,'Escalators '!$M$178:$S$178,0))/12+1)^((K1364-J1364)*12)-1,0)</f>
        <v>3.5566952945970565E-2</v>
      </c>
      <c r="Z1364" s="257">
        <f t="shared" si="292"/>
        <v>739.56499277733349</v>
      </c>
      <c r="AA1364" s="257">
        <f t="shared" si="293"/>
        <v>769.20692745067174</v>
      </c>
      <c r="AB1364" s="269">
        <f t="shared" si="294"/>
        <v>22396.21918850005</v>
      </c>
      <c r="AC1364" s="269">
        <f t="shared" si="295"/>
        <v>22396.21918850005</v>
      </c>
      <c r="AD1364" s="271" t="str">
        <f>INDEX('Global inputs'!$C$134:$C$171,MATCH(F1364,'Global inputs'!$B$134:$B$171,0))</f>
        <v>Asset replacement and renewal</v>
      </c>
      <c r="AE1364" s="272">
        <f>IF(OR(H1364='Operating leases'!$B$32,H1364='Operating leases'!$B$33),"",INDEX('Global inputs'!$C$186:$C$243,MATCH(E1364,'Global inputs'!$B$186:$B$243,0)))</f>
        <v>0.08</v>
      </c>
    </row>
    <row r="1365" spans="1:31" s="27" customFormat="1" x14ac:dyDescent="0.2">
      <c r="A1365" s="250"/>
      <c r="B1365" s="210" t="s">
        <v>714</v>
      </c>
      <c r="C1365" s="210" t="s">
        <v>284</v>
      </c>
      <c r="D1365" s="210" t="s">
        <v>715</v>
      </c>
      <c r="E1365" s="210" t="s">
        <v>127</v>
      </c>
      <c r="F1365" s="210" t="s">
        <v>92</v>
      </c>
      <c r="G1365" s="210" t="s">
        <v>716</v>
      </c>
      <c r="H1365" s="197">
        <v>0</v>
      </c>
      <c r="I1365" s="210" t="s">
        <v>229</v>
      </c>
      <c r="J1365" s="210">
        <v>2025</v>
      </c>
      <c r="K1365" s="210">
        <v>2025</v>
      </c>
      <c r="L1365" s="268" t="str">
        <f t="shared" si="283"/>
        <v>Simple</v>
      </c>
      <c r="M1365" s="197">
        <v>6202.5245559236391</v>
      </c>
      <c r="N1365" s="197">
        <v>9303.7868338854569</v>
      </c>
      <c r="O1365" s="257">
        <f>IF(ISNA(MATCH(H1365,'Operating leases'!$B$32:$B$43,0)),0,INDEX('Operating leases'!$M$32:$S$43,MATCH(H1365,'Operating leases'!$B$32:$B$43,0),MATCH(J1365,'Operating leases'!$M$11:$S$11,0)))</f>
        <v>0</v>
      </c>
      <c r="P1365" s="257">
        <f t="shared" si="284"/>
        <v>6202.5245559236391</v>
      </c>
      <c r="Q1365" s="257">
        <f t="shared" si="285"/>
        <v>15506.311389809096</v>
      </c>
      <c r="R1365" s="258">
        <f>INDEX('Escalators '!$M$124:$S$129,MATCH(I1365,'Escalators '!$B$124:$B$129,0),MATCH(J1365,'Escalators '!$M$113:$S$113,0))</f>
        <v>1.0919411253473632</v>
      </c>
      <c r="S1365" s="257">
        <f t="shared" si="286"/>
        <v>0</v>
      </c>
      <c r="T1365" s="257">
        <f t="shared" si="287"/>
        <v>10159.187465384866</v>
      </c>
      <c r="U1365" s="269">
        <f t="shared" si="288"/>
        <v>6772.7916435899151</v>
      </c>
      <c r="V1365" s="269">
        <f t="shared" si="289"/>
        <v>16931.979108974781</v>
      </c>
      <c r="W1365" s="269">
        <f t="shared" si="290"/>
        <v>6772.7916435899151</v>
      </c>
      <c r="X1365" s="257">
        <f t="shared" si="291"/>
        <v>16931.979108974781</v>
      </c>
      <c r="Y1365" s="270">
        <f>IF(L1365="Complex",(INDEX('Escalators '!$M$176:$S$176,MATCH('Forecast capex'!J1365,'Escalators '!$M$178:$S$178,0))/12+1)^((K1365-J1365)*12)-1,0)</f>
        <v>0</v>
      </c>
      <c r="Z1365" s="257">
        <f t="shared" si="292"/>
        <v>0</v>
      </c>
      <c r="AA1365" s="257">
        <f t="shared" si="293"/>
        <v>0</v>
      </c>
      <c r="AB1365" s="269">
        <f t="shared" si="294"/>
        <v>0</v>
      </c>
      <c r="AC1365" s="269">
        <f t="shared" si="295"/>
        <v>0</v>
      </c>
      <c r="AD1365" s="271" t="str">
        <f>INDEX('Global inputs'!$C$134:$C$171,MATCH(F1365,'Global inputs'!$B$134:$B$171,0))</f>
        <v>Asset relocations and undergrounding</v>
      </c>
      <c r="AE1365" s="272">
        <f>IF(OR(H1365='Operating leases'!$B$32,H1365='Operating leases'!$B$33),"",INDEX('Global inputs'!$C$186:$C$243,MATCH(E1365,'Global inputs'!$B$186:$B$243,0)))</f>
        <v>0.08</v>
      </c>
    </row>
    <row r="1366" spans="1:31" s="27" customFormat="1" x14ac:dyDescent="0.2">
      <c r="A1366" s="250"/>
      <c r="B1366" s="210" t="s">
        <v>714</v>
      </c>
      <c r="C1366" s="210" t="s">
        <v>284</v>
      </c>
      <c r="D1366" s="210" t="s">
        <v>715</v>
      </c>
      <c r="E1366" s="210" t="s">
        <v>127</v>
      </c>
      <c r="F1366" s="210" t="s">
        <v>92</v>
      </c>
      <c r="G1366" s="210" t="s">
        <v>716</v>
      </c>
      <c r="H1366" s="197">
        <v>0</v>
      </c>
      <c r="I1366" s="210" t="s">
        <v>221</v>
      </c>
      <c r="J1366" s="210">
        <v>2025</v>
      </c>
      <c r="K1366" s="210">
        <v>2025</v>
      </c>
      <c r="L1366" s="268" t="str">
        <f t="shared" si="283"/>
        <v>Simple</v>
      </c>
      <c r="M1366" s="197">
        <v>6202.5245559236391</v>
      </c>
      <c r="N1366" s="197">
        <v>9303.7868338854569</v>
      </c>
      <c r="O1366" s="257">
        <f>IF(ISNA(MATCH(H1366,'Operating leases'!$B$32:$B$43,0)),0,INDEX('Operating leases'!$M$32:$S$43,MATCH(H1366,'Operating leases'!$B$32:$B$43,0),MATCH(J1366,'Operating leases'!$M$11:$S$11,0)))</f>
        <v>0</v>
      </c>
      <c r="P1366" s="257">
        <f t="shared" si="284"/>
        <v>6202.5245559236391</v>
      </c>
      <c r="Q1366" s="257">
        <f t="shared" si="285"/>
        <v>15506.311389809096</v>
      </c>
      <c r="R1366" s="258">
        <f>INDEX('Escalators '!$M$124:$S$129,MATCH(I1366,'Escalators '!$B$124:$B$129,0),MATCH(J1366,'Escalators '!$M$113:$S$113,0))</f>
        <v>1.0867931559758131</v>
      </c>
      <c r="S1366" s="257">
        <f t="shared" si="286"/>
        <v>0</v>
      </c>
      <c r="T1366" s="257">
        <f t="shared" si="287"/>
        <v>10111.291855724594</v>
      </c>
      <c r="U1366" s="269">
        <f t="shared" si="288"/>
        <v>6740.8612371497293</v>
      </c>
      <c r="V1366" s="269">
        <f t="shared" si="289"/>
        <v>16852.153092874323</v>
      </c>
      <c r="W1366" s="269">
        <f t="shared" si="290"/>
        <v>6740.8612371497293</v>
      </c>
      <c r="X1366" s="257">
        <f t="shared" si="291"/>
        <v>16852.153092874323</v>
      </c>
      <c r="Y1366" s="270">
        <f>IF(L1366="Complex",(INDEX('Escalators '!$M$176:$S$176,MATCH('Forecast capex'!J1366,'Escalators '!$M$178:$S$178,0))/12+1)^((K1366-J1366)*12)-1,0)</f>
        <v>0</v>
      </c>
      <c r="Z1366" s="257">
        <f t="shared" si="292"/>
        <v>0</v>
      </c>
      <c r="AA1366" s="257">
        <f t="shared" si="293"/>
        <v>0</v>
      </c>
      <c r="AB1366" s="269">
        <f t="shared" si="294"/>
        <v>0</v>
      </c>
      <c r="AC1366" s="269">
        <f t="shared" si="295"/>
        <v>0</v>
      </c>
      <c r="AD1366" s="271" t="str">
        <f>INDEX('Global inputs'!$C$134:$C$171,MATCH(F1366,'Global inputs'!$B$134:$B$171,0))</f>
        <v>Asset relocations and undergrounding</v>
      </c>
      <c r="AE1366" s="272">
        <f>IF(OR(H1366='Operating leases'!$B$32,H1366='Operating leases'!$B$33),"",INDEX('Global inputs'!$C$186:$C$243,MATCH(E1366,'Global inputs'!$B$186:$B$243,0)))</f>
        <v>0.08</v>
      </c>
    </row>
    <row r="1367" spans="1:31" s="27" customFormat="1" x14ac:dyDescent="0.2">
      <c r="A1367" s="250"/>
      <c r="B1367" s="210" t="s">
        <v>714</v>
      </c>
      <c r="C1367" s="210" t="s">
        <v>284</v>
      </c>
      <c r="D1367" s="210" t="s">
        <v>715</v>
      </c>
      <c r="E1367" s="210" t="s">
        <v>129</v>
      </c>
      <c r="F1367" s="210" t="s">
        <v>92</v>
      </c>
      <c r="G1367" s="210" t="s">
        <v>716</v>
      </c>
      <c r="H1367" s="197">
        <v>0</v>
      </c>
      <c r="I1367" s="210" t="s">
        <v>229</v>
      </c>
      <c r="J1367" s="210">
        <v>2025</v>
      </c>
      <c r="K1367" s="210">
        <v>2025</v>
      </c>
      <c r="L1367" s="268" t="str">
        <f t="shared" si="283"/>
        <v>Simple</v>
      </c>
      <c r="M1367" s="197">
        <v>6202.5245559236391</v>
      </c>
      <c r="N1367" s="197">
        <v>9303.7868338854569</v>
      </c>
      <c r="O1367" s="257">
        <f>IF(ISNA(MATCH(H1367,'Operating leases'!$B$32:$B$43,0)),0,INDEX('Operating leases'!$M$32:$S$43,MATCH(H1367,'Operating leases'!$B$32:$B$43,0),MATCH(J1367,'Operating leases'!$M$11:$S$11,0)))</f>
        <v>0</v>
      </c>
      <c r="P1367" s="257">
        <f t="shared" si="284"/>
        <v>6202.5245559236391</v>
      </c>
      <c r="Q1367" s="257">
        <f t="shared" si="285"/>
        <v>15506.311389809096</v>
      </c>
      <c r="R1367" s="258">
        <f>INDEX('Escalators '!$M$124:$S$129,MATCH(I1367,'Escalators '!$B$124:$B$129,0),MATCH(J1367,'Escalators '!$M$113:$S$113,0))</f>
        <v>1.0919411253473632</v>
      </c>
      <c r="S1367" s="257">
        <f t="shared" si="286"/>
        <v>0</v>
      </c>
      <c r="T1367" s="257">
        <f t="shared" si="287"/>
        <v>10159.187465384866</v>
      </c>
      <c r="U1367" s="269">
        <f t="shared" si="288"/>
        <v>6772.7916435899151</v>
      </c>
      <c r="V1367" s="269">
        <f t="shared" si="289"/>
        <v>16931.979108974781</v>
      </c>
      <c r="W1367" s="269">
        <f t="shared" si="290"/>
        <v>6772.7916435899151</v>
      </c>
      <c r="X1367" s="257">
        <f t="shared" si="291"/>
        <v>16931.979108974781</v>
      </c>
      <c r="Y1367" s="270">
        <f>IF(L1367="Complex",(INDEX('Escalators '!$M$176:$S$176,MATCH('Forecast capex'!J1367,'Escalators '!$M$178:$S$178,0))/12+1)^((K1367-J1367)*12)-1,0)</f>
        <v>0</v>
      </c>
      <c r="Z1367" s="257">
        <f t="shared" si="292"/>
        <v>0</v>
      </c>
      <c r="AA1367" s="257">
        <f t="shared" si="293"/>
        <v>0</v>
      </c>
      <c r="AB1367" s="269">
        <f t="shared" si="294"/>
        <v>0</v>
      </c>
      <c r="AC1367" s="269">
        <f t="shared" si="295"/>
        <v>0</v>
      </c>
      <c r="AD1367" s="271" t="str">
        <f>INDEX('Global inputs'!$C$134:$C$171,MATCH(F1367,'Global inputs'!$B$134:$B$171,0))</f>
        <v>Asset relocations and undergrounding</v>
      </c>
      <c r="AE1367" s="272">
        <f>IF(OR(H1367='Operating leases'!$B$32,H1367='Operating leases'!$B$33),"",INDEX('Global inputs'!$C$186:$C$243,MATCH(E1367,'Global inputs'!$B$186:$B$243,0)))</f>
        <v>0.1</v>
      </c>
    </row>
    <row r="1368" spans="1:31" s="27" customFormat="1" x14ac:dyDescent="0.2">
      <c r="A1368" s="250"/>
      <c r="B1368" s="210" t="s">
        <v>714</v>
      </c>
      <c r="C1368" s="210" t="s">
        <v>284</v>
      </c>
      <c r="D1368" s="210" t="s">
        <v>715</v>
      </c>
      <c r="E1368" s="210" t="s">
        <v>129</v>
      </c>
      <c r="F1368" s="210" t="s">
        <v>92</v>
      </c>
      <c r="G1368" s="210" t="s">
        <v>716</v>
      </c>
      <c r="H1368" s="197">
        <v>0</v>
      </c>
      <c r="I1368" s="210" t="s">
        <v>221</v>
      </c>
      <c r="J1368" s="210">
        <v>2025</v>
      </c>
      <c r="K1368" s="210">
        <v>2025</v>
      </c>
      <c r="L1368" s="268" t="str">
        <f t="shared" si="283"/>
        <v>Simple</v>
      </c>
      <c r="M1368" s="197">
        <v>6202.5245559236391</v>
      </c>
      <c r="N1368" s="197">
        <v>9303.7868338854569</v>
      </c>
      <c r="O1368" s="257">
        <f>IF(ISNA(MATCH(H1368,'Operating leases'!$B$32:$B$43,0)),0,INDEX('Operating leases'!$M$32:$S$43,MATCH(H1368,'Operating leases'!$B$32:$B$43,0),MATCH(J1368,'Operating leases'!$M$11:$S$11,0)))</f>
        <v>0</v>
      </c>
      <c r="P1368" s="257">
        <f t="shared" si="284"/>
        <v>6202.5245559236391</v>
      </c>
      <c r="Q1368" s="257">
        <f t="shared" si="285"/>
        <v>15506.311389809096</v>
      </c>
      <c r="R1368" s="258">
        <f>INDEX('Escalators '!$M$124:$S$129,MATCH(I1368,'Escalators '!$B$124:$B$129,0),MATCH(J1368,'Escalators '!$M$113:$S$113,0))</f>
        <v>1.0867931559758131</v>
      </c>
      <c r="S1368" s="257">
        <f t="shared" si="286"/>
        <v>0</v>
      </c>
      <c r="T1368" s="257">
        <f t="shared" si="287"/>
        <v>10111.291855724594</v>
      </c>
      <c r="U1368" s="269">
        <f t="shared" si="288"/>
        <v>6740.8612371497293</v>
      </c>
      <c r="V1368" s="269">
        <f t="shared" si="289"/>
        <v>16852.153092874323</v>
      </c>
      <c r="W1368" s="269">
        <f t="shared" si="290"/>
        <v>6740.8612371497293</v>
      </c>
      <c r="X1368" s="257">
        <f t="shared" si="291"/>
        <v>16852.153092874323</v>
      </c>
      <c r="Y1368" s="270">
        <f>IF(L1368="Complex",(INDEX('Escalators '!$M$176:$S$176,MATCH('Forecast capex'!J1368,'Escalators '!$M$178:$S$178,0))/12+1)^((K1368-J1368)*12)-1,0)</f>
        <v>0</v>
      </c>
      <c r="Z1368" s="257">
        <f t="shared" si="292"/>
        <v>0</v>
      </c>
      <c r="AA1368" s="257">
        <f t="shared" si="293"/>
        <v>0</v>
      </c>
      <c r="AB1368" s="269">
        <f t="shared" si="294"/>
        <v>0</v>
      </c>
      <c r="AC1368" s="269">
        <f t="shared" si="295"/>
        <v>0</v>
      </c>
      <c r="AD1368" s="271" t="str">
        <f>INDEX('Global inputs'!$C$134:$C$171,MATCH(F1368,'Global inputs'!$B$134:$B$171,0))</f>
        <v>Asset relocations and undergrounding</v>
      </c>
      <c r="AE1368" s="272">
        <f>IF(OR(H1368='Operating leases'!$B$32,H1368='Operating leases'!$B$33),"",INDEX('Global inputs'!$C$186:$C$243,MATCH(E1368,'Global inputs'!$B$186:$B$243,0)))</f>
        <v>0.1</v>
      </c>
    </row>
    <row r="1369" spans="1:31" s="27" customFormat="1" x14ac:dyDescent="0.2">
      <c r="A1369" s="250"/>
      <c r="B1369" s="210" t="s">
        <v>714</v>
      </c>
      <c r="C1369" s="210" t="s">
        <v>287</v>
      </c>
      <c r="D1369" s="210" t="s">
        <v>715</v>
      </c>
      <c r="E1369" s="210" t="s">
        <v>150</v>
      </c>
      <c r="F1369" s="210" t="s">
        <v>92</v>
      </c>
      <c r="G1369" s="210" t="s">
        <v>716</v>
      </c>
      <c r="H1369" s="197">
        <v>0</v>
      </c>
      <c r="I1369" s="210" t="s">
        <v>229</v>
      </c>
      <c r="J1369" s="210">
        <v>2025</v>
      </c>
      <c r="K1369" s="210">
        <v>2025</v>
      </c>
      <c r="L1369" s="268" t="str">
        <f t="shared" si="283"/>
        <v>Simple</v>
      </c>
      <c r="M1369" s="197">
        <v>24810.098223694557</v>
      </c>
      <c r="N1369" s="197">
        <v>37215.147335541827</v>
      </c>
      <c r="O1369" s="257">
        <f>IF(ISNA(MATCH(H1369,'Operating leases'!$B$32:$B$43,0)),0,INDEX('Operating leases'!$M$32:$S$43,MATCH(H1369,'Operating leases'!$B$32:$B$43,0),MATCH(J1369,'Operating leases'!$M$11:$S$11,0)))</f>
        <v>0</v>
      </c>
      <c r="P1369" s="257">
        <f t="shared" si="284"/>
        <v>24810.098223694557</v>
      </c>
      <c r="Q1369" s="257">
        <f t="shared" si="285"/>
        <v>62025.245559236384</v>
      </c>
      <c r="R1369" s="258">
        <f>INDEX('Escalators '!$M$124:$S$129,MATCH(I1369,'Escalators '!$B$124:$B$129,0),MATCH(J1369,'Escalators '!$M$113:$S$113,0))</f>
        <v>1.0919411253473632</v>
      </c>
      <c r="S1369" s="257">
        <f t="shared" si="286"/>
        <v>0</v>
      </c>
      <c r="T1369" s="257">
        <f t="shared" si="287"/>
        <v>40636.749861539465</v>
      </c>
      <c r="U1369" s="269">
        <f t="shared" si="288"/>
        <v>27091.16657435966</v>
      </c>
      <c r="V1369" s="269">
        <f t="shared" si="289"/>
        <v>67727.916435899126</v>
      </c>
      <c r="W1369" s="269">
        <f t="shared" si="290"/>
        <v>27091.16657435966</v>
      </c>
      <c r="X1369" s="257">
        <f t="shared" si="291"/>
        <v>67727.916435899126</v>
      </c>
      <c r="Y1369" s="270">
        <f>IF(L1369="Complex",(INDEX('Escalators '!$M$176:$S$176,MATCH('Forecast capex'!J1369,'Escalators '!$M$178:$S$178,0))/12+1)^((K1369-J1369)*12)-1,0)</f>
        <v>0</v>
      </c>
      <c r="Z1369" s="257">
        <f t="shared" si="292"/>
        <v>0</v>
      </c>
      <c r="AA1369" s="257">
        <f t="shared" si="293"/>
        <v>0</v>
      </c>
      <c r="AB1369" s="269">
        <f t="shared" si="294"/>
        <v>0</v>
      </c>
      <c r="AC1369" s="269">
        <f t="shared" si="295"/>
        <v>0</v>
      </c>
      <c r="AD1369" s="271" t="str">
        <f>INDEX('Global inputs'!$C$134:$C$171,MATCH(F1369,'Global inputs'!$B$134:$B$171,0))</f>
        <v>Asset relocations and undergrounding</v>
      </c>
      <c r="AE1369" s="272">
        <f>IF(OR(H1369='Operating leases'!$B$32,H1369='Operating leases'!$B$33),"",INDEX('Global inputs'!$C$186:$C$243,MATCH(E1369,'Global inputs'!$B$186:$B$243,0)))</f>
        <v>0.08</v>
      </c>
    </row>
    <row r="1370" spans="1:31" s="27" customFormat="1" x14ac:dyDescent="0.2">
      <c r="A1370" s="250"/>
      <c r="B1370" s="210" t="s">
        <v>714</v>
      </c>
      <c r="C1370" s="210" t="s">
        <v>287</v>
      </c>
      <c r="D1370" s="210" t="s">
        <v>715</v>
      </c>
      <c r="E1370" s="210" t="s">
        <v>150</v>
      </c>
      <c r="F1370" s="210" t="s">
        <v>92</v>
      </c>
      <c r="G1370" s="210" t="s">
        <v>716</v>
      </c>
      <c r="H1370" s="197">
        <v>0</v>
      </c>
      <c r="I1370" s="210" t="s">
        <v>221</v>
      </c>
      <c r="J1370" s="210">
        <v>2025</v>
      </c>
      <c r="K1370" s="210">
        <v>2025</v>
      </c>
      <c r="L1370" s="268" t="str">
        <f t="shared" si="283"/>
        <v>Simple</v>
      </c>
      <c r="M1370" s="197">
        <v>24810.098223694557</v>
      </c>
      <c r="N1370" s="197">
        <v>37215.147335541827</v>
      </c>
      <c r="O1370" s="257">
        <f>IF(ISNA(MATCH(H1370,'Operating leases'!$B$32:$B$43,0)),0,INDEX('Operating leases'!$M$32:$S$43,MATCH(H1370,'Operating leases'!$B$32:$B$43,0),MATCH(J1370,'Operating leases'!$M$11:$S$11,0)))</f>
        <v>0</v>
      </c>
      <c r="P1370" s="257">
        <f t="shared" si="284"/>
        <v>24810.098223694557</v>
      </c>
      <c r="Q1370" s="257">
        <f t="shared" si="285"/>
        <v>62025.245559236384</v>
      </c>
      <c r="R1370" s="258">
        <f>INDEX('Escalators '!$M$124:$S$129,MATCH(I1370,'Escalators '!$B$124:$B$129,0),MATCH(J1370,'Escalators '!$M$113:$S$113,0))</f>
        <v>1.0867931559758131</v>
      </c>
      <c r="S1370" s="257">
        <f t="shared" si="286"/>
        <v>0</v>
      </c>
      <c r="T1370" s="257">
        <f t="shared" si="287"/>
        <v>40445.167422898376</v>
      </c>
      <c r="U1370" s="269">
        <f t="shared" si="288"/>
        <v>26963.444948598917</v>
      </c>
      <c r="V1370" s="269">
        <f t="shared" si="289"/>
        <v>67408.612371497293</v>
      </c>
      <c r="W1370" s="269">
        <f t="shared" si="290"/>
        <v>26963.444948598917</v>
      </c>
      <c r="X1370" s="257">
        <f t="shared" si="291"/>
        <v>67408.612371497293</v>
      </c>
      <c r="Y1370" s="270">
        <f>IF(L1370="Complex",(INDEX('Escalators '!$M$176:$S$176,MATCH('Forecast capex'!J1370,'Escalators '!$M$178:$S$178,0))/12+1)^((K1370-J1370)*12)-1,0)</f>
        <v>0</v>
      </c>
      <c r="Z1370" s="257">
        <f t="shared" si="292"/>
        <v>0</v>
      </c>
      <c r="AA1370" s="257">
        <f t="shared" si="293"/>
        <v>0</v>
      </c>
      <c r="AB1370" s="269">
        <f t="shared" si="294"/>
        <v>0</v>
      </c>
      <c r="AC1370" s="269">
        <f t="shared" si="295"/>
        <v>0</v>
      </c>
      <c r="AD1370" s="271" t="str">
        <f>INDEX('Global inputs'!$C$134:$C$171,MATCH(F1370,'Global inputs'!$B$134:$B$171,0))</f>
        <v>Asset relocations and undergrounding</v>
      </c>
      <c r="AE1370" s="272">
        <f>IF(OR(H1370='Operating leases'!$B$32,H1370='Operating leases'!$B$33),"",INDEX('Global inputs'!$C$186:$C$243,MATCH(E1370,'Global inputs'!$B$186:$B$243,0)))</f>
        <v>0.08</v>
      </c>
    </row>
    <row r="1371" spans="1:31" s="27" customFormat="1" x14ac:dyDescent="0.2">
      <c r="A1371" s="250"/>
      <c r="B1371" s="210" t="s">
        <v>714</v>
      </c>
      <c r="C1371" s="210" t="s">
        <v>287</v>
      </c>
      <c r="D1371" s="210" t="s">
        <v>715</v>
      </c>
      <c r="E1371" s="210" t="s">
        <v>151</v>
      </c>
      <c r="F1371" s="210" t="s">
        <v>92</v>
      </c>
      <c r="G1371" s="210" t="s">
        <v>716</v>
      </c>
      <c r="H1371" s="197">
        <v>0</v>
      </c>
      <c r="I1371" s="210" t="s">
        <v>229</v>
      </c>
      <c r="J1371" s="210">
        <v>2025</v>
      </c>
      <c r="K1371" s="210">
        <v>2025</v>
      </c>
      <c r="L1371" s="268" t="str">
        <f t="shared" si="283"/>
        <v>Simple</v>
      </c>
      <c r="M1371" s="197">
        <v>24810.098223694557</v>
      </c>
      <c r="N1371" s="197">
        <v>37215.147335541827</v>
      </c>
      <c r="O1371" s="257">
        <f>IF(ISNA(MATCH(H1371,'Operating leases'!$B$32:$B$43,0)),0,INDEX('Operating leases'!$M$32:$S$43,MATCH(H1371,'Operating leases'!$B$32:$B$43,0),MATCH(J1371,'Operating leases'!$M$11:$S$11,0)))</f>
        <v>0</v>
      </c>
      <c r="P1371" s="257">
        <f t="shared" si="284"/>
        <v>24810.098223694557</v>
      </c>
      <c r="Q1371" s="257">
        <f t="shared" si="285"/>
        <v>62025.245559236384</v>
      </c>
      <c r="R1371" s="258">
        <f>INDEX('Escalators '!$M$124:$S$129,MATCH(I1371,'Escalators '!$B$124:$B$129,0),MATCH(J1371,'Escalators '!$M$113:$S$113,0))</f>
        <v>1.0919411253473632</v>
      </c>
      <c r="S1371" s="257">
        <f t="shared" si="286"/>
        <v>0</v>
      </c>
      <c r="T1371" s="257">
        <f t="shared" si="287"/>
        <v>40636.749861539465</v>
      </c>
      <c r="U1371" s="269">
        <f t="shared" si="288"/>
        <v>27091.16657435966</v>
      </c>
      <c r="V1371" s="269">
        <f t="shared" si="289"/>
        <v>67727.916435899126</v>
      </c>
      <c r="W1371" s="269">
        <f t="shared" si="290"/>
        <v>27091.16657435966</v>
      </c>
      <c r="X1371" s="257">
        <f t="shared" si="291"/>
        <v>67727.916435899126</v>
      </c>
      <c r="Y1371" s="270">
        <f>IF(L1371="Complex",(INDEX('Escalators '!$M$176:$S$176,MATCH('Forecast capex'!J1371,'Escalators '!$M$178:$S$178,0))/12+1)^((K1371-J1371)*12)-1,0)</f>
        <v>0</v>
      </c>
      <c r="Z1371" s="257">
        <f t="shared" si="292"/>
        <v>0</v>
      </c>
      <c r="AA1371" s="257">
        <f t="shared" si="293"/>
        <v>0</v>
      </c>
      <c r="AB1371" s="269">
        <f t="shared" si="294"/>
        <v>0</v>
      </c>
      <c r="AC1371" s="269">
        <f t="shared" si="295"/>
        <v>0</v>
      </c>
      <c r="AD1371" s="271" t="str">
        <f>INDEX('Global inputs'!$C$134:$C$171,MATCH(F1371,'Global inputs'!$B$134:$B$171,0))</f>
        <v>Asset relocations and undergrounding</v>
      </c>
      <c r="AE1371" s="272">
        <f>IF(OR(H1371='Operating leases'!$B$32,H1371='Operating leases'!$B$33),"",INDEX('Global inputs'!$C$186:$C$243,MATCH(E1371,'Global inputs'!$B$186:$B$243,0)))</f>
        <v>0.1</v>
      </c>
    </row>
    <row r="1372" spans="1:31" s="27" customFormat="1" x14ac:dyDescent="0.2">
      <c r="A1372" s="250"/>
      <c r="B1372" s="210" t="s">
        <v>714</v>
      </c>
      <c r="C1372" s="210" t="s">
        <v>287</v>
      </c>
      <c r="D1372" s="210" t="s">
        <v>715</v>
      </c>
      <c r="E1372" s="210" t="s">
        <v>151</v>
      </c>
      <c r="F1372" s="210" t="s">
        <v>92</v>
      </c>
      <c r="G1372" s="210" t="s">
        <v>716</v>
      </c>
      <c r="H1372" s="197">
        <v>0</v>
      </c>
      <c r="I1372" s="210" t="s">
        <v>221</v>
      </c>
      <c r="J1372" s="210">
        <v>2025</v>
      </c>
      <c r="K1372" s="210">
        <v>2025</v>
      </c>
      <c r="L1372" s="268" t="str">
        <f t="shared" si="283"/>
        <v>Simple</v>
      </c>
      <c r="M1372" s="197">
        <v>24810.098223694557</v>
      </c>
      <c r="N1372" s="197">
        <v>37215.147335541827</v>
      </c>
      <c r="O1372" s="257">
        <f>IF(ISNA(MATCH(H1372,'Operating leases'!$B$32:$B$43,0)),0,INDEX('Operating leases'!$M$32:$S$43,MATCH(H1372,'Operating leases'!$B$32:$B$43,0),MATCH(J1372,'Operating leases'!$M$11:$S$11,0)))</f>
        <v>0</v>
      </c>
      <c r="P1372" s="257">
        <f t="shared" si="284"/>
        <v>24810.098223694557</v>
      </c>
      <c r="Q1372" s="257">
        <f t="shared" si="285"/>
        <v>62025.245559236384</v>
      </c>
      <c r="R1372" s="258">
        <f>INDEX('Escalators '!$M$124:$S$129,MATCH(I1372,'Escalators '!$B$124:$B$129,0),MATCH(J1372,'Escalators '!$M$113:$S$113,0))</f>
        <v>1.0867931559758131</v>
      </c>
      <c r="S1372" s="257">
        <f t="shared" si="286"/>
        <v>0</v>
      </c>
      <c r="T1372" s="257">
        <f t="shared" si="287"/>
        <v>40445.167422898376</v>
      </c>
      <c r="U1372" s="269">
        <f t="shared" si="288"/>
        <v>26963.444948598917</v>
      </c>
      <c r="V1372" s="269">
        <f t="shared" si="289"/>
        <v>67408.612371497293</v>
      </c>
      <c r="W1372" s="269">
        <f t="shared" si="290"/>
        <v>26963.444948598917</v>
      </c>
      <c r="X1372" s="257">
        <f t="shared" si="291"/>
        <v>67408.612371497293</v>
      </c>
      <c r="Y1372" s="270">
        <f>IF(L1372="Complex",(INDEX('Escalators '!$M$176:$S$176,MATCH('Forecast capex'!J1372,'Escalators '!$M$178:$S$178,0))/12+1)^((K1372-J1372)*12)-1,0)</f>
        <v>0</v>
      </c>
      <c r="Z1372" s="257">
        <f t="shared" si="292"/>
        <v>0</v>
      </c>
      <c r="AA1372" s="257">
        <f t="shared" si="293"/>
        <v>0</v>
      </c>
      <c r="AB1372" s="269">
        <f t="shared" si="294"/>
        <v>0</v>
      </c>
      <c r="AC1372" s="269">
        <f t="shared" si="295"/>
        <v>0</v>
      </c>
      <c r="AD1372" s="271" t="str">
        <f>INDEX('Global inputs'!$C$134:$C$171,MATCH(F1372,'Global inputs'!$B$134:$B$171,0))</f>
        <v>Asset relocations and undergrounding</v>
      </c>
      <c r="AE1372" s="272">
        <f>IF(OR(H1372='Operating leases'!$B$32,H1372='Operating leases'!$B$33),"",INDEX('Global inputs'!$C$186:$C$243,MATCH(E1372,'Global inputs'!$B$186:$B$243,0)))</f>
        <v>0.1</v>
      </c>
    </row>
    <row r="1373" spans="1:31" s="27" customFormat="1" x14ac:dyDescent="0.2">
      <c r="A1373" s="250"/>
      <c r="B1373" s="210" t="s">
        <v>714</v>
      </c>
      <c r="C1373" s="210" t="s">
        <v>287</v>
      </c>
      <c r="D1373" s="210" t="s">
        <v>715</v>
      </c>
      <c r="E1373" s="210" t="s">
        <v>153</v>
      </c>
      <c r="F1373" s="210" t="s">
        <v>92</v>
      </c>
      <c r="G1373" s="210" t="s">
        <v>716</v>
      </c>
      <c r="H1373" s="197">
        <v>0</v>
      </c>
      <c r="I1373" s="210" t="s">
        <v>229</v>
      </c>
      <c r="J1373" s="210">
        <v>2025</v>
      </c>
      <c r="K1373" s="210">
        <v>2025</v>
      </c>
      <c r="L1373" s="268" t="str">
        <f t="shared" si="283"/>
        <v>Simple</v>
      </c>
      <c r="M1373" s="197">
        <v>1127.7317374406618</v>
      </c>
      <c r="N1373" s="197">
        <v>1691.5976061609927</v>
      </c>
      <c r="O1373" s="257">
        <f>IF(ISNA(MATCH(H1373,'Operating leases'!$B$32:$B$43,0)),0,INDEX('Operating leases'!$M$32:$S$43,MATCH(H1373,'Operating leases'!$B$32:$B$43,0),MATCH(J1373,'Operating leases'!$M$11:$S$11,0)))</f>
        <v>0</v>
      </c>
      <c r="P1373" s="257">
        <f t="shared" si="284"/>
        <v>1127.7317374406618</v>
      </c>
      <c r="Q1373" s="257">
        <f t="shared" si="285"/>
        <v>2819.3293436016547</v>
      </c>
      <c r="R1373" s="258">
        <f>INDEX('Escalators '!$M$124:$S$129,MATCH(I1373,'Escalators '!$B$124:$B$129,0),MATCH(J1373,'Escalators '!$M$113:$S$113,0))</f>
        <v>1.0919411253473632</v>
      </c>
      <c r="S1373" s="257">
        <f t="shared" si="286"/>
        <v>0</v>
      </c>
      <c r="T1373" s="257">
        <f t="shared" si="287"/>
        <v>1847.1249937063401</v>
      </c>
      <c r="U1373" s="269">
        <f t="shared" si="288"/>
        <v>1231.4166624708935</v>
      </c>
      <c r="V1373" s="269">
        <f t="shared" si="289"/>
        <v>3078.5416561772336</v>
      </c>
      <c r="W1373" s="269">
        <f t="shared" si="290"/>
        <v>1231.4166624708935</v>
      </c>
      <c r="X1373" s="257">
        <f t="shared" si="291"/>
        <v>3078.5416561772336</v>
      </c>
      <c r="Y1373" s="270">
        <f>IF(L1373="Complex",(INDEX('Escalators '!$M$176:$S$176,MATCH('Forecast capex'!J1373,'Escalators '!$M$178:$S$178,0))/12+1)^((K1373-J1373)*12)-1,0)</f>
        <v>0</v>
      </c>
      <c r="Z1373" s="257">
        <f t="shared" si="292"/>
        <v>0</v>
      </c>
      <c r="AA1373" s="257">
        <f t="shared" si="293"/>
        <v>0</v>
      </c>
      <c r="AB1373" s="269">
        <f t="shared" si="294"/>
        <v>0</v>
      </c>
      <c r="AC1373" s="269">
        <f t="shared" si="295"/>
        <v>0</v>
      </c>
      <c r="AD1373" s="271" t="str">
        <f>INDEX('Global inputs'!$C$134:$C$171,MATCH(F1373,'Global inputs'!$B$134:$B$171,0))</f>
        <v>Asset relocations and undergrounding</v>
      </c>
      <c r="AE1373" s="272">
        <f>IF(OR(H1373='Operating leases'!$B$32,H1373='Operating leases'!$B$33),"",INDEX('Global inputs'!$C$186:$C$243,MATCH(E1373,'Global inputs'!$B$186:$B$243,0)))</f>
        <v>0.08</v>
      </c>
    </row>
    <row r="1374" spans="1:31" s="27" customFormat="1" x14ac:dyDescent="0.2">
      <c r="A1374" s="250"/>
      <c r="B1374" s="210" t="s">
        <v>714</v>
      </c>
      <c r="C1374" s="210" t="s">
        <v>287</v>
      </c>
      <c r="D1374" s="210" t="s">
        <v>715</v>
      </c>
      <c r="E1374" s="210" t="s">
        <v>153</v>
      </c>
      <c r="F1374" s="210" t="s">
        <v>92</v>
      </c>
      <c r="G1374" s="210" t="s">
        <v>716</v>
      </c>
      <c r="H1374" s="197">
        <v>0</v>
      </c>
      <c r="I1374" s="210" t="s">
        <v>221</v>
      </c>
      <c r="J1374" s="210">
        <v>2025</v>
      </c>
      <c r="K1374" s="210">
        <v>2025</v>
      </c>
      <c r="L1374" s="268" t="str">
        <f t="shared" si="283"/>
        <v>Simple</v>
      </c>
      <c r="M1374" s="197">
        <v>1127.7317374406618</v>
      </c>
      <c r="N1374" s="197">
        <v>1691.5976061609927</v>
      </c>
      <c r="O1374" s="257">
        <f>IF(ISNA(MATCH(H1374,'Operating leases'!$B$32:$B$43,0)),0,INDEX('Operating leases'!$M$32:$S$43,MATCH(H1374,'Operating leases'!$B$32:$B$43,0),MATCH(J1374,'Operating leases'!$M$11:$S$11,0)))</f>
        <v>0</v>
      </c>
      <c r="P1374" s="257">
        <f t="shared" si="284"/>
        <v>1127.7317374406618</v>
      </c>
      <c r="Q1374" s="257">
        <f t="shared" si="285"/>
        <v>2819.3293436016547</v>
      </c>
      <c r="R1374" s="258">
        <f>INDEX('Escalators '!$M$124:$S$129,MATCH(I1374,'Escalators '!$B$124:$B$129,0),MATCH(J1374,'Escalators '!$M$113:$S$113,0))</f>
        <v>1.0867931559758131</v>
      </c>
      <c r="S1374" s="257">
        <f t="shared" si="286"/>
        <v>0</v>
      </c>
      <c r="T1374" s="257">
        <f t="shared" si="287"/>
        <v>1838.4167010408357</v>
      </c>
      <c r="U1374" s="269">
        <f t="shared" si="288"/>
        <v>1225.6111340272239</v>
      </c>
      <c r="V1374" s="269">
        <f t="shared" si="289"/>
        <v>3064.0278350680596</v>
      </c>
      <c r="W1374" s="269">
        <f t="shared" si="290"/>
        <v>1225.6111340272239</v>
      </c>
      <c r="X1374" s="257">
        <f t="shared" si="291"/>
        <v>3064.0278350680596</v>
      </c>
      <c r="Y1374" s="270">
        <f>IF(L1374="Complex",(INDEX('Escalators '!$M$176:$S$176,MATCH('Forecast capex'!J1374,'Escalators '!$M$178:$S$178,0))/12+1)^((K1374-J1374)*12)-1,0)</f>
        <v>0</v>
      </c>
      <c r="Z1374" s="257">
        <f t="shared" si="292"/>
        <v>0</v>
      </c>
      <c r="AA1374" s="257">
        <f t="shared" si="293"/>
        <v>0</v>
      </c>
      <c r="AB1374" s="269">
        <f t="shared" si="294"/>
        <v>0</v>
      </c>
      <c r="AC1374" s="269">
        <f t="shared" si="295"/>
        <v>0</v>
      </c>
      <c r="AD1374" s="271" t="str">
        <f>INDEX('Global inputs'!$C$134:$C$171,MATCH(F1374,'Global inputs'!$B$134:$B$171,0))</f>
        <v>Asset relocations and undergrounding</v>
      </c>
      <c r="AE1374" s="272">
        <f>IF(OR(H1374='Operating leases'!$B$32,H1374='Operating leases'!$B$33),"",INDEX('Global inputs'!$C$186:$C$243,MATCH(E1374,'Global inputs'!$B$186:$B$243,0)))</f>
        <v>0.08</v>
      </c>
    </row>
    <row r="1375" spans="1:31" s="27" customFormat="1" x14ac:dyDescent="0.2">
      <c r="A1375" s="250"/>
      <c r="B1375" s="210" t="s">
        <v>714</v>
      </c>
      <c r="C1375" s="210" t="s">
        <v>287</v>
      </c>
      <c r="D1375" s="210" t="s">
        <v>715</v>
      </c>
      <c r="E1375" s="210" t="s">
        <v>154</v>
      </c>
      <c r="F1375" s="210" t="s">
        <v>92</v>
      </c>
      <c r="G1375" s="210" t="s">
        <v>716</v>
      </c>
      <c r="H1375" s="197">
        <v>0</v>
      </c>
      <c r="I1375" s="210" t="s">
        <v>229</v>
      </c>
      <c r="J1375" s="210">
        <v>2025</v>
      </c>
      <c r="K1375" s="210">
        <v>2025</v>
      </c>
      <c r="L1375" s="268" t="str">
        <f t="shared" si="283"/>
        <v>Simple</v>
      </c>
      <c r="M1375" s="197">
        <v>1127.7317374406618</v>
      </c>
      <c r="N1375" s="197">
        <v>1691.5976061609927</v>
      </c>
      <c r="O1375" s="257">
        <f>IF(ISNA(MATCH(H1375,'Operating leases'!$B$32:$B$43,0)),0,INDEX('Operating leases'!$M$32:$S$43,MATCH(H1375,'Operating leases'!$B$32:$B$43,0),MATCH(J1375,'Operating leases'!$M$11:$S$11,0)))</f>
        <v>0</v>
      </c>
      <c r="P1375" s="257">
        <f t="shared" si="284"/>
        <v>1127.7317374406618</v>
      </c>
      <c r="Q1375" s="257">
        <f t="shared" si="285"/>
        <v>2819.3293436016547</v>
      </c>
      <c r="R1375" s="258">
        <f>INDEX('Escalators '!$M$124:$S$129,MATCH(I1375,'Escalators '!$B$124:$B$129,0),MATCH(J1375,'Escalators '!$M$113:$S$113,0))</f>
        <v>1.0919411253473632</v>
      </c>
      <c r="S1375" s="257">
        <f t="shared" si="286"/>
        <v>0</v>
      </c>
      <c r="T1375" s="257">
        <f t="shared" si="287"/>
        <v>1847.1249937063401</v>
      </c>
      <c r="U1375" s="269">
        <f t="shared" si="288"/>
        <v>1231.4166624708935</v>
      </c>
      <c r="V1375" s="269">
        <f t="shared" si="289"/>
        <v>3078.5416561772336</v>
      </c>
      <c r="W1375" s="269">
        <f t="shared" si="290"/>
        <v>1231.4166624708935</v>
      </c>
      <c r="X1375" s="257">
        <f t="shared" si="291"/>
        <v>3078.5416561772336</v>
      </c>
      <c r="Y1375" s="270">
        <f>IF(L1375="Complex",(INDEX('Escalators '!$M$176:$S$176,MATCH('Forecast capex'!J1375,'Escalators '!$M$178:$S$178,0))/12+1)^((K1375-J1375)*12)-1,0)</f>
        <v>0</v>
      </c>
      <c r="Z1375" s="257">
        <f t="shared" si="292"/>
        <v>0</v>
      </c>
      <c r="AA1375" s="257">
        <f t="shared" si="293"/>
        <v>0</v>
      </c>
      <c r="AB1375" s="269">
        <f t="shared" si="294"/>
        <v>0</v>
      </c>
      <c r="AC1375" s="269">
        <f t="shared" si="295"/>
        <v>0</v>
      </c>
      <c r="AD1375" s="271" t="str">
        <f>INDEX('Global inputs'!$C$134:$C$171,MATCH(F1375,'Global inputs'!$B$134:$B$171,0))</f>
        <v>Asset relocations and undergrounding</v>
      </c>
      <c r="AE1375" s="272">
        <f>IF(OR(H1375='Operating leases'!$B$32,H1375='Operating leases'!$B$33),"",INDEX('Global inputs'!$C$186:$C$243,MATCH(E1375,'Global inputs'!$B$186:$B$243,0)))</f>
        <v>0.1</v>
      </c>
    </row>
    <row r="1376" spans="1:31" s="27" customFormat="1" x14ac:dyDescent="0.2">
      <c r="A1376" s="250"/>
      <c r="B1376" s="210" t="s">
        <v>714</v>
      </c>
      <c r="C1376" s="210" t="s">
        <v>287</v>
      </c>
      <c r="D1376" s="210" t="s">
        <v>715</v>
      </c>
      <c r="E1376" s="210" t="s">
        <v>154</v>
      </c>
      <c r="F1376" s="210" t="s">
        <v>92</v>
      </c>
      <c r="G1376" s="210" t="s">
        <v>716</v>
      </c>
      <c r="H1376" s="197">
        <v>0</v>
      </c>
      <c r="I1376" s="210" t="s">
        <v>221</v>
      </c>
      <c r="J1376" s="210">
        <v>2025</v>
      </c>
      <c r="K1376" s="210">
        <v>2025</v>
      </c>
      <c r="L1376" s="268" t="str">
        <f t="shared" si="283"/>
        <v>Simple</v>
      </c>
      <c r="M1376" s="197">
        <v>1127.7317374406618</v>
      </c>
      <c r="N1376" s="197">
        <v>1691.5976061609927</v>
      </c>
      <c r="O1376" s="257">
        <f>IF(ISNA(MATCH(H1376,'Operating leases'!$B$32:$B$43,0)),0,INDEX('Operating leases'!$M$32:$S$43,MATCH(H1376,'Operating leases'!$B$32:$B$43,0),MATCH(J1376,'Operating leases'!$M$11:$S$11,0)))</f>
        <v>0</v>
      </c>
      <c r="P1376" s="257">
        <f t="shared" si="284"/>
        <v>1127.7317374406618</v>
      </c>
      <c r="Q1376" s="257">
        <f t="shared" si="285"/>
        <v>2819.3293436016547</v>
      </c>
      <c r="R1376" s="258">
        <f>INDEX('Escalators '!$M$124:$S$129,MATCH(I1376,'Escalators '!$B$124:$B$129,0),MATCH(J1376,'Escalators '!$M$113:$S$113,0))</f>
        <v>1.0867931559758131</v>
      </c>
      <c r="S1376" s="257">
        <f t="shared" si="286"/>
        <v>0</v>
      </c>
      <c r="T1376" s="257">
        <f t="shared" si="287"/>
        <v>1838.4167010408357</v>
      </c>
      <c r="U1376" s="269">
        <f t="shared" si="288"/>
        <v>1225.6111340272239</v>
      </c>
      <c r="V1376" s="269">
        <f t="shared" si="289"/>
        <v>3064.0278350680596</v>
      </c>
      <c r="W1376" s="269">
        <f t="shared" si="290"/>
        <v>1225.6111340272239</v>
      </c>
      <c r="X1376" s="257">
        <f t="shared" si="291"/>
        <v>3064.0278350680596</v>
      </c>
      <c r="Y1376" s="270">
        <f>IF(L1376="Complex",(INDEX('Escalators '!$M$176:$S$176,MATCH('Forecast capex'!J1376,'Escalators '!$M$178:$S$178,0))/12+1)^((K1376-J1376)*12)-1,0)</f>
        <v>0</v>
      </c>
      <c r="Z1376" s="257">
        <f t="shared" si="292"/>
        <v>0</v>
      </c>
      <c r="AA1376" s="257">
        <f t="shared" si="293"/>
        <v>0</v>
      </c>
      <c r="AB1376" s="269">
        <f t="shared" si="294"/>
        <v>0</v>
      </c>
      <c r="AC1376" s="269">
        <f t="shared" si="295"/>
        <v>0</v>
      </c>
      <c r="AD1376" s="271" t="str">
        <f>INDEX('Global inputs'!$C$134:$C$171,MATCH(F1376,'Global inputs'!$B$134:$B$171,0))</f>
        <v>Asset relocations and undergrounding</v>
      </c>
      <c r="AE1376" s="272">
        <f>IF(OR(H1376='Operating leases'!$B$32,H1376='Operating leases'!$B$33),"",INDEX('Global inputs'!$C$186:$C$243,MATCH(E1376,'Global inputs'!$B$186:$B$243,0)))</f>
        <v>0.1</v>
      </c>
    </row>
    <row r="1377" spans="1:31" s="27" customFormat="1" x14ac:dyDescent="0.2">
      <c r="A1377" s="250"/>
      <c r="B1377" s="210" t="s">
        <v>714</v>
      </c>
      <c r="C1377" s="210" t="s">
        <v>284</v>
      </c>
      <c r="D1377" s="210" t="s">
        <v>715</v>
      </c>
      <c r="E1377" s="210" t="s">
        <v>127</v>
      </c>
      <c r="F1377" s="210" t="s">
        <v>92</v>
      </c>
      <c r="G1377" s="210" t="s">
        <v>717</v>
      </c>
      <c r="H1377" s="197">
        <v>0</v>
      </c>
      <c r="I1377" s="210" t="s">
        <v>229</v>
      </c>
      <c r="J1377" s="210">
        <v>2025</v>
      </c>
      <c r="K1377" s="210">
        <v>2025</v>
      </c>
      <c r="L1377" s="268" t="str">
        <f t="shared" si="283"/>
        <v>Simple</v>
      </c>
      <c r="M1377" s="197">
        <v>1691.5976061609927</v>
      </c>
      <c r="N1377" s="197">
        <v>2537.3964092414885</v>
      </c>
      <c r="O1377" s="257">
        <f>IF(ISNA(MATCH(H1377,'Operating leases'!$B$32:$B$43,0)),0,INDEX('Operating leases'!$M$32:$S$43,MATCH(H1377,'Operating leases'!$B$32:$B$43,0),MATCH(J1377,'Operating leases'!$M$11:$S$11,0)))</f>
        <v>0</v>
      </c>
      <c r="P1377" s="257">
        <f t="shared" si="284"/>
        <v>1691.5976061609927</v>
      </c>
      <c r="Q1377" s="257">
        <f t="shared" si="285"/>
        <v>4228.9940154024807</v>
      </c>
      <c r="R1377" s="258">
        <f>INDEX('Escalators '!$M$124:$S$129,MATCH(I1377,'Escalators '!$B$124:$B$129,0),MATCH(J1377,'Escalators '!$M$113:$S$113,0))</f>
        <v>1.0919411253473632</v>
      </c>
      <c r="S1377" s="257">
        <f t="shared" si="286"/>
        <v>0</v>
      </c>
      <c r="T1377" s="257">
        <f t="shared" si="287"/>
        <v>2770.6874905595096</v>
      </c>
      <c r="U1377" s="269">
        <f t="shared" si="288"/>
        <v>1847.1249937063394</v>
      </c>
      <c r="V1377" s="269">
        <f t="shared" si="289"/>
        <v>4617.812484265849</v>
      </c>
      <c r="W1377" s="269">
        <f t="shared" si="290"/>
        <v>1847.1249937063394</v>
      </c>
      <c r="X1377" s="257">
        <f t="shared" si="291"/>
        <v>4617.812484265849</v>
      </c>
      <c r="Y1377" s="270">
        <f>IF(L1377="Complex",(INDEX('Escalators '!$M$176:$S$176,MATCH('Forecast capex'!J1377,'Escalators '!$M$178:$S$178,0))/12+1)^((K1377-J1377)*12)-1,0)</f>
        <v>0</v>
      </c>
      <c r="Z1377" s="257">
        <f t="shared" si="292"/>
        <v>0</v>
      </c>
      <c r="AA1377" s="257">
        <f t="shared" si="293"/>
        <v>0</v>
      </c>
      <c r="AB1377" s="269">
        <f t="shared" si="294"/>
        <v>0</v>
      </c>
      <c r="AC1377" s="269">
        <f t="shared" si="295"/>
        <v>0</v>
      </c>
      <c r="AD1377" s="271" t="str">
        <f>INDEX('Global inputs'!$C$134:$C$171,MATCH(F1377,'Global inputs'!$B$134:$B$171,0))</f>
        <v>Asset relocations and undergrounding</v>
      </c>
      <c r="AE1377" s="272">
        <f>IF(OR(H1377='Operating leases'!$B$32,H1377='Operating leases'!$B$33),"",INDEX('Global inputs'!$C$186:$C$243,MATCH(E1377,'Global inputs'!$B$186:$B$243,0)))</f>
        <v>0.08</v>
      </c>
    </row>
    <row r="1378" spans="1:31" s="27" customFormat="1" x14ac:dyDescent="0.2">
      <c r="A1378" s="250"/>
      <c r="B1378" s="210" t="s">
        <v>714</v>
      </c>
      <c r="C1378" s="210" t="s">
        <v>284</v>
      </c>
      <c r="D1378" s="210" t="s">
        <v>715</v>
      </c>
      <c r="E1378" s="210" t="s">
        <v>127</v>
      </c>
      <c r="F1378" s="210" t="s">
        <v>92</v>
      </c>
      <c r="G1378" s="210" t="s">
        <v>717</v>
      </c>
      <c r="H1378" s="197">
        <v>0</v>
      </c>
      <c r="I1378" s="210" t="s">
        <v>221</v>
      </c>
      <c r="J1378" s="210">
        <v>2025</v>
      </c>
      <c r="K1378" s="210">
        <v>2025</v>
      </c>
      <c r="L1378" s="268" t="str">
        <f t="shared" si="283"/>
        <v>Simple</v>
      </c>
      <c r="M1378" s="197">
        <v>1691.5976061609927</v>
      </c>
      <c r="N1378" s="197">
        <v>2537.3964092414885</v>
      </c>
      <c r="O1378" s="257">
        <f>IF(ISNA(MATCH(H1378,'Operating leases'!$B$32:$B$43,0)),0,INDEX('Operating leases'!$M$32:$S$43,MATCH(H1378,'Operating leases'!$B$32:$B$43,0),MATCH(J1378,'Operating leases'!$M$11:$S$11,0)))</f>
        <v>0</v>
      </c>
      <c r="P1378" s="257">
        <f t="shared" si="284"/>
        <v>1691.5976061609927</v>
      </c>
      <c r="Q1378" s="257">
        <f t="shared" si="285"/>
        <v>4228.9940154024807</v>
      </c>
      <c r="R1378" s="258">
        <f>INDEX('Escalators '!$M$124:$S$129,MATCH(I1378,'Escalators '!$B$124:$B$129,0),MATCH(J1378,'Escalators '!$M$113:$S$113,0))</f>
        <v>1.0867931559758131</v>
      </c>
      <c r="S1378" s="257">
        <f t="shared" si="286"/>
        <v>0</v>
      </c>
      <c r="T1378" s="257">
        <f t="shared" si="287"/>
        <v>2757.6250515612528</v>
      </c>
      <c r="U1378" s="269">
        <f t="shared" si="288"/>
        <v>1838.4167010408355</v>
      </c>
      <c r="V1378" s="269">
        <f t="shared" si="289"/>
        <v>4596.0417526020883</v>
      </c>
      <c r="W1378" s="269">
        <f t="shared" si="290"/>
        <v>1838.4167010408355</v>
      </c>
      <c r="X1378" s="257">
        <f t="shared" si="291"/>
        <v>4596.0417526020883</v>
      </c>
      <c r="Y1378" s="270">
        <f>IF(L1378="Complex",(INDEX('Escalators '!$M$176:$S$176,MATCH('Forecast capex'!J1378,'Escalators '!$M$178:$S$178,0))/12+1)^((K1378-J1378)*12)-1,0)</f>
        <v>0</v>
      </c>
      <c r="Z1378" s="257">
        <f t="shared" si="292"/>
        <v>0</v>
      </c>
      <c r="AA1378" s="257">
        <f t="shared" si="293"/>
        <v>0</v>
      </c>
      <c r="AB1378" s="269">
        <f t="shared" si="294"/>
        <v>0</v>
      </c>
      <c r="AC1378" s="269">
        <f t="shared" si="295"/>
        <v>0</v>
      </c>
      <c r="AD1378" s="271" t="str">
        <f>INDEX('Global inputs'!$C$134:$C$171,MATCH(F1378,'Global inputs'!$B$134:$B$171,0))</f>
        <v>Asset relocations and undergrounding</v>
      </c>
      <c r="AE1378" s="272">
        <f>IF(OR(H1378='Operating leases'!$B$32,H1378='Operating leases'!$B$33),"",INDEX('Global inputs'!$C$186:$C$243,MATCH(E1378,'Global inputs'!$B$186:$B$243,0)))</f>
        <v>0.08</v>
      </c>
    </row>
    <row r="1379" spans="1:31" s="27" customFormat="1" x14ac:dyDescent="0.2">
      <c r="A1379" s="250"/>
      <c r="B1379" s="210" t="s">
        <v>714</v>
      </c>
      <c r="C1379" s="210" t="s">
        <v>284</v>
      </c>
      <c r="D1379" s="210" t="s">
        <v>715</v>
      </c>
      <c r="E1379" s="210" t="s">
        <v>129</v>
      </c>
      <c r="F1379" s="210" t="s">
        <v>92</v>
      </c>
      <c r="G1379" s="210" t="s">
        <v>717</v>
      </c>
      <c r="H1379" s="197">
        <v>0</v>
      </c>
      <c r="I1379" s="210" t="s">
        <v>229</v>
      </c>
      <c r="J1379" s="210">
        <v>2025</v>
      </c>
      <c r="K1379" s="210">
        <v>2025</v>
      </c>
      <c r="L1379" s="268" t="str">
        <f t="shared" si="283"/>
        <v>Simple</v>
      </c>
      <c r="M1379" s="197">
        <v>1691.5976061609927</v>
      </c>
      <c r="N1379" s="197">
        <v>2537.3964092414885</v>
      </c>
      <c r="O1379" s="257">
        <f>IF(ISNA(MATCH(H1379,'Operating leases'!$B$32:$B$43,0)),0,INDEX('Operating leases'!$M$32:$S$43,MATCH(H1379,'Operating leases'!$B$32:$B$43,0),MATCH(J1379,'Operating leases'!$M$11:$S$11,0)))</f>
        <v>0</v>
      </c>
      <c r="P1379" s="257">
        <f t="shared" si="284"/>
        <v>1691.5976061609927</v>
      </c>
      <c r="Q1379" s="257">
        <f t="shared" si="285"/>
        <v>4228.9940154024807</v>
      </c>
      <c r="R1379" s="258">
        <f>INDEX('Escalators '!$M$124:$S$129,MATCH(I1379,'Escalators '!$B$124:$B$129,0),MATCH(J1379,'Escalators '!$M$113:$S$113,0))</f>
        <v>1.0919411253473632</v>
      </c>
      <c r="S1379" s="257">
        <f t="shared" si="286"/>
        <v>0</v>
      </c>
      <c r="T1379" s="257">
        <f t="shared" si="287"/>
        <v>2770.6874905595096</v>
      </c>
      <c r="U1379" s="269">
        <f t="shared" si="288"/>
        <v>1847.1249937063394</v>
      </c>
      <c r="V1379" s="269">
        <f t="shared" si="289"/>
        <v>4617.812484265849</v>
      </c>
      <c r="W1379" s="269">
        <f t="shared" si="290"/>
        <v>1847.1249937063394</v>
      </c>
      <c r="X1379" s="257">
        <f t="shared" si="291"/>
        <v>4617.812484265849</v>
      </c>
      <c r="Y1379" s="270">
        <f>IF(L1379="Complex",(INDEX('Escalators '!$M$176:$S$176,MATCH('Forecast capex'!J1379,'Escalators '!$M$178:$S$178,0))/12+1)^((K1379-J1379)*12)-1,0)</f>
        <v>0</v>
      </c>
      <c r="Z1379" s="257">
        <f t="shared" si="292"/>
        <v>0</v>
      </c>
      <c r="AA1379" s="257">
        <f t="shared" si="293"/>
        <v>0</v>
      </c>
      <c r="AB1379" s="269">
        <f t="shared" si="294"/>
        <v>0</v>
      </c>
      <c r="AC1379" s="269">
        <f t="shared" si="295"/>
        <v>0</v>
      </c>
      <c r="AD1379" s="271" t="str">
        <f>INDEX('Global inputs'!$C$134:$C$171,MATCH(F1379,'Global inputs'!$B$134:$B$171,0))</f>
        <v>Asset relocations and undergrounding</v>
      </c>
      <c r="AE1379" s="272">
        <f>IF(OR(H1379='Operating leases'!$B$32,H1379='Operating leases'!$B$33),"",INDEX('Global inputs'!$C$186:$C$243,MATCH(E1379,'Global inputs'!$B$186:$B$243,0)))</f>
        <v>0.1</v>
      </c>
    </row>
    <row r="1380" spans="1:31" s="27" customFormat="1" x14ac:dyDescent="0.2">
      <c r="A1380" s="250"/>
      <c r="B1380" s="210" t="s">
        <v>714</v>
      </c>
      <c r="C1380" s="210" t="s">
        <v>284</v>
      </c>
      <c r="D1380" s="210" t="s">
        <v>715</v>
      </c>
      <c r="E1380" s="210" t="s">
        <v>129</v>
      </c>
      <c r="F1380" s="210" t="s">
        <v>92</v>
      </c>
      <c r="G1380" s="210" t="s">
        <v>717</v>
      </c>
      <c r="H1380" s="197">
        <v>0</v>
      </c>
      <c r="I1380" s="210" t="s">
        <v>221</v>
      </c>
      <c r="J1380" s="210">
        <v>2025</v>
      </c>
      <c r="K1380" s="210">
        <v>2025</v>
      </c>
      <c r="L1380" s="268" t="str">
        <f t="shared" si="283"/>
        <v>Simple</v>
      </c>
      <c r="M1380" s="197">
        <v>1691.5976061609927</v>
      </c>
      <c r="N1380" s="197">
        <v>2537.3964092414885</v>
      </c>
      <c r="O1380" s="257">
        <f>IF(ISNA(MATCH(H1380,'Operating leases'!$B$32:$B$43,0)),0,INDEX('Operating leases'!$M$32:$S$43,MATCH(H1380,'Operating leases'!$B$32:$B$43,0),MATCH(J1380,'Operating leases'!$M$11:$S$11,0)))</f>
        <v>0</v>
      </c>
      <c r="P1380" s="257">
        <f t="shared" si="284"/>
        <v>1691.5976061609927</v>
      </c>
      <c r="Q1380" s="257">
        <f t="shared" si="285"/>
        <v>4228.9940154024807</v>
      </c>
      <c r="R1380" s="258">
        <f>INDEX('Escalators '!$M$124:$S$129,MATCH(I1380,'Escalators '!$B$124:$B$129,0),MATCH(J1380,'Escalators '!$M$113:$S$113,0))</f>
        <v>1.0867931559758131</v>
      </c>
      <c r="S1380" s="257">
        <f t="shared" si="286"/>
        <v>0</v>
      </c>
      <c r="T1380" s="257">
        <f t="shared" si="287"/>
        <v>2757.6250515612528</v>
      </c>
      <c r="U1380" s="269">
        <f t="shared" si="288"/>
        <v>1838.4167010408355</v>
      </c>
      <c r="V1380" s="269">
        <f t="shared" si="289"/>
        <v>4596.0417526020883</v>
      </c>
      <c r="W1380" s="269">
        <f t="shared" si="290"/>
        <v>1838.4167010408355</v>
      </c>
      <c r="X1380" s="257">
        <f t="shared" si="291"/>
        <v>4596.0417526020883</v>
      </c>
      <c r="Y1380" s="270">
        <f>IF(L1380="Complex",(INDEX('Escalators '!$M$176:$S$176,MATCH('Forecast capex'!J1380,'Escalators '!$M$178:$S$178,0))/12+1)^((K1380-J1380)*12)-1,0)</f>
        <v>0</v>
      </c>
      <c r="Z1380" s="257">
        <f t="shared" si="292"/>
        <v>0</v>
      </c>
      <c r="AA1380" s="257">
        <f t="shared" si="293"/>
        <v>0</v>
      </c>
      <c r="AB1380" s="269">
        <f t="shared" si="294"/>
        <v>0</v>
      </c>
      <c r="AC1380" s="269">
        <f t="shared" si="295"/>
        <v>0</v>
      </c>
      <c r="AD1380" s="271" t="str">
        <f>INDEX('Global inputs'!$C$134:$C$171,MATCH(F1380,'Global inputs'!$B$134:$B$171,0))</f>
        <v>Asset relocations and undergrounding</v>
      </c>
      <c r="AE1380" s="272">
        <f>IF(OR(H1380='Operating leases'!$B$32,H1380='Operating leases'!$B$33),"",INDEX('Global inputs'!$C$186:$C$243,MATCH(E1380,'Global inputs'!$B$186:$B$243,0)))</f>
        <v>0.1</v>
      </c>
    </row>
    <row r="1381" spans="1:31" s="29" customFormat="1" x14ac:dyDescent="0.2">
      <c r="A1381" s="267"/>
      <c r="B1381" s="210" t="s">
        <v>714</v>
      </c>
      <c r="C1381" s="210" t="s">
        <v>287</v>
      </c>
      <c r="D1381" s="210" t="s">
        <v>715</v>
      </c>
      <c r="E1381" s="210" t="s">
        <v>150</v>
      </c>
      <c r="F1381" s="210" t="s">
        <v>92</v>
      </c>
      <c r="G1381" s="210" t="s">
        <v>717</v>
      </c>
      <c r="H1381" s="197">
        <v>0</v>
      </c>
      <c r="I1381" s="210" t="s">
        <v>229</v>
      </c>
      <c r="J1381" s="210">
        <v>2025</v>
      </c>
      <c r="K1381" s="210">
        <v>2025</v>
      </c>
      <c r="L1381" s="268" t="str">
        <f t="shared" si="283"/>
        <v>Simple</v>
      </c>
      <c r="M1381" s="197">
        <v>11277.317374406619</v>
      </c>
      <c r="N1381" s="197">
        <v>16915.976061609927</v>
      </c>
      <c r="O1381" s="257">
        <f>IF(ISNA(MATCH(H1381,'Operating leases'!$B$32:$B$43,0)),0,INDEX('Operating leases'!$M$32:$S$43,MATCH(H1381,'Operating leases'!$B$32:$B$43,0),MATCH(J1381,'Operating leases'!$M$11:$S$11,0)))</f>
        <v>0</v>
      </c>
      <c r="P1381" s="257">
        <f t="shared" si="284"/>
        <v>11277.317374406619</v>
      </c>
      <c r="Q1381" s="257">
        <f t="shared" si="285"/>
        <v>28193.293436016545</v>
      </c>
      <c r="R1381" s="258">
        <f>INDEX('Escalators '!$M$124:$S$129,MATCH(I1381,'Escalators '!$B$124:$B$129,0),MATCH(J1381,'Escalators '!$M$113:$S$113,0))</f>
        <v>1.0919411253473632</v>
      </c>
      <c r="S1381" s="257">
        <f t="shared" si="286"/>
        <v>0</v>
      </c>
      <c r="T1381" s="257">
        <f t="shared" si="287"/>
        <v>18471.2499370634</v>
      </c>
      <c r="U1381" s="269">
        <f t="shared" si="288"/>
        <v>12314.166624708934</v>
      </c>
      <c r="V1381" s="269">
        <f t="shared" si="289"/>
        <v>30785.416561772334</v>
      </c>
      <c r="W1381" s="269">
        <f t="shared" si="290"/>
        <v>12314.166624708934</v>
      </c>
      <c r="X1381" s="257">
        <f t="shared" si="291"/>
        <v>30785.416561772334</v>
      </c>
      <c r="Y1381" s="270">
        <f>IF(L1381="Complex",(INDEX('Escalators '!$M$176:$S$176,MATCH('Forecast capex'!J1381,'Escalators '!$M$178:$S$178,0))/12+1)^((K1381-J1381)*12)-1,0)</f>
        <v>0</v>
      </c>
      <c r="Z1381" s="257">
        <f t="shared" si="292"/>
        <v>0</v>
      </c>
      <c r="AA1381" s="257">
        <f t="shared" si="293"/>
        <v>0</v>
      </c>
      <c r="AB1381" s="269">
        <f t="shared" si="294"/>
        <v>0</v>
      </c>
      <c r="AC1381" s="269">
        <f t="shared" si="295"/>
        <v>0</v>
      </c>
      <c r="AD1381" s="271" t="str">
        <f>INDEX('Global inputs'!$C$134:$C$171,MATCH(F1381,'Global inputs'!$B$134:$B$171,0))</f>
        <v>Asset relocations and undergrounding</v>
      </c>
      <c r="AE1381" s="272">
        <f>IF(OR(H1381='Operating leases'!$B$32,H1381='Operating leases'!$B$33),"",INDEX('Global inputs'!$C$186:$C$243,MATCH(E1381,'Global inputs'!$B$186:$B$243,0)))</f>
        <v>0.08</v>
      </c>
    </row>
    <row r="1382" spans="1:31" s="27" customFormat="1" x14ac:dyDescent="0.2">
      <c r="A1382" s="250"/>
      <c r="B1382" s="210" t="s">
        <v>714</v>
      </c>
      <c r="C1382" s="210" t="s">
        <v>287</v>
      </c>
      <c r="D1382" s="210" t="s">
        <v>715</v>
      </c>
      <c r="E1382" s="210" t="s">
        <v>150</v>
      </c>
      <c r="F1382" s="210" t="s">
        <v>92</v>
      </c>
      <c r="G1382" s="210" t="s">
        <v>717</v>
      </c>
      <c r="H1382" s="197">
        <v>0</v>
      </c>
      <c r="I1382" s="210" t="s">
        <v>221</v>
      </c>
      <c r="J1382" s="210">
        <v>2025</v>
      </c>
      <c r="K1382" s="210">
        <v>2025</v>
      </c>
      <c r="L1382" s="268" t="str">
        <f t="shared" si="283"/>
        <v>Simple</v>
      </c>
      <c r="M1382" s="197">
        <v>11277.317374406619</v>
      </c>
      <c r="N1382" s="197">
        <v>16915.976061609927</v>
      </c>
      <c r="O1382" s="257">
        <f>IF(ISNA(MATCH(H1382,'Operating leases'!$B$32:$B$43,0)),0,INDEX('Operating leases'!$M$32:$S$43,MATCH(H1382,'Operating leases'!$B$32:$B$43,0),MATCH(J1382,'Operating leases'!$M$11:$S$11,0)))</f>
        <v>0</v>
      </c>
      <c r="P1382" s="257">
        <f t="shared" si="284"/>
        <v>11277.317374406619</v>
      </c>
      <c r="Q1382" s="257">
        <f t="shared" si="285"/>
        <v>28193.293436016545</v>
      </c>
      <c r="R1382" s="258">
        <f>INDEX('Escalators '!$M$124:$S$129,MATCH(I1382,'Escalators '!$B$124:$B$129,0),MATCH(J1382,'Escalators '!$M$113:$S$113,0))</f>
        <v>1.0867931559758131</v>
      </c>
      <c r="S1382" s="257">
        <f t="shared" si="286"/>
        <v>0</v>
      </c>
      <c r="T1382" s="257">
        <f t="shared" si="287"/>
        <v>18384.167010408357</v>
      </c>
      <c r="U1382" s="269">
        <f t="shared" si="288"/>
        <v>12256.11134027224</v>
      </c>
      <c r="V1382" s="269">
        <f t="shared" si="289"/>
        <v>30640.278350680597</v>
      </c>
      <c r="W1382" s="269">
        <f t="shared" si="290"/>
        <v>12256.11134027224</v>
      </c>
      <c r="X1382" s="257">
        <f t="shared" si="291"/>
        <v>30640.278350680597</v>
      </c>
      <c r="Y1382" s="270">
        <f>IF(L1382="Complex",(INDEX('Escalators '!$M$176:$S$176,MATCH('Forecast capex'!J1382,'Escalators '!$M$178:$S$178,0))/12+1)^((K1382-J1382)*12)-1,0)</f>
        <v>0</v>
      </c>
      <c r="Z1382" s="257">
        <f t="shared" si="292"/>
        <v>0</v>
      </c>
      <c r="AA1382" s="257">
        <f t="shared" si="293"/>
        <v>0</v>
      </c>
      <c r="AB1382" s="269">
        <f t="shared" si="294"/>
        <v>0</v>
      </c>
      <c r="AC1382" s="269">
        <f t="shared" si="295"/>
        <v>0</v>
      </c>
      <c r="AD1382" s="271" t="str">
        <f>INDEX('Global inputs'!$C$134:$C$171,MATCH(F1382,'Global inputs'!$B$134:$B$171,0))</f>
        <v>Asset relocations and undergrounding</v>
      </c>
      <c r="AE1382" s="272">
        <f>IF(OR(H1382='Operating leases'!$B$32,H1382='Operating leases'!$B$33),"",INDEX('Global inputs'!$C$186:$C$243,MATCH(E1382,'Global inputs'!$B$186:$B$243,0)))</f>
        <v>0.08</v>
      </c>
    </row>
    <row r="1383" spans="1:31" s="27" customFormat="1" x14ac:dyDescent="0.2">
      <c r="A1383" s="250"/>
      <c r="B1383" s="210" t="s">
        <v>714</v>
      </c>
      <c r="C1383" s="210" t="s">
        <v>287</v>
      </c>
      <c r="D1383" s="210" t="s">
        <v>715</v>
      </c>
      <c r="E1383" s="210" t="s">
        <v>151</v>
      </c>
      <c r="F1383" s="210" t="s">
        <v>92</v>
      </c>
      <c r="G1383" s="210" t="s">
        <v>717</v>
      </c>
      <c r="H1383" s="197">
        <v>0</v>
      </c>
      <c r="I1383" s="210" t="s">
        <v>229</v>
      </c>
      <c r="J1383" s="210">
        <v>2025</v>
      </c>
      <c r="K1383" s="210">
        <v>2025</v>
      </c>
      <c r="L1383" s="268" t="str">
        <f t="shared" si="283"/>
        <v>Simple</v>
      </c>
      <c r="M1383" s="197">
        <v>11277.317374406619</v>
      </c>
      <c r="N1383" s="197">
        <v>16915.976061609927</v>
      </c>
      <c r="O1383" s="257">
        <f>IF(ISNA(MATCH(H1383,'Operating leases'!$B$32:$B$43,0)),0,INDEX('Operating leases'!$M$32:$S$43,MATCH(H1383,'Operating leases'!$B$32:$B$43,0),MATCH(J1383,'Operating leases'!$M$11:$S$11,0)))</f>
        <v>0</v>
      </c>
      <c r="P1383" s="257">
        <f t="shared" si="284"/>
        <v>11277.317374406619</v>
      </c>
      <c r="Q1383" s="257">
        <f t="shared" si="285"/>
        <v>28193.293436016545</v>
      </c>
      <c r="R1383" s="258">
        <f>INDEX('Escalators '!$M$124:$S$129,MATCH(I1383,'Escalators '!$B$124:$B$129,0),MATCH(J1383,'Escalators '!$M$113:$S$113,0))</f>
        <v>1.0919411253473632</v>
      </c>
      <c r="S1383" s="257">
        <f t="shared" si="286"/>
        <v>0</v>
      </c>
      <c r="T1383" s="257">
        <f t="shared" si="287"/>
        <v>18471.2499370634</v>
      </c>
      <c r="U1383" s="269">
        <f t="shared" si="288"/>
        <v>12314.166624708934</v>
      </c>
      <c r="V1383" s="269">
        <f t="shared" si="289"/>
        <v>30785.416561772334</v>
      </c>
      <c r="W1383" s="269">
        <f t="shared" si="290"/>
        <v>12314.166624708934</v>
      </c>
      <c r="X1383" s="257">
        <f t="shared" si="291"/>
        <v>30785.416561772334</v>
      </c>
      <c r="Y1383" s="270">
        <f>IF(L1383="Complex",(INDEX('Escalators '!$M$176:$S$176,MATCH('Forecast capex'!J1383,'Escalators '!$M$178:$S$178,0))/12+1)^((K1383-J1383)*12)-1,0)</f>
        <v>0</v>
      </c>
      <c r="Z1383" s="257">
        <f t="shared" si="292"/>
        <v>0</v>
      </c>
      <c r="AA1383" s="257">
        <f t="shared" si="293"/>
        <v>0</v>
      </c>
      <c r="AB1383" s="269">
        <f t="shared" si="294"/>
        <v>0</v>
      </c>
      <c r="AC1383" s="269">
        <f t="shared" si="295"/>
        <v>0</v>
      </c>
      <c r="AD1383" s="271" t="str">
        <f>INDEX('Global inputs'!$C$134:$C$171,MATCH(F1383,'Global inputs'!$B$134:$B$171,0))</f>
        <v>Asset relocations and undergrounding</v>
      </c>
      <c r="AE1383" s="272">
        <f>IF(OR(H1383='Operating leases'!$B$32,H1383='Operating leases'!$B$33),"",INDEX('Global inputs'!$C$186:$C$243,MATCH(E1383,'Global inputs'!$B$186:$B$243,0)))</f>
        <v>0.1</v>
      </c>
    </row>
    <row r="1384" spans="1:31" s="27" customFormat="1" x14ac:dyDescent="0.2">
      <c r="A1384" s="250"/>
      <c r="B1384" s="210" t="s">
        <v>714</v>
      </c>
      <c r="C1384" s="210" t="s">
        <v>287</v>
      </c>
      <c r="D1384" s="210" t="s">
        <v>715</v>
      </c>
      <c r="E1384" s="210" t="s">
        <v>151</v>
      </c>
      <c r="F1384" s="210" t="s">
        <v>92</v>
      </c>
      <c r="G1384" s="210" t="s">
        <v>717</v>
      </c>
      <c r="H1384" s="197">
        <v>0</v>
      </c>
      <c r="I1384" s="210" t="s">
        <v>221</v>
      </c>
      <c r="J1384" s="210">
        <v>2025</v>
      </c>
      <c r="K1384" s="210">
        <v>2025</v>
      </c>
      <c r="L1384" s="268" t="str">
        <f t="shared" si="283"/>
        <v>Simple</v>
      </c>
      <c r="M1384" s="197">
        <v>11277.317374406619</v>
      </c>
      <c r="N1384" s="197">
        <v>16915.976061609927</v>
      </c>
      <c r="O1384" s="257">
        <f>IF(ISNA(MATCH(H1384,'Operating leases'!$B$32:$B$43,0)),0,INDEX('Operating leases'!$M$32:$S$43,MATCH(H1384,'Operating leases'!$B$32:$B$43,0),MATCH(J1384,'Operating leases'!$M$11:$S$11,0)))</f>
        <v>0</v>
      </c>
      <c r="P1384" s="257">
        <f t="shared" si="284"/>
        <v>11277.317374406619</v>
      </c>
      <c r="Q1384" s="257">
        <f t="shared" si="285"/>
        <v>28193.293436016545</v>
      </c>
      <c r="R1384" s="258">
        <f>INDEX('Escalators '!$M$124:$S$129,MATCH(I1384,'Escalators '!$B$124:$B$129,0),MATCH(J1384,'Escalators '!$M$113:$S$113,0))</f>
        <v>1.0867931559758131</v>
      </c>
      <c r="S1384" s="257">
        <f t="shared" si="286"/>
        <v>0</v>
      </c>
      <c r="T1384" s="257">
        <f t="shared" si="287"/>
        <v>18384.167010408357</v>
      </c>
      <c r="U1384" s="269">
        <f t="shared" si="288"/>
        <v>12256.11134027224</v>
      </c>
      <c r="V1384" s="269">
        <f t="shared" si="289"/>
        <v>30640.278350680597</v>
      </c>
      <c r="W1384" s="269">
        <f t="shared" si="290"/>
        <v>12256.11134027224</v>
      </c>
      <c r="X1384" s="257">
        <f t="shared" si="291"/>
        <v>30640.278350680597</v>
      </c>
      <c r="Y1384" s="270">
        <f>IF(L1384="Complex",(INDEX('Escalators '!$M$176:$S$176,MATCH('Forecast capex'!J1384,'Escalators '!$M$178:$S$178,0))/12+1)^((K1384-J1384)*12)-1,0)</f>
        <v>0</v>
      </c>
      <c r="Z1384" s="257">
        <f t="shared" si="292"/>
        <v>0</v>
      </c>
      <c r="AA1384" s="257">
        <f t="shared" si="293"/>
        <v>0</v>
      </c>
      <c r="AB1384" s="269">
        <f t="shared" si="294"/>
        <v>0</v>
      </c>
      <c r="AC1384" s="269">
        <f t="shared" si="295"/>
        <v>0</v>
      </c>
      <c r="AD1384" s="271" t="str">
        <f>INDEX('Global inputs'!$C$134:$C$171,MATCH(F1384,'Global inputs'!$B$134:$B$171,0))</f>
        <v>Asset relocations and undergrounding</v>
      </c>
      <c r="AE1384" s="272">
        <f>IF(OR(H1384='Operating leases'!$B$32,H1384='Operating leases'!$B$33),"",INDEX('Global inputs'!$C$186:$C$243,MATCH(E1384,'Global inputs'!$B$186:$B$243,0)))</f>
        <v>0.1</v>
      </c>
    </row>
    <row r="1385" spans="1:31" s="27" customFormat="1" x14ac:dyDescent="0.2">
      <c r="A1385" s="250"/>
      <c r="B1385" s="210" t="s">
        <v>714</v>
      </c>
      <c r="C1385" s="210" t="s">
        <v>287</v>
      </c>
      <c r="D1385" s="210" t="s">
        <v>715</v>
      </c>
      <c r="E1385" s="210" t="s">
        <v>153</v>
      </c>
      <c r="F1385" s="210" t="s">
        <v>92</v>
      </c>
      <c r="G1385" s="210" t="s">
        <v>717</v>
      </c>
      <c r="H1385" s="197">
        <v>0</v>
      </c>
      <c r="I1385" s="210" t="s">
        <v>229</v>
      </c>
      <c r="J1385" s="210">
        <v>2025</v>
      </c>
      <c r="K1385" s="210">
        <v>2025</v>
      </c>
      <c r="L1385" s="268" t="str">
        <f t="shared" si="283"/>
        <v>Simple</v>
      </c>
      <c r="M1385" s="197">
        <v>4510.9269497626474</v>
      </c>
      <c r="N1385" s="197">
        <v>6766.3904246439706</v>
      </c>
      <c r="O1385" s="257">
        <f>IF(ISNA(MATCH(H1385,'Operating leases'!$B$32:$B$43,0)),0,INDEX('Operating leases'!$M$32:$S$43,MATCH(H1385,'Operating leases'!$B$32:$B$43,0),MATCH(J1385,'Operating leases'!$M$11:$S$11,0)))</f>
        <v>0</v>
      </c>
      <c r="P1385" s="257">
        <f t="shared" si="284"/>
        <v>4510.9269497626474</v>
      </c>
      <c r="Q1385" s="257">
        <f t="shared" si="285"/>
        <v>11277.317374406619</v>
      </c>
      <c r="R1385" s="258">
        <f>INDEX('Escalators '!$M$124:$S$129,MATCH(I1385,'Escalators '!$B$124:$B$129,0),MATCH(J1385,'Escalators '!$M$113:$S$113,0))</f>
        <v>1.0919411253473632</v>
      </c>
      <c r="S1385" s="257">
        <f t="shared" si="286"/>
        <v>0</v>
      </c>
      <c r="T1385" s="257">
        <f t="shared" si="287"/>
        <v>7388.4999748253604</v>
      </c>
      <c r="U1385" s="269">
        <f t="shared" si="288"/>
        <v>4925.6666498835739</v>
      </c>
      <c r="V1385" s="269">
        <f t="shared" si="289"/>
        <v>12314.166624708934</v>
      </c>
      <c r="W1385" s="269">
        <f t="shared" si="290"/>
        <v>4925.6666498835739</v>
      </c>
      <c r="X1385" s="257">
        <f t="shared" si="291"/>
        <v>12314.166624708934</v>
      </c>
      <c r="Y1385" s="270">
        <f>IF(L1385="Complex",(INDEX('Escalators '!$M$176:$S$176,MATCH('Forecast capex'!J1385,'Escalators '!$M$178:$S$178,0))/12+1)^((K1385-J1385)*12)-1,0)</f>
        <v>0</v>
      </c>
      <c r="Z1385" s="257">
        <f t="shared" si="292"/>
        <v>0</v>
      </c>
      <c r="AA1385" s="257">
        <f t="shared" si="293"/>
        <v>0</v>
      </c>
      <c r="AB1385" s="269">
        <f t="shared" si="294"/>
        <v>0</v>
      </c>
      <c r="AC1385" s="269">
        <f t="shared" si="295"/>
        <v>0</v>
      </c>
      <c r="AD1385" s="271" t="str">
        <f>INDEX('Global inputs'!$C$134:$C$171,MATCH(F1385,'Global inputs'!$B$134:$B$171,0))</f>
        <v>Asset relocations and undergrounding</v>
      </c>
      <c r="AE1385" s="272">
        <f>IF(OR(H1385='Operating leases'!$B$32,H1385='Operating leases'!$B$33),"",INDEX('Global inputs'!$C$186:$C$243,MATCH(E1385,'Global inputs'!$B$186:$B$243,0)))</f>
        <v>0.08</v>
      </c>
    </row>
    <row r="1386" spans="1:31" s="27" customFormat="1" x14ac:dyDescent="0.2">
      <c r="A1386" s="250"/>
      <c r="B1386" s="210" t="s">
        <v>714</v>
      </c>
      <c r="C1386" s="210" t="s">
        <v>287</v>
      </c>
      <c r="D1386" s="210" t="s">
        <v>715</v>
      </c>
      <c r="E1386" s="210" t="s">
        <v>153</v>
      </c>
      <c r="F1386" s="210" t="s">
        <v>92</v>
      </c>
      <c r="G1386" s="210" t="s">
        <v>717</v>
      </c>
      <c r="H1386" s="197">
        <v>0</v>
      </c>
      <c r="I1386" s="210" t="s">
        <v>221</v>
      </c>
      <c r="J1386" s="210">
        <v>2025</v>
      </c>
      <c r="K1386" s="210">
        <v>2025</v>
      </c>
      <c r="L1386" s="268" t="str">
        <f t="shared" si="283"/>
        <v>Simple</v>
      </c>
      <c r="M1386" s="197">
        <v>4510.9269497626474</v>
      </c>
      <c r="N1386" s="197">
        <v>6766.3904246439706</v>
      </c>
      <c r="O1386" s="257">
        <f>IF(ISNA(MATCH(H1386,'Operating leases'!$B$32:$B$43,0)),0,INDEX('Operating leases'!$M$32:$S$43,MATCH(H1386,'Operating leases'!$B$32:$B$43,0),MATCH(J1386,'Operating leases'!$M$11:$S$11,0)))</f>
        <v>0</v>
      </c>
      <c r="P1386" s="257">
        <f t="shared" si="284"/>
        <v>4510.9269497626474</v>
      </c>
      <c r="Q1386" s="257">
        <f t="shared" si="285"/>
        <v>11277.317374406619</v>
      </c>
      <c r="R1386" s="258">
        <f>INDEX('Escalators '!$M$124:$S$129,MATCH(I1386,'Escalators '!$B$124:$B$129,0),MATCH(J1386,'Escalators '!$M$113:$S$113,0))</f>
        <v>1.0867931559758131</v>
      </c>
      <c r="S1386" s="257">
        <f t="shared" si="286"/>
        <v>0</v>
      </c>
      <c r="T1386" s="257">
        <f t="shared" si="287"/>
        <v>7353.6668041633429</v>
      </c>
      <c r="U1386" s="269">
        <f t="shared" si="288"/>
        <v>4902.4445361088956</v>
      </c>
      <c r="V1386" s="269">
        <f t="shared" si="289"/>
        <v>12256.111340272239</v>
      </c>
      <c r="W1386" s="269">
        <f t="shared" si="290"/>
        <v>4902.4445361088956</v>
      </c>
      <c r="X1386" s="257">
        <f t="shared" si="291"/>
        <v>12256.111340272239</v>
      </c>
      <c r="Y1386" s="270">
        <f>IF(L1386="Complex",(INDEX('Escalators '!$M$176:$S$176,MATCH('Forecast capex'!J1386,'Escalators '!$M$178:$S$178,0))/12+1)^((K1386-J1386)*12)-1,0)</f>
        <v>0</v>
      </c>
      <c r="Z1386" s="257">
        <f t="shared" si="292"/>
        <v>0</v>
      </c>
      <c r="AA1386" s="257">
        <f t="shared" si="293"/>
        <v>0</v>
      </c>
      <c r="AB1386" s="269">
        <f t="shared" si="294"/>
        <v>0</v>
      </c>
      <c r="AC1386" s="269">
        <f t="shared" si="295"/>
        <v>0</v>
      </c>
      <c r="AD1386" s="271" t="str">
        <f>INDEX('Global inputs'!$C$134:$C$171,MATCH(F1386,'Global inputs'!$B$134:$B$171,0))</f>
        <v>Asset relocations and undergrounding</v>
      </c>
      <c r="AE1386" s="272">
        <f>IF(OR(H1386='Operating leases'!$B$32,H1386='Operating leases'!$B$33),"",INDEX('Global inputs'!$C$186:$C$243,MATCH(E1386,'Global inputs'!$B$186:$B$243,0)))</f>
        <v>0.08</v>
      </c>
    </row>
    <row r="1387" spans="1:31" s="27" customFormat="1" x14ac:dyDescent="0.2">
      <c r="A1387" s="250"/>
      <c r="B1387" s="210" t="s">
        <v>714</v>
      </c>
      <c r="C1387" s="210" t="s">
        <v>287</v>
      </c>
      <c r="D1387" s="210" t="s">
        <v>715</v>
      </c>
      <c r="E1387" s="210" t="s">
        <v>154</v>
      </c>
      <c r="F1387" s="210" t="s">
        <v>92</v>
      </c>
      <c r="G1387" s="210" t="s">
        <v>717</v>
      </c>
      <c r="H1387" s="197">
        <v>0</v>
      </c>
      <c r="I1387" s="210" t="s">
        <v>229</v>
      </c>
      <c r="J1387" s="210">
        <v>2025</v>
      </c>
      <c r="K1387" s="210">
        <v>2025</v>
      </c>
      <c r="L1387" s="268" t="str">
        <f t="shared" si="283"/>
        <v>Simple</v>
      </c>
      <c r="M1387" s="197">
        <v>4510.9269497626474</v>
      </c>
      <c r="N1387" s="197">
        <v>6766.3904246439706</v>
      </c>
      <c r="O1387" s="257">
        <f>IF(ISNA(MATCH(H1387,'Operating leases'!$B$32:$B$43,0)),0,INDEX('Operating leases'!$M$32:$S$43,MATCH(H1387,'Operating leases'!$B$32:$B$43,0),MATCH(J1387,'Operating leases'!$M$11:$S$11,0)))</f>
        <v>0</v>
      </c>
      <c r="P1387" s="257">
        <f t="shared" si="284"/>
        <v>4510.9269497626474</v>
      </c>
      <c r="Q1387" s="257">
        <f t="shared" si="285"/>
        <v>11277.317374406619</v>
      </c>
      <c r="R1387" s="258">
        <f>INDEX('Escalators '!$M$124:$S$129,MATCH(I1387,'Escalators '!$B$124:$B$129,0),MATCH(J1387,'Escalators '!$M$113:$S$113,0))</f>
        <v>1.0919411253473632</v>
      </c>
      <c r="S1387" s="257">
        <f t="shared" si="286"/>
        <v>0</v>
      </c>
      <c r="T1387" s="257">
        <f t="shared" si="287"/>
        <v>7388.4999748253604</v>
      </c>
      <c r="U1387" s="269">
        <f t="shared" si="288"/>
        <v>4925.6666498835739</v>
      </c>
      <c r="V1387" s="269">
        <f t="shared" si="289"/>
        <v>12314.166624708934</v>
      </c>
      <c r="W1387" s="269">
        <f t="shared" si="290"/>
        <v>4925.6666498835739</v>
      </c>
      <c r="X1387" s="257">
        <f t="shared" si="291"/>
        <v>12314.166624708934</v>
      </c>
      <c r="Y1387" s="270">
        <f>IF(L1387="Complex",(INDEX('Escalators '!$M$176:$S$176,MATCH('Forecast capex'!J1387,'Escalators '!$M$178:$S$178,0))/12+1)^((K1387-J1387)*12)-1,0)</f>
        <v>0</v>
      </c>
      <c r="Z1387" s="257">
        <f t="shared" si="292"/>
        <v>0</v>
      </c>
      <c r="AA1387" s="257">
        <f t="shared" si="293"/>
        <v>0</v>
      </c>
      <c r="AB1387" s="269">
        <f t="shared" si="294"/>
        <v>0</v>
      </c>
      <c r="AC1387" s="269">
        <f t="shared" si="295"/>
        <v>0</v>
      </c>
      <c r="AD1387" s="271" t="str">
        <f>INDEX('Global inputs'!$C$134:$C$171,MATCH(F1387,'Global inputs'!$B$134:$B$171,0))</f>
        <v>Asset relocations and undergrounding</v>
      </c>
      <c r="AE1387" s="272">
        <f>IF(OR(H1387='Operating leases'!$B$32,H1387='Operating leases'!$B$33),"",INDEX('Global inputs'!$C$186:$C$243,MATCH(E1387,'Global inputs'!$B$186:$B$243,0)))</f>
        <v>0.1</v>
      </c>
    </row>
    <row r="1388" spans="1:31" s="27" customFormat="1" x14ac:dyDescent="0.2">
      <c r="A1388" s="250"/>
      <c r="B1388" s="210" t="s">
        <v>714</v>
      </c>
      <c r="C1388" s="210" t="s">
        <v>287</v>
      </c>
      <c r="D1388" s="210" t="s">
        <v>715</v>
      </c>
      <c r="E1388" s="210" t="s">
        <v>154</v>
      </c>
      <c r="F1388" s="210" t="s">
        <v>92</v>
      </c>
      <c r="G1388" s="210" t="s">
        <v>717</v>
      </c>
      <c r="H1388" s="197">
        <v>0</v>
      </c>
      <c r="I1388" s="210" t="s">
        <v>221</v>
      </c>
      <c r="J1388" s="210">
        <v>2025</v>
      </c>
      <c r="K1388" s="210">
        <v>2025</v>
      </c>
      <c r="L1388" s="268" t="str">
        <f t="shared" si="283"/>
        <v>Simple</v>
      </c>
      <c r="M1388" s="197">
        <v>4510.9269497626474</v>
      </c>
      <c r="N1388" s="197">
        <v>6766.3904246439706</v>
      </c>
      <c r="O1388" s="257">
        <f>IF(ISNA(MATCH(H1388,'Operating leases'!$B$32:$B$43,0)),0,INDEX('Operating leases'!$M$32:$S$43,MATCH(H1388,'Operating leases'!$B$32:$B$43,0),MATCH(J1388,'Operating leases'!$M$11:$S$11,0)))</f>
        <v>0</v>
      </c>
      <c r="P1388" s="257">
        <f t="shared" si="284"/>
        <v>4510.9269497626474</v>
      </c>
      <c r="Q1388" s="257">
        <f t="shared" si="285"/>
        <v>11277.317374406619</v>
      </c>
      <c r="R1388" s="258">
        <f>INDEX('Escalators '!$M$124:$S$129,MATCH(I1388,'Escalators '!$B$124:$B$129,0),MATCH(J1388,'Escalators '!$M$113:$S$113,0))</f>
        <v>1.0867931559758131</v>
      </c>
      <c r="S1388" s="257">
        <f t="shared" si="286"/>
        <v>0</v>
      </c>
      <c r="T1388" s="257">
        <f t="shared" si="287"/>
        <v>7353.6668041633429</v>
      </c>
      <c r="U1388" s="269">
        <f t="shared" si="288"/>
        <v>4902.4445361088956</v>
      </c>
      <c r="V1388" s="269">
        <f t="shared" si="289"/>
        <v>12256.111340272239</v>
      </c>
      <c r="W1388" s="269">
        <f t="shared" si="290"/>
        <v>4902.4445361088956</v>
      </c>
      <c r="X1388" s="257">
        <f t="shared" si="291"/>
        <v>12256.111340272239</v>
      </c>
      <c r="Y1388" s="270">
        <f>IF(L1388="Complex",(INDEX('Escalators '!$M$176:$S$176,MATCH('Forecast capex'!J1388,'Escalators '!$M$178:$S$178,0))/12+1)^((K1388-J1388)*12)-1,0)</f>
        <v>0</v>
      </c>
      <c r="Z1388" s="257">
        <f t="shared" si="292"/>
        <v>0</v>
      </c>
      <c r="AA1388" s="257">
        <f t="shared" si="293"/>
        <v>0</v>
      </c>
      <c r="AB1388" s="269">
        <f t="shared" si="294"/>
        <v>0</v>
      </c>
      <c r="AC1388" s="269">
        <f t="shared" si="295"/>
        <v>0</v>
      </c>
      <c r="AD1388" s="271" t="str">
        <f>INDEX('Global inputs'!$C$134:$C$171,MATCH(F1388,'Global inputs'!$B$134:$B$171,0))</f>
        <v>Asset relocations and undergrounding</v>
      </c>
      <c r="AE1388" s="272">
        <f>IF(OR(H1388='Operating leases'!$B$32,H1388='Operating leases'!$B$33),"",INDEX('Global inputs'!$C$186:$C$243,MATCH(E1388,'Global inputs'!$B$186:$B$243,0)))</f>
        <v>0.1</v>
      </c>
    </row>
    <row r="1389" spans="1:31" s="27" customFormat="1" x14ac:dyDescent="0.2">
      <c r="A1389" s="250"/>
      <c r="B1389" s="210" t="s">
        <v>714</v>
      </c>
      <c r="C1389" s="210" t="s">
        <v>290</v>
      </c>
      <c r="D1389" s="210" t="s">
        <v>718</v>
      </c>
      <c r="E1389" s="210" t="s">
        <v>173</v>
      </c>
      <c r="F1389" s="210" t="s">
        <v>92</v>
      </c>
      <c r="G1389" s="210" t="s">
        <v>719</v>
      </c>
      <c r="H1389" s="197">
        <v>0</v>
      </c>
      <c r="I1389" s="210" t="s">
        <v>142</v>
      </c>
      <c r="J1389" s="210">
        <v>2025</v>
      </c>
      <c r="K1389" s="210">
        <v>2025</v>
      </c>
      <c r="L1389" s="268" t="str">
        <f t="shared" si="283"/>
        <v>Simple</v>
      </c>
      <c r="M1389" s="197">
        <v>10826.224679430354</v>
      </c>
      <c r="N1389" s="197">
        <v>16239.337019145529</v>
      </c>
      <c r="O1389" s="257">
        <f>IF(ISNA(MATCH(H1389,'Operating leases'!$B$32:$B$43,0)),0,INDEX('Operating leases'!$M$32:$S$43,MATCH(H1389,'Operating leases'!$B$32:$B$43,0),MATCH(J1389,'Operating leases'!$M$11:$S$11,0)))</f>
        <v>0</v>
      </c>
      <c r="P1389" s="257">
        <f t="shared" si="284"/>
        <v>10826.224679430354</v>
      </c>
      <c r="Q1389" s="257">
        <f t="shared" si="285"/>
        <v>27065.561698575882</v>
      </c>
      <c r="R1389" s="258">
        <f>INDEX('Escalators '!$M$124:$S$129,MATCH(I1389,'Escalators '!$B$124:$B$129,0),MATCH(J1389,'Escalators '!$M$113:$S$113,0))</f>
        <v>1.0914807286621109</v>
      </c>
      <c r="S1389" s="257">
        <f t="shared" si="286"/>
        <v>0</v>
      </c>
      <c r="T1389" s="257">
        <f t="shared" si="287"/>
        <v>17724.923402646553</v>
      </c>
      <c r="U1389" s="269">
        <f t="shared" si="288"/>
        <v>11816.61560176437</v>
      </c>
      <c r="V1389" s="269">
        <f t="shared" si="289"/>
        <v>29541.539004410923</v>
      </c>
      <c r="W1389" s="269">
        <f t="shared" si="290"/>
        <v>11816.61560176437</v>
      </c>
      <c r="X1389" s="257">
        <f t="shared" si="291"/>
        <v>29541.539004410923</v>
      </c>
      <c r="Y1389" s="270">
        <f>IF(L1389="Complex",(INDEX('Escalators '!$M$176:$S$176,MATCH('Forecast capex'!J1389,'Escalators '!$M$178:$S$178,0))/12+1)^((K1389-J1389)*12)-1,0)</f>
        <v>0</v>
      </c>
      <c r="Z1389" s="257">
        <f t="shared" si="292"/>
        <v>0</v>
      </c>
      <c r="AA1389" s="257">
        <f t="shared" si="293"/>
        <v>0</v>
      </c>
      <c r="AB1389" s="269">
        <f t="shared" si="294"/>
        <v>0</v>
      </c>
      <c r="AC1389" s="269">
        <f t="shared" si="295"/>
        <v>0</v>
      </c>
      <c r="AD1389" s="271" t="str">
        <f>INDEX('Global inputs'!$C$134:$C$171,MATCH(F1389,'Global inputs'!$B$134:$B$171,0))</f>
        <v>Asset relocations and undergrounding</v>
      </c>
      <c r="AE1389" s="272">
        <f>IF(OR(H1389='Operating leases'!$B$32,H1389='Operating leases'!$B$33),"",INDEX('Global inputs'!$C$186:$C$243,MATCH(E1389,'Global inputs'!$B$186:$B$243,0)))</f>
        <v>0.08</v>
      </c>
    </row>
    <row r="1390" spans="1:31" s="27" customFormat="1" x14ac:dyDescent="0.2">
      <c r="A1390" s="250"/>
      <c r="B1390" s="210" t="s">
        <v>714</v>
      </c>
      <c r="C1390" s="210" t="s">
        <v>290</v>
      </c>
      <c r="D1390" s="210" t="s">
        <v>718</v>
      </c>
      <c r="E1390" s="210" t="s">
        <v>173</v>
      </c>
      <c r="F1390" s="210" t="s">
        <v>92</v>
      </c>
      <c r="G1390" s="210" t="s">
        <v>719</v>
      </c>
      <c r="H1390" s="197">
        <v>0</v>
      </c>
      <c r="I1390" s="210" t="s">
        <v>221</v>
      </c>
      <c r="J1390" s="210">
        <v>2025</v>
      </c>
      <c r="K1390" s="210">
        <v>2025</v>
      </c>
      <c r="L1390" s="268" t="str">
        <f t="shared" si="283"/>
        <v>Simple</v>
      </c>
      <c r="M1390" s="197">
        <v>2706.5561698575884</v>
      </c>
      <c r="N1390" s="197">
        <v>4059.8342547863822</v>
      </c>
      <c r="O1390" s="257">
        <f>IF(ISNA(MATCH(H1390,'Operating leases'!$B$32:$B$43,0)),0,INDEX('Operating leases'!$M$32:$S$43,MATCH(H1390,'Operating leases'!$B$32:$B$43,0),MATCH(J1390,'Operating leases'!$M$11:$S$11,0)))</f>
        <v>0</v>
      </c>
      <c r="P1390" s="257">
        <f t="shared" si="284"/>
        <v>2706.5561698575884</v>
      </c>
      <c r="Q1390" s="257">
        <f t="shared" si="285"/>
        <v>6766.3904246439706</v>
      </c>
      <c r="R1390" s="258">
        <f>INDEX('Escalators '!$M$124:$S$129,MATCH(I1390,'Escalators '!$B$124:$B$129,0),MATCH(J1390,'Escalators '!$M$113:$S$113,0))</f>
        <v>1.0867931559758131</v>
      </c>
      <c r="S1390" s="257">
        <f t="shared" si="286"/>
        <v>0</v>
      </c>
      <c r="T1390" s="257">
        <f t="shared" si="287"/>
        <v>4412.200082498005</v>
      </c>
      <c r="U1390" s="269">
        <f t="shared" si="288"/>
        <v>2941.4667216653379</v>
      </c>
      <c r="V1390" s="269">
        <f t="shared" si="289"/>
        <v>7353.6668041633429</v>
      </c>
      <c r="W1390" s="269">
        <f t="shared" si="290"/>
        <v>2941.4667216653379</v>
      </c>
      <c r="X1390" s="257">
        <f t="shared" si="291"/>
        <v>7353.6668041633429</v>
      </c>
      <c r="Y1390" s="270">
        <f>IF(L1390="Complex",(INDEX('Escalators '!$M$176:$S$176,MATCH('Forecast capex'!J1390,'Escalators '!$M$178:$S$178,0))/12+1)^((K1390-J1390)*12)-1,0)</f>
        <v>0</v>
      </c>
      <c r="Z1390" s="257">
        <f t="shared" si="292"/>
        <v>0</v>
      </c>
      <c r="AA1390" s="257">
        <f t="shared" si="293"/>
        <v>0</v>
      </c>
      <c r="AB1390" s="269">
        <f t="shared" si="294"/>
        <v>0</v>
      </c>
      <c r="AC1390" s="269">
        <f t="shared" si="295"/>
        <v>0</v>
      </c>
      <c r="AD1390" s="271" t="str">
        <f>INDEX('Global inputs'!$C$134:$C$171,MATCH(F1390,'Global inputs'!$B$134:$B$171,0))</f>
        <v>Asset relocations and undergrounding</v>
      </c>
      <c r="AE1390" s="272">
        <f>IF(OR(H1390='Operating leases'!$B$32,H1390='Operating leases'!$B$33),"",INDEX('Global inputs'!$C$186:$C$243,MATCH(E1390,'Global inputs'!$B$186:$B$243,0)))</f>
        <v>0.08</v>
      </c>
    </row>
    <row r="1391" spans="1:31" s="27" customFormat="1" x14ac:dyDescent="0.2">
      <c r="A1391" s="250"/>
      <c r="B1391" s="210" t="s">
        <v>714</v>
      </c>
      <c r="C1391" s="210" t="s">
        <v>290</v>
      </c>
      <c r="D1391" s="210" t="s">
        <v>718</v>
      </c>
      <c r="E1391" s="210" t="s">
        <v>169</v>
      </c>
      <c r="F1391" s="210" t="s">
        <v>92</v>
      </c>
      <c r="G1391" s="210" t="s">
        <v>720</v>
      </c>
      <c r="H1391" s="197">
        <v>0</v>
      </c>
      <c r="I1391" s="210" t="s">
        <v>229</v>
      </c>
      <c r="J1391" s="210">
        <v>2025</v>
      </c>
      <c r="K1391" s="210">
        <v>2025</v>
      </c>
      <c r="L1391" s="268" t="str">
        <f t="shared" si="283"/>
        <v>Simple</v>
      </c>
      <c r="M1391" s="197">
        <v>23005.727443789499</v>
      </c>
      <c r="N1391" s="197">
        <v>34508.591165684244</v>
      </c>
      <c r="O1391" s="257">
        <f>IF(ISNA(MATCH(H1391,'Operating leases'!$B$32:$B$43,0)),0,INDEX('Operating leases'!$M$32:$S$43,MATCH(H1391,'Operating leases'!$B$32:$B$43,0),MATCH(J1391,'Operating leases'!$M$11:$S$11,0)))</f>
        <v>0</v>
      </c>
      <c r="P1391" s="257">
        <f t="shared" si="284"/>
        <v>23005.727443789499</v>
      </c>
      <c r="Q1391" s="257">
        <f t="shared" si="285"/>
        <v>57514.318609473747</v>
      </c>
      <c r="R1391" s="258">
        <f>INDEX('Escalators '!$M$124:$S$129,MATCH(I1391,'Escalators '!$B$124:$B$129,0),MATCH(J1391,'Escalators '!$M$113:$S$113,0))</f>
        <v>1.0919411253473632</v>
      </c>
      <c r="S1391" s="257">
        <f t="shared" si="286"/>
        <v>0</v>
      </c>
      <c r="T1391" s="257">
        <f t="shared" si="287"/>
        <v>37681.349871609331</v>
      </c>
      <c r="U1391" s="269">
        <f t="shared" si="288"/>
        <v>25120.899914406225</v>
      </c>
      <c r="V1391" s="269">
        <f t="shared" si="289"/>
        <v>62802.249786015556</v>
      </c>
      <c r="W1391" s="269">
        <f t="shared" si="290"/>
        <v>25120.899914406225</v>
      </c>
      <c r="X1391" s="257">
        <f t="shared" si="291"/>
        <v>62802.249786015556</v>
      </c>
      <c r="Y1391" s="270">
        <f>IF(L1391="Complex",(INDEX('Escalators '!$M$176:$S$176,MATCH('Forecast capex'!J1391,'Escalators '!$M$178:$S$178,0))/12+1)^((K1391-J1391)*12)-1,0)</f>
        <v>0</v>
      </c>
      <c r="Z1391" s="257">
        <f t="shared" si="292"/>
        <v>0</v>
      </c>
      <c r="AA1391" s="257">
        <f t="shared" si="293"/>
        <v>0</v>
      </c>
      <c r="AB1391" s="269">
        <f t="shared" si="294"/>
        <v>0</v>
      </c>
      <c r="AC1391" s="269">
        <f t="shared" si="295"/>
        <v>0</v>
      </c>
      <c r="AD1391" s="271" t="str">
        <f>INDEX('Global inputs'!$C$134:$C$171,MATCH(F1391,'Global inputs'!$B$134:$B$171,0))</f>
        <v>Asset relocations and undergrounding</v>
      </c>
      <c r="AE1391" s="272">
        <f>IF(OR(H1391='Operating leases'!$B$32,H1391='Operating leases'!$B$33),"",INDEX('Global inputs'!$C$186:$C$243,MATCH(E1391,'Global inputs'!$B$186:$B$243,0)))</f>
        <v>0.08</v>
      </c>
    </row>
    <row r="1392" spans="1:31" s="27" customFormat="1" x14ac:dyDescent="0.2">
      <c r="A1392" s="250"/>
      <c r="B1392" s="210" t="s">
        <v>714</v>
      </c>
      <c r="C1392" s="210" t="s">
        <v>290</v>
      </c>
      <c r="D1392" s="210" t="s">
        <v>718</v>
      </c>
      <c r="E1392" s="210" t="s">
        <v>169</v>
      </c>
      <c r="F1392" s="210" t="s">
        <v>92</v>
      </c>
      <c r="G1392" s="210" t="s">
        <v>720</v>
      </c>
      <c r="H1392" s="197">
        <v>0</v>
      </c>
      <c r="I1392" s="210" t="s">
        <v>221</v>
      </c>
      <c r="J1392" s="210">
        <v>2025</v>
      </c>
      <c r="K1392" s="210">
        <v>2025</v>
      </c>
      <c r="L1392" s="268" t="str">
        <f t="shared" si="283"/>
        <v>Simple</v>
      </c>
      <c r="M1392" s="197">
        <v>15337.151629193</v>
      </c>
      <c r="N1392" s="197">
        <v>23005.727443789496</v>
      </c>
      <c r="O1392" s="257">
        <f>IF(ISNA(MATCH(H1392,'Operating leases'!$B$32:$B$43,0)),0,INDEX('Operating leases'!$M$32:$S$43,MATCH(H1392,'Operating leases'!$B$32:$B$43,0),MATCH(J1392,'Operating leases'!$M$11:$S$11,0)))</f>
        <v>0</v>
      </c>
      <c r="P1392" s="257">
        <f t="shared" si="284"/>
        <v>15337.151629193</v>
      </c>
      <c r="Q1392" s="257">
        <f t="shared" si="285"/>
        <v>38342.879072982498</v>
      </c>
      <c r="R1392" s="258">
        <f>INDEX('Escalators '!$M$124:$S$129,MATCH(I1392,'Escalators '!$B$124:$B$129,0),MATCH(J1392,'Escalators '!$M$113:$S$113,0))</f>
        <v>1.0867931559758131</v>
      </c>
      <c r="S1392" s="257">
        <f t="shared" si="286"/>
        <v>0</v>
      </c>
      <c r="T1392" s="257">
        <f t="shared" si="287"/>
        <v>25002.467134155362</v>
      </c>
      <c r="U1392" s="269">
        <f t="shared" si="288"/>
        <v>16668.311422770246</v>
      </c>
      <c r="V1392" s="269">
        <f t="shared" si="289"/>
        <v>41670.778556925608</v>
      </c>
      <c r="W1392" s="269">
        <f t="shared" si="290"/>
        <v>16668.311422770246</v>
      </c>
      <c r="X1392" s="257">
        <f t="shared" si="291"/>
        <v>41670.778556925608</v>
      </c>
      <c r="Y1392" s="270">
        <f>IF(L1392="Complex",(INDEX('Escalators '!$M$176:$S$176,MATCH('Forecast capex'!J1392,'Escalators '!$M$178:$S$178,0))/12+1)^((K1392-J1392)*12)-1,0)</f>
        <v>0</v>
      </c>
      <c r="Z1392" s="257">
        <f t="shared" si="292"/>
        <v>0</v>
      </c>
      <c r="AA1392" s="257">
        <f t="shared" si="293"/>
        <v>0</v>
      </c>
      <c r="AB1392" s="269">
        <f t="shared" si="294"/>
        <v>0</v>
      </c>
      <c r="AC1392" s="269">
        <f t="shared" si="295"/>
        <v>0</v>
      </c>
      <c r="AD1392" s="271" t="str">
        <f>INDEX('Global inputs'!$C$134:$C$171,MATCH(F1392,'Global inputs'!$B$134:$B$171,0))</f>
        <v>Asset relocations and undergrounding</v>
      </c>
      <c r="AE1392" s="272">
        <f>IF(OR(H1392='Operating leases'!$B$32,H1392='Operating leases'!$B$33),"",INDEX('Global inputs'!$C$186:$C$243,MATCH(E1392,'Global inputs'!$B$186:$B$243,0)))</f>
        <v>0.08</v>
      </c>
    </row>
    <row r="1393" spans="1:31" s="27" customFormat="1" x14ac:dyDescent="0.2">
      <c r="A1393" s="250"/>
      <c r="B1393" s="210" t="s">
        <v>714</v>
      </c>
      <c r="C1393" s="210" t="s">
        <v>290</v>
      </c>
      <c r="D1393" s="210" t="s">
        <v>718</v>
      </c>
      <c r="E1393" s="210" t="s">
        <v>170</v>
      </c>
      <c r="F1393" s="210" t="s">
        <v>92</v>
      </c>
      <c r="G1393" s="210" t="s">
        <v>721</v>
      </c>
      <c r="H1393" s="197">
        <v>0</v>
      </c>
      <c r="I1393" s="210" t="s">
        <v>229</v>
      </c>
      <c r="J1393" s="210">
        <v>2025</v>
      </c>
      <c r="K1393" s="210">
        <v>2025</v>
      </c>
      <c r="L1393" s="268" t="str">
        <f t="shared" si="283"/>
        <v>Simple</v>
      </c>
      <c r="M1393" s="197">
        <v>20299.171273931912</v>
      </c>
      <c r="N1393" s="197">
        <v>30448.756910897868</v>
      </c>
      <c r="O1393" s="257">
        <f>IF(ISNA(MATCH(H1393,'Operating leases'!$B$32:$B$43,0)),0,INDEX('Operating leases'!$M$32:$S$43,MATCH(H1393,'Operating leases'!$B$32:$B$43,0),MATCH(J1393,'Operating leases'!$M$11:$S$11,0)))</f>
        <v>0</v>
      </c>
      <c r="P1393" s="257">
        <f t="shared" si="284"/>
        <v>20299.171273931912</v>
      </c>
      <c r="Q1393" s="257">
        <f t="shared" si="285"/>
        <v>50747.928184829783</v>
      </c>
      <c r="R1393" s="258">
        <f>INDEX('Escalators '!$M$124:$S$129,MATCH(I1393,'Escalators '!$B$124:$B$129,0),MATCH(J1393,'Escalators '!$M$113:$S$113,0))</f>
        <v>1.0919411253473632</v>
      </c>
      <c r="S1393" s="257">
        <f t="shared" si="286"/>
        <v>0</v>
      </c>
      <c r="T1393" s="257">
        <f t="shared" si="287"/>
        <v>33248.249886714118</v>
      </c>
      <c r="U1393" s="269">
        <f t="shared" si="288"/>
        <v>22165.499924476084</v>
      </c>
      <c r="V1393" s="269">
        <f t="shared" si="289"/>
        <v>55413.749811190202</v>
      </c>
      <c r="W1393" s="269">
        <f t="shared" si="290"/>
        <v>22165.499924476084</v>
      </c>
      <c r="X1393" s="257">
        <f t="shared" si="291"/>
        <v>55413.749811190202</v>
      </c>
      <c r="Y1393" s="270">
        <f>IF(L1393="Complex",(INDEX('Escalators '!$M$176:$S$176,MATCH('Forecast capex'!J1393,'Escalators '!$M$178:$S$178,0))/12+1)^((K1393-J1393)*12)-1,0)</f>
        <v>0</v>
      </c>
      <c r="Z1393" s="257">
        <f t="shared" si="292"/>
        <v>0</v>
      </c>
      <c r="AA1393" s="257">
        <f t="shared" si="293"/>
        <v>0</v>
      </c>
      <c r="AB1393" s="269">
        <f t="shared" si="294"/>
        <v>0</v>
      </c>
      <c r="AC1393" s="269">
        <f t="shared" si="295"/>
        <v>0</v>
      </c>
      <c r="AD1393" s="271" t="str">
        <f>INDEX('Global inputs'!$C$134:$C$171,MATCH(F1393,'Global inputs'!$B$134:$B$171,0))</f>
        <v>Asset relocations and undergrounding</v>
      </c>
      <c r="AE1393" s="272">
        <f>IF(OR(H1393='Operating leases'!$B$32,H1393='Operating leases'!$B$33),"",INDEX('Global inputs'!$C$186:$C$243,MATCH(E1393,'Global inputs'!$B$186:$B$243,0)))</f>
        <v>0.08</v>
      </c>
    </row>
    <row r="1394" spans="1:31" s="27" customFormat="1" x14ac:dyDescent="0.2">
      <c r="A1394" s="250"/>
      <c r="B1394" s="210" t="s">
        <v>714</v>
      </c>
      <c r="C1394" s="210" t="s">
        <v>290</v>
      </c>
      <c r="D1394" s="210" t="s">
        <v>718</v>
      </c>
      <c r="E1394" s="210" t="s">
        <v>170</v>
      </c>
      <c r="F1394" s="210" t="s">
        <v>92</v>
      </c>
      <c r="G1394" s="210" t="s">
        <v>721</v>
      </c>
      <c r="H1394" s="197">
        <v>0</v>
      </c>
      <c r="I1394" s="210" t="s">
        <v>221</v>
      </c>
      <c r="J1394" s="210">
        <v>2025</v>
      </c>
      <c r="K1394" s="210">
        <v>2025</v>
      </c>
      <c r="L1394" s="268" t="str">
        <f t="shared" si="283"/>
        <v>Simple</v>
      </c>
      <c r="M1394" s="197">
        <v>20299.171273931912</v>
      </c>
      <c r="N1394" s="197">
        <v>30448.756910897868</v>
      </c>
      <c r="O1394" s="257">
        <f>IF(ISNA(MATCH(H1394,'Operating leases'!$B$32:$B$43,0)),0,INDEX('Operating leases'!$M$32:$S$43,MATCH(H1394,'Operating leases'!$B$32:$B$43,0),MATCH(J1394,'Operating leases'!$M$11:$S$11,0)))</f>
        <v>0</v>
      </c>
      <c r="P1394" s="257">
        <f t="shared" si="284"/>
        <v>20299.171273931912</v>
      </c>
      <c r="Q1394" s="257">
        <f t="shared" si="285"/>
        <v>50747.928184829783</v>
      </c>
      <c r="R1394" s="258">
        <f>INDEX('Escalators '!$M$124:$S$129,MATCH(I1394,'Escalators '!$B$124:$B$129,0),MATCH(J1394,'Escalators '!$M$113:$S$113,0))</f>
        <v>1.0867931559758131</v>
      </c>
      <c r="S1394" s="257">
        <f t="shared" si="286"/>
        <v>0</v>
      </c>
      <c r="T1394" s="257">
        <f t="shared" si="287"/>
        <v>33091.500618735045</v>
      </c>
      <c r="U1394" s="269">
        <f t="shared" si="288"/>
        <v>22061.00041249003</v>
      </c>
      <c r="V1394" s="269">
        <f t="shared" si="289"/>
        <v>55152.501031225074</v>
      </c>
      <c r="W1394" s="269">
        <f t="shared" si="290"/>
        <v>22061.00041249003</v>
      </c>
      <c r="X1394" s="257">
        <f t="shared" si="291"/>
        <v>55152.501031225074</v>
      </c>
      <c r="Y1394" s="270">
        <f>IF(L1394="Complex",(INDEX('Escalators '!$M$176:$S$176,MATCH('Forecast capex'!J1394,'Escalators '!$M$178:$S$178,0))/12+1)^((K1394-J1394)*12)-1,0)</f>
        <v>0</v>
      </c>
      <c r="Z1394" s="257">
        <f t="shared" si="292"/>
        <v>0</v>
      </c>
      <c r="AA1394" s="257">
        <f t="shared" si="293"/>
        <v>0</v>
      </c>
      <c r="AB1394" s="269">
        <f t="shared" si="294"/>
        <v>0</v>
      </c>
      <c r="AC1394" s="269">
        <f t="shared" si="295"/>
        <v>0</v>
      </c>
      <c r="AD1394" s="271" t="str">
        <f>INDEX('Global inputs'!$C$134:$C$171,MATCH(F1394,'Global inputs'!$B$134:$B$171,0))</f>
        <v>Asset relocations and undergrounding</v>
      </c>
      <c r="AE1394" s="272">
        <f>IF(OR(H1394='Operating leases'!$B$32,H1394='Operating leases'!$B$33),"",INDEX('Global inputs'!$C$186:$C$243,MATCH(E1394,'Global inputs'!$B$186:$B$243,0)))</f>
        <v>0.08</v>
      </c>
    </row>
    <row r="1395" spans="1:31" s="27" customFormat="1" x14ac:dyDescent="0.2">
      <c r="A1395" s="250"/>
      <c r="B1395" s="210" t="s">
        <v>714</v>
      </c>
      <c r="C1395" s="210" t="s">
        <v>288</v>
      </c>
      <c r="D1395" s="210" t="s">
        <v>718</v>
      </c>
      <c r="E1395" s="210" t="s">
        <v>160</v>
      </c>
      <c r="F1395" s="210" t="s">
        <v>92</v>
      </c>
      <c r="G1395" s="210" t="s">
        <v>722</v>
      </c>
      <c r="H1395" s="197">
        <v>0</v>
      </c>
      <c r="I1395" s="210" t="s">
        <v>229</v>
      </c>
      <c r="J1395" s="210">
        <v>2025</v>
      </c>
      <c r="K1395" s="210">
        <v>2025</v>
      </c>
      <c r="L1395" s="268" t="str">
        <f t="shared" si="283"/>
        <v>Simple</v>
      </c>
      <c r="M1395" s="197">
        <v>12405.049111847278</v>
      </c>
      <c r="N1395" s="197">
        <v>18607.573667770914</v>
      </c>
      <c r="O1395" s="257">
        <f>IF(ISNA(MATCH(H1395,'Operating leases'!$B$32:$B$43,0)),0,INDEX('Operating leases'!$M$32:$S$43,MATCH(H1395,'Operating leases'!$B$32:$B$43,0),MATCH(J1395,'Operating leases'!$M$11:$S$11,0)))</f>
        <v>0</v>
      </c>
      <c r="P1395" s="257">
        <f t="shared" si="284"/>
        <v>12405.049111847278</v>
      </c>
      <c r="Q1395" s="257">
        <f t="shared" si="285"/>
        <v>31012.622779618192</v>
      </c>
      <c r="R1395" s="258">
        <f>INDEX('Escalators '!$M$124:$S$129,MATCH(I1395,'Escalators '!$B$124:$B$129,0),MATCH(J1395,'Escalators '!$M$113:$S$113,0))</f>
        <v>1.0919411253473632</v>
      </c>
      <c r="S1395" s="257">
        <f t="shared" si="286"/>
        <v>0</v>
      </c>
      <c r="T1395" s="257">
        <f t="shared" si="287"/>
        <v>20318.374930769733</v>
      </c>
      <c r="U1395" s="269">
        <f t="shared" si="288"/>
        <v>13545.58328717983</v>
      </c>
      <c r="V1395" s="269">
        <f t="shared" si="289"/>
        <v>33863.958217949563</v>
      </c>
      <c r="W1395" s="269">
        <f t="shared" si="290"/>
        <v>13545.58328717983</v>
      </c>
      <c r="X1395" s="257">
        <f t="shared" si="291"/>
        <v>33863.958217949563</v>
      </c>
      <c r="Y1395" s="270">
        <f>IF(L1395="Complex",(INDEX('Escalators '!$M$176:$S$176,MATCH('Forecast capex'!J1395,'Escalators '!$M$178:$S$178,0))/12+1)^((K1395-J1395)*12)-1,0)</f>
        <v>0</v>
      </c>
      <c r="Z1395" s="257">
        <f t="shared" si="292"/>
        <v>0</v>
      </c>
      <c r="AA1395" s="257">
        <f t="shared" si="293"/>
        <v>0</v>
      </c>
      <c r="AB1395" s="269">
        <f t="shared" si="294"/>
        <v>0</v>
      </c>
      <c r="AC1395" s="269">
        <f t="shared" si="295"/>
        <v>0</v>
      </c>
      <c r="AD1395" s="271" t="str">
        <f>INDEX('Global inputs'!$C$134:$C$171,MATCH(F1395,'Global inputs'!$B$134:$B$171,0))</f>
        <v>Asset relocations and undergrounding</v>
      </c>
      <c r="AE1395" s="272">
        <f>IF(OR(H1395='Operating leases'!$B$32,H1395='Operating leases'!$B$33),"",INDEX('Global inputs'!$C$186:$C$243,MATCH(E1395,'Global inputs'!$B$186:$B$243,0)))</f>
        <v>0.08</v>
      </c>
    </row>
    <row r="1396" spans="1:31" s="27" customFormat="1" x14ac:dyDescent="0.2">
      <c r="A1396" s="250"/>
      <c r="B1396" s="210" t="s">
        <v>714</v>
      </c>
      <c r="C1396" s="210" t="s">
        <v>288</v>
      </c>
      <c r="D1396" s="210" t="s">
        <v>718</v>
      </c>
      <c r="E1396" s="210" t="s">
        <v>160</v>
      </c>
      <c r="F1396" s="210" t="s">
        <v>92</v>
      </c>
      <c r="G1396" s="210" t="s">
        <v>722</v>
      </c>
      <c r="H1396" s="197">
        <v>0</v>
      </c>
      <c r="I1396" s="210" t="s">
        <v>221</v>
      </c>
      <c r="J1396" s="210">
        <v>2025</v>
      </c>
      <c r="K1396" s="210">
        <v>2025</v>
      </c>
      <c r="L1396" s="268" t="str">
        <f t="shared" si="283"/>
        <v>Simple</v>
      </c>
      <c r="M1396" s="197">
        <v>12405.049111847278</v>
      </c>
      <c r="N1396" s="197">
        <v>18607.573667770914</v>
      </c>
      <c r="O1396" s="257">
        <f>IF(ISNA(MATCH(H1396,'Operating leases'!$B$32:$B$43,0)),0,INDEX('Operating leases'!$M$32:$S$43,MATCH(H1396,'Operating leases'!$B$32:$B$43,0),MATCH(J1396,'Operating leases'!$M$11:$S$11,0)))</f>
        <v>0</v>
      </c>
      <c r="P1396" s="257">
        <f t="shared" si="284"/>
        <v>12405.049111847278</v>
      </c>
      <c r="Q1396" s="257">
        <f t="shared" si="285"/>
        <v>31012.622779618192</v>
      </c>
      <c r="R1396" s="258">
        <f>INDEX('Escalators '!$M$124:$S$129,MATCH(I1396,'Escalators '!$B$124:$B$129,0),MATCH(J1396,'Escalators '!$M$113:$S$113,0))</f>
        <v>1.0867931559758131</v>
      </c>
      <c r="S1396" s="257">
        <f t="shared" si="286"/>
        <v>0</v>
      </c>
      <c r="T1396" s="257">
        <f t="shared" si="287"/>
        <v>20222.583711449188</v>
      </c>
      <c r="U1396" s="269">
        <f t="shared" si="288"/>
        <v>13481.722474299459</v>
      </c>
      <c r="V1396" s="269">
        <f t="shared" si="289"/>
        <v>33704.306185748646</v>
      </c>
      <c r="W1396" s="269">
        <f t="shared" si="290"/>
        <v>13481.722474299459</v>
      </c>
      <c r="X1396" s="257">
        <f t="shared" si="291"/>
        <v>33704.306185748646</v>
      </c>
      <c r="Y1396" s="270">
        <f>IF(L1396="Complex",(INDEX('Escalators '!$M$176:$S$176,MATCH('Forecast capex'!J1396,'Escalators '!$M$178:$S$178,0))/12+1)^((K1396-J1396)*12)-1,0)</f>
        <v>0</v>
      </c>
      <c r="Z1396" s="257">
        <f t="shared" si="292"/>
        <v>0</v>
      </c>
      <c r="AA1396" s="257">
        <f t="shared" si="293"/>
        <v>0</v>
      </c>
      <c r="AB1396" s="269">
        <f t="shared" si="294"/>
        <v>0</v>
      </c>
      <c r="AC1396" s="269">
        <f t="shared" si="295"/>
        <v>0</v>
      </c>
      <c r="AD1396" s="271" t="str">
        <f>INDEX('Global inputs'!$C$134:$C$171,MATCH(F1396,'Global inputs'!$B$134:$B$171,0))</f>
        <v>Asset relocations and undergrounding</v>
      </c>
      <c r="AE1396" s="272">
        <f>IF(OR(H1396='Operating leases'!$B$32,H1396='Operating leases'!$B$33),"",INDEX('Global inputs'!$C$186:$C$243,MATCH(E1396,'Global inputs'!$B$186:$B$243,0)))</f>
        <v>0.08</v>
      </c>
    </row>
    <row r="1397" spans="1:31" s="27" customFormat="1" x14ac:dyDescent="0.2">
      <c r="A1397" s="250"/>
      <c r="B1397" s="210" t="s">
        <v>714</v>
      </c>
      <c r="C1397" s="210" t="s">
        <v>289</v>
      </c>
      <c r="D1397" s="210" t="s">
        <v>723</v>
      </c>
      <c r="E1397" s="210" t="s">
        <v>164</v>
      </c>
      <c r="F1397" s="210" t="s">
        <v>92</v>
      </c>
      <c r="G1397" s="210" t="s">
        <v>724</v>
      </c>
      <c r="H1397" s="197">
        <v>0</v>
      </c>
      <c r="I1397" s="210" t="s">
        <v>139</v>
      </c>
      <c r="J1397" s="210">
        <v>2025</v>
      </c>
      <c r="K1397" s="210">
        <v>2025</v>
      </c>
      <c r="L1397" s="268" t="str">
        <f t="shared" si="283"/>
        <v>Simple</v>
      </c>
      <c r="M1397" s="197">
        <v>14434.966239240472</v>
      </c>
      <c r="N1397" s="197">
        <v>21652.449358860704</v>
      </c>
      <c r="O1397" s="257">
        <f>IF(ISNA(MATCH(H1397,'Operating leases'!$B$32:$B$43,0)),0,INDEX('Operating leases'!$M$32:$S$43,MATCH(H1397,'Operating leases'!$B$32:$B$43,0),MATCH(J1397,'Operating leases'!$M$11:$S$11,0)))</f>
        <v>0</v>
      </c>
      <c r="P1397" s="257">
        <f t="shared" si="284"/>
        <v>14434.966239240472</v>
      </c>
      <c r="Q1397" s="257">
        <f t="shared" si="285"/>
        <v>36087.415598101172</v>
      </c>
      <c r="R1397" s="258">
        <f>INDEX('Escalators '!$M$124:$S$129,MATCH(I1397,'Escalators '!$B$124:$B$129,0),MATCH(J1397,'Escalators '!$M$113:$S$113,0))</f>
        <v>1.0587148896071601</v>
      </c>
      <c r="S1397" s="257">
        <f t="shared" si="286"/>
        <v>0</v>
      </c>
      <c r="T1397" s="257">
        <f t="shared" si="287"/>
        <v>22923.770532690833</v>
      </c>
      <c r="U1397" s="269">
        <f t="shared" si="288"/>
        <v>15282.51368846056</v>
      </c>
      <c r="V1397" s="269">
        <f t="shared" si="289"/>
        <v>38206.284221151393</v>
      </c>
      <c r="W1397" s="269">
        <f t="shared" si="290"/>
        <v>15282.51368846056</v>
      </c>
      <c r="X1397" s="257">
        <f t="shared" si="291"/>
        <v>38206.284221151393</v>
      </c>
      <c r="Y1397" s="270">
        <f>IF(L1397="Complex",(INDEX('Escalators '!$M$176:$S$176,MATCH('Forecast capex'!J1397,'Escalators '!$M$178:$S$178,0))/12+1)^((K1397-J1397)*12)-1,0)</f>
        <v>0</v>
      </c>
      <c r="Z1397" s="257">
        <f t="shared" si="292"/>
        <v>0</v>
      </c>
      <c r="AA1397" s="257">
        <f t="shared" si="293"/>
        <v>0</v>
      </c>
      <c r="AB1397" s="269">
        <f t="shared" si="294"/>
        <v>0</v>
      </c>
      <c r="AC1397" s="269">
        <f t="shared" si="295"/>
        <v>0</v>
      </c>
      <c r="AD1397" s="271" t="str">
        <f>INDEX('Global inputs'!$C$134:$C$171,MATCH(F1397,'Global inputs'!$B$134:$B$171,0))</f>
        <v>Asset relocations and undergrounding</v>
      </c>
      <c r="AE1397" s="272">
        <f>IF(OR(H1397='Operating leases'!$B$32,H1397='Operating leases'!$B$33),"",INDEX('Global inputs'!$C$186:$C$243,MATCH(E1397,'Global inputs'!$B$186:$B$243,0)))</f>
        <v>0.08</v>
      </c>
    </row>
    <row r="1398" spans="1:31" s="27" customFormat="1" x14ac:dyDescent="0.2">
      <c r="A1398" s="250"/>
      <c r="B1398" s="210" t="s">
        <v>714</v>
      </c>
      <c r="C1398" s="210" t="s">
        <v>289</v>
      </c>
      <c r="D1398" s="210" t="s">
        <v>723</v>
      </c>
      <c r="E1398" s="210" t="s">
        <v>164</v>
      </c>
      <c r="F1398" s="210" t="s">
        <v>92</v>
      </c>
      <c r="G1398" s="210" t="s">
        <v>724</v>
      </c>
      <c r="H1398" s="197">
        <v>0</v>
      </c>
      <c r="I1398" s="210" t="s">
        <v>221</v>
      </c>
      <c r="J1398" s="210">
        <v>2025</v>
      </c>
      <c r="K1398" s="210">
        <v>2025</v>
      </c>
      <c r="L1398" s="268" t="str">
        <f t="shared" si="283"/>
        <v>Simple</v>
      </c>
      <c r="M1398" s="197">
        <v>3608.7415598101179</v>
      </c>
      <c r="N1398" s="197">
        <v>5413.1123397151759</v>
      </c>
      <c r="O1398" s="257">
        <f>IF(ISNA(MATCH(H1398,'Operating leases'!$B$32:$B$43,0)),0,INDEX('Operating leases'!$M$32:$S$43,MATCH(H1398,'Operating leases'!$B$32:$B$43,0),MATCH(J1398,'Operating leases'!$M$11:$S$11,0)))</f>
        <v>0</v>
      </c>
      <c r="P1398" s="257">
        <f t="shared" si="284"/>
        <v>3608.7415598101179</v>
      </c>
      <c r="Q1398" s="257">
        <f t="shared" si="285"/>
        <v>9021.8538995252929</v>
      </c>
      <c r="R1398" s="258">
        <f>INDEX('Escalators '!$M$124:$S$129,MATCH(I1398,'Escalators '!$B$124:$B$129,0),MATCH(J1398,'Escalators '!$M$113:$S$113,0))</f>
        <v>1.0867931559758131</v>
      </c>
      <c r="S1398" s="257">
        <f t="shared" si="286"/>
        <v>0</v>
      </c>
      <c r="T1398" s="257">
        <f t="shared" si="287"/>
        <v>5882.933443330674</v>
      </c>
      <c r="U1398" s="269">
        <f t="shared" si="288"/>
        <v>3921.9556288871154</v>
      </c>
      <c r="V1398" s="269">
        <f t="shared" si="289"/>
        <v>9804.8890722177894</v>
      </c>
      <c r="W1398" s="269">
        <f t="shared" si="290"/>
        <v>3921.9556288871154</v>
      </c>
      <c r="X1398" s="257">
        <f t="shared" si="291"/>
        <v>9804.8890722177894</v>
      </c>
      <c r="Y1398" s="270">
        <f>IF(L1398="Complex",(INDEX('Escalators '!$M$176:$S$176,MATCH('Forecast capex'!J1398,'Escalators '!$M$178:$S$178,0))/12+1)^((K1398-J1398)*12)-1,0)</f>
        <v>0</v>
      </c>
      <c r="Z1398" s="257">
        <f t="shared" si="292"/>
        <v>0</v>
      </c>
      <c r="AA1398" s="257">
        <f t="shared" si="293"/>
        <v>0</v>
      </c>
      <c r="AB1398" s="269">
        <f t="shared" si="294"/>
        <v>0</v>
      </c>
      <c r="AC1398" s="269">
        <f t="shared" si="295"/>
        <v>0</v>
      </c>
      <c r="AD1398" s="271" t="str">
        <f>INDEX('Global inputs'!$C$134:$C$171,MATCH(F1398,'Global inputs'!$B$134:$B$171,0))</f>
        <v>Asset relocations and undergrounding</v>
      </c>
      <c r="AE1398" s="272">
        <f>IF(OR(H1398='Operating leases'!$B$32,H1398='Operating leases'!$B$33),"",INDEX('Global inputs'!$C$186:$C$243,MATCH(E1398,'Global inputs'!$B$186:$B$243,0)))</f>
        <v>0.08</v>
      </c>
    </row>
    <row r="1399" spans="1:31" s="27" customFormat="1" x14ac:dyDescent="0.2">
      <c r="A1399" s="250"/>
      <c r="B1399" s="210" t="s">
        <v>714</v>
      </c>
      <c r="C1399" s="210" t="s">
        <v>289</v>
      </c>
      <c r="D1399" s="210" t="s">
        <v>723</v>
      </c>
      <c r="E1399" s="210" t="s">
        <v>163</v>
      </c>
      <c r="F1399" s="210" t="s">
        <v>92</v>
      </c>
      <c r="G1399" s="210" t="s">
        <v>725</v>
      </c>
      <c r="H1399" s="197">
        <v>0</v>
      </c>
      <c r="I1399" s="210" t="s">
        <v>139</v>
      </c>
      <c r="J1399" s="210">
        <v>2025</v>
      </c>
      <c r="K1399" s="210">
        <v>2025</v>
      </c>
      <c r="L1399" s="268" t="str">
        <f t="shared" si="283"/>
        <v>Simple</v>
      </c>
      <c r="M1399" s="197">
        <v>16239.337019145529</v>
      </c>
      <c r="N1399" s="197">
        <v>24359.005528718291</v>
      </c>
      <c r="O1399" s="257">
        <f>IF(ISNA(MATCH(H1399,'Operating leases'!$B$32:$B$43,0)),0,INDEX('Operating leases'!$M$32:$S$43,MATCH(H1399,'Operating leases'!$B$32:$B$43,0),MATCH(J1399,'Operating leases'!$M$11:$S$11,0)))</f>
        <v>0</v>
      </c>
      <c r="P1399" s="257">
        <f t="shared" si="284"/>
        <v>16239.337019145529</v>
      </c>
      <c r="Q1399" s="257">
        <f t="shared" si="285"/>
        <v>40598.342547863824</v>
      </c>
      <c r="R1399" s="258">
        <f>INDEX('Escalators '!$M$124:$S$129,MATCH(I1399,'Escalators '!$B$124:$B$129,0),MATCH(J1399,'Escalators '!$M$113:$S$113,0))</f>
        <v>1.0587148896071601</v>
      </c>
      <c r="S1399" s="257">
        <f t="shared" si="286"/>
        <v>0</v>
      </c>
      <c r="T1399" s="257">
        <f t="shared" si="287"/>
        <v>25789.241849277187</v>
      </c>
      <c r="U1399" s="269">
        <f t="shared" si="288"/>
        <v>17192.827899518135</v>
      </c>
      <c r="V1399" s="269">
        <f t="shared" si="289"/>
        <v>42982.069748795322</v>
      </c>
      <c r="W1399" s="269">
        <f t="shared" si="290"/>
        <v>17192.827899518135</v>
      </c>
      <c r="X1399" s="257">
        <f t="shared" si="291"/>
        <v>42982.069748795322</v>
      </c>
      <c r="Y1399" s="270">
        <f>IF(L1399="Complex",(INDEX('Escalators '!$M$176:$S$176,MATCH('Forecast capex'!J1399,'Escalators '!$M$178:$S$178,0))/12+1)^((K1399-J1399)*12)-1,0)</f>
        <v>0</v>
      </c>
      <c r="Z1399" s="257">
        <f t="shared" si="292"/>
        <v>0</v>
      </c>
      <c r="AA1399" s="257">
        <f t="shared" si="293"/>
        <v>0</v>
      </c>
      <c r="AB1399" s="269">
        <f t="shared" si="294"/>
        <v>0</v>
      </c>
      <c r="AC1399" s="269">
        <f t="shared" si="295"/>
        <v>0</v>
      </c>
      <c r="AD1399" s="271" t="str">
        <f>INDEX('Global inputs'!$C$134:$C$171,MATCH(F1399,'Global inputs'!$B$134:$B$171,0))</f>
        <v>Asset relocations and undergrounding</v>
      </c>
      <c r="AE1399" s="272">
        <f>IF(OR(H1399='Operating leases'!$B$32,H1399='Operating leases'!$B$33),"",INDEX('Global inputs'!$C$186:$C$243,MATCH(E1399,'Global inputs'!$B$186:$B$243,0)))</f>
        <v>0.08</v>
      </c>
    </row>
    <row r="1400" spans="1:31" s="27" customFormat="1" x14ac:dyDescent="0.2">
      <c r="A1400" s="250"/>
      <c r="B1400" s="210" t="s">
        <v>714</v>
      </c>
      <c r="C1400" s="210" t="s">
        <v>289</v>
      </c>
      <c r="D1400" s="210" t="s">
        <v>723</v>
      </c>
      <c r="E1400" s="210" t="s">
        <v>163</v>
      </c>
      <c r="F1400" s="210" t="s">
        <v>92</v>
      </c>
      <c r="G1400" s="210" t="s">
        <v>725</v>
      </c>
      <c r="H1400" s="197">
        <v>0</v>
      </c>
      <c r="I1400" s="210" t="s">
        <v>221</v>
      </c>
      <c r="J1400" s="210">
        <v>2025</v>
      </c>
      <c r="K1400" s="210">
        <v>2025</v>
      </c>
      <c r="L1400" s="268" t="str">
        <f t="shared" si="283"/>
        <v>Simple</v>
      </c>
      <c r="M1400" s="197">
        <v>4059.8342547863822</v>
      </c>
      <c r="N1400" s="197">
        <v>6089.7513821795728</v>
      </c>
      <c r="O1400" s="257">
        <f>IF(ISNA(MATCH(H1400,'Operating leases'!$B$32:$B$43,0)),0,INDEX('Operating leases'!$M$32:$S$43,MATCH(H1400,'Operating leases'!$B$32:$B$43,0),MATCH(J1400,'Operating leases'!$M$11:$S$11,0)))</f>
        <v>0</v>
      </c>
      <c r="P1400" s="257">
        <f t="shared" si="284"/>
        <v>4059.8342547863822</v>
      </c>
      <c r="Q1400" s="257">
        <f t="shared" si="285"/>
        <v>10149.585636965956</v>
      </c>
      <c r="R1400" s="258">
        <f>INDEX('Escalators '!$M$124:$S$129,MATCH(I1400,'Escalators '!$B$124:$B$129,0),MATCH(J1400,'Escalators '!$M$113:$S$113,0))</f>
        <v>1.0867931559758131</v>
      </c>
      <c r="S1400" s="257">
        <f t="shared" si="286"/>
        <v>0</v>
      </c>
      <c r="T1400" s="257">
        <f t="shared" si="287"/>
        <v>6618.300123747008</v>
      </c>
      <c r="U1400" s="269">
        <f t="shared" si="288"/>
        <v>4412.2000824980069</v>
      </c>
      <c r="V1400" s="269">
        <f t="shared" si="289"/>
        <v>11030.500206245015</v>
      </c>
      <c r="W1400" s="269">
        <f t="shared" si="290"/>
        <v>4412.2000824980069</v>
      </c>
      <c r="X1400" s="257">
        <f t="shared" si="291"/>
        <v>11030.500206245015</v>
      </c>
      <c r="Y1400" s="270">
        <f>IF(L1400="Complex",(INDEX('Escalators '!$M$176:$S$176,MATCH('Forecast capex'!J1400,'Escalators '!$M$178:$S$178,0))/12+1)^((K1400-J1400)*12)-1,0)</f>
        <v>0</v>
      </c>
      <c r="Z1400" s="257">
        <f t="shared" si="292"/>
        <v>0</v>
      </c>
      <c r="AA1400" s="257">
        <f t="shared" si="293"/>
        <v>0</v>
      </c>
      <c r="AB1400" s="269">
        <f t="shared" si="294"/>
        <v>0</v>
      </c>
      <c r="AC1400" s="269">
        <f t="shared" si="295"/>
        <v>0</v>
      </c>
      <c r="AD1400" s="271" t="str">
        <f>INDEX('Global inputs'!$C$134:$C$171,MATCH(F1400,'Global inputs'!$B$134:$B$171,0))</f>
        <v>Asset relocations and undergrounding</v>
      </c>
      <c r="AE1400" s="272">
        <f>IF(OR(H1400='Operating leases'!$B$32,H1400='Operating leases'!$B$33),"",INDEX('Global inputs'!$C$186:$C$243,MATCH(E1400,'Global inputs'!$B$186:$B$243,0)))</f>
        <v>0.08</v>
      </c>
    </row>
    <row r="1401" spans="1:31" s="27" customFormat="1" x14ac:dyDescent="0.2">
      <c r="A1401" s="250"/>
      <c r="B1401" s="210" t="s">
        <v>714</v>
      </c>
      <c r="C1401" s="210" t="s">
        <v>285</v>
      </c>
      <c r="D1401" s="210" t="s">
        <v>223</v>
      </c>
      <c r="E1401" s="210" t="s">
        <v>134</v>
      </c>
      <c r="F1401" s="210" t="s">
        <v>92</v>
      </c>
      <c r="G1401" s="210" t="s">
        <v>726</v>
      </c>
      <c r="H1401" s="197">
        <v>0</v>
      </c>
      <c r="I1401" s="210" t="s">
        <v>223</v>
      </c>
      <c r="J1401" s="210">
        <v>2025</v>
      </c>
      <c r="K1401" s="210">
        <v>2025</v>
      </c>
      <c r="L1401" s="268" t="str">
        <f t="shared" si="283"/>
        <v>Simple</v>
      </c>
      <c r="M1401" s="197">
        <v>5413.1123397151769</v>
      </c>
      <c r="N1401" s="197">
        <v>8119.6685095727644</v>
      </c>
      <c r="O1401" s="257">
        <f>IF(ISNA(MATCH(H1401,'Operating leases'!$B$32:$B$43,0)),0,INDEX('Operating leases'!$M$32:$S$43,MATCH(H1401,'Operating leases'!$B$32:$B$43,0),MATCH(J1401,'Operating leases'!$M$11:$S$11,0)))</f>
        <v>0</v>
      </c>
      <c r="P1401" s="257">
        <f t="shared" si="284"/>
        <v>5413.1123397151769</v>
      </c>
      <c r="Q1401" s="257">
        <f t="shared" si="285"/>
        <v>13532.780849287941</v>
      </c>
      <c r="R1401" s="258">
        <f>INDEX('Escalators '!$M$124:$S$129,MATCH(I1401,'Escalators '!$B$124:$B$129,0),MATCH(J1401,'Escalators '!$M$113:$S$113,0))</f>
        <v>1.1331892756985407</v>
      </c>
      <c r="S1401" s="257">
        <f t="shared" si="286"/>
        <v>0</v>
      </c>
      <c r="T1401" s="257">
        <f t="shared" si="287"/>
        <v>9201.1212772750096</v>
      </c>
      <c r="U1401" s="269">
        <f t="shared" si="288"/>
        <v>6134.0808515166755</v>
      </c>
      <c r="V1401" s="269">
        <f t="shared" si="289"/>
        <v>15335.202128791685</v>
      </c>
      <c r="W1401" s="269">
        <f t="shared" si="290"/>
        <v>6134.0808515166755</v>
      </c>
      <c r="X1401" s="257">
        <f t="shared" si="291"/>
        <v>15335.202128791685</v>
      </c>
      <c r="Y1401" s="270">
        <f>IF(L1401="Complex",(INDEX('Escalators '!$M$176:$S$176,MATCH('Forecast capex'!J1401,'Escalators '!$M$178:$S$178,0))/12+1)^((K1401-J1401)*12)-1,0)</f>
        <v>0</v>
      </c>
      <c r="Z1401" s="257">
        <f t="shared" si="292"/>
        <v>0</v>
      </c>
      <c r="AA1401" s="257">
        <f t="shared" si="293"/>
        <v>0</v>
      </c>
      <c r="AB1401" s="269">
        <f t="shared" si="294"/>
        <v>0</v>
      </c>
      <c r="AC1401" s="269">
        <f t="shared" si="295"/>
        <v>0</v>
      </c>
      <c r="AD1401" s="271" t="str">
        <f>INDEX('Global inputs'!$C$134:$C$171,MATCH(F1401,'Global inputs'!$B$134:$B$171,0))</f>
        <v>Asset relocations and undergrounding</v>
      </c>
      <c r="AE1401" s="272">
        <f>IF(OR(H1401='Operating leases'!$B$32,H1401='Operating leases'!$B$33),"",INDEX('Global inputs'!$C$186:$C$243,MATCH(E1401,'Global inputs'!$B$186:$B$243,0)))</f>
        <v>0.08</v>
      </c>
    </row>
    <row r="1402" spans="1:31" s="27" customFormat="1" x14ac:dyDescent="0.2">
      <c r="A1402" s="250"/>
      <c r="B1402" s="210" t="s">
        <v>714</v>
      </c>
      <c r="C1402" s="210" t="s">
        <v>285</v>
      </c>
      <c r="D1402" s="210" t="s">
        <v>223</v>
      </c>
      <c r="E1402" s="210" t="s">
        <v>134</v>
      </c>
      <c r="F1402" s="210" t="s">
        <v>92</v>
      </c>
      <c r="G1402" s="210" t="s">
        <v>726</v>
      </c>
      <c r="H1402" s="197">
        <v>0</v>
      </c>
      <c r="I1402" s="210" t="s">
        <v>221</v>
      </c>
      <c r="J1402" s="210">
        <v>2025</v>
      </c>
      <c r="K1402" s="210">
        <v>2025</v>
      </c>
      <c r="L1402" s="268" t="str">
        <f t="shared" si="283"/>
        <v>Simple</v>
      </c>
      <c r="M1402" s="197">
        <v>12630.595459335413</v>
      </c>
      <c r="N1402" s="197">
        <v>18945.893189003116</v>
      </c>
      <c r="O1402" s="257">
        <f>IF(ISNA(MATCH(H1402,'Operating leases'!$B$32:$B$43,0)),0,INDEX('Operating leases'!$M$32:$S$43,MATCH(H1402,'Operating leases'!$B$32:$B$43,0),MATCH(J1402,'Operating leases'!$M$11:$S$11,0)))</f>
        <v>0</v>
      </c>
      <c r="P1402" s="257">
        <f t="shared" si="284"/>
        <v>12630.595459335413</v>
      </c>
      <c r="Q1402" s="257">
        <f t="shared" si="285"/>
        <v>31576.488648338527</v>
      </c>
      <c r="R1402" s="258">
        <f>INDEX('Escalators '!$M$124:$S$129,MATCH(I1402,'Escalators '!$B$124:$B$129,0),MATCH(J1402,'Escalators '!$M$113:$S$113,0))</f>
        <v>1.0867931559758131</v>
      </c>
      <c r="S1402" s="257">
        <f t="shared" si="286"/>
        <v>0</v>
      </c>
      <c r="T1402" s="257">
        <f t="shared" si="287"/>
        <v>20590.267051657356</v>
      </c>
      <c r="U1402" s="269">
        <f t="shared" si="288"/>
        <v>13726.844701104907</v>
      </c>
      <c r="V1402" s="269">
        <f t="shared" si="289"/>
        <v>34317.111752762263</v>
      </c>
      <c r="W1402" s="269">
        <f t="shared" si="290"/>
        <v>13726.844701104907</v>
      </c>
      <c r="X1402" s="257">
        <f t="shared" si="291"/>
        <v>34317.111752762263</v>
      </c>
      <c r="Y1402" s="270">
        <f>IF(L1402="Complex",(INDEX('Escalators '!$M$176:$S$176,MATCH('Forecast capex'!J1402,'Escalators '!$M$178:$S$178,0))/12+1)^((K1402-J1402)*12)-1,0)</f>
        <v>0</v>
      </c>
      <c r="Z1402" s="257">
        <f t="shared" si="292"/>
        <v>0</v>
      </c>
      <c r="AA1402" s="257">
        <f t="shared" si="293"/>
        <v>0</v>
      </c>
      <c r="AB1402" s="269">
        <f t="shared" si="294"/>
        <v>0</v>
      </c>
      <c r="AC1402" s="269">
        <f t="shared" si="295"/>
        <v>0</v>
      </c>
      <c r="AD1402" s="271" t="str">
        <f>INDEX('Global inputs'!$C$134:$C$171,MATCH(F1402,'Global inputs'!$B$134:$B$171,0))</f>
        <v>Asset relocations and undergrounding</v>
      </c>
      <c r="AE1402" s="272">
        <f>IF(OR(H1402='Operating leases'!$B$32,H1402='Operating leases'!$B$33),"",INDEX('Global inputs'!$C$186:$C$243,MATCH(E1402,'Global inputs'!$B$186:$B$243,0)))</f>
        <v>0.08</v>
      </c>
    </row>
    <row r="1403" spans="1:31" s="27" customFormat="1" x14ac:dyDescent="0.2">
      <c r="A1403" s="250"/>
      <c r="B1403" s="210" t="s">
        <v>714</v>
      </c>
      <c r="C1403" s="210" t="s">
        <v>288</v>
      </c>
      <c r="D1403" s="210" t="s">
        <v>223</v>
      </c>
      <c r="E1403" s="210" t="s">
        <v>156</v>
      </c>
      <c r="F1403" s="210" t="s">
        <v>92</v>
      </c>
      <c r="G1403" s="210" t="s">
        <v>727</v>
      </c>
      <c r="H1403" s="197">
        <v>0</v>
      </c>
      <c r="I1403" s="210" t="s">
        <v>223</v>
      </c>
      <c r="J1403" s="210">
        <v>2025</v>
      </c>
      <c r="K1403" s="210">
        <v>2025</v>
      </c>
      <c r="L1403" s="268" t="str">
        <f t="shared" si="283"/>
        <v>Simple</v>
      </c>
      <c r="M1403" s="197">
        <v>58867.596694402542</v>
      </c>
      <c r="N1403" s="197">
        <v>88301.395041603799</v>
      </c>
      <c r="O1403" s="257">
        <f>IF(ISNA(MATCH(H1403,'Operating leases'!$B$32:$B$43,0)),0,INDEX('Operating leases'!$M$32:$S$43,MATCH(H1403,'Operating leases'!$B$32:$B$43,0),MATCH(J1403,'Operating leases'!$M$11:$S$11,0)))</f>
        <v>0</v>
      </c>
      <c r="P1403" s="257">
        <f t="shared" si="284"/>
        <v>58867.596694402542</v>
      </c>
      <c r="Q1403" s="257">
        <f t="shared" si="285"/>
        <v>147168.99173600634</v>
      </c>
      <c r="R1403" s="258">
        <f>INDEX('Escalators '!$M$124:$S$129,MATCH(I1403,'Escalators '!$B$124:$B$129,0),MATCH(J1403,'Escalators '!$M$113:$S$113,0))</f>
        <v>1.1331892756985407</v>
      </c>
      <c r="S1403" s="257">
        <f t="shared" si="286"/>
        <v>0</v>
      </c>
      <c r="T1403" s="257">
        <f t="shared" si="287"/>
        <v>100062.19389036571</v>
      </c>
      <c r="U1403" s="269">
        <f t="shared" si="288"/>
        <v>66708.129260243819</v>
      </c>
      <c r="V1403" s="269">
        <f t="shared" si="289"/>
        <v>166770.32315060953</v>
      </c>
      <c r="W1403" s="269">
        <f t="shared" si="290"/>
        <v>66708.129260243819</v>
      </c>
      <c r="X1403" s="257">
        <f t="shared" si="291"/>
        <v>166770.32315060953</v>
      </c>
      <c r="Y1403" s="270">
        <f>IF(L1403="Complex",(INDEX('Escalators '!$M$176:$S$176,MATCH('Forecast capex'!J1403,'Escalators '!$M$178:$S$178,0))/12+1)^((K1403-J1403)*12)-1,0)</f>
        <v>0</v>
      </c>
      <c r="Z1403" s="257">
        <f t="shared" si="292"/>
        <v>0</v>
      </c>
      <c r="AA1403" s="257">
        <f t="shared" si="293"/>
        <v>0</v>
      </c>
      <c r="AB1403" s="269">
        <f t="shared" si="294"/>
        <v>0</v>
      </c>
      <c r="AC1403" s="269">
        <f t="shared" si="295"/>
        <v>0</v>
      </c>
      <c r="AD1403" s="271" t="str">
        <f>INDEX('Global inputs'!$C$134:$C$171,MATCH(F1403,'Global inputs'!$B$134:$B$171,0))</f>
        <v>Asset relocations and undergrounding</v>
      </c>
      <c r="AE1403" s="272">
        <f>IF(OR(H1403='Operating leases'!$B$32,H1403='Operating leases'!$B$33),"",INDEX('Global inputs'!$C$186:$C$243,MATCH(E1403,'Global inputs'!$B$186:$B$243,0)))</f>
        <v>0.08</v>
      </c>
    </row>
    <row r="1404" spans="1:31" s="27" customFormat="1" x14ac:dyDescent="0.2">
      <c r="A1404" s="250"/>
      <c r="B1404" s="210" t="s">
        <v>714</v>
      </c>
      <c r="C1404" s="210" t="s">
        <v>288</v>
      </c>
      <c r="D1404" s="210" t="s">
        <v>223</v>
      </c>
      <c r="E1404" s="210" t="s">
        <v>156</v>
      </c>
      <c r="F1404" s="210" t="s">
        <v>92</v>
      </c>
      <c r="G1404" s="210" t="s">
        <v>727</v>
      </c>
      <c r="H1404" s="197">
        <v>0</v>
      </c>
      <c r="I1404" s="210" t="s">
        <v>221</v>
      </c>
      <c r="J1404" s="210">
        <v>2025</v>
      </c>
      <c r="K1404" s="210">
        <v>2025</v>
      </c>
      <c r="L1404" s="268" t="str">
        <f t="shared" si="283"/>
        <v>Simple</v>
      </c>
      <c r="M1404" s="197">
        <v>137357.7256202726</v>
      </c>
      <c r="N1404" s="197">
        <v>206036.58843040891</v>
      </c>
      <c r="O1404" s="257">
        <f>IF(ISNA(MATCH(H1404,'Operating leases'!$B$32:$B$43,0)),0,INDEX('Operating leases'!$M$32:$S$43,MATCH(H1404,'Operating leases'!$B$32:$B$43,0),MATCH(J1404,'Operating leases'!$M$11:$S$11,0)))</f>
        <v>0</v>
      </c>
      <c r="P1404" s="257">
        <f t="shared" si="284"/>
        <v>137357.7256202726</v>
      </c>
      <c r="Q1404" s="257">
        <f t="shared" si="285"/>
        <v>343394.31405068154</v>
      </c>
      <c r="R1404" s="258">
        <f>INDEX('Escalators '!$M$124:$S$129,MATCH(I1404,'Escalators '!$B$124:$B$129,0),MATCH(J1404,'Escalators '!$M$113:$S$113,0))</f>
        <v>1.0867931559758131</v>
      </c>
      <c r="S1404" s="257">
        <f t="shared" si="286"/>
        <v>0</v>
      </c>
      <c r="T1404" s="257">
        <f t="shared" si="287"/>
        <v>223919.15418677378</v>
      </c>
      <c r="U1404" s="269">
        <f t="shared" si="288"/>
        <v>149279.43612451587</v>
      </c>
      <c r="V1404" s="269">
        <f t="shared" si="289"/>
        <v>373198.59031128965</v>
      </c>
      <c r="W1404" s="269">
        <f t="shared" si="290"/>
        <v>149279.43612451587</v>
      </c>
      <c r="X1404" s="257">
        <f t="shared" si="291"/>
        <v>373198.59031128965</v>
      </c>
      <c r="Y1404" s="270">
        <f>IF(L1404="Complex",(INDEX('Escalators '!$M$176:$S$176,MATCH('Forecast capex'!J1404,'Escalators '!$M$178:$S$178,0))/12+1)^((K1404-J1404)*12)-1,0)</f>
        <v>0</v>
      </c>
      <c r="Z1404" s="257">
        <f t="shared" si="292"/>
        <v>0</v>
      </c>
      <c r="AA1404" s="257">
        <f t="shared" si="293"/>
        <v>0</v>
      </c>
      <c r="AB1404" s="269">
        <f t="shared" si="294"/>
        <v>0</v>
      </c>
      <c r="AC1404" s="269">
        <f t="shared" si="295"/>
        <v>0</v>
      </c>
      <c r="AD1404" s="271" t="str">
        <f>INDEX('Global inputs'!$C$134:$C$171,MATCH(F1404,'Global inputs'!$B$134:$B$171,0))</f>
        <v>Asset relocations and undergrounding</v>
      </c>
      <c r="AE1404" s="272">
        <f>IF(OR(H1404='Operating leases'!$B$32,H1404='Operating leases'!$B$33),"",INDEX('Global inputs'!$C$186:$C$243,MATCH(E1404,'Global inputs'!$B$186:$B$243,0)))</f>
        <v>0.08</v>
      </c>
    </row>
    <row r="1405" spans="1:31" s="27" customFormat="1" x14ac:dyDescent="0.2">
      <c r="A1405" s="250"/>
      <c r="B1405" s="210" t="s">
        <v>714</v>
      </c>
      <c r="C1405" s="210" t="s">
        <v>288</v>
      </c>
      <c r="D1405" s="210" t="s">
        <v>223</v>
      </c>
      <c r="E1405" s="210" t="s">
        <v>158</v>
      </c>
      <c r="F1405" s="210" t="s">
        <v>92</v>
      </c>
      <c r="G1405" s="210" t="s">
        <v>728</v>
      </c>
      <c r="H1405" s="197">
        <v>0</v>
      </c>
      <c r="I1405" s="210" t="s">
        <v>223</v>
      </c>
      <c r="J1405" s="210">
        <v>2025</v>
      </c>
      <c r="K1405" s="210">
        <v>2025</v>
      </c>
      <c r="L1405" s="268" t="str">
        <f t="shared" si="283"/>
        <v>Simple</v>
      </c>
      <c r="M1405" s="197">
        <v>49620.19644738912</v>
      </c>
      <c r="N1405" s="197">
        <v>74430.29467108367</v>
      </c>
      <c r="O1405" s="257">
        <f>IF(ISNA(MATCH(H1405,'Operating leases'!$B$32:$B$43,0)),0,INDEX('Operating leases'!$M$32:$S$43,MATCH(H1405,'Operating leases'!$B$32:$B$43,0),MATCH(J1405,'Operating leases'!$M$11:$S$11,0)))</f>
        <v>0</v>
      </c>
      <c r="P1405" s="257">
        <f t="shared" si="284"/>
        <v>49620.19644738912</v>
      </c>
      <c r="Q1405" s="257">
        <f t="shared" si="285"/>
        <v>124050.4911184728</v>
      </c>
      <c r="R1405" s="258">
        <f>INDEX('Escalators '!$M$124:$S$129,MATCH(I1405,'Escalators '!$B$124:$B$129,0),MATCH(J1405,'Escalators '!$M$113:$S$113,0))</f>
        <v>1.1331892756985407</v>
      </c>
      <c r="S1405" s="257">
        <f t="shared" si="286"/>
        <v>0</v>
      </c>
      <c r="T1405" s="257">
        <f t="shared" si="287"/>
        <v>84343.611708354249</v>
      </c>
      <c r="U1405" s="269">
        <f t="shared" si="288"/>
        <v>56229.0744722362</v>
      </c>
      <c r="V1405" s="269">
        <f t="shared" si="289"/>
        <v>140572.68618059045</v>
      </c>
      <c r="W1405" s="269">
        <f t="shared" si="290"/>
        <v>56229.0744722362</v>
      </c>
      <c r="X1405" s="257">
        <f t="shared" si="291"/>
        <v>140572.68618059045</v>
      </c>
      <c r="Y1405" s="270">
        <f>IF(L1405="Complex",(INDEX('Escalators '!$M$176:$S$176,MATCH('Forecast capex'!J1405,'Escalators '!$M$178:$S$178,0))/12+1)^((K1405-J1405)*12)-1,0)</f>
        <v>0</v>
      </c>
      <c r="Z1405" s="257">
        <f t="shared" si="292"/>
        <v>0</v>
      </c>
      <c r="AA1405" s="257">
        <f t="shared" si="293"/>
        <v>0</v>
      </c>
      <c r="AB1405" s="269">
        <f t="shared" si="294"/>
        <v>0</v>
      </c>
      <c r="AC1405" s="269">
        <f t="shared" si="295"/>
        <v>0</v>
      </c>
      <c r="AD1405" s="271" t="str">
        <f>INDEX('Global inputs'!$C$134:$C$171,MATCH(F1405,'Global inputs'!$B$134:$B$171,0))</f>
        <v>Asset relocations and undergrounding</v>
      </c>
      <c r="AE1405" s="272">
        <f>IF(OR(H1405='Operating leases'!$B$32,H1405='Operating leases'!$B$33),"",INDEX('Global inputs'!$C$186:$C$243,MATCH(E1405,'Global inputs'!$B$186:$B$243,0)))</f>
        <v>0.08</v>
      </c>
    </row>
    <row r="1406" spans="1:31" s="27" customFormat="1" x14ac:dyDescent="0.2">
      <c r="A1406" s="250"/>
      <c r="B1406" s="210" t="s">
        <v>714</v>
      </c>
      <c r="C1406" s="210" t="s">
        <v>288</v>
      </c>
      <c r="D1406" s="210" t="s">
        <v>223</v>
      </c>
      <c r="E1406" s="210" t="s">
        <v>158</v>
      </c>
      <c r="F1406" s="210" t="s">
        <v>92</v>
      </c>
      <c r="G1406" s="210" t="s">
        <v>728</v>
      </c>
      <c r="H1406" s="197">
        <v>0</v>
      </c>
      <c r="I1406" s="210" t="s">
        <v>221</v>
      </c>
      <c r="J1406" s="210">
        <v>2025</v>
      </c>
      <c r="K1406" s="210">
        <v>2025</v>
      </c>
      <c r="L1406" s="268" t="str">
        <f t="shared" si="283"/>
        <v>Simple</v>
      </c>
      <c r="M1406" s="197">
        <v>74430.29467108367</v>
      </c>
      <c r="N1406" s="197">
        <v>111645.44200662551</v>
      </c>
      <c r="O1406" s="257">
        <f>IF(ISNA(MATCH(H1406,'Operating leases'!$B$32:$B$43,0)),0,INDEX('Operating leases'!$M$32:$S$43,MATCH(H1406,'Operating leases'!$B$32:$B$43,0),MATCH(J1406,'Operating leases'!$M$11:$S$11,0)))</f>
        <v>0</v>
      </c>
      <c r="P1406" s="257">
        <f t="shared" si="284"/>
        <v>74430.29467108367</v>
      </c>
      <c r="Q1406" s="257">
        <f t="shared" si="285"/>
        <v>186075.73667770918</v>
      </c>
      <c r="R1406" s="258">
        <f>INDEX('Escalators '!$M$124:$S$129,MATCH(I1406,'Escalators '!$B$124:$B$129,0),MATCH(J1406,'Escalators '!$M$113:$S$113,0))</f>
        <v>1.0867931559758131</v>
      </c>
      <c r="S1406" s="257">
        <f t="shared" si="286"/>
        <v>0</v>
      </c>
      <c r="T1406" s="257">
        <f t="shared" si="287"/>
        <v>121335.50226869516</v>
      </c>
      <c r="U1406" s="269">
        <f t="shared" si="288"/>
        <v>80890.334845796751</v>
      </c>
      <c r="V1406" s="269">
        <f t="shared" si="289"/>
        <v>202225.83711449191</v>
      </c>
      <c r="W1406" s="269">
        <f t="shared" si="290"/>
        <v>80890.334845796751</v>
      </c>
      <c r="X1406" s="257">
        <f t="shared" si="291"/>
        <v>202225.83711449191</v>
      </c>
      <c r="Y1406" s="270">
        <f>IF(L1406="Complex",(INDEX('Escalators '!$M$176:$S$176,MATCH('Forecast capex'!J1406,'Escalators '!$M$178:$S$178,0))/12+1)^((K1406-J1406)*12)-1,0)</f>
        <v>0</v>
      </c>
      <c r="Z1406" s="257">
        <f t="shared" si="292"/>
        <v>0</v>
      </c>
      <c r="AA1406" s="257">
        <f t="shared" si="293"/>
        <v>0</v>
      </c>
      <c r="AB1406" s="269">
        <f t="shared" si="294"/>
        <v>0</v>
      </c>
      <c r="AC1406" s="269">
        <f t="shared" si="295"/>
        <v>0</v>
      </c>
      <c r="AD1406" s="271" t="str">
        <f>INDEX('Global inputs'!$C$134:$C$171,MATCH(F1406,'Global inputs'!$B$134:$B$171,0))</f>
        <v>Asset relocations and undergrounding</v>
      </c>
      <c r="AE1406" s="272">
        <f>IF(OR(H1406='Operating leases'!$B$32,H1406='Operating leases'!$B$33),"",INDEX('Global inputs'!$C$186:$C$243,MATCH(E1406,'Global inputs'!$B$186:$B$243,0)))</f>
        <v>0.08</v>
      </c>
    </row>
    <row r="1407" spans="1:31" s="27" customFormat="1" x14ac:dyDescent="0.2">
      <c r="A1407" s="250"/>
      <c r="B1407" s="210" t="s">
        <v>714</v>
      </c>
      <c r="C1407" s="210" t="s">
        <v>284</v>
      </c>
      <c r="D1407" s="210" t="s">
        <v>729</v>
      </c>
      <c r="E1407" s="210" t="s">
        <v>127</v>
      </c>
      <c r="F1407" s="210" t="s">
        <v>92</v>
      </c>
      <c r="G1407" s="210" t="s">
        <v>730</v>
      </c>
      <c r="H1407" s="197">
        <v>0</v>
      </c>
      <c r="I1407" s="210" t="s">
        <v>225</v>
      </c>
      <c r="J1407" s="210">
        <v>2025</v>
      </c>
      <c r="K1407" s="210">
        <v>2025</v>
      </c>
      <c r="L1407" s="268" t="str">
        <f t="shared" si="283"/>
        <v>Simple</v>
      </c>
      <c r="M1407" s="197">
        <v>1353.2780849287942</v>
      </c>
      <c r="N1407" s="197">
        <v>2029.9171273931911</v>
      </c>
      <c r="O1407" s="257">
        <f>IF(ISNA(MATCH(H1407,'Operating leases'!$B$32:$B$43,0)),0,INDEX('Operating leases'!$M$32:$S$43,MATCH(H1407,'Operating leases'!$B$32:$B$43,0),MATCH(J1407,'Operating leases'!$M$11:$S$11,0)))</f>
        <v>0</v>
      </c>
      <c r="P1407" s="257">
        <f t="shared" si="284"/>
        <v>1353.2780849287942</v>
      </c>
      <c r="Q1407" s="257">
        <f t="shared" si="285"/>
        <v>3383.1952123219853</v>
      </c>
      <c r="R1407" s="258">
        <f>INDEX('Escalators '!$M$124:$S$129,MATCH(I1407,'Escalators '!$B$124:$B$129,0),MATCH(J1407,'Escalators '!$M$113:$S$113,0))</f>
        <v>1.1332991699624038</v>
      </c>
      <c r="S1407" s="257">
        <f t="shared" si="286"/>
        <v>0</v>
      </c>
      <c r="T1407" s="257">
        <f t="shared" si="287"/>
        <v>2300.5033955671706</v>
      </c>
      <c r="U1407" s="269">
        <f t="shared" si="288"/>
        <v>1533.6689303781136</v>
      </c>
      <c r="V1407" s="269">
        <f t="shared" si="289"/>
        <v>3834.1723259452842</v>
      </c>
      <c r="W1407" s="269">
        <f t="shared" si="290"/>
        <v>1533.6689303781136</v>
      </c>
      <c r="X1407" s="257">
        <f t="shared" si="291"/>
        <v>3834.1723259452842</v>
      </c>
      <c r="Y1407" s="270">
        <f>IF(L1407="Complex",(INDEX('Escalators '!$M$176:$S$176,MATCH('Forecast capex'!J1407,'Escalators '!$M$178:$S$178,0))/12+1)^((K1407-J1407)*12)-1,0)</f>
        <v>0</v>
      </c>
      <c r="Z1407" s="257">
        <f t="shared" si="292"/>
        <v>0</v>
      </c>
      <c r="AA1407" s="257">
        <f t="shared" si="293"/>
        <v>0</v>
      </c>
      <c r="AB1407" s="269">
        <f t="shared" si="294"/>
        <v>0</v>
      </c>
      <c r="AC1407" s="269">
        <f t="shared" si="295"/>
        <v>0</v>
      </c>
      <c r="AD1407" s="271" t="str">
        <f>INDEX('Global inputs'!$C$134:$C$171,MATCH(F1407,'Global inputs'!$B$134:$B$171,0))</f>
        <v>Asset relocations and undergrounding</v>
      </c>
      <c r="AE1407" s="272">
        <f>IF(OR(H1407='Operating leases'!$B$32,H1407='Operating leases'!$B$33),"",INDEX('Global inputs'!$C$186:$C$243,MATCH(E1407,'Global inputs'!$B$186:$B$243,0)))</f>
        <v>0.08</v>
      </c>
    </row>
    <row r="1408" spans="1:31" s="27" customFormat="1" x14ac:dyDescent="0.2">
      <c r="A1408" s="250"/>
      <c r="B1408" s="210" t="s">
        <v>714</v>
      </c>
      <c r="C1408" s="210" t="s">
        <v>284</v>
      </c>
      <c r="D1408" s="210" t="s">
        <v>729</v>
      </c>
      <c r="E1408" s="210" t="s">
        <v>127</v>
      </c>
      <c r="F1408" s="210" t="s">
        <v>92</v>
      </c>
      <c r="G1408" s="210" t="s">
        <v>730</v>
      </c>
      <c r="H1408" s="197">
        <v>0</v>
      </c>
      <c r="I1408" s="210" t="s">
        <v>221</v>
      </c>
      <c r="J1408" s="210">
        <v>2025</v>
      </c>
      <c r="K1408" s="210">
        <v>2025</v>
      </c>
      <c r="L1408" s="268" t="str">
        <f t="shared" si="283"/>
        <v>Simple</v>
      </c>
      <c r="M1408" s="197">
        <v>5413.1123397151769</v>
      </c>
      <c r="N1408" s="197">
        <v>8119.6685095727644</v>
      </c>
      <c r="O1408" s="257">
        <f>IF(ISNA(MATCH(H1408,'Operating leases'!$B$32:$B$43,0)),0,INDEX('Operating leases'!$M$32:$S$43,MATCH(H1408,'Operating leases'!$B$32:$B$43,0),MATCH(J1408,'Operating leases'!$M$11:$S$11,0)))</f>
        <v>0</v>
      </c>
      <c r="P1408" s="257">
        <f t="shared" si="284"/>
        <v>5413.1123397151769</v>
      </c>
      <c r="Q1408" s="257">
        <f t="shared" si="285"/>
        <v>13532.780849287941</v>
      </c>
      <c r="R1408" s="258">
        <f>INDEX('Escalators '!$M$124:$S$129,MATCH(I1408,'Escalators '!$B$124:$B$129,0),MATCH(J1408,'Escalators '!$M$113:$S$113,0))</f>
        <v>1.0867931559758131</v>
      </c>
      <c r="S1408" s="257">
        <f t="shared" si="286"/>
        <v>0</v>
      </c>
      <c r="T1408" s="257">
        <f t="shared" si="287"/>
        <v>8824.4001649960101</v>
      </c>
      <c r="U1408" s="269">
        <f t="shared" si="288"/>
        <v>5882.9334433306758</v>
      </c>
      <c r="V1408" s="269">
        <f t="shared" si="289"/>
        <v>14707.333608326686</v>
      </c>
      <c r="W1408" s="269">
        <f t="shared" si="290"/>
        <v>5882.9334433306758</v>
      </c>
      <c r="X1408" s="257">
        <f t="shared" si="291"/>
        <v>14707.333608326686</v>
      </c>
      <c r="Y1408" s="270">
        <f>IF(L1408="Complex",(INDEX('Escalators '!$M$176:$S$176,MATCH('Forecast capex'!J1408,'Escalators '!$M$178:$S$178,0))/12+1)^((K1408-J1408)*12)-1,0)</f>
        <v>0</v>
      </c>
      <c r="Z1408" s="257">
        <f t="shared" si="292"/>
        <v>0</v>
      </c>
      <c r="AA1408" s="257">
        <f t="shared" si="293"/>
        <v>0</v>
      </c>
      <c r="AB1408" s="269">
        <f t="shared" si="294"/>
        <v>0</v>
      </c>
      <c r="AC1408" s="269">
        <f t="shared" si="295"/>
        <v>0</v>
      </c>
      <c r="AD1408" s="271" t="str">
        <f>INDEX('Global inputs'!$C$134:$C$171,MATCH(F1408,'Global inputs'!$B$134:$B$171,0))</f>
        <v>Asset relocations and undergrounding</v>
      </c>
      <c r="AE1408" s="272">
        <f>IF(OR(H1408='Operating leases'!$B$32,H1408='Operating leases'!$B$33),"",INDEX('Global inputs'!$C$186:$C$243,MATCH(E1408,'Global inputs'!$B$186:$B$243,0)))</f>
        <v>0.08</v>
      </c>
    </row>
    <row r="1409" spans="1:31" s="27" customFormat="1" x14ac:dyDescent="0.2">
      <c r="A1409" s="250"/>
      <c r="B1409" s="210" t="s">
        <v>714</v>
      </c>
      <c r="C1409" s="210" t="s">
        <v>284</v>
      </c>
      <c r="D1409" s="210" t="s">
        <v>729</v>
      </c>
      <c r="E1409" s="210" t="s">
        <v>129</v>
      </c>
      <c r="F1409" s="210" t="s">
        <v>92</v>
      </c>
      <c r="G1409" s="210" t="s">
        <v>730</v>
      </c>
      <c r="H1409" s="197">
        <v>0</v>
      </c>
      <c r="I1409" s="210" t="s">
        <v>225</v>
      </c>
      <c r="J1409" s="210">
        <v>2025</v>
      </c>
      <c r="K1409" s="210">
        <v>2025</v>
      </c>
      <c r="L1409" s="268" t="str">
        <f t="shared" si="283"/>
        <v>Simple</v>
      </c>
      <c r="M1409" s="197">
        <v>1353.2780849287942</v>
      </c>
      <c r="N1409" s="197">
        <v>2029.9171273931911</v>
      </c>
      <c r="O1409" s="257">
        <f>IF(ISNA(MATCH(H1409,'Operating leases'!$B$32:$B$43,0)),0,INDEX('Operating leases'!$M$32:$S$43,MATCH(H1409,'Operating leases'!$B$32:$B$43,0),MATCH(J1409,'Operating leases'!$M$11:$S$11,0)))</f>
        <v>0</v>
      </c>
      <c r="P1409" s="257">
        <f t="shared" si="284"/>
        <v>1353.2780849287942</v>
      </c>
      <c r="Q1409" s="257">
        <f t="shared" si="285"/>
        <v>3383.1952123219853</v>
      </c>
      <c r="R1409" s="258">
        <f>INDEX('Escalators '!$M$124:$S$129,MATCH(I1409,'Escalators '!$B$124:$B$129,0),MATCH(J1409,'Escalators '!$M$113:$S$113,0))</f>
        <v>1.1332991699624038</v>
      </c>
      <c r="S1409" s="257">
        <f t="shared" si="286"/>
        <v>0</v>
      </c>
      <c r="T1409" s="257">
        <f t="shared" si="287"/>
        <v>2300.5033955671706</v>
      </c>
      <c r="U1409" s="269">
        <f t="shared" si="288"/>
        <v>1533.6689303781136</v>
      </c>
      <c r="V1409" s="269">
        <f t="shared" si="289"/>
        <v>3834.1723259452842</v>
      </c>
      <c r="W1409" s="269">
        <f t="shared" si="290"/>
        <v>1533.6689303781136</v>
      </c>
      <c r="X1409" s="257">
        <f t="shared" si="291"/>
        <v>3834.1723259452842</v>
      </c>
      <c r="Y1409" s="270">
        <f>IF(L1409="Complex",(INDEX('Escalators '!$M$176:$S$176,MATCH('Forecast capex'!J1409,'Escalators '!$M$178:$S$178,0))/12+1)^((K1409-J1409)*12)-1,0)</f>
        <v>0</v>
      </c>
      <c r="Z1409" s="257">
        <f t="shared" si="292"/>
        <v>0</v>
      </c>
      <c r="AA1409" s="257">
        <f t="shared" si="293"/>
        <v>0</v>
      </c>
      <c r="AB1409" s="269">
        <f t="shared" si="294"/>
        <v>0</v>
      </c>
      <c r="AC1409" s="269">
        <f t="shared" si="295"/>
        <v>0</v>
      </c>
      <c r="AD1409" s="271" t="str">
        <f>INDEX('Global inputs'!$C$134:$C$171,MATCH(F1409,'Global inputs'!$B$134:$B$171,0))</f>
        <v>Asset relocations and undergrounding</v>
      </c>
      <c r="AE1409" s="272">
        <f>IF(OR(H1409='Operating leases'!$B$32,H1409='Operating leases'!$B$33),"",INDEX('Global inputs'!$C$186:$C$243,MATCH(E1409,'Global inputs'!$B$186:$B$243,0)))</f>
        <v>0.1</v>
      </c>
    </row>
    <row r="1410" spans="1:31" s="27" customFormat="1" x14ac:dyDescent="0.2">
      <c r="A1410" s="250"/>
      <c r="B1410" s="210" t="s">
        <v>714</v>
      </c>
      <c r="C1410" s="210" t="s">
        <v>284</v>
      </c>
      <c r="D1410" s="210" t="s">
        <v>729</v>
      </c>
      <c r="E1410" s="210" t="s">
        <v>129</v>
      </c>
      <c r="F1410" s="210" t="s">
        <v>92</v>
      </c>
      <c r="G1410" s="210" t="s">
        <v>730</v>
      </c>
      <c r="H1410" s="197">
        <v>0</v>
      </c>
      <c r="I1410" s="210" t="s">
        <v>221</v>
      </c>
      <c r="J1410" s="210">
        <v>2025</v>
      </c>
      <c r="K1410" s="210">
        <v>2025</v>
      </c>
      <c r="L1410" s="268" t="str">
        <f t="shared" si="283"/>
        <v>Simple</v>
      </c>
      <c r="M1410" s="197">
        <v>5413.1123397151769</v>
      </c>
      <c r="N1410" s="197">
        <v>8119.6685095727644</v>
      </c>
      <c r="O1410" s="257">
        <f>IF(ISNA(MATCH(H1410,'Operating leases'!$B$32:$B$43,0)),0,INDEX('Operating leases'!$M$32:$S$43,MATCH(H1410,'Operating leases'!$B$32:$B$43,0),MATCH(J1410,'Operating leases'!$M$11:$S$11,0)))</f>
        <v>0</v>
      </c>
      <c r="P1410" s="257">
        <f t="shared" si="284"/>
        <v>5413.1123397151769</v>
      </c>
      <c r="Q1410" s="257">
        <f t="shared" si="285"/>
        <v>13532.780849287941</v>
      </c>
      <c r="R1410" s="258">
        <f>INDEX('Escalators '!$M$124:$S$129,MATCH(I1410,'Escalators '!$B$124:$B$129,0),MATCH(J1410,'Escalators '!$M$113:$S$113,0))</f>
        <v>1.0867931559758131</v>
      </c>
      <c r="S1410" s="257">
        <f t="shared" si="286"/>
        <v>0</v>
      </c>
      <c r="T1410" s="257">
        <f t="shared" si="287"/>
        <v>8824.4001649960101</v>
      </c>
      <c r="U1410" s="269">
        <f t="shared" si="288"/>
        <v>5882.9334433306758</v>
      </c>
      <c r="V1410" s="269">
        <f t="shared" si="289"/>
        <v>14707.333608326686</v>
      </c>
      <c r="W1410" s="269">
        <f t="shared" si="290"/>
        <v>5882.9334433306758</v>
      </c>
      <c r="X1410" s="257">
        <f t="shared" si="291"/>
        <v>14707.333608326686</v>
      </c>
      <c r="Y1410" s="270">
        <f>IF(L1410="Complex",(INDEX('Escalators '!$M$176:$S$176,MATCH('Forecast capex'!J1410,'Escalators '!$M$178:$S$178,0))/12+1)^((K1410-J1410)*12)-1,0)</f>
        <v>0</v>
      </c>
      <c r="Z1410" s="257">
        <f t="shared" si="292"/>
        <v>0</v>
      </c>
      <c r="AA1410" s="257">
        <f t="shared" si="293"/>
        <v>0</v>
      </c>
      <c r="AB1410" s="269">
        <f t="shared" si="294"/>
        <v>0</v>
      </c>
      <c r="AC1410" s="269">
        <f t="shared" si="295"/>
        <v>0</v>
      </c>
      <c r="AD1410" s="271" t="str">
        <f>INDEX('Global inputs'!$C$134:$C$171,MATCH(F1410,'Global inputs'!$B$134:$B$171,0))</f>
        <v>Asset relocations and undergrounding</v>
      </c>
      <c r="AE1410" s="272">
        <f>IF(OR(H1410='Operating leases'!$B$32,H1410='Operating leases'!$B$33),"",INDEX('Global inputs'!$C$186:$C$243,MATCH(E1410,'Global inputs'!$B$186:$B$243,0)))</f>
        <v>0.1</v>
      </c>
    </row>
    <row r="1411" spans="1:31" s="27" customFormat="1" x14ac:dyDescent="0.2">
      <c r="A1411" s="250"/>
      <c r="B1411" s="210" t="s">
        <v>714</v>
      </c>
      <c r="C1411" s="210" t="s">
        <v>287</v>
      </c>
      <c r="D1411" s="210" t="s">
        <v>729</v>
      </c>
      <c r="E1411" s="210" t="s">
        <v>150</v>
      </c>
      <c r="F1411" s="210" t="s">
        <v>92</v>
      </c>
      <c r="G1411" s="210" t="s">
        <v>731</v>
      </c>
      <c r="H1411" s="197">
        <v>0</v>
      </c>
      <c r="I1411" s="210" t="s">
        <v>225</v>
      </c>
      <c r="J1411" s="210">
        <v>2025</v>
      </c>
      <c r="K1411" s="210">
        <v>2025</v>
      </c>
      <c r="L1411" s="268" t="str">
        <f t="shared" si="283"/>
        <v>Simple</v>
      </c>
      <c r="M1411" s="197">
        <v>2255.4634748813237</v>
      </c>
      <c r="N1411" s="197">
        <v>3383.1952123219853</v>
      </c>
      <c r="O1411" s="257">
        <f>IF(ISNA(MATCH(H1411,'Operating leases'!$B$32:$B$43,0)),0,INDEX('Operating leases'!$M$32:$S$43,MATCH(H1411,'Operating leases'!$B$32:$B$43,0),MATCH(J1411,'Operating leases'!$M$11:$S$11,0)))</f>
        <v>0</v>
      </c>
      <c r="P1411" s="257">
        <f t="shared" si="284"/>
        <v>2255.4634748813237</v>
      </c>
      <c r="Q1411" s="257">
        <f t="shared" si="285"/>
        <v>5638.6586872033095</v>
      </c>
      <c r="R1411" s="258">
        <f>INDEX('Escalators '!$M$124:$S$129,MATCH(I1411,'Escalators '!$B$124:$B$129,0),MATCH(J1411,'Escalators '!$M$113:$S$113,0))</f>
        <v>1.1332991699624038</v>
      </c>
      <c r="S1411" s="257">
        <f t="shared" si="286"/>
        <v>0</v>
      </c>
      <c r="T1411" s="257">
        <f t="shared" si="287"/>
        <v>3834.1723259452842</v>
      </c>
      <c r="U1411" s="269">
        <f t="shared" si="288"/>
        <v>2556.1148839635239</v>
      </c>
      <c r="V1411" s="269">
        <f t="shared" si="289"/>
        <v>6390.2872099088081</v>
      </c>
      <c r="W1411" s="269">
        <f t="shared" si="290"/>
        <v>2556.1148839635239</v>
      </c>
      <c r="X1411" s="257">
        <f t="shared" si="291"/>
        <v>6390.2872099088081</v>
      </c>
      <c r="Y1411" s="270">
        <f>IF(L1411="Complex",(INDEX('Escalators '!$M$176:$S$176,MATCH('Forecast capex'!J1411,'Escalators '!$M$178:$S$178,0))/12+1)^((K1411-J1411)*12)-1,0)</f>
        <v>0</v>
      </c>
      <c r="Z1411" s="257">
        <f t="shared" si="292"/>
        <v>0</v>
      </c>
      <c r="AA1411" s="257">
        <f t="shared" si="293"/>
        <v>0</v>
      </c>
      <c r="AB1411" s="269">
        <f t="shared" si="294"/>
        <v>0</v>
      </c>
      <c r="AC1411" s="269">
        <f t="shared" si="295"/>
        <v>0</v>
      </c>
      <c r="AD1411" s="271" t="str">
        <f>INDEX('Global inputs'!$C$134:$C$171,MATCH(F1411,'Global inputs'!$B$134:$B$171,0))</f>
        <v>Asset relocations and undergrounding</v>
      </c>
      <c r="AE1411" s="272">
        <f>IF(OR(H1411='Operating leases'!$B$32,H1411='Operating leases'!$B$33),"",INDEX('Global inputs'!$C$186:$C$243,MATCH(E1411,'Global inputs'!$B$186:$B$243,0)))</f>
        <v>0.08</v>
      </c>
    </row>
    <row r="1412" spans="1:31" s="27" customFormat="1" x14ac:dyDescent="0.2">
      <c r="A1412" s="250"/>
      <c r="B1412" s="210" t="s">
        <v>714</v>
      </c>
      <c r="C1412" s="210" t="s">
        <v>287</v>
      </c>
      <c r="D1412" s="210" t="s">
        <v>729</v>
      </c>
      <c r="E1412" s="210" t="s">
        <v>150</v>
      </c>
      <c r="F1412" s="210" t="s">
        <v>92</v>
      </c>
      <c r="G1412" s="210" t="s">
        <v>731</v>
      </c>
      <c r="H1412" s="197">
        <v>0</v>
      </c>
      <c r="I1412" s="210" t="s">
        <v>221</v>
      </c>
      <c r="J1412" s="210">
        <v>2025</v>
      </c>
      <c r="K1412" s="210">
        <v>2025</v>
      </c>
      <c r="L1412" s="268" t="str">
        <f t="shared" si="283"/>
        <v>Simple</v>
      </c>
      <c r="M1412" s="197">
        <v>9021.8538995252948</v>
      </c>
      <c r="N1412" s="197">
        <v>13532.780849287941</v>
      </c>
      <c r="O1412" s="257">
        <f>IF(ISNA(MATCH(H1412,'Operating leases'!$B$32:$B$43,0)),0,INDEX('Operating leases'!$M$32:$S$43,MATCH(H1412,'Operating leases'!$B$32:$B$43,0),MATCH(J1412,'Operating leases'!$M$11:$S$11,0)))</f>
        <v>0</v>
      </c>
      <c r="P1412" s="257">
        <f t="shared" si="284"/>
        <v>9021.8538995252948</v>
      </c>
      <c r="Q1412" s="257">
        <f t="shared" si="285"/>
        <v>22554.634748813238</v>
      </c>
      <c r="R1412" s="258">
        <f>INDEX('Escalators '!$M$124:$S$129,MATCH(I1412,'Escalators '!$B$124:$B$129,0),MATCH(J1412,'Escalators '!$M$113:$S$113,0))</f>
        <v>1.0867931559758131</v>
      </c>
      <c r="S1412" s="257">
        <f t="shared" si="286"/>
        <v>0</v>
      </c>
      <c r="T1412" s="257">
        <f t="shared" si="287"/>
        <v>14707.333608326686</v>
      </c>
      <c r="U1412" s="269">
        <f t="shared" si="288"/>
        <v>9804.8890722177912</v>
      </c>
      <c r="V1412" s="269">
        <f t="shared" si="289"/>
        <v>24512.222680544477</v>
      </c>
      <c r="W1412" s="269">
        <f t="shared" si="290"/>
        <v>9804.8890722177912</v>
      </c>
      <c r="X1412" s="257">
        <f t="shared" si="291"/>
        <v>24512.222680544477</v>
      </c>
      <c r="Y1412" s="270">
        <f>IF(L1412="Complex",(INDEX('Escalators '!$M$176:$S$176,MATCH('Forecast capex'!J1412,'Escalators '!$M$178:$S$178,0))/12+1)^((K1412-J1412)*12)-1,0)</f>
        <v>0</v>
      </c>
      <c r="Z1412" s="257">
        <f t="shared" si="292"/>
        <v>0</v>
      </c>
      <c r="AA1412" s="257">
        <f t="shared" si="293"/>
        <v>0</v>
      </c>
      <c r="AB1412" s="269">
        <f t="shared" si="294"/>
        <v>0</v>
      </c>
      <c r="AC1412" s="269">
        <f t="shared" si="295"/>
        <v>0</v>
      </c>
      <c r="AD1412" s="271" t="str">
        <f>INDEX('Global inputs'!$C$134:$C$171,MATCH(F1412,'Global inputs'!$B$134:$B$171,0))</f>
        <v>Asset relocations and undergrounding</v>
      </c>
      <c r="AE1412" s="272">
        <f>IF(OR(H1412='Operating leases'!$B$32,H1412='Operating leases'!$B$33),"",INDEX('Global inputs'!$C$186:$C$243,MATCH(E1412,'Global inputs'!$B$186:$B$243,0)))</f>
        <v>0.08</v>
      </c>
    </row>
    <row r="1413" spans="1:31" s="27" customFormat="1" x14ac:dyDescent="0.2">
      <c r="A1413" s="250"/>
      <c r="B1413" s="210" t="s">
        <v>714</v>
      </c>
      <c r="C1413" s="210" t="s">
        <v>287</v>
      </c>
      <c r="D1413" s="210" t="s">
        <v>729</v>
      </c>
      <c r="E1413" s="210" t="s">
        <v>151</v>
      </c>
      <c r="F1413" s="210" t="s">
        <v>92</v>
      </c>
      <c r="G1413" s="210" t="s">
        <v>731</v>
      </c>
      <c r="H1413" s="197">
        <v>0</v>
      </c>
      <c r="I1413" s="210" t="s">
        <v>225</v>
      </c>
      <c r="J1413" s="210">
        <v>2025</v>
      </c>
      <c r="K1413" s="210">
        <v>2025</v>
      </c>
      <c r="L1413" s="268" t="str">
        <f t="shared" si="283"/>
        <v>Simple</v>
      </c>
      <c r="M1413" s="197">
        <v>2255.4634748813237</v>
      </c>
      <c r="N1413" s="197">
        <v>3383.1952123219853</v>
      </c>
      <c r="O1413" s="257">
        <f>IF(ISNA(MATCH(H1413,'Operating leases'!$B$32:$B$43,0)),0,INDEX('Operating leases'!$M$32:$S$43,MATCH(H1413,'Operating leases'!$B$32:$B$43,0),MATCH(J1413,'Operating leases'!$M$11:$S$11,0)))</f>
        <v>0</v>
      </c>
      <c r="P1413" s="257">
        <f t="shared" si="284"/>
        <v>2255.4634748813237</v>
      </c>
      <c r="Q1413" s="257">
        <f t="shared" si="285"/>
        <v>5638.6586872033095</v>
      </c>
      <c r="R1413" s="258">
        <f>INDEX('Escalators '!$M$124:$S$129,MATCH(I1413,'Escalators '!$B$124:$B$129,0),MATCH(J1413,'Escalators '!$M$113:$S$113,0))</f>
        <v>1.1332991699624038</v>
      </c>
      <c r="S1413" s="257">
        <f t="shared" si="286"/>
        <v>0</v>
      </c>
      <c r="T1413" s="257">
        <f t="shared" si="287"/>
        <v>3834.1723259452842</v>
      </c>
      <c r="U1413" s="269">
        <f t="shared" si="288"/>
        <v>2556.1148839635239</v>
      </c>
      <c r="V1413" s="269">
        <f t="shared" si="289"/>
        <v>6390.2872099088081</v>
      </c>
      <c r="W1413" s="269">
        <f t="shared" si="290"/>
        <v>2556.1148839635239</v>
      </c>
      <c r="X1413" s="257">
        <f t="shared" si="291"/>
        <v>6390.2872099088081</v>
      </c>
      <c r="Y1413" s="270">
        <f>IF(L1413="Complex",(INDEX('Escalators '!$M$176:$S$176,MATCH('Forecast capex'!J1413,'Escalators '!$M$178:$S$178,0))/12+1)^((K1413-J1413)*12)-1,0)</f>
        <v>0</v>
      </c>
      <c r="Z1413" s="257">
        <f t="shared" si="292"/>
        <v>0</v>
      </c>
      <c r="AA1413" s="257">
        <f t="shared" si="293"/>
        <v>0</v>
      </c>
      <c r="AB1413" s="269">
        <f t="shared" si="294"/>
        <v>0</v>
      </c>
      <c r="AC1413" s="269">
        <f t="shared" si="295"/>
        <v>0</v>
      </c>
      <c r="AD1413" s="271" t="str">
        <f>INDEX('Global inputs'!$C$134:$C$171,MATCH(F1413,'Global inputs'!$B$134:$B$171,0))</f>
        <v>Asset relocations and undergrounding</v>
      </c>
      <c r="AE1413" s="272">
        <f>IF(OR(H1413='Operating leases'!$B$32,H1413='Operating leases'!$B$33),"",INDEX('Global inputs'!$C$186:$C$243,MATCH(E1413,'Global inputs'!$B$186:$B$243,0)))</f>
        <v>0.1</v>
      </c>
    </row>
    <row r="1414" spans="1:31" s="27" customFormat="1" x14ac:dyDescent="0.2">
      <c r="A1414" s="250"/>
      <c r="B1414" s="210" t="s">
        <v>714</v>
      </c>
      <c r="C1414" s="210" t="s">
        <v>287</v>
      </c>
      <c r="D1414" s="210" t="s">
        <v>729</v>
      </c>
      <c r="E1414" s="210" t="s">
        <v>151</v>
      </c>
      <c r="F1414" s="210" t="s">
        <v>92</v>
      </c>
      <c r="G1414" s="210" t="s">
        <v>731</v>
      </c>
      <c r="H1414" s="197">
        <v>0</v>
      </c>
      <c r="I1414" s="210" t="s">
        <v>221</v>
      </c>
      <c r="J1414" s="210">
        <v>2025</v>
      </c>
      <c r="K1414" s="210">
        <v>2025</v>
      </c>
      <c r="L1414" s="268" t="str">
        <f t="shared" si="283"/>
        <v>Simple</v>
      </c>
      <c r="M1414" s="197">
        <v>9021.8538995252948</v>
      </c>
      <c r="N1414" s="197">
        <v>13532.780849287941</v>
      </c>
      <c r="O1414" s="257">
        <f>IF(ISNA(MATCH(H1414,'Operating leases'!$B$32:$B$43,0)),0,INDEX('Operating leases'!$M$32:$S$43,MATCH(H1414,'Operating leases'!$B$32:$B$43,0),MATCH(J1414,'Operating leases'!$M$11:$S$11,0)))</f>
        <v>0</v>
      </c>
      <c r="P1414" s="257">
        <f t="shared" si="284"/>
        <v>9021.8538995252948</v>
      </c>
      <c r="Q1414" s="257">
        <f t="shared" si="285"/>
        <v>22554.634748813238</v>
      </c>
      <c r="R1414" s="258">
        <f>INDEX('Escalators '!$M$124:$S$129,MATCH(I1414,'Escalators '!$B$124:$B$129,0),MATCH(J1414,'Escalators '!$M$113:$S$113,0))</f>
        <v>1.0867931559758131</v>
      </c>
      <c r="S1414" s="257">
        <f t="shared" si="286"/>
        <v>0</v>
      </c>
      <c r="T1414" s="257">
        <f t="shared" si="287"/>
        <v>14707.333608326686</v>
      </c>
      <c r="U1414" s="269">
        <f t="shared" si="288"/>
        <v>9804.8890722177912</v>
      </c>
      <c r="V1414" s="269">
        <f t="shared" si="289"/>
        <v>24512.222680544477</v>
      </c>
      <c r="W1414" s="269">
        <f t="shared" si="290"/>
        <v>9804.8890722177912</v>
      </c>
      <c r="X1414" s="257">
        <f t="shared" si="291"/>
        <v>24512.222680544477</v>
      </c>
      <c r="Y1414" s="270">
        <f>IF(L1414="Complex",(INDEX('Escalators '!$M$176:$S$176,MATCH('Forecast capex'!J1414,'Escalators '!$M$178:$S$178,0))/12+1)^((K1414-J1414)*12)-1,0)</f>
        <v>0</v>
      </c>
      <c r="Z1414" s="257">
        <f t="shared" si="292"/>
        <v>0</v>
      </c>
      <c r="AA1414" s="257">
        <f t="shared" si="293"/>
        <v>0</v>
      </c>
      <c r="AB1414" s="269">
        <f t="shared" si="294"/>
        <v>0</v>
      </c>
      <c r="AC1414" s="269">
        <f t="shared" si="295"/>
        <v>0</v>
      </c>
      <c r="AD1414" s="271" t="str">
        <f>INDEX('Global inputs'!$C$134:$C$171,MATCH(F1414,'Global inputs'!$B$134:$B$171,0))</f>
        <v>Asset relocations and undergrounding</v>
      </c>
      <c r="AE1414" s="272">
        <f>IF(OR(H1414='Operating leases'!$B$32,H1414='Operating leases'!$B$33),"",INDEX('Global inputs'!$C$186:$C$243,MATCH(E1414,'Global inputs'!$B$186:$B$243,0)))</f>
        <v>0.1</v>
      </c>
    </row>
    <row r="1415" spans="1:31" s="27" customFormat="1" x14ac:dyDescent="0.2">
      <c r="A1415" s="250"/>
      <c r="B1415" s="210" t="s">
        <v>714</v>
      </c>
      <c r="C1415" s="210" t="s">
        <v>284</v>
      </c>
      <c r="D1415" s="210" t="s">
        <v>715</v>
      </c>
      <c r="E1415" s="210" t="s">
        <v>127</v>
      </c>
      <c r="F1415" s="210" t="s">
        <v>94</v>
      </c>
      <c r="G1415" s="210" t="s">
        <v>716</v>
      </c>
      <c r="H1415" s="197">
        <v>0</v>
      </c>
      <c r="I1415" s="210" t="s">
        <v>229</v>
      </c>
      <c r="J1415" s="210">
        <v>2025</v>
      </c>
      <c r="K1415" s="210">
        <v>2025</v>
      </c>
      <c r="L1415" s="268" t="str">
        <f t="shared" si="283"/>
        <v>Simple</v>
      </c>
      <c r="M1415" s="197">
        <v>453.8197699183176</v>
      </c>
      <c r="N1415" s="197">
        <v>680.72965487747638</v>
      </c>
      <c r="O1415" s="257">
        <f>IF(ISNA(MATCH(H1415,'Operating leases'!$B$32:$B$43,0)),0,INDEX('Operating leases'!$M$32:$S$43,MATCH(H1415,'Operating leases'!$B$32:$B$43,0),MATCH(J1415,'Operating leases'!$M$11:$S$11,0)))</f>
        <v>0</v>
      </c>
      <c r="P1415" s="257">
        <f t="shared" si="284"/>
        <v>453.8197699183176</v>
      </c>
      <c r="Q1415" s="257">
        <f t="shared" si="285"/>
        <v>1134.549424795794</v>
      </c>
      <c r="R1415" s="258">
        <f>INDEX('Escalators '!$M$124:$S$129,MATCH(I1415,'Escalators '!$B$124:$B$129,0),MATCH(J1415,'Escalators '!$M$113:$S$113,0))</f>
        <v>1.0919411253473632</v>
      </c>
      <c r="S1415" s="257">
        <f t="shared" si="286"/>
        <v>0</v>
      </c>
      <c r="T1415" s="257">
        <f t="shared" si="287"/>
        <v>743.31670540423374</v>
      </c>
      <c r="U1415" s="269">
        <f t="shared" si="288"/>
        <v>495.54447026948924</v>
      </c>
      <c r="V1415" s="269">
        <f t="shared" si="289"/>
        <v>1238.861175673723</v>
      </c>
      <c r="W1415" s="269">
        <f t="shared" si="290"/>
        <v>495.54447026948924</v>
      </c>
      <c r="X1415" s="257">
        <f t="shared" si="291"/>
        <v>1238.861175673723</v>
      </c>
      <c r="Y1415" s="270">
        <f>IF(L1415="Complex",(INDEX('Escalators '!$M$176:$S$176,MATCH('Forecast capex'!J1415,'Escalators '!$M$178:$S$178,0))/12+1)^((K1415-J1415)*12)-1,0)</f>
        <v>0</v>
      </c>
      <c r="Z1415" s="257">
        <f t="shared" si="292"/>
        <v>0</v>
      </c>
      <c r="AA1415" s="257">
        <f t="shared" si="293"/>
        <v>0</v>
      </c>
      <c r="AB1415" s="269">
        <f t="shared" si="294"/>
        <v>0</v>
      </c>
      <c r="AC1415" s="269">
        <f t="shared" si="295"/>
        <v>0</v>
      </c>
      <c r="AD1415" s="271" t="str">
        <f>INDEX('Global inputs'!$C$134:$C$171,MATCH(F1415,'Global inputs'!$B$134:$B$171,0))</f>
        <v>Consumer connection</v>
      </c>
      <c r="AE1415" s="272">
        <f>IF(OR(H1415='Operating leases'!$B$32,H1415='Operating leases'!$B$33),"",INDEX('Global inputs'!$C$186:$C$243,MATCH(E1415,'Global inputs'!$B$186:$B$243,0)))</f>
        <v>0.08</v>
      </c>
    </row>
    <row r="1416" spans="1:31" s="27" customFormat="1" x14ac:dyDescent="0.2">
      <c r="A1416" s="250"/>
      <c r="B1416" s="210" t="s">
        <v>714</v>
      </c>
      <c r="C1416" s="210" t="s">
        <v>284</v>
      </c>
      <c r="D1416" s="210" t="s">
        <v>715</v>
      </c>
      <c r="E1416" s="210" t="s">
        <v>127</v>
      </c>
      <c r="F1416" s="210" t="s">
        <v>94</v>
      </c>
      <c r="G1416" s="210" t="s">
        <v>716</v>
      </c>
      <c r="H1416" s="197">
        <v>0</v>
      </c>
      <c r="I1416" s="210" t="s">
        <v>221</v>
      </c>
      <c r="J1416" s="210">
        <v>2025</v>
      </c>
      <c r="K1416" s="210">
        <v>2025</v>
      </c>
      <c r="L1416" s="268" t="str">
        <f t="shared" si="283"/>
        <v>Simple</v>
      </c>
      <c r="M1416" s="197">
        <v>453.8197699183176</v>
      </c>
      <c r="N1416" s="197">
        <v>680.72965487747638</v>
      </c>
      <c r="O1416" s="257">
        <f>IF(ISNA(MATCH(H1416,'Operating leases'!$B$32:$B$43,0)),0,INDEX('Operating leases'!$M$32:$S$43,MATCH(H1416,'Operating leases'!$B$32:$B$43,0),MATCH(J1416,'Operating leases'!$M$11:$S$11,0)))</f>
        <v>0</v>
      </c>
      <c r="P1416" s="257">
        <f t="shared" si="284"/>
        <v>453.8197699183176</v>
      </c>
      <c r="Q1416" s="257">
        <f t="shared" si="285"/>
        <v>1134.549424795794</v>
      </c>
      <c r="R1416" s="258">
        <f>INDEX('Escalators '!$M$124:$S$129,MATCH(I1416,'Escalators '!$B$124:$B$129,0),MATCH(J1416,'Escalators '!$M$113:$S$113,0))</f>
        <v>1.0867931559758131</v>
      </c>
      <c r="S1416" s="257">
        <f t="shared" si="286"/>
        <v>0</v>
      </c>
      <c r="T1416" s="257">
        <f t="shared" si="287"/>
        <v>739.81232999061854</v>
      </c>
      <c r="U1416" s="269">
        <f t="shared" si="288"/>
        <v>493.20821999374584</v>
      </c>
      <c r="V1416" s="269">
        <f t="shared" si="289"/>
        <v>1233.0205499843644</v>
      </c>
      <c r="W1416" s="269">
        <f t="shared" si="290"/>
        <v>493.20821999374584</v>
      </c>
      <c r="X1416" s="257">
        <f t="shared" si="291"/>
        <v>1233.0205499843644</v>
      </c>
      <c r="Y1416" s="270">
        <f>IF(L1416="Complex",(INDEX('Escalators '!$M$176:$S$176,MATCH('Forecast capex'!J1416,'Escalators '!$M$178:$S$178,0))/12+1)^((K1416-J1416)*12)-1,0)</f>
        <v>0</v>
      </c>
      <c r="Z1416" s="257">
        <f t="shared" si="292"/>
        <v>0</v>
      </c>
      <c r="AA1416" s="257">
        <f t="shared" si="293"/>
        <v>0</v>
      </c>
      <c r="AB1416" s="269">
        <f t="shared" si="294"/>
        <v>0</v>
      </c>
      <c r="AC1416" s="269">
        <f t="shared" si="295"/>
        <v>0</v>
      </c>
      <c r="AD1416" s="271" t="str">
        <f>INDEX('Global inputs'!$C$134:$C$171,MATCH(F1416,'Global inputs'!$B$134:$B$171,0))</f>
        <v>Consumer connection</v>
      </c>
      <c r="AE1416" s="272">
        <f>IF(OR(H1416='Operating leases'!$B$32,H1416='Operating leases'!$B$33),"",INDEX('Global inputs'!$C$186:$C$243,MATCH(E1416,'Global inputs'!$B$186:$B$243,0)))</f>
        <v>0.08</v>
      </c>
    </row>
    <row r="1417" spans="1:31" s="27" customFormat="1" x14ac:dyDescent="0.2">
      <c r="A1417" s="250"/>
      <c r="B1417" s="210" t="s">
        <v>714</v>
      </c>
      <c r="C1417" s="210" t="s">
        <v>284</v>
      </c>
      <c r="D1417" s="210" t="s">
        <v>715</v>
      </c>
      <c r="E1417" s="210" t="s">
        <v>129</v>
      </c>
      <c r="F1417" s="210" t="s">
        <v>94</v>
      </c>
      <c r="G1417" s="210" t="s">
        <v>716</v>
      </c>
      <c r="H1417" s="197">
        <v>0</v>
      </c>
      <c r="I1417" s="210" t="s">
        <v>229</v>
      </c>
      <c r="J1417" s="210">
        <v>2025</v>
      </c>
      <c r="K1417" s="210">
        <v>2025</v>
      </c>
      <c r="L1417" s="268" t="str">
        <f t="shared" si="283"/>
        <v>Simple</v>
      </c>
      <c r="M1417" s="197">
        <v>453.8197699183176</v>
      </c>
      <c r="N1417" s="197">
        <v>680.72965487747638</v>
      </c>
      <c r="O1417" s="257">
        <f>IF(ISNA(MATCH(H1417,'Operating leases'!$B$32:$B$43,0)),0,INDEX('Operating leases'!$M$32:$S$43,MATCH(H1417,'Operating leases'!$B$32:$B$43,0),MATCH(J1417,'Operating leases'!$M$11:$S$11,0)))</f>
        <v>0</v>
      </c>
      <c r="P1417" s="257">
        <f t="shared" si="284"/>
        <v>453.8197699183176</v>
      </c>
      <c r="Q1417" s="257">
        <f t="shared" si="285"/>
        <v>1134.549424795794</v>
      </c>
      <c r="R1417" s="258">
        <f>INDEX('Escalators '!$M$124:$S$129,MATCH(I1417,'Escalators '!$B$124:$B$129,0),MATCH(J1417,'Escalators '!$M$113:$S$113,0))</f>
        <v>1.0919411253473632</v>
      </c>
      <c r="S1417" s="257">
        <f t="shared" si="286"/>
        <v>0</v>
      </c>
      <c r="T1417" s="257">
        <f t="shared" si="287"/>
        <v>743.31670540423374</v>
      </c>
      <c r="U1417" s="269">
        <f t="shared" si="288"/>
        <v>495.54447026948924</v>
      </c>
      <c r="V1417" s="269">
        <f t="shared" si="289"/>
        <v>1238.861175673723</v>
      </c>
      <c r="W1417" s="269">
        <f t="shared" si="290"/>
        <v>495.54447026948924</v>
      </c>
      <c r="X1417" s="257">
        <f t="shared" si="291"/>
        <v>1238.861175673723</v>
      </c>
      <c r="Y1417" s="270">
        <f>IF(L1417="Complex",(INDEX('Escalators '!$M$176:$S$176,MATCH('Forecast capex'!J1417,'Escalators '!$M$178:$S$178,0))/12+1)^((K1417-J1417)*12)-1,0)</f>
        <v>0</v>
      </c>
      <c r="Z1417" s="257">
        <f t="shared" si="292"/>
        <v>0</v>
      </c>
      <c r="AA1417" s="257">
        <f t="shared" si="293"/>
        <v>0</v>
      </c>
      <c r="AB1417" s="269">
        <f t="shared" si="294"/>
        <v>0</v>
      </c>
      <c r="AC1417" s="269">
        <f t="shared" si="295"/>
        <v>0</v>
      </c>
      <c r="AD1417" s="271" t="str">
        <f>INDEX('Global inputs'!$C$134:$C$171,MATCH(F1417,'Global inputs'!$B$134:$B$171,0))</f>
        <v>Consumer connection</v>
      </c>
      <c r="AE1417" s="272">
        <f>IF(OR(H1417='Operating leases'!$B$32,H1417='Operating leases'!$B$33),"",INDEX('Global inputs'!$C$186:$C$243,MATCH(E1417,'Global inputs'!$B$186:$B$243,0)))</f>
        <v>0.1</v>
      </c>
    </row>
    <row r="1418" spans="1:31" s="27" customFormat="1" x14ac:dyDescent="0.2">
      <c r="A1418" s="250"/>
      <c r="B1418" s="210" t="s">
        <v>714</v>
      </c>
      <c r="C1418" s="210" t="s">
        <v>284</v>
      </c>
      <c r="D1418" s="210" t="s">
        <v>715</v>
      </c>
      <c r="E1418" s="210" t="s">
        <v>129</v>
      </c>
      <c r="F1418" s="210" t="s">
        <v>94</v>
      </c>
      <c r="G1418" s="210" t="s">
        <v>716</v>
      </c>
      <c r="H1418" s="197">
        <v>0</v>
      </c>
      <c r="I1418" s="210" t="s">
        <v>221</v>
      </c>
      <c r="J1418" s="210">
        <v>2025</v>
      </c>
      <c r="K1418" s="210">
        <v>2025</v>
      </c>
      <c r="L1418" s="268" t="str">
        <f t="shared" ref="L1418:L1481" si="296">IF(J1418=K1418,"Simple","Complex")</f>
        <v>Simple</v>
      </c>
      <c r="M1418" s="197">
        <v>453.8197699183176</v>
      </c>
      <c r="N1418" s="197">
        <v>680.72965487747638</v>
      </c>
      <c r="O1418" s="257">
        <f>IF(ISNA(MATCH(H1418,'Operating leases'!$B$32:$B$43,0)),0,INDEX('Operating leases'!$M$32:$S$43,MATCH(H1418,'Operating leases'!$B$32:$B$43,0),MATCH(J1418,'Operating leases'!$M$11:$S$11,0)))</f>
        <v>0</v>
      </c>
      <c r="P1418" s="257">
        <f t="shared" ref="P1418:P1481" si="297">O1418+M1418</f>
        <v>453.8197699183176</v>
      </c>
      <c r="Q1418" s="257">
        <f t="shared" ref="Q1418:Q1481" si="298">M1418+N1418+O1418</f>
        <v>1134.549424795794</v>
      </c>
      <c r="R1418" s="258">
        <f>INDEX('Escalators '!$M$124:$S$129,MATCH(I1418,'Escalators '!$B$124:$B$129,0),MATCH(J1418,'Escalators '!$M$113:$S$113,0))</f>
        <v>1.0867931559758131</v>
      </c>
      <c r="S1418" s="257">
        <f t="shared" ref="S1418:S1481" si="299">O1418*R1418</f>
        <v>0</v>
      </c>
      <c r="T1418" s="257">
        <f t="shared" ref="T1418:T1481" si="300">N1418*R1418</f>
        <v>739.81232999061854</v>
      </c>
      <c r="U1418" s="269">
        <f t="shared" ref="U1418:U1481" si="301">W1418-S1418</f>
        <v>493.20821999374584</v>
      </c>
      <c r="V1418" s="269">
        <f t="shared" ref="V1418:V1481" si="302">U1418+T1418</f>
        <v>1233.0205499843644</v>
      </c>
      <c r="W1418" s="269">
        <f t="shared" ref="W1418:W1481" si="303">X1418-T1418</f>
        <v>493.20821999374584</v>
      </c>
      <c r="X1418" s="257">
        <f t="shared" ref="X1418:X1481" si="304">Q1418*R1418</f>
        <v>1233.0205499843644</v>
      </c>
      <c r="Y1418" s="270">
        <f>IF(L1418="Complex",(INDEX('Escalators '!$M$176:$S$176,MATCH('Forecast capex'!J1418,'Escalators '!$M$178:$S$178,0))/12+1)^((K1418-J1418)*12)-1,0)</f>
        <v>0</v>
      </c>
      <c r="Z1418" s="257">
        <f t="shared" ref="Z1418:Z1481" si="305">P1418*Y1418</f>
        <v>0</v>
      </c>
      <c r="AA1418" s="257">
        <f t="shared" ref="AA1418:AA1481" si="306">W1418*Y1418</f>
        <v>0</v>
      </c>
      <c r="AB1418" s="269">
        <f t="shared" ref="AB1418:AB1481" si="307">IF(L1418="Complex",AC1418-T1418,0)</f>
        <v>0</v>
      </c>
      <c r="AC1418" s="269">
        <f t="shared" ref="AC1418:AC1481" si="308">IF(L1418="Complex",V1418+AA1418,0)</f>
        <v>0</v>
      </c>
      <c r="AD1418" s="271" t="str">
        <f>INDEX('Global inputs'!$C$134:$C$171,MATCH(F1418,'Global inputs'!$B$134:$B$171,0))</f>
        <v>Consumer connection</v>
      </c>
      <c r="AE1418" s="272">
        <f>IF(OR(H1418='Operating leases'!$B$32,H1418='Operating leases'!$B$33),"",INDEX('Global inputs'!$C$186:$C$243,MATCH(E1418,'Global inputs'!$B$186:$B$243,0)))</f>
        <v>0.1</v>
      </c>
    </row>
    <row r="1419" spans="1:31" s="27" customFormat="1" x14ac:dyDescent="0.2">
      <c r="A1419" s="250"/>
      <c r="B1419" s="210" t="s">
        <v>714</v>
      </c>
      <c r="C1419" s="210" t="s">
        <v>287</v>
      </c>
      <c r="D1419" s="210" t="s">
        <v>715</v>
      </c>
      <c r="E1419" s="210" t="s">
        <v>150</v>
      </c>
      <c r="F1419" s="210" t="s">
        <v>94</v>
      </c>
      <c r="G1419" s="210" t="s">
        <v>716</v>
      </c>
      <c r="H1419" s="197">
        <v>0</v>
      </c>
      <c r="I1419" s="210" t="s">
        <v>229</v>
      </c>
      <c r="J1419" s="210">
        <v>2025</v>
      </c>
      <c r="K1419" s="210">
        <v>2025</v>
      </c>
      <c r="L1419" s="268" t="str">
        <f t="shared" si="296"/>
        <v>Simple</v>
      </c>
      <c r="M1419" s="197">
        <v>22690.988495915884</v>
      </c>
      <c r="N1419" s="197">
        <v>34036.482743873821</v>
      </c>
      <c r="O1419" s="257">
        <f>IF(ISNA(MATCH(H1419,'Operating leases'!$B$32:$B$43,0)),0,INDEX('Operating leases'!$M$32:$S$43,MATCH(H1419,'Operating leases'!$B$32:$B$43,0),MATCH(J1419,'Operating leases'!$M$11:$S$11,0)))</f>
        <v>0</v>
      </c>
      <c r="P1419" s="257">
        <f t="shared" si="297"/>
        <v>22690.988495915884</v>
      </c>
      <c r="Q1419" s="257">
        <f t="shared" si="298"/>
        <v>56727.471239789709</v>
      </c>
      <c r="R1419" s="258">
        <f>INDEX('Escalators '!$M$124:$S$129,MATCH(I1419,'Escalators '!$B$124:$B$129,0),MATCH(J1419,'Escalators '!$M$113:$S$113,0))</f>
        <v>1.0919411253473632</v>
      </c>
      <c r="S1419" s="257">
        <f t="shared" si="299"/>
        <v>0</v>
      </c>
      <c r="T1419" s="257">
        <f t="shared" si="300"/>
        <v>37165.83527021169</v>
      </c>
      <c r="U1419" s="269">
        <f t="shared" si="301"/>
        <v>24777.22351347447</v>
      </c>
      <c r="V1419" s="269">
        <f t="shared" si="302"/>
        <v>61943.05878368616</v>
      </c>
      <c r="W1419" s="269">
        <f t="shared" si="303"/>
        <v>24777.22351347447</v>
      </c>
      <c r="X1419" s="257">
        <f t="shared" si="304"/>
        <v>61943.05878368616</v>
      </c>
      <c r="Y1419" s="270">
        <f>IF(L1419="Complex",(INDEX('Escalators '!$M$176:$S$176,MATCH('Forecast capex'!J1419,'Escalators '!$M$178:$S$178,0))/12+1)^((K1419-J1419)*12)-1,0)</f>
        <v>0</v>
      </c>
      <c r="Z1419" s="257">
        <f t="shared" si="305"/>
        <v>0</v>
      </c>
      <c r="AA1419" s="257">
        <f t="shared" si="306"/>
        <v>0</v>
      </c>
      <c r="AB1419" s="269">
        <f t="shared" si="307"/>
        <v>0</v>
      </c>
      <c r="AC1419" s="269">
        <f t="shared" si="308"/>
        <v>0</v>
      </c>
      <c r="AD1419" s="271" t="str">
        <f>INDEX('Global inputs'!$C$134:$C$171,MATCH(F1419,'Global inputs'!$B$134:$B$171,0))</f>
        <v>Consumer connection</v>
      </c>
      <c r="AE1419" s="272">
        <f>IF(OR(H1419='Operating leases'!$B$32,H1419='Operating leases'!$B$33),"",INDEX('Global inputs'!$C$186:$C$243,MATCH(E1419,'Global inputs'!$B$186:$B$243,0)))</f>
        <v>0.08</v>
      </c>
    </row>
    <row r="1420" spans="1:31" s="27" customFormat="1" x14ac:dyDescent="0.2">
      <c r="A1420" s="250"/>
      <c r="B1420" s="210" t="s">
        <v>714</v>
      </c>
      <c r="C1420" s="210" t="s">
        <v>287</v>
      </c>
      <c r="D1420" s="210" t="s">
        <v>715</v>
      </c>
      <c r="E1420" s="210" t="s">
        <v>150</v>
      </c>
      <c r="F1420" s="210" t="s">
        <v>94</v>
      </c>
      <c r="G1420" s="210" t="s">
        <v>716</v>
      </c>
      <c r="H1420" s="197">
        <v>0</v>
      </c>
      <c r="I1420" s="210" t="s">
        <v>221</v>
      </c>
      <c r="J1420" s="210">
        <v>2025</v>
      </c>
      <c r="K1420" s="210">
        <v>2025</v>
      </c>
      <c r="L1420" s="268" t="str">
        <f t="shared" si="296"/>
        <v>Simple</v>
      </c>
      <c r="M1420" s="197">
        <v>22690.988495915884</v>
      </c>
      <c r="N1420" s="197">
        <v>34036.482743873821</v>
      </c>
      <c r="O1420" s="257">
        <f>IF(ISNA(MATCH(H1420,'Operating leases'!$B$32:$B$43,0)),0,INDEX('Operating leases'!$M$32:$S$43,MATCH(H1420,'Operating leases'!$B$32:$B$43,0),MATCH(J1420,'Operating leases'!$M$11:$S$11,0)))</f>
        <v>0</v>
      </c>
      <c r="P1420" s="257">
        <f t="shared" si="297"/>
        <v>22690.988495915884</v>
      </c>
      <c r="Q1420" s="257">
        <f t="shared" si="298"/>
        <v>56727.471239789709</v>
      </c>
      <c r="R1420" s="258">
        <f>INDEX('Escalators '!$M$124:$S$129,MATCH(I1420,'Escalators '!$B$124:$B$129,0),MATCH(J1420,'Escalators '!$M$113:$S$113,0))</f>
        <v>1.0867931559758131</v>
      </c>
      <c r="S1420" s="257">
        <f t="shared" si="299"/>
        <v>0</v>
      </c>
      <c r="T1420" s="257">
        <f t="shared" si="300"/>
        <v>36990.61649953093</v>
      </c>
      <c r="U1420" s="269">
        <f t="shared" si="301"/>
        <v>24660.410999687294</v>
      </c>
      <c r="V1420" s="269">
        <f t="shared" si="302"/>
        <v>61651.027499218224</v>
      </c>
      <c r="W1420" s="269">
        <f t="shared" si="303"/>
        <v>24660.410999687294</v>
      </c>
      <c r="X1420" s="257">
        <f t="shared" si="304"/>
        <v>61651.027499218224</v>
      </c>
      <c r="Y1420" s="270">
        <f>IF(L1420="Complex",(INDEX('Escalators '!$M$176:$S$176,MATCH('Forecast capex'!J1420,'Escalators '!$M$178:$S$178,0))/12+1)^((K1420-J1420)*12)-1,0)</f>
        <v>0</v>
      </c>
      <c r="Z1420" s="257">
        <f t="shared" si="305"/>
        <v>0</v>
      </c>
      <c r="AA1420" s="257">
        <f t="shared" si="306"/>
        <v>0</v>
      </c>
      <c r="AB1420" s="269">
        <f t="shared" si="307"/>
        <v>0</v>
      </c>
      <c r="AC1420" s="269">
        <f t="shared" si="308"/>
        <v>0</v>
      </c>
      <c r="AD1420" s="271" t="str">
        <f>INDEX('Global inputs'!$C$134:$C$171,MATCH(F1420,'Global inputs'!$B$134:$B$171,0))</f>
        <v>Consumer connection</v>
      </c>
      <c r="AE1420" s="272">
        <f>IF(OR(H1420='Operating leases'!$B$32,H1420='Operating leases'!$B$33),"",INDEX('Global inputs'!$C$186:$C$243,MATCH(E1420,'Global inputs'!$B$186:$B$243,0)))</f>
        <v>0.08</v>
      </c>
    </row>
    <row r="1421" spans="1:31" s="27" customFormat="1" x14ac:dyDescent="0.2">
      <c r="A1421" s="250"/>
      <c r="B1421" s="210" t="s">
        <v>714</v>
      </c>
      <c r="C1421" s="210" t="s">
        <v>287</v>
      </c>
      <c r="D1421" s="210" t="s">
        <v>715</v>
      </c>
      <c r="E1421" s="210" t="s">
        <v>151</v>
      </c>
      <c r="F1421" s="210" t="s">
        <v>94</v>
      </c>
      <c r="G1421" s="210" t="s">
        <v>716</v>
      </c>
      <c r="H1421" s="197">
        <v>0</v>
      </c>
      <c r="I1421" s="210" t="s">
        <v>229</v>
      </c>
      <c r="J1421" s="210">
        <v>2025</v>
      </c>
      <c r="K1421" s="210">
        <v>2025</v>
      </c>
      <c r="L1421" s="268" t="str">
        <f t="shared" si="296"/>
        <v>Simple</v>
      </c>
      <c r="M1421" s="197">
        <v>22690.988495915884</v>
      </c>
      <c r="N1421" s="197">
        <v>34036.482743873821</v>
      </c>
      <c r="O1421" s="257">
        <f>IF(ISNA(MATCH(H1421,'Operating leases'!$B$32:$B$43,0)),0,INDEX('Operating leases'!$M$32:$S$43,MATCH(H1421,'Operating leases'!$B$32:$B$43,0),MATCH(J1421,'Operating leases'!$M$11:$S$11,0)))</f>
        <v>0</v>
      </c>
      <c r="P1421" s="257">
        <f t="shared" si="297"/>
        <v>22690.988495915884</v>
      </c>
      <c r="Q1421" s="257">
        <f t="shared" si="298"/>
        <v>56727.471239789709</v>
      </c>
      <c r="R1421" s="258">
        <f>INDEX('Escalators '!$M$124:$S$129,MATCH(I1421,'Escalators '!$B$124:$B$129,0),MATCH(J1421,'Escalators '!$M$113:$S$113,0))</f>
        <v>1.0919411253473632</v>
      </c>
      <c r="S1421" s="257">
        <f t="shared" si="299"/>
        <v>0</v>
      </c>
      <c r="T1421" s="257">
        <f t="shared" si="300"/>
        <v>37165.83527021169</v>
      </c>
      <c r="U1421" s="269">
        <f t="shared" si="301"/>
        <v>24777.22351347447</v>
      </c>
      <c r="V1421" s="269">
        <f t="shared" si="302"/>
        <v>61943.05878368616</v>
      </c>
      <c r="W1421" s="269">
        <f t="shared" si="303"/>
        <v>24777.22351347447</v>
      </c>
      <c r="X1421" s="257">
        <f t="shared" si="304"/>
        <v>61943.05878368616</v>
      </c>
      <c r="Y1421" s="270">
        <f>IF(L1421="Complex",(INDEX('Escalators '!$M$176:$S$176,MATCH('Forecast capex'!J1421,'Escalators '!$M$178:$S$178,0))/12+1)^((K1421-J1421)*12)-1,0)</f>
        <v>0</v>
      </c>
      <c r="Z1421" s="257">
        <f t="shared" si="305"/>
        <v>0</v>
      </c>
      <c r="AA1421" s="257">
        <f t="shared" si="306"/>
        <v>0</v>
      </c>
      <c r="AB1421" s="269">
        <f t="shared" si="307"/>
        <v>0</v>
      </c>
      <c r="AC1421" s="269">
        <f t="shared" si="308"/>
        <v>0</v>
      </c>
      <c r="AD1421" s="271" t="str">
        <f>INDEX('Global inputs'!$C$134:$C$171,MATCH(F1421,'Global inputs'!$B$134:$B$171,0))</f>
        <v>Consumer connection</v>
      </c>
      <c r="AE1421" s="272">
        <f>IF(OR(H1421='Operating leases'!$B$32,H1421='Operating leases'!$B$33),"",INDEX('Global inputs'!$C$186:$C$243,MATCH(E1421,'Global inputs'!$B$186:$B$243,0)))</f>
        <v>0.1</v>
      </c>
    </row>
    <row r="1422" spans="1:31" s="27" customFormat="1" x14ac:dyDescent="0.2">
      <c r="A1422" s="250"/>
      <c r="B1422" s="210" t="s">
        <v>714</v>
      </c>
      <c r="C1422" s="210" t="s">
        <v>287</v>
      </c>
      <c r="D1422" s="210" t="s">
        <v>715</v>
      </c>
      <c r="E1422" s="210" t="s">
        <v>151</v>
      </c>
      <c r="F1422" s="210" t="s">
        <v>94</v>
      </c>
      <c r="G1422" s="210" t="s">
        <v>716</v>
      </c>
      <c r="H1422" s="197">
        <v>0</v>
      </c>
      <c r="I1422" s="210" t="s">
        <v>221</v>
      </c>
      <c r="J1422" s="210">
        <v>2025</v>
      </c>
      <c r="K1422" s="210">
        <v>2025</v>
      </c>
      <c r="L1422" s="268" t="str">
        <f t="shared" si="296"/>
        <v>Simple</v>
      </c>
      <c r="M1422" s="197">
        <v>22690.988495915884</v>
      </c>
      <c r="N1422" s="197">
        <v>34036.482743873821</v>
      </c>
      <c r="O1422" s="257">
        <f>IF(ISNA(MATCH(H1422,'Operating leases'!$B$32:$B$43,0)),0,INDEX('Operating leases'!$M$32:$S$43,MATCH(H1422,'Operating leases'!$B$32:$B$43,0),MATCH(J1422,'Operating leases'!$M$11:$S$11,0)))</f>
        <v>0</v>
      </c>
      <c r="P1422" s="257">
        <f t="shared" si="297"/>
        <v>22690.988495915884</v>
      </c>
      <c r="Q1422" s="257">
        <f t="shared" si="298"/>
        <v>56727.471239789709</v>
      </c>
      <c r="R1422" s="258">
        <f>INDEX('Escalators '!$M$124:$S$129,MATCH(I1422,'Escalators '!$B$124:$B$129,0),MATCH(J1422,'Escalators '!$M$113:$S$113,0))</f>
        <v>1.0867931559758131</v>
      </c>
      <c r="S1422" s="257">
        <f t="shared" si="299"/>
        <v>0</v>
      </c>
      <c r="T1422" s="257">
        <f t="shared" si="300"/>
        <v>36990.61649953093</v>
      </c>
      <c r="U1422" s="269">
        <f t="shared" si="301"/>
        <v>24660.410999687294</v>
      </c>
      <c r="V1422" s="269">
        <f t="shared" si="302"/>
        <v>61651.027499218224</v>
      </c>
      <c r="W1422" s="269">
        <f t="shared" si="303"/>
        <v>24660.410999687294</v>
      </c>
      <c r="X1422" s="257">
        <f t="shared" si="304"/>
        <v>61651.027499218224</v>
      </c>
      <c r="Y1422" s="270">
        <f>IF(L1422="Complex",(INDEX('Escalators '!$M$176:$S$176,MATCH('Forecast capex'!J1422,'Escalators '!$M$178:$S$178,0))/12+1)^((K1422-J1422)*12)-1,0)</f>
        <v>0</v>
      </c>
      <c r="Z1422" s="257">
        <f t="shared" si="305"/>
        <v>0</v>
      </c>
      <c r="AA1422" s="257">
        <f t="shared" si="306"/>
        <v>0</v>
      </c>
      <c r="AB1422" s="269">
        <f t="shared" si="307"/>
        <v>0</v>
      </c>
      <c r="AC1422" s="269">
        <f t="shared" si="308"/>
        <v>0</v>
      </c>
      <c r="AD1422" s="271" t="str">
        <f>INDEX('Global inputs'!$C$134:$C$171,MATCH(F1422,'Global inputs'!$B$134:$B$171,0))</f>
        <v>Consumer connection</v>
      </c>
      <c r="AE1422" s="272">
        <f>IF(OR(H1422='Operating leases'!$B$32,H1422='Operating leases'!$B$33),"",INDEX('Global inputs'!$C$186:$C$243,MATCH(E1422,'Global inputs'!$B$186:$B$243,0)))</f>
        <v>0.1</v>
      </c>
    </row>
    <row r="1423" spans="1:31" s="27" customFormat="1" x14ac:dyDescent="0.2">
      <c r="A1423" s="250"/>
      <c r="B1423" s="210" t="s">
        <v>714</v>
      </c>
      <c r="C1423" s="210" t="s">
        <v>287</v>
      </c>
      <c r="D1423" s="210" t="s">
        <v>715</v>
      </c>
      <c r="E1423" s="210" t="s">
        <v>153</v>
      </c>
      <c r="F1423" s="210" t="s">
        <v>94</v>
      </c>
      <c r="G1423" s="210" t="s">
        <v>716</v>
      </c>
      <c r="H1423" s="197">
        <v>0</v>
      </c>
      <c r="I1423" s="210" t="s">
        <v>229</v>
      </c>
      <c r="J1423" s="210">
        <v>2025</v>
      </c>
      <c r="K1423" s="210">
        <v>2025</v>
      </c>
      <c r="L1423" s="268" t="str">
        <f t="shared" si="296"/>
        <v>Simple</v>
      </c>
      <c r="M1423" s="197">
        <v>8849.485513407195</v>
      </c>
      <c r="N1423" s="197">
        <v>13274.228270110791</v>
      </c>
      <c r="O1423" s="257">
        <f>IF(ISNA(MATCH(H1423,'Operating leases'!$B$32:$B$43,0)),0,INDEX('Operating leases'!$M$32:$S$43,MATCH(H1423,'Operating leases'!$B$32:$B$43,0),MATCH(J1423,'Operating leases'!$M$11:$S$11,0)))</f>
        <v>0</v>
      </c>
      <c r="P1423" s="257">
        <f t="shared" si="297"/>
        <v>8849.485513407195</v>
      </c>
      <c r="Q1423" s="257">
        <f t="shared" si="298"/>
        <v>22123.713783517986</v>
      </c>
      <c r="R1423" s="258">
        <f>INDEX('Escalators '!$M$124:$S$129,MATCH(I1423,'Escalators '!$B$124:$B$129,0),MATCH(J1423,'Escalators '!$M$113:$S$113,0))</f>
        <v>1.0919411253473632</v>
      </c>
      <c r="S1423" s="257">
        <f t="shared" si="299"/>
        <v>0</v>
      </c>
      <c r="T1423" s="257">
        <f t="shared" si="300"/>
        <v>14494.675755382559</v>
      </c>
      <c r="U1423" s="269">
        <f t="shared" si="301"/>
        <v>9663.1171702550419</v>
      </c>
      <c r="V1423" s="269">
        <f t="shared" si="302"/>
        <v>24157.792925637601</v>
      </c>
      <c r="W1423" s="269">
        <f t="shared" si="303"/>
        <v>9663.1171702550419</v>
      </c>
      <c r="X1423" s="257">
        <f t="shared" si="304"/>
        <v>24157.792925637601</v>
      </c>
      <c r="Y1423" s="270">
        <f>IF(L1423="Complex",(INDEX('Escalators '!$M$176:$S$176,MATCH('Forecast capex'!J1423,'Escalators '!$M$178:$S$178,0))/12+1)^((K1423-J1423)*12)-1,0)</f>
        <v>0</v>
      </c>
      <c r="Z1423" s="257">
        <f t="shared" si="305"/>
        <v>0</v>
      </c>
      <c r="AA1423" s="257">
        <f t="shared" si="306"/>
        <v>0</v>
      </c>
      <c r="AB1423" s="269">
        <f t="shared" si="307"/>
        <v>0</v>
      </c>
      <c r="AC1423" s="269">
        <f t="shared" si="308"/>
        <v>0</v>
      </c>
      <c r="AD1423" s="271" t="str">
        <f>INDEX('Global inputs'!$C$134:$C$171,MATCH(F1423,'Global inputs'!$B$134:$B$171,0))</f>
        <v>Consumer connection</v>
      </c>
      <c r="AE1423" s="272">
        <f>IF(OR(H1423='Operating leases'!$B$32,H1423='Operating leases'!$B$33),"",INDEX('Global inputs'!$C$186:$C$243,MATCH(E1423,'Global inputs'!$B$186:$B$243,0)))</f>
        <v>0.08</v>
      </c>
    </row>
    <row r="1424" spans="1:31" s="27" customFormat="1" x14ac:dyDescent="0.2">
      <c r="A1424" s="250"/>
      <c r="B1424" s="210" t="s">
        <v>714</v>
      </c>
      <c r="C1424" s="210" t="s">
        <v>287</v>
      </c>
      <c r="D1424" s="210" t="s">
        <v>715</v>
      </c>
      <c r="E1424" s="210" t="s">
        <v>153</v>
      </c>
      <c r="F1424" s="210" t="s">
        <v>94</v>
      </c>
      <c r="G1424" s="210" t="s">
        <v>716</v>
      </c>
      <c r="H1424" s="197">
        <v>0</v>
      </c>
      <c r="I1424" s="210" t="s">
        <v>221</v>
      </c>
      <c r="J1424" s="210">
        <v>2025</v>
      </c>
      <c r="K1424" s="210">
        <v>2025</v>
      </c>
      <c r="L1424" s="268" t="str">
        <f t="shared" si="296"/>
        <v>Simple</v>
      </c>
      <c r="M1424" s="197">
        <v>8849.485513407195</v>
      </c>
      <c r="N1424" s="197">
        <v>13274.228270110791</v>
      </c>
      <c r="O1424" s="257">
        <f>IF(ISNA(MATCH(H1424,'Operating leases'!$B$32:$B$43,0)),0,INDEX('Operating leases'!$M$32:$S$43,MATCH(H1424,'Operating leases'!$B$32:$B$43,0),MATCH(J1424,'Operating leases'!$M$11:$S$11,0)))</f>
        <v>0</v>
      </c>
      <c r="P1424" s="257">
        <f t="shared" si="297"/>
        <v>8849.485513407195</v>
      </c>
      <c r="Q1424" s="257">
        <f t="shared" si="298"/>
        <v>22123.713783517986</v>
      </c>
      <c r="R1424" s="258">
        <f>INDEX('Escalators '!$M$124:$S$129,MATCH(I1424,'Escalators '!$B$124:$B$129,0),MATCH(J1424,'Escalators '!$M$113:$S$113,0))</f>
        <v>1.0867931559758131</v>
      </c>
      <c r="S1424" s="257">
        <f t="shared" si="299"/>
        <v>0</v>
      </c>
      <c r="T1424" s="257">
        <f t="shared" si="300"/>
        <v>14426.340434817064</v>
      </c>
      <c r="U1424" s="269">
        <f t="shared" si="301"/>
        <v>9617.5602898780435</v>
      </c>
      <c r="V1424" s="269">
        <f t="shared" si="302"/>
        <v>24043.900724695108</v>
      </c>
      <c r="W1424" s="269">
        <f t="shared" si="303"/>
        <v>9617.5602898780435</v>
      </c>
      <c r="X1424" s="257">
        <f t="shared" si="304"/>
        <v>24043.900724695108</v>
      </c>
      <c r="Y1424" s="270">
        <f>IF(L1424="Complex",(INDEX('Escalators '!$M$176:$S$176,MATCH('Forecast capex'!J1424,'Escalators '!$M$178:$S$178,0))/12+1)^((K1424-J1424)*12)-1,0)</f>
        <v>0</v>
      </c>
      <c r="Z1424" s="257">
        <f t="shared" si="305"/>
        <v>0</v>
      </c>
      <c r="AA1424" s="257">
        <f t="shared" si="306"/>
        <v>0</v>
      </c>
      <c r="AB1424" s="269">
        <f t="shared" si="307"/>
        <v>0</v>
      </c>
      <c r="AC1424" s="269">
        <f t="shared" si="308"/>
        <v>0</v>
      </c>
      <c r="AD1424" s="271" t="str">
        <f>INDEX('Global inputs'!$C$134:$C$171,MATCH(F1424,'Global inputs'!$B$134:$B$171,0))</f>
        <v>Consumer connection</v>
      </c>
      <c r="AE1424" s="272">
        <f>IF(OR(H1424='Operating leases'!$B$32,H1424='Operating leases'!$B$33),"",INDEX('Global inputs'!$C$186:$C$243,MATCH(E1424,'Global inputs'!$B$186:$B$243,0)))</f>
        <v>0.08</v>
      </c>
    </row>
    <row r="1425" spans="1:31" s="27" customFormat="1" x14ac:dyDescent="0.2">
      <c r="A1425" s="250"/>
      <c r="B1425" s="210" t="s">
        <v>714</v>
      </c>
      <c r="C1425" s="210" t="s">
        <v>287</v>
      </c>
      <c r="D1425" s="210" t="s">
        <v>715</v>
      </c>
      <c r="E1425" s="210" t="s">
        <v>154</v>
      </c>
      <c r="F1425" s="210" t="s">
        <v>94</v>
      </c>
      <c r="G1425" s="210" t="s">
        <v>716</v>
      </c>
      <c r="H1425" s="197">
        <v>0</v>
      </c>
      <c r="I1425" s="210" t="s">
        <v>229</v>
      </c>
      <c r="J1425" s="210">
        <v>2025</v>
      </c>
      <c r="K1425" s="210">
        <v>2025</v>
      </c>
      <c r="L1425" s="268" t="str">
        <f t="shared" si="296"/>
        <v>Simple</v>
      </c>
      <c r="M1425" s="197">
        <v>8849.485513407195</v>
      </c>
      <c r="N1425" s="197">
        <v>13274.228270110791</v>
      </c>
      <c r="O1425" s="257">
        <f>IF(ISNA(MATCH(H1425,'Operating leases'!$B$32:$B$43,0)),0,INDEX('Operating leases'!$M$32:$S$43,MATCH(H1425,'Operating leases'!$B$32:$B$43,0),MATCH(J1425,'Operating leases'!$M$11:$S$11,0)))</f>
        <v>0</v>
      </c>
      <c r="P1425" s="257">
        <f t="shared" si="297"/>
        <v>8849.485513407195</v>
      </c>
      <c r="Q1425" s="257">
        <f t="shared" si="298"/>
        <v>22123.713783517986</v>
      </c>
      <c r="R1425" s="258">
        <f>INDEX('Escalators '!$M$124:$S$129,MATCH(I1425,'Escalators '!$B$124:$B$129,0),MATCH(J1425,'Escalators '!$M$113:$S$113,0))</f>
        <v>1.0919411253473632</v>
      </c>
      <c r="S1425" s="257">
        <f t="shared" si="299"/>
        <v>0</v>
      </c>
      <c r="T1425" s="257">
        <f t="shared" si="300"/>
        <v>14494.675755382559</v>
      </c>
      <c r="U1425" s="269">
        <f t="shared" si="301"/>
        <v>9663.1171702550419</v>
      </c>
      <c r="V1425" s="269">
        <f t="shared" si="302"/>
        <v>24157.792925637601</v>
      </c>
      <c r="W1425" s="269">
        <f t="shared" si="303"/>
        <v>9663.1171702550419</v>
      </c>
      <c r="X1425" s="257">
        <f t="shared" si="304"/>
        <v>24157.792925637601</v>
      </c>
      <c r="Y1425" s="270">
        <f>IF(L1425="Complex",(INDEX('Escalators '!$M$176:$S$176,MATCH('Forecast capex'!J1425,'Escalators '!$M$178:$S$178,0))/12+1)^((K1425-J1425)*12)-1,0)</f>
        <v>0</v>
      </c>
      <c r="Z1425" s="257">
        <f t="shared" si="305"/>
        <v>0</v>
      </c>
      <c r="AA1425" s="257">
        <f t="shared" si="306"/>
        <v>0</v>
      </c>
      <c r="AB1425" s="269">
        <f t="shared" si="307"/>
        <v>0</v>
      </c>
      <c r="AC1425" s="269">
        <f t="shared" si="308"/>
        <v>0</v>
      </c>
      <c r="AD1425" s="271" t="str">
        <f>INDEX('Global inputs'!$C$134:$C$171,MATCH(F1425,'Global inputs'!$B$134:$B$171,0))</f>
        <v>Consumer connection</v>
      </c>
      <c r="AE1425" s="272">
        <f>IF(OR(H1425='Operating leases'!$B$32,H1425='Operating leases'!$B$33),"",INDEX('Global inputs'!$C$186:$C$243,MATCH(E1425,'Global inputs'!$B$186:$B$243,0)))</f>
        <v>0.1</v>
      </c>
    </row>
    <row r="1426" spans="1:31" s="27" customFormat="1" x14ac:dyDescent="0.2">
      <c r="A1426" s="250"/>
      <c r="B1426" s="210" t="s">
        <v>714</v>
      </c>
      <c r="C1426" s="210" t="s">
        <v>287</v>
      </c>
      <c r="D1426" s="210" t="s">
        <v>715</v>
      </c>
      <c r="E1426" s="210" t="s">
        <v>154</v>
      </c>
      <c r="F1426" s="210" t="s">
        <v>94</v>
      </c>
      <c r="G1426" s="210" t="s">
        <v>716</v>
      </c>
      <c r="H1426" s="197">
        <v>0</v>
      </c>
      <c r="I1426" s="210" t="s">
        <v>221</v>
      </c>
      <c r="J1426" s="210">
        <v>2025</v>
      </c>
      <c r="K1426" s="210">
        <v>2025</v>
      </c>
      <c r="L1426" s="268" t="str">
        <f t="shared" si="296"/>
        <v>Simple</v>
      </c>
      <c r="M1426" s="197">
        <v>8849.485513407195</v>
      </c>
      <c r="N1426" s="197">
        <v>13274.228270110791</v>
      </c>
      <c r="O1426" s="257">
        <f>IF(ISNA(MATCH(H1426,'Operating leases'!$B$32:$B$43,0)),0,INDEX('Operating leases'!$M$32:$S$43,MATCH(H1426,'Operating leases'!$B$32:$B$43,0),MATCH(J1426,'Operating leases'!$M$11:$S$11,0)))</f>
        <v>0</v>
      </c>
      <c r="P1426" s="257">
        <f t="shared" si="297"/>
        <v>8849.485513407195</v>
      </c>
      <c r="Q1426" s="257">
        <f t="shared" si="298"/>
        <v>22123.713783517986</v>
      </c>
      <c r="R1426" s="258">
        <f>INDEX('Escalators '!$M$124:$S$129,MATCH(I1426,'Escalators '!$B$124:$B$129,0),MATCH(J1426,'Escalators '!$M$113:$S$113,0))</f>
        <v>1.0867931559758131</v>
      </c>
      <c r="S1426" s="257">
        <f t="shared" si="299"/>
        <v>0</v>
      </c>
      <c r="T1426" s="257">
        <f t="shared" si="300"/>
        <v>14426.340434817064</v>
      </c>
      <c r="U1426" s="269">
        <f t="shared" si="301"/>
        <v>9617.5602898780435</v>
      </c>
      <c r="V1426" s="269">
        <f t="shared" si="302"/>
        <v>24043.900724695108</v>
      </c>
      <c r="W1426" s="269">
        <f t="shared" si="303"/>
        <v>9617.5602898780435</v>
      </c>
      <c r="X1426" s="257">
        <f t="shared" si="304"/>
        <v>24043.900724695108</v>
      </c>
      <c r="Y1426" s="270">
        <f>IF(L1426="Complex",(INDEX('Escalators '!$M$176:$S$176,MATCH('Forecast capex'!J1426,'Escalators '!$M$178:$S$178,0))/12+1)^((K1426-J1426)*12)-1,0)</f>
        <v>0</v>
      </c>
      <c r="Z1426" s="257">
        <f t="shared" si="305"/>
        <v>0</v>
      </c>
      <c r="AA1426" s="257">
        <f t="shared" si="306"/>
        <v>0</v>
      </c>
      <c r="AB1426" s="269">
        <f t="shared" si="307"/>
        <v>0</v>
      </c>
      <c r="AC1426" s="269">
        <f t="shared" si="308"/>
        <v>0</v>
      </c>
      <c r="AD1426" s="271" t="str">
        <f>INDEX('Global inputs'!$C$134:$C$171,MATCH(F1426,'Global inputs'!$B$134:$B$171,0))</f>
        <v>Consumer connection</v>
      </c>
      <c r="AE1426" s="272">
        <f>IF(OR(H1426='Operating leases'!$B$32,H1426='Operating leases'!$B$33),"",INDEX('Global inputs'!$C$186:$C$243,MATCH(E1426,'Global inputs'!$B$186:$B$243,0)))</f>
        <v>0.1</v>
      </c>
    </row>
    <row r="1427" spans="1:31" s="27" customFormat="1" x14ac:dyDescent="0.2">
      <c r="A1427" s="250"/>
      <c r="B1427" s="210" t="s">
        <v>714</v>
      </c>
      <c r="C1427" s="210" t="s">
        <v>284</v>
      </c>
      <c r="D1427" s="210" t="s">
        <v>715</v>
      </c>
      <c r="E1427" s="210" t="s">
        <v>127</v>
      </c>
      <c r="F1427" s="210" t="s">
        <v>94</v>
      </c>
      <c r="G1427" s="210" t="s">
        <v>717</v>
      </c>
      <c r="H1427" s="197">
        <v>0</v>
      </c>
      <c r="I1427" s="210" t="s">
        <v>229</v>
      </c>
      <c r="J1427" s="210">
        <v>2025</v>
      </c>
      <c r="K1427" s="210">
        <v>2025</v>
      </c>
      <c r="L1427" s="268" t="str">
        <f t="shared" si="296"/>
        <v>Simple</v>
      </c>
      <c r="M1427" s="197">
        <v>226.9098849591588</v>
      </c>
      <c r="N1427" s="197">
        <v>340.36482743873819</v>
      </c>
      <c r="O1427" s="257">
        <f>IF(ISNA(MATCH(H1427,'Operating leases'!$B$32:$B$43,0)),0,INDEX('Operating leases'!$M$32:$S$43,MATCH(H1427,'Operating leases'!$B$32:$B$43,0),MATCH(J1427,'Operating leases'!$M$11:$S$11,0)))</f>
        <v>0</v>
      </c>
      <c r="P1427" s="257">
        <f t="shared" si="297"/>
        <v>226.9098849591588</v>
      </c>
      <c r="Q1427" s="257">
        <f t="shared" si="298"/>
        <v>567.27471239789702</v>
      </c>
      <c r="R1427" s="258">
        <f>INDEX('Escalators '!$M$124:$S$129,MATCH(I1427,'Escalators '!$B$124:$B$129,0),MATCH(J1427,'Escalators '!$M$113:$S$113,0))</f>
        <v>1.0919411253473632</v>
      </c>
      <c r="S1427" s="257">
        <f t="shared" si="299"/>
        <v>0</v>
      </c>
      <c r="T1427" s="257">
        <f t="shared" si="300"/>
        <v>371.65835270211687</v>
      </c>
      <c r="U1427" s="269">
        <f t="shared" si="301"/>
        <v>247.77223513474462</v>
      </c>
      <c r="V1427" s="269">
        <f t="shared" si="302"/>
        <v>619.43058783686149</v>
      </c>
      <c r="W1427" s="269">
        <f t="shared" si="303"/>
        <v>247.77223513474462</v>
      </c>
      <c r="X1427" s="257">
        <f t="shared" si="304"/>
        <v>619.43058783686149</v>
      </c>
      <c r="Y1427" s="270">
        <f>IF(L1427="Complex",(INDEX('Escalators '!$M$176:$S$176,MATCH('Forecast capex'!J1427,'Escalators '!$M$178:$S$178,0))/12+1)^((K1427-J1427)*12)-1,0)</f>
        <v>0</v>
      </c>
      <c r="Z1427" s="257">
        <f t="shared" si="305"/>
        <v>0</v>
      </c>
      <c r="AA1427" s="257">
        <f t="shared" si="306"/>
        <v>0</v>
      </c>
      <c r="AB1427" s="269">
        <f t="shared" si="307"/>
        <v>0</v>
      </c>
      <c r="AC1427" s="269">
        <f t="shared" si="308"/>
        <v>0</v>
      </c>
      <c r="AD1427" s="271" t="str">
        <f>INDEX('Global inputs'!$C$134:$C$171,MATCH(F1427,'Global inputs'!$B$134:$B$171,0))</f>
        <v>Consumer connection</v>
      </c>
      <c r="AE1427" s="272">
        <f>IF(OR(H1427='Operating leases'!$B$32,H1427='Operating leases'!$B$33),"",INDEX('Global inputs'!$C$186:$C$243,MATCH(E1427,'Global inputs'!$B$186:$B$243,0)))</f>
        <v>0.08</v>
      </c>
    </row>
    <row r="1428" spans="1:31" s="27" customFormat="1" x14ac:dyDescent="0.2">
      <c r="A1428" s="250"/>
      <c r="B1428" s="210" t="s">
        <v>714</v>
      </c>
      <c r="C1428" s="210" t="s">
        <v>284</v>
      </c>
      <c r="D1428" s="210" t="s">
        <v>715</v>
      </c>
      <c r="E1428" s="210" t="s">
        <v>127</v>
      </c>
      <c r="F1428" s="210" t="s">
        <v>94</v>
      </c>
      <c r="G1428" s="210" t="s">
        <v>717</v>
      </c>
      <c r="H1428" s="197">
        <v>0</v>
      </c>
      <c r="I1428" s="210" t="s">
        <v>221</v>
      </c>
      <c r="J1428" s="210">
        <v>2025</v>
      </c>
      <c r="K1428" s="210">
        <v>2025</v>
      </c>
      <c r="L1428" s="268" t="str">
        <f t="shared" si="296"/>
        <v>Simple</v>
      </c>
      <c r="M1428" s="197">
        <v>226.9098849591588</v>
      </c>
      <c r="N1428" s="197">
        <v>340.36482743873819</v>
      </c>
      <c r="O1428" s="257">
        <f>IF(ISNA(MATCH(H1428,'Operating leases'!$B$32:$B$43,0)),0,INDEX('Operating leases'!$M$32:$S$43,MATCH(H1428,'Operating leases'!$B$32:$B$43,0),MATCH(J1428,'Operating leases'!$M$11:$S$11,0)))</f>
        <v>0</v>
      </c>
      <c r="P1428" s="257">
        <f t="shared" si="297"/>
        <v>226.9098849591588</v>
      </c>
      <c r="Q1428" s="257">
        <f t="shared" si="298"/>
        <v>567.27471239789702</v>
      </c>
      <c r="R1428" s="258">
        <f>INDEX('Escalators '!$M$124:$S$129,MATCH(I1428,'Escalators '!$B$124:$B$129,0),MATCH(J1428,'Escalators '!$M$113:$S$113,0))</f>
        <v>1.0867931559758131</v>
      </c>
      <c r="S1428" s="257">
        <f t="shared" si="299"/>
        <v>0</v>
      </c>
      <c r="T1428" s="257">
        <f t="shared" si="300"/>
        <v>369.90616499530927</v>
      </c>
      <c r="U1428" s="269">
        <f t="shared" si="301"/>
        <v>246.60410999687292</v>
      </c>
      <c r="V1428" s="269">
        <f t="shared" si="302"/>
        <v>616.51027499218219</v>
      </c>
      <c r="W1428" s="269">
        <f t="shared" si="303"/>
        <v>246.60410999687292</v>
      </c>
      <c r="X1428" s="257">
        <f t="shared" si="304"/>
        <v>616.51027499218219</v>
      </c>
      <c r="Y1428" s="270">
        <f>IF(L1428="Complex",(INDEX('Escalators '!$M$176:$S$176,MATCH('Forecast capex'!J1428,'Escalators '!$M$178:$S$178,0))/12+1)^((K1428-J1428)*12)-1,0)</f>
        <v>0</v>
      </c>
      <c r="Z1428" s="257">
        <f t="shared" si="305"/>
        <v>0</v>
      </c>
      <c r="AA1428" s="257">
        <f t="shared" si="306"/>
        <v>0</v>
      </c>
      <c r="AB1428" s="269">
        <f t="shared" si="307"/>
        <v>0</v>
      </c>
      <c r="AC1428" s="269">
        <f t="shared" si="308"/>
        <v>0</v>
      </c>
      <c r="AD1428" s="271" t="str">
        <f>INDEX('Global inputs'!$C$134:$C$171,MATCH(F1428,'Global inputs'!$B$134:$B$171,0))</f>
        <v>Consumer connection</v>
      </c>
      <c r="AE1428" s="272">
        <f>IF(OR(H1428='Operating leases'!$B$32,H1428='Operating leases'!$B$33),"",INDEX('Global inputs'!$C$186:$C$243,MATCH(E1428,'Global inputs'!$B$186:$B$243,0)))</f>
        <v>0.08</v>
      </c>
    </row>
    <row r="1429" spans="1:31" s="27" customFormat="1" x14ac:dyDescent="0.2">
      <c r="A1429" s="250"/>
      <c r="B1429" s="210" t="s">
        <v>714</v>
      </c>
      <c r="C1429" s="210" t="s">
        <v>284</v>
      </c>
      <c r="D1429" s="210" t="s">
        <v>715</v>
      </c>
      <c r="E1429" s="210" t="s">
        <v>129</v>
      </c>
      <c r="F1429" s="210" t="s">
        <v>94</v>
      </c>
      <c r="G1429" s="210" t="s">
        <v>717</v>
      </c>
      <c r="H1429" s="197">
        <v>0</v>
      </c>
      <c r="I1429" s="210" t="s">
        <v>229</v>
      </c>
      <c r="J1429" s="210">
        <v>2025</v>
      </c>
      <c r="K1429" s="210">
        <v>2025</v>
      </c>
      <c r="L1429" s="268" t="str">
        <f t="shared" si="296"/>
        <v>Simple</v>
      </c>
      <c r="M1429" s="197">
        <v>226.9098849591588</v>
      </c>
      <c r="N1429" s="197">
        <v>340.36482743873819</v>
      </c>
      <c r="O1429" s="257">
        <f>IF(ISNA(MATCH(H1429,'Operating leases'!$B$32:$B$43,0)),0,INDEX('Operating leases'!$M$32:$S$43,MATCH(H1429,'Operating leases'!$B$32:$B$43,0),MATCH(J1429,'Operating leases'!$M$11:$S$11,0)))</f>
        <v>0</v>
      </c>
      <c r="P1429" s="257">
        <f t="shared" si="297"/>
        <v>226.9098849591588</v>
      </c>
      <c r="Q1429" s="257">
        <f t="shared" si="298"/>
        <v>567.27471239789702</v>
      </c>
      <c r="R1429" s="258">
        <f>INDEX('Escalators '!$M$124:$S$129,MATCH(I1429,'Escalators '!$B$124:$B$129,0),MATCH(J1429,'Escalators '!$M$113:$S$113,0))</f>
        <v>1.0919411253473632</v>
      </c>
      <c r="S1429" s="257">
        <f t="shared" si="299"/>
        <v>0</v>
      </c>
      <c r="T1429" s="257">
        <f t="shared" si="300"/>
        <v>371.65835270211687</v>
      </c>
      <c r="U1429" s="269">
        <f t="shared" si="301"/>
        <v>247.77223513474462</v>
      </c>
      <c r="V1429" s="269">
        <f t="shared" si="302"/>
        <v>619.43058783686149</v>
      </c>
      <c r="W1429" s="269">
        <f t="shared" si="303"/>
        <v>247.77223513474462</v>
      </c>
      <c r="X1429" s="257">
        <f t="shared" si="304"/>
        <v>619.43058783686149</v>
      </c>
      <c r="Y1429" s="270">
        <f>IF(L1429="Complex",(INDEX('Escalators '!$M$176:$S$176,MATCH('Forecast capex'!J1429,'Escalators '!$M$178:$S$178,0))/12+1)^((K1429-J1429)*12)-1,0)</f>
        <v>0</v>
      </c>
      <c r="Z1429" s="257">
        <f t="shared" si="305"/>
        <v>0</v>
      </c>
      <c r="AA1429" s="257">
        <f t="shared" si="306"/>
        <v>0</v>
      </c>
      <c r="AB1429" s="269">
        <f t="shared" si="307"/>
        <v>0</v>
      </c>
      <c r="AC1429" s="269">
        <f t="shared" si="308"/>
        <v>0</v>
      </c>
      <c r="AD1429" s="271" t="str">
        <f>INDEX('Global inputs'!$C$134:$C$171,MATCH(F1429,'Global inputs'!$B$134:$B$171,0))</f>
        <v>Consumer connection</v>
      </c>
      <c r="AE1429" s="272">
        <f>IF(OR(H1429='Operating leases'!$B$32,H1429='Operating leases'!$B$33),"",INDEX('Global inputs'!$C$186:$C$243,MATCH(E1429,'Global inputs'!$B$186:$B$243,0)))</f>
        <v>0.1</v>
      </c>
    </row>
    <row r="1430" spans="1:31" s="27" customFormat="1" x14ac:dyDescent="0.2">
      <c r="A1430" s="250"/>
      <c r="B1430" s="210" t="s">
        <v>714</v>
      </c>
      <c r="C1430" s="210" t="s">
        <v>284</v>
      </c>
      <c r="D1430" s="210" t="s">
        <v>715</v>
      </c>
      <c r="E1430" s="210" t="s">
        <v>129</v>
      </c>
      <c r="F1430" s="210" t="s">
        <v>94</v>
      </c>
      <c r="G1430" s="210" t="s">
        <v>717</v>
      </c>
      <c r="H1430" s="197">
        <v>0</v>
      </c>
      <c r="I1430" s="210" t="s">
        <v>221</v>
      </c>
      <c r="J1430" s="210">
        <v>2025</v>
      </c>
      <c r="K1430" s="210">
        <v>2025</v>
      </c>
      <c r="L1430" s="268" t="str">
        <f t="shared" si="296"/>
        <v>Simple</v>
      </c>
      <c r="M1430" s="197">
        <v>226.9098849591588</v>
      </c>
      <c r="N1430" s="197">
        <v>340.36482743873819</v>
      </c>
      <c r="O1430" s="257">
        <f>IF(ISNA(MATCH(H1430,'Operating leases'!$B$32:$B$43,0)),0,INDEX('Operating leases'!$M$32:$S$43,MATCH(H1430,'Operating leases'!$B$32:$B$43,0),MATCH(J1430,'Operating leases'!$M$11:$S$11,0)))</f>
        <v>0</v>
      </c>
      <c r="P1430" s="257">
        <f t="shared" si="297"/>
        <v>226.9098849591588</v>
      </c>
      <c r="Q1430" s="257">
        <f t="shared" si="298"/>
        <v>567.27471239789702</v>
      </c>
      <c r="R1430" s="258">
        <f>INDEX('Escalators '!$M$124:$S$129,MATCH(I1430,'Escalators '!$B$124:$B$129,0),MATCH(J1430,'Escalators '!$M$113:$S$113,0))</f>
        <v>1.0867931559758131</v>
      </c>
      <c r="S1430" s="257">
        <f t="shared" si="299"/>
        <v>0</v>
      </c>
      <c r="T1430" s="257">
        <f t="shared" si="300"/>
        <v>369.90616499530927</v>
      </c>
      <c r="U1430" s="269">
        <f t="shared" si="301"/>
        <v>246.60410999687292</v>
      </c>
      <c r="V1430" s="269">
        <f t="shared" si="302"/>
        <v>616.51027499218219</v>
      </c>
      <c r="W1430" s="269">
        <f t="shared" si="303"/>
        <v>246.60410999687292</v>
      </c>
      <c r="X1430" s="257">
        <f t="shared" si="304"/>
        <v>616.51027499218219</v>
      </c>
      <c r="Y1430" s="270">
        <f>IF(L1430="Complex",(INDEX('Escalators '!$M$176:$S$176,MATCH('Forecast capex'!J1430,'Escalators '!$M$178:$S$178,0))/12+1)^((K1430-J1430)*12)-1,0)</f>
        <v>0</v>
      </c>
      <c r="Z1430" s="257">
        <f t="shared" si="305"/>
        <v>0</v>
      </c>
      <c r="AA1430" s="257">
        <f t="shared" si="306"/>
        <v>0</v>
      </c>
      <c r="AB1430" s="269">
        <f t="shared" si="307"/>
        <v>0</v>
      </c>
      <c r="AC1430" s="269">
        <f t="shared" si="308"/>
        <v>0</v>
      </c>
      <c r="AD1430" s="271" t="str">
        <f>INDEX('Global inputs'!$C$134:$C$171,MATCH(F1430,'Global inputs'!$B$134:$B$171,0))</f>
        <v>Consumer connection</v>
      </c>
      <c r="AE1430" s="272">
        <f>IF(OR(H1430='Operating leases'!$B$32,H1430='Operating leases'!$B$33),"",INDEX('Global inputs'!$C$186:$C$243,MATCH(E1430,'Global inputs'!$B$186:$B$243,0)))</f>
        <v>0.1</v>
      </c>
    </row>
    <row r="1431" spans="1:31" s="27" customFormat="1" x14ac:dyDescent="0.2">
      <c r="A1431" s="250"/>
      <c r="B1431" s="210" t="s">
        <v>714</v>
      </c>
      <c r="C1431" s="210" t="s">
        <v>287</v>
      </c>
      <c r="D1431" s="210" t="s">
        <v>715</v>
      </c>
      <c r="E1431" s="210" t="s">
        <v>150</v>
      </c>
      <c r="F1431" s="210" t="s">
        <v>94</v>
      </c>
      <c r="G1431" s="210" t="s">
        <v>717</v>
      </c>
      <c r="H1431" s="197">
        <v>0</v>
      </c>
      <c r="I1431" s="210" t="s">
        <v>229</v>
      </c>
      <c r="J1431" s="210">
        <v>2025</v>
      </c>
      <c r="K1431" s="210">
        <v>2025</v>
      </c>
      <c r="L1431" s="268" t="str">
        <f t="shared" si="296"/>
        <v>Simple</v>
      </c>
      <c r="M1431" s="197">
        <v>13614.593097549528</v>
      </c>
      <c r="N1431" s="197">
        <v>20421.889646324293</v>
      </c>
      <c r="O1431" s="257">
        <f>IF(ISNA(MATCH(H1431,'Operating leases'!$B$32:$B$43,0)),0,INDEX('Operating leases'!$M$32:$S$43,MATCH(H1431,'Operating leases'!$B$32:$B$43,0),MATCH(J1431,'Operating leases'!$M$11:$S$11,0)))</f>
        <v>0</v>
      </c>
      <c r="P1431" s="257">
        <f t="shared" si="297"/>
        <v>13614.593097549528</v>
      </c>
      <c r="Q1431" s="257">
        <f t="shared" si="298"/>
        <v>34036.482743873821</v>
      </c>
      <c r="R1431" s="258">
        <f>INDEX('Escalators '!$M$124:$S$129,MATCH(I1431,'Escalators '!$B$124:$B$129,0),MATCH(J1431,'Escalators '!$M$113:$S$113,0))</f>
        <v>1.0919411253473632</v>
      </c>
      <c r="S1431" s="257">
        <f t="shared" si="299"/>
        <v>0</v>
      </c>
      <c r="T1431" s="257">
        <f t="shared" si="300"/>
        <v>22299.501162127013</v>
      </c>
      <c r="U1431" s="269">
        <f t="shared" si="301"/>
        <v>14866.334108084677</v>
      </c>
      <c r="V1431" s="269">
        <f t="shared" si="302"/>
        <v>37165.83527021169</v>
      </c>
      <c r="W1431" s="269">
        <f t="shared" si="303"/>
        <v>14866.334108084677</v>
      </c>
      <c r="X1431" s="257">
        <f t="shared" si="304"/>
        <v>37165.83527021169</v>
      </c>
      <c r="Y1431" s="270">
        <f>IF(L1431="Complex",(INDEX('Escalators '!$M$176:$S$176,MATCH('Forecast capex'!J1431,'Escalators '!$M$178:$S$178,0))/12+1)^((K1431-J1431)*12)-1,0)</f>
        <v>0</v>
      </c>
      <c r="Z1431" s="257">
        <f t="shared" si="305"/>
        <v>0</v>
      </c>
      <c r="AA1431" s="257">
        <f t="shared" si="306"/>
        <v>0</v>
      </c>
      <c r="AB1431" s="269">
        <f t="shared" si="307"/>
        <v>0</v>
      </c>
      <c r="AC1431" s="269">
        <f t="shared" si="308"/>
        <v>0</v>
      </c>
      <c r="AD1431" s="271" t="str">
        <f>INDEX('Global inputs'!$C$134:$C$171,MATCH(F1431,'Global inputs'!$B$134:$B$171,0))</f>
        <v>Consumer connection</v>
      </c>
      <c r="AE1431" s="272">
        <f>IF(OR(H1431='Operating leases'!$B$32,H1431='Operating leases'!$B$33),"",INDEX('Global inputs'!$C$186:$C$243,MATCH(E1431,'Global inputs'!$B$186:$B$243,0)))</f>
        <v>0.08</v>
      </c>
    </row>
    <row r="1432" spans="1:31" s="27" customFormat="1" x14ac:dyDescent="0.2">
      <c r="A1432" s="250"/>
      <c r="B1432" s="210" t="s">
        <v>714</v>
      </c>
      <c r="C1432" s="210" t="s">
        <v>287</v>
      </c>
      <c r="D1432" s="210" t="s">
        <v>715</v>
      </c>
      <c r="E1432" s="210" t="s">
        <v>150</v>
      </c>
      <c r="F1432" s="210" t="s">
        <v>94</v>
      </c>
      <c r="G1432" s="210" t="s">
        <v>717</v>
      </c>
      <c r="H1432" s="197">
        <v>0</v>
      </c>
      <c r="I1432" s="210" t="s">
        <v>221</v>
      </c>
      <c r="J1432" s="210">
        <v>2025</v>
      </c>
      <c r="K1432" s="210">
        <v>2025</v>
      </c>
      <c r="L1432" s="268" t="str">
        <f t="shared" si="296"/>
        <v>Simple</v>
      </c>
      <c r="M1432" s="197">
        <v>13614.593097549528</v>
      </c>
      <c r="N1432" s="197">
        <v>20421.889646324293</v>
      </c>
      <c r="O1432" s="257">
        <f>IF(ISNA(MATCH(H1432,'Operating leases'!$B$32:$B$43,0)),0,INDEX('Operating leases'!$M$32:$S$43,MATCH(H1432,'Operating leases'!$B$32:$B$43,0),MATCH(J1432,'Operating leases'!$M$11:$S$11,0)))</f>
        <v>0</v>
      </c>
      <c r="P1432" s="257">
        <f t="shared" si="297"/>
        <v>13614.593097549528</v>
      </c>
      <c r="Q1432" s="257">
        <f t="shared" si="298"/>
        <v>34036.482743873821</v>
      </c>
      <c r="R1432" s="258">
        <f>INDEX('Escalators '!$M$124:$S$129,MATCH(I1432,'Escalators '!$B$124:$B$129,0),MATCH(J1432,'Escalators '!$M$113:$S$113,0))</f>
        <v>1.0867931559758131</v>
      </c>
      <c r="S1432" s="257">
        <f t="shared" si="299"/>
        <v>0</v>
      </c>
      <c r="T1432" s="257">
        <f t="shared" si="300"/>
        <v>22194.36989971856</v>
      </c>
      <c r="U1432" s="269">
        <f t="shared" si="301"/>
        <v>14796.24659981237</v>
      </c>
      <c r="V1432" s="269">
        <f t="shared" si="302"/>
        <v>36990.61649953093</v>
      </c>
      <c r="W1432" s="269">
        <f t="shared" si="303"/>
        <v>14796.24659981237</v>
      </c>
      <c r="X1432" s="257">
        <f t="shared" si="304"/>
        <v>36990.61649953093</v>
      </c>
      <c r="Y1432" s="270">
        <f>IF(L1432="Complex",(INDEX('Escalators '!$M$176:$S$176,MATCH('Forecast capex'!J1432,'Escalators '!$M$178:$S$178,0))/12+1)^((K1432-J1432)*12)-1,0)</f>
        <v>0</v>
      </c>
      <c r="Z1432" s="257">
        <f t="shared" si="305"/>
        <v>0</v>
      </c>
      <c r="AA1432" s="257">
        <f t="shared" si="306"/>
        <v>0</v>
      </c>
      <c r="AB1432" s="269">
        <f t="shared" si="307"/>
        <v>0</v>
      </c>
      <c r="AC1432" s="269">
        <f t="shared" si="308"/>
        <v>0</v>
      </c>
      <c r="AD1432" s="271" t="str">
        <f>INDEX('Global inputs'!$C$134:$C$171,MATCH(F1432,'Global inputs'!$B$134:$B$171,0))</f>
        <v>Consumer connection</v>
      </c>
      <c r="AE1432" s="272">
        <f>IF(OR(H1432='Operating leases'!$B$32,H1432='Operating leases'!$B$33),"",INDEX('Global inputs'!$C$186:$C$243,MATCH(E1432,'Global inputs'!$B$186:$B$243,0)))</f>
        <v>0.08</v>
      </c>
    </row>
    <row r="1433" spans="1:31" s="27" customFormat="1" x14ac:dyDescent="0.2">
      <c r="A1433" s="250"/>
      <c r="B1433" s="210" t="s">
        <v>714</v>
      </c>
      <c r="C1433" s="210" t="s">
        <v>287</v>
      </c>
      <c r="D1433" s="210" t="s">
        <v>715</v>
      </c>
      <c r="E1433" s="210" t="s">
        <v>151</v>
      </c>
      <c r="F1433" s="210" t="s">
        <v>94</v>
      </c>
      <c r="G1433" s="210" t="s">
        <v>717</v>
      </c>
      <c r="H1433" s="197">
        <v>0</v>
      </c>
      <c r="I1433" s="210" t="s">
        <v>229</v>
      </c>
      <c r="J1433" s="210">
        <v>2025</v>
      </c>
      <c r="K1433" s="210">
        <v>2025</v>
      </c>
      <c r="L1433" s="268" t="str">
        <f t="shared" si="296"/>
        <v>Simple</v>
      </c>
      <c r="M1433" s="197">
        <v>13614.593097549528</v>
      </c>
      <c r="N1433" s="197">
        <v>20421.889646324293</v>
      </c>
      <c r="O1433" s="257">
        <f>IF(ISNA(MATCH(H1433,'Operating leases'!$B$32:$B$43,0)),0,INDEX('Operating leases'!$M$32:$S$43,MATCH(H1433,'Operating leases'!$B$32:$B$43,0),MATCH(J1433,'Operating leases'!$M$11:$S$11,0)))</f>
        <v>0</v>
      </c>
      <c r="P1433" s="257">
        <f t="shared" si="297"/>
        <v>13614.593097549528</v>
      </c>
      <c r="Q1433" s="257">
        <f t="shared" si="298"/>
        <v>34036.482743873821</v>
      </c>
      <c r="R1433" s="258">
        <f>INDEX('Escalators '!$M$124:$S$129,MATCH(I1433,'Escalators '!$B$124:$B$129,0),MATCH(J1433,'Escalators '!$M$113:$S$113,0))</f>
        <v>1.0919411253473632</v>
      </c>
      <c r="S1433" s="257">
        <f t="shared" si="299"/>
        <v>0</v>
      </c>
      <c r="T1433" s="257">
        <f t="shared" si="300"/>
        <v>22299.501162127013</v>
      </c>
      <c r="U1433" s="269">
        <f t="shared" si="301"/>
        <v>14866.334108084677</v>
      </c>
      <c r="V1433" s="269">
        <f t="shared" si="302"/>
        <v>37165.83527021169</v>
      </c>
      <c r="W1433" s="269">
        <f t="shared" si="303"/>
        <v>14866.334108084677</v>
      </c>
      <c r="X1433" s="257">
        <f t="shared" si="304"/>
        <v>37165.83527021169</v>
      </c>
      <c r="Y1433" s="270">
        <f>IF(L1433="Complex",(INDEX('Escalators '!$M$176:$S$176,MATCH('Forecast capex'!J1433,'Escalators '!$M$178:$S$178,0))/12+1)^((K1433-J1433)*12)-1,0)</f>
        <v>0</v>
      </c>
      <c r="Z1433" s="257">
        <f t="shared" si="305"/>
        <v>0</v>
      </c>
      <c r="AA1433" s="257">
        <f t="shared" si="306"/>
        <v>0</v>
      </c>
      <c r="AB1433" s="269">
        <f t="shared" si="307"/>
        <v>0</v>
      </c>
      <c r="AC1433" s="269">
        <f t="shared" si="308"/>
        <v>0</v>
      </c>
      <c r="AD1433" s="271" t="str">
        <f>INDEX('Global inputs'!$C$134:$C$171,MATCH(F1433,'Global inputs'!$B$134:$B$171,0))</f>
        <v>Consumer connection</v>
      </c>
      <c r="AE1433" s="272">
        <f>IF(OR(H1433='Operating leases'!$B$32,H1433='Operating leases'!$B$33),"",INDEX('Global inputs'!$C$186:$C$243,MATCH(E1433,'Global inputs'!$B$186:$B$243,0)))</f>
        <v>0.1</v>
      </c>
    </row>
    <row r="1434" spans="1:31" s="27" customFormat="1" x14ac:dyDescent="0.2">
      <c r="A1434" s="250"/>
      <c r="B1434" s="210" t="s">
        <v>714</v>
      </c>
      <c r="C1434" s="210" t="s">
        <v>287</v>
      </c>
      <c r="D1434" s="210" t="s">
        <v>715</v>
      </c>
      <c r="E1434" s="210" t="s">
        <v>151</v>
      </c>
      <c r="F1434" s="210" t="s">
        <v>94</v>
      </c>
      <c r="G1434" s="210" t="s">
        <v>717</v>
      </c>
      <c r="H1434" s="197">
        <v>0</v>
      </c>
      <c r="I1434" s="210" t="s">
        <v>221</v>
      </c>
      <c r="J1434" s="210">
        <v>2025</v>
      </c>
      <c r="K1434" s="210">
        <v>2025</v>
      </c>
      <c r="L1434" s="268" t="str">
        <f t="shared" si="296"/>
        <v>Simple</v>
      </c>
      <c r="M1434" s="197">
        <v>13614.593097549528</v>
      </c>
      <c r="N1434" s="197">
        <v>20421.889646324293</v>
      </c>
      <c r="O1434" s="257">
        <f>IF(ISNA(MATCH(H1434,'Operating leases'!$B$32:$B$43,0)),0,INDEX('Operating leases'!$M$32:$S$43,MATCH(H1434,'Operating leases'!$B$32:$B$43,0),MATCH(J1434,'Operating leases'!$M$11:$S$11,0)))</f>
        <v>0</v>
      </c>
      <c r="P1434" s="257">
        <f t="shared" si="297"/>
        <v>13614.593097549528</v>
      </c>
      <c r="Q1434" s="257">
        <f t="shared" si="298"/>
        <v>34036.482743873821</v>
      </c>
      <c r="R1434" s="258">
        <f>INDEX('Escalators '!$M$124:$S$129,MATCH(I1434,'Escalators '!$B$124:$B$129,0),MATCH(J1434,'Escalators '!$M$113:$S$113,0))</f>
        <v>1.0867931559758131</v>
      </c>
      <c r="S1434" s="257">
        <f t="shared" si="299"/>
        <v>0</v>
      </c>
      <c r="T1434" s="257">
        <f t="shared" si="300"/>
        <v>22194.36989971856</v>
      </c>
      <c r="U1434" s="269">
        <f t="shared" si="301"/>
        <v>14796.24659981237</v>
      </c>
      <c r="V1434" s="269">
        <f t="shared" si="302"/>
        <v>36990.61649953093</v>
      </c>
      <c r="W1434" s="269">
        <f t="shared" si="303"/>
        <v>14796.24659981237</v>
      </c>
      <c r="X1434" s="257">
        <f t="shared" si="304"/>
        <v>36990.61649953093</v>
      </c>
      <c r="Y1434" s="270">
        <f>IF(L1434="Complex",(INDEX('Escalators '!$M$176:$S$176,MATCH('Forecast capex'!J1434,'Escalators '!$M$178:$S$178,0))/12+1)^((K1434-J1434)*12)-1,0)</f>
        <v>0</v>
      </c>
      <c r="Z1434" s="257">
        <f t="shared" si="305"/>
        <v>0</v>
      </c>
      <c r="AA1434" s="257">
        <f t="shared" si="306"/>
        <v>0</v>
      </c>
      <c r="AB1434" s="269">
        <f t="shared" si="307"/>
        <v>0</v>
      </c>
      <c r="AC1434" s="269">
        <f t="shared" si="308"/>
        <v>0</v>
      </c>
      <c r="AD1434" s="271" t="str">
        <f>INDEX('Global inputs'!$C$134:$C$171,MATCH(F1434,'Global inputs'!$B$134:$B$171,0))</f>
        <v>Consumer connection</v>
      </c>
      <c r="AE1434" s="272">
        <f>IF(OR(H1434='Operating leases'!$B$32,H1434='Operating leases'!$B$33),"",INDEX('Global inputs'!$C$186:$C$243,MATCH(E1434,'Global inputs'!$B$186:$B$243,0)))</f>
        <v>0.1</v>
      </c>
    </row>
    <row r="1435" spans="1:31" s="27" customFormat="1" x14ac:dyDescent="0.2">
      <c r="A1435" s="250"/>
      <c r="B1435" s="210" t="s">
        <v>714</v>
      </c>
      <c r="C1435" s="210" t="s">
        <v>287</v>
      </c>
      <c r="D1435" s="210" t="s">
        <v>715</v>
      </c>
      <c r="E1435" s="210" t="s">
        <v>153</v>
      </c>
      <c r="F1435" s="210" t="s">
        <v>94</v>
      </c>
      <c r="G1435" s="210" t="s">
        <v>717</v>
      </c>
      <c r="H1435" s="197">
        <v>0</v>
      </c>
      <c r="I1435" s="210" t="s">
        <v>229</v>
      </c>
      <c r="J1435" s="210">
        <v>2025</v>
      </c>
      <c r="K1435" s="210">
        <v>2025</v>
      </c>
      <c r="L1435" s="268" t="str">
        <f t="shared" si="296"/>
        <v>Simple</v>
      </c>
      <c r="M1435" s="197">
        <v>11799.314017876257</v>
      </c>
      <c r="N1435" s="197">
        <v>17698.971026814386</v>
      </c>
      <c r="O1435" s="257">
        <f>IF(ISNA(MATCH(H1435,'Operating leases'!$B$32:$B$43,0)),0,INDEX('Operating leases'!$M$32:$S$43,MATCH(H1435,'Operating leases'!$B$32:$B$43,0),MATCH(J1435,'Operating leases'!$M$11:$S$11,0)))</f>
        <v>0</v>
      </c>
      <c r="P1435" s="257">
        <f t="shared" si="297"/>
        <v>11799.314017876257</v>
      </c>
      <c r="Q1435" s="257">
        <f t="shared" si="298"/>
        <v>29498.285044690645</v>
      </c>
      <c r="R1435" s="258">
        <f>INDEX('Escalators '!$M$124:$S$129,MATCH(I1435,'Escalators '!$B$124:$B$129,0),MATCH(J1435,'Escalators '!$M$113:$S$113,0))</f>
        <v>1.0919411253473632</v>
      </c>
      <c r="S1435" s="257">
        <f t="shared" si="299"/>
        <v>0</v>
      </c>
      <c r="T1435" s="257">
        <f t="shared" si="300"/>
        <v>19326.234340510076</v>
      </c>
      <c r="U1435" s="269">
        <f t="shared" si="301"/>
        <v>12884.156227006719</v>
      </c>
      <c r="V1435" s="269">
        <f t="shared" si="302"/>
        <v>32210.390567516795</v>
      </c>
      <c r="W1435" s="269">
        <f t="shared" si="303"/>
        <v>12884.156227006719</v>
      </c>
      <c r="X1435" s="257">
        <f t="shared" si="304"/>
        <v>32210.390567516795</v>
      </c>
      <c r="Y1435" s="270">
        <f>IF(L1435="Complex",(INDEX('Escalators '!$M$176:$S$176,MATCH('Forecast capex'!J1435,'Escalators '!$M$178:$S$178,0))/12+1)^((K1435-J1435)*12)-1,0)</f>
        <v>0</v>
      </c>
      <c r="Z1435" s="257">
        <f t="shared" si="305"/>
        <v>0</v>
      </c>
      <c r="AA1435" s="257">
        <f t="shared" si="306"/>
        <v>0</v>
      </c>
      <c r="AB1435" s="269">
        <f t="shared" si="307"/>
        <v>0</v>
      </c>
      <c r="AC1435" s="269">
        <f t="shared" si="308"/>
        <v>0</v>
      </c>
      <c r="AD1435" s="271" t="str">
        <f>INDEX('Global inputs'!$C$134:$C$171,MATCH(F1435,'Global inputs'!$B$134:$B$171,0))</f>
        <v>Consumer connection</v>
      </c>
      <c r="AE1435" s="272">
        <f>IF(OR(H1435='Operating leases'!$B$32,H1435='Operating leases'!$B$33),"",INDEX('Global inputs'!$C$186:$C$243,MATCH(E1435,'Global inputs'!$B$186:$B$243,0)))</f>
        <v>0.08</v>
      </c>
    </row>
    <row r="1436" spans="1:31" s="27" customFormat="1" x14ac:dyDescent="0.2">
      <c r="A1436" s="250"/>
      <c r="B1436" s="210" t="s">
        <v>714</v>
      </c>
      <c r="C1436" s="210" t="s">
        <v>287</v>
      </c>
      <c r="D1436" s="210" t="s">
        <v>715</v>
      </c>
      <c r="E1436" s="210" t="s">
        <v>153</v>
      </c>
      <c r="F1436" s="210" t="s">
        <v>94</v>
      </c>
      <c r="G1436" s="210" t="s">
        <v>717</v>
      </c>
      <c r="H1436" s="197">
        <v>0</v>
      </c>
      <c r="I1436" s="210" t="s">
        <v>221</v>
      </c>
      <c r="J1436" s="210">
        <v>2025</v>
      </c>
      <c r="K1436" s="210">
        <v>2025</v>
      </c>
      <c r="L1436" s="268" t="str">
        <f t="shared" si="296"/>
        <v>Simple</v>
      </c>
      <c r="M1436" s="197">
        <v>11799.314017876257</v>
      </c>
      <c r="N1436" s="197">
        <v>17698.971026814386</v>
      </c>
      <c r="O1436" s="257">
        <f>IF(ISNA(MATCH(H1436,'Operating leases'!$B$32:$B$43,0)),0,INDEX('Operating leases'!$M$32:$S$43,MATCH(H1436,'Operating leases'!$B$32:$B$43,0),MATCH(J1436,'Operating leases'!$M$11:$S$11,0)))</f>
        <v>0</v>
      </c>
      <c r="P1436" s="257">
        <f t="shared" si="297"/>
        <v>11799.314017876257</v>
      </c>
      <c r="Q1436" s="257">
        <f t="shared" si="298"/>
        <v>29498.285044690645</v>
      </c>
      <c r="R1436" s="258">
        <f>INDEX('Escalators '!$M$124:$S$129,MATCH(I1436,'Escalators '!$B$124:$B$129,0),MATCH(J1436,'Escalators '!$M$113:$S$113,0))</f>
        <v>1.0867931559758131</v>
      </c>
      <c r="S1436" s="257">
        <f t="shared" si="299"/>
        <v>0</v>
      </c>
      <c r="T1436" s="257">
        <f t="shared" si="300"/>
        <v>19235.120579756083</v>
      </c>
      <c r="U1436" s="269">
        <f t="shared" si="301"/>
        <v>12823.41371983739</v>
      </c>
      <c r="V1436" s="269">
        <f t="shared" si="302"/>
        <v>32058.534299593473</v>
      </c>
      <c r="W1436" s="269">
        <f t="shared" si="303"/>
        <v>12823.41371983739</v>
      </c>
      <c r="X1436" s="257">
        <f t="shared" si="304"/>
        <v>32058.534299593473</v>
      </c>
      <c r="Y1436" s="270">
        <f>IF(L1436="Complex",(INDEX('Escalators '!$M$176:$S$176,MATCH('Forecast capex'!J1436,'Escalators '!$M$178:$S$178,0))/12+1)^((K1436-J1436)*12)-1,0)</f>
        <v>0</v>
      </c>
      <c r="Z1436" s="257">
        <f t="shared" si="305"/>
        <v>0</v>
      </c>
      <c r="AA1436" s="257">
        <f t="shared" si="306"/>
        <v>0</v>
      </c>
      <c r="AB1436" s="269">
        <f t="shared" si="307"/>
        <v>0</v>
      </c>
      <c r="AC1436" s="269">
        <f t="shared" si="308"/>
        <v>0</v>
      </c>
      <c r="AD1436" s="271" t="str">
        <f>INDEX('Global inputs'!$C$134:$C$171,MATCH(F1436,'Global inputs'!$B$134:$B$171,0))</f>
        <v>Consumer connection</v>
      </c>
      <c r="AE1436" s="272">
        <f>IF(OR(H1436='Operating leases'!$B$32,H1436='Operating leases'!$B$33),"",INDEX('Global inputs'!$C$186:$C$243,MATCH(E1436,'Global inputs'!$B$186:$B$243,0)))</f>
        <v>0.08</v>
      </c>
    </row>
    <row r="1437" spans="1:31" s="27" customFormat="1" x14ac:dyDescent="0.2">
      <c r="A1437" s="250"/>
      <c r="B1437" s="210" t="s">
        <v>714</v>
      </c>
      <c r="C1437" s="210" t="s">
        <v>287</v>
      </c>
      <c r="D1437" s="210" t="s">
        <v>715</v>
      </c>
      <c r="E1437" s="210" t="s">
        <v>154</v>
      </c>
      <c r="F1437" s="210" t="s">
        <v>94</v>
      </c>
      <c r="G1437" s="210" t="s">
        <v>717</v>
      </c>
      <c r="H1437" s="197">
        <v>0</v>
      </c>
      <c r="I1437" s="210" t="s">
        <v>229</v>
      </c>
      <c r="J1437" s="210">
        <v>2025</v>
      </c>
      <c r="K1437" s="210">
        <v>2025</v>
      </c>
      <c r="L1437" s="268" t="str">
        <f t="shared" si="296"/>
        <v>Simple</v>
      </c>
      <c r="M1437" s="197">
        <v>11799.314017876257</v>
      </c>
      <c r="N1437" s="197">
        <v>17698.971026814386</v>
      </c>
      <c r="O1437" s="257">
        <f>IF(ISNA(MATCH(H1437,'Operating leases'!$B$32:$B$43,0)),0,INDEX('Operating leases'!$M$32:$S$43,MATCH(H1437,'Operating leases'!$B$32:$B$43,0),MATCH(J1437,'Operating leases'!$M$11:$S$11,0)))</f>
        <v>0</v>
      </c>
      <c r="P1437" s="257">
        <f t="shared" si="297"/>
        <v>11799.314017876257</v>
      </c>
      <c r="Q1437" s="257">
        <f t="shared" si="298"/>
        <v>29498.285044690645</v>
      </c>
      <c r="R1437" s="258">
        <f>INDEX('Escalators '!$M$124:$S$129,MATCH(I1437,'Escalators '!$B$124:$B$129,0),MATCH(J1437,'Escalators '!$M$113:$S$113,0))</f>
        <v>1.0919411253473632</v>
      </c>
      <c r="S1437" s="257">
        <f t="shared" si="299"/>
        <v>0</v>
      </c>
      <c r="T1437" s="257">
        <f t="shared" si="300"/>
        <v>19326.234340510076</v>
      </c>
      <c r="U1437" s="269">
        <f t="shared" si="301"/>
        <v>12884.156227006719</v>
      </c>
      <c r="V1437" s="269">
        <f t="shared" si="302"/>
        <v>32210.390567516795</v>
      </c>
      <c r="W1437" s="269">
        <f t="shared" si="303"/>
        <v>12884.156227006719</v>
      </c>
      <c r="X1437" s="257">
        <f t="shared" si="304"/>
        <v>32210.390567516795</v>
      </c>
      <c r="Y1437" s="270">
        <f>IF(L1437="Complex",(INDEX('Escalators '!$M$176:$S$176,MATCH('Forecast capex'!J1437,'Escalators '!$M$178:$S$178,0))/12+1)^((K1437-J1437)*12)-1,0)</f>
        <v>0</v>
      </c>
      <c r="Z1437" s="257">
        <f t="shared" si="305"/>
        <v>0</v>
      </c>
      <c r="AA1437" s="257">
        <f t="shared" si="306"/>
        <v>0</v>
      </c>
      <c r="AB1437" s="269">
        <f t="shared" si="307"/>
        <v>0</v>
      </c>
      <c r="AC1437" s="269">
        <f t="shared" si="308"/>
        <v>0</v>
      </c>
      <c r="AD1437" s="271" t="str">
        <f>INDEX('Global inputs'!$C$134:$C$171,MATCH(F1437,'Global inputs'!$B$134:$B$171,0))</f>
        <v>Consumer connection</v>
      </c>
      <c r="AE1437" s="272">
        <f>IF(OR(H1437='Operating leases'!$B$32,H1437='Operating leases'!$B$33),"",INDEX('Global inputs'!$C$186:$C$243,MATCH(E1437,'Global inputs'!$B$186:$B$243,0)))</f>
        <v>0.1</v>
      </c>
    </row>
    <row r="1438" spans="1:31" s="27" customFormat="1" x14ac:dyDescent="0.2">
      <c r="A1438" s="250"/>
      <c r="B1438" s="210" t="s">
        <v>714</v>
      </c>
      <c r="C1438" s="210" t="s">
        <v>287</v>
      </c>
      <c r="D1438" s="210" t="s">
        <v>715</v>
      </c>
      <c r="E1438" s="210" t="s">
        <v>154</v>
      </c>
      <c r="F1438" s="210" t="s">
        <v>94</v>
      </c>
      <c r="G1438" s="210" t="s">
        <v>717</v>
      </c>
      <c r="H1438" s="197">
        <v>0</v>
      </c>
      <c r="I1438" s="210" t="s">
        <v>221</v>
      </c>
      <c r="J1438" s="210">
        <v>2025</v>
      </c>
      <c r="K1438" s="210">
        <v>2025</v>
      </c>
      <c r="L1438" s="268" t="str">
        <f t="shared" si="296"/>
        <v>Simple</v>
      </c>
      <c r="M1438" s="197">
        <v>11799.314017876257</v>
      </c>
      <c r="N1438" s="197">
        <v>17698.971026814386</v>
      </c>
      <c r="O1438" s="257">
        <f>IF(ISNA(MATCH(H1438,'Operating leases'!$B$32:$B$43,0)),0,INDEX('Operating leases'!$M$32:$S$43,MATCH(H1438,'Operating leases'!$B$32:$B$43,0),MATCH(J1438,'Operating leases'!$M$11:$S$11,0)))</f>
        <v>0</v>
      </c>
      <c r="P1438" s="257">
        <f t="shared" si="297"/>
        <v>11799.314017876257</v>
      </c>
      <c r="Q1438" s="257">
        <f t="shared" si="298"/>
        <v>29498.285044690645</v>
      </c>
      <c r="R1438" s="258">
        <f>INDEX('Escalators '!$M$124:$S$129,MATCH(I1438,'Escalators '!$B$124:$B$129,0),MATCH(J1438,'Escalators '!$M$113:$S$113,0))</f>
        <v>1.0867931559758131</v>
      </c>
      <c r="S1438" s="257">
        <f t="shared" si="299"/>
        <v>0</v>
      </c>
      <c r="T1438" s="257">
        <f t="shared" si="300"/>
        <v>19235.120579756083</v>
      </c>
      <c r="U1438" s="269">
        <f t="shared" si="301"/>
        <v>12823.41371983739</v>
      </c>
      <c r="V1438" s="269">
        <f t="shared" si="302"/>
        <v>32058.534299593473</v>
      </c>
      <c r="W1438" s="269">
        <f t="shared" si="303"/>
        <v>12823.41371983739</v>
      </c>
      <c r="X1438" s="257">
        <f t="shared" si="304"/>
        <v>32058.534299593473</v>
      </c>
      <c r="Y1438" s="270">
        <f>IF(L1438="Complex",(INDEX('Escalators '!$M$176:$S$176,MATCH('Forecast capex'!J1438,'Escalators '!$M$178:$S$178,0))/12+1)^((K1438-J1438)*12)-1,0)</f>
        <v>0</v>
      </c>
      <c r="Z1438" s="257">
        <f t="shared" si="305"/>
        <v>0</v>
      </c>
      <c r="AA1438" s="257">
        <f t="shared" si="306"/>
        <v>0</v>
      </c>
      <c r="AB1438" s="269">
        <f t="shared" si="307"/>
        <v>0</v>
      </c>
      <c r="AC1438" s="269">
        <f t="shared" si="308"/>
        <v>0</v>
      </c>
      <c r="AD1438" s="271" t="str">
        <f>INDEX('Global inputs'!$C$134:$C$171,MATCH(F1438,'Global inputs'!$B$134:$B$171,0))</f>
        <v>Consumer connection</v>
      </c>
      <c r="AE1438" s="272">
        <f>IF(OR(H1438='Operating leases'!$B$32,H1438='Operating leases'!$B$33),"",INDEX('Global inputs'!$C$186:$C$243,MATCH(E1438,'Global inputs'!$B$186:$B$243,0)))</f>
        <v>0.1</v>
      </c>
    </row>
    <row r="1439" spans="1:31" s="27" customFormat="1" x14ac:dyDescent="0.2">
      <c r="A1439" s="250"/>
      <c r="B1439" s="210" t="s">
        <v>714</v>
      </c>
      <c r="C1439" s="210" t="s">
        <v>286</v>
      </c>
      <c r="D1439" s="210" t="s">
        <v>732</v>
      </c>
      <c r="E1439" s="210" t="s">
        <v>140</v>
      </c>
      <c r="F1439" s="210" t="s">
        <v>94</v>
      </c>
      <c r="G1439" s="210" t="s">
        <v>733</v>
      </c>
      <c r="H1439" s="197">
        <v>0</v>
      </c>
      <c r="I1439" s="210" t="s">
        <v>142</v>
      </c>
      <c r="J1439" s="210">
        <v>2025</v>
      </c>
      <c r="K1439" s="210">
        <v>2025</v>
      </c>
      <c r="L1439" s="268" t="str">
        <f t="shared" si="296"/>
        <v>Simple</v>
      </c>
      <c r="M1439" s="197">
        <v>20149.597784373302</v>
      </c>
      <c r="N1439" s="197">
        <v>30224.396676559947</v>
      </c>
      <c r="O1439" s="257">
        <f>IF(ISNA(MATCH(H1439,'Operating leases'!$B$32:$B$43,0)),0,INDEX('Operating leases'!$M$32:$S$43,MATCH(H1439,'Operating leases'!$B$32:$B$43,0),MATCH(J1439,'Operating leases'!$M$11:$S$11,0)))</f>
        <v>0</v>
      </c>
      <c r="P1439" s="257">
        <f t="shared" si="297"/>
        <v>20149.597784373302</v>
      </c>
      <c r="Q1439" s="257">
        <f t="shared" si="298"/>
        <v>50373.994460933245</v>
      </c>
      <c r="R1439" s="258">
        <f>INDEX('Escalators '!$M$124:$S$129,MATCH(I1439,'Escalators '!$B$124:$B$129,0),MATCH(J1439,'Escalators '!$M$113:$S$113,0))</f>
        <v>1.0914807286621109</v>
      </c>
      <c r="S1439" s="257">
        <f t="shared" si="299"/>
        <v>0</v>
      </c>
      <c r="T1439" s="257">
        <f t="shared" si="300"/>
        <v>32989.346507904331</v>
      </c>
      <c r="U1439" s="269">
        <f t="shared" si="301"/>
        <v>21992.897671936225</v>
      </c>
      <c r="V1439" s="269">
        <f t="shared" si="302"/>
        <v>54982.244179840556</v>
      </c>
      <c r="W1439" s="269">
        <f t="shared" si="303"/>
        <v>21992.897671936225</v>
      </c>
      <c r="X1439" s="257">
        <f t="shared" si="304"/>
        <v>54982.244179840556</v>
      </c>
      <c r="Y1439" s="270">
        <f>IF(L1439="Complex",(INDEX('Escalators '!$M$176:$S$176,MATCH('Forecast capex'!J1439,'Escalators '!$M$178:$S$178,0))/12+1)^((K1439-J1439)*12)-1,0)</f>
        <v>0</v>
      </c>
      <c r="Z1439" s="257">
        <f t="shared" si="305"/>
        <v>0</v>
      </c>
      <c r="AA1439" s="257">
        <f t="shared" si="306"/>
        <v>0</v>
      </c>
      <c r="AB1439" s="269">
        <f t="shared" si="307"/>
        <v>0</v>
      </c>
      <c r="AC1439" s="269">
        <f t="shared" si="308"/>
        <v>0</v>
      </c>
      <c r="AD1439" s="271" t="str">
        <f>INDEX('Global inputs'!$C$134:$C$171,MATCH(F1439,'Global inputs'!$B$134:$B$171,0))</f>
        <v>Consumer connection</v>
      </c>
      <c r="AE1439" s="272">
        <f>IF(OR(H1439='Operating leases'!$B$32,H1439='Operating leases'!$B$33),"",INDEX('Global inputs'!$C$186:$C$243,MATCH(E1439,'Global inputs'!$B$186:$B$243,0)))</f>
        <v>0.08</v>
      </c>
    </row>
    <row r="1440" spans="1:31" s="27" customFormat="1" x14ac:dyDescent="0.2">
      <c r="A1440" s="250"/>
      <c r="B1440" s="210" t="s">
        <v>714</v>
      </c>
      <c r="C1440" s="210" t="s">
        <v>286</v>
      </c>
      <c r="D1440" s="210" t="s">
        <v>732</v>
      </c>
      <c r="E1440" s="210" t="s">
        <v>140</v>
      </c>
      <c r="F1440" s="210" t="s">
        <v>94</v>
      </c>
      <c r="G1440" s="210" t="s">
        <v>733</v>
      </c>
      <c r="H1440" s="197">
        <v>0</v>
      </c>
      <c r="I1440" s="210" t="s">
        <v>221</v>
      </c>
      <c r="J1440" s="210">
        <v>2025</v>
      </c>
      <c r="K1440" s="210">
        <v>2025</v>
      </c>
      <c r="L1440" s="268" t="str">
        <f t="shared" si="296"/>
        <v>Simple</v>
      </c>
      <c r="M1440" s="197">
        <v>13433.065189582201</v>
      </c>
      <c r="N1440" s="197">
        <v>20149.597784373302</v>
      </c>
      <c r="O1440" s="257">
        <f>IF(ISNA(MATCH(H1440,'Operating leases'!$B$32:$B$43,0)),0,INDEX('Operating leases'!$M$32:$S$43,MATCH(H1440,'Operating leases'!$B$32:$B$43,0),MATCH(J1440,'Operating leases'!$M$11:$S$11,0)))</f>
        <v>0</v>
      </c>
      <c r="P1440" s="257">
        <f t="shared" si="297"/>
        <v>13433.065189582201</v>
      </c>
      <c r="Q1440" s="257">
        <f t="shared" si="298"/>
        <v>33582.662973955506</v>
      </c>
      <c r="R1440" s="258">
        <f>INDEX('Escalators '!$M$124:$S$129,MATCH(I1440,'Escalators '!$B$124:$B$129,0),MATCH(J1440,'Escalators '!$M$113:$S$113,0))</f>
        <v>1.0867931559758131</v>
      </c>
      <c r="S1440" s="257">
        <f t="shared" si="299"/>
        <v>0</v>
      </c>
      <c r="T1440" s="257">
        <f t="shared" si="300"/>
        <v>21898.444967722309</v>
      </c>
      <c r="U1440" s="269">
        <f t="shared" si="301"/>
        <v>14598.963311814878</v>
      </c>
      <c r="V1440" s="269">
        <f t="shared" si="302"/>
        <v>36497.408279537187</v>
      </c>
      <c r="W1440" s="269">
        <f t="shared" si="303"/>
        <v>14598.963311814878</v>
      </c>
      <c r="X1440" s="257">
        <f t="shared" si="304"/>
        <v>36497.408279537187</v>
      </c>
      <c r="Y1440" s="270">
        <f>IF(L1440="Complex",(INDEX('Escalators '!$M$176:$S$176,MATCH('Forecast capex'!J1440,'Escalators '!$M$178:$S$178,0))/12+1)^((K1440-J1440)*12)-1,0)</f>
        <v>0</v>
      </c>
      <c r="Z1440" s="257">
        <f t="shared" si="305"/>
        <v>0</v>
      </c>
      <c r="AA1440" s="257">
        <f t="shared" si="306"/>
        <v>0</v>
      </c>
      <c r="AB1440" s="269">
        <f t="shared" si="307"/>
        <v>0</v>
      </c>
      <c r="AC1440" s="269">
        <f t="shared" si="308"/>
        <v>0</v>
      </c>
      <c r="AD1440" s="271" t="str">
        <f>INDEX('Global inputs'!$C$134:$C$171,MATCH(F1440,'Global inputs'!$B$134:$B$171,0))</f>
        <v>Consumer connection</v>
      </c>
      <c r="AE1440" s="272">
        <f>IF(OR(H1440='Operating leases'!$B$32,H1440='Operating leases'!$B$33),"",INDEX('Global inputs'!$C$186:$C$243,MATCH(E1440,'Global inputs'!$B$186:$B$243,0)))</f>
        <v>0.08</v>
      </c>
    </row>
    <row r="1441" spans="1:31" s="27" customFormat="1" x14ac:dyDescent="0.2">
      <c r="A1441" s="250"/>
      <c r="B1441" s="210" t="s">
        <v>714</v>
      </c>
      <c r="C1441" s="210" t="s">
        <v>286</v>
      </c>
      <c r="D1441" s="210" t="s">
        <v>732</v>
      </c>
      <c r="E1441" s="210" t="s">
        <v>141</v>
      </c>
      <c r="F1441" s="210" t="s">
        <v>94</v>
      </c>
      <c r="G1441" s="210" t="s">
        <v>734</v>
      </c>
      <c r="H1441" s="197">
        <v>0</v>
      </c>
      <c r="I1441" s="210" t="s">
        <v>142</v>
      </c>
      <c r="J1441" s="210">
        <v>2025</v>
      </c>
      <c r="K1441" s="210">
        <v>2025</v>
      </c>
      <c r="L1441" s="268" t="str">
        <f t="shared" si="296"/>
        <v>Simple</v>
      </c>
      <c r="M1441" s="197">
        <v>42840.586280289186</v>
      </c>
      <c r="N1441" s="197">
        <v>64260.879420433768</v>
      </c>
      <c r="O1441" s="257">
        <f>IF(ISNA(MATCH(H1441,'Operating leases'!$B$32:$B$43,0)),0,INDEX('Operating leases'!$M$32:$S$43,MATCH(H1441,'Operating leases'!$B$32:$B$43,0),MATCH(J1441,'Operating leases'!$M$11:$S$11,0)))</f>
        <v>0</v>
      </c>
      <c r="P1441" s="257">
        <f t="shared" si="297"/>
        <v>42840.586280289186</v>
      </c>
      <c r="Q1441" s="257">
        <f t="shared" si="298"/>
        <v>107101.46570072295</v>
      </c>
      <c r="R1441" s="258">
        <f>INDEX('Escalators '!$M$124:$S$129,MATCH(I1441,'Escalators '!$B$124:$B$129,0),MATCH(J1441,'Escalators '!$M$113:$S$113,0))</f>
        <v>1.0914807286621109</v>
      </c>
      <c r="S1441" s="257">
        <f t="shared" si="299"/>
        <v>0</v>
      </c>
      <c r="T1441" s="257">
        <f t="shared" si="300"/>
        <v>70139.511494283099</v>
      </c>
      <c r="U1441" s="269">
        <f t="shared" si="301"/>
        <v>46759.674329522066</v>
      </c>
      <c r="V1441" s="269">
        <f t="shared" si="302"/>
        <v>116899.18582380516</v>
      </c>
      <c r="W1441" s="269">
        <f t="shared" si="303"/>
        <v>46759.674329522066</v>
      </c>
      <c r="X1441" s="257">
        <f t="shared" si="304"/>
        <v>116899.18582380516</v>
      </c>
      <c r="Y1441" s="270">
        <f>IF(L1441="Complex",(INDEX('Escalators '!$M$176:$S$176,MATCH('Forecast capex'!J1441,'Escalators '!$M$178:$S$178,0))/12+1)^((K1441-J1441)*12)-1,0)</f>
        <v>0</v>
      </c>
      <c r="Z1441" s="257">
        <f t="shared" si="305"/>
        <v>0</v>
      </c>
      <c r="AA1441" s="257">
        <f t="shared" si="306"/>
        <v>0</v>
      </c>
      <c r="AB1441" s="269">
        <f t="shared" si="307"/>
        <v>0</v>
      </c>
      <c r="AC1441" s="269">
        <f t="shared" si="308"/>
        <v>0</v>
      </c>
      <c r="AD1441" s="271" t="str">
        <f>INDEX('Global inputs'!$C$134:$C$171,MATCH(F1441,'Global inputs'!$B$134:$B$171,0))</f>
        <v>Consumer connection</v>
      </c>
      <c r="AE1441" s="272">
        <f>IF(OR(H1441='Operating leases'!$B$32,H1441='Operating leases'!$B$33),"",INDEX('Global inputs'!$C$186:$C$243,MATCH(E1441,'Global inputs'!$B$186:$B$243,0)))</f>
        <v>0.08</v>
      </c>
    </row>
    <row r="1442" spans="1:31" s="27" customFormat="1" x14ac:dyDescent="0.2">
      <c r="A1442" s="250"/>
      <c r="B1442" s="210" t="s">
        <v>714</v>
      </c>
      <c r="C1442" s="210" t="s">
        <v>286</v>
      </c>
      <c r="D1442" s="210" t="s">
        <v>732</v>
      </c>
      <c r="E1442" s="210" t="s">
        <v>141</v>
      </c>
      <c r="F1442" s="210" t="s">
        <v>94</v>
      </c>
      <c r="G1442" s="210" t="s">
        <v>734</v>
      </c>
      <c r="H1442" s="197">
        <v>0</v>
      </c>
      <c r="I1442" s="210" t="s">
        <v>221</v>
      </c>
      <c r="J1442" s="210">
        <v>2025</v>
      </c>
      <c r="K1442" s="210">
        <v>2025</v>
      </c>
      <c r="L1442" s="268" t="str">
        <f t="shared" si="296"/>
        <v>Simple</v>
      </c>
      <c r="M1442" s="197">
        <v>10710.146570072297</v>
      </c>
      <c r="N1442" s="197">
        <v>16065.219855108442</v>
      </c>
      <c r="O1442" s="257">
        <f>IF(ISNA(MATCH(H1442,'Operating leases'!$B$32:$B$43,0)),0,INDEX('Operating leases'!$M$32:$S$43,MATCH(H1442,'Operating leases'!$B$32:$B$43,0),MATCH(J1442,'Operating leases'!$M$11:$S$11,0)))</f>
        <v>0</v>
      </c>
      <c r="P1442" s="257">
        <f t="shared" si="297"/>
        <v>10710.146570072297</v>
      </c>
      <c r="Q1442" s="257">
        <f t="shared" si="298"/>
        <v>26775.366425180739</v>
      </c>
      <c r="R1442" s="258">
        <f>INDEX('Escalators '!$M$124:$S$129,MATCH(I1442,'Escalators '!$B$124:$B$129,0),MATCH(J1442,'Escalators '!$M$113:$S$113,0))</f>
        <v>1.0867931559758131</v>
      </c>
      <c r="S1442" s="257">
        <f t="shared" si="299"/>
        <v>0</v>
      </c>
      <c r="T1442" s="257">
        <f t="shared" si="300"/>
        <v>17459.570987778599</v>
      </c>
      <c r="U1442" s="269">
        <f t="shared" si="301"/>
        <v>11639.713991852401</v>
      </c>
      <c r="V1442" s="269">
        <f t="shared" si="302"/>
        <v>29099.284979631</v>
      </c>
      <c r="W1442" s="269">
        <f t="shared" si="303"/>
        <v>11639.713991852401</v>
      </c>
      <c r="X1442" s="257">
        <f t="shared" si="304"/>
        <v>29099.284979631</v>
      </c>
      <c r="Y1442" s="270">
        <f>IF(L1442="Complex",(INDEX('Escalators '!$M$176:$S$176,MATCH('Forecast capex'!J1442,'Escalators '!$M$178:$S$178,0))/12+1)^((K1442-J1442)*12)-1,0)</f>
        <v>0</v>
      </c>
      <c r="Z1442" s="257">
        <f t="shared" si="305"/>
        <v>0</v>
      </c>
      <c r="AA1442" s="257">
        <f t="shared" si="306"/>
        <v>0</v>
      </c>
      <c r="AB1442" s="269">
        <f t="shared" si="307"/>
        <v>0</v>
      </c>
      <c r="AC1442" s="269">
        <f t="shared" si="308"/>
        <v>0</v>
      </c>
      <c r="AD1442" s="271" t="str">
        <f>INDEX('Global inputs'!$C$134:$C$171,MATCH(F1442,'Global inputs'!$B$134:$B$171,0))</f>
        <v>Consumer connection</v>
      </c>
      <c r="AE1442" s="272">
        <f>IF(OR(H1442='Operating leases'!$B$32,H1442='Operating leases'!$B$33),"",INDEX('Global inputs'!$C$186:$C$243,MATCH(E1442,'Global inputs'!$B$186:$B$243,0)))</f>
        <v>0.08</v>
      </c>
    </row>
    <row r="1443" spans="1:31" s="27" customFormat="1" x14ac:dyDescent="0.2">
      <c r="A1443" s="250"/>
      <c r="B1443" s="210" t="s">
        <v>714</v>
      </c>
      <c r="C1443" s="210" t="s">
        <v>290</v>
      </c>
      <c r="D1443" s="210" t="s">
        <v>718</v>
      </c>
      <c r="E1443" s="210" t="s">
        <v>173</v>
      </c>
      <c r="F1443" s="210" t="s">
        <v>94</v>
      </c>
      <c r="G1443" s="210" t="s">
        <v>719</v>
      </c>
      <c r="H1443" s="197">
        <v>0</v>
      </c>
      <c r="I1443" s="210" t="s">
        <v>142</v>
      </c>
      <c r="J1443" s="210">
        <v>2025</v>
      </c>
      <c r="K1443" s="210">
        <v>2025</v>
      </c>
      <c r="L1443" s="268" t="str">
        <f t="shared" si="296"/>
        <v>Simple</v>
      </c>
      <c r="M1443" s="197">
        <v>254865.1827861272</v>
      </c>
      <c r="N1443" s="197">
        <v>382297.7741791908</v>
      </c>
      <c r="O1443" s="257">
        <f>IF(ISNA(MATCH(H1443,'Operating leases'!$B$32:$B$43,0)),0,INDEX('Operating leases'!$M$32:$S$43,MATCH(H1443,'Operating leases'!$B$32:$B$43,0),MATCH(J1443,'Operating leases'!$M$11:$S$11,0)))</f>
        <v>0</v>
      </c>
      <c r="P1443" s="257">
        <f t="shared" si="297"/>
        <v>254865.1827861272</v>
      </c>
      <c r="Q1443" s="257">
        <f t="shared" si="298"/>
        <v>637162.95696531795</v>
      </c>
      <c r="R1443" s="258">
        <f>INDEX('Escalators '!$M$124:$S$129,MATCH(I1443,'Escalators '!$B$124:$B$129,0),MATCH(J1443,'Escalators '!$M$113:$S$113,0))</f>
        <v>1.0914807286621109</v>
      </c>
      <c r="S1443" s="257">
        <f t="shared" si="299"/>
        <v>0</v>
      </c>
      <c r="T1443" s="257">
        <f t="shared" si="300"/>
        <v>417270.65312700631</v>
      </c>
      <c r="U1443" s="269">
        <f t="shared" si="301"/>
        <v>278180.43541800411</v>
      </c>
      <c r="V1443" s="269">
        <f t="shared" si="302"/>
        <v>695451.08854501043</v>
      </c>
      <c r="W1443" s="269">
        <f t="shared" si="303"/>
        <v>278180.43541800411</v>
      </c>
      <c r="X1443" s="257">
        <f t="shared" si="304"/>
        <v>695451.08854501043</v>
      </c>
      <c r="Y1443" s="270">
        <f>IF(L1443="Complex",(INDEX('Escalators '!$M$176:$S$176,MATCH('Forecast capex'!J1443,'Escalators '!$M$178:$S$178,0))/12+1)^((K1443-J1443)*12)-1,0)</f>
        <v>0</v>
      </c>
      <c r="Z1443" s="257">
        <f t="shared" si="305"/>
        <v>0</v>
      </c>
      <c r="AA1443" s="257">
        <f t="shared" si="306"/>
        <v>0</v>
      </c>
      <c r="AB1443" s="269">
        <f t="shared" si="307"/>
        <v>0</v>
      </c>
      <c r="AC1443" s="269">
        <f t="shared" si="308"/>
        <v>0</v>
      </c>
      <c r="AD1443" s="271" t="str">
        <f>INDEX('Global inputs'!$C$134:$C$171,MATCH(F1443,'Global inputs'!$B$134:$B$171,0))</f>
        <v>Consumer connection</v>
      </c>
      <c r="AE1443" s="272">
        <f>IF(OR(H1443='Operating leases'!$B$32,H1443='Operating leases'!$B$33),"",INDEX('Global inputs'!$C$186:$C$243,MATCH(E1443,'Global inputs'!$B$186:$B$243,0)))</f>
        <v>0.08</v>
      </c>
    </row>
    <row r="1444" spans="1:31" s="27" customFormat="1" x14ac:dyDescent="0.2">
      <c r="A1444" s="250"/>
      <c r="B1444" s="210" t="s">
        <v>714</v>
      </c>
      <c r="C1444" s="210" t="s">
        <v>290</v>
      </c>
      <c r="D1444" s="210" t="s">
        <v>718</v>
      </c>
      <c r="E1444" s="210" t="s">
        <v>173</v>
      </c>
      <c r="F1444" s="210" t="s">
        <v>94</v>
      </c>
      <c r="G1444" s="210" t="s">
        <v>719</v>
      </c>
      <c r="H1444" s="197">
        <v>0</v>
      </c>
      <c r="I1444" s="210" t="s">
        <v>221</v>
      </c>
      <c r="J1444" s="210">
        <v>2025</v>
      </c>
      <c r="K1444" s="210">
        <v>2025</v>
      </c>
      <c r="L1444" s="268" t="str">
        <f t="shared" si="296"/>
        <v>Simple</v>
      </c>
      <c r="M1444" s="197">
        <v>63716.295696531801</v>
      </c>
      <c r="N1444" s="197">
        <v>95574.443544797701</v>
      </c>
      <c r="O1444" s="257">
        <f>IF(ISNA(MATCH(H1444,'Operating leases'!$B$32:$B$43,0)),0,INDEX('Operating leases'!$M$32:$S$43,MATCH(H1444,'Operating leases'!$B$32:$B$43,0),MATCH(J1444,'Operating leases'!$M$11:$S$11,0)))</f>
        <v>0</v>
      </c>
      <c r="P1444" s="257">
        <f t="shared" si="297"/>
        <v>63716.295696531801</v>
      </c>
      <c r="Q1444" s="257">
        <f t="shared" si="298"/>
        <v>159290.73924132949</v>
      </c>
      <c r="R1444" s="258">
        <f>INDEX('Escalators '!$M$124:$S$129,MATCH(I1444,'Escalators '!$B$124:$B$129,0),MATCH(J1444,'Escalators '!$M$113:$S$113,0))</f>
        <v>1.0867931559758131</v>
      </c>
      <c r="S1444" s="257">
        <f t="shared" si="299"/>
        <v>0</v>
      </c>
      <c r="T1444" s="257">
        <f t="shared" si="300"/>
        <v>103869.65113068286</v>
      </c>
      <c r="U1444" s="269">
        <f t="shared" si="301"/>
        <v>69246.434087121903</v>
      </c>
      <c r="V1444" s="269">
        <f t="shared" si="302"/>
        <v>173116.08521780476</v>
      </c>
      <c r="W1444" s="269">
        <f t="shared" si="303"/>
        <v>69246.434087121903</v>
      </c>
      <c r="X1444" s="257">
        <f t="shared" si="304"/>
        <v>173116.08521780476</v>
      </c>
      <c r="Y1444" s="270">
        <f>IF(L1444="Complex",(INDEX('Escalators '!$M$176:$S$176,MATCH('Forecast capex'!J1444,'Escalators '!$M$178:$S$178,0))/12+1)^((K1444-J1444)*12)-1,0)</f>
        <v>0</v>
      </c>
      <c r="Z1444" s="257">
        <f t="shared" si="305"/>
        <v>0</v>
      </c>
      <c r="AA1444" s="257">
        <f t="shared" si="306"/>
        <v>0</v>
      </c>
      <c r="AB1444" s="269">
        <f t="shared" si="307"/>
        <v>0</v>
      </c>
      <c r="AC1444" s="269">
        <f t="shared" si="308"/>
        <v>0</v>
      </c>
      <c r="AD1444" s="271" t="str">
        <f>INDEX('Global inputs'!$C$134:$C$171,MATCH(F1444,'Global inputs'!$B$134:$B$171,0))</f>
        <v>Consumer connection</v>
      </c>
      <c r="AE1444" s="272">
        <f>IF(OR(H1444='Operating leases'!$B$32,H1444='Operating leases'!$B$33),"",INDEX('Global inputs'!$C$186:$C$243,MATCH(E1444,'Global inputs'!$B$186:$B$243,0)))</f>
        <v>0.08</v>
      </c>
    </row>
    <row r="1445" spans="1:31" s="27" customFormat="1" x14ac:dyDescent="0.2">
      <c r="A1445" s="250"/>
      <c r="B1445" s="210" t="s">
        <v>714</v>
      </c>
      <c r="C1445" s="210" t="s">
        <v>290</v>
      </c>
      <c r="D1445" s="210" t="s">
        <v>718</v>
      </c>
      <c r="E1445" s="210" t="s">
        <v>168</v>
      </c>
      <c r="F1445" s="210" t="s">
        <v>94</v>
      </c>
      <c r="G1445" s="210" t="s">
        <v>720</v>
      </c>
      <c r="H1445" s="197">
        <v>0</v>
      </c>
      <c r="I1445" s="210" t="s">
        <v>229</v>
      </c>
      <c r="J1445" s="210">
        <v>2025</v>
      </c>
      <c r="K1445" s="210">
        <v>2025</v>
      </c>
      <c r="L1445" s="268" t="str">
        <f t="shared" si="296"/>
        <v>Simple</v>
      </c>
      <c r="M1445" s="197">
        <v>75515.60971440807</v>
      </c>
      <c r="N1445" s="197">
        <v>113273.41457161208</v>
      </c>
      <c r="O1445" s="257">
        <f>IF(ISNA(MATCH(H1445,'Operating leases'!$B$32:$B$43,0)),0,INDEX('Operating leases'!$M$32:$S$43,MATCH(H1445,'Operating leases'!$B$32:$B$43,0),MATCH(J1445,'Operating leases'!$M$11:$S$11,0)))</f>
        <v>0</v>
      </c>
      <c r="P1445" s="257">
        <f t="shared" si="297"/>
        <v>75515.60971440807</v>
      </c>
      <c r="Q1445" s="257">
        <f t="shared" si="298"/>
        <v>188789.02428602014</v>
      </c>
      <c r="R1445" s="258">
        <f>INDEX('Escalators '!$M$124:$S$129,MATCH(I1445,'Escalators '!$B$124:$B$129,0),MATCH(J1445,'Escalators '!$M$113:$S$113,0))</f>
        <v>1.0919411253473632</v>
      </c>
      <c r="S1445" s="257">
        <f t="shared" si="299"/>
        <v>0</v>
      </c>
      <c r="T1445" s="257">
        <f t="shared" si="300"/>
        <v>123687.89977926451</v>
      </c>
      <c r="U1445" s="269">
        <f t="shared" si="301"/>
        <v>82458.599852842992</v>
      </c>
      <c r="V1445" s="269">
        <f t="shared" si="302"/>
        <v>206146.4996321075</v>
      </c>
      <c r="W1445" s="269">
        <f t="shared" si="303"/>
        <v>82458.599852842992</v>
      </c>
      <c r="X1445" s="257">
        <f t="shared" si="304"/>
        <v>206146.4996321075</v>
      </c>
      <c r="Y1445" s="270">
        <f>IF(L1445="Complex",(INDEX('Escalators '!$M$176:$S$176,MATCH('Forecast capex'!J1445,'Escalators '!$M$178:$S$178,0))/12+1)^((K1445-J1445)*12)-1,0)</f>
        <v>0</v>
      </c>
      <c r="Z1445" s="257">
        <f t="shared" si="305"/>
        <v>0</v>
      </c>
      <c r="AA1445" s="257">
        <f t="shared" si="306"/>
        <v>0</v>
      </c>
      <c r="AB1445" s="269">
        <f t="shared" si="307"/>
        <v>0</v>
      </c>
      <c r="AC1445" s="269">
        <f t="shared" si="308"/>
        <v>0</v>
      </c>
      <c r="AD1445" s="271" t="str">
        <f>INDEX('Global inputs'!$C$134:$C$171,MATCH(F1445,'Global inputs'!$B$134:$B$171,0))</f>
        <v>Consumer connection</v>
      </c>
      <c r="AE1445" s="272">
        <f>IF(OR(H1445='Operating leases'!$B$32,H1445='Operating leases'!$B$33),"",INDEX('Global inputs'!$C$186:$C$243,MATCH(E1445,'Global inputs'!$B$186:$B$243,0)))</f>
        <v>0.08</v>
      </c>
    </row>
    <row r="1446" spans="1:31" s="27" customFormat="1" x14ac:dyDescent="0.2">
      <c r="A1446" s="250"/>
      <c r="B1446" s="210" t="s">
        <v>714</v>
      </c>
      <c r="C1446" s="210" t="s">
        <v>290</v>
      </c>
      <c r="D1446" s="210" t="s">
        <v>718</v>
      </c>
      <c r="E1446" s="210" t="s">
        <v>168</v>
      </c>
      <c r="F1446" s="210" t="s">
        <v>94</v>
      </c>
      <c r="G1446" s="210" t="s">
        <v>720</v>
      </c>
      <c r="H1446" s="197">
        <v>0</v>
      </c>
      <c r="I1446" s="210" t="s">
        <v>221</v>
      </c>
      <c r="J1446" s="210">
        <v>2025</v>
      </c>
      <c r="K1446" s="210">
        <v>2025</v>
      </c>
      <c r="L1446" s="268" t="str">
        <f t="shared" si="296"/>
        <v>Simple</v>
      </c>
      <c r="M1446" s="197">
        <v>18878.902428602018</v>
      </c>
      <c r="N1446" s="197">
        <v>28318.353642903021</v>
      </c>
      <c r="O1446" s="257">
        <f>IF(ISNA(MATCH(H1446,'Operating leases'!$B$32:$B$43,0)),0,INDEX('Operating leases'!$M$32:$S$43,MATCH(H1446,'Operating leases'!$B$32:$B$43,0),MATCH(J1446,'Operating leases'!$M$11:$S$11,0)))</f>
        <v>0</v>
      </c>
      <c r="P1446" s="257">
        <f t="shared" si="297"/>
        <v>18878.902428602018</v>
      </c>
      <c r="Q1446" s="257">
        <f t="shared" si="298"/>
        <v>47197.256071505035</v>
      </c>
      <c r="R1446" s="258">
        <f>INDEX('Escalators '!$M$124:$S$129,MATCH(I1446,'Escalators '!$B$124:$B$129,0),MATCH(J1446,'Escalators '!$M$113:$S$113,0))</f>
        <v>1.0867931559758131</v>
      </c>
      <c r="S1446" s="257">
        <f t="shared" si="299"/>
        <v>0</v>
      </c>
      <c r="T1446" s="257">
        <f t="shared" si="300"/>
        <v>30776.192927609736</v>
      </c>
      <c r="U1446" s="269">
        <f t="shared" si="301"/>
        <v>20517.461951739824</v>
      </c>
      <c r="V1446" s="269">
        <f t="shared" si="302"/>
        <v>51293.65487934956</v>
      </c>
      <c r="W1446" s="269">
        <f t="shared" si="303"/>
        <v>20517.461951739824</v>
      </c>
      <c r="X1446" s="257">
        <f t="shared" si="304"/>
        <v>51293.65487934956</v>
      </c>
      <c r="Y1446" s="270">
        <f>IF(L1446="Complex",(INDEX('Escalators '!$M$176:$S$176,MATCH('Forecast capex'!J1446,'Escalators '!$M$178:$S$178,0))/12+1)^((K1446-J1446)*12)-1,0)</f>
        <v>0</v>
      </c>
      <c r="Z1446" s="257">
        <f t="shared" si="305"/>
        <v>0</v>
      </c>
      <c r="AA1446" s="257">
        <f t="shared" si="306"/>
        <v>0</v>
      </c>
      <c r="AB1446" s="269">
        <f t="shared" si="307"/>
        <v>0</v>
      </c>
      <c r="AC1446" s="269">
        <f t="shared" si="308"/>
        <v>0</v>
      </c>
      <c r="AD1446" s="271" t="str">
        <f>INDEX('Global inputs'!$C$134:$C$171,MATCH(F1446,'Global inputs'!$B$134:$B$171,0))</f>
        <v>Consumer connection</v>
      </c>
      <c r="AE1446" s="272">
        <f>IF(OR(H1446='Operating leases'!$B$32,H1446='Operating leases'!$B$33),"",INDEX('Global inputs'!$C$186:$C$243,MATCH(E1446,'Global inputs'!$B$186:$B$243,0)))</f>
        <v>0.08</v>
      </c>
    </row>
    <row r="1447" spans="1:31" s="27" customFormat="1" x14ac:dyDescent="0.2">
      <c r="A1447" s="250"/>
      <c r="B1447" s="210" t="s">
        <v>714</v>
      </c>
      <c r="C1447" s="210" t="s">
        <v>290</v>
      </c>
      <c r="D1447" s="210" t="s">
        <v>718</v>
      </c>
      <c r="E1447" s="210" t="s">
        <v>170</v>
      </c>
      <c r="F1447" s="210" t="s">
        <v>94</v>
      </c>
      <c r="G1447" s="210" t="s">
        <v>721</v>
      </c>
      <c r="H1447" s="197">
        <v>0</v>
      </c>
      <c r="I1447" s="210" t="s">
        <v>229</v>
      </c>
      <c r="J1447" s="210">
        <v>2025</v>
      </c>
      <c r="K1447" s="210">
        <v>2025</v>
      </c>
      <c r="L1447" s="268" t="str">
        <f t="shared" si="296"/>
        <v>Simple</v>
      </c>
      <c r="M1447" s="197">
        <v>125708.07626737398</v>
      </c>
      <c r="N1447" s="197">
        <v>188562.11440106097</v>
      </c>
      <c r="O1447" s="257">
        <f>IF(ISNA(MATCH(H1447,'Operating leases'!$B$32:$B$43,0)),0,INDEX('Operating leases'!$M$32:$S$43,MATCH(H1447,'Operating leases'!$B$32:$B$43,0),MATCH(J1447,'Operating leases'!$M$11:$S$11,0)))</f>
        <v>0</v>
      </c>
      <c r="P1447" s="257">
        <f t="shared" si="297"/>
        <v>125708.07626737398</v>
      </c>
      <c r="Q1447" s="257">
        <f t="shared" si="298"/>
        <v>314270.19066843495</v>
      </c>
      <c r="R1447" s="258">
        <f>INDEX('Escalators '!$M$124:$S$129,MATCH(I1447,'Escalators '!$B$124:$B$129,0),MATCH(J1447,'Escalators '!$M$113:$S$113,0))</f>
        <v>1.0919411253473632</v>
      </c>
      <c r="S1447" s="257">
        <f t="shared" si="299"/>
        <v>0</v>
      </c>
      <c r="T1447" s="257">
        <f t="shared" si="300"/>
        <v>205898.72739697277</v>
      </c>
      <c r="U1447" s="269">
        <f t="shared" si="301"/>
        <v>137265.81826464849</v>
      </c>
      <c r="V1447" s="269">
        <f t="shared" si="302"/>
        <v>343164.54566162126</v>
      </c>
      <c r="W1447" s="269">
        <f t="shared" si="303"/>
        <v>137265.81826464849</v>
      </c>
      <c r="X1447" s="257">
        <f t="shared" si="304"/>
        <v>343164.54566162126</v>
      </c>
      <c r="Y1447" s="270">
        <f>IF(L1447="Complex",(INDEX('Escalators '!$M$176:$S$176,MATCH('Forecast capex'!J1447,'Escalators '!$M$178:$S$178,0))/12+1)^((K1447-J1447)*12)-1,0)</f>
        <v>0</v>
      </c>
      <c r="Z1447" s="257">
        <f t="shared" si="305"/>
        <v>0</v>
      </c>
      <c r="AA1447" s="257">
        <f t="shared" si="306"/>
        <v>0</v>
      </c>
      <c r="AB1447" s="269">
        <f t="shared" si="307"/>
        <v>0</v>
      </c>
      <c r="AC1447" s="269">
        <f t="shared" si="308"/>
        <v>0</v>
      </c>
      <c r="AD1447" s="271" t="str">
        <f>INDEX('Global inputs'!$C$134:$C$171,MATCH(F1447,'Global inputs'!$B$134:$B$171,0))</f>
        <v>Consumer connection</v>
      </c>
      <c r="AE1447" s="272">
        <f>IF(OR(H1447='Operating leases'!$B$32,H1447='Operating leases'!$B$33),"",INDEX('Global inputs'!$C$186:$C$243,MATCH(E1447,'Global inputs'!$B$186:$B$243,0)))</f>
        <v>0.08</v>
      </c>
    </row>
    <row r="1448" spans="1:31" s="27" customFormat="1" x14ac:dyDescent="0.2">
      <c r="A1448" s="250"/>
      <c r="B1448" s="210" t="s">
        <v>714</v>
      </c>
      <c r="C1448" s="210" t="s">
        <v>290</v>
      </c>
      <c r="D1448" s="210" t="s">
        <v>718</v>
      </c>
      <c r="E1448" s="210" t="s">
        <v>170</v>
      </c>
      <c r="F1448" s="210" t="s">
        <v>94</v>
      </c>
      <c r="G1448" s="210" t="s">
        <v>721</v>
      </c>
      <c r="H1448" s="197">
        <v>0</v>
      </c>
      <c r="I1448" s="210" t="s">
        <v>221</v>
      </c>
      <c r="J1448" s="210">
        <v>2025</v>
      </c>
      <c r="K1448" s="210">
        <v>2025</v>
      </c>
      <c r="L1448" s="268" t="str">
        <f t="shared" si="296"/>
        <v>Simple</v>
      </c>
      <c r="M1448" s="197">
        <v>125708.07626737398</v>
      </c>
      <c r="N1448" s="197">
        <v>188562.11440106097</v>
      </c>
      <c r="O1448" s="257">
        <f>IF(ISNA(MATCH(H1448,'Operating leases'!$B$32:$B$43,0)),0,INDEX('Operating leases'!$M$32:$S$43,MATCH(H1448,'Operating leases'!$B$32:$B$43,0),MATCH(J1448,'Operating leases'!$M$11:$S$11,0)))</f>
        <v>0</v>
      </c>
      <c r="P1448" s="257">
        <f t="shared" si="297"/>
        <v>125708.07626737398</v>
      </c>
      <c r="Q1448" s="257">
        <f t="shared" si="298"/>
        <v>314270.19066843495</v>
      </c>
      <c r="R1448" s="258">
        <f>INDEX('Escalators '!$M$124:$S$129,MATCH(I1448,'Escalators '!$B$124:$B$129,0),MATCH(J1448,'Escalators '!$M$113:$S$113,0))</f>
        <v>1.0867931559758131</v>
      </c>
      <c r="S1448" s="257">
        <f t="shared" si="299"/>
        <v>0</v>
      </c>
      <c r="T1448" s="257">
        <f t="shared" si="300"/>
        <v>204928.01540740137</v>
      </c>
      <c r="U1448" s="269">
        <f t="shared" si="301"/>
        <v>136618.67693826754</v>
      </c>
      <c r="V1448" s="269">
        <f t="shared" si="302"/>
        <v>341546.69234566891</v>
      </c>
      <c r="W1448" s="269">
        <f t="shared" si="303"/>
        <v>136618.67693826754</v>
      </c>
      <c r="X1448" s="257">
        <f t="shared" si="304"/>
        <v>341546.69234566891</v>
      </c>
      <c r="Y1448" s="270">
        <f>IF(L1448="Complex",(INDEX('Escalators '!$M$176:$S$176,MATCH('Forecast capex'!J1448,'Escalators '!$M$178:$S$178,0))/12+1)^((K1448-J1448)*12)-1,0)</f>
        <v>0</v>
      </c>
      <c r="Z1448" s="257">
        <f t="shared" si="305"/>
        <v>0</v>
      </c>
      <c r="AA1448" s="257">
        <f t="shared" si="306"/>
        <v>0</v>
      </c>
      <c r="AB1448" s="269">
        <f t="shared" si="307"/>
        <v>0</v>
      </c>
      <c r="AC1448" s="269">
        <f t="shared" si="308"/>
        <v>0</v>
      </c>
      <c r="AD1448" s="271" t="str">
        <f>INDEX('Global inputs'!$C$134:$C$171,MATCH(F1448,'Global inputs'!$B$134:$B$171,0))</f>
        <v>Consumer connection</v>
      </c>
      <c r="AE1448" s="272">
        <f>IF(OR(H1448='Operating leases'!$B$32,H1448='Operating leases'!$B$33),"",INDEX('Global inputs'!$C$186:$C$243,MATCH(E1448,'Global inputs'!$B$186:$B$243,0)))</f>
        <v>0.08</v>
      </c>
    </row>
    <row r="1449" spans="1:31" s="27" customFormat="1" x14ac:dyDescent="0.2">
      <c r="A1449" s="250"/>
      <c r="B1449" s="210" t="s">
        <v>714</v>
      </c>
      <c r="C1449" s="210" t="s">
        <v>288</v>
      </c>
      <c r="D1449" s="210" t="s">
        <v>718</v>
      </c>
      <c r="E1449" s="210" t="s">
        <v>160</v>
      </c>
      <c r="F1449" s="210" t="s">
        <v>94</v>
      </c>
      <c r="G1449" s="210" t="s">
        <v>722</v>
      </c>
      <c r="H1449" s="197">
        <v>0</v>
      </c>
      <c r="I1449" s="210" t="s">
        <v>229</v>
      </c>
      <c r="J1449" s="210">
        <v>2025</v>
      </c>
      <c r="K1449" s="210">
        <v>2025</v>
      </c>
      <c r="L1449" s="268" t="str">
        <f t="shared" si="296"/>
        <v>Simple</v>
      </c>
      <c r="M1449" s="197">
        <v>108009.1052405596</v>
      </c>
      <c r="N1449" s="197">
        <v>162013.65786083939</v>
      </c>
      <c r="O1449" s="257">
        <f>IF(ISNA(MATCH(H1449,'Operating leases'!$B$32:$B$43,0)),0,INDEX('Operating leases'!$M$32:$S$43,MATCH(H1449,'Operating leases'!$B$32:$B$43,0),MATCH(J1449,'Operating leases'!$M$11:$S$11,0)))</f>
        <v>0</v>
      </c>
      <c r="P1449" s="257">
        <f t="shared" si="297"/>
        <v>108009.1052405596</v>
      </c>
      <c r="Q1449" s="257">
        <f t="shared" si="298"/>
        <v>270022.763101399</v>
      </c>
      <c r="R1449" s="258">
        <f>INDEX('Escalators '!$M$124:$S$129,MATCH(I1449,'Escalators '!$B$124:$B$129,0),MATCH(J1449,'Escalators '!$M$113:$S$113,0))</f>
        <v>1.0919411253473632</v>
      </c>
      <c r="S1449" s="257">
        <f t="shared" si="299"/>
        <v>0</v>
      </c>
      <c r="T1449" s="257">
        <f t="shared" si="300"/>
        <v>176909.37588620765</v>
      </c>
      <c r="U1449" s="269">
        <f t="shared" si="301"/>
        <v>117939.58392413842</v>
      </c>
      <c r="V1449" s="269">
        <f t="shared" si="302"/>
        <v>294848.95981034607</v>
      </c>
      <c r="W1449" s="269">
        <f t="shared" si="303"/>
        <v>117939.58392413842</v>
      </c>
      <c r="X1449" s="257">
        <f t="shared" si="304"/>
        <v>294848.95981034607</v>
      </c>
      <c r="Y1449" s="270">
        <f>IF(L1449="Complex",(INDEX('Escalators '!$M$176:$S$176,MATCH('Forecast capex'!J1449,'Escalators '!$M$178:$S$178,0))/12+1)^((K1449-J1449)*12)-1,0)</f>
        <v>0</v>
      </c>
      <c r="Z1449" s="257">
        <f t="shared" si="305"/>
        <v>0</v>
      </c>
      <c r="AA1449" s="257">
        <f t="shared" si="306"/>
        <v>0</v>
      </c>
      <c r="AB1449" s="269">
        <f t="shared" si="307"/>
        <v>0</v>
      </c>
      <c r="AC1449" s="269">
        <f t="shared" si="308"/>
        <v>0</v>
      </c>
      <c r="AD1449" s="271" t="str">
        <f>INDEX('Global inputs'!$C$134:$C$171,MATCH(F1449,'Global inputs'!$B$134:$B$171,0))</f>
        <v>Consumer connection</v>
      </c>
      <c r="AE1449" s="272">
        <f>IF(OR(H1449='Operating leases'!$B$32,H1449='Operating leases'!$B$33),"",INDEX('Global inputs'!$C$186:$C$243,MATCH(E1449,'Global inputs'!$B$186:$B$243,0)))</f>
        <v>0.08</v>
      </c>
    </row>
    <row r="1450" spans="1:31" s="27" customFormat="1" x14ac:dyDescent="0.2">
      <c r="A1450" s="250"/>
      <c r="B1450" s="210" t="s">
        <v>714</v>
      </c>
      <c r="C1450" s="210" t="s">
        <v>288</v>
      </c>
      <c r="D1450" s="210" t="s">
        <v>718</v>
      </c>
      <c r="E1450" s="210" t="s">
        <v>160</v>
      </c>
      <c r="F1450" s="210" t="s">
        <v>94</v>
      </c>
      <c r="G1450" s="210" t="s">
        <v>722</v>
      </c>
      <c r="H1450" s="197">
        <v>0</v>
      </c>
      <c r="I1450" s="210" t="s">
        <v>221</v>
      </c>
      <c r="J1450" s="210">
        <v>2025</v>
      </c>
      <c r="K1450" s="210">
        <v>2025</v>
      </c>
      <c r="L1450" s="268" t="str">
        <f t="shared" si="296"/>
        <v>Simple</v>
      </c>
      <c r="M1450" s="197">
        <v>108009.1052405596</v>
      </c>
      <c r="N1450" s="197">
        <v>162013.65786083939</v>
      </c>
      <c r="O1450" s="257">
        <f>IF(ISNA(MATCH(H1450,'Operating leases'!$B$32:$B$43,0)),0,INDEX('Operating leases'!$M$32:$S$43,MATCH(H1450,'Operating leases'!$B$32:$B$43,0),MATCH(J1450,'Operating leases'!$M$11:$S$11,0)))</f>
        <v>0</v>
      </c>
      <c r="P1450" s="257">
        <f t="shared" si="297"/>
        <v>108009.1052405596</v>
      </c>
      <c r="Q1450" s="257">
        <f t="shared" si="298"/>
        <v>270022.763101399</v>
      </c>
      <c r="R1450" s="258">
        <f>INDEX('Escalators '!$M$124:$S$129,MATCH(I1450,'Escalators '!$B$124:$B$129,0),MATCH(J1450,'Escalators '!$M$113:$S$113,0))</f>
        <v>1.0867931559758131</v>
      </c>
      <c r="S1450" s="257">
        <f t="shared" si="299"/>
        <v>0</v>
      </c>
      <c r="T1450" s="257">
        <f t="shared" si="300"/>
        <v>176075.33453776722</v>
      </c>
      <c r="U1450" s="269">
        <f t="shared" si="301"/>
        <v>117383.5563585115</v>
      </c>
      <c r="V1450" s="269">
        <f t="shared" si="302"/>
        <v>293458.89089627872</v>
      </c>
      <c r="W1450" s="269">
        <f t="shared" si="303"/>
        <v>117383.5563585115</v>
      </c>
      <c r="X1450" s="257">
        <f t="shared" si="304"/>
        <v>293458.89089627872</v>
      </c>
      <c r="Y1450" s="270">
        <f>IF(L1450="Complex",(INDEX('Escalators '!$M$176:$S$176,MATCH('Forecast capex'!J1450,'Escalators '!$M$178:$S$178,0))/12+1)^((K1450-J1450)*12)-1,0)</f>
        <v>0</v>
      </c>
      <c r="Z1450" s="257">
        <f t="shared" si="305"/>
        <v>0</v>
      </c>
      <c r="AA1450" s="257">
        <f t="shared" si="306"/>
        <v>0</v>
      </c>
      <c r="AB1450" s="269">
        <f t="shared" si="307"/>
        <v>0</v>
      </c>
      <c r="AC1450" s="269">
        <f t="shared" si="308"/>
        <v>0</v>
      </c>
      <c r="AD1450" s="271" t="str">
        <f>INDEX('Global inputs'!$C$134:$C$171,MATCH(F1450,'Global inputs'!$B$134:$B$171,0))</f>
        <v>Consumer connection</v>
      </c>
      <c r="AE1450" s="272">
        <f>IF(OR(H1450='Operating leases'!$B$32,H1450='Operating leases'!$B$33),"",INDEX('Global inputs'!$C$186:$C$243,MATCH(E1450,'Global inputs'!$B$186:$B$243,0)))</f>
        <v>0.08</v>
      </c>
    </row>
    <row r="1451" spans="1:31" s="27" customFormat="1" x14ac:dyDescent="0.2">
      <c r="A1451" s="250"/>
      <c r="B1451" s="210" t="s">
        <v>714</v>
      </c>
      <c r="C1451" s="210" t="s">
        <v>289</v>
      </c>
      <c r="D1451" s="210" t="s">
        <v>723</v>
      </c>
      <c r="E1451" s="210" t="s">
        <v>164</v>
      </c>
      <c r="F1451" s="210" t="s">
        <v>94</v>
      </c>
      <c r="G1451" s="210" t="s">
        <v>724</v>
      </c>
      <c r="H1451" s="197">
        <v>0</v>
      </c>
      <c r="I1451" s="210" t="s">
        <v>139</v>
      </c>
      <c r="J1451" s="210">
        <v>2025</v>
      </c>
      <c r="K1451" s="210">
        <v>2025</v>
      </c>
      <c r="L1451" s="268" t="str">
        <f t="shared" si="296"/>
        <v>Simple</v>
      </c>
      <c r="M1451" s="197">
        <v>809614.46953427873</v>
      </c>
      <c r="N1451" s="197">
        <v>1214421.704301418</v>
      </c>
      <c r="O1451" s="257">
        <f>IF(ISNA(MATCH(H1451,'Operating leases'!$B$32:$B$43,0)),0,INDEX('Operating leases'!$M$32:$S$43,MATCH(H1451,'Operating leases'!$B$32:$B$43,0),MATCH(J1451,'Operating leases'!$M$11:$S$11,0)))</f>
        <v>0</v>
      </c>
      <c r="P1451" s="257">
        <f t="shared" si="297"/>
        <v>809614.46953427873</v>
      </c>
      <c r="Q1451" s="257">
        <f t="shared" si="298"/>
        <v>2024036.1738356967</v>
      </c>
      <c r="R1451" s="258">
        <f>INDEX('Escalators '!$M$124:$S$129,MATCH(I1451,'Escalators '!$B$124:$B$129,0),MATCH(J1451,'Escalators '!$M$113:$S$113,0))</f>
        <v>1.0587148896071601</v>
      </c>
      <c r="S1451" s="257">
        <f t="shared" si="299"/>
        <v>0</v>
      </c>
      <c r="T1451" s="257">
        <f t="shared" si="300"/>
        <v>1285726.3406060149</v>
      </c>
      <c r="U1451" s="269">
        <f t="shared" si="301"/>
        <v>857150.89373734337</v>
      </c>
      <c r="V1451" s="269">
        <f t="shared" si="302"/>
        <v>2142877.2343433583</v>
      </c>
      <c r="W1451" s="269">
        <f t="shared" si="303"/>
        <v>857150.89373734337</v>
      </c>
      <c r="X1451" s="257">
        <f t="shared" si="304"/>
        <v>2142877.2343433583</v>
      </c>
      <c r="Y1451" s="270">
        <f>IF(L1451="Complex",(INDEX('Escalators '!$M$176:$S$176,MATCH('Forecast capex'!J1451,'Escalators '!$M$178:$S$178,0))/12+1)^((K1451-J1451)*12)-1,0)</f>
        <v>0</v>
      </c>
      <c r="Z1451" s="257">
        <f t="shared" si="305"/>
        <v>0</v>
      </c>
      <c r="AA1451" s="257">
        <f t="shared" si="306"/>
        <v>0</v>
      </c>
      <c r="AB1451" s="269">
        <f t="shared" si="307"/>
        <v>0</v>
      </c>
      <c r="AC1451" s="269">
        <f t="shared" si="308"/>
        <v>0</v>
      </c>
      <c r="AD1451" s="271" t="str">
        <f>INDEX('Global inputs'!$C$134:$C$171,MATCH(F1451,'Global inputs'!$B$134:$B$171,0))</f>
        <v>Consumer connection</v>
      </c>
      <c r="AE1451" s="272">
        <f>IF(OR(H1451='Operating leases'!$B$32,H1451='Operating leases'!$B$33),"",INDEX('Global inputs'!$C$186:$C$243,MATCH(E1451,'Global inputs'!$B$186:$B$243,0)))</f>
        <v>0.08</v>
      </c>
    </row>
    <row r="1452" spans="1:31" s="27" customFormat="1" x14ac:dyDescent="0.2">
      <c r="A1452" s="250"/>
      <c r="B1452" s="210" t="s">
        <v>714</v>
      </c>
      <c r="C1452" s="210" t="s">
        <v>289</v>
      </c>
      <c r="D1452" s="210" t="s">
        <v>723</v>
      </c>
      <c r="E1452" s="210" t="s">
        <v>164</v>
      </c>
      <c r="F1452" s="210" t="s">
        <v>94</v>
      </c>
      <c r="G1452" s="210" t="s">
        <v>724</v>
      </c>
      <c r="H1452" s="197">
        <v>0</v>
      </c>
      <c r="I1452" s="210" t="s">
        <v>221</v>
      </c>
      <c r="J1452" s="210">
        <v>2025</v>
      </c>
      <c r="K1452" s="210">
        <v>2025</v>
      </c>
      <c r="L1452" s="268" t="str">
        <f t="shared" si="296"/>
        <v>Simple</v>
      </c>
      <c r="M1452" s="197">
        <v>202403.61738356968</v>
      </c>
      <c r="N1452" s="197">
        <v>303605.42607535451</v>
      </c>
      <c r="O1452" s="257">
        <f>IF(ISNA(MATCH(H1452,'Operating leases'!$B$32:$B$43,0)),0,INDEX('Operating leases'!$M$32:$S$43,MATCH(H1452,'Operating leases'!$B$32:$B$43,0),MATCH(J1452,'Operating leases'!$M$11:$S$11,0)))</f>
        <v>0</v>
      </c>
      <c r="P1452" s="257">
        <f t="shared" si="297"/>
        <v>202403.61738356968</v>
      </c>
      <c r="Q1452" s="257">
        <f t="shared" si="298"/>
        <v>506009.04345892416</v>
      </c>
      <c r="R1452" s="258">
        <f>INDEX('Escalators '!$M$124:$S$129,MATCH(I1452,'Escalators '!$B$124:$B$129,0),MATCH(J1452,'Escalators '!$M$113:$S$113,0))</f>
        <v>1.0867931559758131</v>
      </c>
      <c r="S1452" s="257">
        <f t="shared" si="299"/>
        <v>0</v>
      </c>
      <c r="T1452" s="257">
        <f t="shared" si="300"/>
        <v>329956.29917581595</v>
      </c>
      <c r="U1452" s="269">
        <f t="shared" si="301"/>
        <v>219970.86611721053</v>
      </c>
      <c r="V1452" s="269">
        <f t="shared" si="302"/>
        <v>549927.16529302648</v>
      </c>
      <c r="W1452" s="269">
        <f t="shared" si="303"/>
        <v>219970.86611721053</v>
      </c>
      <c r="X1452" s="257">
        <f t="shared" si="304"/>
        <v>549927.16529302648</v>
      </c>
      <c r="Y1452" s="270">
        <f>IF(L1452="Complex",(INDEX('Escalators '!$M$176:$S$176,MATCH('Forecast capex'!J1452,'Escalators '!$M$178:$S$178,0))/12+1)^((K1452-J1452)*12)-1,0)</f>
        <v>0</v>
      </c>
      <c r="Z1452" s="257">
        <f t="shared" si="305"/>
        <v>0</v>
      </c>
      <c r="AA1452" s="257">
        <f t="shared" si="306"/>
        <v>0</v>
      </c>
      <c r="AB1452" s="269">
        <f t="shared" si="307"/>
        <v>0</v>
      </c>
      <c r="AC1452" s="269">
        <f t="shared" si="308"/>
        <v>0</v>
      </c>
      <c r="AD1452" s="271" t="str">
        <f>INDEX('Global inputs'!$C$134:$C$171,MATCH(F1452,'Global inputs'!$B$134:$B$171,0))</f>
        <v>Consumer connection</v>
      </c>
      <c r="AE1452" s="272">
        <f>IF(OR(H1452='Operating leases'!$B$32,H1452='Operating leases'!$B$33),"",INDEX('Global inputs'!$C$186:$C$243,MATCH(E1452,'Global inputs'!$B$186:$B$243,0)))</f>
        <v>0.08</v>
      </c>
    </row>
    <row r="1453" spans="1:31" s="27" customFormat="1" x14ac:dyDescent="0.2">
      <c r="A1453" s="250"/>
      <c r="B1453" s="210" t="s">
        <v>714</v>
      </c>
      <c r="C1453" s="210" t="s">
        <v>289</v>
      </c>
      <c r="D1453" s="210" t="s">
        <v>723</v>
      </c>
      <c r="E1453" s="210" t="s">
        <v>163</v>
      </c>
      <c r="F1453" s="210" t="s">
        <v>94</v>
      </c>
      <c r="G1453" s="210" t="s">
        <v>725</v>
      </c>
      <c r="H1453" s="197">
        <v>0</v>
      </c>
      <c r="I1453" s="210" t="s">
        <v>139</v>
      </c>
      <c r="J1453" s="210">
        <v>2025</v>
      </c>
      <c r="K1453" s="210">
        <v>2025</v>
      </c>
      <c r="L1453" s="268" t="str">
        <f t="shared" si="296"/>
        <v>Simple</v>
      </c>
      <c r="M1453" s="197">
        <v>526430.93310524849</v>
      </c>
      <c r="N1453" s="197">
        <v>789646.39965787274</v>
      </c>
      <c r="O1453" s="257">
        <f>IF(ISNA(MATCH(H1453,'Operating leases'!$B$32:$B$43,0)),0,INDEX('Operating leases'!$M$32:$S$43,MATCH(H1453,'Operating leases'!$B$32:$B$43,0),MATCH(J1453,'Operating leases'!$M$11:$S$11,0)))</f>
        <v>0</v>
      </c>
      <c r="P1453" s="257">
        <f t="shared" si="297"/>
        <v>526430.93310524849</v>
      </c>
      <c r="Q1453" s="257">
        <f t="shared" si="298"/>
        <v>1316077.3327631212</v>
      </c>
      <c r="R1453" s="258">
        <f>INDEX('Escalators '!$M$124:$S$129,MATCH(I1453,'Escalators '!$B$124:$B$129,0),MATCH(J1453,'Escalators '!$M$113:$S$113,0))</f>
        <v>1.0587148896071601</v>
      </c>
      <c r="S1453" s="257">
        <f t="shared" si="299"/>
        <v>0</v>
      </c>
      <c r="T1453" s="257">
        <f t="shared" si="300"/>
        <v>836010.40084247617</v>
      </c>
      <c r="U1453" s="269">
        <f t="shared" si="301"/>
        <v>557340.26722831745</v>
      </c>
      <c r="V1453" s="269">
        <f t="shared" si="302"/>
        <v>1393350.6680707936</v>
      </c>
      <c r="W1453" s="269">
        <f t="shared" si="303"/>
        <v>557340.26722831745</v>
      </c>
      <c r="X1453" s="257">
        <f t="shared" si="304"/>
        <v>1393350.6680707936</v>
      </c>
      <c r="Y1453" s="270">
        <f>IF(L1453="Complex",(INDEX('Escalators '!$M$176:$S$176,MATCH('Forecast capex'!J1453,'Escalators '!$M$178:$S$178,0))/12+1)^((K1453-J1453)*12)-1,0)</f>
        <v>0</v>
      </c>
      <c r="Z1453" s="257">
        <f t="shared" si="305"/>
        <v>0</v>
      </c>
      <c r="AA1453" s="257">
        <f t="shared" si="306"/>
        <v>0</v>
      </c>
      <c r="AB1453" s="269">
        <f t="shared" si="307"/>
        <v>0</v>
      </c>
      <c r="AC1453" s="269">
        <f t="shared" si="308"/>
        <v>0</v>
      </c>
      <c r="AD1453" s="271" t="str">
        <f>INDEX('Global inputs'!$C$134:$C$171,MATCH(F1453,'Global inputs'!$B$134:$B$171,0))</f>
        <v>Consumer connection</v>
      </c>
      <c r="AE1453" s="272">
        <f>IF(OR(H1453='Operating leases'!$B$32,H1453='Operating leases'!$B$33),"",INDEX('Global inputs'!$C$186:$C$243,MATCH(E1453,'Global inputs'!$B$186:$B$243,0)))</f>
        <v>0.08</v>
      </c>
    </row>
    <row r="1454" spans="1:31" s="27" customFormat="1" x14ac:dyDescent="0.2">
      <c r="A1454" s="250"/>
      <c r="B1454" s="210" t="s">
        <v>714</v>
      </c>
      <c r="C1454" s="210" t="s">
        <v>289</v>
      </c>
      <c r="D1454" s="210" t="s">
        <v>723</v>
      </c>
      <c r="E1454" s="210" t="s">
        <v>163</v>
      </c>
      <c r="F1454" s="210" t="s">
        <v>94</v>
      </c>
      <c r="G1454" s="210" t="s">
        <v>725</v>
      </c>
      <c r="H1454" s="197">
        <v>0</v>
      </c>
      <c r="I1454" s="210" t="s">
        <v>221</v>
      </c>
      <c r="J1454" s="210">
        <v>2025</v>
      </c>
      <c r="K1454" s="210">
        <v>2025</v>
      </c>
      <c r="L1454" s="268" t="str">
        <f t="shared" si="296"/>
        <v>Simple</v>
      </c>
      <c r="M1454" s="197">
        <v>131607.73327631212</v>
      </c>
      <c r="N1454" s="197">
        <v>197411.59991446818</v>
      </c>
      <c r="O1454" s="257">
        <f>IF(ISNA(MATCH(H1454,'Operating leases'!$B$32:$B$43,0)),0,INDEX('Operating leases'!$M$32:$S$43,MATCH(H1454,'Operating leases'!$B$32:$B$43,0),MATCH(J1454,'Operating leases'!$M$11:$S$11,0)))</f>
        <v>0</v>
      </c>
      <c r="P1454" s="257">
        <f t="shared" si="297"/>
        <v>131607.73327631212</v>
      </c>
      <c r="Q1454" s="257">
        <f t="shared" si="298"/>
        <v>329019.33319078031</v>
      </c>
      <c r="R1454" s="258">
        <f>INDEX('Escalators '!$M$124:$S$129,MATCH(I1454,'Escalators '!$B$124:$B$129,0),MATCH(J1454,'Escalators '!$M$113:$S$113,0))</f>
        <v>1.0867931559758131</v>
      </c>
      <c r="S1454" s="257">
        <f t="shared" si="299"/>
        <v>0</v>
      </c>
      <c r="T1454" s="257">
        <f t="shared" si="300"/>
        <v>214545.57569727942</v>
      </c>
      <c r="U1454" s="269">
        <f t="shared" si="301"/>
        <v>143030.38379818626</v>
      </c>
      <c r="V1454" s="269">
        <f t="shared" si="302"/>
        <v>357575.95949546568</v>
      </c>
      <c r="W1454" s="269">
        <f t="shared" si="303"/>
        <v>143030.38379818626</v>
      </c>
      <c r="X1454" s="257">
        <f t="shared" si="304"/>
        <v>357575.95949546568</v>
      </c>
      <c r="Y1454" s="270">
        <f>IF(L1454="Complex",(INDEX('Escalators '!$M$176:$S$176,MATCH('Forecast capex'!J1454,'Escalators '!$M$178:$S$178,0))/12+1)^((K1454-J1454)*12)-1,0)</f>
        <v>0</v>
      </c>
      <c r="Z1454" s="257">
        <f t="shared" si="305"/>
        <v>0</v>
      </c>
      <c r="AA1454" s="257">
        <f t="shared" si="306"/>
        <v>0</v>
      </c>
      <c r="AB1454" s="269">
        <f t="shared" si="307"/>
        <v>0</v>
      </c>
      <c r="AC1454" s="269">
        <f t="shared" si="308"/>
        <v>0</v>
      </c>
      <c r="AD1454" s="271" t="str">
        <f>INDEX('Global inputs'!$C$134:$C$171,MATCH(F1454,'Global inputs'!$B$134:$B$171,0))</f>
        <v>Consumer connection</v>
      </c>
      <c r="AE1454" s="272">
        <f>IF(OR(H1454='Operating leases'!$B$32,H1454='Operating leases'!$B$33),"",INDEX('Global inputs'!$C$186:$C$243,MATCH(E1454,'Global inputs'!$B$186:$B$243,0)))</f>
        <v>0.08</v>
      </c>
    </row>
    <row r="1455" spans="1:31" s="27" customFormat="1" x14ac:dyDescent="0.2">
      <c r="A1455" s="250"/>
      <c r="B1455" s="210" t="s">
        <v>714</v>
      </c>
      <c r="C1455" s="210" t="s">
        <v>286</v>
      </c>
      <c r="D1455" s="210" t="s">
        <v>735</v>
      </c>
      <c r="E1455" s="210" t="s">
        <v>144</v>
      </c>
      <c r="F1455" s="210" t="s">
        <v>94</v>
      </c>
      <c r="G1455" s="210" t="s">
        <v>736</v>
      </c>
      <c r="H1455" s="197">
        <v>0</v>
      </c>
      <c r="I1455" s="210" t="s">
        <v>229</v>
      </c>
      <c r="J1455" s="210">
        <v>2025</v>
      </c>
      <c r="K1455" s="210">
        <v>2025</v>
      </c>
      <c r="L1455" s="268" t="str">
        <f t="shared" si="296"/>
        <v>Simple</v>
      </c>
      <c r="M1455" s="197">
        <v>5445.8372390198119</v>
      </c>
      <c r="N1455" s="197">
        <v>8168.7558585297174</v>
      </c>
      <c r="O1455" s="257">
        <f>IF(ISNA(MATCH(H1455,'Operating leases'!$B$32:$B$43,0)),0,INDEX('Operating leases'!$M$32:$S$43,MATCH(H1455,'Operating leases'!$B$32:$B$43,0),MATCH(J1455,'Operating leases'!$M$11:$S$11,0)))</f>
        <v>0</v>
      </c>
      <c r="P1455" s="257">
        <f t="shared" si="297"/>
        <v>5445.8372390198119</v>
      </c>
      <c r="Q1455" s="257">
        <f t="shared" si="298"/>
        <v>13614.593097549528</v>
      </c>
      <c r="R1455" s="258">
        <f>INDEX('Escalators '!$M$124:$S$129,MATCH(I1455,'Escalators '!$B$124:$B$129,0),MATCH(J1455,'Escalators '!$M$113:$S$113,0))</f>
        <v>1.0919411253473632</v>
      </c>
      <c r="S1455" s="257">
        <f t="shared" si="299"/>
        <v>0</v>
      </c>
      <c r="T1455" s="257">
        <f t="shared" si="300"/>
        <v>8919.8004648508049</v>
      </c>
      <c r="U1455" s="269">
        <f t="shared" si="301"/>
        <v>5946.53364323387</v>
      </c>
      <c r="V1455" s="269">
        <f t="shared" si="302"/>
        <v>14866.334108084675</v>
      </c>
      <c r="W1455" s="269">
        <f t="shared" si="303"/>
        <v>5946.53364323387</v>
      </c>
      <c r="X1455" s="257">
        <f t="shared" si="304"/>
        <v>14866.334108084675</v>
      </c>
      <c r="Y1455" s="270">
        <f>IF(L1455="Complex",(INDEX('Escalators '!$M$176:$S$176,MATCH('Forecast capex'!J1455,'Escalators '!$M$178:$S$178,0))/12+1)^((K1455-J1455)*12)-1,0)</f>
        <v>0</v>
      </c>
      <c r="Z1455" s="257">
        <f t="shared" si="305"/>
        <v>0</v>
      </c>
      <c r="AA1455" s="257">
        <f t="shared" si="306"/>
        <v>0</v>
      </c>
      <c r="AB1455" s="269">
        <f t="shared" si="307"/>
        <v>0</v>
      </c>
      <c r="AC1455" s="269">
        <f t="shared" si="308"/>
        <v>0</v>
      </c>
      <c r="AD1455" s="271" t="str">
        <f>INDEX('Global inputs'!$C$134:$C$171,MATCH(F1455,'Global inputs'!$B$134:$B$171,0))</f>
        <v>Consumer connection</v>
      </c>
      <c r="AE1455" s="272">
        <f>IF(OR(H1455='Operating leases'!$B$32,H1455='Operating leases'!$B$33),"",INDEX('Global inputs'!$C$186:$C$243,MATCH(E1455,'Global inputs'!$B$186:$B$243,0)))</f>
        <v>0.08</v>
      </c>
    </row>
    <row r="1456" spans="1:31" s="27" customFormat="1" x14ac:dyDescent="0.2">
      <c r="A1456" s="250"/>
      <c r="B1456" s="210" t="s">
        <v>714</v>
      </c>
      <c r="C1456" s="210" t="s">
        <v>286</v>
      </c>
      <c r="D1456" s="210" t="s">
        <v>735</v>
      </c>
      <c r="E1456" s="210" t="s">
        <v>144</v>
      </c>
      <c r="F1456" s="210" t="s">
        <v>94</v>
      </c>
      <c r="G1456" s="210" t="s">
        <v>736</v>
      </c>
      <c r="H1456" s="197">
        <v>0</v>
      </c>
      <c r="I1456" s="210" t="s">
        <v>221</v>
      </c>
      <c r="J1456" s="210">
        <v>2025</v>
      </c>
      <c r="K1456" s="210">
        <v>2025</v>
      </c>
      <c r="L1456" s="268" t="str">
        <f t="shared" si="296"/>
        <v>Simple</v>
      </c>
      <c r="M1456" s="197">
        <v>21783.348956079248</v>
      </c>
      <c r="N1456" s="197">
        <v>32675.02343411887</v>
      </c>
      <c r="O1456" s="257">
        <f>IF(ISNA(MATCH(H1456,'Operating leases'!$B$32:$B$43,0)),0,INDEX('Operating leases'!$M$32:$S$43,MATCH(H1456,'Operating leases'!$B$32:$B$43,0),MATCH(J1456,'Operating leases'!$M$11:$S$11,0)))</f>
        <v>0</v>
      </c>
      <c r="P1456" s="257">
        <f t="shared" si="297"/>
        <v>21783.348956079248</v>
      </c>
      <c r="Q1456" s="257">
        <f t="shared" si="298"/>
        <v>54458.372390198114</v>
      </c>
      <c r="R1456" s="258">
        <f>INDEX('Escalators '!$M$124:$S$129,MATCH(I1456,'Escalators '!$B$124:$B$129,0),MATCH(J1456,'Escalators '!$M$113:$S$113,0))</f>
        <v>1.0867931559758131</v>
      </c>
      <c r="S1456" s="257">
        <f t="shared" si="299"/>
        <v>0</v>
      </c>
      <c r="T1456" s="257">
        <f t="shared" si="300"/>
        <v>35510.991839549693</v>
      </c>
      <c r="U1456" s="269">
        <f t="shared" si="301"/>
        <v>23673.994559699793</v>
      </c>
      <c r="V1456" s="269">
        <f t="shared" si="302"/>
        <v>59184.986399249487</v>
      </c>
      <c r="W1456" s="269">
        <f t="shared" si="303"/>
        <v>23673.994559699793</v>
      </c>
      <c r="X1456" s="257">
        <f t="shared" si="304"/>
        <v>59184.986399249487</v>
      </c>
      <c r="Y1456" s="270">
        <f>IF(L1456="Complex",(INDEX('Escalators '!$M$176:$S$176,MATCH('Forecast capex'!J1456,'Escalators '!$M$178:$S$178,0))/12+1)^((K1456-J1456)*12)-1,0)</f>
        <v>0</v>
      </c>
      <c r="Z1456" s="257">
        <f t="shared" si="305"/>
        <v>0</v>
      </c>
      <c r="AA1456" s="257">
        <f t="shared" si="306"/>
        <v>0</v>
      </c>
      <c r="AB1456" s="269">
        <f t="shared" si="307"/>
        <v>0</v>
      </c>
      <c r="AC1456" s="269">
        <f t="shared" si="308"/>
        <v>0</v>
      </c>
      <c r="AD1456" s="271" t="str">
        <f>INDEX('Global inputs'!$C$134:$C$171,MATCH(F1456,'Global inputs'!$B$134:$B$171,0))</f>
        <v>Consumer connection</v>
      </c>
      <c r="AE1456" s="272">
        <f>IF(OR(H1456='Operating leases'!$B$32,H1456='Operating leases'!$B$33),"",INDEX('Global inputs'!$C$186:$C$243,MATCH(E1456,'Global inputs'!$B$186:$B$243,0)))</f>
        <v>0.08</v>
      </c>
    </row>
    <row r="1457" spans="1:31" s="27" customFormat="1" x14ac:dyDescent="0.2">
      <c r="A1457" s="250"/>
      <c r="B1457" s="210" t="s">
        <v>714</v>
      </c>
      <c r="C1457" s="210" t="s">
        <v>285</v>
      </c>
      <c r="D1457" s="210" t="s">
        <v>223</v>
      </c>
      <c r="E1457" s="210" t="s">
        <v>134</v>
      </c>
      <c r="F1457" s="210" t="s">
        <v>94</v>
      </c>
      <c r="G1457" s="210" t="s">
        <v>726</v>
      </c>
      <c r="H1457" s="197">
        <v>0</v>
      </c>
      <c r="I1457" s="210" t="s">
        <v>223</v>
      </c>
      <c r="J1457" s="210">
        <v>2025</v>
      </c>
      <c r="K1457" s="210">
        <v>2025</v>
      </c>
      <c r="L1457" s="268" t="str">
        <f t="shared" si="296"/>
        <v>Simple</v>
      </c>
      <c r="M1457" s="197">
        <v>7896.4639965787255</v>
      </c>
      <c r="N1457" s="197">
        <v>11844.695994868089</v>
      </c>
      <c r="O1457" s="257">
        <f>IF(ISNA(MATCH(H1457,'Operating leases'!$B$32:$B$43,0)),0,INDEX('Operating leases'!$M$32:$S$43,MATCH(H1457,'Operating leases'!$B$32:$B$43,0),MATCH(J1457,'Operating leases'!$M$11:$S$11,0)))</f>
        <v>0</v>
      </c>
      <c r="P1457" s="257">
        <f t="shared" si="297"/>
        <v>7896.4639965787255</v>
      </c>
      <c r="Q1457" s="257">
        <f t="shared" si="298"/>
        <v>19741.159991446813</v>
      </c>
      <c r="R1457" s="258">
        <f>INDEX('Escalators '!$M$124:$S$129,MATCH(I1457,'Escalators '!$B$124:$B$129,0),MATCH(J1457,'Escalators '!$M$113:$S$113,0))</f>
        <v>1.1331892756985407</v>
      </c>
      <c r="S1457" s="257">
        <f t="shared" si="299"/>
        <v>0</v>
      </c>
      <c r="T1457" s="257">
        <f t="shared" si="300"/>
        <v>13422.282475293974</v>
      </c>
      <c r="U1457" s="269">
        <f t="shared" si="301"/>
        <v>8948.1883168626482</v>
      </c>
      <c r="V1457" s="269">
        <f t="shared" si="302"/>
        <v>22370.470792156622</v>
      </c>
      <c r="W1457" s="269">
        <f t="shared" si="303"/>
        <v>8948.1883168626482</v>
      </c>
      <c r="X1457" s="257">
        <f t="shared" si="304"/>
        <v>22370.470792156622</v>
      </c>
      <c r="Y1457" s="270">
        <f>IF(L1457="Complex",(INDEX('Escalators '!$M$176:$S$176,MATCH('Forecast capex'!J1457,'Escalators '!$M$178:$S$178,0))/12+1)^((K1457-J1457)*12)-1,0)</f>
        <v>0</v>
      </c>
      <c r="Z1457" s="257">
        <f t="shared" si="305"/>
        <v>0</v>
      </c>
      <c r="AA1457" s="257">
        <f t="shared" si="306"/>
        <v>0</v>
      </c>
      <c r="AB1457" s="269">
        <f t="shared" si="307"/>
        <v>0</v>
      </c>
      <c r="AC1457" s="269">
        <f t="shared" si="308"/>
        <v>0</v>
      </c>
      <c r="AD1457" s="271" t="str">
        <f>INDEX('Global inputs'!$C$134:$C$171,MATCH(F1457,'Global inputs'!$B$134:$B$171,0))</f>
        <v>Consumer connection</v>
      </c>
      <c r="AE1457" s="272">
        <f>IF(OR(H1457='Operating leases'!$B$32,H1457='Operating leases'!$B$33),"",INDEX('Global inputs'!$C$186:$C$243,MATCH(E1457,'Global inputs'!$B$186:$B$243,0)))</f>
        <v>0.08</v>
      </c>
    </row>
    <row r="1458" spans="1:31" s="27" customFormat="1" x14ac:dyDescent="0.2">
      <c r="A1458" s="250"/>
      <c r="B1458" s="210" t="s">
        <v>714</v>
      </c>
      <c r="C1458" s="210" t="s">
        <v>285</v>
      </c>
      <c r="D1458" s="210" t="s">
        <v>223</v>
      </c>
      <c r="E1458" s="210" t="s">
        <v>134</v>
      </c>
      <c r="F1458" s="210" t="s">
        <v>94</v>
      </c>
      <c r="G1458" s="210" t="s">
        <v>726</v>
      </c>
      <c r="H1458" s="197">
        <v>0</v>
      </c>
      <c r="I1458" s="210" t="s">
        <v>221</v>
      </c>
      <c r="J1458" s="210">
        <v>2025</v>
      </c>
      <c r="K1458" s="210">
        <v>2025</v>
      </c>
      <c r="L1458" s="268" t="str">
        <f t="shared" si="296"/>
        <v>Simple</v>
      </c>
      <c r="M1458" s="197">
        <v>18425.082658683692</v>
      </c>
      <c r="N1458" s="197">
        <v>27637.623988025538</v>
      </c>
      <c r="O1458" s="257">
        <f>IF(ISNA(MATCH(H1458,'Operating leases'!$B$32:$B$43,0)),0,INDEX('Operating leases'!$M$32:$S$43,MATCH(H1458,'Operating leases'!$B$32:$B$43,0),MATCH(J1458,'Operating leases'!$M$11:$S$11,0)))</f>
        <v>0</v>
      </c>
      <c r="P1458" s="257">
        <f t="shared" si="297"/>
        <v>18425.082658683692</v>
      </c>
      <c r="Q1458" s="257">
        <f t="shared" si="298"/>
        <v>46062.70664670923</v>
      </c>
      <c r="R1458" s="258">
        <f>INDEX('Escalators '!$M$124:$S$129,MATCH(I1458,'Escalators '!$B$124:$B$129,0),MATCH(J1458,'Escalators '!$M$113:$S$113,0))</f>
        <v>1.0867931559758131</v>
      </c>
      <c r="S1458" s="257">
        <f t="shared" si="299"/>
        <v>0</v>
      </c>
      <c r="T1458" s="257">
        <f t="shared" si="300"/>
        <v>30036.380597619111</v>
      </c>
      <c r="U1458" s="269">
        <f t="shared" si="301"/>
        <v>20024.253731746077</v>
      </c>
      <c r="V1458" s="269">
        <f t="shared" si="302"/>
        <v>50060.634329365188</v>
      </c>
      <c r="W1458" s="269">
        <f t="shared" si="303"/>
        <v>20024.253731746077</v>
      </c>
      <c r="X1458" s="257">
        <f t="shared" si="304"/>
        <v>50060.634329365188</v>
      </c>
      <c r="Y1458" s="270">
        <f>IF(L1458="Complex",(INDEX('Escalators '!$M$176:$S$176,MATCH('Forecast capex'!J1458,'Escalators '!$M$178:$S$178,0))/12+1)^((K1458-J1458)*12)-1,0)</f>
        <v>0</v>
      </c>
      <c r="Z1458" s="257">
        <f t="shared" si="305"/>
        <v>0</v>
      </c>
      <c r="AA1458" s="257">
        <f t="shared" si="306"/>
        <v>0</v>
      </c>
      <c r="AB1458" s="269">
        <f t="shared" si="307"/>
        <v>0</v>
      </c>
      <c r="AC1458" s="269">
        <f t="shared" si="308"/>
        <v>0</v>
      </c>
      <c r="AD1458" s="271" t="str">
        <f>INDEX('Global inputs'!$C$134:$C$171,MATCH(F1458,'Global inputs'!$B$134:$B$171,0))</f>
        <v>Consumer connection</v>
      </c>
      <c r="AE1458" s="272">
        <f>IF(OR(H1458='Operating leases'!$B$32,H1458='Operating leases'!$B$33),"",INDEX('Global inputs'!$C$186:$C$243,MATCH(E1458,'Global inputs'!$B$186:$B$243,0)))</f>
        <v>0.08</v>
      </c>
    </row>
    <row r="1459" spans="1:31" s="27" customFormat="1" x14ac:dyDescent="0.2">
      <c r="A1459" s="250"/>
      <c r="B1459" s="210" t="s">
        <v>714</v>
      </c>
      <c r="C1459" s="210" t="s">
        <v>288</v>
      </c>
      <c r="D1459" s="210" t="s">
        <v>223</v>
      </c>
      <c r="E1459" s="210" t="s">
        <v>157</v>
      </c>
      <c r="F1459" s="210" t="s">
        <v>94</v>
      </c>
      <c r="G1459" s="210" t="s">
        <v>727</v>
      </c>
      <c r="H1459" s="197">
        <v>0</v>
      </c>
      <c r="I1459" s="210" t="s">
        <v>223</v>
      </c>
      <c r="J1459" s="210">
        <v>2025</v>
      </c>
      <c r="K1459" s="210">
        <v>2025</v>
      </c>
      <c r="L1459" s="268" t="str">
        <f t="shared" si="296"/>
        <v>Simple</v>
      </c>
      <c r="M1459" s="197">
        <v>143770.10311012302</v>
      </c>
      <c r="N1459" s="197">
        <v>215655.1546651845</v>
      </c>
      <c r="O1459" s="257">
        <f>IF(ISNA(MATCH(H1459,'Operating leases'!$B$32:$B$43,0)),0,INDEX('Operating leases'!$M$32:$S$43,MATCH(H1459,'Operating leases'!$B$32:$B$43,0),MATCH(J1459,'Operating leases'!$M$11:$S$11,0)))</f>
        <v>0</v>
      </c>
      <c r="P1459" s="257">
        <f t="shared" si="297"/>
        <v>143770.10311012302</v>
      </c>
      <c r="Q1459" s="257">
        <f t="shared" si="298"/>
        <v>359425.25777530752</v>
      </c>
      <c r="R1459" s="258">
        <f>INDEX('Escalators '!$M$124:$S$129,MATCH(I1459,'Escalators '!$B$124:$B$129,0),MATCH(J1459,'Escalators '!$M$113:$S$113,0))</f>
        <v>1.1331892756985407</v>
      </c>
      <c r="S1459" s="257">
        <f t="shared" si="299"/>
        <v>0</v>
      </c>
      <c r="T1459" s="257">
        <f t="shared" si="300"/>
        <v>244378.10851569718</v>
      </c>
      <c r="U1459" s="269">
        <f t="shared" si="301"/>
        <v>162918.73901046481</v>
      </c>
      <c r="V1459" s="269">
        <f t="shared" si="302"/>
        <v>407296.84752616199</v>
      </c>
      <c r="W1459" s="269">
        <f t="shared" si="303"/>
        <v>162918.73901046481</v>
      </c>
      <c r="X1459" s="257">
        <f t="shared" si="304"/>
        <v>407296.84752616199</v>
      </c>
      <c r="Y1459" s="270">
        <f>IF(L1459="Complex",(INDEX('Escalators '!$M$176:$S$176,MATCH('Forecast capex'!J1459,'Escalators '!$M$178:$S$178,0))/12+1)^((K1459-J1459)*12)-1,0)</f>
        <v>0</v>
      </c>
      <c r="Z1459" s="257">
        <f t="shared" si="305"/>
        <v>0</v>
      </c>
      <c r="AA1459" s="257">
        <f t="shared" si="306"/>
        <v>0</v>
      </c>
      <c r="AB1459" s="269">
        <f t="shared" si="307"/>
        <v>0</v>
      </c>
      <c r="AC1459" s="269">
        <f t="shared" si="308"/>
        <v>0</v>
      </c>
      <c r="AD1459" s="271" t="str">
        <f>INDEX('Global inputs'!$C$134:$C$171,MATCH(F1459,'Global inputs'!$B$134:$B$171,0))</f>
        <v>Consumer connection</v>
      </c>
      <c r="AE1459" s="272">
        <f>IF(OR(H1459='Operating leases'!$B$32,H1459='Operating leases'!$B$33),"",INDEX('Global inputs'!$C$186:$C$243,MATCH(E1459,'Global inputs'!$B$186:$B$243,0)))</f>
        <v>0.08</v>
      </c>
    </row>
    <row r="1460" spans="1:31" s="27" customFormat="1" x14ac:dyDescent="0.2">
      <c r="A1460" s="250"/>
      <c r="B1460" s="210" t="s">
        <v>714</v>
      </c>
      <c r="C1460" s="210" t="s">
        <v>288</v>
      </c>
      <c r="D1460" s="210" t="s">
        <v>223</v>
      </c>
      <c r="E1460" s="210" t="s">
        <v>157</v>
      </c>
      <c r="F1460" s="210" t="s">
        <v>94</v>
      </c>
      <c r="G1460" s="210" t="s">
        <v>727</v>
      </c>
      <c r="H1460" s="197">
        <v>0</v>
      </c>
      <c r="I1460" s="210" t="s">
        <v>221</v>
      </c>
      <c r="J1460" s="210">
        <v>2025</v>
      </c>
      <c r="K1460" s="210">
        <v>2025</v>
      </c>
      <c r="L1460" s="268" t="str">
        <f t="shared" si="296"/>
        <v>Simple</v>
      </c>
      <c r="M1460" s="197">
        <v>335463.57392362034</v>
      </c>
      <c r="N1460" s="197">
        <v>503195.36088543048</v>
      </c>
      <c r="O1460" s="257">
        <f>IF(ISNA(MATCH(H1460,'Operating leases'!$B$32:$B$43,0)),0,INDEX('Operating leases'!$M$32:$S$43,MATCH(H1460,'Operating leases'!$B$32:$B$43,0),MATCH(J1460,'Operating leases'!$M$11:$S$11,0)))</f>
        <v>0</v>
      </c>
      <c r="P1460" s="257">
        <f t="shared" si="297"/>
        <v>335463.57392362034</v>
      </c>
      <c r="Q1460" s="257">
        <f t="shared" si="298"/>
        <v>838658.93480905076</v>
      </c>
      <c r="R1460" s="258">
        <f>INDEX('Escalators '!$M$124:$S$129,MATCH(I1460,'Escalators '!$B$124:$B$129,0),MATCH(J1460,'Escalators '!$M$113:$S$113,0))</f>
        <v>1.0867931559758131</v>
      </c>
      <c r="S1460" s="257">
        <f t="shared" si="299"/>
        <v>0</v>
      </c>
      <c r="T1460" s="257">
        <f t="shared" si="300"/>
        <v>546869.27432906523</v>
      </c>
      <c r="U1460" s="269">
        <f t="shared" si="301"/>
        <v>364579.5162193767</v>
      </c>
      <c r="V1460" s="269">
        <f t="shared" si="302"/>
        <v>911448.79054844193</v>
      </c>
      <c r="W1460" s="269">
        <f t="shared" si="303"/>
        <v>364579.5162193767</v>
      </c>
      <c r="X1460" s="257">
        <f t="shared" si="304"/>
        <v>911448.79054844193</v>
      </c>
      <c r="Y1460" s="270">
        <f>IF(L1460="Complex",(INDEX('Escalators '!$M$176:$S$176,MATCH('Forecast capex'!J1460,'Escalators '!$M$178:$S$178,0))/12+1)^((K1460-J1460)*12)-1,0)</f>
        <v>0</v>
      </c>
      <c r="Z1460" s="257">
        <f t="shared" si="305"/>
        <v>0</v>
      </c>
      <c r="AA1460" s="257">
        <f t="shared" si="306"/>
        <v>0</v>
      </c>
      <c r="AB1460" s="269">
        <f t="shared" si="307"/>
        <v>0</v>
      </c>
      <c r="AC1460" s="269">
        <f t="shared" si="308"/>
        <v>0</v>
      </c>
      <c r="AD1460" s="271" t="str">
        <f>INDEX('Global inputs'!$C$134:$C$171,MATCH(F1460,'Global inputs'!$B$134:$B$171,0))</f>
        <v>Consumer connection</v>
      </c>
      <c r="AE1460" s="272">
        <f>IF(OR(H1460='Operating leases'!$B$32,H1460='Operating leases'!$B$33),"",INDEX('Global inputs'!$C$186:$C$243,MATCH(E1460,'Global inputs'!$B$186:$B$243,0)))</f>
        <v>0.08</v>
      </c>
    </row>
    <row r="1461" spans="1:31" s="27" customFormat="1" x14ac:dyDescent="0.2">
      <c r="A1461" s="250"/>
      <c r="B1461" s="210" t="s">
        <v>714</v>
      </c>
      <c r="C1461" s="210" t="s">
        <v>288</v>
      </c>
      <c r="D1461" s="210" t="s">
        <v>223</v>
      </c>
      <c r="E1461" s="210" t="s">
        <v>159</v>
      </c>
      <c r="F1461" s="210" t="s">
        <v>94</v>
      </c>
      <c r="G1461" s="210" t="s">
        <v>728</v>
      </c>
      <c r="H1461" s="197">
        <v>0</v>
      </c>
      <c r="I1461" s="210" t="s">
        <v>223</v>
      </c>
      <c r="J1461" s="210">
        <v>2025</v>
      </c>
      <c r="K1461" s="210">
        <v>2025</v>
      </c>
      <c r="L1461" s="268" t="str">
        <f t="shared" si="296"/>
        <v>Simple</v>
      </c>
      <c r="M1461" s="197">
        <v>409163.90455835522</v>
      </c>
      <c r="N1461" s="197">
        <v>613745.85683753272</v>
      </c>
      <c r="O1461" s="257">
        <f>IF(ISNA(MATCH(H1461,'Operating leases'!$B$32:$B$43,0)),0,INDEX('Operating leases'!$M$32:$S$43,MATCH(H1461,'Operating leases'!$B$32:$B$43,0),MATCH(J1461,'Operating leases'!$M$11:$S$11,0)))</f>
        <v>0</v>
      </c>
      <c r="P1461" s="257">
        <f t="shared" si="297"/>
        <v>409163.90455835522</v>
      </c>
      <c r="Q1461" s="257">
        <f t="shared" si="298"/>
        <v>1022909.7613958879</v>
      </c>
      <c r="R1461" s="258">
        <f>INDEX('Escalators '!$M$124:$S$129,MATCH(I1461,'Escalators '!$B$124:$B$129,0),MATCH(J1461,'Escalators '!$M$113:$S$113,0))</f>
        <v>1.1331892756985407</v>
      </c>
      <c r="S1461" s="257">
        <f t="shared" si="299"/>
        <v>0</v>
      </c>
      <c r="T1461" s="257">
        <f t="shared" si="300"/>
        <v>695490.22297270398</v>
      </c>
      <c r="U1461" s="269">
        <f t="shared" si="301"/>
        <v>463660.14864846936</v>
      </c>
      <c r="V1461" s="269">
        <f t="shared" si="302"/>
        <v>1159150.3716211733</v>
      </c>
      <c r="W1461" s="269">
        <f t="shared" si="303"/>
        <v>463660.14864846936</v>
      </c>
      <c r="X1461" s="257">
        <f t="shared" si="304"/>
        <v>1159150.3716211733</v>
      </c>
      <c r="Y1461" s="270">
        <f>IF(L1461="Complex",(INDEX('Escalators '!$M$176:$S$176,MATCH('Forecast capex'!J1461,'Escalators '!$M$178:$S$178,0))/12+1)^((K1461-J1461)*12)-1,0)</f>
        <v>0</v>
      </c>
      <c r="Z1461" s="257">
        <f t="shared" si="305"/>
        <v>0</v>
      </c>
      <c r="AA1461" s="257">
        <f t="shared" si="306"/>
        <v>0</v>
      </c>
      <c r="AB1461" s="269">
        <f t="shared" si="307"/>
        <v>0</v>
      </c>
      <c r="AC1461" s="269">
        <f t="shared" si="308"/>
        <v>0</v>
      </c>
      <c r="AD1461" s="271" t="str">
        <f>INDEX('Global inputs'!$C$134:$C$171,MATCH(F1461,'Global inputs'!$B$134:$B$171,0))</f>
        <v>Consumer connection</v>
      </c>
      <c r="AE1461" s="272">
        <f>IF(OR(H1461='Operating leases'!$B$32,H1461='Operating leases'!$B$33),"",INDEX('Global inputs'!$C$186:$C$243,MATCH(E1461,'Global inputs'!$B$186:$B$243,0)))</f>
        <v>0.08</v>
      </c>
    </row>
    <row r="1462" spans="1:31" s="27" customFormat="1" x14ac:dyDescent="0.2">
      <c r="A1462" s="250"/>
      <c r="B1462" s="210" t="s">
        <v>714</v>
      </c>
      <c r="C1462" s="210" t="s">
        <v>288</v>
      </c>
      <c r="D1462" s="210" t="s">
        <v>223</v>
      </c>
      <c r="E1462" s="210" t="s">
        <v>159</v>
      </c>
      <c r="F1462" s="210" t="s">
        <v>94</v>
      </c>
      <c r="G1462" s="210" t="s">
        <v>728</v>
      </c>
      <c r="H1462" s="197">
        <v>0</v>
      </c>
      <c r="I1462" s="210" t="s">
        <v>221</v>
      </c>
      <c r="J1462" s="210">
        <v>2025</v>
      </c>
      <c r="K1462" s="210">
        <v>2025</v>
      </c>
      <c r="L1462" s="268" t="str">
        <f t="shared" si="296"/>
        <v>Simple</v>
      </c>
      <c r="M1462" s="197">
        <v>613745.85683753283</v>
      </c>
      <c r="N1462" s="197">
        <v>920618.78525629896</v>
      </c>
      <c r="O1462" s="257">
        <f>IF(ISNA(MATCH(H1462,'Operating leases'!$B$32:$B$43,0)),0,INDEX('Operating leases'!$M$32:$S$43,MATCH(H1462,'Operating leases'!$B$32:$B$43,0),MATCH(J1462,'Operating leases'!$M$11:$S$11,0)))</f>
        <v>0</v>
      </c>
      <c r="P1462" s="257">
        <f t="shared" si="297"/>
        <v>613745.85683753283</v>
      </c>
      <c r="Q1462" s="257">
        <f t="shared" si="298"/>
        <v>1534364.6420938317</v>
      </c>
      <c r="R1462" s="258">
        <f>INDEX('Escalators '!$M$124:$S$129,MATCH(I1462,'Escalators '!$B$124:$B$129,0),MATCH(J1462,'Escalators '!$M$113:$S$113,0))</f>
        <v>1.0867931559758131</v>
      </c>
      <c r="S1462" s="257">
        <f t="shared" si="299"/>
        <v>0</v>
      </c>
      <c r="T1462" s="257">
        <f t="shared" si="300"/>
        <v>1000522.1950793124</v>
      </c>
      <c r="U1462" s="269">
        <f t="shared" si="301"/>
        <v>667014.79671954177</v>
      </c>
      <c r="V1462" s="269">
        <f t="shared" si="302"/>
        <v>1667536.9917988542</v>
      </c>
      <c r="W1462" s="269">
        <f t="shared" si="303"/>
        <v>667014.79671954177</v>
      </c>
      <c r="X1462" s="257">
        <f t="shared" si="304"/>
        <v>1667536.9917988542</v>
      </c>
      <c r="Y1462" s="270">
        <f>IF(L1462="Complex",(INDEX('Escalators '!$M$176:$S$176,MATCH('Forecast capex'!J1462,'Escalators '!$M$178:$S$178,0))/12+1)^((K1462-J1462)*12)-1,0)</f>
        <v>0</v>
      </c>
      <c r="Z1462" s="257">
        <f t="shared" si="305"/>
        <v>0</v>
      </c>
      <c r="AA1462" s="257">
        <f t="shared" si="306"/>
        <v>0</v>
      </c>
      <c r="AB1462" s="269">
        <f t="shared" si="307"/>
        <v>0</v>
      </c>
      <c r="AC1462" s="269">
        <f t="shared" si="308"/>
        <v>0</v>
      </c>
      <c r="AD1462" s="271" t="str">
        <f>INDEX('Global inputs'!$C$134:$C$171,MATCH(F1462,'Global inputs'!$B$134:$B$171,0))</f>
        <v>Consumer connection</v>
      </c>
      <c r="AE1462" s="272">
        <f>IF(OR(H1462='Operating leases'!$B$32,H1462='Operating leases'!$B$33),"",INDEX('Global inputs'!$C$186:$C$243,MATCH(E1462,'Global inputs'!$B$186:$B$243,0)))</f>
        <v>0.08</v>
      </c>
    </row>
    <row r="1463" spans="1:31" s="27" customFormat="1" x14ac:dyDescent="0.2">
      <c r="A1463" s="250"/>
      <c r="B1463" s="210" t="s">
        <v>714</v>
      </c>
      <c r="C1463" s="210" t="s">
        <v>287</v>
      </c>
      <c r="D1463" s="210" t="s">
        <v>729</v>
      </c>
      <c r="E1463" s="210" t="s">
        <v>150</v>
      </c>
      <c r="F1463" s="210" t="s">
        <v>94</v>
      </c>
      <c r="G1463" s="210" t="s">
        <v>731</v>
      </c>
      <c r="H1463" s="197">
        <v>0</v>
      </c>
      <c r="I1463" s="210" t="s">
        <v>225</v>
      </c>
      <c r="J1463" s="210">
        <v>2025</v>
      </c>
      <c r="K1463" s="210">
        <v>2025</v>
      </c>
      <c r="L1463" s="268" t="str">
        <f t="shared" si="296"/>
        <v>Simple</v>
      </c>
      <c r="M1463" s="197">
        <v>4628.9616531668398</v>
      </c>
      <c r="N1463" s="197">
        <v>6943.4424797502588</v>
      </c>
      <c r="O1463" s="257">
        <f>IF(ISNA(MATCH(H1463,'Operating leases'!$B$32:$B$43,0)),0,INDEX('Operating leases'!$M$32:$S$43,MATCH(H1463,'Operating leases'!$B$32:$B$43,0),MATCH(J1463,'Operating leases'!$M$11:$S$11,0)))</f>
        <v>0</v>
      </c>
      <c r="P1463" s="257">
        <f t="shared" si="297"/>
        <v>4628.9616531668398</v>
      </c>
      <c r="Q1463" s="257">
        <f t="shared" si="298"/>
        <v>11572.404132917098</v>
      </c>
      <c r="R1463" s="258">
        <f>INDEX('Escalators '!$M$124:$S$129,MATCH(I1463,'Escalators '!$B$124:$B$129,0),MATCH(J1463,'Escalators '!$M$113:$S$113,0))</f>
        <v>1.1332991699624038</v>
      </c>
      <c r="S1463" s="257">
        <f t="shared" si="299"/>
        <v>0</v>
      </c>
      <c r="T1463" s="257">
        <f t="shared" si="300"/>
        <v>7868.9975989826626</v>
      </c>
      <c r="U1463" s="269">
        <f t="shared" si="301"/>
        <v>5245.9983993217747</v>
      </c>
      <c r="V1463" s="269">
        <f t="shared" si="302"/>
        <v>13114.995998304437</v>
      </c>
      <c r="W1463" s="269">
        <f t="shared" si="303"/>
        <v>5245.9983993217747</v>
      </c>
      <c r="X1463" s="257">
        <f t="shared" si="304"/>
        <v>13114.995998304437</v>
      </c>
      <c r="Y1463" s="270">
        <f>IF(L1463="Complex",(INDEX('Escalators '!$M$176:$S$176,MATCH('Forecast capex'!J1463,'Escalators '!$M$178:$S$178,0))/12+1)^((K1463-J1463)*12)-1,0)</f>
        <v>0</v>
      </c>
      <c r="Z1463" s="257">
        <f t="shared" si="305"/>
        <v>0</v>
      </c>
      <c r="AA1463" s="257">
        <f t="shared" si="306"/>
        <v>0</v>
      </c>
      <c r="AB1463" s="269">
        <f t="shared" si="307"/>
        <v>0</v>
      </c>
      <c r="AC1463" s="269">
        <f t="shared" si="308"/>
        <v>0</v>
      </c>
      <c r="AD1463" s="271" t="str">
        <f>INDEX('Global inputs'!$C$134:$C$171,MATCH(F1463,'Global inputs'!$B$134:$B$171,0))</f>
        <v>Consumer connection</v>
      </c>
      <c r="AE1463" s="272">
        <f>IF(OR(H1463='Operating leases'!$B$32,H1463='Operating leases'!$B$33),"",INDEX('Global inputs'!$C$186:$C$243,MATCH(E1463,'Global inputs'!$B$186:$B$243,0)))</f>
        <v>0.08</v>
      </c>
    </row>
    <row r="1464" spans="1:31" s="27" customFormat="1" x14ac:dyDescent="0.2">
      <c r="A1464" s="250"/>
      <c r="B1464" s="210" t="s">
        <v>714</v>
      </c>
      <c r="C1464" s="210" t="s">
        <v>287</v>
      </c>
      <c r="D1464" s="210" t="s">
        <v>729</v>
      </c>
      <c r="E1464" s="210" t="s">
        <v>150</v>
      </c>
      <c r="F1464" s="210" t="s">
        <v>94</v>
      </c>
      <c r="G1464" s="210" t="s">
        <v>731</v>
      </c>
      <c r="H1464" s="197">
        <v>0</v>
      </c>
      <c r="I1464" s="210" t="s">
        <v>221</v>
      </c>
      <c r="J1464" s="210">
        <v>2025</v>
      </c>
      <c r="K1464" s="210">
        <v>2025</v>
      </c>
      <c r="L1464" s="268" t="str">
        <f t="shared" si="296"/>
        <v>Simple</v>
      </c>
      <c r="M1464" s="197">
        <v>18515.846612667359</v>
      </c>
      <c r="N1464" s="197">
        <v>27773.769919001035</v>
      </c>
      <c r="O1464" s="257">
        <f>IF(ISNA(MATCH(H1464,'Operating leases'!$B$32:$B$43,0)),0,INDEX('Operating leases'!$M$32:$S$43,MATCH(H1464,'Operating leases'!$B$32:$B$43,0),MATCH(J1464,'Operating leases'!$M$11:$S$11,0)))</f>
        <v>0</v>
      </c>
      <c r="P1464" s="257">
        <f t="shared" si="297"/>
        <v>18515.846612667359</v>
      </c>
      <c r="Q1464" s="257">
        <f t="shared" si="298"/>
        <v>46289.616531668391</v>
      </c>
      <c r="R1464" s="258">
        <f>INDEX('Escalators '!$M$124:$S$129,MATCH(I1464,'Escalators '!$B$124:$B$129,0),MATCH(J1464,'Escalators '!$M$113:$S$113,0))</f>
        <v>1.0867931559758131</v>
      </c>
      <c r="S1464" s="257">
        <f t="shared" si="299"/>
        <v>0</v>
      </c>
      <c r="T1464" s="257">
        <f t="shared" si="300"/>
        <v>30184.343063617238</v>
      </c>
      <c r="U1464" s="269">
        <f t="shared" si="301"/>
        <v>20122.895375744822</v>
      </c>
      <c r="V1464" s="269">
        <f t="shared" si="302"/>
        <v>50307.23843936206</v>
      </c>
      <c r="W1464" s="269">
        <f t="shared" si="303"/>
        <v>20122.895375744822</v>
      </c>
      <c r="X1464" s="257">
        <f t="shared" si="304"/>
        <v>50307.23843936206</v>
      </c>
      <c r="Y1464" s="270">
        <f>IF(L1464="Complex",(INDEX('Escalators '!$M$176:$S$176,MATCH('Forecast capex'!J1464,'Escalators '!$M$178:$S$178,0))/12+1)^((K1464-J1464)*12)-1,0)</f>
        <v>0</v>
      </c>
      <c r="Z1464" s="257">
        <f t="shared" si="305"/>
        <v>0</v>
      </c>
      <c r="AA1464" s="257">
        <f t="shared" si="306"/>
        <v>0</v>
      </c>
      <c r="AB1464" s="269">
        <f t="shared" si="307"/>
        <v>0</v>
      </c>
      <c r="AC1464" s="269">
        <f t="shared" si="308"/>
        <v>0</v>
      </c>
      <c r="AD1464" s="271" t="str">
        <f>INDEX('Global inputs'!$C$134:$C$171,MATCH(F1464,'Global inputs'!$B$134:$B$171,0))</f>
        <v>Consumer connection</v>
      </c>
      <c r="AE1464" s="272">
        <f>IF(OR(H1464='Operating leases'!$B$32,H1464='Operating leases'!$B$33),"",INDEX('Global inputs'!$C$186:$C$243,MATCH(E1464,'Global inputs'!$B$186:$B$243,0)))</f>
        <v>0.08</v>
      </c>
    </row>
    <row r="1465" spans="1:31" s="27" customFormat="1" x14ac:dyDescent="0.2">
      <c r="A1465" s="250"/>
      <c r="B1465" s="210" t="s">
        <v>714</v>
      </c>
      <c r="C1465" s="210" t="s">
        <v>287</v>
      </c>
      <c r="D1465" s="210" t="s">
        <v>729</v>
      </c>
      <c r="E1465" s="210" t="s">
        <v>151</v>
      </c>
      <c r="F1465" s="210" t="s">
        <v>94</v>
      </c>
      <c r="G1465" s="210" t="s">
        <v>731</v>
      </c>
      <c r="H1465" s="197">
        <v>0</v>
      </c>
      <c r="I1465" s="210" t="s">
        <v>225</v>
      </c>
      <c r="J1465" s="210">
        <v>2025</v>
      </c>
      <c r="K1465" s="210">
        <v>2025</v>
      </c>
      <c r="L1465" s="268" t="str">
        <f t="shared" si="296"/>
        <v>Simple</v>
      </c>
      <c r="M1465" s="197">
        <v>4628.9616531668398</v>
      </c>
      <c r="N1465" s="197">
        <v>6943.4424797502588</v>
      </c>
      <c r="O1465" s="257">
        <f>IF(ISNA(MATCH(H1465,'Operating leases'!$B$32:$B$43,0)),0,INDEX('Operating leases'!$M$32:$S$43,MATCH(H1465,'Operating leases'!$B$32:$B$43,0),MATCH(J1465,'Operating leases'!$M$11:$S$11,0)))</f>
        <v>0</v>
      </c>
      <c r="P1465" s="257">
        <f t="shared" si="297"/>
        <v>4628.9616531668398</v>
      </c>
      <c r="Q1465" s="257">
        <f t="shared" si="298"/>
        <v>11572.404132917098</v>
      </c>
      <c r="R1465" s="258">
        <f>INDEX('Escalators '!$M$124:$S$129,MATCH(I1465,'Escalators '!$B$124:$B$129,0),MATCH(J1465,'Escalators '!$M$113:$S$113,0))</f>
        <v>1.1332991699624038</v>
      </c>
      <c r="S1465" s="257">
        <f t="shared" si="299"/>
        <v>0</v>
      </c>
      <c r="T1465" s="257">
        <f t="shared" si="300"/>
        <v>7868.9975989826626</v>
      </c>
      <c r="U1465" s="269">
        <f t="shared" si="301"/>
        <v>5245.9983993217747</v>
      </c>
      <c r="V1465" s="269">
        <f t="shared" si="302"/>
        <v>13114.995998304437</v>
      </c>
      <c r="W1465" s="269">
        <f t="shared" si="303"/>
        <v>5245.9983993217747</v>
      </c>
      <c r="X1465" s="257">
        <f t="shared" si="304"/>
        <v>13114.995998304437</v>
      </c>
      <c r="Y1465" s="270">
        <f>IF(L1465="Complex",(INDEX('Escalators '!$M$176:$S$176,MATCH('Forecast capex'!J1465,'Escalators '!$M$178:$S$178,0))/12+1)^((K1465-J1465)*12)-1,0)</f>
        <v>0</v>
      </c>
      <c r="Z1465" s="257">
        <f t="shared" si="305"/>
        <v>0</v>
      </c>
      <c r="AA1465" s="257">
        <f t="shared" si="306"/>
        <v>0</v>
      </c>
      <c r="AB1465" s="269">
        <f t="shared" si="307"/>
        <v>0</v>
      </c>
      <c r="AC1465" s="269">
        <f t="shared" si="308"/>
        <v>0</v>
      </c>
      <c r="AD1465" s="271" t="str">
        <f>INDEX('Global inputs'!$C$134:$C$171,MATCH(F1465,'Global inputs'!$B$134:$B$171,0))</f>
        <v>Consumer connection</v>
      </c>
      <c r="AE1465" s="272">
        <f>IF(OR(H1465='Operating leases'!$B$32,H1465='Operating leases'!$B$33),"",INDEX('Global inputs'!$C$186:$C$243,MATCH(E1465,'Global inputs'!$B$186:$B$243,0)))</f>
        <v>0.1</v>
      </c>
    </row>
    <row r="1466" spans="1:31" s="27" customFormat="1" x14ac:dyDescent="0.2">
      <c r="A1466" s="250"/>
      <c r="B1466" s="210" t="s">
        <v>714</v>
      </c>
      <c r="C1466" s="210" t="s">
        <v>287</v>
      </c>
      <c r="D1466" s="210" t="s">
        <v>729</v>
      </c>
      <c r="E1466" s="210" t="s">
        <v>151</v>
      </c>
      <c r="F1466" s="210" t="s">
        <v>94</v>
      </c>
      <c r="G1466" s="210" t="s">
        <v>731</v>
      </c>
      <c r="H1466" s="197">
        <v>0</v>
      </c>
      <c r="I1466" s="210" t="s">
        <v>221</v>
      </c>
      <c r="J1466" s="210">
        <v>2025</v>
      </c>
      <c r="K1466" s="210">
        <v>2025</v>
      </c>
      <c r="L1466" s="268" t="str">
        <f t="shared" si="296"/>
        <v>Simple</v>
      </c>
      <c r="M1466" s="197">
        <v>18515.846612667359</v>
      </c>
      <c r="N1466" s="197">
        <v>27773.769919001035</v>
      </c>
      <c r="O1466" s="257">
        <f>IF(ISNA(MATCH(H1466,'Operating leases'!$B$32:$B$43,0)),0,INDEX('Operating leases'!$M$32:$S$43,MATCH(H1466,'Operating leases'!$B$32:$B$43,0),MATCH(J1466,'Operating leases'!$M$11:$S$11,0)))</f>
        <v>0</v>
      </c>
      <c r="P1466" s="257">
        <f t="shared" si="297"/>
        <v>18515.846612667359</v>
      </c>
      <c r="Q1466" s="257">
        <f t="shared" si="298"/>
        <v>46289.616531668391</v>
      </c>
      <c r="R1466" s="258">
        <f>INDEX('Escalators '!$M$124:$S$129,MATCH(I1466,'Escalators '!$B$124:$B$129,0),MATCH(J1466,'Escalators '!$M$113:$S$113,0))</f>
        <v>1.0867931559758131</v>
      </c>
      <c r="S1466" s="257">
        <f t="shared" si="299"/>
        <v>0</v>
      </c>
      <c r="T1466" s="257">
        <f t="shared" si="300"/>
        <v>30184.343063617238</v>
      </c>
      <c r="U1466" s="269">
        <f t="shared" si="301"/>
        <v>20122.895375744822</v>
      </c>
      <c r="V1466" s="269">
        <f t="shared" si="302"/>
        <v>50307.23843936206</v>
      </c>
      <c r="W1466" s="269">
        <f t="shared" si="303"/>
        <v>20122.895375744822</v>
      </c>
      <c r="X1466" s="257">
        <f t="shared" si="304"/>
        <v>50307.23843936206</v>
      </c>
      <c r="Y1466" s="270">
        <f>IF(L1466="Complex",(INDEX('Escalators '!$M$176:$S$176,MATCH('Forecast capex'!J1466,'Escalators '!$M$178:$S$178,0))/12+1)^((K1466-J1466)*12)-1,0)</f>
        <v>0</v>
      </c>
      <c r="Z1466" s="257">
        <f t="shared" si="305"/>
        <v>0</v>
      </c>
      <c r="AA1466" s="257">
        <f t="shared" si="306"/>
        <v>0</v>
      </c>
      <c r="AB1466" s="269">
        <f t="shared" si="307"/>
        <v>0</v>
      </c>
      <c r="AC1466" s="269">
        <f t="shared" si="308"/>
        <v>0</v>
      </c>
      <c r="AD1466" s="271" t="str">
        <f>INDEX('Global inputs'!$C$134:$C$171,MATCH(F1466,'Global inputs'!$B$134:$B$171,0))</f>
        <v>Consumer connection</v>
      </c>
      <c r="AE1466" s="272">
        <f>IF(OR(H1466='Operating leases'!$B$32,H1466='Operating leases'!$B$33),"",INDEX('Global inputs'!$C$186:$C$243,MATCH(E1466,'Global inputs'!$B$186:$B$243,0)))</f>
        <v>0.1</v>
      </c>
    </row>
    <row r="1467" spans="1:31" s="27" customFormat="1" x14ac:dyDescent="0.2">
      <c r="A1467" s="250"/>
      <c r="B1467" s="210" t="s">
        <v>714</v>
      </c>
      <c r="C1467" s="210" t="s">
        <v>287</v>
      </c>
      <c r="D1467" s="210" t="s">
        <v>729</v>
      </c>
      <c r="E1467" s="210" t="s">
        <v>153</v>
      </c>
      <c r="F1467" s="210" t="s">
        <v>94</v>
      </c>
      <c r="G1467" s="210" t="s">
        <v>737</v>
      </c>
      <c r="H1467" s="197">
        <v>0</v>
      </c>
      <c r="I1467" s="210" t="s">
        <v>225</v>
      </c>
      <c r="J1467" s="210">
        <v>2025</v>
      </c>
      <c r="K1467" s="210">
        <v>2025</v>
      </c>
      <c r="L1467" s="268" t="str">
        <f t="shared" si="296"/>
        <v>Simple</v>
      </c>
      <c r="M1467" s="197">
        <v>4356.6697912158497</v>
      </c>
      <c r="N1467" s="197">
        <v>6535.0046868237741</v>
      </c>
      <c r="O1467" s="257">
        <f>IF(ISNA(MATCH(H1467,'Operating leases'!$B$32:$B$43,0)),0,INDEX('Operating leases'!$M$32:$S$43,MATCH(H1467,'Operating leases'!$B$32:$B$43,0),MATCH(J1467,'Operating leases'!$M$11:$S$11,0)))</f>
        <v>0</v>
      </c>
      <c r="P1467" s="257">
        <f t="shared" si="297"/>
        <v>4356.6697912158497</v>
      </c>
      <c r="Q1467" s="257">
        <f t="shared" si="298"/>
        <v>10891.674478039624</v>
      </c>
      <c r="R1467" s="258">
        <f>INDEX('Escalators '!$M$124:$S$129,MATCH(I1467,'Escalators '!$B$124:$B$129,0),MATCH(J1467,'Escalators '!$M$113:$S$113,0))</f>
        <v>1.1332991699624038</v>
      </c>
      <c r="S1467" s="257">
        <f t="shared" si="299"/>
        <v>0</v>
      </c>
      <c r="T1467" s="257">
        <f t="shared" si="300"/>
        <v>7406.1153872778013</v>
      </c>
      <c r="U1467" s="269">
        <f t="shared" si="301"/>
        <v>4937.4102581852021</v>
      </c>
      <c r="V1467" s="269">
        <f t="shared" si="302"/>
        <v>12343.525645463003</v>
      </c>
      <c r="W1467" s="269">
        <f t="shared" si="303"/>
        <v>4937.4102581852021</v>
      </c>
      <c r="X1467" s="257">
        <f t="shared" si="304"/>
        <v>12343.525645463003</v>
      </c>
      <c r="Y1467" s="270">
        <f>IF(L1467="Complex",(INDEX('Escalators '!$M$176:$S$176,MATCH('Forecast capex'!J1467,'Escalators '!$M$178:$S$178,0))/12+1)^((K1467-J1467)*12)-1,0)</f>
        <v>0</v>
      </c>
      <c r="Z1467" s="257">
        <f t="shared" si="305"/>
        <v>0</v>
      </c>
      <c r="AA1467" s="257">
        <f t="shared" si="306"/>
        <v>0</v>
      </c>
      <c r="AB1467" s="269">
        <f t="shared" si="307"/>
        <v>0</v>
      </c>
      <c r="AC1467" s="269">
        <f t="shared" si="308"/>
        <v>0</v>
      </c>
      <c r="AD1467" s="271" t="str">
        <f>INDEX('Global inputs'!$C$134:$C$171,MATCH(F1467,'Global inputs'!$B$134:$B$171,0))</f>
        <v>Consumer connection</v>
      </c>
      <c r="AE1467" s="272">
        <f>IF(OR(H1467='Operating leases'!$B$32,H1467='Operating leases'!$B$33),"",INDEX('Global inputs'!$C$186:$C$243,MATCH(E1467,'Global inputs'!$B$186:$B$243,0)))</f>
        <v>0.08</v>
      </c>
    </row>
    <row r="1468" spans="1:31" s="27" customFormat="1" x14ac:dyDescent="0.2">
      <c r="A1468" s="250"/>
      <c r="B1468" s="210" t="s">
        <v>714</v>
      </c>
      <c r="C1468" s="210" t="s">
        <v>287</v>
      </c>
      <c r="D1468" s="210" t="s">
        <v>729</v>
      </c>
      <c r="E1468" s="210" t="s">
        <v>153</v>
      </c>
      <c r="F1468" s="210" t="s">
        <v>94</v>
      </c>
      <c r="G1468" s="210" t="s">
        <v>737</v>
      </c>
      <c r="H1468" s="197">
        <v>0</v>
      </c>
      <c r="I1468" s="210" t="s">
        <v>221</v>
      </c>
      <c r="J1468" s="210">
        <v>2025</v>
      </c>
      <c r="K1468" s="210">
        <v>2025</v>
      </c>
      <c r="L1468" s="268" t="str">
        <f t="shared" si="296"/>
        <v>Simple</v>
      </c>
      <c r="M1468" s="197">
        <v>17426.679164863399</v>
      </c>
      <c r="N1468" s="197">
        <v>26140.018747295097</v>
      </c>
      <c r="O1468" s="257">
        <f>IF(ISNA(MATCH(H1468,'Operating leases'!$B$32:$B$43,0)),0,INDEX('Operating leases'!$M$32:$S$43,MATCH(H1468,'Operating leases'!$B$32:$B$43,0),MATCH(J1468,'Operating leases'!$M$11:$S$11,0)))</f>
        <v>0</v>
      </c>
      <c r="P1468" s="257">
        <f t="shared" si="297"/>
        <v>17426.679164863399</v>
      </c>
      <c r="Q1468" s="257">
        <f t="shared" si="298"/>
        <v>43566.697912158495</v>
      </c>
      <c r="R1468" s="258">
        <f>INDEX('Escalators '!$M$124:$S$129,MATCH(I1468,'Escalators '!$B$124:$B$129,0),MATCH(J1468,'Escalators '!$M$113:$S$113,0))</f>
        <v>1.0867931559758131</v>
      </c>
      <c r="S1468" s="257">
        <f t="shared" si="299"/>
        <v>0</v>
      </c>
      <c r="T1468" s="257">
        <f t="shared" si="300"/>
        <v>28408.793471639758</v>
      </c>
      <c r="U1468" s="269">
        <f t="shared" si="301"/>
        <v>18939.195647759836</v>
      </c>
      <c r="V1468" s="269">
        <f t="shared" si="302"/>
        <v>47347.989119399594</v>
      </c>
      <c r="W1468" s="269">
        <f t="shared" si="303"/>
        <v>18939.195647759836</v>
      </c>
      <c r="X1468" s="257">
        <f t="shared" si="304"/>
        <v>47347.989119399594</v>
      </c>
      <c r="Y1468" s="270">
        <f>IF(L1468="Complex",(INDEX('Escalators '!$M$176:$S$176,MATCH('Forecast capex'!J1468,'Escalators '!$M$178:$S$178,0))/12+1)^((K1468-J1468)*12)-1,0)</f>
        <v>0</v>
      </c>
      <c r="Z1468" s="257">
        <f t="shared" si="305"/>
        <v>0</v>
      </c>
      <c r="AA1468" s="257">
        <f t="shared" si="306"/>
        <v>0</v>
      </c>
      <c r="AB1468" s="269">
        <f t="shared" si="307"/>
        <v>0</v>
      </c>
      <c r="AC1468" s="269">
        <f t="shared" si="308"/>
        <v>0</v>
      </c>
      <c r="AD1468" s="271" t="str">
        <f>INDEX('Global inputs'!$C$134:$C$171,MATCH(F1468,'Global inputs'!$B$134:$B$171,0))</f>
        <v>Consumer connection</v>
      </c>
      <c r="AE1468" s="272">
        <f>IF(OR(H1468='Operating leases'!$B$32,H1468='Operating leases'!$B$33),"",INDEX('Global inputs'!$C$186:$C$243,MATCH(E1468,'Global inputs'!$B$186:$B$243,0)))</f>
        <v>0.08</v>
      </c>
    </row>
    <row r="1469" spans="1:31" s="27" customFormat="1" x14ac:dyDescent="0.2">
      <c r="A1469" s="250"/>
      <c r="B1469" s="210" t="s">
        <v>714</v>
      </c>
      <c r="C1469" s="210" t="s">
        <v>287</v>
      </c>
      <c r="D1469" s="210" t="s">
        <v>729</v>
      </c>
      <c r="E1469" s="210" t="s">
        <v>154</v>
      </c>
      <c r="F1469" s="210" t="s">
        <v>94</v>
      </c>
      <c r="G1469" s="210" t="s">
        <v>737</v>
      </c>
      <c r="H1469" s="197">
        <v>0</v>
      </c>
      <c r="I1469" s="210" t="s">
        <v>225</v>
      </c>
      <c r="J1469" s="210">
        <v>2025</v>
      </c>
      <c r="K1469" s="210">
        <v>2025</v>
      </c>
      <c r="L1469" s="268" t="str">
        <f t="shared" si="296"/>
        <v>Simple</v>
      </c>
      <c r="M1469" s="197">
        <v>4356.6697912158497</v>
      </c>
      <c r="N1469" s="197">
        <v>6535.0046868237741</v>
      </c>
      <c r="O1469" s="257">
        <f>IF(ISNA(MATCH(H1469,'Operating leases'!$B$32:$B$43,0)),0,INDEX('Operating leases'!$M$32:$S$43,MATCH(H1469,'Operating leases'!$B$32:$B$43,0),MATCH(J1469,'Operating leases'!$M$11:$S$11,0)))</f>
        <v>0</v>
      </c>
      <c r="P1469" s="257">
        <f t="shared" si="297"/>
        <v>4356.6697912158497</v>
      </c>
      <c r="Q1469" s="257">
        <f t="shared" si="298"/>
        <v>10891.674478039624</v>
      </c>
      <c r="R1469" s="258">
        <f>INDEX('Escalators '!$M$124:$S$129,MATCH(I1469,'Escalators '!$B$124:$B$129,0),MATCH(J1469,'Escalators '!$M$113:$S$113,0))</f>
        <v>1.1332991699624038</v>
      </c>
      <c r="S1469" s="257">
        <f t="shared" si="299"/>
        <v>0</v>
      </c>
      <c r="T1469" s="257">
        <f t="shared" si="300"/>
        <v>7406.1153872778013</v>
      </c>
      <c r="U1469" s="269">
        <f t="shared" si="301"/>
        <v>4937.4102581852021</v>
      </c>
      <c r="V1469" s="269">
        <f t="shared" si="302"/>
        <v>12343.525645463003</v>
      </c>
      <c r="W1469" s="269">
        <f t="shared" si="303"/>
        <v>4937.4102581852021</v>
      </c>
      <c r="X1469" s="257">
        <f t="shared" si="304"/>
        <v>12343.525645463003</v>
      </c>
      <c r="Y1469" s="270">
        <f>IF(L1469="Complex",(INDEX('Escalators '!$M$176:$S$176,MATCH('Forecast capex'!J1469,'Escalators '!$M$178:$S$178,0))/12+1)^((K1469-J1469)*12)-1,0)</f>
        <v>0</v>
      </c>
      <c r="Z1469" s="257">
        <f t="shared" si="305"/>
        <v>0</v>
      </c>
      <c r="AA1469" s="257">
        <f t="shared" si="306"/>
        <v>0</v>
      </c>
      <c r="AB1469" s="269">
        <f t="shared" si="307"/>
        <v>0</v>
      </c>
      <c r="AC1469" s="269">
        <f t="shared" si="308"/>
        <v>0</v>
      </c>
      <c r="AD1469" s="271" t="str">
        <f>INDEX('Global inputs'!$C$134:$C$171,MATCH(F1469,'Global inputs'!$B$134:$B$171,0))</f>
        <v>Consumer connection</v>
      </c>
      <c r="AE1469" s="272">
        <f>IF(OR(H1469='Operating leases'!$B$32,H1469='Operating leases'!$B$33),"",INDEX('Global inputs'!$C$186:$C$243,MATCH(E1469,'Global inputs'!$B$186:$B$243,0)))</f>
        <v>0.1</v>
      </c>
    </row>
    <row r="1470" spans="1:31" s="27" customFormat="1" x14ac:dyDescent="0.2">
      <c r="A1470" s="250"/>
      <c r="B1470" s="210" t="s">
        <v>714</v>
      </c>
      <c r="C1470" s="210" t="s">
        <v>287</v>
      </c>
      <c r="D1470" s="210" t="s">
        <v>729</v>
      </c>
      <c r="E1470" s="210" t="s">
        <v>154</v>
      </c>
      <c r="F1470" s="210" t="s">
        <v>94</v>
      </c>
      <c r="G1470" s="210" t="s">
        <v>737</v>
      </c>
      <c r="H1470" s="197">
        <v>0</v>
      </c>
      <c r="I1470" s="210" t="s">
        <v>221</v>
      </c>
      <c r="J1470" s="210">
        <v>2025</v>
      </c>
      <c r="K1470" s="210">
        <v>2025</v>
      </c>
      <c r="L1470" s="268" t="str">
        <f t="shared" si="296"/>
        <v>Simple</v>
      </c>
      <c r="M1470" s="197">
        <v>17426.679164863399</v>
      </c>
      <c r="N1470" s="197">
        <v>26140.018747295097</v>
      </c>
      <c r="O1470" s="257">
        <f>IF(ISNA(MATCH(H1470,'Operating leases'!$B$32:$B$43,0)),0,INDEX('Operating leases'!$M$32:$S$43,MATCH(H1470,'Operating leases'!$B$32:$B$43,0),MATCH(J1470,'Operating leases'!$M$11:$S$11,0)))</f>
        <v>0</v>
      </c>
      <c r="P1470" s="257">
        <f t="shared" si="297"/>
        <v>17426.679164863399</v>
      </c>
      <c r="Q1470" s="257">
        <f t="shared" si="298"/>
        <v>43566.697912158495</v>
      </c>
      <c r="R1470" s="258">
        <f>INDEX('Escalators '!$M$124:$S$129,MATCH(I1470,'Escalators '!$B$124:$B$129,0),MATCH(J1470,'Escalators '!$M$113:$S$113,0))</f>
        <v>1.0867931559758131</v>
      </c>
      <c r="S1470" s="257">
        <f t="shared" si="299"/>
        <v>0</v>
      </c>
      <c r="T1470" s="257">
        <f t="shared" si="300"/>
        <v>28408.793471639758</v>
      </c>
      <c r="U1470" s="269">
        <f t="shared" si="301"/>
        <v>18939.195647759836</v>
      </c>
      <c r="V1470" s="269">
        <f t="shared" si="302"/>
        <v>47347.989119399594</v>
      </c>
      <c r="W1470" s="269">
        <f t="shared" si="303"/>
        <v>18939.195647759836</v>
      </c>
      <c r="X1470" s="257">
        <f t="shared" si="304"/>
        <v>47347.989119399594</v>
      </c>
      <c r="Y1470" s="270">
        <f>IF(L1470="Complex",(INDEX('Escalators '!$M$176:$S$176,MATCH('Forecast capex'!J1470,'Escalators '!$M$178:$S$178,0))/12+1)^((K1470-J1470)*12)-1,0)</f>
        <v>0</v>
      </c>
      <c r="Z1470" s="257">
        <f t="shared" si="305"/>
        <v>0</v>
      </c>
      <c r="AA1470" s="257">
        <f t="shared" si="306"/>
        <v>0</v>
      </c>
      <c r="AB1470" s="269">
        <f t="shared" si="307"/>
        <v>0</v>
      </c>
      <c r="AC1470" s="269">
        <f t="shared" si="308"/>
        <v>0</v>
      </c>
      <c r="AD1470" s="271" t="str">
        <f>INDEX('Global inputs'!$C$134:$C$171,MATCH(F1470,'Global inputs'!$B$134:$B$171,0))</f>
        <v>Consumer connection</v>
      </c>
      <c r="AE1470" s="272">
        <f>IF(OR(H1470='Operating leases'!$B$32,H1470='Operating leases'!$B$33),"",INDEX('Global inputs'!$C$186:$C$243,MATCH(E1470,'Global inputs'!$B$186:$B$243,0)))</f>
        <v>0.1</v>
      </c>
    </row>
    <row r="1471" spans="1:31" s="27" customFormat="1" x14ac:dyDescent="0.2">
      <c r="A1471" s="250"/>
      <c r="B1471" s="210" t="s">
        <v>714</v>
      </c>
      <c r="C1471" s="210" t="s">
        <v>291</v>
      </c>
      <c r="D1471" s="210">
        <v>0</v>
      </c>
      <c r="E1471" s="210" t="s">
        <v>176</v>
      </c>
      <c r="F1471" s="210" t="s">
        <v>94</v>
      </c>
      <c r="G1471" s="210" t="s">
        <v>229</v>
      </c>
      <c r="H1471" s="197">
        <v>0</v>
      </c>
      <c r="I1471" s="210" t="s">
        <v>229</v>
      </c>
      <c r="J1471" s="210">
        <v>2025</v>
      </c>
      <c r="K1471" s="210">
        <v>2025</v>
      </c>
      <c r="L1471" s="268" t="str">
        <f t="shared" si="296"/>
        <v>Simple</v>
      </c>
      <c r="M1471" s="197">
        <v>2722.918619509906</v>
      </c>
      <c r="N1471" s="197">
        <v>4084.3779292648587</v>
      </c>
      <c r="O1471" s="257">
        <f>IF(ISNA(MATCH(H1471,'Operating leases'!$B$32:$B$43,0)),0,INDEX('Operating leases'!$M$32:$S$43,MATCH(H1471,'Operating leases'!$B$32:$B$43,0),MATCH(J1471,'Operating leases'!$M$11:$S$11,0)))</f>
        <v>0</v>
      </c>
      <c r="P1471" s="257">
        <f t="shared" si="297"/>
        <v>2722.918619509906</v>
      </c>
      <c r="Q1471" s="257">
        <f t="shared" si="298"/>
        <v>6807.2965487747642</v>
      </c>
      <c r="R1471" s="258">
        <f>INDEX('Escalators '!$M$124:$S$129,MATCH(I1471,'Escalators '!$B$124:$B$129,0),MATCH(J1471,'Escalators '!$M$113:$S$113,0))</f>
        <v>1.0919411253473632</v>
      </c>
      <c r="S1471" s="257">
        <f t="shared" si="299"/>
        <v>0</v>
      </c>
      <c r="T1471" s="257">
        <f t="shared" si="300"/>
        <v>4459.9002324254025</v>
      </c>
      <c r="U1471" s="269">
        <f t="shared" si="301"/>
        <v>2973.266821616935</v>
      </c>
      <c r="V1471" s="269">
        <f t="shared" si="302"/>
        <v>7433.1670540423374</v>
      </c>
      <c r="W1471" s="269">
        <f t="shared" si="303"/>
        <v>2973.266821616935</v>
      </c>
      <c r="X1471" s="257">
        <f t="shared" si="304"/>
        <v>7433.1670540423374</v>
      </c>
      <c r="Y1471" s="270">
        <f>IF(L1471="Complex",(INDEX('Escalators '!$M$176:$S$176,MATCH('Forecast capex'!J1471,'Escalators '!$M$178:$S$178,0))/12+1)^((K1471-J1471)*12)-1,0)</f>
        <v>0</v>
      </c>
      <c r="Z1471" s="257">
        <f t="shared" si="305"/>
        <v>0</v>
      </c>
      <c r="AA1471" s="257">
        <f t="shared" si="306"/>
        <v>0</v>
      </c>
      <c r="AB1471" s="269">
        <f t="shared" si="307"/>
        <v>0</v>
      </c>
      <c r="AC1471" s="269">
        <f t="shared" si="308"/>
        <v>0</v>
      </c>
      <c r="AD1471" s="271" t="str">
        <f>INDEX('Global inputs'!$C$134:$C$171,MATCH(F1471,'Global inputs'!$B$134:$B$171,0))</f>
        <v>Consumer connection</v>
      </c>
      <c r="AE1471" s="272">
        <f>IF(OR(H1471='Operating leases'!$B$32,H1471='Operating leases'!$B$33),"",INDEX('Global inputs'!$C$186:$C$243,MATCH(E1471,'Global inputs'!$B$186:$B$243,0)))</f>
        <v>0.1</v>
      </c>
    </row>
    <row r="1472" spans="1:31" s="27" customFormat="1" x14ac:dyDescent="0.2">
      <c r="A1472" s="250"/>
      <c r="B1472" s="210" t="s">
        <v>738</v>
      </c>
      <c r="C1472" s="210" t="s">
        <v>292</v>
      </c>
      <c r="D1472" s="210" t="s">
        <v>739</v>
      </c>
      <c r="E1472" s="210" t="s">
        <v>178</v>
      </c>
      <c r="F1472" s="210" t="s">
        <v>91</v>
      </c>
      <c r="G1472" s="210" t="s">
        <v>137</v>
      </c>
      <c r="H1472" s="197">
        <v>0</v>
      </c>
      <c r="I1472" s="210" t="s">
        <v>229</v>
      </c>
      <c r="J1472" s="210">
        <v>2025</v>
      </c>
      <c r="K1472" s="210">
        <v>2025</v>
      </c>
      <c r="L1472" s="268" t="str">
        <f t="shared" si="296"/>
        <v>Simple</v>
      </c>
      <c r="M1472" s="197">
        <v>55984.032351474874</v>
      </c>
      <c r="N1472" s="197">
        <v>0</v>
      </c>
      <c r="O1472" s="257">
        <f>IF(ISNA(MATCH(H1472,'Operating leases'!$B$32:$B$43,0)),0,INDEX('Operating leases'!$M$32:$S$43,MATCH(H1472,'Operating leases'!$B$32:$B$43,0),MATCH(J1472,'Operating leases'!$M$11:$S$11,0)))</f>
        <v>0</v>
      </c>
      <c r="P1472" s="257">
        <f t="shared" si="297"/>
        <v>55984.032351474874</v>
      </c>
      <c r="Q1472" s="257">
        <f t="shared" si="298"/>
        <v>55984.032351474874</v>
      </c>
      <c r="R1472" s="258">
        <f>INDEX('Escalators '!$M$124:$S$129,MATCH(I1472,'Escalators '!$B$124:$B$129,0),MATCH(J1472,'Escalators '!$M$113:$S$113,0))</f>
        <v>1.0919411253473632</v>
      </c>
      <c r="S1472" s="257">
        <f t="shared" si="299"/>
        <v>0</v>
      </c>
      <c r="T1472" s="257">
        <f t="shared" si="300"/>
        <v>0</v>
      </c>
      <c r="U1472" s="269">
        <f t="shared" si="301"/>
        <v>61131.267287352661</v>
      </c>
      <c r="V1472" s="269">
        <f t="shared" si="302"/>
        <v>61131.267287352661</v>
      </c>
      <c r="W1472" s="269">
        <f t="shared" si="303"/>
        <v>61131.267287352661</v>
      </c>
      <c r="X1472" s="257">
        <f t="shared" si="304"/>
        <v>61131.267287352661</v>
      </c>
      <c r="Y1472" s="270">
        <f>IF(L1472="Complex",(INDEX('Escalators '!$M$176:$S$176,MATCH('Forecast capex'!J1472,'Escalators '!$M$178:$S$178,0))/12+1)^((K1472-J1472)*12)-1,0)</f>
        <v>0</v>
      </c>
      <c r="Z1472" s="257">
        <f t="shared" si="305"/>
        <v>0</v>
      </c>
      <c r="AA1472" s="257">
        <f t="shared" si="306"/>
        <v>0</v>
      </c>
      <c r="AB1472" s="269">
        <f t="shared" si="307"/>
        <v>0</v>
      </c>
      <c r="AC1472" s="269">
        <f t="shared" si="308"/>
        <v>0</v>
      </c>
      <c r="AD1472" s="271" t="str">
        <f>INDEX('Global inputs'!$C$134:$C$171,MATCH(F1472,'Global inputs'!$B$134:$B$171,0))</f>
        <v>Non-network CAPEX</v>
      </c>
      <c r="AE1472" s="272">
        <f>IF(OR(H1472='Operating leases'!$B$32,H1472='Operating leases'!$B$33),"",INDEX('Global inputs'!$C$186:$C$243,MATCH(E1472,'Global inputs'!$B$186:$B$243,0)))</f>
        <v>0</v>
      </c>
    </row>
    <row r="1473" spans="1:31" s="27" customFormat="1" x14ac:dyDescent="0.2">
      <c r="A1473" s="250"/>
      <c r="B1473" s="210" t="s">
        <v>738</v>
      </c>
      <c r="C1473" s="210" t="s">
        <v>292</v>
      </c>
      <c r="D1473" s="210" t="s">
        <v>739</v>
      </c>
      <c r="E1473" s="210" t="s">
        <v>179</v>
      </c>
      <c r="F1473" s="210" t="s">
        <v>91</v>
      </c>
      <c r="G1473" s="210" t="s">
        <v>740</v>
      </c>
      <c r="H1473" s="197">
        <v>0</v>
      </c>
      <c r="I1473" s="210" t="s">
        <v>229</v>
      </c>
      <c r="J1473" s="210">
        <v>2025</v>
      </c>
      <c r="K1473" s="210">
        <v>2025</v>
      </c>
      <c r="L1473" s="268" t="str">
        <f t="shared" si="296"/>
        <v>Simple</v>
      </c>
      <c r="M1473" s="197">
        <v>279920.16175737436</v>
      </c>
      <c r="N1473" s="197">
        <v>0</v>
      </c>
      <c r="O1473" s="257">
        <f>IF(ISNA(MATCH(H1473,'Operating leases'!$B$32:$B$43,0)),0,INDEX('Operating leases'!$M$32:$S$43,MATCH(H1473,'Operating leases'!$B$32:$B$43,0),MATCH(J1473,'Operating leases'!$M$11:$S$11,0)))</f>
        <v>0</v>
      </c>
      <c r="P1473" s="257">
        <f t="shared" si="297"/>
        <v>279920.16175737436</v>
      </c>
      <c r="Q1473" s="257">
        <f t="shared" si="298"/>
        <v>279920.16175737436</v>
      </c>
      <c r="R1473" s="258">
        <f>INDEX('Escalators '!$M$124:$S$129,MATCH(I1473,'Escalators '!$B$124:$B$129,0),MATCH(J1473,'Escalators '!$M$113:$S$113,0))</f>
        <v>1.0919411253473632</v>
      </c>
      <c r="S1473" s="257">
        <f t="shared" si="299"/>
        <v>0</v>
      </c>
      <c r="T1473" s="257">
        <f t="shared" si="300"/>
        <v>0</v>
      </c>
      <c r="U1473" s="269">
        <f t="shared" si="301"/>
        <v>305656.33643676329</v>
      </c>
      <c r="V1473" s="269">
        <f t="shared" si="302"/>
        <v>305656.33643676329</v>
      </c>
      <c r="W1473" s="269">
        <f t="shared" si="303"/>
        <v>305656.33643676329</v>
      </c>
      <c r="X1473" s="257">
        <f t="shared" si="304"/>
        <v>305656.33643676329</v>
      </c>
      <c r="Y1473" s="270">
        <f>IF(L1473="Complex",(INDEX('Escalators '!$M$176:$S$176,MATCH('Forecast capex'!J1473,'Escalators '!$M$178:$S$178,0))/12+1)^((K1473-J1473)*12)-1,0)</f>
        <v>0</v>
      </c>
      <c r="Z1473" s="257">
        <f t="shared" si="305"/>
        <v>0</v>
      </c>
      <c r="AA1473" s="257">
        <f t="shared" si="306"/>
        <v>0</v>
      </c>
      <c r="AB1473" s="269">
        <f t="shared" si="307"/>
        <v>0</v>
      </c>
      <c r="AC1473" s="269">
        <f t="shared" si="308"/>
        <v>0</v>
      </c>
      <c r="AD1473" s="271" t="str">
        <f>INDEX('Global inputs'!$C$134:$C$171,MATCH(F1473,'Global inputs'!$B$134:$B$171,0))</f>
        <v>Non-network CAPEX</v>
      </c>
      <c r="AE1473" s="272">
        <f>IF(OR(H1473='Operating leases'!$B$32,H1473='Operating leases'!$B$33),"",INDEX('Global inputs'!$C$186:$C$243,MATCH(E1473,'Global inputs'!$B$186:$B$243,0)))</f>
        <v>0.13</v>
      </c>
    </row>
    <row r="1474" spans="1:31" s="27" customFormat="1" x14ac:dyDescent="0.2">
      <c r="A1474" s="250"/>
      <c r="B1474" s="210" t="s">
        <v>738</v>
      </c>
      <c r="C1474" s="210" t="s">
        <v>292</v>
      </c>
      <c r="D1474" s="210" t="s">
        <v>739</v>
      </c>
      <c r="E1474" s="210" t="s">
        <v>185</v>
      </c>
      <c r="F1474" s="210" t="s">
        <v>91</v>
      </c>
      <c r="G1474" s="210" t="s">
        <v>741</v>
      </c>
      <c r="H1474" s="197">
        <v>0</v>
      </c>
      <c r="I1474" s="210" t="s">
        <v>229</v>
      </c>
      <c r="J1474" s="210">
        <v>2025</v>
      </c>
      <c r="K1474" s="210">
        <v>2025</v>
      </c>
      <c r="L1474" s="268" t="str">
        <f t="shared" si="296"/>
        <v>Simple</v>
      </c>
      <c r="M1474" s="197">
        <v>223936.1294058995</v>
      </c>
      <c r="N1474" s="197">
        <v>0</v>
      </c>
      <c r="O1474" s="257">
        <f>IF(ISNA(MATCH(H1474,'Operating leases'!$B$32:$B$43,0)),0,INDEX('Operating leases'!$M$32:$S$43,MATCH(H1474,'Operating leases'!$B$32:$B$43,0),MATCH(J1474,'Operating leases'!$M$11:$S$11,0)))</f>
        <v>0</v>
      </c>
      <c r="P1474" s="257">
        <f t="shared" si="297"/>
        <v>223936.1294058995</v>
      </c>
      <c r="Q1474" s="257">
        <f t="shared" si="298"/>
        <v>223936.1294058995</v>
      </c>
      <c r="R1474" s="258">
        <f>INDEX('Escalators '!$M$124:$S$129,MATCH(I1474,'Escalators '!$B$124:$B$129,0),MATCH(J1474,'Escalators '!$M$113:$S$113,0))</f>
        <v>1.0919411253473632</v>
      </c>
      <c r="S1474" s="257">
        <f t="shared" si="299"/>
        <v>0</v>
      </c>
      <c r="T1474" s="257">
        <f t="shared" si="300"/>
        <v>0</v>
      </c>
      <c r="U1474" s="269">
        <f t="shared" si="301"/>
        <v>244525.06914941064</v>
      </c>
      <c r="V1474" s="269">
        <f t="shared" si="302"/>
        <v>244525.06914941064</v>
      </c>
      <c r="W1474" s="269">
        <f t="shared" si="303"/>
        <v>244525.06914941064</v>
      </c>
      <c r="X1474" s="257">
        <f t="shared" si="304"/>
        <v>244525.06914941064</v>
      </c>
      <c r="Y1474" s="270">
        <f>IF(L1474="Complex",(INDEX('Escalators '!$M$176:$S$176,MATCH('Forecast capex'!J1474,'Escalators '!$M$178:$S$178,0))/12+1)^((K1474-J1474)*12)-1,0)</f>
        <v>0</v>
      </c>
      <c r="Z1474" s="257">
        <f t="shared" si="305"/>
        <v>0</v>
      </c>
      <c r="AA1474" s="257">
        <f t="shared" si="306"/>
        <v>0</v>
      </c>
      <c r="AB1474" s="269">
        <f t="shared" si="307"/>
        <v>0</v>
      </c>
      <c r="AC1474" s="269">
        <f t="shared" si="308"/>
        <v>0</v>
      </c>
      <c r="AD1474" s="271" t="str">
        <f>INDEX('Global inputs'!$C$134:$C$171,MATCH(F1474,'Global inputs'!$B$134:$B$171,0))</f>
        <v>Non-network CAPEX</v>
      </c>
      <c r="AE1474" s="272">
        <f>IF(OR(H1474='Operating leases'!$B$32,H1474='Operating leases'!$B$33),"",INDEX('Global inputs'!$C$186:$C$243,MATCH(E1474,'Global inputs'!$B$186:$B$243,0)))</f>
        <v>0.2</v>
      </c>
    </row>
    <row r="1475" spans="1:31" s="27" customFormat="1" x14ac:dyDescent="0.2">
      <c r="A1475" s="250"/>
      <c r="B1475" s="210" t="s">
        <v>714</v>
      </c>
      <c r="C1475" s="210" t="s">
        <v>291</v>
      </c>
      <c r="D1475" s="210">
        <v>0</v>
      </c>
      <c r="E1475" s="210" t="s">
        <v>176</v>
      </c>
      <c r="F1475" s="210" t="s">
        <v>96</v>
      </c>
      <c r="G1475" s="210" t="s">
        <v>229</v>
      </c>
      <c r="H1475" s="197">
        <v>0</v>
      </c>
      <c r="I1475" s="210" t="s">
        <v>229</v>
      </c>
      <c r="J1475" s="210">
        <v>2025</v>
      </c>
      <c r="K1475" s="210">
        <v>2025</v>
      </c>
      <c r="L1475" s="268" t="str">
        <f t="shared" si="296"/>
        <v>Simple</v>
      </c>
      <c r="M1475" s="197">
        <v>214320</v>
      </c>
      <c r="N1475" s="197">
        <v>0</v>
      </c>
      <c r="O1475" s="257">
        <f>IF(ISNA(MATCH(H1475,'Operating leases'!$B$32:$B$43,0)),0,INDEX('Operating leases'!$M$32:$S$43,MATCH(H1475,'Operating leases'!$B$32:$B$43,0),MATCH(J1475,'Operating leases'!$M$11:$S$11,0)))</f>
        <v>0</v>
      </c>
      <c r="P1475" s="257">
        <f t="shared" si="297"/>
        <v>214320</v>
      </c>
      <c r="Q1475" s="257">
        <f t="shared" si="298"/>
        <v>214320</v>
      </c>
      <c r="R1475" s="258">
        <f>INDEX('Escalators '!$M$124:$S$129,MATCH(I1475,'Escalators '!$B$124:$B$129,0),MATCH(J1475,'Escalators '!$M$113:$S$113,0))</f>
        <v>1.0919411253473632</v>
      </c>
      <c r="S1475" s="257">
        <f t="shared" si="299"/>
        <v>0</v>
      </c>
      <c r="T1475" s="257">
        <f t="shared" si="300"/>
        <v>0</v>
      </c>
      <c r="U1475" s="269">
        <f t="shared" si="301"/>
        <v>234024.82198444687</v>
      </c>
      <c r="V1475" s="269">
        <f t="shared" si="302"/>
        <v>234024.82198444687</v>
      </c>
      <c r="W1475" s="269">
        <f t="shared" si="303"/>
        <v>234024.82198444687</v>
      </c>
      <c r="X1475" s="257">
        <f t="shared" si="304"/>
        <v>234024.82198444687</v>
      </c>
      <c r="Y1475" s="270">
        <f>IF(L1475="Complex",(INDEX('Escalators '!$M$176:$S$176,MATCH('Forecast capex'!J1475,'Escalators '!$M$178:$S$178,0))/12+1)^((K1475-J1475)*12)-1,0)</f>
        <v>0</v>
      </c>
      <c r="Z1475" s="257">
        <f t="shared" si="305"/>
        <v>0</v>
      </c>
      <c r="AA1475" s="257">
        <f t="shared" si="306"/>
        <v>0</v>
      </c>
      <c r="AB1475" s="269">
        <f t="shared" si="307"/>
        <v>0</v>
      </c>
      <c r="AC1475" s="269">
        <f t="shared" si="308"/>
        <v>0</v>
      </c>
      <c r="AD1475" s="271" t="str">
        <f>INDEX('Global inputs'!$C$134:$C$171,MATCH(F1475,'Global inputs'!$B$134:$B$171,0))</f>
        <v>Quality of supply</v>
      </c>
      <c r="AE1475" s="272">
        <f>IF(OR(H1475='Operating leases'!$B$32,H1475='Operating leases'!$B$33),"",INDEX('Global inputs'!$C$186:$C$243,MATCH(E1475,'Global inputs'!$B$186:$B$243,0)))</f>
        <v>0.1</v>
      </c>
    </row>
    <row r="1476" spans="1:31" s="27" customFormat="1" x14ac:dyDescent="0.2">
      <c r="A1476" s="250"/>
      <c r="B1476" s="210" t="s">
        <v>742</v>
      </c>
      <c r="C1476" s="210" t="s">
        <v>289</v>
      </c>
      <c r="D1476" s="210" t="s">
        <v>723</v>
      </c>
      <c r="E1476" s="210" t="s">
        <v>163</v>
      </c>
      <c r="F1476" s="210" t="s">
        <v>115</v>
      </c>
      <c r="G1476" s="210" t="s">
        <v>725</v>
      </c>
      <c r="H1476" s="197">
        <v>0</v>
      </c>
      <c r="I1476" s="210" t="s">
        <v>139</v>
      </c>
      <c r="J1476" s="210">
        <v>2025</v>
      </c>
      <c r="K1476" s="210">
        <v>2025</v>
      </c>
      <c r="L1476" s="268" t="str">
        <f t="shared" si="296"/>
        <v>Simple</v>
      </c>
      <c r="M1476" s="197">
        <v>2963886</v>
      </c>
      <c r="N1476" s="197">
        <v>0</v>
      </c>
      <c r="O1476" s="257">
        <f>IF(ISNA(MATCH(H1476,'Operating leases'!$B$32:$B$43,0)),0,INDEX('Operating leases'!$M$32:$S$43,MATCH(H1476,'Operating leases'!$B$32:$B$43,0),MATCH(J1476,'Operating leases'!$M$11:$S$11,0)))</f>
        <v>0</v>
      </c>
      <c r="P1476" s="257">
        <f t="shared" si="297"/>
        <v>2963886</v>
      </c>
      <c r="Q1476" s="257">
        <f t="shared" si="298"/>
        <v>2963886</v>
      </c>
      <c r="R1476" s="258">
        <f>INDEX('Escalators '!$M$124:$S$129,MATCH(I1476,'Escalators '!$B$124:$B$129,0),MATCH(J1476,'Escalators '!$M$113:$S$113,0))</f>
        <v>1.0587148896071601</v>
      </c>
      <c r="S1476" s="257">
        <f t="shared" si="299"/>
        <v>0</v>
      </c>
      <c r="T1476" s="257">
        <f t="shared" si="300"/>
        <v>0</v>
      </c>
      <c r="U1476" s="269">
        <f t="shared" si="301"/>
        <v>3137910.2392982072</v>
      </c>
      <c r="V1476" s="269">
        <f t="shared" si="302"/>
        <v>3137910.2392982072</v>
      </c>
      <c r="W1476" s="269">
        <f t="shared" si="303"/>
        <v>3137910.2392982072</v>
      </c>
      <c r="X1476" s="257">
        <f t="shared" si="304"/>
        <v>3137910.2392982072</v>
      </c>
      <c r="Y1476" s="270">
        <f>IF(L1476="Complex",(INDEX('Escalators '!$M$176:$S$176,MATCH('Forecast capex'!J1476,'Escalators '!$M$178:$S$178,0))/12+1)^((K1476-J1476)*12)-1,0)</f>
        <v>0</v>
      </c>
      <c r="Z1476" s="257">
        <f t="shared" si="305"/>
        <v>0</v>
      </c>
      <c r="AA1476" s="257">
        <f t="shared" si="306"/>
        <v>0</v>
      </c>
      <c r="AB1476" s="269">
        <f t="shared" si="307"/>
        <v>0</v>
      </c>
      <c r="AC1476" s="269">
        <f t="shared" si="308"/>
        <v>0</v>
      </c>
      <c r="AD1476" s="271" t="str">
        <f>INDEX('Global inputs'!$C$134:$C$171,MATCH(F1476,'Global inputs'!$B$134:$B$171,0))</f>
        <v>Asset replacement and renewal</v>
      </c>
      <c r="AE1476" s="272">
        <f>IF(OR(H1476='Operating leases'!$B$32,H1476='Operating leases'!$B$33),"",INDEX('Global inputs'!$C$186:$C$243,MATCH(E1476,'Global inputs'!$B$186:$B$243,0)))</f>
        <v>0.08</v>
      </c>
    </row>
    <row r="1477" spans="1:31" s="27" customFormat="1" x14ac:dyDescent="0.2">
      <c r="A1477" s="250"/>
      <c r="B1477" s="210" t="s">
        <v>742</v>
      </c>
      <c r="C1477" s="210" t="s">
        <v>289</v>
      </c>
      <c r="D1477" s="210" t="s">
        <v>723</v>
      </c>
      <c r="E1477" s="210" t="s">
        <v>163</v>
      </c>
      <c r="F1477" s="210" t="s">
        <v>115</v>
      </c>
      <c r="G1477" s="210" t="s">
        <v>725</v>
      </c>
      <c r="H1477" s="197">
        <v>0</v>
      </c>
      <c r="I1477" s="210" t="s">
        <v>221</v>
      </c>
      <c r="J1477" s="210">
        <v>2025</v>
      </c>
      <c r="K1477" s="210">
        <v>2025</v>
      </c>
      <c r="L1477" s="268" t="str">
        <f t="shared" si="296"/>
        <v>Simple</v>
      </c>
      <c r="M1477" s="197">
        <v>740971.5</v>
      </c>
      <c r="N1477" s="197">
        <v>0</v>
      </c>
      <c r="O1477" s="257">
        <f>IF(ISNA(MATCH(H1477,'Operating leases'!$B$32:$B$43,0)),0,INDEX('Operating leases'!$M$32:$S$43,MATCH(H1477,'Operating leases'!$B$32:$B$43,0),MATCH(J1477,'Operating leases'!$M$11:$S$11,0)))</f>
        <v>0</v>
      </c>
      <c r="P1477" s="257">
        <f t="shared" si="297"/>
        <v>740971.5</v>
      </c>
      <c r="Q1477" s="257">
        <f t="shared" si="298"/>
        <v>740971.5</v>
      </c>
      <c r="R1477" s="258">
        <f>INDEX('Escalators '!$M$124:$S$129,MATCH(I1477,'Escalators '!$B$124:$B$129,0),MATCH(J1477,'Escalators '!$M$113:$S$113,0))</f>
        <v>1.0867931559758131</v>
      </c>
      <c r="S1477" s="257">
        <f t="shared" si="299"/>
        <v>0</v>
      </c>
      <c r="T1477" s="257">
        <f t="shared" si="300"/>
        <v>0</v>
      </c>
      <c r="U1477" s="269">
        <f t="shared" si="301"/>
        <v>805282.75497313216</v>
      </c>
      <c r="V1477" s="269">
        <f t="shared" si="302"/>
        <v>805282.75497313216</v>
      </c>
      <c r="W1477" s="269">
        <f t="shared" si="303"/>
        <v>805282.75497313216</v>
      </c>
      <c r="X1477" s="257">
        <f t="shared" si="304"/>
        <v>805282.75497313216</v>
      </c>
      <c r="Y1477" s="270">
        <f>IF(L1477="Complex",(INDEX('Escalators '!$M$176:$S$176,MATCH('Forecast capex'!J1477,'Escalators '!$M$178:$S$178,0))/12+1)^((K1477-J1477)*12)-1,0)</f>
        <v>0</v>
      </c>
      <c r="Z1477" s="257">
        <f t="shared" si="305"/>
        <v>0</v>
      </c>
      <c r="AA1477" s="257">
        <f t="shared" si="306"/>
        <v>0</v>
      </c>
      <c r="AB1477" s="269">
        <f t="shared" si="307"/>
        <v>0</v>
      </c>
      <c r="AC1477" s="269">
        <f t="shared" si="308"/>
        <v>0</v>
      </c>
      <c r="AD1477" s="271" t="str">
        <f>INDEX('Global inputs'!$C$134:$C$171,MATCH(F1477,'Global inputs'!$B$134:$B$171,0))</f>
        <v>Asset replacement and renewal</v>
      </c>
      <c r="AE1477" s="272">
        <f>IF(OR(H1477='Operating leases'!$B$32,H1477='Operating leases'!$B$33),"",INDEX('Global inputs'!$C$186:$C$243,MATCH(E1477,'Global inputs'!$B$186:$B$243,0)))</f>
        <v>0.08</v>
      </c>
    </row>
    <row r="1478" spans="1:31" s="27" customFormat="1" x14ac:dyDescent="0.2">
      <c r="A1478" s="250"/>
      <c r="B1478" s="210" t="s">
        <v>714</v>
      </c>
      <c r="C1478" s="210" t="s">
        <v>290</v>
      </c>
      <c r="D1478" s="210" t="s">
        <v>718</v>
      </c>
      <c r="E1478" s="210" t="s">
        <v>171</v>
      </c>
      <c r="F1478" s="210" t="s">
        <v>98</v>
      </c>
      <c r="G1478" s="210" t="s">
        <v>743</v>
      </c>
      <c r="H1478" s="197">
        <v>0</v>
      </c>
      <c r="I1478" s="210" t="s">
        <v>229</v>
      </c>
      <c r="J1478" s="210">
        <v>2025</v>
      </c>
      <c r="K1478" s="210">
        <v>2025</v>
      </c>
      <c r="L1478" s="268" t="str">
        <f t="shared" si="296"/>
        <v>Simple</v>
      </c>
      <c r="M1478" s="197">
        <v>386631</v>
      </c>
      <c r="N1478" s="197">
        <v>0</v>
      </c>
      <c r="O1478" s="257">
        <f>IF(ISNA(MATCH(H1478,'Operating leases'!$B$32:$B$43,0)),0,INDEX('Operating leases'!$M$32:$S$43,MATCH(H1478,'Operating leases'!$B$32:$B$43,0),MATCH(J1478,'Operating leases'!$M$11:$S$11,0)))</f>
        <v>0</v>
      </c>
      <c r="P1478" s="257">
        <f t="shared" si="297"/>
        <v>386631</v>
      </c>
      <c r="Q1478" s="257">
        <f t="shared" si="298"/>
        <v>386631</v>
      </c>
      <c r="R1478" s="258">
        <f>INDEX('Escalators '!$M$124:$S$129,MATCH(I1478,'Escalators '!$B$124:$B$129,0),MATCH(J1478,'Escalators '!$M$113:$S$113,0))</f>
        <v>1.0919411253473632</v>
      </c>
      <c r="S1478" s="257">
        <f t="shared" si="299"/>
        <v>0</v>
      </c>
      <c r="T1478" s="257">
        <f t="shared" si="300"/>
        <v>0</v>
      </c>
      <c r="U1478" s="269">
        <f t="shared" si="301"/>
        <v>422178.28923417639</v>
      </c>
      <c r="V1478" s="269">
        <f t="shared" si="302"/>
        <v>422178.28923417639</v>
      </c>
      <c r="W1478" s="269">
        <f t="shared" si="303"/>
        <v>422178.28923417639</v>
      </c>
      <c r="X1478" s="257">
        <f t="shared" si="304"/>
        <v>422178.28923417639</v>
      </c>
      <c r="Y1478" s="270">
        <f>IF(L1478="Complex",(INDEX('Escalators '!$M$176:$S$176,MATCH('Forecast capex'!J1478,'Escalators '!$M$178:$S$178,0))/12+1)^((K1478-J1478)*12)-1,0)</f>
        <v>0</v>
      </c>
      <c r="Z1478" s="257">
        <f t="shared" si="305"/>
        <v>0</v>
      </c>
      <c r="AA1478" s="257">
        <f t="shared" si="306"/>
        <v>0</v>
      </c>
      <c r="AB1478" s="269">
        <f t="shared" si="307"/>
        <v>0</v>
      </c>
      <c r="AC1478" s="269">
        <f t="shared" si="308"/>
        <v>0</v>
      </c>
      <c r="AD1478" s="271" t="str">
        <f>INDEX('Global inputs'!$C$134:$C$171,MATCH(F1478,'Global inputs'!$B$134:$B$171,0))</f>
        <v>Quality of supply</v>
      </c>
      <c r="AE1478" s="272">
        <f>IF(OR(H1478='Operating leases'!$B$32,H1478='Operating leases'!$B$33),"",INDEX('Global inputs'!$C$186:$C$243,MATCH(E1478,'Global inputs'!$B$186:$B$243,0)))</f>
        <v>0.08</v>
      </c>
    </row>
    <row r="1479" spans="1:31" s="27" customFormat="1" x14ac:dyDescent="0.2">
      <c r="A1479" s="250"/>
      <c r="B1479" s="210" t="s">
        <v>714</v>
      </c>
      <c r="C1479" s="210" t="s">
        <v>290</v>
      </c>
      <c r="D1479" s="210" t="s">
        <v>718</v>
      </c>
      <c r="E1479" s="210" t="s">
        <v>171</v>
      </c>
      <c r="F1479" s="210" t="s">
        <v>98</v>
      </c>
      <c r="G1479" s="210" t="s">
        <v>743</v>
      </c>
      <c r="H1479" s="197">
        <v>0</v>
      </c>
      <c r="I1479" s="210" t="s">
        <v>221</v>
      </c>
      <c r="J1479" s="210">
        <v>2025</v>
      </c>
      <c r="K1479" s="210">
        <v>2025</v>
      </c>
      <c r="L1479" s="268" t="str">
        <f t="shared" si="296"/>
        <v>Simple</v>
      </c>
      <c r="M1479" s="197">
        <v>257754</v>
      </c>
      <c r="N1479" s="197">
        <v>0</v>
      </c>
      <c r="O1479" s="257">
        <f>IF(ISNA(MATCH(H1479,'Operating leases'!$B$32:$B$43,0)),0,INDEX('Operating leases'!$M$32:$S$43,MATCH(H1479,'Operating leases'!$B$32:$B$43,0),MATCH(J1479,'Operating leases'!$M$11:$S$11,0)))</f>
        <v>0</v>
      </c>
      <c r="P1479" s="257">
        <f t="shared" si="297"/>
        <v>257754</v>
      </c>
      <c r="Q1479" s="257">
        <f t="shared" si="298"/>
        <v>257754</v>
      </c>
      <c r="R1479" s="258">
        <f>INDEX('Escalators '!$M$124:$S$129,MATCH(I1479,'Escalators '!$B$124:$B$129,0),MATCH(J1479,'Escalators '!$M$113:$S$113,0))</f>
        <v>1.0867931559758131</v>
      </c>
      <c r="S1479" s="257">
        <f t="shared" si="299"/>
        <v>0</v>
      </c>
      <c r="T1479" s="257">
        <f t="shared" si="300"/>
        <v>0</v>
      </c>
      <c r="U1479" s="269">
        <f t="shared" si="301"/>
        <v>280125.28312538972</v>
      </c>
      <c r="V1479" s="269">
        <f t="shared" si="302"/>
        <v>280125.28312538972</v>
      </c>
      <c r="W1479" s="269">
        <f t="shared" si="303"/>
        <v>280125.28312538972</v>
      </c>
      <c r="X1479" s="257">
        <f t="shared" si="304"/>
        <v>280125.28312538972</v>
      </c>
      <c r="Y1479" s="270">
        <f>IF(L1479="Complex",(INDEX('Escalators '!$M$176:$S$176,MATCH('Forecast capex'!J1479,'Escalators '!$M$178:$S$178,0))/12+1)^((K1479-J1479)*12)-1,0)</f>
        <v>0</v>
      </c>
      <c r="Z1479" s="257">
        <f t="shared" si="305"/>
        <v>0</v>
      </c>
      <c r="AA1479" s="257">
        <f t="shared" si="306"/>
        <v>0</v>
      </c>
      <c r="AB1479" s="269">
        <f t="shared" si="307"/>
        <v>0</v>
      </c>
      <c r="AC1479" s="269">
        <f t="shared" si="308"/>
        <v>0</v>
      </c>
      <c r="AD1479" s="271" t="str">
        <f>INDEX('Global inputs'!$C$134:$C$171,MATCH(F1479,'Global inputs'!$B$134:$B$171,0))</f>
        <v>Quality of supply</v>
      </c>
      <c r="AE1479" s="272">
        <f>IF(OR(H1479='Operating leases'!$B$32,H1479='Operating leases'!$B$33),"",INDEX('Global inputs'!$C$186:$C$243,MATCH(E1479,'Global inputs'!$B$186:$B$243,0)))</f>
        <v>0.08</v>
      </c>
    </row>
    <row r="1480" spans="1:31" s="27" customFormat="1" x14ac:dyDescent="0.2">
      <c r="A1480" s="250"/>
      <c r="B1480" s="210" t="s">
        <v>742</v>
      </c>
      <c r="C1480" s="210" t="s">
        <v>284</v>
      </c>
      <c r="D1480" s="210" t="s">
        <v>729</v>
      </c>
      <c r="E1480" s="210" t="s">
        <v>127</v>
      </c>
      <c r="F1480" s="210" t="s">
        <v>102</v>
      </c>
      <c r="G1480" s="210" t="s">
        <v>730</v>
      </c>
      <c r="H1480" s="197">
        <v>0</v>
      </c>
      <c r="I1480" s="210" t="s">
        <v>225</v>
      </c>
      <c r="J1480" s="210">
        <v>2025</v>
      </c>
      <c r="K1480" s="210">
        <v>2025</v>
      </c>
      <c r="L1480" s="268" t="str">
        <f t="shared" si="296"/>
        <v>Simple</v>
      </c>
      <c r="M1480" s="197">
        <v>75645.08</v>
      </c>
      <c r="N1480" s="197">
        <v>0</v>
      </c>
      <c r="O1480" s="257">
        <f>IF(ISNA(MATCH(H1480,'Operating leases'!$B$32:$B$43,0)),0,INDEX('Operating leases'!$M$32:$S$43,MATCH(H1480,'Operating leases'!$B$32:$B$43,0),MATCH(J1480,'Operating leases'!$M$11:$S$11,0)))</f>
        <v>0</v>
      </c>
      <c r="P1480" s="257">
        <f t="shared" si="297"/>
        <v>75645.08</v>
      </c>
      <c r="Q1480" s="257">
        <f t="shared" si="298"/>
        <v>75645.08</v>
      </c>
      <c r="R1480" s="258">
        <f>INDEX('Escalators '!$M$124:$S$129,MATCH(I1480,'Escalators '!$B$124:$B$129,0),MATCH(J1480,'Escalators '!$M$113:$S$113,0))</f>
        <v>1.1332991699624038</v>
      </c>
      <c r="S1480" s="257">
        <f t="shared" si="299"/>
        <v>0</v>
      </c>
      <c r="T1480" s="257">
        <f t="shared" si="300"/>
        <v>0</v>
      </c>
      <c r="U1480" s="269">
        <f t="shared" si="301"/>
        <v>85728.506375739627</v>
      </c>
      <c r="V1480" s="269">
        <f t="shared" si="302"/>
        <v>85728.506375739627</v>
      </c>
      <c r="W1480" s="269">
        <f t="shared" si="303"/>
        <v>85728.506375739627</v>
      </c>
      <c r="X1480" s="257">
        <f t="shared" si="304"/>
        <v>85728.506375739627</v>
      </c>
      <c r="Y1480" s="270">
        <f>IF(L1480="Complex",(INDEX('Escalators '!$M$176:$S$176,MATCH('Forecast capex'!J1480,'Escalators '!$M$178:$S$178,0))/12+1)^((K1480-J1480)*12)-1,0)</f>
        <v>0</v>
      </c>
      <c r="Z1480" s="257">
        <f t="shared" si="305"/>
        <v>0</v>
      </c>
      <c r="AA1480" s="257">
        <f t="shared" si="306"/>
        <v>0</v>
      </c>
      <c r="AB1480" s="269">
        <f t="shared" si="307"/>
        <v>0</v>
      </c>
      <c r="AC1480" s="269">
        <f t="shared" si="308"/>
        <v>0</v>
      </c>
      <c r="AD1480" s="271" t="str">
        <f>INDEX('Global inputs'!$C$134:$C$171,MATCH(F1480,'Global inputs'!$B$134:$B$171,0))</f>
        <v>Asset replacement and renewal</v>
      </c>
      <c r="AE1480" s="272">
        <f>IF(OR(H1480='Operating leases'!$B$32,H1480='Operating leases'!$B$33),"",INDEX('Global inputs'!$C$186:$C$243,MATCH(E1480,'Global inputs'!$B$186:$B$243,0)))</f>
        <v>0.08</v>
      </c>
    </row>
    <row r="1481" spans="1:31" s="27" customFormat="1" x14ac:dyDescent="0.2">
      <c r="A1481" s="250"/>
      <c r="B1481" s="210" t="s">
        <v>742</v>
      </c>
      <c r="C1481" s="210" t="s">
        <v>284</v>
      </c>
      <c r="D1481" s="210" t="s">
        <v>729</v>
      </c>
      <c r="E1481" s="210" t="s">
        <v>127</v>
      </c>
      <c r="F1481" s="210" t="s">
        <v>102</v>
      </c>
      <c r="G1481" s="210" t="s">
        <v>730</v>
      </c>
      <c r="H1481" s="197">
        <v>0</v>
      </c>
      <c r="I1481" s="210" t="s">
        <v>221</v>
      </c>
      <c r="J1481" s="210">
        <v>2025</v>
      </c>
      <c r="K1481" s="210">
        <v>2025</v>
      </c>
      <c r="L1481" s="268" t="str">
        <f t="shared" si="296"/>
        <v>Simple</v>
      </c>
      <c r="M1481" s="197">
        <v>302580.32</v>
      </c>
      <c r="N1481" s="197">
        <v>0</v>
      </c>
      <c r="O1481" s="257">
        <f>IF(ISNA(MATCH(H1481,'Operating leases'!$B$32:$B$43,0)),0,INDEX('Operating leases'!$M$32:$S$43,MATCH(H1481,'Operating leases'!$B$32:$B$43,0),MATCH(J1481,'Operating leases'!$M$11:$S$11,0)))</f>
        <v>0</v>
      </c>
      <c r="P1481" s="257">
        <f t="shared" si="297"/>
        <v>302580.32</v>
      </c>
      <c r="Q1481" s="257">
        <f t="shared" si="298"/>
        <v>302580.32</v>
      </c>
      <c r="R1481" s="258">
        <f>INDEX('Escalators '!$M$124:$S$129,MATCH(I1481,'Escalators '!$B$124:$B$129,0),MATCH(J1481,'Escalators '!$M$113:$S$113,0))</f>
        <v>1.0867931559758131</v>
      </c>
      <c r="S1481" s="257">
        <f t="shared" si="299"/>
        <v>0</v>
      </c>
      <c r="T1481" s="257">
        <f t="shared" si="300"/>
        <v>0</v>
      </c>
      <c r="U1481" s="269">
        <f t="shared" si="301"/>
        <v>328842.22090897145</v>
      </c>
      <c r="V1481" s="269">
        <f t="shared" si="302"/>
        <v>328842.22090897145</v>
      </c>
      <c r="W1481" s="269">
        <f t="shared" si="303"/>
        <v>328842.22090897145</v>
      </c>
      <c r="X1481" s="257">
        <f t="shared" si="304"/>
        <v>328842.22090897145</v>
      </c>
      <c r="Y1481" s="270">
        <f>IF(L1481="Complex",(INDEX('Escalators '!$M$176:$S$176,MATCH('Forecast capex'!J1481,'Escalators '!$M$178:$S$178,0))/12+1)^((K1481-J1481)*12)-1,0)</f>
        <v>0</v>
      </c>
      <c r="Z1481" s="257">
        <f t="shared" si="305"/>
        <v>0</v>
      </c>
      <c r="AA1481" s="257">
        <f t="shared" si="306"/>
        <v>0</v>
      </c>
      <c r="AB1481" s="269">
        <f t="shared" si="307"/>
        <v>0</v>
      </c>
      <c r="AC1481" s="269">
        <f t="shared" si="308"/>
        <v>0</v>
      </c>
      <c r="AD1481" s="271" t="str">
        <f>INDEX('Global inputs'!$C$134:$C$171,MATCH(F1481,'Global inputs'!$B$134:$B$171,0))</f>
        <v>Asset replacement and renewal</v>
      </c>
      <c r="AE1481" s="272">
        <f>IF(OR(H1481='Operating leases'!$B$32,H1481='Operating leases'!$B$33),"",INDEX('Global inputs'!$C$186:$C$243,MATCH(E1481,'Global inputs'!$B$186:$B$243,0)))</f>
        <v>0.08</v>
      </c>
    </row>
    <row r="1482" spans="1:31" s="27" customFormat="1" x14ac:dyDescent="0.2">
      <c r="A1482" s="250"/>
      <c r="B1482" s="210" t="s">
        <v>742</v>
      </c>
      <c r="C1482" s="210" t="s">
        <v>286</v>
      </c>
      <c r="D1482" s="210" t="s">
        <v>735</v>
      </c>
      <c r="E1482" s="210" t="s">
        <v>147</v>
      </c>
      <c r="F1482" s="210" t="s">
        <v>118</v>
      </c>
      <c r="G1482" s="210" t="s">
        <v>744</v>
      </c>
      <c r="H1482" s="197">
        <v>0</v>
      </c>
      <c r="I1482" s="210" t="s">
        <v>229</v>
      </c>
      <c r="J1482" s="210">
        <v>2025</v>
      </c>
      <c r="K1482" s="210">
        <v>2025</v>
      </c>
      <c r="L1482" s="268" t="str">
        <f t="shared" ref="L1482:L1545" si="309">IF(J1482=K1482,"Simple","Complex")</f>
        <v>Simple</v>
      </c>
      <c r="M1482" s="197">
        <v>156422.535</v>
      </c>
      <c r="N1482" s="197">
        <v>0</v>
      </c>
      <c r="O1482" s="257">
        <f>IF(ISNA(MATCH(H1482,'Operating leases'!$B$32:$B$43,0)),0,INDEX('Operating leases'!$M$32:$S$43,MATCH(H1482,'Operating leases'!$B$32:$B$43,0),MATCH(J1482,'Operating leases'!$M$11:$S$11,0)))</f>
        <v>0</v>
      </c>
      <c r="P1482" s="257">
        <f t="shared" ref="P1482:P1545" si="310">O1482+M1482</f>
        <v>156422.535</v>
      </c>
      <c r="Q1482" s="257">
        <f t="shared" ref="Q1482:Q1545" si="311">M1482+N1482+O1482</f>
        <v>156422.535</v>
      </c>
      <c r="R1482" s="258">
        <f>INDEX('Escalators '!$M$124:$S$129,MATCH(I1482,'Escalators '!$B$124:$B$129,0),MATCH(J1482,'Escalators '!$M$113:$S$113,0))</f>
        <v>1.0919411253473632</v>
      </c>
      <c r="S1482" s="257">
        <f t="shared" ref="S1482:S1545" si="312">O1482*R1482</f>
        <v>0</v>
      </c>
      <c r="T1482" s="257">
        <f t="shared" ref="T1482:T1545" si="313">N1482*R1482</f>
        <v>0</v>
      </c>
      <c r="U1482" s="269">
        <f t="shared" ref="U1482:U1545" si="314">W1482-S1482</f>
        <v>170804.19889758731</v>
      </c>
      <c r="V1482" s="269">
        <f t="shared" ref="V1482:V1545" si="315">U1482+T1482</f>
        <v>170804.19889758731</v>
      </c>
      <c r="W1482" s="269">
        <f t="shared" ref="W1482:W1545" si="316">X1482-T1482</f>
        <v>170804.19889758731</v>
      </c>
      <c r="X1482" s="257">
        <f t="shared" ref="X1482:X1545" si="317">Q1482*R1482</f>
        <v>170804.19889758731</v>
      </c>
      <c r="Y1482" s="270">
        <f>IF(L1482="Complex",(INDEX('Escalators '!$M$176:$S$176,MATCH('Forecast capex'!J1482,'Escalators '!$M$178:$S$178,0))/12+1)^((K1482-J1482)*12)-1,0)</f>
        <v>0</v>
      </c>
      <c r="Z1482" s="257">
        <f t="shared" ref="Z1482:Z1545" si="318">P1482*Y1482</f>
        <v>0</v>
      </c>
      <c r="AA1482" s="257">
        <f t="shared" ref="AA1482:AA1545" si="319">W1482*Y1482</f>
        <v>0</v>
      </c>
      <c r="AB1482" s="269">
        <f t="shared" ref="AB1482:AB1545" si="320">IF(L1482="Complex",AC1482-T1482,0)</f>
        <v>0</v>
      </c>
      <c r="AC1482" s="269">
        <f t="shared" ref="AC1482:AC1545" si="321">IF(L1482="Complex",V1482+AA1482,0)</f>
        <v>0</v>
      </c>
      <c r="AD1482" s="271" t="str">
        <f>INDEX('Global inputs'!$C$134:$C$171,MATCH(F1482,'Global inputs'!$B$134:$B$171,0))</f>
        <v>Asset replacement and renewal</v>
      </c>
      <c r="AE1482" s="272">
        <f>IF(OR(H1482='Operating leases'!$B$32,H1482='Operating leases'!$B$33),"",INDEX('Global inputs'!$C$186:$C$243,MATCH(E1482,'Global inputs'!$B$186:$B$243,0)))</f>
        <v>0.08</v>
      </c>
    </row>
    <row r="1483" spans="1:31" s="27" customFormat="1" x14ac:dyDescent="0.2">
      <c r="A1483" s="250"/>
      <c r="B1483" s="210" t="s">
        <v>742</v>
      </c>
      <c r="C1483" s="210" t="s">
        <v>286</v>
      </c>
      <c r="D1483" s="210" t="s">
        <v>735</v>
      </c>
      <c r="E1483" s="210" t="s">
        <v>147</v>
      </c>
      <c r="F1483" s="210" t="s">
        <v>118</v>
      </c>
      <c r="G1483" s="210" t="s">
        <v>744</v>
      </c>
      <c r="H1483" s="197">
        <v>0</v>
      </c>
      <c r="I1483" s="210" t="s">
        <v>221</v>
      </c>
      <c r="J1483" s="210">
        <v>2025</v>
      </c>
      <c r="K1483" s="210">
        <v>2025</v>
      </c>
      <c r="L1483" s="268" t="str">
        <f t="shared" si="309"/>
        <v>Simple</v>
      </c>
      <c r="M1483" s="197">
        <v>625690.14</v>
      </c>
      <c r="N1483" s="197">
        <v>0</v>
      </c>
      <c r="O1483" s="257">
        <f>IF(ISNA(MATCH(H1483,'Operating leases'!$B$32:$B$43,0)),0,INDEX('Operating leases'!$M$32:$S$43,MATCH(H1483,'Operating leases'!$B$32:$B$43,0),MATCH(J1483,'Operating leases'!$M$11:$S$11,0)))</f>
        <v>0</v>
      </c>
      <c r="P1483" s="257">
        <f t="shared" si="310"/>
        <v>625690.14</v>
      </c>
      <c r="Q1483" s="257">
        <f t="shared" si="311"/>
        <v>625690.14</v>
      </c>
      <c r="R1483" s="258">
        <f>INDEX('Escalators '!$M$124:$S$129,MATCH(I1483,'Escalators '!$B$124:$B$129,0),MATCH(J1483,'Escalators '!$M$113:$S$113,0))</f>
        <v>1.0867931559758131</v>
      </c>
      <c r="S1483" s="257">
        <f t="shared" si="312"/>
        <v>0</v>
      </c>
      <c r="T1483" s="257">
        <f t="shared" si="313"/>
        <v>0</v>
      </c>
      <c r="U1483" s="269">
        <f t="shared" si="314"/>
        <v>679995.76191354834</v>
      </c>
      <c r="V1483" s="269">
        <f t="shared" si="315"/>
        <v>679995.76191354834</v>
      </c>
      <c r="W1483" s="269">
        <f t="shared" si="316"/>
        <v>679995.76191354834</v>
      </c>
      <c r="X1483" s="257">
        <f t="shared" si="317"/>
        <v>679995.76191354834</v>
      </c>
      <c r="Y1483" s="270">
        <f>IF(L1483="Complex",(INDEX('Escalators '!$M$176:$S$176,MATCH('Forecast capex'!J1483,'Escalators '!$M$178:$S$178,0))/12+1)^((K1483-J1483)*12)-1,0)</f>
        <v>0</v>
      </c>
      <c r="Z1483" s="257">
        <f t="shared" si="318"/>
        <v>0</v>
      </c>
      <c r="AA1483" s="257">
        <f t="shared" si="319"/>
        <v>0</v>
      </c>
      <c r="AB1483" s="269">
        <f t="shared" si="320"/>
        <v>0</v>
      </c>
      <c r="AC1483" s="269">
        <f t="shared" si="321"/>
        <v>0</v>
      </c>
      <c r="AD1483" s="271" t="str">
        <f>INDEX('Global inputs'!$C$134:$C$171,MATCH(F1483,'Global inputs'!$B$134:$B$171,0))</f>
        <v>Asset replacement and renewal</v>
      </c>
      <c r="AE1483" s="272">
        <f>IF(OR(H1483='Operating leases'!$B$32,H1483='Operating leases'!$B$33),"",INDEX('Global inputs'!$C$186:$C$243,MATCH(E1483,'Global inputs'!$B$186:$B$243,0)))</f>
        <v>0.08</v>
      </c>
    </row>
    <row r="1484" spans="1:31" s="27" customFormat="1" x14ac:dyDescent="0.2">
      <c r="A1484" s="250"/>
      <c r="B1484" s="210" t="s">
        <v>742</v>
      </c>
      <c r="C1484" s="210" t="s">
        <v>289</v>
      </c>
      <c r="D1484" s="210" t="s">
        <v>723</v>
      </c>
      <c r="E1484" s="210" t="s">
        <v>163</v>
      </c>
      <c r="F1484" s="210" t="s">
        <v>106</v>
      </c>
      <c r="G1484" s="210" t="s">
        <v>725</v>
      </c>
      <c r="H1484" s="197">
        <v>0</v>
      </c>
      <c r="I1484" s="210" t="s">
        <v>139</v>
      </c>
      <c r="J1484" s="210">
        <v>2025</v>
      </c>
      <c r="K1484" s="210">
        <v>2025</v>
      </c>
      <c r="L1484" s="268" t="str">
        <f t="shared" si="309"/>
        <v>Simple</v>
      </c>
      <c r="M1484" s="197">
        <v>1463216.5999999999</v>
      </c>
      <c r="N1484" s="197">
        <v>0</v>
      </c>
      <c r="O1484" s="257">
        <f>IF(ISNA(MATCH(H1484,'Operating leases'!$B$32:$B$43,0)),0,INDEX('Operating leases'!$M$32:$S$43,MATCH(H1484,'Operating leases'!$B$32:$B$43,0),MATCH(J1484,'Operating leases'!$M$11:$S$11,0)))</f>
        <v>0</v>
      </c>
      <c r="P1484" s="257">
        <f t="shared" si="310"/>
        <v>1463216.5999999999</v>
      </c>
      <c r="Q1484" s="257">
        <f t="shared" si="311"/>
        <v>1463216.5999999999</v>
      </c>
      <c r="R1484" s="258">
        <f>INDEX('Escalators '!$M$124:$S$129,MATCH(I1484,'Escalators '!$B$124:$B$129,0),MATCH(J1484,'Escalators '!$M$113:$S$113,0))</f>
        <v>1.0587148896071601</v>
      </c>
      <c r="S1484" s="257">
        <f t="shared" si="312"/>
        <v>0</v>
      </c>
      <c r="T1484" s="257">
        <f t="shared" si="313"/>
        <v>0</v>
      </c>
      <c r="U1484" s="269">
        <f t="shared" si="314"/>
        <v>1549129.2011403639</v>
      </c>
      <c r="V1484" s="269">
        <f t="shared" si="315"/>
        <v>1549129.2011403639</v>
      </c>
      <c r="W1484" s="269">
        <f t="shared" si="316"/>
        <v>1549129.2011403639</v>
      </c>
      <c r="X1484" s="257">
        <f t="shared" si="317"/>
        <v>1549129.2011403639</v>
      </c>
      <c r="Y1484" s="270">
        <f>IF(L1484="Complex",(INDEX('Escalators '!$M$176:$S$176,MATCH('Forecast capex'!J1484,'Escalators '!$M$178:$S$178,0))/12+1)^((K1484-J1484)*12)-1,0)</f>
        <v>0</v>
      </c>
      <c r="Z1484" s="257">
        <f t="shared" si="318"/>
        <v>0</v>
      </c>
      <c r="AA1484" s="257">
        <f t="shared" si="319"/>
        <v>0</v>
      </c>
      <c r="AB1484" s="269">
        <f t="shared" si="320"/>
        <v>0</v>
      </c>
      <c r="AC1484" s="269">
        <f t="shared" si="321"/>
        <v>0</v>
      </c>
      <c r="AD1484" s="271" t="str">
        <f>INDEX('Global inputs'!$C$134:$C$171,MATCH(F1484,'Global inputs'!$B$134:$B$171,0))</f>
        <v>Asset replacement and renewal</v>
      </c>
      <c r="AE1484" s="272">
        <f>IF(OR(H1484='Operating leases'!$B$32,H1484='Operating leases'!$B$33),"",INDEX('Global inputs'!$C$186:$C$243,MATCH(E1484,'Global inputs'!$B$186:$B$243,0)))</f>
        <v>0.08</v>
      </c>
    </row>
    <row r="1485" spans="1:31" s="27" customFormat="1" x14ac:dyDescent="0.2">
      <c r="A1485" s="250"/>
      <c r="B1485" s="210" t="s">
        <v>742</v>
      </c>
      <c r="C1485" s="210" t="s">
        <v>289</v>
      </c>
      <c r="D1485" s="210" t="s">
        <v>723</v>
      </c>
      <c r="E1485" s="210" t="s">
        <v>163</v>
      </c>
      <c r="F1485" s="210" t="s">
        <v>106</v>
      </c>
      <c r="G1485" s="210" t="s">
        <v>725</v>
      </c>
      <c r="H1485" s="197">
        <v>0</v>
      </c>
      <c r="I1485" s="210" t="s">
        <v>221</v>
      </c>
      <c r="J1485" s="210">
        <v>2025</v>
      </c>
      <c r="K1485" s="210">
        <v>2025</v>
      </c>
      <c r="L1485" s="268" t="str">
        <f t="shared" si="309"/>
        <v>Simple</v>
      </c>
      <c r="M1485" s="197">
        <v>365804.14999999997</v>
      </c>
      <c r="N1485" s="197">
        <v>0</v>
      </c>
      <c r="O1485" s="257">
        <f>IF(ISNA(MATCH(H1485,'Operating leases'!$B$32:$B$43,0)),0,INDEX('Operating leases'!$M$32:$S$43,MATCH(H1485,'Operating leases'!$B$32:$B$43,0),MATCH(J1485,'Operating leases'!$M$11:$S$11,0)))</f>
        <v>0</v>
      </c>
      <c r="P1485" s="257">
        <f t="shared" si="310"/>
        <v>365804.14999999997</v>
      </c>
      <c r="Q1485" s="257">
        <f t="shared" si="311"/>
        <v>365804.14999999997</v>
      </c>
      <c r="R1485" s="258">
        <f>INDEX('Escalators '!$M$124:$S$129,MATCH(I1485,'Escalators '!$B$124:$B$129,0),MATCH(J1485,'Escalators '!$M$113:$S$113,0))</f>
        <v>1.0867931559758131</v>
      </c>
      <c r="S1485" s="257">
        <f t="shared" si="312"/>
        <v>0</v>
      </c>
      <c r="T1485" s="257">
        <f t="shared" si="313"/>
        <v>0</v>
      </c>
      <c r="U1485" s="269">
        <f t="shared" si="314"/>
        <v>397553.44664754969</v>
      </c>
      <c r="V1485" s="269">
        <f t="shared" si="315"/>
        <v>397553.44664754969</v>
      </c>
      <c r="W1485" s="269">
        <f t="shared" si="316"/>
        <v>397553.44664754969</v>
      </c>
      <c r="X1485" s="257">
        <f t="shared" si="317"/>
        <v>397553.44664754969</v>
      </c>
      <c r="Y1485" s="270">
        <f>IF(L1485="Complex",(INDEX('Escalators '!$M$176:$S$176,MATCH('Forecast capex'!J1485,'Escalators '!$M$178:$S$178,0))/12+1)^((K1485-J1485)*12)-1,0)</f>
        <v>0</v>
      </c>
      <c r="Z1485" s="257">
        <f t="shared" si="318"/>
        <v>0</v>
      </c>
      <c r="AA1485" s="257">
        <f t="shared" si="319"/>
        <v>0</v>
      </c>
      <c r="AB1485" s="269">
        <f t="shared" si="320"/>
        <v>0</v>
      </c>
      <c r="AC1485" s="269">
        <f t="shared" si="321"/>
        <v>0</v>
      </c>
      <c r="AD1485" s="271" t="str">
        <f>INDEX('Global inputs'!$C$134:$C$171,MATCH(F1485,'Global inputs'!$B$134:$B$171,0))</f>
        <v>Asset replacement and renewal</v>
      </c>
      <c r="AE1485" s="272">
        <f>IF(OR(H1485='Operating leases'!$B$32,H1485='Operating leases'!$B$33),"",INDEX('Global inputs'!$C$186:$C$243,MATCH(E1485,'Global inputs'!$B$186:$B$243,0)))</f>
        <v>0.08</v>
      </c>
    </row>
    <row r="1486" spans="1:31" s="27" customFormat="1" x14ac:dyDescent="0.2">
      <c r="A1486" s="250"/>
      <c r="B1486" s="210" t="s">
        <v>742</v>
      </c>
      <c r="C1486" s="210" t="s">
        <v>289</v>
      </c>
      <c r="D1486" s="210" t="s">
        <v>723</v>
      </c>
      <c r="E1486" s="210" t="s">
        <v>164</v>
      </c>
      <c r="F1486" s="210" t="s">
        <v>114</v>
      </c>
      <c r="G1486" s="210" t="s">
        <v>724</v>
      </c>
      <c r="H1486" s="197">
        <v>0</v>
      </c>
      <c r="I1486" s="210" t="s">
        <v>139</v>
      </c>
      <c r="J1486" s="210">
        <v>2025</v>
      </c>
      <c r="K1486" s="210">
        <v>2025</v>
      </c>
      <c r="L1486" s="268" t="str">
        <f t="shared" si="309"/>
        <v>Simple</v>
      </c>
      <c r="M1486" s="197">
        <v>248064</v>
      </c>
      <c r="N1486" s="197">
        <v>0</v>
      </c>
      <c r="O1486" s="257">
        <f>IF(ISNA(MATCH(H1486,'Operating leases'!$B$32:$B$43,0)),0,INDEX('Operating leases'!$M$32:$S$43,MATCH(H1486,'Operating leases'!$B$32:$B$43,0),MATCH(J1486,'Operating leases'!$M$11:$S$11,0)))</f>
        <v>0</v>
      </c>
      <c r="P1486" s="257">
        <f t="shared" si="310"/>
        <v>248064</v>
      </c>
      <c r="Q1486" s="257">
        <f t="shared" si="311"/>
        <v>248064</v>
      </c>
      <c r="R1486" s="258">
        <f>INDEX('Escalators '!$M$124:$S$129,MATCH(I1486,'Escalators '!$B$124:$B$129,0),MATCH(J1486,'Escalators '!$M$113:$S$113,0))</f>
        <v>1.0587148896071601</v>
      </c>
      <c r="S1486" s="257">
        <f t="shared" si="312"/>
        <v>0</v>
      </c>
      <c r="T1486" s="257">
        <f t="shared" si="313"/>
        <v>0</v>
      </c>
      <c r="U1486" s="269">
        <f t="shared" si="314"/>
        <v>262629.05037551059</v>
      </c>
      <c r="V1486" s="269">
        <f t="shared" si="315"/>
        <v>262629.05037551059</v>
      </c>
      <c r="W1486" s="269">
        <f t="shared" si="316"/>
        <v>262629.05037551059</v>
      </c>
      <c r="X1486" s="257">
        <f t="shared" si="317"/>
        <v>262629.05037551059</v>
      </c>
      <c r="Y1486" s="270">
        <f>IF(L1486="Complex",(INDEX('Escalators '!$M$176:$S$176,MATCH('Forecast capex'!J1486,'Escalators '!$M$178:$S$178,0))/12+1)^((K1486-J1486)*12)-1,0)</f>
        <v>0</v>
      </c>
      <c r="Z1486" s="257">
        <f t="shared" si="318"/>
        <v>0</v>
      </c>
      <c r="AA1486" s="257">
        <f t="shared" si="319"/>
        <v>0</v>
      </c>
      <c r="AB1486" s="269">
        <f t="shared" si="320"/>
        <v>0</v>
      </c>
      <c r="AC1486" s="269">
        <f t="shared" si="321"/>
        <v>0</v>
      </c>
      <c r="AD1486" s="271" t="str">
        <f>INDEX('Global inputs'!$C$134:$C$171,MATCH(F1486,'Global inputs'!$B$134:$B$171,0))</f>
        <v>Asset replacement and renewal</v>
      </c>
      <c r="AE1486" s="272">
        <f>IF(OR(H1486='Operating leases'!$B$32,H1486='Operating leases'!$B$33),"",INDEX('Global inputs'!$C$186:$C$243,MATCH(E1486,'Global inputs'!$B$186:$B$243,0)))</f>
        <v>0.08</v>
      </c>
    </row>
    <row r="1487" spans="1:31" s="27" customFormat="1" x14ac:dyDescent="0.2">
      <c r="A1487" s="250"/>
      <c r="B1487" s="210" t="s">
        <v>742</v>
      </c>
      <c r="C1487" s="210" t="s">
        <v>289</v>
      </c>
      <c r="D1487" s="210" t="s">
        <v>723</v>
      </c>
      <c r="E1487" s="210" t="s">
        <v>164</v>
      </c>
      <c r="F1487" s="210" t="s">
        <v>114</v>
      </c>
      <c r="G1487" s="210" t="s">
        <v>724</v>
      </c>
      <c r="H1487" s="197">
        <v>0</v>
      </c>
      <c r="I1487" s="210" t="s">
        <v>221</v>
      </c>
      <c r="J1487" s="210">
        <v>2025</v>
      </c>
      <c r="K1487" s="210">
        <v>2025</v>
      </c>
      <c r="L1487" s="268" t="str">
        <f t="shared" si="309"/>
        <v>Simple</v>
      </c>
      <c r="M1487" s="197">
        <v>62016</v>
      </c>
      <c r="N1487" s="197">
        <v>0</v>
      </c>
      <c r="O1487" s="257">
        <f>IF(ISNA(MATCH(H1487,'Operating leases'!$B$32:$B$43,0)),0,INDEX('Operating leases'!$M$32:$S$43,MATCH(H1487,'Operating leases'!$B$32:$B$43,0),MATCH(J1487,'Operating leases'!$M$11:$S$11,0)))</f>
        <v>0</v>
      </c>
      <c r="P1487" s="257">
        <f t="shared" si="310"/>
        <v>62016</v>
      </c>
      <c r="Q1487" s="257">
        <f t="shared" si="311"/>
        <v>62016</v>
      </c>
      <c r="R1487" s="258">
        <f>INDEX('Escalators '!$M$124:$S$129,MATCH(I1487,'Escalators '!$B$124:$B$129,0),MATCH(J1487,'Escalators '!$M$113:$S$113,0))</f>
        <v>1.0867931559758131</v>
      </c>
      <c r="S1487" s="257">
        <f t="shared" si="312"/>
        <v>0</v>
      </c>
      <c r="T1487" s="257">
        <f t="shared" si="313"/>
        <v>0</v>
      </c>
      <c r="U1487" s="269">
        <f t="shared" si="314"/>
        <v>67398.564360996024</v>
      </c>
      <c r="V1487" s="269">
        <f t="shared" si="315"/>
        <v>67398.564360996024</v>
      </c>
      <c r="W1487" s="269">
        <f t="shared" si="316"/>
        <v>67398.564360996024</v>
      </c>
      <c r="X1487" s="257">
        <f t="shared" si="317"/>
        <v>67398.564360996024</v>
      </c>
      <c r="Y1487" s="270">
        <f>IF(L1487="Complex",(INDEX('Escalators '!$M$176:$S$176,MATCH('Forecast capex'!J1487,'Escalators '!$M$178:$S$178,0))/12+1)^((K1487-J1487)*12)-1,0)</f>
        <v>0</v>
      </c>
      <c r="Z1487" s="257">
        <f t="shared" si="318"/>
        <v>0</v>
      </c>
      <c r="AA1487" s="257">
        <f t="shared" si="319"/>
        <v>0</v>
      </c>
      <c r="AB1487" s="269">
        <f t="shared" si="320"/>
        <v>0</v>
      </c>
      <c r="AC1487" s="269">
        <f t="shared" si="321"/>
        <v>0</v>
      </c>
      <c r="AD1487" s="271" t="str">
        <f>INDEX('Global inputs'!$C$134:$C$171,MATCH(F1487,'Global inputs'!$B$134:$B$171,0))</f>
        <v>Asset replacement and renewal</v>
      </c>
      <c r="AE1487" s="272">
        <f>IF(OR(H1487='Operating leases'!$B$32,H1487='Operating leases'!$B$33),"",INDEX('Global inputs'!$C$186:$C$243,MATCH(E1487,'Global inputs'!$B$186:$B$243,0)))</f>
        <v>0.08</v>
      </c>
    </row>
    <row r="1488" spans="1:31" s="27" customFormat="1" x14ac:dyDescent="0.2">
      <c r="A1488" s="250"/>
      <c r="B1488" s="210" t="s">
        <v>742</v>
      </c>
      <c r="C1488" s="210" t="s">
        <v>290</v>
      </c>
      <c r="D1488" s="210" t="s">
        <v>718</v>
      </c>
      <c r="E1488" s="210" t="s">
        <v>170</v>
      </c>
      <c r="F1488" s="210" t="s">
        <v>110</v>
      </c>
      <c r="G1488" s="210" t="s">
        <v>721</v>
      </c>
      <c r="H1488" s="197">
        <v>0</v>
      </c>
      <c r="I1488" s="210" t="s">
        <v>229</v>
      </c>
      <c r="J1488" s="210">
        <v>2025</v>
      </c>
      <c r="K1488" s="210">
        <v>2025</v>
      </c>
      <c r="L1488" s="268" t="str">
        <f t="shared" si="309"/>
        <v>Simple</v>
      </c>
      <c r="M1488" s="197">
        <v>111625</v>
      </c>
      <c r="N1488" s="197">
        <v>0</v>
      </c>
      <c r="O1488" s="257">
        <f>IF(ISNA(MATCH(H1488,'Operating leases'!$B$32:$B$43,0)),0,INDEX('Operating leases'!$M$32:$S$43,MATCH(H1488,'Operating leases'!$B$32:$B$43,0),MATCH(J1488,'Operating leases'!$M$11:$S$11,0)))</f>
        <v>0</v>
      </c>
      <c r="P1488" s="257">
        <f t="shared" si="310"/>
        <v>111625</v>
      </c>
      <c r="Q1488" s="257">
        <f t="shared" si="311"/>
        <v>111625</v>
      </c>
      <c r="R1488" s="258">
        <f>INDEX('Escalators '!$M$124:$S$129,MATCH(I1488,'Escalators '!$B$124:$B$129,0),MATCH(J1488,'Escalators '!$M$113:$S$113,0))</f>
        <v>1.0919411253473632</v>
      </c>
      <c r="S1488" s="257">
        <f t="shared" si="312"/>
        <v>0</v>
      </c>
      <c r="T1488" s="257">
        <f t="shared" si="313"/>
        <v>0</v>
      </c>
      <c r="U1488" s="269">
        <f t="shared" si="314"/>
        <v>121887.92811689942</v>
      </c>
      <c r="V1488" s="269">
        <f t="shared" si="315"/>
        <v>121887.92811689942</v>
      </c>
      <c r="W1488" s="269">
        <f t="shared" si="316"/>
        <v>121887.92811689942</v>
      </c>
      <c r="X1488" s="257">
        <f t="shared" si="317"/>
        <v>121887.92811689942</v>
      </c>
      <c r="Y1488" s="270">
        <f>IF(L1488="Complex",(INDEX('Escalators '!$M$176:$S$176,MATCH('Forecast capex'!J1488,'Escalators '!$M$178:$S$178,0))/12+1)^((K1488-J1488)*12)-1,0)</f>
        <v>0</v>
      </c>
      <c r="Z1488" s="257">
        <f t="shared" si="318"/>
        <v>0</v>
      </c>
      <c r="AA1488" s="257">
        <f t="shared" si="319"/>
        <v>0</v>
      </c>
      <c r="AB1488" s="269">
        <f t="shared" si="320"/>
        <v>0</v>
      </c>
      <c r="AC1488" s="269">
        <f t="shared" si="321"/>
        <v>0</v>
      </c>
      <c r="AD1488" s="271" t="str">
        <f>INDEX('Global inputs'!$C$134:$C$171,MATCH(F1488,'Global inputs'!$B$134:$B$171,0))</f>
        <v>Asset replacement and renewal</v>
      </c>
      <c r="AE1488" s="272">
        <f>IF(OR(H1488='Operating leases'!$B$32,H1488='Operating leases'!$B$33),"",INDEX('Global inputs'!$C$186:$C$243,MATCH(E1488,'Global inputs'!$B$186:$B$243,0)))</f>
        <v>0.08</v>
      </c>
    </row>
    <row r="1489" spans="1:31" s="27" customFormat="1" x14ac:dyDescent="0.2">
      <c r="A1489" s="250"/>
      <c r="B1489" s="210" t="s">
        <v>742</v>
      </c>
      <c r="C1489" s="210" t="s">
        <v>290</v>
      </c>
      <c r="D1489" s="210" t="s">
        <v>718</v>
      </c>
      <c r="E1489" s="210" t="s">
        <v>170</v>
      </c>
      <c r="F1489" s="210" t="s">
        <v>110</v>
      </c>
      <c r="G1489" s="210" t="s">
        <v>721</v>
      </c>
      <c r="H1489" s="197">
        <v>0</v>
      </c>
      <c r="I1489" s="210" t="s">
        <v>221</v>
      </c>
      <c r="J1489" s="210">
        <v>2025</v>
      </c>
      <c r="K1489" s="210">
        <v>2025</v>
      </c>
      <c r="L1489" s="268" t="str">
        <f t="shared" si="309"/>
        <v>Simple</v>
      </c>
      <c r="M1489" s="197">
        <v>111625</v>
      </c>
      <c r="N1489" s="197">
        <v>0</v>
      </c>
      <c r="O1489" s="257">
        <f>IF(ISNA(MATCH(H1489,'Operating leases'!$B$32:$B$43,0)),0,INDEX('Operating leases'!$M$32:$S$43,MATCH(H1489,'Operating leases'!$B$32:$B$43,0),MATCH(J1489,'Operating leases'!$M$11:$S$11,0)))</f>
        <v>0</v>
      </c>
      <c r="P1489" s="257">
        <f t="shared" si="310"/>
        <v>111625</v>
      </c>
      <c r="Q1489" s="257">
        <f t="shared" si="311"/>
        <v>111625</v>
      </c>
      <c r="R1489" s="258">
        <f>INDEX('Escalators '!$M$124:$S$129,MATCH(I1489,'Escalators '!$B$124:$B$129,0),MATCH(J1489,'Escalators '!$M$113:$S$113,0))</f>
        <v>1.0867931559758131</v>
      </c>
      <c r="S1489" s="257">
        <f t="shared" si="312"/>
        <v>0</v>
      </c>
      <c r="T1489" s="257">
        <f t="shared" si="313"/>
        <v>0</v>
      </c>
      <c r="U1489" s="269">
        <f t="shared" si="314"/>
        <v>121313.28603580013</v>
      </c>
      <c r="V1489" s="269">
        <f t="shared" si="315"/>
        <v>121313.28603580013</v>
      </c>
      <c r="W1489" s="269">
        <f t="shared" si="316"/>
        <v>121313.28603580013</v>
      </c>
      <c r="X1489" s="257">
        <f t="shared" si="317"/>
        <v>121313.28603580013</v>
      </c>
      <c r="Y1489" s="270">
        <f>IF(L1489="Complex",(INDEX('Escalators '!$M$176:$S$176,MATCH('Forecast capex'!J1489,'Escalators '!$M$178:$S$178,0))/12+1)^((K1489-J1489)*12)-1,0)</f>
        <v>0</v>
      </c>
      <c r="Z1489" s="257">
        <f t="shared" si="318"/>
        <v>0</v>
      </c>
      <c r="AA1489" s="257">
        <f t="shared" si="319"/>
        <v>0</v>
      </c>
      <c r="AB1489" s="269">
        <f t="shared" si="320"/>
        <v>0</v>
      </c>
      <c r="AC1489" s="269">
        <f t="shared" si="321"/>
        <v>0</v>
      </c>
      <c r="AD1489" s="271" t="str">
        <f>INDEX('Global inputs'!$C$134:$C$171,MATCH(F1489,'Global inputs'!$B$134:$B$171,0))</f>
        <v>Asset replacement and renewal</v>
      </c>
      <c r="AE1489" s="272">
        <f>IF(OR(H1489='Operating leases'!$B$32,H1489='Operating leases'!$B$33),"",INDEX('Global inputs'!$C$186:$C$243,MATCH(E1489,'Global inputs'!$B$186:$B$243,0)))</f>
        <v>0.08</v>
      </c>
    </row>
    <row r="1490" spans="1:31" s="27" customFormat="1" x14ac:dyDescent="0.2">
      <c r="A1490" s="250"/>
      <c r="B1490" s="210" t="s">
        <v>742</v>
      </c>
      <c r="C1490" s="210" t="s">
        <v>288</v>
      </c>
      <c r="D1490" s="210" t="s">
        <v>223</v>
      </c>
      <c r="E1490" s="210" t="s">
        <v>158</v>
      </c>
      <c r="F1490" s="210" t="s">
        <v>107</v>
      </c>
      <c r="G1490" s="210" t="s">
        <v>728</v>
      </c>
      <c r="H1490" s="197">
        <v>0</v>
      </c>
      <c r="I1490" s="210" t="s">
        <v>223</v>
      </c>
      <c r="J1490" s="210">
        <v>2025</v>
      </c>
      <c r="K1490" s="210">
        <v>2025</v>
      </c>
      <c r="L1490" s="268" t="str">
        <f t="shared" si="309"/>
        <v>Simple</v>
      </c>
      <c r="M1490" s="197">
        <v>113821.02</v>
      </c>
      <c r="N1490" s="197">
        <v>0</v>
      </c>
      <c r="O1490" s="257">
        <f>IF(ISNA(MATCH(H1490,'Operating leases'!$B$32:$B$43,0)),0,INDEX('Operating leases'!$M$32:$S$43,MATCH(H1490,'Operating leases'!$B$32:$B$43,0),MATCH(J1490,'Operating leases'!$M$11:$S$11,0)))</f>
        <v>0</v>
      </c>
      <c r="P1490" s="257">
        <f t="shared" si="310"/>
        <v>113821.02</v>
      </c>
      <c r="Q1490" s="257">
        <f t="shared" si="311"/>
        <v>113821.02</v>
      </c>
      <c r="R1490" s="258">
        <f>INDEX('Escalators '!$M$124:$S$129,MATCH(I1490,'Escalators '!$B$124:$B$129,0),MATCH(J1490,'Escalators '!$M$113:$S$113,0))</f>
        <v>1.1331892756985407</v>
      </c>
      <c r="S1490" s="257">
        <f t="shared" si="312"/>
        <v>0</v>
      </c>
      <c r="T1490" s="257">
        <f t="shared" si="313"/>
        <v>0</v>
      </c>
      <c r="U1490" s="269">
        <f t="shared" si="314"/>
        <v>128980.75921306912</v>
      </c>
      <c r="V1490" s="269">
        <f t="shared" si="315"/>
        <v>128980.75921306912</v>
      </c>
      <c r="W1490" s="269">
        <f t="shared" si="316"/>
        <v>128980.75921306912</v>
      </c>
      <c r="X1490" s="257">
        <f t="shared" si="317"/>
        <v>128980.75921306912</v>
      </c>
      <c r="Y1490" s="270">
        <f>IF(L1490="Complex",(INDEX('Escalators '!$M$176:$S$176,MATCH('Forecast capex'!J1490,'Escalators '!$M$178:$S$178,0))/12+1)^((K1490-J1490)*12)-1,0)</f>
        <v>0</v>
      </c>
      <c r="Z1490" s="257">
        <f t="shared" si="318"/>
        <v>0</v>
      </c>
      <c r="AA1490" s="257">
        <f t="shared" si="319"/>
        <v>0</v>
      </c>
      <c r="AB1490" s="269">
        <f t="shared" si="320"/>
        <v>0</v>
      </c>
      <c r="AC1490" s="269">
        <f t="shared" si="321"/>
        <v>0</v>
      </c>
      <c r="AD1490" s="271" t="str">
        <f>INDEX('Global inputs'!$C$134:$C$171,MATCH(F1490,'Global inputs'!$B$134:$B$171,0))</f>
        <v>Asset replacement and renewal</v>
      </c>
      <c r="AE1490" s="272">
        <f>IF(OR(H1490='Operating leases'!$B$32,H1490='Operating leases'!$B$33),"",INDEX('Global inputs'!$C$186:$C$243,MATCH(E1490,'Global inputs'!$B$186:$B$243,0)))</f>
        <v>0.08</v>
      </c>
    </row>
    <row r="1491" spans="1:31" s="27" customFormat="1" x14ac:dyDescent="0.2">
      <c r="A1491" s="250"/>
      <c r="B1491" s="210" t="s">
        <v>742</v>
      </c>
      <c r="C1491" s="210" t="s">
        <v>288</v>
      </c>
      <c r="D1491" s="210" t="s">
        <v>223</v>
      </c>
      <c r="E1491" s="210" t="s">
        <v>158</v>
      </c>
      <c r="F1491" s="210" t="s">
        <v>107</v>
      </c>
      <c r="G1491" s="210" t="s">
        <v>728</v>
      </c>
      <c r="H1491" s="197">
        <v>0</v>
      </c>
      <c r="I1491" s="210" t="s">
        <v>221</v>
      </c>
      <c r="J1491" s="210">
        <v>2025</v>
      </c>
      <c r="K1491" s="210">
        <v>2025</v>
      </c>
      <c r="L1491" s="268" t="str">
        <f t="shared" si="309"/>
        <v>Simple</v>
      </c>
      <c r="M1491" s="197">
        <v>170731.52999999997</v>
      </c>
      <c r="N1491" s="197">
        <v>0</v>
      </c>
      <c r="O1491" s="257">
        <f>IF(ISNA(MATCH(H1491,'Operating leases'!$B$32:$B$43,0)),0,INDEX('Operating leases'!$M$32:$S$43,MATCH(H1491,'Operating leases'!$B$32:$B$43,0),MATCH(J1491,'Operating leases'!$M$11:$S$11,0)))</f>
        <v>0</v>
      </c>
      <c r="P1491" s="257">
        <f t="shared" si="310"/>
        <v>170731.52999999997</v>
      </c>
      <c r="Q1491" s="257">
        <f t="shared" si="311"/>
        <v>170731.52999999997</v>
      </c>
      <c r="R1491" s="258">
        <f>INDEX('Escalators '!$M$124:$S$129,MATCH(I1491,'Escalators '!$B$124:$B$129,0),MATCH(J1491,'Escalators '!$M$113:$S$113,0))</f>
        <v>1.0867931559758131</v>
      </c>
      <c r="S1491" s="257">
        <f t="shared" si="312"/>
        <v>0</v>
      </c>
      <c r="T1491" s="257">
        <f t="shared" si="313"/>
        <v>0</v>
      </c>
      <c r="U1491" s="269">
        <f t="shared" si="314"/>
        <v>185549.85831327917</v>
      </c>
      <c r="V1491" s="269">
        <f t="shared" si="315"/>
        <v>185549.85831327917</v>
      </c>
      <c r="W1491" s="269">
        <f t="shared" si="316"/>
        <v>185549.85831327917</v>
      </c>
      <c r="X1491" s="257">
        <f t="shared" si="317"/>
        <v>185549.85831327917</v>
      </c>
      <c r="Y1491" s="270">
        <f>IF(L1491="Complex",(INDEX('Escalators '!$M$176:$S$176,MATCH('Forecast capex'!J1491,'Escalators '!$M$178:$S$178,0))/12+1)^((K1491-J1491)*12)-1,0)</f>
        <v>0</v>
      </c>
      <c r="Z1491" s="257">
        <f t="shared" si="318"/>
        <v>0</v>
      </c>
      <c r="AA1491" s="257">
        <f t="shared" si="319"/>
        <v>0</v>
      </c>
      <c r="AB1491" s="269">
        <f t="shared" si="320"/>
        <v>0</v>
      </c>
      <c r="AC1491" s="269">
        <f t="shared" si="321"/>
        <v>0</v>
      </c>
      <c r="AD1491" s="271" t="str">
        <f>INDEX('Global inputs'!$C$134:$C$171,MATCH(F1491,'Global inputs'!$B$134:$B$171,0))</f>
        <v>Asset replacement and renewal</v>
      </c>
      <c r="AE1491" s="272">
        <f>IF(OR(H1491='Operating leases'!$B$32,H1491='Operating leases'!$B$33),"",INDEX('Global inputs'!$C$186:$C$243,MATCH(E1491,'Global inputs'!$B$186:$B$243,0)))</f>
        <v>0.08</v>
      </c>
    </row>
    <row r="1492" spans="1:31" s="27" customFormat="1" x14ac:dyDescent="0.2">
      <c r="A1492" s="250"/>
      <c r="B1492" s="210" t="s">
        <v>742</v>
      </c>
      <c r="C1492" s="210" t="s">
        <v>290</v>
      </c>
      <c r="D1492" s="210" t="s">
        <v>718</v>
      </c>
      <c r="E1492" s="210" t="s">
        <v>168</v>
      </c>
      <c r="F1492" s="210" t="s">
        <v>111</v>
      </c>
      <c r="G1492" s="210" t="s">
        <v>720</v>
      </c>
      <c r="H1492" s="197">
        <v>0</v>
      </c>
      <c r="I1492" s="210" t="s">
        <v>229</v>
      </c>
      <c r="J1492" s="210">
        <v>2025</v>
      </c>
      <c r="K1492" s="210">
        <v>2025</v>
      </c>
      <c r="L1492" s="268" t="str">
        <f t="shared" si="309"/>
        <v>Simple</v>
      </c>
      <c r="M1492" s="197">
        <v>411160</v>
      </c>
      <c r="N1492" s="197">
        <v>0</v>
      </c>
      <c r="O1492" s="257">
        <f>IF(ISNA(MATCH(H1492,'Operating leases'!$B$32:$B$43,0)),0,INDEX('Operating leases'!$M$32:$S$43,MATCH(H1492,'Operating leases'!$B$32:$B$43,0),MATCH(J1492,'Operating leases'!$M$11:$S$11,0)))</f>
        <v>0</v>
      </c>
      <c r="P1492" s="257">
        <f t="shared" si="310"/>
        <v>411160</v>
      </c>
      <c r="Q1492" s="257">
        <f t="shared" si="311"/>
        <v>411160</v>
      </c>
      <c r="R1492" s="258">
        <f>INDEX('Escalators '!$M$124:$S$129,MATCH(I1492,'Escalators '!$B$124:$B$129,0),MATCH(J1492,'Escalators '!$M$113:$S$113,0))</f>
        <v>1.0919411253473632</v>
      </c>
      <c r="S1492" s="257">
        <f t="shared" si="312"/>
        <v>0</v>
      </c>
      <c r="T1492" s="257">
        <f t="shared" si="313"/>
        <v>0</v>
      </c>
      <c r="U1492" s="269">
        <f t="shared" si="314"/>
        <v>448962.51309782185</v>
      </c>
      <c r="V1492" s="269">
        <f t="shared" si="315"/>
        <v>448962.51309782185</v>
      </c>
      <c r="W1492" s="269">
        <f t="shared" si="316"/>
        <v>448962.51309782185</v>
      </c>
      <c r="X1492" s="257">
        <f t="shared" si="317"/>
        <v>448962.51309782185</v>
      </c>
      <c r="Y1492" s="270">
        <f>IF(L1492="Complex",(INDEX('Escalators '!$M$176:$S$176,MATCH('Forecast capex'!J1492,'Escalators '!$M$178:$S$178,0))/12+1)^((K1492-J1492)*12)-1,0)</f>
        <v>0</v>
      </c>
      <c r="Z1492" s="257">
        <f t="shared" si="318"/>
        <v>0</v>
      </c>
      <c r="AA1492" s="257">
        <f t="shared" si="319"/>
        <v>0</v>
      </c>
      <c r="AB1492" s="269">
        <f t="shared" si="320"/>
        <v>0</v>
      </c>
      <c r="AC1492" s="269">
        <f t="shared" si="321"/>
        <v>0</v>
      </c>
      <c r="AD1492" s="271" t="str">
        <f>INDEX('Global inputs'!$C$134:$C$171,MATCH(F1492,'Global inputs'!$B$134:$B$171,0))</f>
        <v>Asset replacement and renewal</v>
      </c>
      <c r="AE1492" s="272">
        <f>IF(OR(H1492='Operating leases'!$B$32,H1492='Operating leases'!$B$33),"",INDEX('Global inputs'!$C$186:$C$243,MATCH(E1492,'Global inputs'!$B$186:$B$243,0)))</f>
        <v>0.08</v>
      </c>
    </row>
    <row r="1493" spans="1:31" s="27" customFormat="1" x14ac:dyDescent="0.2">
      <c r="A1493" s="250"/>
      <c r="B1493" s="210" t="s">
        <v>742</v>
      </c>
      <c r="C1493" s="210" t="s">
        <v>290</v>
      </c>
      <c r="D1493" s="210" t="s">
        <v>718</v>
      </c>
      <c r="E1493" s="210" t="s">
        <v>168</v>
      </c>
      <c r="F1493" s="210" t="s">
        <v>111</v>
      </c>
      <c r="G1493" s="210" t="s">
        <v>720</v>
      </c>
      <c r="H1493" s="197">
        <v>0</v>
      </c>
      <c r="I1493" s="210" t="s">
        <v>221</v>
      </c>
      <c r="J1493" s="210">
        <v>2025</v>
      </c>
      <c r="K1493" s="210">
        <v>2025</v>
      </c>
      <c r="L1493" s="268" t="str">
        <f t="shared" si="309"/>
        <v>Simple</v>
      </c>
      <c r="M1493" s="197">
        <v>102790</v>
      </c>
      <c r="N1493" s="197">
        <v>0</v>
      </c>
      <c r="O1493" s="257">
        <f>IF(ISNA(MATCH(H1493,'Operating leases'!$B$32:$B$43,0)),0,INDEX('Operating leases'!$M$32:$S$43,MATCH(H1493,'Operating leases'!$B$32:$B$43,0),MATCH(J1493,'Operating leases'!$M$11:$S$11,0)))</f>
        <v>0</v>
      </c>
      <c r="P1493" s="257">
        <f t="shared" si="310"/>
        <v>102790</v>
      </c>
      <c r="Q1493" s="257">
        <f t="shared" si="311"/>
        <v>102790</v>
      </c>
      <c r="R1493" s="258">
        <f>INDEX('Escalators '!$M$124:$S$129,MATCH(I1493,'Escalators '!$B$124:$B$129,0),MATCH(J1493,'Escalators '!$M$113:$S$113,0))</f>
        <v>1.0867931559758131</v>
      </c>
      <c r="S1493" s="257">
        <f t="shared" si="312"/>
        <v>0</v>
      </c>
      <c r="T1493" s="257">
        <f t="shared" si="313"/>
        <v>0</v>
      </c>
      <c r="U1493" s="269">
        <f t="shared" si="314"/>
        <v>111711.46850275382</v>
      </c>
      <c r="V1493" s="269">
        <f t="shared" si="315"/>
        <v>111711.46850275382</v>
      </c>
      <c r="W1493" s="269">
        <f t="shared" si="316"/>
        <v>111711.46850275382</v>
      </c>
      <c r="X1493" s="257">
        <f t="shared" si="317"/>
        <v>111711.46850275382</v>
      </c>
      <c r="Y1493" s="270">
        <f>IF(L1493="Complex",(INDEX('Escalators '!$M$176:$S$176,MATCH('Forecast capex'!J1493,'Escalators '!$M$178:$S$178,0))/12+1)^((K1493-J1493)*12)-1,0)</f>
        <v>0</v>
      </c>
      <c r="Z1493" s="257">
        <f t="shared" si="318"/>
        <v>0</v>
      </c>
      <c r="AA1493" s="257">
        <f t="shared" si="319"/>
        <v>0</v>
      </c>
      <c r="AB1493" s="269">
        <f t="shared" si="320"/>
        <v>0</v>
      </c>
      <c r="AC1493" s="269">
        <f t="shared" si="321"/>
        <v>0</v>
      </c>
      <c r="AD1493" s="271" t="str">
        <f>INDEX('Global inputs'!$C$134:$C$171,MATCH(F1493,'Global inputs'!$B$134:$B$171,0))</f>
        <v>Asset replacement and renewal</v>
      </c>
      <c r="AE1493" s="272">
        <f>IF(OR(H1493='Operating leases'!$B$32,H1493='Operating leases'!$B$33),"",INDEX('Global inputs'!$C$186:$C$243,MATCH(E1493,'Global inputs'!$B$186:$B$243,0)))</f>
        <v>0.08</v>
      </c>
    </row>
    <row r="1494" spans="1:31" s="27" customFormat="1" x14ac:dyDescent="0.2">
      <c r="A1494" s="250"/>
      <c r="B1494" s="210" t="s">
        <v>742</v>
      </c>
      <c r="C1494" s="210" t="s">
        <v>291</v>
      </c>
      <c r="D1494" s="210" t="s">
        <v>735</v>
      </c>
      <c r="E1494" s="210" t="s">
        <v>175</v>
      </c>
      <c r="F1494" s="210" t="s">
        <v>119</v>
      </c>
      <c r="G1494" s="210" t="s">
        <v>748</v>
      </c>
      <c r="H1494" s="197">
        <v>0</v>
      </c>
      <c r="I1494" s="210" t="s">
        <v>229</v>
      </c>
      <c r="J1494" s="210">
        <v>2025</v>
      </c>
      <c r="K1494" s="210">
        <v>2025</v>
      </c>
      <c r="L1494" s="268" t="str">
        <f t="shared" si="309"/>
        <v>Simple</v>
      </c>
      <c r="M1494" s="197">
        <v>27930</v>
      </c>
      <c r="N1494" s="197">
        <v>0</v>
      </c>
      <c r="O1494" s="257">
        <f>IF(ISNA(MATCH(H1494,'Operating leases'!$B$32:$B$43,0)),0,INDEX('Operating leases'!$M$32:$S$43,MATCH(H1494,'Operating leases'!$B$32:$B$43,0),MATCH(J1494,'Operating leases'!$M$11:$S$11,0)))</f>
        <v>0</v>
      </c>
      <c r="P1494" s="257">
        <f t="shared" si="310"/>
        <v>27930</v>
      </c>
      <c r="Q1494" s="257">
        <f t="shared" si="311"/>
        <v>27930</v>
      </c>
      <c r="R1494" s="258">
        <f>INDEX('Escalators '!$M$124:$S$129,MATCH(I1494,'Escalators '!$B$124:$B$129,0),MATCH(J1494,'Escalators '!$M$113:$S$113,0))</f>
        <v>1.0919411253473632</v>
      </c>
      <c r="S1494" s="257">
        <f t="shared" si="312"/>
        <v>0</v>
      </c>
      <c r="T1494" s="257">
        <f t="shared" si="313"/>
        <v>0</v>
      </c>
      <c r="U1494" s="269">
        <f t="shared" si="314"/>
        <v>30497.915630951855</v>
      </c>
      <c r="V1494" s="269">
        <f t="shared" si="315"/>
        <v>30497.915630951855</v>
      </c>
      <c r="W1494" s="269">
        <f t="shared" si="316"/>
        <v>30497.915630951855</v>
      </c>
      <c r="X1494" s="257">
        <f t="shared" si="317"/>
        <v>30497.915630951855</v>
      </c>
      <c r="Y1494" s="270">
        <f>IF(L1494="Complex",(INDEX('Escalators '!$M$176:$S$176,MATCH('Forecast capex'!J1494,'Escalators '!$M$178:$S$178,0))/12+1)^((K1494-J1494)*12)-1,0)</f>
        <v>0</v>
      </c>
      <c r="Z1494" s="257">
        <f t="shared" si="318"/>
        <v>0</v>
      </c>
      <c r="AA1494" s="257">
        <f t="shared" si="319"/>
        <v>0</v>
      </c>
      <c r="AB1494" s="269">
        <f t="shared" si="320"/>
        <v>0</v>
      </c>
      <c r="AC1494" s="269">
        <f t="shared" si="321"/>
        <v>0</v>
      </c>
      <c r="AD1494" s="271" t="str">
        <f>INDEX('Global inputs'!$C$134:$C$171,MATCH(F1494,'Global inputs'!$B$134:$B$171,0))</f>
        <v>Asset replacement and renewal</v>
      </c>
      <c r="AE1494" s="272">
        <f>IF(OR(H1494='Operating leases'!$B$32,H1494='Operating leases'!$B$33),"",INDEX('Global inputs'!$C$186:$C$243,MATCH(E1494,'Global inputs'!$B$186:$B$243,0)))</f>
        <v>0.1</v>
      </c>
    </row>
    <row r="1495" spans="1:31" s="27" customFormat="1" x14ac:dyDescent="0.2">
      <c r="A1495" s="250"/>
      <c r="B1495" s="210" t="s">
        <v>742</v>
      </c>
      <c r="C1495" s="210" t="s">
        <v>291</v>
      </c>
      <c r="D1495" s="210" t="s">
        <v>735</v>
      </c>
      <c r="E1495" s="210" t="s">
        <v>175</v>
      </c>
      <c r="F1495" s="210" t="s">
        <v>119</v>
      </c>
      <c r="G1495" s="210" t="s">
        <v>748</v>
      </c>
      <c r="H1495" s="197">
        <v>0</v>
      </c>
      <c r="I1495" s="210" t="s">
        <v>221</v>
      </c>
      <c r="J1495" s="210">
        <v>2025</v>
      </c>
      <c r="K1495" s="210">
        <v>2025</v>
      </c>
      <c r="L1495" s="268" t="str">
        <f t="shared" si="309"/>
        <v>Simple</v>
      </c>
      <c r="M1495" s="197">
        <v>111720</v>
      </c>
      <c r="N1495" s="197">
        <v>0</v>
      </c>
      <c r="O1495" s="257">
        <f>IF(ISNA(MATCH(H1495,'Operating leases'!$B$32:$B$43,0)),0,INDEX('Operating leases'!$M$32:$S$43,MATCH(H1495,'Operating leases'!$B$32:$B$43,0),MATCH(J1495,'Operating leases'!$M$11:$S$11,0)))</f>
        <v>0</v>
      </c>
      <c r="P1495" s="257">
        <f t="shared" si="310"/>
        <v>111720</v>
      </c>
      <c r="Q1495" s="257">
        <f t="shared" si="311"/>
        <v>111720</v>
      </c>
      <c r="R1495" s="258">
        <f>INDEX('Escalators '!$M$124:$S$129,MATCH(I1495,'Escalators '!$B$124:$B$129,0),MATCH(J1495,'Escalators '!$M$113:$S$113,0))</f>
        <v>1.0867931559758131</v>
      </c>
      <c r="S1495" s="257">
        <f t="shared" si="312"/>
        <v>0</v>
      </c>
      <c r="T1495" s="257">
        <f t="shared" si="313"/>
        <v>0</v>
      </c>
      <c r="U1495" s="269">
        <f t="shared" si="314"/>
        <v>121416.53138561784</v>
      </c>
      <c r="V1495" s="269">
        <f t="shared" si="315"/>
        <v>121416.53138561784</v>
      </c>
      <c r="W1495" s="269">
        <f t="shared" si="316"/>
        <v>121416.53138561784</v>
      </c>
      <c r="X1495" s="257">
        <f t="shared" si="317"/>
        <v>121416.53138561784</v>
      </c>
      <c r="Y1495" s="270">
        <f>IF(L1495="Complex",(INDEX('Escalators '!$M$176:$S$176,MATCH('Forecast capex'!J1495,'Escalators '!$M$178:$S$178,0))/12+1)^((K1495-J1495)*12)-1,0)</f>
        <v>0</v>
      </c>
      <c r="Z1495" s="257">
        <f t="shared" si="318"/>
        <v>0</v>
      </c>
      <c r="AA1495" s="257">
        <f t="shared" si="319"/>
        <v>0</v>
      </c>
      <c r="AB1495" s="269">
        <f t="shared" si="320"/>
        <v>0</v>
      </c>
      <c r="AC1495" s="269">
        <f t="shared" si="321"/>
        <v>0</v>
      </c>
      <c r="AD1495" s="271" t="str">
        <f>INDEX('Global inputs'!$C$134:$C$171,MATCH(F1495,'Global inputs'!$B$134:$B$171,0))</f>
        <v>Asset replacement and renewal</v>
      </c>
      <c r="AE1495" s="272">
        <f>IF(OR(H1495='Operating leases'!$B$32,H1495='Operating leases'!$B$33),"",INDEX('Global inputs'!$C$186:$C$243,MATCH(E1495,'Global inputs'!$B$186:$B$243,0)))</f>
        <v>0.1</v>
      </c>
    </row>
    <row r="1496" spans="1:31" s="27" customFormat="1" x14ac:dyDescent="0.2">
      <c r="A1496" s="250"/>
      <c r="B1496" s="210" t="s">
        <v>742</v>
      </c>
      <c r="C1496" s="210" t="s">
        <v>289</v>
      </c>
      <c r="D1496" s="210" t="s">
        <v>718</v>
      </c>
      <c r="E1496" s="210" t="s">
        <v>165</v>
      </c>
      <c r="F1496" s="210" t="s">
        <v>113</v>
      </c>
      <c r="G1496" s="210" t="s">
        <v>745</v>
      </c>
      <c r="H1496" s="197">
        <v>0</v>
      </c>
      <c r="I1496" s="210" t="s">
        <v>229</v>
      </c>
      <c r="J1496" s="210">
        <v>2025</v>
      </c>
      <c r="K1496" s="210">
        <v>2025</v>
      </c>
      <c r="L1496" s="268" t="str">
        <f t="shared" si="309"/>
        <v>Simple</v>
      </c>
      <c r="M1496" s="197">
        <v>469194.07499999995</v>
      </c>
      <c r="N1496" s="197">
        <v>0</v>
      </c>
      <c r="O1496" s="257">
        <f>IF(ISNA(MATCH(H1496,'Operating leases'!$B$32:$B$43,0)),0,INDEX('Operating leases'!$M$32:$S$43,MATCH(H1496,'Operating leases'!$B$32:$B$43,0),MATCH(J1496,'Operating leases'!$M$11:$S$11,0)))</f>
        <v>0</v>
      </c>
      <c r="P1496" s="257">
        <f t="shared" si="310"/>
        <v>469194.07499999995</v>
      </c>
      <c r="Q1496" s="257">
        <f t="shared" si="311"/>
        <v>469194.07499999995</v>
      </c>
      <c r="R1496" s="258">
        <f>INDEX('Escalators '!$M$124:$S$129,MATCH(I1496,'Escalators '!$B$124:$B$129,0),MATCH(J1496,'Escalators '!$M$113:$S$113,0))</f>
        <v>1.0919411253473632</v>
      </c>
      <c r="S1496" s="257">
        <f t="shared" si="312"/>
        <v>0</v>
      </c>
      <c r="T1496" s="257">
        <f t="shared" si="313"/>
        <v>0</v>
      </c>
      <c r="U1496" s="269">
        <f t="shared" si="314"/>
        <v>512332.30626181507</v>
      </c>
      <c r="V1496" s="269">
        <f t="shared" si="315"/>
        <v>512332.30626181507</v>
      </c>
      <c r="W1496" s="269">
        <f t="shared" si="316"/>
        <v>512332.30626181507</v>
      </c>
      <c r="X1496" s="257">
        <f t="shared" si="317"/>
        <v>512332.30626181507</v>
      </c>
      <c r="Y1496" s="270">
        <f>IF(L1496="Complex",(INDEX('Escalators '!$M$176:$S$176,MATCH('Forecast capex'!J1496,'Escalators '!$M$178:$S$178,0))/12+1)^((K1496-J1496)*12)-1,0)</f>
        <v>0</v>
      </c>
      <c r="Z1496" s="257">
        <f t="shared" si="318"/>
        <v>0</v>
      </c>
      <c r="AA1496" s="257">
        <f t="shared" si="319"/>
        <v>0</v>
      </c>
      <c r="AB1496" s="269">
        <f t="shared" si="320"/>
        <v>0</v>
      </c>
      <c r="AC1496" s="269">
        <f t="shared" si="321"/>
        <v>0</v>
      </c>
      <c r="AD1496" s="271" t="str">
        <f>INDEX('Global inputs'!$C$134:$C$171,MATCH(F1496,'Global inputs'!$B$134:$B$171,0))</f>
        <v>Asset replacement and renewal</v>
      </c>
      <c r="AE1496" s="272">
        <f>IF(OR(H1496='Operating leases'!$B$32,H1496='Operating leases'!$B$33),"",INDEX('Global inputs'!$C$186:$C$243,MATCH(E1496,'Global inputs'!$B$186:$B$243,0)))</f>
        <v>0.1</v>
      </c>
    </row>
    <row r="1497" spans="1:31" s="27" customFormat="1" x14ac:dyDescent="0.2">
      <c r="A1497" s="250"/>
      <c r="B1497" s="210" t="s">
        <v>742</v>
      </c>
      <c r="C1497" s="210" t="s">
        <v>289</v>
      </c>
      <c r="D1497" s="210" t="s">
        <v>718</v>
      </c>
      <c r="E1497" s="210" t="s">
        <v>165</v>
      </c>
      <c r="F1497" s="210" t="s">
        <v>113</v>
      </c>
      <c r="G1497" s="210" t="s">
        <v>745</v>
      </c>
      <c r="H1497" s="197">
        <v>0</v>
      </c>
      <c r="I1497" s="210" t="s">
        <v>221</v>
      </c>
      <c r="J1497" s="210">
        <v>2025</v>
      </c>
      <c r="K1497" s="210">
        <v>2025</v>
      </c>
      <c r="L1497" s="268" t="str">
        <f t="shared" si="309"/>
        <v>Simple</v>
      </c>
      <c r="M1497" s="197">
        <v>469194.07499999995</v>
      </c>
      <c r="N1497" s="197">
        <v>0</v>
      </c>
      <c r="O1497" s="257">
        <f>IF(ISNA(MATCH(H1497,'Operating leases'!$B$32:$B$43,0)),0,INDEX('Operating leases'!$M$32:$S$43,MATCH(H1497,'Operating leases'!$B$32:$B$43,0),MATCH(J1497,'Operating leases'!$M$11:$S$11,0)))</f>
        <v>0</v>
      </c>
      <c r="P1497" s="257">
        <f t="shared" si="310"/>
        <v>469194.07499999995</v>
      </c>
      <c r="Q1497" s="257">
        <f t="shared" si="311"/>
        <v>469194.07499999995</v>
      </c>
      <c r="R1497" s="258">
        <f>INDEX('Escalators '!$M$124:$S$129,MATCH(I1497,'Escalators '!$B$124:$B$129,0),MATCH(J1497,'Escalators '!$M$113:$S$113,0))</f>
        <v>1.0867931559758131</v>
      </c>
      <c r="S1497" s="257">
        <f t="shared" si="312"/>
        <v>0</v>
      </c>
      <c r="T1497" s="257">
        <f t="shared" si="313"/>
        <v>0</v>
      </c>
      <c r="U1497" s="269">
        <f t="shared" si="314"/>
        <v>509916.90953440225</v>
      </c>
      <c r="V1497" s="269">
        <f t="shared" si="315"/>
        <v>509916.90953440225</v>
      </c>
      <c r="W1497" s="269">
        <f t="shared" si="316"/>
        <v>509916.90953440225</v>
      </c>
      <c r="X1497" s="257">
        <f t="shared" si="317"/>
        <v>509916.90953440225</v>
      </c>
      <c r="Y1497" s="270">
        <f>IF(L1497="Complex",(INDEX('Escalators '!$M$176:$S$176,MATCH('Forecast capex'!J1497,'Escalators '!$M$178:$S$178,0))/12+1)^((K1497-J1497)*12)-1,0)</f>
        <v>0</v>
      </c>
      <c r="Z1497" s="257">
        <f t="shared" si="318"/>
        <v>0</v>
      </c>
      <c r="AA1497" s="257">
        <f t="shared" si="319"/>
        <v>0</v>
      </c>
      <c r="AB1497" s="269">
        <f t="shared" si="320"/>
        <v>0</v>
      </c>
      <c r="AC1497" s="269">
        <f t="shared" si="321"/>
        <v>0</v>
      </c>
      <c r="AD1497" s="271" t="str">
        <f>INDEX('Global inputs'!$C$134:$C$171,MATCH(F1497,'Global inputs'!$B$134:$B$171,0))</f>
        <v>Asset replacement and renewal</v>
      </c>
      <c r="AE1497" s="272">
        <f>IF(OR(H1497='Operating leases'!$B$32,H1497='Operating leases'!$B$33),"",INDEX('Global inputs'!$C$186:$C$243,MATCH(E1497,'Global inputs'!$B$186:$B$243,0)))</f>
        <v>0.1</v>
      </c>
    </row>
    <row r="1498" spans="1:31" s="27" customFormat="1" x14ac:dyDescent="0.2">
      <c r="A1498" s="250"/>
      <c r="B1498" s="210" t="s">
        <v>742</v>
      </c>
      <c r="C1498" s="210" t="s">
        <v>285</v>
      </c>
      <c r="D1498" s="210" t="s">
        <v>718</v>
      </c>
      <c r="E1498" s="210" t="s">
        <v>132</v>
      </c>
      <c r="F1498" s="210" t="s">
        <v>113</v>
      </c>
      <c r="G1498" s="210" t="s">
        <v>745</v>
      </c>
      <c r="H1498" s="197">
        <v>0</v>
      </c>
      <c r="I1498" s="210" t="s">
        <v>229</v>
      </c>
      <c r="J1498" s="210">
        <v>2025</v>
      </c>
      <c r="K1498" s="210">
        <v>2025</v>
      </c>
      <c r="L1498" s="268" t="str">
        <f t="shared" si="309"/>
        <v>Simple</v>
      </c>
      <c r="M1498" s="197">
        <v>47500</v>
      </c>
      <c r="N1498" s="197">
        <v>0</v>
      </c>
      <c r="O1498" s="257">
        <f>IF(ISNA(MATCH(H1498,'Operating leases'!$B$32:$B$43,0)),0,INDEX('Operating leases'!$M$32:$S$43,MATCH(H1498,'Operating leases'!$B$32:$B$43,0),MATCH(J1498,'Operating leases'!$M$11:$S$11,0)))</f>
        <v>0</v>
      </c>
      <c r="P1498" s="257">
        <f t="shared" si="310"/>
        <v>47500</v>
      </c>
      <c r="Q1498" s="257">
        <f t="shared" si="311"/>
        <v>47500</v>
      </c>
      <c r="R1498" s="258">
        <f>INDEX('Escalators '!$M$124:$S$129,MATCH(I1498,'Escalators '!$B$124:$B$129,0),MATCH(J1498,'Escalators '!$M$113:$S$113,0))</f>
        <v>1.0919411253473632</v>
      </c>
      <c r="S1498" s="257">
        <f t="shared" si="312"/>
        <v>0</v>
      </c>
      <c r="T1498" s="257">
        <f t="shared" si="313"/>
        <v>0</v>
      </c>
      <c r="U1498" s="269">
        <f t="shared" si="314"/>
        <v>51867.203453999755</v>
      </c>
      <c r="V1498" s="269">
        <f t="shared" si="315"/>
        <v>51867.203453999755</v>
      </c>
      <c r="W1498" s="269">
        <f t="shared" si="316"/>
        <v>51867.203453999755</v>
      </c>
      <c r="X1498" s="257">
        <f t="shared" si="317"/>
        <v>51867.203453999755</v>
      </c>
      <c r="Y1498" s="270">
        <f>IF(L1498="Complex",(INDEX('Escalators '!$M$176:$S$176,MATCH('Forecast capex'!J1498,'Escalators '!$M$178:$S$178,0))/12+1)^((K1498-J1498)*12)-1,0)</f>
        <v>0</v>
      </c>
      <c r="Z1498" s="257">
        <f t="shared" si="318"/>
        <v>0</v>
      </c>
      <c r="AA1498" s="257">
        <f t="shared" si="319"/>
        <v>0</v>
      </c>
      <c r="AB1498" s="269">
        <f t="shared" si="320"/>
        <v>0</v>
      </c>
      <c r="AC1498" s="269">
        <f t="shared" si="321"/>
        <v>0</v>
      </c>
      <c r="AD1498" s="271" t="str">
        <f>INDEX('Global inputs'!$C$134:$C$171,MATCH(F1498,'Global inputs'!$B$134:$B$171,0))</f>
        <v>Asset replacement and renewal</v>
      </c>
      <c r="AE1498" s="272">
        <f>IF(OR(H1498='Operating leases'!$B$32,H1498='Operating leases'!$B$33),"",INDEX('Global inputs'!$C$186:$C$243,MATCH(E1498,'Global inputs'!$B$186:$B$243,0)))</f>
        <v>0.08</v>
      </c>
    </row>
    <row r="1499" spans="1:31" s="27" customFormat="1" x14ac:dyDescent="0.2">
      <c r="A1499" s="250"/>
      <c r="B1499" s="210" t="s">
        <v>742</v>
      </c>
      <c r="C1499" s="210" t="s">
        <v>285</v>
      </c>
      <c r="D1499" s="210" t="s">
        <v>718</v>
      </c>
      <c r="E1499" s="210" t="s">
        <v>132</v>
      </c>
      <c r="F1499" s="210" t="s">
        <v>113</v>
      </c>
      <c r="G1499" s="210" t="s">
        <v>745</v>
      </c>
      <c r="H1499" s="197">
        <v>0</v>
      </c>
      <c r="I1499" s="210" t="s">
        <v>221</v>
      </c>
      <c r="J1499" s="210">
        <v>2025</v>
      </c>
      <c r="K1499" s="210">
        <v>2025</v>
      </c>
      <c r="L1499" s="268" t="str">
        <f t="shared" si="309"/>
        <v>Simple</v>
      </c>
      <c r="M1499" s="197">
        <v>47500</v>
      </c>
      <c r="N1499" s="197">
        <v>0</v>
      </c>
      <c r="O1499" s="257">
        <f>IF(ISNA(MATCH(H1499,'Operating leases'!$B$32:$B$43,0)),0,INDEX('Operating leases'!$M$32:$S$43,MATCH(H1499,'Operating leases'!$B$32:$B$43,0),MATCH(J1499,'Operating leases'!$M$11:$S$11,0)))</f>
        <v>0</v>
      </c>
      <c r="P1499" s="257">
        <f t="shared" si="310"/>
        <v>47500</v>
      </c>
      <c r="Q1499" s="257">
        <f t="shared" si="311"/>
        <v>47500</v>
      </c>
      <c r="R1499" s="258">
        <f>INDEX('Escalators '!$M$124:$S$129,MATCH(I1499,'Escalators '!$B$124:$B$129,0),MATCH(J1499,'Escalators '!$M$113:$S$113,0))</f>
        <v>1.0867931559758131</v>
      </c>
      <c r="S1499" s="257">
        <f t="shared" si="312"/>
        <v>0</v>
      </c>
      <c r="T1499" s="257">
        <f t="shared" si="313"/>
        <v>0</v>
      </c>
      <c r="U1499" s="269">
        <f t="shared" si="314"/>
        <v>51622.674908851121</v>
      </c>
      <c r="V1499" s="269">
        <f t="shared" si="315"/>
        <v>51622.674908851121</v>
      </c>
      <c r="W1499" s="269">
        <f t="shared" si="316"/>
        <v>51622.674908851121</v>
      </c>
      <c r="X1499" s="257">
        <f t="shared" si="317"/>
        <v>51622.674908851121</v>
      </c>
      <c r="Y1499" s="270">
        <f>IF(L1499="Complex",(INDEX('Escalators '!$M$176:$S$176,MATCH('Forecast capex'!J1499,'Escalators '!$M$178:$S$178,0))/12+1)^((K1499-J1499)*12)-1,0)</f>
        <v>0</v>
      </c>
      <c r="Z1499" s="257">
        <f t="shared" si="318"/>
        <v>0</v>
      </c>
      <c r="AA1499" s="257">
        <f t="shared" si="319"/>
        <v>0</v>
      </c>
      <c r="AB1499" s="269">
        <f t="shared" si="320"/>
        <v>0</v>
      </c>
      <c r="AC1499" s="269">
        <f t="shared" si="321"/>
        <v>0</v>
      </c>
      <c r="AD1499" s="271" t="str">
        <f>INDEX('Global inputs'!$C$134:$C$171,MATCH(F1499,'Global inputs'!$B$134:$B$171,0))</f>
        <v>Asset replacement and renewal</v>
      </c>
      <c r="AE1499" s="272">
        <f>IF(OR(H1499='Operating leases'!$B$32,H1499='Operating leases'!$B$33),"",INDEX('Global inputs'!$C$186:$C$243,MATCH(E1499,'Global inputs'!$B$186:$B$243,0)))</f>
        <v>0.08</v>
      </c>
    </row>
    <row r="1500" spans="1:31" s="27" customFormat="1" x14ac:dyDescent="0.2">
      <c r="A1500" s="250"/>
      <c r="B1500" s="210" t="s">
        <v>746</v>
      </c>
      <c r="C1500" s="210" t="s">
        <v>287</v>
      </c>
      <c r="D1500" s="210" t="s">
        <v>715</v>
      </c>
      <c r="E1500" s="210" t="s">
        <v>150</v>
      </c>
      <c r="F1500" s="210" t="s">
        <v>86</v>
      </c>
      <c r="G1500" s="210" t="s">
        <v>716</v>
      </c>
      <c r="H1500" s="197">
        <v>0</v>
      </c>
      <c r="I1500" s="210" t="s">
        <v>229</v>
      </c>
      <c r="J1500" s="210">
        <v>2025</v>
      </c>
      <c r="K1500" s="210">
        <v>2025</v>
      </c>
      <c r="L1500" s="268" t="str">
        <f t="shared" si="309"/>
        <v>Simple</v>
      </c>
      <c r="M1500" s="197">
        <v>66086.916721174595</v>
      </c>
      <c r="N1500" s="197">
        <v>0</v>
      </c>
      <c r="O1500" s="257">
        <f>IF(ISNA(MATCH(H1500,'Operating leases'!$B$32:$B$43,0)),0,INDEX('Operating leases'!$M$32:$S$43,MATCH(H1500,'Operating leases'!$B$32:$B$43,0),MATCH(J1500,'Operating leases'!$M$11:$S$11,0)))</f>
        <v>0</v>
      </c>
      <c r="P1500" s="257">
        <f t="shared" si="310"/>
        <v>66086.916721174595</v>
      </c>
      <c r="Q1500" s="257">
        <f t="shared" si="311"/>
        <v>66086.916721174595</v>
      </c>
      <c r="R1500" s="258">
        <f>INDEX('Escalators '!$M$124:$S$129,MATCH(I1500,'Escalators '!$B$124:$B$129,0),MATCH(J1500,'Escalators '!$M$113:$S$113,0))</f>
        <v>1.0919411253473632</v>
      </c>
      <c r="S1500" s="257">
        <f t="shared" si="312"/>
        <v>0</v>
      </c>
      <c r="T1500" s="257">
        <f t="shared" si="313"/>
        <v>0</v>
      </c>
      <c r="U1500" s="269">
        <f t="shared" si="314"/>
        <v>72163.02221525686</v>
      </c>
      <c r="V1500" s="269">
        <f t="shared" si="315"/>
        <v>72163.02221525686</v>
      </c>
      <c r="W1500" s="269">
        <f t="shared" si="316"/>
        <v>72163.02221525686</v>
      </c>
      <c r="X1500" s="257">
        <f t="shared" si="317"/>
        <v>72163.02221525686</v>
      </c>
      <c r="Y1500" s="270">
        <f>IF(L1500="Complex",(INDEX('Escalators '!$M$176:$S$176,MATCH('Forecast capex'!J1500,'Escalators '!$M$178:$S$178,0))/12+1)^((K1500-J1500)*12)-1,0)</f>
        <v>0</v>
      </c>
      <c r="Z1500" s="257">
        <f t="shared" si="318"/>
        <v>0</v>
      </c>
      <c r="AA1500" s="257">
        <f t="shared" si="319"/>
        <v>0</v>
      </c>
      <c r="AB1500" s="269">
        <f t="shared" si="320"/>
        <v>0</v>
      </c>
      <c r="AC1500" s="269">
        <f t="shared" si="321"/>
        <v>0</v>
      </c>
      <c r="AD1500" s="271" t="str">
        <f>INDEX('Global inputs'!$C$134:$C$171,MATCH(F1500,'Global inputs'!$B$134:$B$171,0))</f>
        <v xml:space="preserve">System growth </v>
      </c>
      <c r="AE1500" s="272">
        <f>IF(OR(H1500='Operating leases'!$B$32,H1500='Operating leases'!$B$33),"",INDEX('Global inputs'!$C$186:$C$243,MATCH(E1500,'Global inputs'!$B$186:$B$243,0)))</f>
        <v>0.08</v>
      </c>
    </row>
    <row r="1501" spans="1:31" s="27" customFormat="1" x14ac:dyDescent="0.2">
      <c r="A1501" s="250"/>
      <c r="B1501" s="210" t="s">
        <v>746</v>
      </c>
      <c r="C1501" s="210" t="s">
        <v>287</v>
      </c>
      <c r="D1501" s="210" t="s">
        <v>715</v>
      </c>
      <c r="E1501" s="210" t="s">
        <v>150</v>
      </c>
      <c r="F1501" s="210" t="s">
        <v>86</v>
      </c>
      <c r="G1501" s="210" t="s">
        <v>716</v>
      </c>
      <c r="H1501" s="197">
        <v>0</v>
      </c>
      <c r="I1501" s="210" t="s">
        <v>221</v>
      </c>
      <c r="J1501" s="210">
        <v>2025</v>
      </c>
      <c r="K1501" s="210">
        <v>2025</v>
      </c>
      <c r="L1501" s="268" t="str">
        <f t="shared" si="309"/>
        <v>Simple</v>
      </c>
      <c r="M1501" s="197">
        <v>66086.916721174595</v>
      </c>
      <c r="N1501" s="197">
        <v>0</v>
      </c>
      <c r="O1501" s="257">
        <f>IF(ISNA(MATCH(H1501,'Operating leases'!$B$32:$B$43,0)),0,INDEX('Operating leases'!$M$32:$S$43,MATCH(H1501,'Operating leases'!$B$32:$B$43,0),MATCH(J1501,'Operating leases'!$M$11:$S$11,0)))</f>
        <v>0</v>
      </c>
      <c r="P1501" s="257">
        <f t="shared" si="310"/>
        <v>66086.916721174595</v>
      </c>
      <c r="Q1501" s="257">
        <f t="shared" si="311"/>
        <v>66086.916721174595</v>
      </c>
      <c r="R1501" s="258">
        <f>INDEX('Escalators '!$M$124:$S$129,MATCH(I1501,'Escalators '!$B$124:$B$129,0),MATCH(J1501,'Escalators '!$M$113:$S$113,0))</f>
        <v>1.0867931559758131</v>
      </c>
      <c r="S1501" s="257">
        <f t="shared" si="312"/>
        <v>0</v>
      </c>
      <c r="T1501" s="257">
        <f t="shared" si="313"/>
        <v>0</v>
      </c>
      <c r="U1501" s="269">
        <f t="shared" si="314"/>
        <v>71822.808792116077</v>
      </c>
      <c r="V1501" s="269">
        <f t="shared" si="315"/>
        <v>71822.808792116077</v>
      </c>
      <c r="W1501" s="269">
        <f t="shared" si="316"/>
        <v>71822.808792116077</v>
      </c>
      <c r="X1501" s="257">
        <f t="shared" si="317"/>
        <v>71822.808792116077</v>
      </c>
      <c r="Y1501" s="270">
        <f>IF(L1501="Complex",(INDEX('Escalators '!$M$176:$S$176,MATCH('Forecast capex'!J1501,'Escalators '!$M$178:$S$178,0))/12+1)^((K1501-J1501)*12)-1,0)</f>
        <v>0</v>
      </c>
      <c r="Z1501" s="257">
        <f t="shared" si="318"/>
        <v>0</v>
      </c>
      <c r="AA1501" s="257">
        <f t="shared" si="319"/>
        <v>0</v>
      </c>
      <c r="AB1501" s="269">
        <f t="shared" si="320"/>
        <v>0</v>
      </c>
      <c r="AC1501" s="269">
        <f t="shared" si="321"/>
        <v>0</v>
      </c>
      <c r="AD1501" s="271" t="str">
        <f>INDEX('Global inputs'!$C$134:$C$171,MATCH(F1501,'Global inputs'!$B$134:$B$171,0))</f>
        <v xml:space="preserve">System growth </v>
      </c>
      <c r="AE1501" s="272">
        <f>IF(OR(H1501='Operating leases'!$B$32,H1501='Operating leases'!$B$33),"",INDEX('Global inputs'!$C$186:$C$243,MATCH(E1501,'Global inputs'!$B$186:$B$243,0)))</f>
        <v>0.08</v>
      </c>
    </row>
    <row r="1502" spans="1:31" s="27" customFormat="1" x14ac:dyDescent="0.2">
      <c r="A1502" s="250"/>
      <c r="B1502" s="210" t="s">
        <v>746</v>
      </c>
      <c r="C1502" s="210" t="s">
        <v>287</v>
      </c>
      <c r="D1502" s="210" t="s">
        <v>715</v>
      </c>
      <c r="E1502" s="210" t="s">
        <v>151</v>
      </c>
      <c r="F1502" s="210" t="s">
        <v>86</v>
      </c>
      <c r="G1502" s="210" t="s">
        <v>716</v>
      </c>
      <c r="H1502" s="197">
        <v>0</v>
      </c>
      <c r="I1502" s="210" t="s">
        <v>229</v>
      </c>
      <c r="J1502" s="210">
        <v>2025</v>
      </c>
      <c r="K1502" s="210">
        <v>2025</v>
      </c>
      <c r="L1502" s="268" t="str">
        <f t="shared" si="309"/>
        <v>Simple</v>
      </c>
      <c r="M1502" s="197">
        <v>66086.916721174595</v>
      </c>
      <c r="N1502" s="197">
        <v>0</v>
      </c>
      <c r="O1502" s="257">
        <f>IF(ISNA(MATCH(H1502,'Operating leases'!$B$32:$B$43,0)),0,INDEX('Operating leases'!$M$32:$S$43,MATCH(H1502,'Operating leases'!$B$32:$B$43,0),MATCH(J1502,'Operating leases'!$M$11:$S$11,0)))</f>
        <v>0</v>
      </c>
      <c r="P1502" s="257">
        <f t="shared" si="310"/>
        <v>66086.916721174595</v>
      </c>
      <c r="Q1502" s="257">
        <f t="shared" si="311"/>
        <v>66086.916721174595</v>
      </c>
      <c r="R1502" s="258">
        <f>INDEX('Escalators '!$M$124:$S$129,MATCH(I1502,'Escalators '!$B$124:$B$129,0),MATCH(J1502,'Escalators '!$M$113:$S$113,0))</f>
        <v>1.0919411253473632</v>
      </c>
      <c r="S1502" s="257">
        <f t="shared" si="312"/>
        <v>0</v>
      </c>
      <c r="T1502" s="257">
        <f t="shared" si="313"/>
        <v>0</v>
      </c>
      <c r="U1502" s="269">
        <f t="shared" si="314"/>
        <v>72163.02221525686</v>
      </c>
      <c r="V1502" s="269">
        <f t="shared" si="315"/>
        <v>72163.02221525686</v>
      </c>
      <c r="W1502" s="269">
        <f t="shared" si="316"/>
        <v>72163.02221525686</v>
      </c>
      <c r="X1502" s="257">
        <f t="shared" si="317"/>
        <v>72163.02221525686</v>
      </c>
      <c r="Y1502" s="270">
        <f>IF(L1502="Complex",(INDEX('Escalators '!$M$176:$S$176,MATCH('Forecast capex'!J1502,'Escalators '!$M$178:$S$178,0))/12+1)^((K1502-J1502)*12)-1,0)</f>
        <v>0</v>
      </c>
      <c r="Z1502" s="257">
        <f t="shared" si="318"/>
        <v>0</v>
      </c>
      <c r="AA1502" s="257">
        <f t="shared" si="319"/>
        <v>0</v>
      </c>
      <c r="AB1502" s="269">
        <f t="shared" si="320"/>
        <v>0</v>
      </c>
      <c r="AC1502" s="269">
        <f t="shared" si="321"/>
        <v>0</v>
      </c>
      <c r="AD1502" s="271" t="str">
        <f>INDEX('Global inputs'!$C$134:$C$171,MATCH(F1502,'Global inputs'!$B$134:$B$171,0))</f>
        <v xml:space="preserve">System growth </v>
      </c>
      <c r="AE1502" s="272">
        <f>IF(OR(H1502='Operating leases'!$B$32,H1502='Operating leases'!$B$33),"",INDEX('Global inputs'!$C$186:$C$243,MATCH(E1502,'Global inputs'!$B$186:$B$243,0)))</f>
        <v>0.1</v>
      </c>
    </row>
    <row r="1503" spans="1:31" s="27" customFormat="1" x14ac:dyDescent="0.2">
      <c r="A1503" s="250"/>
      <c r="B1503" s="210" t="s">
        <v>746</v>
      </c>
      <c r="C1503" s="210" t="s">
        <v>287</v>
      </c>
      <c r="D1503" s="210" t="s">
        <v>715</v>
      </c>
      <c r="E1503" s="210" t="s">
        <v>151</v>
      </c>
      <c r="F1503" s="210" t="s">
        <v>86</v>
      </c>
      <c r="G1503" s="210" t="s">
        <v>716</v>
      </c>
      <c r="H1503" s="197">
        <v>0</v>
      </c>
      <c r="I1503" s="210" t="s">
        <v>221</v>
      </c>
      <c r="J1503" s="210">
        <v>2025</v>
      </c>
      <c r="K1503" s="210">
        <v>2025</v>
      </c>
      <c r="L1503" s="268" t="str">
        <f t="shared" si="309"/>
        <v>Simple</v>
      </c>
      <c r="M1503" s="197">
        <v>66086.916721174595</v>
      </c>
      <c r="N1503" s="197">
        <v>0</v>
      </c>
      <c r="O1503" s="257">
        <f>IF(ISNA(MATCH(H1503,'Operating leases'!$B$32:$B$43,0)),0,INDEX('Operating leases'!$M$32:$S$43,MATCH(H1503,'Operating leases'!$B$32:$B$43,0),MATCH(J1503,'Operating leases'!$M$11:$S$11,0)))</f>
        <v>0</v>
      </c>
      <c r="P1503" s="257">
        <f t="shared" si="310"/>
        <v>66086.916721174595</v>
      </c>
      <c r="Q1503" s="257">
        <f t="shared" si="311"/>
        <v>66086.916721174595</v>
      </c>
      <c r="R1503" s="258">
        <f>INDEX('Escalators '!$M$124:$S$129,MATCH(I1503,'Escalators '!$B$124:$B$129,0),MATCH(J1503,'Escalators '!$M$113:$S$113,0))</f>
        <v>1.0867931559758131</v>
      </c>
      <c r="S1503" s="257">
        <f t="shared" si="312"/>
        <v>0</v>
      </c>
      <c r="T1503" s="257">
        <f t="shared" si="313"/>
        <v>0</v>
      </c>
      <c r="U1503" s="269">
        <f t="shared" si="314"/>
        <v>71822.808792116077</v>
      </c>
      <c r="V1503" s="269">
        <f t="shared" si="315"/>
        <v>71822.808792116077</v>
      </c>
      <c r="W1503" s="269">
        <f t="shared" si="316"/>
        <v>71822.808792116077</v>
      </c>
      <c r="X1503" s="257">
        <f t="shared" si="317"/>
        <v>71822.808792116077</v>
      </c>
      <c r="Y1503" s="270">
        <f>IF(L1503="Complex",(INDEX('Escalators '!$M$176:$S$176,MATCH('Forecast capex'!J1503,'Escalators '!$M$178:$S$178,0))/12+1)^((K1503-J1503)*12)-1,0)</f>
        <v>0</v>
      </c>
      <c r="Z1503" s="257">
        <f t="shared" si="318"/>
        <v>0</v>
      </c>
      <c r="AA1503" s="257">
        <f t="shared" si="319"/>
        <v>0</v>
      </c>
      <c r="AB1503" s="269">
        <f t="shared" si="320"/>
        <v>0</v>
      </c>
      <c r="AC1503" s="269">
        <f t="shared" si="321"/>
        <v>0</v>
      </c>
      <c r="AD1503" s="271" t="str">
        <f>INDEX('Global inputs'!$C$134:$C$171,MATCH(F1503,'Global inputs'!$B$134:$B$171,0))</f>
        <v xml:space="preserve">System growth </v>
      </c>
      <c r="AE1503" s="272">
        <f>IF(OR(H1503='Operating leases'!$B$32,H1503='Operating leases'!$B$33),"",INDEX('Global inputs'!$C$186:$C$243,MATCH(E1503,'Global inputs'!$B$186:$B$243,0)))</f>
        <v>0.1</v>
      </c>
    </row>
    <row r="1504" spans="1:31" s="27" customFormat="1" x14ac:dyDescent="0.2">
      <c r="A1504" s="250"/>
      <c r="B1504" s="210" t="s">
        <v>746</v>
      </c>
      <c r="C1504" s="210" t="s">
        <v>287</v>
      </c>
      <c r="D1504" s="210" t="s">
        <v>715</v>
      </c>
      <c r="E1504" s="210" t="s">
        <v>153</v>
      </c>
      <c r="F1504" s="210" t="s">
        <v>86</v>
      </c>
      <c r="G1504" s="210" t="s">
        <v>716</v>
      </c>
      <c r="H1504" s="197">
        <v>0</v>
      </c>
      <c r="I1504" s="210" t="s">
        <v>229</v>
      </c>
      <c r="J1504" s="210">
        <v>2025</v>
      </c>
      <c r="K1504" s="210">
        <v>2025</v>
      </c>
      <c r="L1504" s="268" t="str">
        <f t="shared" si="309"/>
        <v>Simple</v>
      </c>
      <c r="M1504" s="197">
        <v>29371.962987188715</v>
      </c>
      <c r="N1504" s="197">
        <v>0</v>
      </c>
      <c r="O1504" s="257">
        <f>IF(ISNA(MATCH(H1504,'Operating leases'!$B$32:$B$43,0)),0,INDEX('Operating leases'!$M$32:$S$43,MATCH(H1504,'Operating leases'!$B$32:$B$43,0),MATCH(J1504,'Operating leases'!$M$11:$S$11,0)))</f>
        <v>0</v>
      </c>
      <c r="P1504" s="257">
        <f t="shared" si="310"/>
        <v>29371.962987188715</v>
      </c>
      <c r="Q1504" s="257">
        <f t="shared" si="311"/>
        <v>29371.962987188715</v>
      </c>
      <c r="R1504" s="258">
        <f>INDEX('Escalators '!$M$124:$S$129,MATCH(I1504,'Escalators '!$B$124:$B$129,0),MATCH(J1504,'Escalators '!$M$113:$S$113,0))</f>
        <v>1.0919411253473632</v>
      </c>
      <c r="S1504" s="257">
        <f t="shared" si="312"/>
        <v>0</v>
      </c>
      <c r="T1504" s="257">
        <f t="shared" si="313"/>
        <v>0</v>
      </c>
      <c r="U1504" s="269">
        <f t="shared" si="314"/>
        <v>32072.454317891945</v>
      </c>
      <c r="V1504" s="269">
        <f t="shared" si="315"/>
        <v>32072.454317891945</v>
      </c>
      <c r="W1504" s="269">
        <f t="shared" si="316"/>
        <v>32072.454317891945</v>
      </c>
      <c r="X1504" s="257">
        <f t="shared" si="317"/>
        <v>32072.454317891945</v>
      </c>
      <c r="Y1504" s="270">
        <f>IF(L1504="Complex",(INDEX('Escalators '!$M$176:$S$176,MATCH('Forecast capex'!J1504,'Escalators '!$M$178:$S$178,0))/12+1)^((K1504-J1504)*12)-1,0)</f>
        <v>0</v>
      </c>
      <c r="Z1504" s="257">
        <f t="shared" si="318"/>
        <v>0</v>
      </c>
      <c r="AA1504" s="257">
        <f t="shared" si="319"/>
        <v>0</v>
      </c>
      <c r="AB1504" s="269">
        <f t="shared" si="320"/>
        <v>0</v>
      </c>
      <c r="AC1504" s="269">
        <f t="shared" si="321"/>
        <v>0</v>
      </c>
      <c r="AD1504" s="271" t="str">
        <f>INDEX('Global inputs'!$C$134:$C$171,MATCH(F1504,'Global inputs'!$B$134:$B$171,0))</f>
        <v xml:space="preserve">System growth </v>
      </c>
      <c r="AE1504" s="272">
        <f>IF(OR(H1504='Operating leases'!$B$32,H1504='Operating leases'!$B$33),"",INDEX('Global inputs'!$C$186:$C$243,MATCH(E1504,'Global inputs'!$B$186:$B$243,0)))</f>
        <v>0.08</v>
      </c>
    </row>
    <row r="1505" spans="1:31" s="27" customFormat="1" x14ac:dyDescent="0.2">
      <c r="A1505" s="250"/>
      <c r="B1505" s="210" t="s">
        <v>746</v>
      </c>
      <c r="C1505" s="210" t="s">
        <v>287</v>
      </c>
      <c r="D1505" s="210" t="s">
        <v>715</v>
      </c>
      <c r="E1505" s="210" t="s">
        <v>153</v>
      </c>
      <c r="F1505" s="210" t="s">
        <v>86</v>
      </c>
      <c r="G1505" s="210" t="s">
        <v>716</v>
      </c>
      <c r="H1505" s="197">
        <v>0</v>
      </c>
      <c r="I1505" s="210" t="s">
        <v>221</v>
      </c>
      <c r="J1505" s="210">
        <v>2025</v>
      </c>
      <c r="K1505" s="210">
        <v>2025</v>
      </c>
      <c r="L1505" s="268" t="str">
        <f t="shared" si="309"/>
        <v>Simple</v>
      </c>
      <c r="M1505" s="197">
        <v>29371.962987188715</v>
      </c>
      <c r="N1505" s="197">
        <v>0</v>
      </c>
      <c r="O1505" s="257">
        <f>IF(ISNA(MATCH(H1505,'Operating leases'!$B$32:$B$43,0)),0,INDEX('Operating leases'!$M$32:$S$43,MATCH(H1505,'Operating leases'!$B$32:$B$43,0),MATCH(J1505,'Operating leases'!$M$11:$S$11,0)))</f>
        <v>0</v>
      </c>
      <c r="P1505" s="257">
        <f t="shared" si="310"/>
        <v>29371.962987188715</v>
      </c>
      <c r="Q1505" s="257">
        <f t="shared" si="311"/>
        <v>29371.962987188715</v>
      </c>
      <c r="R1505" s="258">
        <f>INDEX('Escalators '!$M$124:$S$129,MATCH(I1505,'Escalators '!$B$124:$B$129,0),MATCH(J1505,'Escalators '!$M$113:$S$113,0))</f>
        <v>1.0867931559758131</v>
      </c>
      <c r="S1505" s="257">
        <f t="shared" si="312"/>
        <v>0</v>
      </c>
      <c r="T1505" s="257">
        <f t="shared" si="313"/>
        <v>0</v>
      </c>
      <c r="U1505" s="269">
        <f t="shared" si="314"/>
        <v>31921.248352051593</v>
      </c>
      <c r="V1505" s="269">
        <f t="shared" si="315"/>
        <v>31921.248352051593</v>
      </c>
      <c r="W1505" s="269">
        <f t="shared" si="316"/>
        <v>31921.248352051593</v>
      </c>
      <c r="X1505" s="257">
        <f t="shared" si="317"/>
        <v>31921.248352051593</v>
      </c>
      <c r="Y1505" s="270">
        <f>IF(L1505="Complex",(INDEX('Escalators '!$M$176:$S$176,MATCH('Forecast capex'!J1505,'Escalators '!$M$178:$S$178,0))/12+1)^((K1505-J1505)*12)-1,0)</f>
        <v>0</v>
      </c>
      <c r="Z1505" s="257">
        <f t="shared" si="318"/>
        <v>0</v>
      </c>
      <c r="AA1505" s="257">
        <f t="shared" si="319"/>
        <v>0</v>
      </c>
      <c r="AB1505" s="269">
        <f t="shared" si="320"/>
        <v>0</v>
      </c>
      <c r="AC1505" s="269">
        <f t="shared" si="321"/>
        <v>0</v>
      </c>
      <c r="AD1505" s="271" t="str">
        <f>INDEX('Global inputs'!$C$134:$C$171,MATCH(F1505,'Global inputs'!$B$134:$B$171,0))</f>
        <v xml:space="preserve">System growth </v>
      </c>
      <c r="AE1505" s="272">
        <f>IF(OR(H1505='Operating leases'!$B$32,H1505='Operating leases'!$B$33),"",INDEX('Global inputs'!$C$186:$C$243,MATCH(E1505,'Global inputs'!$B$186:$B$243,0)))</f>
        <v>0.08</v>
      </c>
    </row>
    <row r="1506" spans="1:31" s="27" customFormat="1" x14ac:dyDescent="0.2">
      <c r="A1506" s="250"/>
      <c r="B1506" s="210" t="s">
        <v>746</v>
      </c>
      <c r="C1506" s="210" t="s">
        <v>287</v>
      </c>
      <c r="D1506" s="210" t="s">
        <v>715</v>
      </c>
      <c r="E1506" s="210" t="s">
        <v>154</v>
      </c>
      <c r="F1506" s="210" t="s">
        <v>86</v>
      </c>
      <c r="G1506" s="210" t="s">
        <v>716</v>
      </c>
      <c r="H1506" s="197">
        <v>0</v>
      </c>
      <c r="I1506" s="210" t="s">
        <v>229</v>
      </c>
      <c r="J1506" s="210">
        <v>2025</v>
      </c>
      <c r="K1506" s="210">
        <v>2025</v>
      </c>
      <c r="L1506" s="268" t="str">
        <f t="shared" si="309"/>
        <v>Simple</v>
      </c>
      <c r="M1506" s="197">
        <v>29371.962987188715</v>
      </c>
      <c r="N1506" s="197">
        <v>0</v>
      </c>
      <c r="O1506" s="257">
        <f>IF(ISNA(MATCH(H1506,'Operating leases'!$B$32:$B$43,0)),0,INDEX('Operating leases'!$M$32:$S$43,MATCH(H1506,'Operating leases'!$B$32:$B$43,0),MATCH(J1506,'Operating leases'!$M$11:$S$11,0)))</f>
        <v>0</v>
      </c>
      <c r="P1506" s="257">
        <f t="shared" si="310"/>
        <v>29371.962987188715</v>
      </c>
      <c r="Q1506" s="257">
        <f t="shared" si="311"/>
        <v>29371.962987188715</v>
      </c>
      <c r="R1506" s="258">
        <f>INDEX('Escalators '!$M$124:$S$129,MATCH(I1506,'Escalators '!$B$124:$B$129,0),MATCH(J1506,'Escalators '!$M$113:$S$113,0))</f>
        <v>1.0919411253473632</v>
      </c>
      <c r="S1506" s="257">
        <f t="shared" si="312"/>
        <v>0</v>
      </c>
      <c r="T1506" s="257">
        <f t="shared" si="313"/>
        <v>0</v>
      </c>
      <c r="U1506" s="269">
        <f t="shared" si="314"/>
        <v>32072.454317891945</v>
      </c>
      <c r="V1506" s="269">
        <f t="shared" si="315"/>
        <v>32072.454317891945</v>
      </c>
      <c r="W1506" s="269">
        <f t="shared" si="316"/>
        <v>32072.454317891945</v>
      </c>
      <c r="X1506" s="257">
        <f t="shared" si="317"/>
        <v>32072.454317891945</v>
      </c>
      <c r="Y1506" s="270">
        <f>IF(L1506="Complex",(INDEX('Escalators '!$M$176:$S$176,MATCH('Forecast capex'!J1506,'Escalators '!$M$178:$S$178,0))/12+1)^((K1506-J1506)*12)-1,0)</f>
        <v>0</v>
      </c>
      <c r="Z1506" s="257">
        <f t="shared" si="318"/>
        <v>0</v>
      </c>
      <c r="AA1506" s="257">
        <f t="shared" si="319"/>
        <v>0</v>
      </c>
      <c r="AB1506" s="269">
        <f t="shared" si="320"/>
        <v>0</v>
      </c>
      <c r="AC1506" s="269">
        <f t="shared" si="321"/>
        <v>0</v>
      </c>
      <c r="AD1506" s="271" t="str">
        <f>INDEX('Global inputs'!$C$134:$C$171,MATCH(F1506,'Global inputs'!$B$134:$B$171,0))</f>
        <v xml:space="preserve">System growth </v>
      </c>
      <c r="AE1506" s="272">
        <f>IF(OR(H1506='Operating leases'!$B$32,H1506='Operating leases'!$B$33),"",INDEX('Global inputs'!$C$186:$C$243,MATCH(E1506,'Global inputs'!$B$186:$B$243,0)))</f>
        <v>0.1</v>
      </c>
    </row>
    <row r="1507" spans="1:31" s="27" customFormat="1" x14ac:dyDescent="0.2">
      <c r="A1507" s="250"/>
      <c r="B1507" s="210" t="s">
        <v>746</v>
      </c>
      <c r="C1507" s="210" t="s">
        <v>287</v>
      </c>
      <c r="D1507" s="210" t="s">
        <v>715</v>
      </c>
      <c r="E1507" s="210" t="s">
        <v>154</v>
      </c>
      <c r="F1507" s="210" t="s">
        <v>86</v>
      </c>
      <c r="G1507" s="210" t="s">
        <v>716</v>
      </c>
      <c r="H1507" s="197">
        <v>0</v>
      </c>
      <c r="I1507" s="210" t="s">
        <v>221</v>
      </c>
      <c r="J1507" s="210">
        <v>2025</v>
      </c>
      <c r="K1507" s="210">
        <v>2025</v>
      </c>
      <c r="L1507" s="268" t="str">
        <f t="shared" si="309"/>
        <v>Simple</v>
      </c>
      <c r="M1507" s="197">
        <v>29371.962987188715</v>
      </c>
      <c r="N1507" s="197">
        <v>0</v>
      </c>
      <c r="O1507" s="257">
        <f>IF(ISNA(MATCH(H1507,'Operating leases'!$B$32:$B$43,0)),0,INDEX('Operating leases'!$M$32:$S$43,MATCH(H1507,'Operating leases'!$B$32:$B$43,0),MATCH(J1507,'Operating leases'!$M$11:$S$11,0)))</f>
        <v>0</v>
      </c>
      <c r="P1507" s="257">
        <f t="shared" si="310"/>
        <v>29371.962987188715</v>
      </c>
      <c r="Q1507" s="257">
        <f t="shared" si="311"/>
        <v>29371.962987188715</v>
      </c>
      <c r="R1507" s="258">
        <f>INDEX('Escalators '!$M$124:$S$129,MATCH(I1507,'Escalators '!$B$124:$B$129,0),MATCH(J1507,'Escalators '!$M$113:$S$113,0))</f>
        <v>1.0867931559758131</v>
      </c>
      <c r="S1507" s="257">
        <f t="shared" si="312"/>
        <v>0</v>
      </c>
      <c r="T1507" s="257">
        <f t="shared" si="313"/>
        <v>0</v>
      </c>
      <c r="U1507" s="269">
        <f t="shared" si="314"/>
        <v>31921.248352051593</v>
      </c>
      <c r="V1507" s="269">
        <f t="shared" si="315"/>
        <v>31921.248352051593</v>
      </c>
      <c r="W1507" s="269">
        <f t="shared" si="316"/>
        <v>31921.248352051593</v>
      </c>
      <c r="X1507" s="257">
        <f t="shared" si="317"/>
        <v>31921.248352051593</v>
      </c>
      <c r="Y1507" s="270">
        <f>IF(L1507="Complex",(INDEX('Escalators '!$M$176:$S$176,MATCH('Forecast capex'!J1507,'Escalators '!$M$178:$S$178,0))/12+1)^((K1507-J1507)*12)-1,0)</f>
        <v>0</v>
      </c>
      <c r="Z1507" s="257">
        <f t="shared" si="318"/>
        <v>0</v>
      </c>
      <c r="AA1507" s="257">
        <f t="shared" si="319"/>
        <v>0</v>
      </c>
      <c r="AB1507" s="269">
        <f t="shared" si="320"/>
        <v>0</v>
      </c>
      <c r="AC1507" s="269">
        <f t="shared" si="321"/>
        <v>0</v>
      </c>
      <c r="AD1507" s="271" t="str">
        <f>INDEX('Global inputs'!$C$134:$C$171,MATCH(F1507,'Global inputs'!$B$134:$B$171,0))</f>
        <v xml:space="preserve">System growth </v>
      </c>
      <c r="AE1507" s="272">
        <f>IF(OR(H1507='Operating leases'!$B$32,H1507='Operating leases'!$B$33),"",INDEX('Global inputs'!$C$186:$C$243,MATCH(E1507,'Global inputs'!$B$186:$B$243,0)))</f>
        <v>0.1</v>
      </c>
    </row>
    <row r="1508" spans="1:31" s="27" customFormat="1" x14ac:dyDescent="0.2">
      <c r="A1508" s="250"/>
      <c r="B1508" s="210" t="s">
        <v>746</v>
      </c>
      <c r="C1508" s="210" t="s">
        <v>287</v>
      </c>
      <c r="D1508" s="210" t="s">
        <v>715</v>
      </c>
      <c r="E1508" s="210" t="s">
        <v>150</v>
      </c>
      <c r="F1508" s="210" t="s">
        <v>86</v>
      </c>
      <c r="G1508" s="210" t="s">
        <v>717</v>
      </c>
      <c r="H1508" s="197">
        <v>0</v>
      </c>
      <c r="I1508" s="210" t="s">
        <v>229</v>
      </c>
      <c r="J1508" s="210">
        <v>2025</v>
      </c>
      <c r="K1508" s="210">
        <v>2025</v>
      </c>
      <c r="L1508" s="268" t="str">
        <f t="shared" si="309"/>
        <v>Simple</v>
      </c>
      <c r="M1508" s="197">
        <v>44057.944480783066</v>
      </c>
      <c r="N1508" s="197">
        <v>0</v>
      </c>
      <c r="O1508" s="257">
        <f>IF(ISNA(MATCH(H1508,'Operating leases'!$B$32:$B$43,0)),0,INDEX('Operating leases'!$M$32:$S$43,MATCH(H1508,'Operating leases'!$B$32:$B$43,0),MATCH(J1508,'Operating leases'!$M$11:$S$11,0)))</f>
        <v>0</v>
      </c>
      <c r="P1508" s="257">
        <f t="shared" si="310"/>
        <v>44057.944480783066</v>
      </c>
      <c r="Q1508" s="257">
        <f t="shared" si="311"/>
        <v>44057.944480783066</v>
      </c>
      <c r="R1508" s="258">
        <f>INDEX('Escalators '!$M$124:$S$129,MATCH(I1508,'Escalators '!$B$124:$B$129,0),MATCH(J1508,'Escalators '!$M$113:$S$113,0))</f>
        <v>1.0919411253473632</v>
      </c>
      <c r="S1508" s="257">
        <f t="shared" si="312"/>
        <v>0</v>
      </c>
      <c r="T1508" s="257">
        <f t="shared" si="313"/>
        <v>0</v>
      </c>
      <c r="U1508" s="269">
        <f t="shared" si="314"/>
        <v>48108.681476837912</v>
      </c>
      <c r="V1508" s="269">
        <f t="shared" si="315"/>
        <v>48108.681476837912</v>
      </c>
      <c r="W1508" s="269">
        <f t="shared" si="316"/>
        <v>48108.681476837912</v>
      </c>
      <c r="X1508" s="257">
        <f t="shared" si="317"/>
        <v>48108.681476837912</v>
      </c>
      <c r="Y1508" s="270">
        <f>IF(L1508="Complex",(INDEX('Escalators '!$M$176:$S$176,MATCH('Forecast capex'!J1508,'Escalators '!$M$178:$S$178,0))/12+1)^((K1508-J1508)*12)-1,0)</f>
        <v>0</v>
      </c>
      <c r="Z1508" s="257">
        <f t="shared" si="318"/>
        <v>0</v>
      </c>
      <c r="AA1508" s="257">
        <f t="shared" si="319"/>
        <v>0</v>
      </c>
      <c r="AB1508" s="269">
        <f t="shared" si="320"/>
        <v>0</v>
      </c>
      <c r="AC1508" s="269">
        <f t="shared" si="321"/>
        <v>0</v>
      </c>
      <c r="AD1508" s="271" t="str">
        <f>INDEX('Global inputs'!$C$134:$C$171,MATCH(F1508,'Global inputs'!$B$134:$B$171,0))</f>
        <v xml:space="preserve">System growth </v>
      </c>
      <c r="AE1508" s="272">
        <f>IF(OR(H1508='Operating leases'!$B$32,H1508='Operating leases'!$B$33),"",INDEX('Global inputs'!$C$186:$C$243,MATCH(E1508,'Global inputs'!$B$186:$B$243,0)))</f>
        <v>0.08</v>
      </c>
    </row>
    <row r="1509" spans="1:31" s="27" customFormat="1" x14ac:dyDescent="0.2">
      <c r="A1509" s="250"/>
      <c r="B1509" s="210" t="s">
        <v>746</v>
      </c>
      <c r="C1509" s="210" t="s">
        <v>287</v>
      </c>
      <c r="D1509" s="210" t="s">
        <v>715</v>
      </c>
      <c r="E1509" s="210" t="s">
        <v>150</v>
      </c>
      <c r="F1509" s="210" t="s">
        <v>86</v>
      </c>
      <c r="G1509" s="210" t="s">
        <v>717</v>
      </c>
      <c r="H1509" s="197">
        <v>0</v>
      </c>
      <c r="I1509" s="210" t="s">
        <v>221</v>
      </c>
      <c r="J1509" s="210">
        <v>2025</v>
      </c>
      <c r="K1509" s="210">
        <v>2025</v>
      </c>
      <c r="L1509" s="268" t="str">
        <f t="shared" si="309"/>
        <v>Simple</v>
      </c>
      <c r="M1509" s="197">
        <v>44057.944480783066</v>
      </c>
      <c r="N1509" s="197">
        <v>0</v>
      </c>
      <c r="O1509" s="257">
        <f>IF(ISNA(MATCH(H1509,'Operating leases'!$B$32:$B$43,0)),0,INDEX('Operating leases'!$M$32:$S$43,MATCH(H1509,'Operating leases'!$B$32:$B$43,0),MATCH(J1509,'Operating leases'!$M$11:$S$11,0)))</f>
        <v>0</v>
      </c>
      <c r="P1509" s="257">
        <f t="shared" si="310"/>
        <v>44057.944480783066</v>
      </c>
      <c r="Q1509" s="257">
        <f t="shared" si="311"/>
        <v>44057.944480783066</v>
      </c>
      <c r="R1509" s="258">
        <f>INDEX('Escalators '!$M$124:$S$129,MATCH(I1509,'Escalators '!$B$124:$B$129,0),MATCH(J1509,'Escalators '!$M$113:$S$113,0))</f>
        <v>1.0867931559758131</v>
      </c>
      <c r="S1509" s="257">
        <f t="shared" si="312"/>
        <v>0</v>
      </c>
      <c r="T1509" s="257">
        <f t="shared" si="313"/>
        <v>0</v>
      </c>
      <c r="U1509" s="269">
        <f t="shared" si="314"/>
        <v>47881.87252807738</v>
      </c>
      <c r="V1509" s="269">
        <f t="shared" si="315"/>
        <v>47881.87252807738</v>
      </c>
      <c r="W1509" s="269">
        <f t="shared" si="316"/>
        <v>47881.87252807738</v>
      </c>
      <c r="X1509" s="257">
        <f t="shared" si="317"/>
        <v>47881.87252807738</v>
      </c>
      <c r="Y1509" s="270">
        <f>IF(L1509="Complex",(INDEX('Escalators '!$M$176:$S$176,MATCH('Forecast capex'!J1509,'Escalators '!$M$178:$S$178,0))/12+1)^((K1509-J1509)*12)-1,0)</f>
        <v>0</v>
      </c>
      <c r="Z1509" s="257">
        <f t="shared" si="318"/>
        <v>0</v>
      </c>
      <c r="AA1509" s="257">
        <f t="shared" si="319"/>
        <v>0</v>
      </c>
      <c r="AB1509" s="269">
        <f t="shared" si="320"/>
        <v>0</v>
      </c>
      <c r="AC1509" s="269">
        <f t="shared" si="321"/>
        <v>0</v>
      </c>
      <c r="AD1509" s="271" t="str">
        <f>INDEX('Global inputs'!$C$134:$C$171,MATCH(F1509,'Global inputs'!$B$134:$B$171,0))</f>
        <v xml:space="preserve">System growth </v>
      </c>
      <c r="AE1509" s="272">
        <f>IF(OR(H1509='Operating leases'!$B$32,H1509='Operating leases'!$B$33),"",INDEX('Global inputs'!$C$186:$C$243,MATCH(E1509,'Global inputs'!$B$186:$B$243,0)))</f>
        <v>0.08</v>
      </c>
    </row>
    <row r="1510" spans="1:31" s="27" customFormat="1" x14ac:dyDescent="0.2">
      <c r="A1510" s="250"/>
      <c r="B1510" s="210" t="s">
        <v>746</v>
      </c>
      <c r="C1510" s="210" t="s">
        <v>287</v>
      </c>
      <c r="D1510" s="210" t="s">
        <v>715</v>
      </c>
      <c r="E1510" s="210" t="s">
        <v>151</v>
      </c>
      <c r="F1510" s="210" t="s">
        <v>86</v>
      </c>
      <c r="G1510" s="210" t="s">
        <v>717</v>
      </c>
      <c r="H1510" s="197">
        <v>0</v>
      </c>
      <c r="I1510" s="210" t="s">
        <v>229</v>
      </c>
      <c r="J1510" s="210">
        <v>2025</v>
      </c>
      <c r="K1510" s="210">
        <v>2025</v>
      </c>
      <c r="L1510" s="268" t="str">
        <f t="shared" si="309"/>
        <v>Simple</v>
      </c>
      <c r="M1510" s="197">
        <v>44057.944480783066</v>
      </c>
      <c r="N1510" s="197">
        <v>0</v>
      </c>
      <c r="O1510" s="257">
        <f>IF(ISNA(MATCH(H1510,'Operating leases'!$B$32:$B$43,0)),0,INDEX('Operating leases'!$M$32:$S$43,MATCH(H1510,'Operating leases'!$B$32:$B$43,0),MATCH(J1510,'Operating leases'!$M$11:$S$11,0)))</f>
        <v>0</v>
      </c>
      <c r="P1510" s="257">
        <f t="shared" si="310"/>
        <v>44057.944480783066</v>
      </c>
      <c r="Q1510" s="257">
        <f t="shared" si="311"/>
        <v>44057.944480783066</v>
      </c>
      <c r="R1510" s="258">
        <f>INDEX('Escalators '!$M$124:$S$129,MATCH(I1510,'Escalators '!$B$124:$B$129,0),MATCH(J1510,'Escalators '!$M$113:$S$113,0))</f>
        <v>1.0919411253473632</v>
      </c>
      <c r="S1510" s="257">
        <f t="shared" si="312"/>
        <v>0</v>
      </c>
      <c r="T1510" s="257">
        <f t="shared" si="313"/>
        <v>0</v>
      </c>
      <c r="U1510" s="269">
        <f t="shared" si="314"/>
        <v>48108.681476837912</v>
      </c>
      <c r="V1510" s="269">
        <f t="shared" si="315"/>
        <v>48108.681476837912</v>
      </c>
      <c r="W1510" s="269">
        <f t="shared" si="316"/>
        <v>48108.681476837912</v>
      </c>
      <c r="X1510" s="257">
        <f t="shared" si="317"/>
        <v>48108.681476837912</v>
      </c>
      <c r="Y1510" s="270">
        <f>IF(L1510="Complex",(INDEX('Escalators '!$M$176:$S$176,MATCH('Forecast capex'!J1510,'Escalators '!$M$178:$S$178,0))/12+1)^((K1510-J1510)*12)-1,0)</f>
        <v>0</v>
      </c>
      <c r="Z1510" s="257">
        <f t="shared" si="318"/>
        <v>0</v>
      </c>
      <c r="AA1510" s="257">
        <f t="shared" si="319"/>
        <v>0</v>
      </c>
      <c r="AB1510" s="269">
        <f t="shared" si="320"/>
        <v>0</v>
      </c>
      <c r="AC1510" s="269">
        <f t="shared" si="321"/>
        <v>0</v>
      </c>
      <c r="AD1510" s="271" t="str">
        <f>INDEX('Global inputs'!$C$134:$C$171,MATCH(F1510,'Global inputs'!$B$134:$B$171,0))</f>
        <v xml:space="preserve">System growth </v>
      </c>
      <c r="AE1510" s="272">
        <f>IF(OR(H1510='Operating leases'!$B$32,H1510='Operating leases'!$B$33),"",INDEX('Global inputs'!$C$186:$C$243,MATCH(E1510,'Global inputs'!$B$186:$B$243,0)))</f>
        <v>0.1</v>
      </c>
    </row>
    <row r="1511" spans="1:31" s="27" customFormat="1" x14ac:dyDescent="0.2">
      <c r="A1511" s="250"/>
      <c r="B1511" s="210" t="s">
        <v>746</v>
      </c>
      <c r="C1511" s="210" t="s">
        <v>287</v>
      </c>
      <c r="D1511" s="210" t="s">
        <v>715</v>
      </c>
      <c r="E1511" s="210" t="s">
        <v>151</v>
      </c>
      <c r="F1511" s="210" t="s">
        <v>86</v>
      </c>
      <c r="G1511" s="210" t="s">
        <v>717</v>
      </c>
      <c r="H1511" s="197">
        <v>0</v>
      </c>
      <c r="I1511" s="210" t="s">
        <v>221</v>
      </c>
      <c r="J1511" s="210">
        <v>2025</v>
      </c>
      <c r="K1511" s="210">
        <v>2025</v>
      </c>
      <c r="L1511" s="268" t="str">
        <f t="shared" si="309"/>
        <v>Simple</v>
      </c>
      <c r="M1511" s="197">
        <v>44057.944480783066</v>
      </c>
      <c r="N1511" s="197">
        <v>0</v>
      </c>
      <c r="O1511" s="257">
        <f>IF(ISNA(MATCH(H1511,'Operating leases'!$B$32:$B$43,0)),0,INDEX('Operating leases'!$M$32:$S$43,MATCH(H1511,'Operating leases'!$B$32:$B$43,0),MATCH(J1511,'Operating leases'!$M$11:$S$11,0)))</f>
        <v>0</v>
      </c>
      <c r="P1511" s="257">
        <f t="shared" si="310"/>
        <v>44057.944480783066</v>
      </c>
      <c r="Q1511" s="257">
        <f t="shared" si="311"/>
        <v>44057.944480783066</v>
      </c>
      <c r="R1511" s="258">
        <f>INDEX('Escalators '!$M$124:$S$129,MATCH(I1511,'Escalators '!$B$124:$B$129,0),MATCH(J1511,'Escalators '!$M$113:$S$113,0))</f>
        <v>1.0867931559758131</v>
      </c>
      <c r="S1511" s="257">
        <f t="shared" si="312"/>
        <v>0</v>
      </c>
      <c r="T1511" s="257">
        <f t="shared" si="313"/>
        <v>0</v>
      </c>
      <c r="U1511" s="269">
        <f t="shared" si="314"/>
        <v>47881.87252807738</v>
      </c>
      <c r="V1511" s="269">
        <f t="shared" si="315"/>
        <v>47881.87252807738</v>
      </c>
      <c r="W1511" s="269">
        <f t="shared" si="316"/>
        <v>47881.87252807738</v>
      </c>
      <c r="X1511" s="257">
        <f t="shared" si="317"/>
        <v>47881.87252807738</v>
      </c>
      <c r="Y1511" s="270">
        <f>IF(L1511="Complex",(INDEX('Escalators '!$M$176:$S$176,MATCH('Forecast capex'!J1511,'Escalators '!$M$178:$S$178,0))/12+1)^((K1511-J1511)*12)-1,0)</f>
        <v>0</v>
      </c>
      <c r="Z1511" s="257">
        <f t="shared" si="318"/>
        <v>0</v>
      </c>
      <c r="AA1511" s="257">
        <f t="shared" si="319"/>
        <v>0</v>
      </c>
      <c r="AB1511" s="269">
        <f t="shared" si="320"/>
        <v>0</v>
      </c>
      <c r="AC1511" s="269">
        <f t="shared" si="321"/>
        <v>0</v>
      </c>
      <c r="AD1511" s="271" t="str">
        <f>INDEX('Global inputs'!$C$134:$C$171,MATCH(F1511,'Global inputs'!$B$134:$B$171,0))</f>
        <v xml:space="preserve">System growth </v>
      </c>
      <c r="AE1511" s="272">
        <f>IF(OR(H1511='Operating leases'!$B$32,H1511='Operating leases'!$B$33),"",INDEX('Global inputs'!$C$186:$C$243,MATCH(E1511,'Global inputs'!$B$186:$B$243,0)))</f>
        <v>0.1</v>
      </c>
    </row>
    <row r="1512" spans="1:31" s="27" customFormat="1" x14ac:dyDescent="0.2">
      <c r="A1512" s="250"/>
      <c r="B1512" s="210" t="s">
        <v>746</v>
      </c>
      <c r="C1512" s="210" t="s">
        <v>287</v>
      </c>
      <c r="D1512" s="210" t="s">
        <v>715</v>
      </c>
      <c r="E1512" s="210" t="s">
        <v>153</v>
      </c>
      <c r="F1512" s="210" t="s">
        <v>86</v>
      </c>
      <c r="G1512" s="210" t="s">
        <v>717</v>
      </c>
      <c r="H1512" s="197">
        <v>0</v>
      </c>
      <c r="I1512" s="210" t="s">
        <v>229</v>
      </c>
      <c r="J1512" s="210">
        <v>2025</v>
      </c>
      <c r="K1512" s="210">
        <v>2025</v>
      </c>
      <c r="L1512" s="268" t="str">
        <f t="shared" si="309"/>
        <v>Simple</v>
      </c>
      <c r="M1512" s="197">
        <v>22028.972240391533</v>
      </c>
      <c r="N1512" s="197">
        <v>0</v>
      </c>
      <c r="O1512" s="257">
        <f>IF(ISNA(MATCH(H1512,'Operating leases'!$B$32:$B$43,0)),0,INDEX('Operating leases'!$M$32:$S$43,MATCH(H1512,'Operating leases'!$B$32:$B$43,0),MATCH(J1512,'Operating leases'!$M$11:$S$11,0)))</f>
        <v>0</v>
      </c>
      <c r="P1512" s="257">
        <f t="shared" si="310"/>
        <v>22028.972240391533</v>
      </c>
      <c r="Q1512" s="257">
        <f t="shared" si="311"/>
        <v>22028.972240391533</v>
      </c>
      <c r="R1512" s="258">
        <f>INDEX('Escalators '!$M$124:$S$129,MATCH(I1512,'Escalators '!$B$124:$B$129,0),MATCH(J1512,'Escalators '!$M$113:$S$113,0))</f>
        <v>1.0919411253473632</v>
      </c>
      <c r="S1512" s="257">
        <f t="shared" si="312"/>
        <v>0</v>
      </c>
      <c r="T1512" s="257">
        <f t="shared" si="313"/>
        <v>0</v>
      </c>
      <c r="U1512" s="269">
        <f t="shared" si="314"/>
        <v>24054.340738418956</v>
      </c>
      <c r="V1512" s="269">
        <f t="shared" si="315"/>
        <v>24054.340738418956</v>
      </c>
      <c r="W1512" s="269">
        <f t="shared" si="316"/>
        <v>24054.340738418956</v>
      </c>
      <c r="X1512" s="257">
        <f t="shared" si="317"/>
        <v>24054.340738418956</v>
      </c>
      <c r="Y1512" s="270">
        <f>IF(L1512="Complex",(INDEX('Escalators '!$M$176:$S$176,MATCH('Forecast capex'!J1512,'Escalators '!$M$178:$S$178,0))/12+1)^((K1512-J1512)*12)-1,0)</f>
        <v>0</v>
      </c>
      <c r="Z1512" s="257">
        <f t="shared" si="318"/>
        <v>0</v>
      </c>
      <c r="AA1512" s="257">
        <f t="shared" si="319"/>
        <v>0</v>
      </c>
      <c r="AB1512" s="269">
        <f t="shared" si="320"/>
        <v>0</v>
      </c>
      <c r="AC1512" s="269">
        <f t="shared" si="321"/>
        <v>0</v>
      </c>
      <c r="AD1512" s="271" t="str">
        <f>INDEX('Global inputs'!$C$134:$C$171,MATCH(F1512,'Global inputs'!$B$134:$B$171,0))</f>
        <v xml:space="preserve">System growth </v>
      </c>
      <c r="AE1512" s="272">
        <f>IF(OR(H1512='Operating leases'!$B$32,H1512='Operating leases'!$B$33),"",INDEX('Global inputs'!$C$186:$C$243,MATCH(E1512,'Global inputs'!$B$186:$B$243,0)))</f>
        <v>0.08</v>
      </c>
    </row>
    <row r="1513" spans="1:31" s="27" customFormat="1" x14ac:dyDescent="0.2">
      <c r="A1513" s="250"/>
      <c r="B1513" s="210" t="s">
        <v>746</v>
      </c>
      <c r="C1513" s="210" t="s">
        <v>287</v>
      </c>
      <c r="D1513" s="210" t="s">
        <v>715</v>
      </c>
      <c r="E1513" s="210" t="s">
        <v>153</v>
      </c>
      <c r="F1513" s="210" t="s">
        <v>86</v>
      </c>
      <c r="G1513" s="210" t="s">
        <v>717</v>
      </c>
      <c r="H1513" s="197">
        <v>0</v>
      </c>
      <c r="I1513" s="210" t="s">
        <v>221</v>
      </c>
      <c r="J1513" s="210">
        <v>2025</v>
      </c>
      <c r="K1513" s="210">
        <v>2025</v>
      </c>
      <c r="L1513" s="268" t="str">
        <f t="shared" si="309"/>
        <v>Simple</v>
      </c>
      <c r="M1513" s="197">
        <v>22028.972240391533</v>
      </c>
      <c r="N1513" s="197">
        <v>0</v>
      </c>
      <c r="O1513" s="257">
        <f>IF(ISNA(MATCH(H1513,'Operating leases'!$B$32:$B$43,0)),0,INDEX('Operating leases'!$M$32:$S$43,MATCH(H1513,'Operating leases'!$B$32:$B$43,0),MATCH(J1513,'Operating leases'!$M$11:$S$11,0)))</f>
        <v>0</v>
      </c>
      <c r="P1513" s="257">
        <f t="shared" si="310"/>
        <v>22028.972240391533</v>
      </c>
      <c r="Q1513" s="257">
        <f t="shared" si="311"/>
        <v>22028.972240391533</v>
      </c>
      <c r="R1513" s="258">
        <f>INDEX('Escalators '!$M$124:$S$129,MATCH(I1513,'Escalators '!$B$124:$B$129,0),MATCH(J1513,'Escalators '!$M$113:$S$113,0))</f>
        <v>1.0867931559758131</v>
      </c>
      <c r="S1513" s="257">
        <f t="shared" si="312"/>
        <v>0</v>
      </c>
      <c r="T1513" s="257">
        <f t="shared" si="313"/>
        <v>0</v>
      </c>
      <c r="U1513" s="269">
        <f t="shared" si="314"/>
        <v>23940.93626403869</v>
      </c>
      <c r="V1513" s="269">
        <f t="shared" si="315"/>
        <v>23940.93626403869</v>
      </c>
      <c r="W1513" s="269">
        <f t="shared" si="316"/>
        <v>23940.93626403869</v>
      </c>
      <c r="X1513" s="257">
        <f t="shared" si="317"/>
        <v>23940.93626403869</v>
      </c>
      <c r="Y1513" s="270">
        <f>IF(L1513="Complex",(INDEX('Escalators '!$M$176:$S$176,MATCH('Forecast capex'!J1513,'Escalators '!$M$178:$S$178,0))/12+1)^((K1513-J1513)*12)-1,0)</f>
        <v>0</v>
      </c>
      <c r="Z1513" s="257">
        <f t="shared" si="318"/>
        <v>0</v>
      </c>
      <c r="AA1513" s="257">
        <f t="shared" si="319"/>
        <v>0</v>
      </c>
      <c r="AB1513" s="269">
        <f t="shared" si="320"/>
        <v>0</v>
      </c>
      <c r="AC1513" s="269">
        <f t="shared" si="321"/>
        <v>0</v>
      </c>
      <c r="AD1513" s="271" t="str">
        <f>INDEX('Global inputs'!$C$134:$C$171,MATCH(F1513,'Global inputs'!$B$134:$B$171,0))</f>
        <v xml:space="preserve">System growth </v>
      </c>
      <c r="AE1513" s="272">
        <f>IF(OR(H1513='Operating leases'!$B$32,H1513='Operating leases'!$B$33),"",INDEX('Global inputs'!$C$186:$C$243,MATCH(E1513,'Global inputs'!$B$186:$B$243,0)))</f>
        <v>0.08</v>
      </c>
    </row>
    <row r="1514" spans="1:31" s="27" customFormat="1" x14ac:dyDescent="0.2">
      <c r="A1514" s="250"/>
      <c r="B1514" s="210" t="s">
        <v>746</v>
      </c>
      <c r="C1514" s="210" t="s">
        <v>287</v>
      </c>
      <c r="D1514" s="210" t="s">
        <v>715</v>
      </c>
      <c r="E1514" s="210" t="s">
        <v>154</v>
      </c>
      <c r="F1514" s="210" t="s">
        <v>86</v>
      </c>
      <c r="G1514" s="210" t="s">
        <v>717</v>
      </c>
      <c r="H1514" s="197">
        <v>0</v>
      </c>
      <c r="I1514" s="210" t="s">
        <v>229</v>
      </c>
      <c r="J1514" s="210">
        <v>2025</v>
      </c>
      <c r="K1514" s="210">
        <v>2025</v>
      </c>
      <c r="L1514" s="268" t="str">
        <f t="shared" si="309"/>
        <v>Simple</v>
      </c>
      <c r="M1514" s="197">
        <v>22028.972240391533</v>
      </c>
      <c r="N1514" s="197">
        <v>0</v>
      </c>
      <c r="O1514" s="257">
        <f>IF(ISNA(MATCH(H1514,'Operating leases'!$B$32:$B$43,0)),0,INDEX('Operating leases'!$M$32:$S$43,MATCH(H1514,'Operating leases'!$B$32:$B$43,0),MATCH(J1514,'Operating leases'!$M$11:$S$11,0)))</f>
        <v>0</v>
      </c>
      <c r="P1514" s="257">
        <f t="shared" si="310"/>
        <v>22028.972240391533</v>
      </c>
      <c r="Q1514" s="257">
        <f t="shared" si="311"/>
        <v>22028.972240391533</v>
      </c>
      <c r="R1514" s="258">
        <f>INDEX('Escalators '!$M$124:$S$129,MATCH(I1514,'Escalators '!$B$124:$B$129,0),MATCH(J1514,'Escalators '!$M$113:$S$113,0))</f>
        <v>1.0919411253473632</v>
      </c>
      <c r="S1514" s="257">
        <f t="shared" si="312"/>
        <v>0</v>
      </c>
      <c r="T1514" s="257">
        <f t="shared" si="313"/>
        <v>0</v>
      </c>
      <c r="U1514" s="269">
        <f t="shared" si="314"/>
        <v>24054.340738418956</v>
      </c>
      <c r="V1514" s="269">
        <f t="shared" si="315"/>
        <v>24054.340738418956</v>
      </c>
      <c r="W1514" s="269">
        <f t="shared" si="316"/>
        <v>24054.340738418956</v>
      </c>
      <c r="X1514" s="257">
        <f t="shared" si="317"/>
        <v>24054.340738418956</v>
      </c>
      <c r="Y1514" s="270">
        <f>IF(L1514="Complex",(INDEX('Escalators '!$M$176:$S$176,MATCH('Forecast capex'!J1514,'Escalators '!$M$178:$S$178,0))/12+1)^((K1514-J1514)*12)-1,0)</f>
        <v>0</v>
      </c>
      <c r="Z1514" s="257">
        <f t="shared" si="318"/>
        <v>0</v>
      </c>
      <c r="AA1514" s="257">
        <f t="shared" si="319"/>
        <v>0</v>
      </c>
      <c r="AB1514" s="269">
        <f t="shared" si="320"/>
        <v>0</v>
      </c>
      <c r="AC1514" s="269">
        <f t="shared" si="321"/>
        <v>0</v>
      </c>
      <c r="AD1514" s="271" t="str">
        <f>INDEX('Global inputs'!$C$134:$C$171,MATCH(F1514,'Global inputs'!$B$134:$B$171,0))</f>
        <v xml:space="preserve">System growth </v>
      </c>
      <c r="AE1514" s="272">
        <f>IF(OR(H1514='Operating leases'!$B$32,H1514='Operating leases'!$B$33),"",INDEX('Global inputs'!$C$186:$C$243,MATCH(E1514,'Global inputs'!$B$186:$B$243,0)))</f>
        <v>0.1</v>
      </c>
    </row>
    <row r="1515" spans="1:31" s="27" customFormat="1" x14ac:dyDescent="0.2">
      <c r="A1515" s="250"/>
      <c r="B1515" s="210" t="s">
        <v>746</v>
      </c>
      <c r="C1515" s="210" t="s">
        <v>287</v>
      </c>
      <c r="D1515" s="210" t="s">
        <v>715</v>
      </c>
      <c r="E1515" s="210" t="s">
        <v>154</v>
      </c>
      <c r="F1515" s="210" t="s">
        <v>86</v>
      </c>
      <c r="G1515" s="210" t="s">
        <v>717</v>
      </c>
      <c r="H1515" s="197">
        <v>0</v>
      </c>
      <c r="I1515" s="210" t="s">
        <v>221</v>
      </c>
      <c r="J1515" s="210">
        <v>2025</v>
      </c>
      <c r="K1515" s="210">
        <v>2025</v>
      </c>
      <c r="L1515" s="268" t="str">
        <f t="shared" si="309"/>
        <v>Simple</v>
      </c>
      <c r="M1515" s="197">
        <v>22028.972240391533</v>
      </c>
      <c r="N1515" s="197">
        <v>0</v>
      </c>
      <c r="O1515" s="257">
        <f>IF(ISNA(MATCH(H1515,'Operating leases'!$B$32:$B$43,0)),0,INDEX('Operating leases'!$M$32:$S$43,MATCH(H1515,'Operating leases'!$B$32:$B$43,0),MATCH(J1515,'Operating leases'!$M$11:$S$11,0)))</f>
        <v>0</v>
      </c>
      <c r="P1515" s="257">
        <f t="shared" si="310"/>
        <v>22028.972240391533</v>
      </c>
      <c r="Q1515" s="257">
        <f t="shared" si="311"/>
        <v>22028.972240391533</v>
      </c>
      <c r="R1515" s="258">
        <f>INDEX('Escalators '!$M$124:$S$129,MATCH(I1515,'Escalators '!$B$124:$B$129,0),MATCH(J1515,'Escalators '!$M$113:$S$113,0))</f>
        <v>1.0867931559758131</v>
      </c>
      <c r="S1515" s="257">
        <f t="shared" si="312"/>
        <v>0</v>
      </c>
      <c r="T1515" s="257">
        <f t="shared" si="313"/>
        <v>0</v>
      </c>
      <c r="U1515" s="269">
        <f t="shared" si="314"/>
        <v>23940.93626403869</v>
      </c>
      <c r="V1515" s="269">
        <f t="shared" si="315"/>
        <v>23940.93626403869</v>
      </c>
      <c r="W1515" s="269">
        <f t="shared" si="316"/>
        <v>23940.93626403869</v>
      </c>
      <c r="X1515" s="257">
        <f t="shared" si="317"/>
        <v>23940.93626403869</v>
      </c>
      <c r="Y1515" s="270">
        <f>IF(L1515="Complex",(INDEX('Escalators '!$M$176:$S$176,MATCH('Forecast capex'!J1515,'Escalators '!$M$178:$S$178,0))/12+1)^((K1515-J1515)*12)-1,0)</f>
        <v>0</v>
      </c>
      <c r="Z1515" s="257">
        <f t="shared" si="318"/>
        <v>0</v>
      </c>
      <c r="AA1515" s="257">
        <f t="shared" si="319"/>
        <v>0</v>
      </c>
      <c r="AB1515" s="269">
        <f t="shared" si="320"/>
        <v>0</v>
      </c>
      <c r="AC1515" s="269">
        <f t="shared" si="321"/>
        <v>0</v>
      </c>
      <c r="AD1515" s="271" t="str">
        <f>INDEX('Global inputs'!$C$134:$C$171,MATCH(F1515,'Global inputs'!$B$134:$B$171,0))</f>
        <v xml:space="preserve">System growth </v>
      </c>
      <c r="AE1515" s="272">
        <f>IF(OR(H1515='Operating leases'!$B$32,H1515='Operating leases'!$B$33),"",INDEX('Global inputs'!$C$186:$C$243,MATCH(E1515,'Global inputs'!$B$186:$B$243,0)))</f>
        <v>0.1</v>
      </c>
    </row>
    <row r="1516" spans="1:31" s="27" customFormat="1" x14ac:dyDescent="0.2">
      <c r="A1516" s="250"/>
      <c r="B1516" s="210" t="s">
        <v>746</v>
      </c>
      <c r="C1516" s="210" t="s">
        <v>290</v>
      </c>
      <c r="D1516" s="210" t="s">
        <v>718</v>
      </c>
      <c r="E1516" s="210" t="s">
        <v>169</v>
      </c>
      <c r="F1516" s="210" t="s">
        <v>86</v>
      </c>
      <c r="G1516" s="210" t="s">
        <v>720</v>
      </c>
      <c r="H1516" s="197">
        <v>0</v>
      </c>
      <c r="I1516" s="210" t="s">
        <v>229</v>
      </c>
      <c r="J1516" s="210">
        <v>2025</v>
      </c>
      <c r="K1516" s="210">
        <v>2025</v>
      </c>
      <c r="L1516" s="268" t="str">
        <f t="shared" si="309"/>
        <v>Simple</v>
      </c>
      <c r="M1516" s="197">
        <v>70492.711169252914</v>
      </c>
      <c r="N1516" s="197">
        <v>0</v>
      </c>
      <c r="O1516" s="257">
        <f>IF(ISNA(MATCH(H1516,'Operating leases'!$B$32:$B$43,0)),0,INDEX('Operating leases'!$M$32:$S$43,MATCH(H1516,'Operating leases'!$B$32:$B$43,0),MATCH(J1516,'Operating leases'!$M$11:$S$11,0)))</f>
        <v>0</v>
      </c>
      <c r="P1516" s="257">
        <f t="shared" si="310"/>
        <v>70492.711169252914</v>
      </c>
      <c r="Q1516" s="257">
        <f t="shared" si="311"/>
        <v>70492.711169252914</v>
      </c>
      <c r="R1516" s="258">
        <f>INDEX('Escalators '!$M$124:$S$129,MATCH(I1516,'Escalators '!$B$124:$B$129,0),MATCH(J1516,'Escalators '!$M$113:$S$113,0))</f>
        <v>1.0919411253473632</v>
      </c>
      <c r="S1516" s="257">
        <f t="shared" si="312"/>
        <v>0</v>
      </c>
      <c r="T1516" s="257">
        <f t="shared" si="313"/>
        <v>0</v>
      </c>
      <c r="U1516" s="269">
        <f t="shared" si="314"/>
        <v>76973.89036294067</v>
      </c>
      <c r="V1516" s="269">
        <f t="shared" si="315"/>
        <v>76973.89036294067</v>
      </c>
      <c r="W1516" s="269">
        <f t="shared" si="316"/>
        <v>76973.89036294067</v>
      </c>
      <c r="X1516" s="257">
        <f t="shared" si="317"/>
        <v>76973.89036294067</v>
      </c>
      <c r="Y1516" s="270">
        <f>IF(L1516="Complex",(INDEX('Escalators '!$M$176:$S$176,MATCH('Forecast capex'!J1516,'Escalators '!$M$178:$S$178,0))/12+1)^((K1516-J1516)*12)-1,0)</f>
        <v>0</v>
      </c>
      <c r="Z1516" s="257">
        <f t="shared" si="318"/>
        <v>0</v>
      </c>
      <c r="AA1516" s="257">
        <f t="shared" si="319"/>
        <v>0</v>
      </c>
      <c r="AB1516" s="269">
        <f t="shared" si="320"/>
        <v>0</v>
      </c>
      <c r="AC1516" s="269">
        <f t="shared" si="321"/>
        <v>0</v>
      </c>
      <c r="AD1516" s="271" t="str">
        <f>INDEX('Global inputs'!$C$134:$C$171,MATCH(F1516,'Global inputs'!$B$134:$B$171,0))</f>
        <v xml:space="preserve">System growth </v>
      </c>
      <c r="AE1516" s="272">
        <f>IF(OR(H1516='Operating leases'!$B$32,H1516='Operating leases'!$B$33),"",INDEX('Global inputs'!$C$186:$C$243,MATCH(E1516,'Global inputs'!$B$186:$B$243,0)))</f>
        <v>0.08</v>
      </c>
    </row>
    <row r="1517" spans="1:31" s="27" customFormat="1" x14ac:dyDescent="0.2">
      <c r="A1517" s="250"/>
      <c r="B1517" s="210" t="s">
        <v>746</v>
      </c>
      <c r="C1517" s="210" t="s">
        <v>290</v>
      </c>
      <c r="D1517" s="210" t="s">
        <v>718</v>
      </c>
      <c r="E1517" s="210" t="s">
        <v>169</v>
      </c>
      <c r="F1517" s="210" t="s">
        <v>86</v>
      </c>
      <c r="G1517" s="210" t="s">
        <v>720</v>
      </c>
      <c r="H1517" s="197">
        <v>0</v>
      </c>
      <c r="I1517" s="210" t="s">
        <v>221</v>
      </c>
      <c r="J1517" s="210">
        <v>2025</v>
      </c>
      <c r="K1517" s="210">
        <v>2025</v>
      </c>
      <c r="L1517" s="268" t="str">
        <f t="shared" si="309"/>
        <v>Simple</v>
      </c>
      <c r="M1517" s="197">
        <v>46995.140779501948</v>
      </c>
      <c r="N1517" s="197">
        <v>0</v>
      </c>
      <c r="O1517" s="257">
        <f>IF(ISNA(MATCH(H1517,'Operating leases'!$B$32:$B$43,0)),0,INDEX('Operating leases'!$M$32:$S$43,MATCH(H1517,'Operating leases'!$B$32:$B$43,0),MATCH(J1517,'Operating leases'!$M$11:$S$11,0)))</f>
        <v>0</v>
      </c>
      <c r="P1517" s="257">
        <f t="shared" si="310"/>
        <v>46995.140779501948</v>
      </c>
      <c r="Q1517" s="257">
        <f t="shared" si="311"/>
        <v>46995.140779501948</v>
      </c>
      <c r="R1517" s="258">
        <f>INDEX('Escalators '!$M$124:$S$129,MATCH(I1517,'Escalators '!$B$124:$B$129,0),MATCH(J1517,'Escalators '!$M$113:$S$113,0))</f>
        <v>1.0867931559758131</v>
      </c>
      <c r="S1517" s="257">
        <f t="shared" si="312"/>
        <v>0</v>
      </c>
      <c r="T1517" s="257">
        <f t="shared" si="313"/>
        <v>0</v>
      </c>
      <c r="U1517" s="269">
        <f t="shared" si="314"/>
        <v>51073.997363282549</v>
      </c>
      <c r="V1517" s="269">
        <f t="shared" si="315"/>
        <v>51073.997363282549</v>
      </c>
      <c r="W1517" s="269">
        <f t="shared" si="316"/>
        <v>51073.997363282549</v>
      </c>
      <c r="X1517" s="257">
        <f t="shared" si="317"/>
        <v>51073.997363282549</v>
      </c>
      <c r="Y1517" s="270">
        <f>IF(L1517="Complex",(INDEX('Escalators '!$M$176:$S$176,MATCH('Forecast capex'!J1517,'Escalators '!$M$178:$S$178,0))/12+1)^((K1517-J1517)*12)-1,0)</f>
        <v>0</v>
      </c>
      <c r="Z1517" s="257">
        <f t="shared" si="318"/>
        <v>0</v>
      </c>
      <c r="AA1517" s="257">
        <f t="shared" si="319"/>
        <v>0</v>
      </c>
      <c r="AB1517" s="269">
        <f t="shared" si="320"/>
        <v>0</v>
      </c>
      <c r="AC1517" s="269">
        <f t="shared" si="321"/>
        <v>0</v>
      </c>
      <c r="AD1517" s="271" t="str">
        <f>INDEX('Global inputs'!$C$134:$C$171,MATCH(F1517,'Global inputs'!$B$134:$B$171,0))</f>
        <v xml:space="preserve">System growth </v>
      </c>
      <c r="AE1517" s="272">
        <f>IF(OR(H1517='Operating leases'!$B$32,H1517='Operating leases'!$B$33),"",INDEX('Global inputs'!$C$186:$C$243,MATCH(E1517,'Global inputs'!$B$186:$B$243,0)))</f>
        <v>0.08</v>
      </c>
    </row>
    <row r="1518" spans="1:31" s="27" customFormat="1" x14ac:dyDescent="0.2">
      <c r="A1518" s="250"/>
      <c r="B1518" s="210" t="s">
        <v>746</v>
      </c>
      <c r="C1518" s="210" t="s">
        <v>290</v>
      </c>
      <c r="D1518" s="210" t="s">
        <v>718</v>
      </c>
      <c r="E1518" s="210" t="s">
        <v>171</v>
      </c>
      <c r="F1518" s="210" t="s">
        <v>86</v>
      </c>
      <c r="G1518" s="210" t="s">
        <v>743</v>
      </c>
      <c r="H1518" s="197">
        <v>0</v>
      </c>
      <c r="I1518" s="210" t="s">
        <v>229</v>
      </c>
      <c r="J1518" s="210">
        <v>2025</v>
      </c>
      <c r="K1518" s="210">
        <v>2025</v>
      </c>
      <c r="L1518" s="268" t="str">
        <f t="shared" si="309"/>
        <v>Simple</v>
      </c>
      <c r="M1518" s="197">
        <v>52869.533376939675</v>
      </c>
      <c r="N1518" s="197">
        <v>0</v>
      </c>
      <c r="O1518" s="257">
        <f>IF(ISNA(MATCH(H1518,'Operating leases'!$B$32:$B$43,0)),0,INDEX('Operating leases'!$M$32:$S$43,MATCH(H1518,'Operating leases'!$B$32:$B$43,0),MATCH(J1518,'Operating leases'!$M$11:$S$11,0)))</f>
        <v>0</v>
      </c>
      <c r="P1518" s="257">
        <f t="shared" si="310"/>
        <v>52869.533376939675</v>
      </c>
      <c r="Q1518" s="257">
        <f t="shared" si="311"/>
        <v>52869.533376939675</v>
      </c>
      <c r="R1518" s="258">
        <f>INDEX('Escalators '!$M$124:$S$129,MATCH(I1518,'Escalators '!$B$124:$B$129,0),MATCH(J1518,'Escalators '!$M$113:$S$113,0))</f>
        <v>1.0919411253473632</v>
      </c>
      <c r="S1518" s="257">
        <f t="shared" si="312"/>
        <v>0</v>
      </c>
      <c r="T1518" s="257">
        <f t="shared" si="313"/>
        <v>0</v>
      </c>
      <c r="U1518" s="269">
        <f t="shared" si="314"/>
        <v>57730.417772205488</v>
      </c>
      <c r="V1518" s="269">
        <f t="shared" si="315"/>
        <v>57730.417772205488</v>
      </c>
      <c r="W1518" s="269">
        <f t="shared" si="316"/>
        <v>57730.417772205488</v>
      </c>
      <c r="X1518" s="257">
        <f t="shared" si="317"/>
        <v>57730.417772205488</v>
      </c>
      <c r="Y1518" s="270">
        <f>IF(L1518="Complex",(INDEX('Escalators '!$M$176:$S$176,MATCH('Forecast capex'!J1518,'Escalators '!$M$178:$S$178,0))/12+1)^((K1518-J1518)*12)-1,0)</f>
        <v>0</v>
      </c>
      <c r="Z1518" s="257">
        <f t="shared" si="318"/>
        <v>0</v>
      </c>
      <c r="AA1518" s="257">
        <f t="shared" si="319"/>
        <v>0</v>
      </c>
      <c r="AB1518" s="269">
        <f t="shared" si="320"/>
        <v>0</v>
      </c>
      <c r="AC1518" s="269">
        <f t="shared" si="321"/>
        <v>0</v>
      </c>
      <c r="AD1518" s="271" t="str">
        <f>INDEX('Global inputs'!$C$134:$C$171,MATCH(F1518,'Global inputs'!$B$134:$B$171,0))</f>
        <v xml:space="preserve">System growth </v>
      </c>
      <c r="AE1518" s="272">
        <f>IF(OR(H1518='Operating leases'!$B$32,H1518='Operating leases'!$B$33),"",INDEX('Global inputs'!$C$186:$C$243,MATCH(E1518,'Global inputs'!$B$186:$B$243,0)))</f>
        <v>0.08</v>
      </c>
    </row>
    <row r="1519" spans="1:31" s="27" customFormat="1" x14ac:dyDescent="0.2">
      <c r="A1519" s="250"/>
      <c r="B1519" s="210" t="s">
        <v>746</v>
      </c>
      <c r="C1519" s="210" t="s">
        <v>290</v>
      </c>
      <c r="D1519" s="210" t="s">
        <v>718</v>
      </c>
      <c r="E1519" s="210" t="s">
        <v>171</v>
      </c>
      <c r="F1519" s="210" t="s">
        <v>86</v>
      </c>
      <c r="G1519" s="210" t="s">
        <v>743</v>
      </c>
      <c r="H1519" s="197">
        <v>0</v>
      </c>
      <c r="I1519" s="210" t="s">
        <v>221</v>
      </c>
      <c r="J1519" s="210">
        <v>2025</v>
      </c>
      <c r="K1519" s="210">
        <v>2025</v>
      </c>
      <c r="L1519" s="268" t="str">
        <f t="shared" si="309"/>
        <v>Simple</v>
      </c>
      <c r="M1519" s="197">
        <v>35246.355584626457</v>
      </c>
      <c r="N1519" s="197">
        <v>0</v>
      </c>
      <c r="O1519" s="257">
        <f>IF(ISNA(MATCH(H1519,'Operating leases'!$B$32:$B$43,0)),0,INDEX('Operating leases'!$M$32:$S$43,MATCH(H1519,'Operating leases'!$B$32:$B$43,0),MATCH(J1519,'Operating leases'!$M$11:$S$11,0)))</f>
        <v>0</v>
      </c>
      <c r="P1519" s="257">
        <f t="shared" si="310"/>
        <v>35246.355584626457</v>
      </c>
      <c r="Q1519" s="257">
        <f t="shared" si="311"/>
        <v>35246.355584626457</v>
      </c>
      <c r="R1519" s="258">
        <f>INDEX('Escalators '!$M$124:$S$129,MATCH(I1519,'Escalators '!$B$124:$B$129,0),MATCH(J1519,'Escalators '!$M$113:$S$113,0))</f>
        <v>1.0867931559758131</v>
      </c>
      <c r="S1519" s="257">
        <f t="shared" si="312"/>
        <v>0</v>
      </c>
      <c r="T1519" s="257">
        <f t="shared" si="313"/>
        <v>0</v>
      </c>
      <c r="U1519" s="269">
        <f t="shared" si="314"/>
        <v>38305.498022461914</v>
      </c>
      <c r="V1519" s="269">
        <f t="shared" si="315"/>
        <v>38305.498022461914</v>
      </c>
      <c r="W1519" s="269">
        <f t="shared" si="316"/>
        <v>38305.498022461914</v>
      </c>
      <c r="X1519" s="257">
        <f t="shared" si="317"/>
        <v>38305.498022461914</v>
      </c>
      <c r="Y1519" s="270">
        <f>IF(L1519="Complex",(INDEX('Escalators '!$M$176:$S$176,MATCH('Forecast capex'!J1519,'Escalators '!$M$178:$S$178,0))/12+1)^((K1519-J1519)*12)-1,0)</f>
        <v>0</v>
      </c>
      <c r="Z1519" s="257">
        <f t="shared" si="318"/>
        <v>0</v>
      </c>
      <c r="AA1519" s="257">
        <f t="shared" si="319"/>
        <v>0</v>
      </c>
      <c r="AB1519" s="269">
        <f t="shared" si="320"/>
        <v>0</v>
      </c>
      <c r="AC1519" s="269">
        <f t="shared" si="321"/>
        <v>0</v>
      </c>
      <c r="AD1519" s="271" t="str">
        <f>INDEX('Global inputs'!$C$134:$C$171,MATCH(F1519,'Global inputs'!$B$134:$B$171,0))</f>
        <v xml:space="preserve">System growth </v>
      </c>
      <c r="AE1519" s="272">
        <f>IF(OR(H1519='Operating leases'!$B$32,H1519='Operating leases'!$B$33),"",INDEX('Global inputs'!$C$186:$C$243,MATCH(E1519,'Global inputs'!$B$186:$B$243,0)))</f>
        <v>0.08</v>
      </c>
    </row>
    <row r="1520" spans="1:31" s="27" customFormat="1" x14ac:dyDescent="0.2">
      <c r="A1520" s="250"/>
      <c r="B1520" s="210" t="s">
        <v>746</v>
      </c>
      <c r="C1520" s="210" t="s">
        <v>290</v>
      </c>
      <c r="D1520" s="210" t="s">
        <v>718</v>
      </c>
      <c r="E1520" s="210" t="s">
        <v>170</v>
      </c>
      <c r="F1520" s="210" t="s">
        <v>86</v>
      </c>
      <c r="G1520" s="210" t="s">
        <v>721</v>
      </c>
      <c r="H1520" s="197">
        <v>0</v>
      </c>
      <c r="I1520" s="210" t="s">
        <v>229</v>
      </c>
      <c r="J1520" s="210">
        <v>2025</v>
      </c>
      <c r="K1520" s="210">
        <v>2025</v>
      </c>
      <c r="L1520" s="268" t="str">
        <f t="shared" si="309"/>
        <v>Simple</v>
      </c>
      <c r="M1520" s="197">
        <v>102801.8704551605</v>
      </c>
      <c r="N1520" s="197">
        <v>0</v>
      </c>
      <c r="O1520" s="257">
        <f>IF(ISNA(MATCH(H1520,'Operating leases'!$B$32:$B$43,0)),0,INDEX('Operating leases'!$M$32:$S$43,MATCH(H1520,'Operating leases'!$B$32:$B$43,0),MATCH(J1520,'Operating leases'!$M$11:$S$11,0)))</f>
        <v>0</v>
      </c>
      <c r="P1520" s="257">
        <f t="shared" si="310"/>
        <v>102801.8704551605</v>
      </c>
      <c r="Q1520" s="257">
        <f t="shared" si="311"/>
        <v>102801.8704551605</v>
      </c>
      <c r="R1520" s="258">
        <f>INDEX('Escalators '!$M$124:$S$129,MATCH(I1520,'Escalators '!$B$124:$B$129,0),MATCH(J1520,'Escalators '!$M$113:$S$113,0))</f>
        <v>1.0919411253473632</v>
      </c>
      <c r="S1520" s="257">
        <f t="shared" si="312"/>
        <v>0</v>
      </c>
      <c r="T1520" s="257">
        <f t="shared" si="313"/>
        <v>0</v>
      </c>
      <c r="U1520" s="269">
        <f t="shared" si="314"/>
        <v>112253.59011262181</v>
      </c>
      <c r="V1520" s="269">
        <f t="shared" si="315"/>
        <v>112253.59011262181</v>
      </c>
      <c r="W1520" s="269">
        <f t="shared" si="316"/>
        <v>112253.59011262181</v>
      </c>
      <c r="X1520" s="257">
        <f t="shared" si="317"/>
        <v>112253.59011262181</v>
      </c>
      <c r="Y1520" s="270">
        <f>IF(L1520="Complex",(INDEX('Escalators '!$M$176:$S$176,MATCH('Forecast capex'!J1520,'Escalators '!$M$178:$S$178,0))/12+1)^((K1520-J1520)*12)-1,0)</f>
        <v>0</v>
      </c>
      <c r="Z1520" s="257">
        <f t="shared" si="318"/>
        <v>0</v>
      </c>
      <c r="AA1520" s="257">
        <f t="shared" si="319"/>
        <v>0</v>
      </c>
      <c r="AB1520" s="269">
        <f t="shared" si="320"/>
        <v>0</v>
      </c>
      <c r="AC1520" s="269">
        <f t="shared" si="321"/>
        <v>0</v>
      </c>
      <c r="AD1520" s="271" t="str">
        <f>INDEX('Global inputs'!$C$134:$C$171,MATCH(F1520,'Global inputs'!$B$134:$B$171,0))</f>
        <v xml:space="preserve">System growth </v>
      </c>
      <c r="AE1520" s="272">
        <f>IF(OR(H1520='Operating leases'!$B$32,H1520='Operating leases'!$B$33),"",INDEX('Global inputs'!$C$186:$C$243,MATCH(E1520,'Global inputs'!$B$186:$B$243,0)))</f>
        <v>0.08</v>
      </c>
    </row>
    <row r="1521" spans="1:31" s="27" customFormat="1" x14ac:dyDescent="0.2">
      <c r="A1521" s="250"/>
      <c r="B1521" s="210" t="s">
        <v>746</v>
      </c>
      <c r="C1521" s="210" t="s">
        <v>290</v>
      </c>
      <c r="D1521" s="210" t="s">
        <v>718</v>
      </c>
      <c r="E1521" s="210" t="s">
        <v>170</v>
      </c>
      <c r="F1521" s="210" t="s">
        <v>86</v>
      </c>
      <c r="G1521" s="210" t="s">
        <v>721</v>
      </c>
      <c r="H1521" s="197">
        <v>0</v>
      </c>
      <c r="I1521" s="210" t="s">
        <v>221</v>
      </c>
      <c r="J1521" s="210">
        <v>2025</v>
      </c>
      <c r="K1521" s="210">
        <v>2025</v>
      </c>
      <c r="L1521" s="268" t="str">
        <f t="shared" si="309"/>
        <v>Simple</v>
      </c>
      <c r="M1521" s="197">
        <v>102801.8704551605</v>
      </c>
      <c r="N1521" s="197">
        <v>0</v>
      </c>
      <c r="O1521" s="257">
        <f>IF(ISNA(MATCH(H1521,'Operating leases'!$B$32:$B$43,0)),0,INDEX('Operating leases'!$M$32:$S$43,MATCH(H1521,'Operating leases'!$B$32:$B$43,0),MATCH(J1521,'Operating leases'!$M$11:$S$11,0)))</f>
        <v>0</v>
      </c>
      <c r="P1521" s="257">
        <f t="shared" si="310"/>
        <v>102801.8704551605</v>
      </c>
      <c r="Q1521" s="257">
        <f t="shared" si="311"/>
        <v>102801.8704551605</v>
      </c>
      <c r="R1521" s="258">
        <f>INDEX('Escalators '!$M$124:$S$129,MATCH(I1521,'Escalators '!$B$124:$B$129,0),MATCH(J1521,'Escalators '!$M$113:$S$113,0))</f>
        <v>1.0867931559758131</v>
      </c>
      <c r="S1521" s="257">
        <f t="shared" si="312"/>
        <v>0</v>
      </c>
      <c r="T1521" s="257">
        <f t="shared" si="313"/>
        <v>0</v>
      </c>
      <c r="U1521" s="269">
        <f t="shared" si="314"/>
        <v>111724.36923218057</v>
      </c>
      <c r="V1521" s="269">
        <f t="shared" si="315"/>
        <v>111724.36923218057</v>
      </c>
      <c r="W1521" s="269">
        <f t="shared" si="316"/>
        <v>111724.36923218057</v>
      </c>
      <c r="X1521" s="257">
        <f t="shared" si="317"/>
        <v>111724.36923218057</v>
      </c>
      <c r="Y1521" s="270">
        <f>IF(L1521="Complex",(INDEX('Escalators '!$M$176:$S$176,MATCH('Forecast capex'!J1521,'Escalators '!$M$178:$S$178,0))/12+1)^((K1521-J1521)*12)-1,0)</f>
        <v>0</v>
      </c>
      <c r="Z1521" s="257">
        <f t="shared" si="318"/>
        <v>0</v>
      </c>
      <c r="AA1521" s="257">
        <f t="shared" si="319"/>
        <v>0</v>
      </c>
      <c r="AB1521" s="269">
        <f t="shared" si="320"/>
        <v>0</v>
      </c>
      <c r="AC1521" s="269">
        <f t="shared" si="321"/>
        <v>0</v>
      </c>
      <c r="AD1521" s="271" t="str">
        <f>INDEX('Global inputs'!$C$134:$C$171,MATCH(F1521,'Global inputs'!$B$134:$B$171,0))</f>
        <v xml:space="preserve">System growth </v>
      </c>
      <c r="AE1521" s="272">
        <f>IF(OR(H1521='Operating leases'!$B$32,H1521='Operating leases'!$B$33),"",INDEX('Global inputs'!$C$186:$C$243,MATCH(E1521,'Global inputs'!$B$186:$B$243,0)))</f>
        <v>0.08</v>
      </c>
    </row>
    <row r="1522" spans="1:31" s="27" customFormat="1" x14ac:dyDescent="0.2">
      <c r="A1522" s="250"/>
      <c r="B1522" s="210" t="s">
        <v>746</v>
      </c>
      <c r="C1522" s="210" t="s">
        <v>288</v>
      </c>
      <c r="D1522" s="210" t="s">
        <v>718</v>
      </c>
      <c r="E1522" s="210" t="s">
        <v>160</v>
      </c>
      <c r="F1522" s="210" t="s">
        <v>86</v>
      </c>
      <c r="G1522" s="210" t="s">
        <v>722</v>
      </c>
      <c r="H1522" s="197">
        <v>0</v>
      </c>
      <c r="I1522" s="210" t="s">
        <v>229</v>
      </c>
      <c r="J1522" s="210">
        <v>2025</v>
      </c>
      <c r="K1522" s="210">
        <v>2025</v>
      </c>
      <c r="L1522" s="268" t="str">
        <f t="shared" si="309"/>
        <v>Simple</v>
      </c>
      <c r="M1522" s="197">
        <v>14685.981493594358</v>
      </c>
      <c r="N1522" s="197">
        <v>0</v>
      </c>
      <c r="O1522" s="257">
        <f>IF(ISNA(MATCH(H1522,'Operating leases'!$B$32:$B$43,0)),0,INDEX('Operating leases'!$M$32:$S$43,MATCH(H1522,'Operating leases'!$B$32:$B$43,0),MATCH(J1522,'Operating leases'!$M$11:$S$11,0)))</f>
        <v>0</v>
      </c>
      <c r="P1522" s="257">
        <f t="shared" si="310"/>
        <v>14685.981493594358</v>
      </c>
      <c r="Q1522" s="257">
        <f t="shared" si="311"/>
        <v>14685.981493594358</v>
      </c>
      <c r="R1522" s="258">
        <f>INDEX('Escalators '!$M$124:$S$129,MATCH(I1522,'Escalators '!$B$124:$B$129,0),MATCH(J1522,'Escalators '!$M$113:$S$113,0))</f>
        <v>1.0919411253473632</v>
      </c>
      <c r="S1522" s="257">
        <f t="shared" si="312"/>
        <v>0</v>
      </c>
      <c r="T1522" s="257">
        <f t="shared" si="313"/>
        <v>0</v>
      </c>
      <c r="U1522" s="269">
        <f t="shared" si="314"/>
        <v>16036.227158945972</v>
      </c>
      <c r="V1522" s="269">
        <f t="shared" si="315"/>
        <v>16036.227158945972</v>
      </c>
      <c r="W1522" s="269">
        <f t="shared" si="316"/>
        <v>16036.227158945972</v>
      </c>
      <c r="X1522" s="257">
        <f t="shared" si="317"/>
        <v>16036.227158945972</v>
      </c>
      <c r="Y1522" s="270">
        <f>IF(L1522="Complex",(INDEX('Escalators '!$M$176:$S$176,MATCH('Forecast capex'!J1522,'Escalators '!$M$178:$S$178,0))/12+1)^((K1522-J1522)*12)-1,0)</f>
        <v>0</v>
      </c>
      <c r="Z1522" s="257">
        <f t="shared" si="318"/>
        <v>0</v>
      </c>
      <c r="AA1522" s="257">
        <f t="shared" si="319"/>
        <v>0</v>
      </c>
      <c r="AB1522" s="269">
        <f t="shared" si="320"/>
        <v>0</v>
      </c>
      <c r="AC1522" s="269">
        <f t="shared" si="321"/>
        <v>0</v>
      </c>
      <c r="AD1522" s="271" t="str">
        <f>INDEX('Global inputs'!$C$134:$C$171,MATCH(F1522,'Global inputs'!$B$134:$B$171,0))</f>
        <v xml:space="preserve">System growth </v>
      </c>
      <c r="AE1522" s="272">
        <f>IF(OR(H1522='Operating leases'!$B$32,H1522='Operating leases'!$B$33),"",INDEX('Global inputs'!$C$186:$C$243,MATCH(E1522,'Global inputs'!$B$186:$B$243,0)))</f>
        <v>0.08</v>
      </c>
    </row>
    <row r="1523" spans="1:31" s="27" customFormat="1" x14ac:dyDescent="0.2">
      <c r="A1523" s="250"/>
      <c r="B1523" s="210" t="s">
        <v>746</v>
      </c>
      <c r="C1523" s="210" t="s">
        <v>288</v>
      </c>
      <c r="D1523" s="210" t="s">
        <v>718</v>
      </c>
      <c r="E1523" s="210" t="s">
        <v>160</v>
      </c>
      <c r="F1523" s="210" t="s">
        <v>86</v>
      </c>
      <c r="G1523" s="210" t="s">
        <v>722</v>
      </c>
      <c r="H1523" s="197">
        <v>0</v>
      </c>
      <c r="I1523" s="210" t="s">
        <v>221</v>
      </c>
      <c r="J1523" s="210">
        <v>2025</v>
      </c>
      <c r="K1523" s="210">
        <v>2025</v>
      </c>
      <c r="L1523" s="268" t="str">
        <f t="shared" si="309"/>
        <v>Simple</v>
      </c>
      <c r="M1523" s="197">
        <v>14685.981493594358</v>
      </c>
      <c r="N1523" s="197">
        <v>0</v>
      </c>
      <c r="O1523" s="257">
        <f>IF(ISNA(MATCH(H1523,'Operating leases'!$B$32:$B$43,0)),0,INDEX('Operating leases'!$M$32:$S$43,MATCH(H1523,'Operating leases'!$B$32:$B$43,0),MATCH(J1523,'Operating leases'!$M$11:$S$11,0)))</f>
        <v>0</v>
      </c>
      <c r="P1523" s="257">
        <f t="shared" si="310"/>
        <v>14685.981493594358</v>
      </c>
      <c r="Q1523" s="257">
        <f t="shared" si="311"/>
        <v>14685.981493594358</v>
      </c>
      <c r="R1523" s="258">
        <f>INDEX('Escalators '!$M$124:$S$129,MATCH(I1523,'Escalators '!$B$124:$B$129,0),MATCH(J1523,'Escalators '!$M$113:$S$113,0))</f>
        <v>1.0867931559758131</v>
      </c>
      <c r="S1523" s="257">
        <f t="shared" si="312"/>
        <v>0</v>
      </c>
      <c r="T1523" s="257">
        <f t="shared" si="313"/>
        <v>0</v>
      </c>
      <c r="U1523" s="269">
        <f t="shared" si="314"/>
        <v>15960.624176025796</v>
      </c>
      <c r="V1523" s="269">
        <f t="shared" si="315"/>
        <v>15960.624176025796</v>
      </c>
      <c r="W1523" s="269">
        <f t="shared" si="316"/>
        <v>15960.624176025796</v>
      </c>
      <c r="X1523" s="257">
        <f t="shared" si="317"/>
        <v>15960.624176025796</v>
      </c>
      <c r="Y1523" s="270">
        <f>IF(L1523="Complex",(INDEX('Escalators '!$M$176:$S$176,MATCH('Forecast capex'!J1523,'Escalators '!$M$178:$S$178,0))/12+1)^((K1523-J1523)*12)-1,0)</f>
        <v>0</v>
      </c>
      <c r="Z1523" s="257">
        <f t="shared" si="318"/>
        <v>0</v>
      </c>
      <c r="AA1523" s="257">
        <f t="shared" si="319"/>
        <v>0</v>
      </c>
      <c r="AB1523" s="269">
        <f t="shared" si="320"/>
        <v>0</v>
      </c>
      <c r="AC1523" s="269">
        <f t="shared" si="321"/>
        <v>0</v>
      </c>
      <c r="AD1523" s="271" t="str">
        <f>INDEX('Global inputs'!$C$134:$C$171,MATCH(F1523,'Global inputs'!$B$134:$B$171,0))</f>
        <v xml:space="preserve">System growth </v>
      </c>
      <c r="AE1523" s="272">
        <f>IF(OR(H1523='Operating leases'!$B$32,H1523='Operating leases'!$B$33),"",INDEX('Global inputs'!$C$186:$C$243,MATCH(E1523,'Global inputs'!$B$186:$B$243,0)))</f>
        <v>0.08</v>
      </c>
    </row>
    <row r="1524" spans="1:31" s="27" customFormat="1" x14ac:dyDescent="0.2">
      <c r="A1524" s="250"/>
      <c r="B1524" s="210" t="s">
        <v>746</v>
      </c>
      <c r="C1524" s="210" t="s">
        <v>289</v>
      </c>
      <c r="D1524" s="210" t="s">
        <v>723</v>
      </c>
      <c r="E1524" s="210" t="s">
        <v>164</v>
      </c>
      <c r="F1524" s="210" t="s">
        <v>86</v>
      </c>
      <c r="G1524" s="210" t="s">
        <v>724</v>
      </c>
      <c r="H1524" s="197">
        <v>0</v>
      </c>
      <c r="I1524" s="210" t="s">
        <v>139</v>
      </c>
      <c r="J1524" s="210">
        <v>2025</v>
      </c>
      <c r="K1524" s="210">
        <v>2025</v>
      </c>
      <c r="L1524" s="268" t="str">
        <f t="shared" si="309"/>
        <v>Simple</v>
      </c>
      <c r="M1524" s="197">
        <v>234975.70389750972</v>
      </c>
      <c r="N1524" s="197">
        <v>0</v>
      </c>
      <c r="O1524" s="257">
        <f>IF(ISNA(MATCH(H1524,'Operating leases'!$B$32:$B$43,0)),0,INDEX('Operating leases'!$M$32:$S$43,MATCH(H1524,'Operating leases'!$B$32:$B$43,0),MATCH(J1524,'Operating leases'!$M$11:$S$11,0)))</f>
        <v>0</v>
      </c>
      <c r="P1524" s="257">
        <f t="shared" si="310"/>
        <v>234975.70389750972</v>
      </c>
      <c r="Q1524" s="257">
        <f t="shared" si="311"/>
        <v>234975.70389750972</v>
      </c>
      <c r="R1524" s="258">
        <f>INDEX('Escalators '!$M$124:$S$129,MATCH(I1524,'Escalators '!$B$124:$B$129,0),MATCH(J1524,'Escalators '!$M$113:$S$113,0))</f>
        <v>1.0587148896071601</v>
      </c>
      <c r="S1524" s="257">
        <f t="shared" si="312"/>
        <v>0</v>
      </c>
      <c r="T1524" s="257">
        <f t="shared" si="313"/>
        <v>0</v>
      </c>
      <c r="U1524" s="269">
        <f t="shared" si="314"/>
        <v>248772.27641221674</v>
      </c>
      <c r="V1524" s="269">
        <f t="shared" si="315"/>
        <v>248772.27641221674</v>
      </c>
      <c r="W1524" s="269">
        <f t="shared" si="316"/>
        <v>248772.27641221674</v>
      </c>
      <c r="X1524" s="257">
        <f t="shared" si="317"/>
        <v>248772.27641221674</v>
      </c>
      <c r="Y1524" s="270">
        <f>IF(L1524="Complex",(INDEX('Escalators '!$M$176:$S$176,MATCH('Forecast capex'!J1524,'Escalators '!$M$178:$S$178,0))/12+1)^((K1524-J1524)*12)-1,0)</f>
        <v>0</v>
      </c>
      <c r="Z1524" s="257">
        <f t="shared" si="318"/>
        <v>0</v>
      </c>
      <c r="AA1524" s="257">
        <f t="shared" si="319"/>
        <v>0</v>
      </c>
      <c r="AB1524" s="269">
        <f t="shared" si="320"/>
        <v>0</v>
      </c>
      <c r="AC1524" s="269">
        <f t="shared" si="321"/>
        <v>0</v>
      </c>
      <c r="AD1524" s="271" t="str">
        <f>INDEX('Global inputs'!$C$134:$C$171,MATCH(F1524,'Global inputs'!$B$134:$B$171,0))</f>
        <v xml:space="preserve">System growth </v>
      </c>
      <c r="AE1524" s="272">
        <f>IF(OR(H1524='Operating leases'!$B$32,H1524='Operating leases'!$B$33),"",INDEX('Global inputs'!$C$186:$C$243,MATCH(E1524,'Global inputs'!$B$186:$B$243,0)))</f>
        <v>0.08</v>
      </c>
    </row>
    <row r="1525" spans="1:31" s="27" customFormat="1" x14ac:dyDescent="0.2">
      <c r="A1525" s="250"/>
      <c r="B1525" s="210" t="s">
        <v>746</v>
      </c>
      <c r="C1525" s="210" t="s">
        <v>289</v>
      </c>
      <c r="D1525" s="210" t="s">
        <v>723</v>
      </c>
      <c r="E1525" s="210" t="s">
        <v>164</v>
      </c>
      <c r="F1525" s="210" t="s">
        <v>86</v>
      </c>
      <c r="G1525" s="210" t="s">
        <v>724</v>
      </c>
      <c r="H1525" s="197">
        <v>0</v>
      </c>
      <c r="I1525" s="210" t="s">
        <v>221</v>
      </c>
      <c r="J1525" s="210">
        <v>2025</v>
      </c>
      <c r="K1525" s="210">
        <v>2025</v>
      </c>
      <c r="L1525" s="268" t="str">
        <f t="shared" si="309"/>
        <v>Simple</v>
      </c>
      <c r="M1525" s="197">
        <v>58743.925974377431</v>
      </c>
      <c r="N1525" s="197">
        <v>0</v>
      </c>
      <c r="O1525" s="257">
        <f>IF(ISNA(MATCH(H1525,'Operating leases'!$B$32:$B$43,0)),0,INDEX('Operating leases'!$M$32:$S$43,MATCH(H1525,'Operating leases'!$B$32:$B$43,0),MATCH(J1525,'Operating leases'!$M$11:$S$11,0)))</f>
        <v>0</v>
      </c>
      <c r="P1525" s="257">
        <f t="shared" si="310"/>
        <v>58743.925974377431</v>
      </c>
      <c r="Q1525" s="257">
        <f t="shared" si="311"/>
        <v>58743.925974377431</v>
      </c>
      <c r="R1525" s="258">
        <f>INDEX('Escalators '!$M$124:$S$129,MATCH(I1525,'Escalators '!$B$124:$B$129,0),MATCH(J1525,'Escalators '!$M$113:$S$113,0))</f>
        <v>1.0867931559758131</v>
      </c>
      <c r="S1525" s="257">
        <f t="shared" si="312"/>
        <v>0</v>
      </c>
      <c r="T1525" s="257">
        <f t="shared" si="313"/>
        <v>0</v>
      </c>
      <c r="U1525" s="269">
        <f t="shared" si="314"/>
        <v>63842.496704103185</v>
      </c>
      <c r="V1525" s="269">
        <f t="shared" si="315"/>
        <v>63842.496704103185</v>
      </c>
      <c r="W1525" s="269">
        <f t="shared" si="316"/>
        <v>63842.496704103185</v>
      </c>
      <c r="X1525" s="257">
        <f t="shared" si="317"/>
        <v>63842.496704103185</v>
      </c>
      <c r="Y1525" s="270">
        <f>IF(L1525="Complex",(INDEX('Escalators '!$M$176:$S$176,MATCH('Forecast capex'!J1525,'Escalators '!$M$178:$S$178,0))/12+1)^((K1525-J1525)*12)-1,0)</f>
        <v>0</v>
      </c>
      <c r="Z1525" s="257">
        <f t="shared" si="318"/>
        <v>0</v>
      </c>
      <c r="AA1525" s="257">
        <f t="shared" si="319"/>
        <v>0</v>
      </c>
      <c r="AB1525" s="269">
        <f t="shared" si="320"/>
        <v>0</v>
      </c>
      <c r="AC1525" s="269">
        <f t="shared" si="321"/>
        <v>0</v>
      </c>
      <c r="AD1525" s="271" t="str">
        <f>INDEX('Global inputs'!$C$134:$C$171,MATCH(F1525,'Global inputs'!$B$134:$B$171,0))</f>
        <v xml:space="preserve">System growth </v>
      </c>
      <c r="AE1525" s="272">
        <f>IF(OR(H1525='Operating leases'!$B$32,H1525='Operating leases'!$B$33),"",INDEX('Global inputs'!$C$186:$C$243,MATCH(E1525,'Global inputs'!$B$186:$B$243,0)))</f>
        <v>0.08</v>
      </c>
    </row>
    <row r="1526" spans="1:31" s="27" customFormat="1" x14ac:dyDescent="0.2">
      <c r="A1526" s="250"/>
      <c r="B1526" s="210" t="s">
        <v>746</v>
      </c>
      <c r="C1526" s="210" t="s">
        <v>289</v>
      </c>
      <c r="D1526" s="210" t="s">
        <v>723</v>
      </c>
      <c r="E1526" s="210" t="s">
        <v>163</v>
      </c>
      <c r="F1526" s="210" t="s">
        <v>86</v>
      </c>
      <c r="G1526" s="210" t="s">
        <v>725</v>
      </c>
      <c r="H1526" s="197">
        <v>0</v>
      </c>
      <c r="I1526" s="210" t="s">
        <v>139</v>
      </c>
      <c r="J1526" s="210">
        <v>2025</v>
      </c>
      <c r="K1526" s="210">
        <v>2025</v>
      </c>
      <c r="L1526" s="268" t="str">
        <f t="shared" si="309"/>
        <v>Simple</v>
      </c>
      <c r="M1526" s="197">
        <v>70492.711169252914</v>
      </c>
      <c r="N1526" s="197">
        <v>0</v>
      </c>
      <c r="O1526" s="257">
        <f>IF(ISNA(MATCH(H1526,'Operating leases'!$B$32:$B$43,0)),0,INDEX('Operating leases'!$M$32:$S$43,MATCH(H1526,'Operating leases'!$B$32:$B$43,0),MATCH(J1526,'Operating leases'!$M$11:$S$11,0)))</f>
        <v>0</v>
      </c>
      <c r="P1526" s="257">
        <f t="shared" si="310"/>
        <v>70492.711169252914</v>
      </c>
      <c r="Q1526" s="257">
        <f t="shared" si="311"/>
        <v>70492.711169252914</v>
      </c>
      <c r="R1526" s="258">
        <f>INDEX('Escalators '!$M$124:$S$129,MATCH(I1526,'Escalators '!$B$124:$B$129,0),MATCH(J1526,'Escalators '!$M$113:$S$113,0))</f>
        <v>1.0587148896071601</v>
      </c>
      <c r="S1526" s="257">
        <f t="shared" si="312"/>
        <v>0</v>
      </c>
      <c r="T1526" s="257">
        <f t="shared" si="313"/>
        <v>0</v>
      </c>
      <c r="U1526" s="269">
        <f t="shared" si="314"/>
        <v>74631.682923665023</v>
      </c>
      <c r="V1526" s="269">
        <f t="shared" si="315"/>
        <v>74631.682923665023</v>
      </c>
      <c r="W1526" s="269">
        <f t="shared" si="316"/>
        <v>74631.682923665023</v>
      </c>
      <c r="X1526" s="257">
        <f t="shared" si="317"/>
        <v>74631.682923665023</v>
      </c>
      <c r="Y1526" s="270">
        <f>IF(L1526="Complex",(INDEX('Escalators '!$M$176:$S$176,MATCH('Forecast capex'!J1526,'Escalators '!$M$178:$S$178,0))/12+1)^((K1526-J1526)*12)-1,0)</f>
        <v>0</v>
      </c>
      <c r="Z1526" s="257">
        <f t="shared" si="318"/>
        <v>0</v>
      </c>
      <c r="AA1526" s="257">
        <f t="shared" si="319"/>
        <v>0</v>
      </c>
      <c r="AB1526" s="269">
        <f t="shared" si="320"/>
        <v>0</v>
      </c>
      <c r="AC1526" s="269">
        <f t="shared" si="321"/>
        <v>0</v>
      </c>
      <c r="AD1526" s="271" t="str">
        <f>INDEX('Global inputs'!$C$134:$C$171,MATCH(F1526,'Global inputs'!$B$134:$B$171,0))</f>
        <v xml:space="preserve">System growth </v>
      </c>
      <c r="AE1526" s="272">
        <f>IF(OR(H1526='Operating leases'!$B$32,H1526='Operating leases'!$B$33),"",INDEX('Global inputs'!$C$186:$C$243,MATCH(E1526,'Global inputs'!$B$186:$B$243,0)))</f>
        <v>0.08</v>
      </c>
    </row>
    <row r="1527" spans="1:31" s="27" customFormat="1" x14ac:dyDescent="0.2">
      <c r="A1527" s="250"/>
      <c r="B1527" s="210" t="s">
        <v>746</v>
      </c>
      <c r="C1527" s="210" t="s">
        <v>289</v>
      </c>
      <c r="D1527" s="210" t="s">
        <v>723</v>
      </c>
      <c r="E1527" s="210" t="s">
        <v>163</v>
      </c>
      <c r="F1527" s="210" t="s">
        <v>86</v>
      </c>
      <c r="G1527" s="210" t="s">
        <v>725</v>
      </c>
      <c r="H1527" s="197">
        <v>0</v>
      </c>
      <c r="I1527" s="210" t="s">
        <v>221</v>
      </c>
      <c r="J1527" s="210">
        <v>2025</v>
      </c>
      <c r="K1527" s="210">
        <v>2025</v>
      </c>
      <c r="L1527" s="268" t="str">
        <f t="shared" si="309"/>
        <v>Simple</v>
      </c>
      <c r="M1527" s="197">
        <v>17623.177792313229</v>
      </c>
      <c r="N1527" s="197">
        <v>0</v>
      </c>
      <c r="O1527" s="257">
        <f>IF(ISNA(MATCH(H1527,'Operating leases'!$B$32:$B$43,0)),0,INDEX('Operating leases'!$M$32:$S$43,MATCH(H1527,'Operating leases'!$B$32:$B$43,0),MATCH(J1527,'Operating leases'!$M$11:$S$11,0)))</f>
        <v>0</v>
      </c>
      <c r="P1527" s="257">
        <f t="shared" si="310"/>
        <v>17623.177792313229</v>
      </c>
      <c r="Q1527" s="257">
        <f t="shared" si="311"/>
        <v>17623.177792313229</v>
      </c>
      <c r="R1527" s="258">
        <f>INDEX('Escalators '!$M$124:$S$129,MATCH(I1527,'Escalators '!$B$124:$B$129,0),MATCH(J1527,'Escalators '!$M$113:$S$113,0))</f>
        <v>1.0867931559758131</v>
      </c>
      <c r="S1527" s="257">
        <f t="shared" si="312"/>
        <v>0</v>
      </c>
      <c r="T1527" s="257">
        <f t="shared" si="313"/>
        <v>0</v>
      </c>
      <c r="U1527" s="269">
        <f t="shared" si="314"/>
        <v>19152.749011230957</v>
      </c>
      <c r="V1527" s="269">
        <f t="shared" si="315"/>
        <v>19152.749011230957</v>
      </c>
      <c r="W1527" s="269">
        <f t="shared" si="316"/>
        <v>19152.749011230957</v>
      </c>
      <c r="X1527" s="257">
        <f t="shared" si="317"/>
        <v>19152.749011230957</v>
      </c>
      <c r="Y1527" s="270">
        <f>IF(L1527="Complex",(INDEX('Escalators '!$M$176:$S$176,MATCH('Forecast capex'!J1527,'Escalators '!$M$178:$S$178,0))/12+1)^((K1527-J1527)*12)-1,0)</f>
        <v>0</v>
      </c>
      <c r="Z1527" s="257">
        <f t="shared" si="318"/>
        <v>0</v>
      </c>
      <c r="AA1527" s="257">
        <f t="shared" si="319"/>
        <v>0</v>
      </c>
      <c r="AB1527" s="269">
        <f t="shared" si="320"/>
        <v>0</v>
      </c>
      <c r="AC1527" s="269">
        <f t="shared" si="321"/>
        <v>0</v>
      </c>
      <c r="AD1527" s="271" t="str">
        <f>INDEX('Global inputs'!$C$134:$C$171,MATCH(F1527,'Global inputs'!$B$134:$B$171,0))</f>
        <v xml:space="preserve">System growth </v>
      </c>
      <c r="AE1527" s="272">
        <f>IF(OR(H1527='Operating leases'!$B$32,H1527='Operating leases'!$B$33),"",INDEX('Global inputs'!$C$186:$C$243,MATCH(E1527,'Global inputs'!$B$186:$B$243,0)))</f>
        <v>0.08</v>
      </c>
    </row>
    <row r="1528" spans="1:31" s="27" customFormat="1" x14ac:dyDescent="0.2">
      <c r="A1528" s="250"/>
      <c r="B1528" s="210" t="s">
        <v>746</v>
      </c>
      <c r="C1528" s="210" t="s">
        <v>290</v>
      </c>
      <c r="D1528" s="210" t="s">
        <v>723</v>
      </c>
      <c r="E1528" s="210" t="s">
        <v>172</v>
      </c>
      <c r="F1528" s="210" t="s">
        <v>86</v>
      </c>
      <c r="G1528" s="210" t="s">
        <v>747</v>
      </c>
      <c r="H1528" s="197">
        <v>0</v>
      </c>
      <c r="I1528" s="210" t="s">
        <v>139</v>
      </c>
      <c r="J1528" s="210">
        <v>2025</v>
      </c>
      <c r="K1528" s="210">
        <v>2025</v>
      </c>
      <c r="L1528" s="268" t="str">
        <f t="shared" si="309"/>
        <v>Simple</v>
      </c>
      <c r="M1528" s="197">
        <v>11748.785194875487</v>
      </c>
      <c r="N1528" s="197">
        <v>0</v>
      </c>
      <c r="O1528" s="257">
        <f>IF(ISNA(MATCH(H1528,'Operating leases'!$B$32:$B$43,0)),0,INDEX('Operating leases'!$M$32:$S$43,MATCH(H1528,'Operating leases'!$B$32:$B$43,0),MATCH(J1528,'Operating leases'!$M$11:$S$11,0)))</f>
        <v>0</v>
      </c>
      <c r="P1528" s="257">
        <f t="shared" si="310"/>
        <v>11748.785194875487</v>
      </c>
      <c r="Q1528" s="257">
        <f t="shared" si="311"/>
        <v>11748.785194875487</v>
      </c>
      <c r="R1528" s="258">
        <f>INDEX('Escalators '!$M$124:$S$129,MATCH(I1528,'Escalators '!$B$124:$B$129,0),MATCH(J1528,'Escalators '!$M$113:$S$113,0))</f>
        <v>1.0587148896071601</v>
      </c>
      <c r="S1528" s="257">
        <f t="shared" si="312"/>
        <v>0</v>
      </c>
      <c r="T1528" s="257">
        <f t="shared" si="313"/>
        <v>0</v>
      </c>
      <c r="U1528" s="269">
        <f t="shared" si="314"/>
        <v>12438.613820610837</v>
      </c>
      <c r="V1528" s="269">
        <f t="shared" si="315"/>
        <v>12438.613820610837</v>
      </c>
      <c r="W1528" s="269">
        <f t="shared" si="316"/>
        <v>12438.613820610837</v>
      </c>
      <c r="X1528" s="257">
        <f t="shared" si="317"/>
        <v>12438.613820610837</v>
      </c>
      <c r="Y1528" s="270">
        <f>IF(L1528="Complex",(INDEX('Escalators '!$M$176:$S$176,MATCH('Forecast capex'!J1528,'Escalators '!$M$178:$S$178,0))/12+1)^((K1528-J1528)*12)-1,0)</f>
        <v>0</v>
      </c>
      <c r="Z1528" s="257">
        <f t="shared" si="318"/>
        <v>0</v>
      </c>
      <c r="AA1528" s="257">
        <f t="shared" si="319"/>
        <v>0</v>
      </c>
      <c r="AB1528" s="269">
        <f t="shared" si="320"/>
        <v>0</v>
      </c>
      <c r="AC1528" s="269">
        <f t="shared" si="321"/>
        <v>0</v>
      </c>
      <c r="AD1528" s="271" t="str">
        <f>INDEX('Global inputs'!$C$134:$C$171,MATCH(F1528,'Global inputs'!$B$134:$B$171,0))</f>
        <v xml:space="preserve">System growth </v>
      </c>
      <c r="AE1528" s="272">
        <f>IF(OR(H1528='Operating leases'!$B$32,H1528='Operating leases'!$B$33),"",INDEX('Global inputs'!$C$186:$C$243,MATCH(E1528,'Global inputs'!$B$186:$B$243,0)))</f>
        <v>0.08</v>
      </c>
    </row>
    <row r="1529" spans="1:31" s="27" customFormat="1" x14ac:dyDescent="0.2">
      <c r="A1529" s="250"/>
      <c r="B1529" s="210" t="s">
        <v>746</v>
      </c>
      <c r="C1529" s="210" t="s">
        <v>290</v>
      </c>
      <c r="D1529" s="210" t="s">
        <v>723</v>
      </c>
      <c r="E1529" s="210" t="s">
        <v>172</v>
      </c>
      <c r="F1529" s="210" t="s">
        <v>86</v>
      </c>
      <c r="G1529" s="210" t="s">
        <v>747</v>
      </c>
      <c r="H1529" s="197">
        <v>0</v>
      </c>
      <c r="I1529" s="210" t="s">
        <v>221</v>
      </c>
      <c r="J1529" s="210">
        <v>2025</v>
      </c>
      <c r="K1529" s="210">
        <v>2025</v>
      </c>
      <c r="L1529" s="268" t="str">
        <f t="shared" si="309"/>
        <v>Simple</v>
      </c>
      <c r="M1529" s="197">
        <v>2937.1962987188717</v>
      </c>
      <c r="N1529" s="197">
        <v>0</v>
      </c>
      <c r="O1529" s="257">
        <f>IF(ISNA(MATCH(H1529,'Operating leases'!$B$32:$B$43,0)),0,INDEX('Operating leases'!$M$32:$S$43,MATCH(H1529,'Operating leases'!$B$32:$B$43,0),MATCH(J1529,'Operating leases'!$M$11:$S$11,0)))</f>
        <v>0</v>
      </c>
      <c r="P1529" s="257">
        <f t="shared" si="310"/>
        <v>2937.1962987188717</v>
      </c>
      <c r="Q1529" s="257">
        <f t="shared" si="311"/>
        <v>2937.1962987188717</v>
      </c>
      <c r="R1529" s="258">
        <f>INDEX('Escalators '!$M$124:$S$129,MATCH(I1529,'Escalators '!$B$124:$B$129,0),MATCH(J1529,'Escalators '!$M$113:$S$113,0))</f>
        <v>1.0867931559758131</v>
      </c>
      <c r="S1529" s="257">
        <f t="shared" si="312"/>
        <v>0</v>
      </c>
      <c r="T1529" s="257">
        <f t="shared" si="313"/>
        <v>0</v>
      </c>
      <c r="U1529" s="269">
        <f t="shared" si="314"/>
        <v>3192.1248352051593</v>
      </c>
      <c r="V1529" s="269">
        <f t="shared" si="315"/>
        <v>3192.1248352051593</v>
      </c>
      <c r="W1529" s="269">
        <f t="shared" si="316"/>
        <v>3192.1248352051593</v>
      </c>
      <c r="X1529" s="257">
        <f t="shared" si="317"/>
        <v>3192.1248352051593</v>
      </c>
      <c r="Y1529" s="270">
        <f>IF(L1529="Complex",(INDEX('Escalators '!$M$176:$S$176,MATCH('Forecast capex'!J1529,'Escalators '!$M$178:$S$178,0))/12+1)^((K1529-J1529)*12)-1,0)</f>
        <v>0</v>
      </c>
      <c r="Z1529" s="257">
        <f t="shared" si="318"/>
        <v>0</v>
      </c>
      <c r="AA1529" s="257">
        <f t="shared" si="319"/>
        <v>0</v>
      </c>
      <c r="AB1529" s="269">
        <f t="shared" si="320"/>
        <v>0</v>
      </c>
      <c r="AC1529" s="269">
        <f t="shared" si="321"/>
        <v>0</v>
      </c>
      <c r="AD1529" s="271" t="str">
        <f>INDEX('Global inputs'!$C$134:$C$171,MATCH(F1529,'Global inputs'!$B$134:$B$171,0))</f>
        <v xml:space="preserve">System growth </v>
      </c>
      <c r="AE1529" s="272">
        <f>IF(OR(H1529='Operating leases'!$B$32,H1529='Operating leases'!$B$33),"",INDEX('Global inputs'!$C$186:$C$243,MATCH(E1529,'Global inputs'!$B$186:$B$243,0)))</f>
        <v>0.08</v>
      </c>
    </row>
    <row r="1530" spans="1:31" s="27" customFormat="1" x14ac:dyDescent="0.2">
      <c r="A1530" s="250"/>
      <c r="B1530" s="210" t="s">
        <v>746</v>
      </c>
      <c r="C1530" s="210" t="s">
        <v>286</v>
      </c>
      <c r="D1530" s="210" t="s">
        <v>735</v>
      </c>
      <c r="E1530" s="210" t="s">
        <v>144</v>
      </c>
      <c r="F1530" s="210" t="s">
        <v>86</v>
      </c>
      <c r="G1530" s="210" t="s">
        <v>736</v>
      </c>
      <c r="H1530" s="197">
        <v>0</v>
      </c>
      <c r="I1530" s="210" t="s">
        <v>229</v>
      </c>
      <c r="J1530" s="210">
        <v>2025</v>
      </c>
      <c r="K1530" s="210">
        <v>2025</v>
      </c>
      <c r="L1530" s="268" t="str">
        <f t="shared" si="309"/>
        <v>Simple</v>
      </c>
      <c r="M1530" s="197">
        <v>5874.3925974377435</v>
      </c>
      <c r="N1530" s="197">
        <v>0</v>
      </c>
      <c r="O1530" s="257">
        <f>IF(ISNA(MATCH(H1530,'Operating leases'!$B$32:$B$43,0)),0,INDEX('Operating leases'!$M$32:$S$43,MATCH(H1530,'Operating leases'!$B$32:$B$43,0),MATCH(J1530,'Operating leases'!$M$11:$S$11,0)))</f>
        <v>0</v>
      </c>
      <c r="P1530" s="257">
        <f t="shared" si="310"/>
        <v>5874.3925974377435</v>
      </c>
      <c r="Q1530" s="257">
        <f t="shared" si="311"/>
        <v>5874.3925974377435</v>
      </c>
      <c r="R1530" s="258">
        <f>INDEX('Escalators '!$M$124:$S$129,MATCH(I1530,'Escalators '!$B$124:$B$129,0),MATCH(J1530,'Escalators '!$M$113:$S$113,0))</f>
        <v>1.0919411253473632</v>
      </c>
      <c r="S1530" s="257">
        <f t="shared" si="312"/>
        <v>0</v>
      </c>
      <c r="T1530" s="257">
        <f t="shared" si="313"/>
        <v>0</v>
      </c>
      <c r="U1530" s="269">
        <f t="shared" si="314"/>
        <v>6414.4908635783895</v>
      </c>
      <c r="V1530" s="269">
        <f t="shared" si="315"/>
        <v>6414.4908635783895</v>
      </c>
      <c r="W1530" s="269">
        <f t="shared" si="316"/>
        <v>6414.4908635783895</v>
      </c>
      <c r="X1530" s="257">
        <f t="shared" si="317"/>
        <v>6414.4908635783895</v>
      </c>
      <c r="Y1530" s="270">
        <f>IF(L1530="Complex",(INDEX('Escalators '!$M$176:$S$176,MATCH('Forecast capex'!J1530,'Escalators '!$M$178:$S$178,0))/12+1)^((K1530-J1530)*12)-1,0)</f>
        <v>0</v>
      </c>
      <c r="Z1530" s="257">
        <f t="shared" si="318"/>
        <v>0</v>
      </c>
      <c r="AA1530" s="257">
        <f t="shared" si="319"/>
        <v>0</v>
      </c>
      <c r="AB1530" s="269">
        <f t="shared" si="320"/>
        <v>0</v>
      </c>
      <c r="AC1530" s="269">
        <f t="shared" si="321"/>
        <v>0</v>
      </c>
      <c r="AD1530" s="271" t="str">
        <f>INDEX('Global inputs'!$C$134:$C$171,MATCH(F1530,'Global inputs'!$B$134:$B$171,0))</f>
        <v xml:space="preserve">System growth </v>
      </c>
      <c r="AE1530" s="272">
        <f>IF(OR(H1530='Operating leases'!$B$32,H1530='Operating leases'!$B$33),"",INDEX('Global inputs'!$C$186:$C$243,MATCH(E1530,'Global inputs'!$B$186:$B$243,0)))</f>
        <v>0.08</v>
      </c>
    </row>
    <row r="1531" spans="1:31" s="27" customFormat="1" x14ac:dyDescent="0.2">
      <c r="A1531" s="250"/>
      <c r="B1531" s="210" t="s">
        <v>746</v>
      </c>
      <c r="C1531" s="210" t="s">
        <v>286</v>
      </c>
      <c r="D1531" s="210" t="s">
        <v>735</v>
      </c>
      <c r="E1531" s="210" t="s">
        <v>144</v>
      </c>
      <c r="F1531" s="210" t="s">
        <v>86</v>
      </c>
      <c r="G1531" s="210" t="s">
        <v>736</v>
      </c>
      <c r="H1531" s="197">
        <v>0</v>
      </c>
      <c r="I1531" s="210" t="s">
        <v>221</v>
      </c>
      <c r="J1531" s="210">
        <v>2025</v>
      </c>
      <c r="K1531" s="210">
        <v>2025</v>
      </c>
      <c r="L1531" s="268" t="str">
        <f t="shared" si="309"/>
        <v>Simple</v>
      </c>
      <c r="M1531" s="197">
        <v>23497.570389750974</v>
      </c>
      <c r="N1531" s="197">
        <v>0</v>
      </c>
      <c r="O1531" s="257">
        <f>IF(ISNA(MATCH(H1531,'Operating leases'!$B$32:$B$43,0)),0,INDEX('Operating leases'!$M$32:$S$43,MATCH(H1531,'Operating leases'!$B$32:$B$43,0),MATCH(J1531,'Operating leases'!$M$11:$S$11,0)))</f>
        <v>0</v>
      </c>
      <c r="P1531" s="257">
        <f t="shared" si="310"/>
        <v>23497.570389750974</v>
      </c>
      <c r="Q1531" s="257">
        <f t="shared" si="311"/>
        <v>23497.570389750974</v>
      </c>
      <c r="R1531" s="258">
        <f>INDEX('Escalators '!$M$124:$S$129,MATCH(I1531,'Escalators '!$B$124:$B$129,0),MATCH(J1531,'Escalators '!$M$113:$S$113,0))</f>
        <v>1.0867931559758131</v>
      </c>
      <c r="S1531" s="257">
        <f t="shared" si="312"/>
        <v>0</v>
      </c>
      <c r="T1531" s="257">
        <f t="shared" si="313"/>
        <v>0</v>
      </c>
      <c r="U1531" s="269">
        <f t="shared" si="314"/>
        <v>25536.998681641275</v>
      </c>
      <c r="V1531" s="269">
        <f t="shared" si="315"/>
        <v>25536.998681641275</v>
      </c>
      <c r="W1531" s="269">
        <f t="shared" si="316"/>
        <v>25536.998681641275</v>
      </c>
      <c r="X1531" s="257">
        <f t="shared" si="317"/>
        <v>25536.998681641275</v>
      </c>
      <c r="Y1531" s="270">
        <f>IF(L1531="Complex",(INDEX('Escalators '!$M$176:$S$176,MATCH('Forecast capex'!J1531,'Escalators '!$M$178:$S$178,0))/12+1)^((K1531-J1531)*12)-1,0)</f>
        <v>0</v>
      </c>
      <c r="Z1531" s="257">
        <f t="shared" si="318"/>
        <v>0</v>
      </c>
      <c r="AA1531" s="257">
        <f t="shared" si="319"/>
        <v>0</v>
      </c>
      <c r="AB1531" s="269">
        <f t="shared" si="320"/>
        <v>0</v>
      </c>
      <c r="AC1531" s="269">
        <f t="shared" si="321"/>
        <v>0</v>
      </c>
      <c r="AD1531" s="271" t="str">
        <f>INDEX('Global inputs'!$C$134:$C$171,MATCH(F1531,'Global inputs'!$B$134:$B$171,0))</f>
        <v xml:space="preserve">System growth </v>
      </c>
      <c r="AE1531" s="272">
        <f>IF(OR(H1531='Operating leases'!$B$32,H1531='Operating leases'!$B$33),"",INDEX('Global inputs'!$C$186:$C$243,MATCH(E1531,'Global inputs'!$B$186:$B$243,0)))</f>
        <v>0.08</v>
      </c>
    </row>
    <row r="1532" spans="1:31" s="27" customFormat="1" x14ac:dyDescent="0.2">
      <c r="A1532" s="250"/>
      <c r="B1532" s="210" t="s">
        <v>746</v>
      </c>
      <c r="C1532" s="210" t="s">
        <v>291</v>
      </c>
      <c r="D1532" s="210" t="s">
        <v>735</v>
      </c>
      <c r="E1532" s="210" t="s">
        <v>175</v>
      </c>
      <c r="F1532" s="210" t="s">
        <v>86</v>
      </c>
      <c r="G1532" s="210" t="s">
        <v>748</v>
      </c>
      <c r="H1532" s="197">
        <v>0</v>
      </c>
      <c r="I1532" s="210" t="s">
        <v>229</v>
      </c>
      <c r="J1532" s="210">
        <v>2025</v>
      </c>
      <c r="K1532" s="210">
        <v>2025</v>
      </c>
      <c r="L1532" s="268" t="str">
        <f t="shared" si="309"/>
        <v>Simple</v>
      </c>
      <c r="M1532" s="197">
        <v>2937.1962987188717</v>
      </c>
      <c r="N1532" s="197">
        <v>0</v>
      </c>
      <c r="O1532" s="257">
        <f>IF(ISNA(MATCH(H1532,'Operating leases'!$B$32:$B$43,0)),0,INDEX('Operating leases'!$M$32:$S$43,MATCH(H1532,'Operating leases'!$B$32:$B$43,0),MATCH(J1532,'Operating leases'!$M$11:$S$11,0)))</f>
        <v>0</v>
      </c>
      <c r="P1532" s="257">
        <f t="shared" si="310"/>
        <v>2937.1962987188717</v>
      </c>
      <c r="Q1532" s="257">
        <f t="shared" si="311"/>
        <v>2937.1962987188717</v>
      </c>
      <c r="R1532" s="258">
        <f>INDEX('Escalators '!$M$124:$S$129,MATCH(I1532,'Escalators '!$B$124:$B$129,0),MATCH(J1532,'Escalators '!$M$113:$S$113,0))</f>
        <v>1.0919411253473632</v>
      </c>
      <c r="S1532" s="257">
        <f t="shared" si="312"/>
        <v>0</v>
      </c>
      <c r="T1532" s="257">
        <f t="shared" si="313"/>
        <v>0</v>
      </c>
      <c r="U1532" s="269">
        <f t="shared" si="314"/>
        <v>3207.2454317891948</v>
      </c>
      <c r="V1532" s="269">
        <f t="shared" si="315"/>
        <v>3207.2454317891948</v>
      </c>
      <c r="W1532" s="269">
        <f t="shared" si="316"/>
        <v>3207.2454317891948</v>
      </c>
      <c r="X1532" s="257">
        <f t="shared" si="317"/>
        <v>3207.2454317891948</v>
      </c>
      <c r="Y1532" s="270">
        <f>IF(L1532="Complex",(INDEX('Escalators '!$M$176:$S$176,MATCH('Forecast capex'!J1532,'Escalators '!$M$178:$S$178,0))/12+1)^((K1532-J1532)*12)-1,0)</f>
        <v>0</v>
      </c>
      <c r="Z1532" s="257">
        <f t="shared" si="318"/>
        <v>0</v>
      </c>
      <c r="AA1532" s="257">
        <f t="shared" si="319"/>
        <v>0</v>
      </c>
      <c r="AB1532" s="269">
        <f t="shared" si="320"/>
        <v>0</v>
      </c>
      <c r="AC1532" s="269">
        <f t="shared" si="321"/>
        <v>0</v>
      </c>
      <c r="AD1532" s="271" t="str">
        <f>INDEX('Global inputs'!$C$134:$C$171,MATCH(F1532,'Global inputs'!$B$134:$B$171,0))</f>
        <v xml:space="preserve">System growth </v>
      </c>
      <c r="AE1532" s="272">
        <f>IF(OR(H1532='Operating leases'!$B$32,H1532='Operating leases'!$B$33),"",INDEX('Global inputs'!$C$186:$C$243,MATCH(E1532,'Global inputs'!$B$186:$B$243,0)))</f>
        <v>0.1</v>
      </c>
    </row>
    <row r="1533" spans="1:31" s="27" customFormat="1" x14ac:dyDescent="0.2">
      <c r="A1533" s="250"/>
      <c r="B1533" s="210" t="s">
        <v>746</v>
      </c>
      <c r="C1533" s="210" t="s">
        <v>291</v>
      </c>
      <c r="D1533" s="210" t="s">
        <v>735</v>
      </c>
      <c r="E1533" s="210" t="s">
        <v>175</v>
      </c>
      <c r="F1533" s="210" t="s">
        <v>86</v>
      </c>
      <c r="G1533" s="210" t="s">
        <v>748</v>
      </c>
      <c r="H1533" s="197">
        <v>0</v>
      </c>
      <c r="I1533" s="210" t="s">
        <v>221</v>
      </c>
      <c r="J1533" s="210">
        <v>2025</v>
      </c>
      <c r="K1533" s="210">
        <v>2025</v>
      </c>
      <c r="L1533" s="268" t="str">
        <f t="shared" si="309"/>
        <v>Simple</v>
      </c>
      <c r="M1533" s="197">
        <v>11748.785194875487</v>
      </c>
      <c r="N1533" s="197">
        <v>0</v>
      </c>
      <c r="O1533" s="257">
        <f>IF(ISNA(MATCH(H1533,'Operating leases'!$B$32:$B$43,0)),0,INDEX('Operating leases'!$M$32:$S$43,MATCH(H1533,'Operating leases'!$B$32:$B$43,0),MATCH(J1533,'Operating leases'!$M$11:$S$11,0)))</f>
        <v>0</v>
      </c>
      <c r="P1533" s="257">
        <f t="shared" si="310"/>
        <v>11748.785194875487</v>
      </c>
      <c r="Q1533" s="257">
        <f t="shared" si="311"/>
        <v>11748.785194875487</v>
      </c>
      <c r="R1533" s="258">
        <f>INDEX('Escalators '!$M$124:$S$129,MATCH(I1533,'Escalators '!$B$124:$B$129,0),MATCH(J1533,'Escalators '!$M$113:$S$113,0))</f>
        <v>1.0867931559758131</v>
      </c>
      <c r="S1533" s="257">
        <f t="shared" si="312"/>
        <v>0</v>
      </c>
      <c r="T1533" s="257">
        <f t="shared" si="313"/>
        <v>0</v>
      </c>
      <c r="U1533" s="269">
        <f t="shared" si="314"/>
        <v>12768.499340820637</v>
      </c>
      <c r="V1533" s="269">
        <f t="shared" si="315"/>
        <v>12768.499340820637</v>
      </c>
      <c r="W1533" s="269">
        <f t="shared" si="316"/>
        <v>12768.499340820637</v>
      </c>
      <c r="X1533" s="257">
        <f t="shared" si="317"/>
        <v>12768.499340820637</v>
      </c>
      <c r="Y1533" s="270">
        <f>IF(L1533="Complex",(INDEX('Escalators '!$M$176:$S$176,MATCH('Forecast capex'!J1533,'Escalators '!$M$178:$S$178,0))/12+1)^((K1533-J1533)*12)-1,0)</f>
        <v>0</v>
      </c>
      <c r="Z1533" s="257">
        <f t="shared" si="318"/>
        <v>0</v>
      </c>
      <c r="AA1533" s="257">
        <f t="shared" si="319"/>
        <v>0</v>
      </c>
      <c r="AB1533" s="269">
        <f t="shared" si="320"/>
        <v>0</v>
      </c>
      <c r="AC1533" s="269">
        <f t="shared" si="321"/>
        <v>0</v>
      </c>
      <c r="AD1533" s="271" t="str">
        <f>INDEX('Global inputs'!$C$134:$C$171,MATCH(F1533,'Global inputs'!$B$134:$B$171,0))</f>
        <v xml:space="preserve">System growth </v>
      </c>
      <c r="AE1533" s="272">
        <f>IF(OR(H1533='Operating leases'!$B$32,H1533='Operating leases'!$B$33),"",INDEX('Global inputs'!$C$186:$C$243,MATCH(E1533,'Global inputs'!$B$186:$B$243,0)))</f>
        <v>0.1</v>
      </c>
    </row>
    <row r="1534" spans="1:31" s="27" customFormat="1" x14ac:dyDescent="0.2">
      <c r="A1534" s="250"/>
      <c r="B1534" s="210" t="s">
        <v>746</v>
      </c>
      <c r="C1534" s="210" t="s">
        <v>288</v>
      </c>
      <c r="D1534" s="210" t="s">
        <v>223</v>
      </c>
      <c r="E1534" s="210" t="s">
        <v>156</v>
      </c>
      <c r="F1534" s="210" t="s">
        <v>86</v>
      </c>
      <c r="G1534" s="210" t="s">
        <v>727</v>
      </c>
      <c r="H1534" s="197">
        <v>0</v>
      </c>
      <c r="I1534" s="210" t="s">
        <v>223</v>
      </c>
      <c r="J1534" s="210">
        <v>2025</v>
      </c>
      <c r="K1534" s="210">
        <v>2025</v>
      </c>
      <c r="L1534" s="268" t="str">
        <f t="shared" si="309"/>
        <v>Simple</v>
      </c>
      <c r="M1534" s="197">
        <v>237912.90019622855</v>
      </c>
      <c r="N1534" s="197">
        <v>0</v>
      </c>
      <c r="O1534" s="257">
        <f>IF(ISNA(MATCH(H1534,'Operating leases'!$B$32:$B$43,0)),0,INDEX('Operating leases'!$M$32:$S$43,MATCH(H1534,'Operating leases'!$B$32:$B$43,0),MATCH(J1534,'Operating leases'!$M$11:$S$11,0)))</f>
        <v>0</v>
      </c>
      <c r="P1534" s="257">
        <f t="shared" si="310"/>
        <v>237912.90019622855</v>
      </c>
      <c r="Q1534" s="257">
        <f t="shared" si="311"/>
        <v>237912.90019622855</v>
      </c>
      <c r="R1534" s="258">
        <f>INDEX('Escalators '!$M$124:$S$129,MATCH(I1534,'Escalators '!$B$124:$B$129,0),MATCH(J1534,'Escalators '!$M$113:$S$113,0))</f>
        <v>1.1331892756985407</v>
      </c>
      <c r="S1534" s="257">
        <f t="shared" si="312"/>
        <v>0</v>
      </c>
      <c r="T1534" s="257">
        <f t="shared" si="313"/>
        <v>0</v>
      </c>
      <c r="U1534" s="269">
        <f t="shared" si="314"/>
        <v>269600.34705270344</v>
      </c>
      <c r="V1534" s="269">
        <f t="shared" si="315"/>
        <v>269600.34705270344</v>
      </c>
      <c r="W1534" s="269">
        <f t="shared" si="316"/>
        <v>269600.34705270344</v>
      </c>
      <c r="X1534" s="257">
        <f t="shared" si="317"/>
        <v>269600.34705270344</v>
      </c>
      <c r="Y1534" s="270">
        <f>IF(L1534="Complex",(INDEX('Escalators '!$M$176:$S$176,MATCH('Forecast capex'!J1534,'Escalators '!$M$178:$S$178,0))/12+1)^((K1534-J1534)*12)-1,0)</f>
        <v>0</v>
      </c>
      <c r="Z1534" s="257">
        <f t="shared" si="318"/>
        <v>0</v>
      </c>
      <c r="AA1534" s="257">
        <f t="shared" si="319"/>
        <v>0</v>
      </c>
      <c r="AB1534" s="269">
        <f t="shared" si="320"/>
        <v>0</v>
      </c>
      <c r="AC1534" s="269">
        <f t="shared" si="321"/>
        <v>0</v>
      </c>
      <c r="AD1534" s="271" t="str">
        <f>INDEX('Global inputs'!$C$134:$C$171,MATCH(F1534,'Global inputs'!$B$134:$B$171,0))</f>
        <v xml:space="preserve">System growth </v>
      </c>
      <c r="AE1534" s="272">
        <f>IF(OR(H1534='Operating leases'!$B$32,H1534='Operating leases'!$B$33),"",INDEX('Global inputs'!$C$186:$C$243,MATCH(E1534,'Global inputs'!$B$186:$B$243,0)))</f>
        <v>0.08</v>
      </c>
    </row>
    <row r="1535" spans="1:31" s="27" customFormat="1" x14ac:dyDescent="0.2">
      <c r="A1535" s="250"/>
      <c r="B1535" s="210" t="s">
        <v>746</v>
      </c>
      <c r="C1535" s="210" t="s">
        <v>288</v>
      </c>
      <c r="D1535" s="210" t="s">
        <v>223</v>
      </c>
      <c r="E1535" s="210" t="s">
        <v>156</v>
      </c>
      <c r="F1535" s="210" t="s">
        <v>86</v>
      </c>
      <c r="G1535" s="210" t="s">
        <v>727</v>
      </c>
      <c r="H1535" s="197">
        <v>0</v>
      </c>
      <c r="I1535" s="210" t="s">
        <v>221</v>
      </c>
      <c r="J1535" s="210">
        <v>2025</v>
      </c>
      <c r="K1535" s="210">
        <v>2025</v>
      </c>
      <c r="L1535" s="268" t="str">
        <f t="shared" si="309"/>
        <v>Simple</v>
      </c>
      <c r="M1535" s="197">
        <v>555130.10045786668</v>
      </c>
      <c r="N1535" s="197">
        <v>0</v>
      </c>
      <c r="O1535" s="257">
        <f>IF(ISNA(MATCH(H1535,'Operating leases'!$B$32:$B$43,0)),0,INDEX('Operating leases'!$M$32:$S$43,MATCH(H1535,'Operating leases'!$B$32:$B$43,0),MATCH(J1535,'Operating leases'!$M$11:$S$11,0)))</f>
        <v>0</v>
      </c>
      <c r="P1535" s="257">
        <f t="shared" si="310"/>
        <v>555130.10045786668</v>
      </c>
      <c r="Q1535" s="257">
        <f t="shared" si="311"/>
        <v>555130.10045786668</v>
      </c>
      <c r="R1535" s="258">
        <f>INDEX('Escalators '!$M$124:$S$129,MATCH(I1535,'Escalators '!$B$124:$B$129,0),MATCH(J1535,'Escalators '!$M$113:$S$113,0))</f>
        <v>1.0867931559758131</v>
      </c>
      <c r="S1535" s="257">
        <f t="shared" si="312"/>
        <v>0</v>
      </c>
      <c r="T1535" s="257">
        <f t="shared" si="313"/>
        <v>0</v>
      </c>
      <c r="U1535" s="269">
        <f t="shared" si="314"/>
        <v>603311.59385377506</v>
      </c>
      <c r="V1535" s="269">
        <f t="shared" si="315"/>
        <v>603311.59385377506</v>
      </c>
      <c r="W1535" s="269">
        <f t="shared" si="316"/>
        <v>603311.59385377506</v>
      </c>
      <c r="X1535" s="257">
        <f t="shared" si="317"/>
        <v>603311.59385377506</v>
      </c>
      <c r="Y1535" s="270">
        <f>IF(L1535="Complex",(INDEX('Escalators '!$M$176:$S$176,MATCH('Forecast capex'!J1535,'Escalators '!$M$178:$S$178,0))/12+1)^((K1535-J1535)*12)-1,0)</f>
        <v>0</v>
      </c>
      <c r="Z1535" s="257">
        <f t="shared" si="318"/>
        <v>0</v>
      </c>
      <c r="AA1535" s="257">
        <f t="shared" si="319"/>
        <v>0</v>
      </c>
      <c r="AB1535" s="269">
        <f t="shared" si="320"/>
        <v>0</v>
      </c>
      <c r="AC1535" s="269">
        <f t="shared" si="321"/>
        <v>0</v>
      </c>
      <c r="AD1535" s="271" t="str">
        <f>INDEX('Global inputs'!$C$134:$C$171,MATCH(F1535,'Global inputs'!$B$134:$B$171,0))</f>
        <v xml:space="preserve">System growth </v>
      </c>
      <c r="AE1535" s="272">
        <f>IF(OR(H1535='Operating leases'!$B$32,H1535='Operating leases'!$B$33),"",INDEX('Global inputs'!$C$186:$C$243,MATCH(E1535,'Global inputs'!$B$186:$B$243,0)))</f>
        <v>0.08</v>
      </c>
    </row>
    <row r="1536" spans="1:31" s="27" customFormat="1" x14ac:dyDescent="0.2">
      <c r="A1536" s="250"/>
      <c r="B1536" s="210" t="s">
        <v>746</v>
      </c>
      <c r="C1536" s="210" t="s">
        <v>288</v>
      </c>
      <c r="D1536" s="210" t="s">
        <v>223</v>
      </c>
      <c r="E1536" s="210" t="s">
        <v>158</v>
      </c>
      <c r="F1536" s="210" t="s">
        <v>86</v>
      </c>
      <c r="G1536" s="210" t="s">
        <v>728</v>
      </c>
      <c r="H1536" s="197">
        <v>0</v>
      </c>
      <c r="I1536" s="210" t="s">
        <v>223</v>
      </c>
      <c r="J1536" s="210">
        <v>2025</v>
      </c>
      <c r="K1536" s="210">
        <v>2025</v>
      </c>
      <c r="L1536" s="268" t="str">
        <f t="shared" si="309"/>
        <v>Simple</v>
      </c>
      <c r="M1536" s="197">
        <v>23497.570389750974</v>
      </c>
      <c r="N1536" s="197">
        <v>0</v>
      </c>
      <c r="O1536" s="257">
        <f>IF(ISNA(MATCH(H1536,'Operating leases'!$B$32:$B$43,0)),0,INDEX('Operating leases'!$M$32:$S$43,MATCH(H1536,'Operating leases'!$B$32:$B$43,0),MATCH(J1536,'Operating leases'!$M$11:$S$11,0)))</f>
        <v>0</v>
      </c>
      <c r="P1536" s="257">
        <f t="shared" si="310"/>
        <v>23497.570389750974</v>
      </c>
      <c r="Q1536" s="257">
        <f t="shared" si="311"/>
        <v>23497.570389750974</v>
      </c>
      <c r="R1536" s="258">
        <f>INDEX('Escalators '!$M$124:$S$129,MATCH(I1536,'Escalators '!$B$124:$B$129,0),MATCH(J1536,'Escalators '!$M$113:$S$113,0))</f>
        <v>1.1331892756985407</v>
      </c>
      <c r="S1536" s="257">
        <f t="shared" si="312"/>
        <v>0</v>
      </c>
      <c r="T1536" s="257">
        <f t="shared" si="313"/>
        <v>0</v>
      </c>
      <c r="U1536" s="269">
        <f t="shared" si="314"/>
        <v>26627.194770637383</v>
      </c>
      <c r="V1536" s="269">
        <f t="shared" si="315"/>
        <v>26627.194770637383</v>
      </c>
      <c r="W1536" s="269">
        <f t="shared" si="316"/>
        <v>26627.194770637383</v>
      </c>
      <c r="X1536" s="257">
        <f t="shared" si="317"/>
        <v>26627.194770637383</v>
      </c>
      <c r="Y1536" s="270">
        <f>IF(L1536="Complex",(INDEX('Escalators '!$M$176:$S$176,MATCH('Forecast capex'!J1536,'Escalators '!$M$178:$S$178,0))/12+1)^((K1536-J1536)*12)-1,0)</f>
        <v>0</v>
      </c>
      <c r="Z1536" s="257">
        <f t="shared" si="318"/>
        <v>0</v>
      </c>
      <c r="AA1536" s="257">
        <f t="shared" si="319"/>
        <v>0</v>
      </c>
      <c r="AB1536" s="269">
        <f t="shared" si="320"/>
        <v>0</v>
      </c>
      <c r="AC1536" s="269">
        <f t="shared" si="321"/>
        <v>0</v>
      </c>
      <c r="AD1536" s="271" t="str">
        <f>INDEX('Global inputs'!$C$134:$C$171,MATCH(F1536,'Global inputs'!$B$134:$B$171,0))</f>
        <v xml:space="preserve">System growth </v>
      </c>
      <c r="AE1536" s="272">
        <f>IF(OR(H1536='Operating leases'!$B$32,H1536='Operating leases'!$B$33),"",INDEX('Global inputs'!$C$186:$C$243,MATCH(E1536,'Global inputs'!$B$186:$B$243,0)))</f>
        <v>0.08</v>
      </c>
    </row>
    <row r="1537" spans="1:31" s="27" customFormat="1" x14ac:dyDescent="0.2">
      <c r="A1537" s="250"/>
      <c r="B1537" s="210" t="s">
        <v>746</v>
      </c>
      <c r="C1537" s="210" t="s">
        <v>288</v>
      </c>
      <c r="D1537" s="210" t="s">
        <v>223</v>
      </c>
      <c r="E1537" s="210" t="s">
        <v>158</v>
      </c>
      <c r="F1537" s="210" t="s">
        <v>86</v>
      </c>
      <c r="G1537" s="210" t="s">
        <v>728</v>
      </c>
      <c r="H1537" s="197">
        <v>0</v>
      </c>
      <c r="I1537" s="210" t="s">
        <v>221</v>
      </c>
      <c r="J1537" s="210">
        <v>2025</v>
      </c>
      <c r="K1537" s="210">
        <v>2025</v>
      </c>
      <c r="L1537" s="268" t="str">
        <f t="shared" si="309"/>
        <v>Simple</v>
      </c>
      <c r="M1537" s="197">
        <v>35246.355584626457</v>
      </c>
      <c r="N1537" s="197">
        <v>0</v>
      </c>
      <c r="O1537" s="257">
        <f>IF(ISNA(MATCH(H1537,'Operating leases'!$B$32:$B$43,0)),0,INDEX('Operating leases'!$M$32:$S$43,MATCH(H1537,'Operating leases'!$B$32:$B$43,0),MATCH(J1537,'Operating leases'!$M$11:$S$11,0)))</f>
        <v>0</v>
      </c>
      <c r="P1537" s="257">
        <f t="shared" si="310"/>
        <v>35246.355584626457</v>
      </c>
      <c r="Q1537" s="257">
        <f t="shared" si="311"/>
        <v>35246.355584626457</v>
      </c>
      <c r="R1537" s="258">
        <f>INDEX('Escalators '!$M$124:$S$129,MATCH(I1537,'Escalators '!$B$124:$B$129,0),MATCH(J1537,'Escalators '!$M$113:$S$113,0))</f>
        <v>1.0867931559758131</v>
      </c>
      <c r="S1537" s="257">
        <f t="shared" si="312"/>
        <v>0</v>
      </c>
      <c r="T1537" s="257">
        <f t="shared" si="313"/>
        <v>0</v>
      </c>
      <c r="U1537" s="269">
        <f t="shared" si="314"/>
        <v>38305.498022461914</v>
      </c>
      <c r="V1537" s="269">
        <f t="shared" si="315"/>
        <v>38305.498022461914</v>
      </c>
      <c r="W1537" s="269">
        <f t="shared" si="316"/>
        <v>38305.498022461914</v>
      </c>
      <c r="X1537" s="257">
        <f t="shared" si="317"/>
        <v>38305.498022461914</v>
      </c>
      <c r="Y1537" s="270">
        <f>IF(L1537="Complex",(INDEX('Escalators '!$M$176:$S$176,MATCH('Forecast capex'!J1537,'Escalators '!$M$178:$S$178,0))/12+1)^((K1537-J1537)*12)-1,0)</f>
        <v>0</v>
      </c>
      <c r="Z1537" s="257">
        <f t="shared" si="318"/>
        <v>0</v>
      </c>
      <c r="AA1537" s="257">
        <f t="shared" si="319"/>
        <v>0</v>
      </c>
      <c r="AB1537" s="269">
        <f t="shared" si="320"/>
        <v>0</v>
      </c>
      <c r="AC1537" s="269">
        <f t="shared" si="321"/>
        <v>0</v>
      </c>
      <c r="AD1537" s="271" t="str">
        <f>INDEX('Global inputs'!$C$134:$C$171,MATCH(F1537,'Global inputs'!$B$134:$B$171,0))</f>
        <v xml:space="preserve">System growth </v>
      </c>
      <c r="AE1537" s="272">
        <f>IF(OR(H1537='Operating leases'!$B$32,H1537='Operating leases'!$B$33),"",INDEX('Global inputs'!$C$186:$C$243,MATCH(E1537,'Global inputs'!$B$186:$B$243,0)))</f>
        <v>0.08</v>
      </c>
    </row>
    <row r="1538" spans="1:31" s="27" customFormat="1" x14ac:dyDescent="0.2">
      <c r="A1538" s="250"/>
      <c r="B1538" s="210" t="s">
        <v>746</v>
      </c>
      <c r="C1538" s="210" t="s">
        <v>287</v>
      </c>
      <c r="D1538" s="210" t="s">
        <v>729</v>
      </c>
      <c r="E1538" s="210" t="s">
        <v>150</v>
      </c>
      <c r="F1538" s="210" t="s">
        <v>86</v>
      </c>
      <c r="G1538" s="210" t="s">
        <v>731</v>
      </c>
      <c r="H1538" s="197">
        <v>0</v>
      </c>
      <c r="I1538" s="210" t="s">
        <v>225</v>
      </c>
      <c r="J1538" s="210">
        <v>2025</v>
      </c>
      <c r="K1538" s="210">
        <v>2025</v>
      </c>
      <c r="L1538" s="268" t="str">
        <f t="shared" si="309"/>
        <v>Simple</v>
      </c>
      <c r="M1538" s="197">
        <v>46995.140779501948</v>
      </c>
      <c r="N1538" s="197">
        <v>0</v>
      </c>
      <c r="O1538" s="257">
        <f>IF(ISNA(MATCH(H1538,'Operating leases'!$B$32:$B$43,0)),0,INDEX('Operating leases'!$M$32:$S$43,MATCH(H1538,'Operating leases'!$B$32:$B$43,0),MATCH(J1538,'Operating leases'!$M$11:$S$11,0)))</f>
        <v>0</v>
      </c>
      <c r="P1538" s="257">
        <f t="shared" si="310"/>
        <v>46995.140779501948</v>
      </c>
      <c r="Q1538" s="257">
        <f t="shared" si="311"/>
        <v>46995.140779501948</v>
      </c>
      <c r="R1538" s="258">
        <f>INDEX('Escalators '!$M$124:$S$129,MATCH(I1538,'Escalators '!$B$124:$B$129,0),MATCH(J1538,'Escalators '!$M$113:$S$113,0))</f>
        <v>1.1332991699624038</v>
      </c>
      <c r="S1538" s="257">
        <f t="shared" si="312"/>
        <v>0</v>
      </c>
      <c r="T1538" s="257">
        <f t="shared" si="313"/>
        <v>0</v>
      </c>
      <c r="U1538" s="269">
        <f t="shared" si="314"/>
        <v>53259.554037675873</v>
      </c>
      <c r="V1538" s="269">
        <f t="shared" si="315"/>
        <v>53259.554037675873</v>
      </c>
      <c r="W1538" s="269">
        <f t="shared" si="316"/>
        <v>53259.554037675873</v>
      </c>
      <c r="X1538" s="257">
        <f t="shared" si="317"/>
        <v>53259.554037675873</v>
      </c>
      <c r="Y1538" s="270">
        <f>IF(L1538="Complex",(INDEX('Escalators '!$M$176:$S$176,MATCH('Forecast capex'!J1538,'Escalators '!$M$178:$S$178,0))/12+1)^((K1538-J1538)*12)-1,0)</f>
        <v>0</v>
      </c>
      <c r="Z1538" s="257">
        <f t="shared" si="318"/>
        <v>0</v>
      </c>
      <c r="AA1538" s="257">
        <f t="shared" si="319"/>
        <v>0</v>
      </c>
      <c r="AB1538" s="269">
        <f t="shared" si="320"/>
        <v>0</v>
      </c>
      <c r="AC1538" s="269">
        <f t="shared" si="321"/>
        <v>0</v>
      </c>
      <c r="AD1538" s="271" t="str">
        <f>INDEX('Global inputs'!$C$134:$C$171,MATCH(F1538,'Global inputs'!$B$134:$B$171,0))</f>
        <v xml:space="preserve">System growth </v>
      </c>
      <c r="AE1538" s="272">
        <f>IF(OR(H1538='Operating leases'!$B$32,H1538='Operating leases'!$B$33),"",INDEX('Global inputs'!$C$186:$C$243,MATCH(E1538,'Global inputs'!$B$186:$B$243,0)))</f>
        <v>0.08</v>
      </c>
    </row>
    <row r="1539" spans="1:31" s="27" customFormat="1" x14ac:dyDescent="0.2">
      <c r="A1539" s="250"/>
      <c r="B1539" s="210" t="s">
        <v>746</v>
      </c>
      <c r="C1539" s="210" t="s">
        <v>287</v>
      </c>
      <c r="D1539" s="210" t="s">
        <v>729</v>
      </c>
      <c r="E1539" s="210" t="s">
        <v>150</v>
      </c>
      <c r="F1539" s="210" t="s">
        <v>86</v>
      </c>
      <c r="G1539" s="210" t="s">
        <v>731</v>
      </c>
      <c r="H1539" s="197">
        <v>0</v>
      </c>
      <c r="I1539" s="210" t="s">
        <v>221</v>
      </c>
      <c r="J1539" s="210">
        <v>2025</v>
      </c>
      <c r="K1539" s="210">
        <v>2025</v>
      </c>
      <c r="L1539" s="268" t="str">
        <f t="shared" si="309"/>
        <v>Simple</v>
      </c>
      <c r="M1539" s="197">
        <v>187980.56311800779</v>
      </c>
      <c r="N1539" s="197">
        <v>0</v>
      </c>
      <c r="O1539" s="257">
        <f>IF(ISNA(MATCH(H1539,'Operating leases'!$B$32:$B$43,0)),0,INDEX('Operating leases'!$M$32:$S$43,MATCH(H1539,'Operating leases'!$B$32:$B$43,0),MATCH(J1539,'Operating leases'!$M$11:$S$11,0)))</f>
        <v>0</v>
      </c>
      <c r="P1539" s="257">
        <f t="shared" si="310"/>
        <v>187980.56311800779</v>
      </c>
      <c r="Q1539" s="257">
        <f t="shared" si="311"/>
        <v>187980.56311800779</v>
      </c>
      <c r="R1539" s="258">
        <f>INDEX('Escalators '!$M$124:$S$129,MATCH(I1539,'Escalators '!$B$124:$B$129,0),MATCH(J1539,'Escalators '!$M$113:$S$113,0))</f>
        <v>1.0867931559758131</v>
      </c>
      <c r="S1539" s="257">
        <f t="shared" si="312"/>
        <v>0</v>
      </c>
      <c r="T1539" s="257">
        <f t="shared" si="313"/>
        <v>0</v>
      </c>
      <c r="U1539" s="269">
        <f t="shared" si="314"/>
        <v>204295.9894531302</v>
      </c>
      <c r="V1539" s="269">
        <f t="shared" si="315"/>
        <v>204295.9894531302</v>
      </c>
      <c r="W1539" s="269">
        <f t="shared" si="316"/>
        <v>204295.9894531302</v>
      </c>
      <c r="X1539" s="257">
        <f t="shared" si="317"/>
        <v>204295.9894531302</v>
      </c>
      <c r="Y1539" s="270">
        <f>IF(L1539="Complex",(INDEX('Escalators '!$M$176:$S$176,MATCH('Forecast capex'!J1539,'Escalators '!$M$178:$S$178,0))/12+1)^((K1539-J1539)*12)-1,0)</f>
        <v>0</v>
      </c>
      <c r="Z1539" s="257">
        <f t="shared" si="318"/>
        <v>0</v>
      </c>
      <c r="AA1539" s="257">
        <f t="shared" si="319"/>
        <v>0</v>
      </c>
      <c r="AB1539" s="269">
        <f t="shared" si="320"/>
        <v>0</v>
      </c>
      <c r="AC1539" s="269">
        <f t="shared" si="321"/>
        <v>0</v>
      </c>
      <c r="AD1539" s="271" t="str">
        <f>INDEX('Global inputs'!$C$134:$C$171,MATCH(F1539,'Global inputs'!$B$134:$B$171,0))</f>
        <v xml:space="preserve">System growth </v>
      </c>
      <c r="AE1539" s="272">
        <f>IF(OR(H1539='Operating leases'!$B$32,H1539='Operating leases'!$B$33),"",INDEX('Global inputs'!$C$186:$C$243,MATCH(E1539,'Global inputs'!$B$186:$B$243,0)))</f>
        <v>0.08</v>
      </c>
    </row>
    <row r="1540" spans="1:31" s="27" customFormat="1" x14ac:dyDescent="0.2">
      <c r="A1540" s="250"/>
      <c r="B1540" s="210" t="s">
        <v>746</v>
      </c>
      <c r="C1540" s="210" t="s">
        <v>287</v>
      </c>
      <c r="D1540" s="210" t="s">
        <v>729</v>
      </c>
      <c r="E1540" s="210" t="s">
        <v>151</v>
      </c>
      <c r="F1540" s="210" t="s">
        <v>86</v>
      </c>
      <c r="G1540" s="210" t="s">
        <v>731</v>
      </c>
      <c r="H1540" s="197">
        <v>0</v>
      </c>
      <c r="I1540" s="210" t="s">
        <v>225</v>
      </c>
      <c r="J1540" s="210">
        <v>2025</v>
      </c>
      <c r="K1540" s="210">
        <v>2025</v>
      </c>
      <c r="L1540" s="268" t="str">
        <f t="shared" si="309"/>
        <v>Simple</v>
      </c>
      <c r="M1540" s="197">
        <v>46995.140779501948</v>
      </c>
      <c r="N1540" s="197">
        <v>0</v>
      </c>
      <c r="O1540" s="257">
        <f>IF(ISNA(MATCH(H1540,'Operating leases'!$B$32:$B$43,0)),0,INDEX('Operating leases'!$M$32:$S$43,MATCH(H1540,'Operating leases'!$B$32:$B$43,0),MATCH(J1540,'Operating leases'!$M$11:$S$11,0)))</f>
        <v>0</v>
      </c>
      <c r="P1540" s="257">
        <f t="shared" si="310"/>
        <v>46995.140779501948</v>
      </c>
      <c r="Q1540" s="257">
        <f t="shared" si="311"/>
        <v>46995.140779501948</v>
      </c>
      <c r="R1540" s="258">
        <f>INDEX('Escalators '!$M$124:$S$129,MATCH(I1540,'Escalators '!$B$124:$B$129,0),MATCH(J1540,'Escalators '!$M$113:$S$113,0))</f>
        <v>1.1332991699624038</v>
      </c>
      <c r="S1540" s="257">
        <f t="shared" si="312"/>
        <v>0</v>
      </c>
      <c r="T1540" s="257">
        <f t="shared" si="313"/>
        <v>0</v>
      </c>
      <c r="U1540" s="269">
        <f t="shared" si="314"/>
        <v>53259.554037675873</v>
      </c>
      <c r="V1540" s="269">
        <f t="shared" si="315"/>
        <v>53259.554037675873</v>
      </c>
      <c r="W1540" s="269">
        <f t="shared" si="316"/>
        <v>53259.554037675873</v>
      </c>
      <c r="X1540" s="257">
        <f t="shared" si="317"/>
        <v>53259.554037675873</v>
      </c>
      <c r="Y1540" s="270">
        <f>IF(L1540="Complex",(INDEX('Escalators '!$M$176:$S$176,MATCH('Forecast capex'!J1540,'Escalators '!$M$178:$S$178,0))/12+1)^((K1540-J1540)*12)-1,0)</f>
        <v>0</v>
      </c>
      <c r="Z1540" s="257">
        <f t="shared" si="318"/>
        <v>0</v>
      </c>
      <c r="AA1540" s="257">
        <f t="shared" si="319"/>
        <v>0</v>
      </c>
      <c r="AB1540" s="269">
        <f t="shared" si="320"/>
        <v>0</v>
      </c>
      <c r="AC1540" s="269">
        <f t="shared" si="321"/>
        <v>0</v>
      </c>
      <c r="AD1540" s="271" t="str">
        <f>INDEX('Global inputs'!$C$134:$C$171,MATCH(F1540,'Global inputs'!$B$134:$B$171,0))</f>
        <v xml:space="preserve">System growth </v>
      </c>
      <c r="AE1540" s="272">
        <f>IF(OR(H1540='Operating leases'!$B$32,H1540='Operating leases'!$B$33),"",INDEX('Global inputs'!$C$186:$C$243,MATCH(E1540,'Global inputs'!$B$186:$B$243,0)))</f>
        <v>0.1</v>
      </c>
    </row>
    <row r="1541" spans="1:31" s="27" customFormat="1" x14ac:dyDescent="0.2">
      <c r="A1541" s="250"/>
      <c r="B1541" s="210" t="s">
        <v>746</v>
      </c>
      <c r="C1541" s="210" t="s">
        <v>287</v>
      </c>
      <c r="D1541" s="210" t="s">
        <v>729</v>
      </c>
      <c r="E1541" s="210" t="s">
        <v>151</v>
      </c>
      <c r="F1541" s="210" t="s">
        <v>86</v>
      </c>
      <c r="G1541" s="210" t="s">
        <v>731</v>
      </c>
      <c r="H1541" s="197">
        <v>0</v>
      </c>
      <c r="I1541" s="210" t="s">
        <v>221</v>
      </c>
      <c r="J1541" s="210">
        <v>2025</v>
      </c>
      <c r="K1541" s="210">
        <v>2025</v>
      </c>
      <c r="L1541" s="268" t="str">
        <f t="shared" si="309"/>
        <v>Simple</v>
      </c>
      <c r="M1541" s="197">
        <v>187980.56311800779</v>
      </c>
      <c r="N1541" s="197">
        <v>0</v>
      </c>
      <c r="O1541" s="257">
        <f>IF(ISNA(MATCH(H1541,'Operating leases'!$B$32:$B$43,0)),0,INDEX('Operating leases'!$M$32:$S$43,MATCH(H1541,'Operating leases'!$B$32:$B$43,0),MATCH(J1541,'Operating leases'!$M$11:$S$11,0)))</f>
        <v>0</v>
      </c>
      <c r="P1541" s="257">
        <f t="shared" si="310"/>
        <v>187980.56311800779</v>
      </c>
      <c r="Q1541" s="257">
        <f t="shared" si="311"/>
        <v>187980.56311800779</v>
      </c>
      <c r="R1541" s="258">
        <f>INDEX('Escalators '!$M$124:$S$129,MATCH(I1541,'Escalators '!$B$124:$B$129,0),MATCH(J1541,'Escalators '!$M$113:$S$113,0))</f>
        <v>1.0867931559758131</v>
      </c>
      <c r="S1541" s="257">
        <f t="shared" si="312"/>
        <v>0</v>
      </c>
      <c r="T1541" s="257">
        <f t="shared" si="313"/>
        <v>0</v>
      </c>
      <c r="U1541" s="269">
        <f t="shared" si="314"/>
        <v>204295.9894531302</v>
      </c>
      <c r="V1541" s="269">
        <f t="shared" si="315"/>
        <v>204295.9894531302</v>
      </c>
      <c r="W1541" s="269">
        <f t="shared" si="316"/>
        <v>204295.9894531302</v>
      </c>
      <c r="X1541" s="257">
        <f t="shared" si="317"/>
        <v>204295.9894531302</v>
      </c>
      <c r="Y1541" s="270">
        <f>IF(L1541="Complex",(INDEX('Escalators '!$M$176:$S$176,MATCH('Forecast capex'!J1541,'Escalators '!$M$178:$S$178,0))/12+1)^((K1541-J1541)*12)-1,0)</f>
        <v>0</v>
      </c>
      <c r="Z1541" s="257">
        <f t="shared" si="318"/>
        <v>0</v>
      </c>
      <c r="AA1541" s="257">
        <f t="shared" si="319"/>
        <v>0</v>
      </c>
      <c r="AB1541" s="269">
        <f t="shared" si="320"/>
        <v>0</v>
      </c>
      <c r="AC1541" s="269">
        <f t="shared" si="321"/>
        <v>0</v>
      </c>
      <c r="AD1541" s="271" t="str">
        <f>INDEX('Global inputs'!$C$134:$C$171,MATCH(F1541,'Global inputs'!$B$134:$B$171,0))</f>
        <v xml:space="preserve">System growth </v>
      </c>
      <c r="AE1541" s="272">
        <f>IF(OR(H1541='Operating leases'!$B$32,H1541='Operating leases'!$B$33),"",INDEX('Global inputs'!$C$186:$C$243,MATCH(E1541,'Global inputs'!$B$186:$B$243,0)))</f>
        <v>0.1</v>
      </c>
    </row>
    <row r="1542" spans="1:31" s="27" customFormat="1" x14ac:dyDescent="0.2">
      <c r="A1542" s="250"/>
      <c r="B1542" s="210" t="s">
        <v>746</v>
      </c>
      <c r="C1542" s="210" t="s">
        <v>287</v>
      </c>
      <c r="D1542" s="210" t="s">
        <v>729</v>
      </c>
      <c r="E1542" s="210" t="s">
        <v>153</v>
      </c>
      <c r="F1542" s="210" t="s">
        <v>86</v>
      </c>
      <c r="G1542" s="210" t="s">
        <v>737</v>
      </c>
      <c r="H1542" s="197">
        <v>0</v>
      </c>
      <c r="I1542" s="210" t="s">
        <v>225</v>
      </c>
      <c r="J1542" s="210">
        <v>2025</v>
      </c>
      <c r="K1542" s="210">
        <v>2025</v>
      </c>
      <c r="L1542" s="268" t="str">
        <f t="shared" si="309"/>
        <v>Simple</v>
      </c>
      <c r="M1542" s="197">
        <v>8811.5888961566143</v>
      </c>
      <c r="N1542" s="197">
        <v>0</v>
      </c>
      <c r="O1542" s="257">
        <f>IF(ISNA(MATCH(H1542,'Operating leases'!$B$32:$B$43,0)),0,INDEX('Operating leases'!$M$32:$S$43,MATCH(H1542,'Operating leases'!$B$32:$B$43,0),MATCH(J1542,'Operating leases'!$M$11:$S$11,0)))</f>
        <v>0</v>
      </c>
      <c r="P1542" s="257">
        <f t="shared" si="310"/>
        <v>8811.5888961566143</v>
      </c>
      <c r="Q1542" s="257">
        <f t="shared" si="311"/>
        <v>8811.5888961566143</v>
      </c>
      <c r="R1542" s="258">
        <f>INDEX('Escalators '!$M$124:$S$129,MATCH(I1542,'Escalators '!$B$124:$B$129,0),MATCH(J1542,'Escalators '!$M$113:$S$113,0))</f>
        <v>1.1332991699624038</v>
      </c>
      <c r="S1542" s="257">
        <f t="shared" si="312"/>
        <v>0</v>
      </c>
      <c r="T1542" s="257">
        <f t="shared" si="313"/>
        <v>0</v>
      </c>
      <c r="U1542" s="269">
        <f t="shared" si="314"/>
        <v>9986.1663820642243</v>
      </c>
      <c r="V1542" s="269">
        <f t="shared" si="315"/>
        <v>9986.1663820642243</v>
      </c>
      <c r="W1542" s="269">
        <f t="shared" si="316"/>
        <v>9986.1663820642243</v>
      </c>
      <c r="X1542" s="257">
        <f t="shared" si="317"/>
        <v>9986.1663820642243</v>
      </c>
      <c r="Y1542" s="270">
        <f>IF(L1542="Complex",(INDEX('Escalators '!$M$176:$S$176,MATCH('Forecast capex'!J1542,'Escalators '!$M$178:$S$178,0))/12+1)^((K1542-J1542)*12)-1,0)</f>
        <v>0</v>
      </c>
      <c r="Z1542" s="257">
        <f t="shared" si="318"/>
        <v>0</v>
      </c>
      <c r="AA1542" s="257">
        <f t="shared" si="319"/>
        <v>0</v>
      </c>
      <c r="AB1542" s="269">
        <f t="shared" si="320"/>
        <v>0</v>
      </c>
      <c r="AC1542" s="269">
        <f t="shared" si="321"/>
        <v>0</v>
      </c>
      <c r="AD1542" s="271" t="str">
        <f>INDEX('Global inputs'!$C$134:$C$171,MATCH(F1542,'Global inputs'!$B$134:$B$171,0))</f>
        <v xml:space="preserve">System growth </v>
      </c>
      <c r="AE1542" s="272">
        <f>IF(OR(H1542='Operating leases'!$B$32,H1542='Operating leases'!$B$33),"",INDEX('Global inputs'!$C$186:$C$243,MATCH(E1542,'Global inputs'!$B$186:$B$243,0)))</f>
        <v>0.08</v>
      </c>
    </row>
    <row r="1543" spans="1:31" s="27" customFormat="1" x14ac:dyDescent="0.2">
      <c r="A1543" s="250"/>
      <c r="B1543" s="210" t="s">
        <v>746</v>
      </c>
      <c r="C1543" s="210" t="s">
        <v>287</v>
      </c>
      <c r="D1543" s="210" t="s">
        <v>729</v>
      </c>
      <c r="E1543" s="210" t="s">
        <v>153</v>
      </c>
      <c r="F1543" s="210" t="s">
        <v>86</v>
      </c>
      <c r="G1543" s="210" t="s">
        <v>737</v>
      </c>
      <c r="H1543" s="197">
        <v>0</v>
      </c>
      <c r="I1543" s="210" t="s">
        <v>221</v>
      </c>
      <c r="J1543" s="210">
        <v>2025</v>
      </c>
      <c r="K1543" s="210">
        <v>2025</v>
      </c>
      <c r="L1543" s="268" t="str">
        <f t="shared" si="309"/>
        <v>Simple</v>
      </c>
      <c r="M1543" s="197">
        <v>35246.355584626457</v>
      </c>
      <c r="N1543" s="197">
        <v>0</v>
      </c>
      <c r="O1543" s="257">
        <f>IF(ISNA(MATCH(H1543,'Operating leases'!$B$32:$B$43,0)),0,INDEX('Operating leases'!$M$32:$S$43,MATCH(H1543,'Operating leases'!$B$32:$B$43,0),MATCH(J1543,'Operating leases'!$M$11:$S$11,0)))</f>
        <v>0</v>
      </c>
      <c r="P1543" s="257">
        <f t="shared" si="310"/>
        <v>35246.355584626457</v>
      </c>
      <c r="Q1543" s="257">
        <f t="shared" si="311"/>
        <v>35246.355584626457</v>
      </c>
      <c r="R1543" s="258">
        <f>INDEX('Escalators '!$M$124:$S$129,MATCH(I1543,'Escalators '!$B$124:$B$129,0),MATCH(J1543,'Escalators '!$M$113:$S$113,0))</f>
        <v>1.0867931559758131</v>
      </c>
      <c r="S1543" s="257">
        <f t="shared" si="312"/>
        <v>0</v>
      </c>
      <c r="T1543" s="257">
        <f t="shared" si="313"/>
        <v>0</v>
      </c>
      <c r="U1543" s="269">
        <f t="shared" si="314"/>
        <v>38305.498022461914</v>
      </c>
      <c r="V1543" s="269">
        <f t="shared" si="315"/>
        <v>38305.498022461914</v>
      </c>
      <c r="W1543" s="269">
        <f t="shared" si="316"/>
        <v>38305.498022461914</v>
      </c>
      <c r="X1543" s="257">
        <f t="shared" si="317"/>
        <v>38305.498022461914</v>
      </c>
      <c r="Y1543" s="270">
        <f>IF(L1543="Complex",(INDEX('Escalators '!$M$176:$S$176,MATCH('Forecast capex'!J1543,'Escalators '!$M$178:$S$178,0))/12+1)^((K1543-J1543)*12)-1,0)</f>
        <v>0</v>
      </c>
      <c r="Z1543" s="257">
        <f t="shared" si="318"/>
        <v>0</v>
      </c>
      <c r="AA1543" s="257">
        <f t="shared" si="319"/>
        <v>0</v>
      </c>
      <c r="AB1543" s="269">
        <f t="shared" si="320"/>
        <v>0</v>
      </c>
      <c r="AC1543" s="269">
        <f t="shared" si="321"/>
        <v>0</v>
      </c>
      <c r="AD1543" s="271" t="str">
        <f>INDEX('Global inputs'!$C$134:$C$171,MATCH(F1543,'Global inputs'!$B$134:$B$171,0))</f>
        <v xml:space="preserve">System growth </v>
      </c>
      <c r="AE1543" s="272">
        <f>IF(OR(H1543='Operating leases'!$B$32,H1543='Operating leases'!$B$33),"",INDEX('Global inputs'!$C$186:$C$243,MATCH(E1543,'Global inputs'!$B$186:$B$243,0)))</f>
        <v>0.08</v>
      </c>
    </row>
    <row r="1544" spans="1:31" s="27" customFormat="1" x14ac:dyDescent="0.2">
      <c r="A1544" s="250"/>
      <c r="B1544" s="210" t="s">
        <v>746</v>
      </c>
      <c r="C1544" s="210" t="s">
        <v>287</v>
      </c>
      <c r="D1544" s="210" t="s">
        <v>729</v>
      </c>
      <c r="E1544" s="210" t="s">
        <v>154</v>
      </c>
      <c r="F1544" s="210" t="s">
        <v>86</v>
      </c>
      <c r="G1544" s="210" t="s">
        <v>737</v>
      </c>
      <c r="H1544" s="197">
        <v>0</v>
      </c>
      <c r="I1544" s="210" t="s">
        <v>225</v>
      </c>
      <c r="J1544" s="210">
        <v>2025</v>
      </c>
      <c r="K1544" s="210">
        <v>2025</v>
      </c>
      <c r="L1544" s="268" t="str">
        <f t="shared" si="309"/>
        <v>Simple</v>
      </c>
      <c r="M1544" s="197">
        <v>8811.5888961566143</v>
      </c>
      <c r="N1544" s="197">
        <v>0</v>
      </c>
      <c r="O1544" s="257">
        <f>IF(ISNA(MATCH(H1544,'Operating leases'!$B$32:$B$43,0)),0,INDEX('Operating leases'!$M$32:$S$43,MATCH(H1544,'Operating leases'!$B$32:$B$43,0),MATCH(J1544,'Operating leases'!$M$11:$S$11,0)))</f>
        <v>0</v>
      </c>
      <c r="P1544" s="257">
        <f t="shared" si="310"/>
        <v>8811.5888961566143</v>
      </c>
      <c r="Q1544" s="257">
        <f t="shared" si="311"/>
        <v>8811.5888961566143</v>
      </c>
      <c r="R1544" s="258">
        <f>INDEX('Escalators '!$M$124:$S$129,MATCH(I1544,'Escalators '!$B$124:$B$129,0),MATCH(J1544,'Escalators '!$M$113:$S$113,0))</f>
        <v>1.1332991699624038</v>
      </c>
      <c r="S1544" s="257">
        <f t="shared" si="312"/>
        <v>0</v>
      </c>
      <c r="T1544" s="257">
        <f t="shared" si="313"/>
        <v>0</v>
      </c>
      <c r="U1544" s="269">
        <f t="shared" si="314"/>
        <v>9986.1663820642243</v>
      </c>
      <c r="V1544" s="269">
        <f t="shared" si="315"/>
        <v>9986.1663820642243</v>
      </c>
      <c r="W1544" s="269">
        <f t="shared" si="316"/>
        <v>9986.1663820642243</v>
      </c>
      <c r="X1544" s="257">
        <f t="shared" si="317"/>
        <v>9986.1663820642243</v>
      </c>
      <c r="Y1544" s="270">
        <f>IF(L1544="Complex",(INDEX('Escalators '!$M$176:$S$176,MATCH('Forecast capex'!J1544,'Escalators '!$M$178:$S$178,0))/12+1)^((K1544-J1544)*12)-1,0)</f>
        <v>0</v>
      </c>
      <c r="Z1544" s="257">
        <f t="shared" si="318"/>
        <v>0</v>
      </c>
      <c r="AA1544" s="257">
        <f t="shared" si="319"/>
        <v>0</v>
      </c>
      <c r="AB1544" s="269">
        <f t="shared" si="320"/>
        <v>0</v>
      </c>
      <c r="AC1544" s="269">
        <f t="shared" si="321"/>
        <v>0</v>
      </c>
      <c r="AD1544" s="271" t="str">
        <f>INDEX('Global inputs'!$C$134:$C$171,MATCH(F1544,'Global inputs'!$B$134:$B$171,0))</f>
        <v xml:space="preserve">System growth </v>
      </c>
      <c r="AE1544" s="272">
        <f>IF(OR(H1544='Operating leases'!$B$32,H1544='Operating leases'!$B$33),"",INDEX('Global inputs'!$C$186:$C$243,MATCH(E1544,'Global inputs'!$B$186:$B$243,0)))</f>
        <v>0.1</v>
      </c>
    </row>
    <row r="1545" spans="1:31" s="27" customFormat="1" x14ac:dyDescent="0.2">
      <c r="A1545" s="250"/>
      <c r="B1545" s="210" t="s">
        <v>746</v>
      </c>
      <c r="C1545" s="210" t="s">
        <v>287</v>
      </c>
      <c r="D1545" s="210" t="s">
        <v>729</v>
      </c>
      <c r="E1545" s="210" t="s">
        <v>154</v>
      </c>
      <c r="F1545" s="210" t="s">
        <v>86</v>
      </c>
      <c r="G1545" s="210" t="s">
        <v>737</v>
      </c>
      <c r="H1545" s="197">
        <v>0</v>
      </c>
      <c r="I1545" s="210" t="s">
        <v>221</v>
      </c>
      <c r="J1545" s="210">
        <v>2025</v>
      </c>
      <c r="K1545" s="210">
        <v>2025</v>
      </c>
      <c r="L1545" s="268" t="str">
        <f t="shared" si="309"/>
        <v>Simple</v>
      </c>
      <c r="M1545" s="197">
        <v>35246.355584626457</v>
      </c>
      <c r="N1545" s="197">
        <v>0</v>
      </c>
      <c r="O1545" s="257">
        <f>IF(ISNA(MATCH(H1545,'Operating leases'!$B$32:$B$43,0)),0,INDEX('Operating leases'!$M$32:$S$43,MATCH(H1545,'Operating leases'!$B$32:$B$43,0),MATCH(J1545,'Operating leases'!$M$11:$S$11,0)))</f>
        <v>0</v>
      </c>
      <c r="P1545" s="257">
        <f t="shared" si="310"/>
        <v>35246.355584626457</v>
      </c>
      <c r="Q1545" s="257">
        <f t="shared" si="311"/>
        <v>35246.355584626457</v>
      </c>
      <c r="R1545" s="258">
        <f>INDEX('Escalators '!$M$124:$S$129,MATCH(I1545,'Escalators '!$B$124:$B$129,0),MATCH(J1545,'Escalators '!$M$113:$S$113,0))</f>
        <v>1.0867931559758131</v>
      </c>
      <c r="S1545" s="257">
        <f t="shared" si="312"/>
        <v>0</v>
      </c>
      <c r="T1545" s="257">
        <f t="shared" si="313"/>
        <v>0</v>
      </c>
      <c r="U1545" s="269">
        <f t="shared" si="314"/>
        <v>38305.498022461914</v>
      </c>
      <c r="V1545" s="269">
        <f t="shared" si="315"/>
        <v>38305.498022461914</v>
      </c>
      <c r="W1545" s="269">
        <f t="shared" si="316"/>
        <v>38305.498022461914</v>
      </c>
      <c r="X1545" s="257">
        <f t="shared" si="317"/>
        <v>38305.498022461914</v>
      </c>
      <c r="Y1545" s="270">
        <f>IF(L1545="Complex",(INDEX('Escalators '!$M$176:$S$176,MATCH('Forecast capex'!J1545,'Escalators '!$M$178:$S$178,0))/12+1)^((K1545-J1545)*12)-1,0)</f>
        <v>0</v>
      </c>
      <c r="Z1545" s="257">
        <f t="shared" si="318"/>
        <v>0</v>
      </c>
      <c r="AA1545" s="257">
        <f t="shared" si="319"/>
        <v>0</v>
      </c>
      <c r="AB1545" s="269">
        <f t="shared" si="320"/>
        <v>0</v>
      </c>
      <c r="AC1545" s="269">
        <f t="shared" si="321"/>
        <v>0</v>
      </c>
      <c r="AD1545" s="271" t="str">
        <f>INDEX('Global inputs'!$C$134:$C$171,MATCH(F1545,'Global inputs'!$B$134:$B$171,0))</f>
        <v xml:space="preserve">System growth </v>
      </c>
      <c r="AE1545" s="272">
        <f>IF(OR(H1545='Operating leases'!$B$32,H1545='Operating leases'!$B$33),"",INDEX('Global inputs'!$C$186:$C$243,MATCH(E1545,'Global inputs'!$B$186:$B$243,0)))</f>
        <v>0.1</v>
      </c>
    </row>
    <row r="1546" spans="1:31" s="27" customFormat="1" x14ac:dyDescent="0.2">
      <c r="A1546" s="250"/>
      <c r="B1546" s="210" t="s">
        <v>742</v>
      </c>
      <c r="C1546" s="210" t="s">
        <v>287</v>
      </c>
      <c r="D1546" s="210" t="s">
        <v>715</v>
      </c>
      <c r="E1546" s="210" t="s">
        <v>150</v>
      </c>
      <c r="F1546" s="210" t="s">
        <v>99</v>
      </c>
      <c r="G1546" s="210" t="s">
        <v>716</v>
      </c>
      <c r="H1546" s="197">
        <v>0</v>
      </c>
      <c r="I1546" s="210" t="s">
        <v>229</v>
      </c>
      <c r="J1546" s="210">
        <v>2025</v>
      </c>
      <c r="K1546" s="210">
        <v>2025</v>
      </c>
      <c r="L1546" s="268" t="str">
        <f t="shared" ref="L1546:L1609" si="322">IF(J1546=K1546,"Simple","Complex")</f>
        <v>Simple</v>
      </c>
      <c r="M1546" s="197">
        <v>2850000</v>
      </c>
      <c r="N1546" s="197">
        <v>0</v>
      </c>
      <c r="O1546" s="257">
        <f>IF(ISNA(MATCH(H1546,'Operating leases'!$B$32:$B$43,0)),0,INDEX('Operating leases'!$M$32:$S$43,MATCH(H1546,'Operating leases'!$B$32:$B$43,0),MATCH(J1546,'Operating leases'!$M$11:$S$11,0)))</f>
        <v>0</v>
      </c>
      <c r="P1546" s="257">
        <f t="shared" ref="P1546:P1609" si="323">O1546+M1546</f>
        <v>2850000</v>
      </c>
      <c r="Q1546" s="257">
        <f t="shared" ref="Q1546:Q1609" si="324">M1546+N1546+O1546</f>
        <v>2850000</v>
      </c>
      <c r="R1546" s="258">
        <f>INDEX('Escalators '!$M$124:$S$129,MATCH(I1546,'Escalators '!$B$124:$B$129,0),MATCH(J1546,'Escalators '!$M$113:$S$113,0))</f>
        <v>1.0919411253473632</v>
      </c>
      <c r="S1546" s="257">
        <f t="shared" ref="S1546:S1609" si="325">O1546*R1546</f>
        <v>0</v>
      </c>
      <c r="T1546" s="257">
        <f t="shared" ref="T1546:T1609" si="326">N1546*R1546</f>
        <v>0</v>
      </c>
      <c r="U1546" s="269">
        <f t="shared" ref="U1546:U1609" si="327">W1546-S1546</f>
        <v>3112032.207239985</v>
      </c>
      <c r="V1546" s="269">
        <f t="shared" ref="V1546:V1609" si="328">U1546+T1546</f>
        <v>3112032.207239985</v>
      </c>
      <c r="W1546" s="269">
        <f t="shared" ref="W1546:W1609" si="329">X1546-T1546</f>
        <v>3112032.207239985</v>
      </c>
      <c r="X1546" s="257">
        <f t="shared" ref="X1546:X1609" si="330">Q1546*R1546</f>
        <v>3112032.207239985</v>
      </c>
      <c r="Y1546" s="270">
        <f>IF(L1546="Complex",(INDEX('Escalators '!$M$176:$S$176,MATCH('Forecast capex'!J1546,'Escalators '!$M$178:$S$178,0))/12+1)^((K1546-J1546)*12)-1,0)</f>
        <v>0</v>
      </c>
      <c r="Z1546" s="257">
        <f t="shared" ref="Z1546:Z1609" si="331">P1546*Y1546</f>
        <v>0</v>
      </c>
      <c r="AA1546" s="257">
        <f t="shared" ref="AA1546:AA1609" si="332">W1546*Y1546</f>
        <v>0</v>
      </c>
      <c r="AB1546" s="269">
        <f t="shared" ref="AB1546:AB1609" si="333">IF(L1546="Complex",AC1546-T1546,0)</f>
        <v>0</v>
      </c>
      <c r="AC1546" s="269">
        <f t="shared" ref="AC1546:AC1609" si="334">IF(L1546="Complex",V1546+AA1546,0)</f>
        <v>0</v>
      </c>
      <c r="AD1546" s="271" t="str">
        <f>INDEX('Global inputs'!$C$134:$C$171,MATCH(F1546,'Global inputs'!$B$134:$B$171,0))</f>
        <v>Asset replacement and renewal</v>
      </c>
      <c r="AE1546" s="272">
        <f>IF(OR(H1546='Operating leases'!$B$32,H1546='Operating leases'!$B$33),"",INDEX('Global inputs'!$C$186:$C$243,MATCH(E1546,'Global inputs'!$B$186:$B$243,0)))</f>
        <v>0.08</v>
      </c>
    </row>
    <row r="1547" spans="1:31" s="27" customFormat="1" x14ac:dyDescent="0.2">
      <c r="A1547" s="250"/>
      <c r="B1547" s="210" t="s">
        <v>742</v>
      </c>
      <c r="C1547" s="210" t="s">
        <v>287</v>
      </c>
      <c r="D1547" s="210" t="s">
        <v>715</v>
      </c>
      <c r="E1547" s="210" t="s">
        <v>150</v>
      </c>
      <c r="F1547" s="210" t="s">
        <v>99</v>
      </c>
      <c r="G1547" s="210" t="s">
        <v>716</v>
      </c>
      <c r="H1547" s="197">
        <v>0</v>
      </c>
      <c r="I1547" s="210" t="s">
        <v>221</v>
      </c>
      <c r="J1547" s="210">
        <v>2025</v>
      </c>
      <c r="K1547" s="210">
        <v>2025</v>
      </c>
      <c r="L1547" s="268" t="str">
        <f t="shared" si="322"/>
        <v>Simple</v>
      </c>
      <c r="M1547" s="197">
        <v>2850000</v>
      </c>
      <c r="N1547" s="197">
        <v>0</v>
      </c>
      <c r="O1547" s="257">
        <f>IF(ISNA(MATCH(H1547,'Operating leases'!$B$32:$B$43,0)),0,INDEX('Operating leases'!$M$32:$S$43,MATCH(H1547,'Operating leases'!$B$32:$B$43,0),MATCH(J1547,'Operating leases'!$M$11:$S$11,0)))</f>
        <v>0</v>
      </c>
      <c r="P1547" s="257">
        <f t="shared" si="323"/>
        <v>2850000</v>
      </c>
      <c r="Q1547" s="257">
        <f t="shared" si="324"/>
        <v>2850000</v>
      </c>
      <c r="R1547" s="258">
        <f>INDEX('Escalators '!$M$124:$S$129,MATCH(I1547,'Escalators '!$B$124:$B$129,0),MATCH(J1547,'Escalators '!$M$113:$S$113,0))</f>
        <v>1.0867931559758131</v>
      </c>
      <c r="S1547" s="257">
        <f t="shared" si="325"/>
        <v>0</v>
      </c>
      <c r="T1547" s="257">
        <f t="shared" si="326"/>
        <v>0</v>
      </c>
      <c r="U1547" s="269">
        <f t="shared" si="327"/>
        <v>3097360.4945310671</v>
      </c>
      <c r="V1547" s="269">
        <f t="shared" si="328"/>
        <v>3097360.4945310671</v>
      </c>
      <c r="W1547" s="269">
        <f t="shared" si="329"/>
        <v>3097360.4945310671</v>
      </c>
      <c r="X1547" s="257">
        <f t="shared" si="330"/>
        <v>3097360.4945310671</v>
      </c>
      <c r="Y1547" s="270">
        <f>IF(L1547="Complex",(INDEX('Escalators '!$M$176:$S$176,MATCH('Forecast capex'!J1547,'Escalators '!$M$178:$S$178,0))/12+1)^((K1547-J1547)*12)-1,0)</f>
        <v>0</v>
      </c>
      <c r="Z1547" s="257">
        <f t="shared" si="331"/>
        <v>0</v>
      </c>
      <c r="AA1547" s="257">
        <f t="shared" si="332"/>
        <v>0</v>
      </c>
      <c r="AB1547" s="269">
        <f t="shared" si="333"/>
        <v>0</v>
      </c>
      <c r="AC1547" s="269">
        <f t="shared" si="334"/>
        <v>0</v>
      </c>
      <c r="AD1547" s="271" t="str">
        <f>INDEX('Global inputs'!$C$134:$C$171,MATCH(F1547,'Global inputs'!$B$134:$B$171,0))</f>
        <v>Asset replacement and renewal</v>
      </c>
      <c r="AE1547" s="272">
        <f>IF(OR(H1547='Operating leases'!$B$32,H1547='Operating leases'!$B$33),"",INDEX('Global inputs'!$C$186:$C$243,MATCH(E1547,'Global inputs'!$B$186:$B$243,0)))</f>
        <v>0.08</v>
      </c>
    </row>
    <row r="1548" spans="1:31" s="27" customFormat="1" x14ac:dyDescent="0.2">
      <c r="A1548" s="250"/>
      <c r="B1548" s="210" t="s">
        <v>742</v>
      </c>
      <c r="C1548" s="210" t="s">
        <v>287</v>
      </c>
      <c r="D1548" s="210" t="s">
        <v>715</v>
      </c>
      <c r="E1548" s="210" t="s">
        <v>150</v>
      </c>
      <c r="F1548" s="210" t="s">
        <v>101</v>
      </c>
      <c r="G1548" s="210" t="s">
        <v>717</v>
      </c>
      <c r="H1548" s="197">
        <v>0</v>
      </c>
      <c r="I1548" s="210" t="s">
        <v>229</v>
      </c>
      <c r="J1548" s="210">
        <v>2025</v>
      </c>
      <c r="K1548" s="210">
        <v>2025</v>
      </c>
      <c r="L1548" s="268" t="str">
        <f t="shared" si="322"/>
        <v>Simple</v>
      </c>
      <c r="M1548" s="197">
        <v>3914253.75</v>
      </c>
      <c r="N1548" s="197">
        <v>0</v>
      </c>
      <c r="O1548" s="257">
        <f>IF(ISNA(MATCH(H1548,'Operating leases'!$B$32:$B$43,0)),0,INDEX('Operating leases'!$M$32:$S$43,MATCH(H1548,'Operating leases'!$B$32:$B$43,0),MATCH(J1548,'Operating leases'!$M$11:$S$11,0)))</f>
        <v>0</v>
      </c>
      <c r="P1548" s="257">
        <f t="shared" si="323"/>
        <v>3914253.75</v>
      </c>
      <c r="Q1548" s="257">
        <f t="shared" si="324"/>
        <v>3914253.75</v>
      </c>
      <c r="R1548" s="258">
        <f>INDEX('Escalators '!$M$124:$S$129,MATCH(I1548,'Escalators '!$B$124:$B$129,0),MATCH(J1548,'Escalators '!$M$113:$S$113,0))</f>
        <v>1.0919411253473632</v>
      </c>
      <c r="S1548" s="257">
        <f t="shared" si="325"/>
        <v>0</v>
      </c>
      <c r="T1548" s="257">
        <f t="shared" si="326"/>
        <v>0</v>
      </c>
      <c r="U1548" s="269">
        <f t="shared" si="327"/>
        <v>4274134.6446701363</v>
      </c>
      <c r="V1548" s="269">
        <f t="shared" si="328"/>
        <v>4274134.6446701363</v>
      </c>
      <c r="W1548" s="269">
        <f t="shared" si="329"/>
        <v>4274134.6446701363</v>
      </c>
      <c r="X1548" s="257">
        <f t="shared" si="330"/>
        <v>4274134.6446701363</v>
      </c>
      <c r="Y1548" s="270">
        <f>IF(L1548="Complex",(INDEX('Escalators '!$M$176:$S$176,MATCH('Forecast capex'!J1548,'Escalators '!$M$178:$S$178,0))/12+1)^((K1548-J1548)*12)-1,0)</f>
        <v>0</v>
      </c>
      <c r="Z1548" s="257">
        <f t="shared" si="331"/>
        <v>0</v>
      </c>
      <c r="AA1548" s="257">
        <f t="shared" si="332"/>
        <v>0</v>
      </c>
      <c r="AB1548" s="269">
        <f t="shared" si="333"/>
        <v>0</v>
      </c>
      <c r="AC1548" s="269">
        <f t="shared" si="334"/>
        <v>0</v>
      </c>
      <c r="AD1548" s="271" t="str">
        <f>INDEX('Global inputs'!$C$134:$C$171,MATCH(F1548,'Global inputs'!$B$134:$B$171,0))</f>
        <v>Asset replacement and renewal</v>
      </c>
      <c r="AE1548" s="272">
        <f>IF(OR(H1548='Operating leases'!$B$32,H1548='Operating leases'!$B$33),"",INDEX('Global inputs'!$C$186:$C$243,MATCH(E1548,'Global inputs'!$B$186:$B$243,0)))</f>
        <v>0.08</v>
      </c>
    </row>
    <row r="1549" spans="1:31" s="27" customFormat="1" x14ac:dyDescent="0.2">
      <c r="A1549" s="250"/>
      <c r="B1549" s="210" t="s">
        <v>742</v>
      </c>
      <c r="C1549" s="210" t="s">
        <v>287</v>
      </c>
      <c r="D1549" s="210" t="s">
        <v>715</v>
      </c>
      <c r="E1549" s="210" t="s">
        <v>150</v>
      </c>
      <c r="F1549" s="210" t="s">
        <v>101</v>
      </c>
      <c r="G1549" s="210" t="s">
        <v>717</v>
      </c>
      <c r="H1549" s="197">
        <v>0</v>
      </c>
      <c r="I1549" s="210" t="s">
        <v>221</v>
      </c>
      <c r="J1549" s="210">
        <v>2025</v>
      </c>
      <c r="K1549" s="210">
        <v>2025</v>
      </c>
      <c r="L1549" s="268" t="str">
        <f t="shared" si="322"/>
        <v>Simple</v>
      </c>
      <c r="M1549" s="197">
        <v>3914253.75</v>
      </c>
      <c r="N1549" s="197">
        <v>0</v>
      </c>
      <c r="O1549" s="257">
        <f>IF(ISNA(MATCH(H1549,'Operating leases'!$B$32:$B$43,0)),0,INDEX('Operating leases'!$M$32:$S$43,MATCH(H1549,'Operating leases'!$B$32:$B$43,0),MATCH(J1549,'Operating leases'!$M$11:$S$11,0)))</f>
        <v>0</v>
      </c>
      <c r="P1549" s="257">
        <f t="shared" si="323"/>
        <v>3914253.75</v>
      </c>
      <c r="Q1549" s="257">
        <f t="shared" si="324"/>
        <v>3914253.75</v>
      </c>
      <c r="R1549" s="258">
        <f>INDEX('Escalators '!$M$124:$S$129,MATCH(I1549,'Escalators '!$B$124:$B$129,0),MATCH(J1549,'Escalators '!$M$113:$S$113,0))</f>
        <v>1.0867931559758131</v>
      </c>
      <c r="S1549" s="257">
        <f t="shared" si="325"/>
        <v>0</v>
      </c>
      <c r="T1549" s="257">
        <f t="shared" si="326"/>
        <v>0</v>
      </c>
      <c r="U1549" s="269">
        <f t="shared" si="327"/>
        <v>4253984.186252661</v>
      </c>
      <c r="V1549" s="269">
        <f t="shared" si="328"/>
        <v>4253984.186252661</v>
      </c>
      <c r="W1549" s="269">
        <f t="shared" si="329"/>
        <v>4253984.186252661</v>
      </c>
      <c r="X1549" s="257">
        <f t="shared" si="330"/>
        <v>4253984.186252661</v>
      </c>
      <c r="Y1549" s="270">
        <f>IF(L1549="Complex",(INDEX('Escalators '!$M$176:$S$176,MATCH('Forecast capex'!J1549,'Escalators '!$M$178:$S$178,0))/12+1)^((K1549-J1549)*12)-1,0)</f>
        <v>0</v>
      </c>
      <c r="Z1549" s="257">
        <f t="shared" si="331"/>
        <v>0</v>
      </c>
      <c r="AA1549" s="257">
        <f t="shared" si="332"/>
        <v>0</v>
      </c>
      <c r="AB1549" s="269">
        <f t="shared" si="333"/>
        <v>0</v>
      </c>
      <c r="AC1549" s="269">
        <f t="shared" si="334"/>
        <v>0</v>
      </c>
      <c r="AD1549" s="271" t="str">
        <f>INDEX('Global inputs'!$C$134:$C$171,MATCH(F1549,'Global inputs'!$B$134:$B$171,0))</f>
        <v>Asset replacement and renewal</v>
      </c>
      <c r="AE1549" s="272">
        <f>IF(OR(H1549='Operating leases'!$B$32,H1549='Operating leases'!$B$33),"",INDEX('Global inputs'!$C$186:$C$243,MATCH(E1549,'Global inputs'!$B$186:$B$243,0)))</f>
        <v>0.08</v>
      </c>
    </row>
    <row r="1550" spans="1:31" s="27" customFormat="1" x14ac:dyDescent="0.2">
      <c r="A1550" s="250"/>
      <c r="B1550" s="210" t="s">
        <v>742</v>
      </c>
      <c r="C1550" s="210" t="s">
        <v>287</v>
      </c>
      <c r="D1550" s="210" t="s">
        <v>729</v>
      </c>
      <c r="E1550" s="210" t="s">
        <v>150</v>
      </c>
      <c r="F1550" s="210" t="s">
        <v>103</v>
      </c>
      <c r="G1550" s="210" t="s">
        <v>731</v>
      </c>
      <c r="H1550" s="197">
        <v>0</v>
      </c>
      <c r="I1550" s="210" t="s">
        <v>225</v>
      </c>
      <c r="J1550" s="210">
        <v>2025</v>
      </c>
      <c r="K1550" s="210">
        <v>2025</v>
      </c>
      <c r="L1550" s="268" t="str">
        <f t="shared" si="322"/>
        <v>Simple</v>
      </c>
      <c r="M1550" s="197">
        <v>1165365</v>
      </c>
      <c r="N1550" s="197">
        <v>0</v>
      </c>
      <c r="O1550" s="257">
        <f>IF(ISNA(MATCH(H1550,'Operating leases'!$B$32:$B$43,0)),0,INDEX('Operating leases'!$M$32:$S$43,MATCH(H1550,'Operating leases'!$B$32:$B$43,0),MATCH(J1550,'Operating leases'!$M$11:$S$11,0)))</f>
        <v>0</v>
      </c>
      <c r="P1550" s="257">
        <f t="shared" si="323"/>
        <v>1165365</v>
      </c>
      <c r="Q1550" s="257">
        <f t="shared" si="324"/>
        <v>1165365</v>
      </c>
      <c r="R1550" s="258">
        <f>INDEX('Escalators '!$M$124:$S$129,MATCH(I1550,'Escalators '!$B$124:$B$129,0),MATCH(J1550,'Escalators '!$M$113:$S$113,0))</f>
        <v>1.1332991699624038</v>
      </c>
      <c r="S1550" s="257">
        <f t="shared" si="325"/>
        <v>0</v>
      </c>
      <c r="T1550" s="257">
        <f t="shared" si="326"/>
        <v>0</v>
      </c>
      <c r="U1550" s="269">
        <f t="shared" si="327"/>
        <v>1320707.1872032366</v>
      </c>
      <c r="V1550" s="269">
        <f t="shared" si="328"/>
        <v>1320707.1872032366</v>
      </c>
      <c r="W1550" s="269">
        <f t="shared" si="329"/>
        <v>1320707.1872032366</v>
      </c>
      <c r="X1550" s="257">
        <f t="shared" si="330"/>
        <v>1320707.1872032366</v>
      </c>
      <c r="Y1550" s="270">
        <f>IF(L1550="Complex",(INDEX('Escalators '!$M$176:$S$176,MATCH('Forecast capex'!J1550,'Escalators '!$M$178:$S$178,0))/12+1)^((K1550-J1550)*12)-1,0)</f>
        <v>0</v>
      </c>
      <c r="Z1550" s="257">
        <f t="shared" si="331"/>
        <v>0</v>
      </c>
      <c r="AA1550" s="257">
        <f t="shared" si="332"/>
        <v>0</v>
      </c>
      <c r="AB1550" s="269">
        <f t="shared" si="333"/>
        <v>0</v>
      </c>
      <c r="AC1550" s="269">
        <f t="shared" si="334"/>
        <v>0</v>
      </c>
      <c r="AD1550" s="271" t="str">
        <f>INDEX('Global inputs'!$C$134:$C$171,MATCH(F1550,'Global inputs'!$B$134:$B$171,0))</f>
        <v>Asset replacement and renewal</v>
      </c>
      <c r="AE1550" s="272">
        <f>IF(OR(H1550='Operating leases'!$B$32,H1550='Operating leases'!$B$33),"",INDEX('Global inputs'!$C$186:$C$243,MATCH(E1550,'Global inputs'!$B$186:$B$243,0)))</f>
        <v>0.08</v>
      </c>
    </row>
    <row r="1551" spans="1:31" s="27" customFormat="1" x14ac:dyDescent="0.2">
      <c r="A1551" s="250"/>
      <c r="B1551" s="210" t="s">
        <v>742</v>
      </c>
      <c r="C1551" s="210" t="s">
        <v>287</v>
      </c>
      <c r="D1551" s="210" t="s">
        <v>729</v>
      </c>
      <c r="E1551" s="210" t="s">
        <v>150</v>
      </c>
      <c r="F1551" s="210" t="s">
        <v>103</v>
      </c>
      <c r="G1551" s="210" t="s">
        <v>731</v>
      </c>
      <c r="H1551" s="197">
        <v>0</v>
      </c>
      <c r="I1551" s="210" t="s">
        <v>221</v>
      </c>
      <c r="J1551" s="210">
        <v>2025</v>
      </c>
      <c r="K1551" s="210">
        <v>2025</v>
      </c>
      <c r="L1551" s="268" t="str">
        <f t="shared" si="322"/>
        <v>Simple</v>
      </c>
      <c r="M1551" s="197">
        <v>4661460</v>
      </c>
      <c r="N1551" s="197">
        <v>0</v>
      </c>
      <c r="O1551" s="257">
        <f>IF(ISNA(MATCH(H1551,'Operating leases'!$B$32:$B$43,0)),0,INDEX('Operating leases'!$M$32:$S$43,MATCH(H1551,'Operating leases'!$B$32:$B$43,0),MATCH(J1551,'Operating leases'!$M$11:$S$11,0)))</f>
        <v>0</v>
      </c>
      <c r="P1551" s="257">
        <f t="shared" si="323"/>
        <v>4661460</v>
      </c>
      <c r="Q1551" s="257">
        <f t="shared" si="324"/>
        <v>4661460</v>
      </c>
      <c r="R1551" s="258">
        <f>INDEX('Escalators '!$M$124:$S$129,MATCH(I1551,'Escalators '!$B$124:$B$129,0),MATCH(J1551,'Escalators '!$M$113:$S$113,0))</f>
        <v>1.0867931559758131</v>
      </c>
      <c r="S1551" s="257">
        <f t="shared" si="325"/>
        <v>0</v>
      </c>
      <c r="T1551" s="257">
        <f t="shared" si="326"/>
        <v>0</v>
      </c>
      <c r="U1551" s="269">
        <f t="shared" si="327"/>
        <v>5066042.8248550138</v>
      </c>
      <c r="V1551" s="269">
        <f t="shared" si="328"/>
        <v>5066042.8248550138</v>
      </c>
      <c r="W1551" s="269">
        <f t="shared" si="329"/>
        <v>5066042.8248550138</v>
      </c>
      <c r="X1551" s="257">
        <f t="shared" si="330"/>
        <v>5066042.8248550138</v>
      </c>
      <c r="Y1551" s="270">
        <f>IF(L1551="Complex",(INDEX('Escalators '!$M$176:$S$176,MATCH('Forecast capex'!J1551,'Escalators '!$M$178:$S$178,0))/12+1)^((K1551-J1551)*12)-1,0)</f>
        <v>0</v>
      </c>
      <c r="Z1551" s="257">
        <f t="shared" si="331"/>
        <v>0</v>
      </c>
      <c r="AA1551" s="257">
        <f t="shared" si="332"/>
        <v>0</v>
      </c>
      <c r="AB1551" s="269">
        <f t="shared" si="333"/>
        <v>0</v>
      </c>
      <c r="AC1551" s="269">
        <f t="shared" si="334"/>
        <v>0</v>
      </c>
      <c r="AD1551" s="271" t="str">
        <f>INDEX('Global inputs'!$C$134:$C$171,MATCH(F1551,'Global inputs'!$B$134:$B$171,0))</f>
        <v>Asset replacement and renewal</v>
      </c>
      <c r="AE1551" s="272">
        <f>IF(OR(H1551='Operating leases'!$B$32,H1551='Operating leases'!$B$33),"",INDEX('Global inputs'!$C$186:$C$243,MATCH(E1551,'Global inputs'!$B$186:$B$243,0)))</f>
        <v>0.08</v>
      </c>
    </row>
    <row r="1552" spans="1:31" s="27" customFormat="1" x14ac:dyDescent="0.2">
      <c r="A1552" s="250"/>
      <c r="B1552" s="210" t="s">
        <v>742</v>
      </c>
      <c r="C1552" s="210" t="s">
        <v>287</v>
      </c>
      <c r="D1552" s="210" t="s">
        <v>729</v>
      </c>
      <c r="E1552" s="210" t="s">
        <v>150</v>
      </c>
      <c r="F1552" s="210" t="s">
        <v>104</v>
      </c>
      <c r="G1552" s="210" t="s">
        <v>731</v>
      </c>
      <c r="H1552" s="197">
        <v>0</v>
      </c>
      <c r="I1552" s="210" t="s">
        <v>225</v>
      </c>
      <c r="J1552" s="210">
        <v>2025</v>
      </c>
      <c r="K1552" s="210">
        <v>2025</v>
      </c>
      <c r="L1552" s="268" t="str">
        <f t="shared" si="322"/>
        <v>Simple</v>
      </c>
      <c r="M1552" s="197">
        <v>859446</v>
      </c>
      <c r="N1552" s="197">
        <v>0</v>
      </c>
      <c r="O1552" s="257">
        <f>IF(ISNA(MATCH(H1552,'Operating leases'!$B$32:$B$43,0)),0,INDEX('Operating leases'!$M$32:$S$43,MATCH(H1552,'Operating leases'!$B$32:$B$43,0),MATCH(J1552,'Operating leases'!$M$11:$S$11,0)))</f>
        <v>0</v>
      </c>
      <c r="P1552" s="257">
        <f t="shared" si="323"/>
        <v>859446</v>
      </c>
      <c r="Q1552" s="257">
        <f t="shared" si="324"/>
        <v>859446</v>
      </c>
      <c r="R1552" s="258">
        <f>INDEX('Escalators '!$M$124:$S$129,MATCH(I1552,'Escalators '!$B$124:$B$129,0),MATCH(J1552,'Escalators '!$M$113:$S$113,0))</f>
        <v>1.1332991699624038</v>
      </c>
      <c r="S1552" s="257">
        <f t="shared" si="325"/>
        <v>0</v>
      </c>
      <c r="T1552" s="257">
        <f t="shared" si="326"/>
        <v>0</v>
      </c>
      <c r="U1552" s="269">
        <f t="shared" si="327"/>
        <v>974009.43842750811</v>
      </c>
      <c r="V1552" s="269">
        <f t="shared" si="328"/>
        <v>974009.43842750811</v>
      </c>
      <c r="W1552" s="269">
        <f t="shared" si="329"/>
        <v>974009.43842750811</v>
      </c>
      <c r="X1552" s="257">
        <f t="shared" si="330"/>
        <v>974009.43842750811</v>
      </c>
      <c r="Y1552" s="270">
        <f>IF(L1552="Complex",(INDEX('Escalators '!$M$176:$S$176,MATCH('Forecast capex'!J1552,'Escalators '!$M$178:$S$178,0))/12+1)^((K1552-J1552)*12)-1,0)</f>
        <v>0</v>
      </c>
      <c r="Z1552" s="257">
        <f t="shared" si="331"/>
        <v>0</v>
      </c>
      <c r="AA1552" s="257">
        <f t="shared" si="332"/>
        <v>0</v>
      </c>
      <c r="AB1552" s="269">
        <f t="shared" si="333"/>
        <v>0</v>
      </c>
      <c r="AC1552" s="269">
        <f t="shared" si="334"/>
        <v>0</v>
      </c>
      <c r="AD1552" s="271" t="str">
        <f>INDEX('Global inputs'!$C$134:$C$171,MATCH(F1552,'Global inputs'!$B$134:$B$171,0))</f>
        <v>Asset replacement and renewal</v>
      </c>
      <c r="AE1552" s="272">
        <f>IF(OR(H1552='Operating leases'!$B$32,H1552='Operating leases'!$B$33),"",INDEX('Global inputs'!$C$186:$C$243,MATCH(E1552,'Global inputs'!$B$186:$B$243,0)))</f>
        <v>0.08</v>
      </c>
    </row>
    <row r="1553" spans="1:31" s="27" customFormat="1" x14ac:dyDescent="0.2">
      <c r="A1553" s="250"/>
      <c r="B1553" s="210" t="s">
        <v>742</v>
      </c>
      <c r="C1553" s="210" t="s">
        <v>287</v>
      </c>
      <c r="D1553" s="210" t="s">
        <v>729</v>
      </c>
      <c r="E1553" s="210" t="s">
        <v>150</v>
      </c>
      <c r="F1553" s="210" t="s">
        <v>104</v>
      </c>
      <c r="G1553" s="210" t="s">
        <v>731</v>
      </c>
      <c r="H1553" s="197">
        <v>0</v>
      </c>
      <c r="I1553" s="210" t="s">
        <v>221</v>
      </c>
      <c r="J1553" s="210">
        <v>2025</v>
      </c>
      <c r="K1553" s="210">
        <v>2025</v>
      </c>
      <c r="L1553" s="268" t="str">
        <f t="shared" si="322"/>
        <v>Simple</v>
      </c>
      <c r="M1553" s="197">
        <v>3437784</v>
      </c>
      <c r="N1553" s="197">
        <v>0</v>
      </c>
      <c r="O1553" s="257">
        <f>IF(ISNA(MATCH(H1553,'Operating leases'!$B$32:$B$43,0)),0,INDEX('Operating leases'!$M$32:$S$43,MATCH(H1553,'Operating leases'!$B$32:$B$43,0),MATCH(J1553,'Operating leases'!$M$11:$S$11,0)))</f>
        <v>0</v>
      </c>
      <c r="P1553" s="257">
        <f t="shared" si="323"/>
        <v>3437784</v>
      </c>
      <c r="Q1553" s="257">
        <f t="shared" si="324"/>
        <v>3437784</v>
      </c>
      <c r="R1553" s="258">
        <f>INDEX('Escalators '!$M$124:$S$129,MATCH(I1553,'Escalators '!$B$124:$B$129,0),MATCH(J1553,'Escalators '!$M$113:$S$113,0))</f>
        <v>1.0867931559758131</v>
      </c>
      <c r="S1553" s="257">
        <f t="shared" si="325"/>
        <v>0</v>
      </c>
      <c r="T1553" s="257">
        <f t="shared" si="326"/>
        <v>0</v>
      </c>
      <c r="U1553" s="269">
        <f t="shared" si="327"/>
        <v>3736160.1229231544</v>
      </c>
      <c r="V1553" s="269">
        <f t="shared" si="328"/>
        <v>3736160.1229231544</v>
      </c>
      <c r="W1553" s="269">
        <f t="shared" si="329"/>
        <v>3736160.1229231544</v>
      </c>
      <c r="X1553" s="257">
        <f t="shared" si="330"/>
        <v>3736160.1229231544</v>
      </c>
      <c r="Y1553" s="270">
        <f>IF(L1553="Complex",(INDEX('Escalators '!$M$176:$S$176,MATCH('Forecast capex'!J1553,'Escalators '!$M$178:$S$178,0))/12+1)^((K1553-J1553)*12)-1,0)</f>
        <v>0</v>
      </c>
      <c r="Z1553" s="257">
        <f t="shared" si="331"/>
        <v>0</v>
      </c>
      <c r="AA1553" s="257">
        <f t="shared" si="332"/>
        <v>0</v>
      </c>
      <c r="AB1553" s="269">
        <f t="shared" si="333"/>
        <v>0</v>
      </c>
      <c r="AC1553" s="269">
        <f t="shared" si="334"/>
        <v>0</v>
      </c>
      <c r="AD1553" s="271" t="str">
        <f>INDEX('Global inputs'!$C$134:$C$171,MATCH(F1553,'Global inputs'!$B$134:$B$171,0))</f>
        <v>Asset replacement and renewal</v>
      </c>
      <c r="AE1553" s="272">
        <f>IF(OR(H1553='Operating leases'!$B$32,H1553='Operating leases'!$B$33),"",INDEX('Global inputs'!$C$186:$C$243,MATCH(E1553,'Global inputs'!$B$186:$B$243,0)))</f>
        <v>0.08</v>
      </c>
    </row>
    <row r="1554" spans="1:31" s="27" customFormat="1" x14ac:dyDescent="0.2">
      <c r="A1554" s="250"/>
      <c r="B1554" s="210" t="s">
        <v>742</v>
      </c>
      <c r="C1554" s="210" t="s">
        <v>290</v>
      </c>
      <c r="D1554" s="210" t="s">
        <v>718</v>
      </c>
      <c r="E1554" s="210" t="s">
        <v>173</v>
      </c>
      <c r="F1554" s="210" t="s">
        <v>109</v>
      </c>
      <c r="G1554" s="210" t="s">
        <v>719</v>
      </c>
      <c r="H1554" s="197">
        <v>0</v>
      </c>
      <c r="I1554" s="210" t="s">
        <v>142</v>
      </c>
      <c r="J1554" s="210">
        <v>2025</v>
      </c>
      <c r="K1554" s="210">
        <v>2025</v>
      </c>
      <c r="L1554" s="268" t="str">
        <f t="shared" si="322"/>
        <v>Simple</v>
      </c>
      <c r="M1554" s="197">
        <v>2394000</v>
      </c>
      <c r="N1554" s="197">
        <v>0</v>
      </c>
      <c r="O1554" s="257">
        <f>IF(ISNA(MATCH(H1554,'Operating leases'!$B$32:$B$43,0)),0,INDEX('Operating leases'!$M$32:$S$43,MATCH(H1554,'Operating leases'!$B$32:$B$43,0),MATCH(J1554,'Operating leases'!$M$11:$S$11,0)))</f>
        <v>0</v>
      </c>
      <c r="P1554" s="257">
        <f t="shared" si="323"/>
        <v>2394000</v>
      </c>
      <c r="Q1554" s="257">
        <f t="shared" si="324"/>
        <v>2394000</v>
      </c>
      <c r="R1554" s="258">
        <f>INDEX('Escalators '!$M$124:$S$129,MATCH(I1554,'Escalators '!$B$124:$B$129,0),MATCH(J1554,'Escalators '!$M$113:$S$113,0))</f>
        <v>1.0914807286621109</v>
      </c>
      <c r="S1554" s="257">
        <f t="shared" si="325"/>
        <v>0</v>
      </c>
      <c r="T1554" s="257">
        <f t="shared" si="326"/>
        <v>0</v>
      </c>
      <c r="U1554" s="269">
        <f t="shared" si="327"/>
        <v>2613004.8644170933</v>
      </c>
      <c r="V1554" s="269">
        <f t="shared" si="328"/>
        <v>2613004.8644170933</v>
      </c>
      <c r="W1554" s="269">
        <f t="shared" si="329"/>
        <v>2613004.8644170933</v>
      </c>
      <c r="X1554" s="257">
        <f t="shared" si="330"/>
        <v>2613004.8644170933</v>
      </c>
      <c r="Y1554" s="270">
        <f>IF(L1554="Complex",(INDEX('Escalators '!$M$176:$S$176,MATCH('Forecast capex'!J1554,'Escalators '!$M$178:$S$178,0))/12+1)^((K1554-J1554)*12)-1,0)</f>
        <v>0</v>
      </c>
      <c r="Z1554" s="257">
        <f t="shared" si="331"/>
        <v>0</v>
      </c>
      <c r="AA1554" s="257">
        <f t="shared" si="332"/>
        <v>0</v>
      </c>
      <c r="AB1554" s="269">
        <f t="shared" si="333"/>
        <v>0</v>
      </c>
      <c r="AC1554" s="269">
        <f t="shared" si="334"/>
        <v>0</v>
      </c>
      <c r="AD1554" s="271" t="str">
        <f>INDEX('Global inputs'!$C$134:$C$171,MATCH(F1554,'Global inputs'!$B$134:$B$171,0))</f>
        <v>Asset replacement and renewal</v>
      </c>
      <c r="AE1554" s="272">
        <f>IF(OR(H1554='Operating leases'!$B$32,H1554='Operating leases'!$B$33),"",INDEX('Global inputs'!$C$186:$C$243,MATCH(E1554,'Global inputs'!$B$186:$B$243,0)))</f>
        <v>0.08</v>
      </c>
    </row>
    <row r="1555" spans="1:31" s="27" customFormat="1" x14ac:dyDescent="0.2">
      <c r="A1555" s="250"/>
      <c r="B1555" s="210" t="s">
        <v>742</v>
      </c>
      <c r="C1555" s="210" t="s">
        <v>290</v>
      </c>
      <c r="D1555" s="210" t="s">
        <v>718</v>
      </c>
      <c r="E1555" s="210" t="s">
        <v>173</v>
      </c>
      <c r="F1555" s="210" t="s">
        <v>109</v>
      </c>
      <c r="G1555" s="210" t="s">
        <v>719</v>
      </c>
      <c r="H1555" s="197">
        <v>0</v>
      </c>
      <c r="I1555" s="210" t="s">
        <v>221</v>
      </c>
      <c r="J1555" s="210">
        <v>2025</v>
      </c>
      <c r="K1555" s="210">
        <v>2025</v>
      </c>
      <c r="L1555" s="268" t="str">
        <f t="shared" si="322"/>
        <v>Simple</v>
      </c>
      <c r="M1555" s="197">
        <v>598500</v>
      </c>
      <c r="N1555" s="197">
        <v>0</v>
      </c>
      <c r="O1555" s="257">
        <f>IF(ISNA(MATCH(H1555,'Operating leases'!$B$32:$B$43,0)),0,INDEX('Operating leases'!$M$32:$S$43,MATCH(H1555,'Operating leases'!$B$32:$B$43,0),MATCH(J1555,'Operating leases'!$M$11:$S$11,0)))</f>
        <v>0</v>
      </c>
      <c r="P1555" s="257">
        <f t="shared" si="323"/>
        <v>598500</v>
      </c>
      <c r="Q1555" s="257">
        <f t="shared" si="324"/>
        <v>598500</v>
      </c>
      <c r="R1555" s="258">
        <f>INDEX('Escalators '!$M$124:$S$129,MATCH(I1555,'Escalators '!$B$124:$B$129,0),MATCH(J1555,'Escalators '!$M$113:$S$113,0))</f>
        <v>1.0867931559758131</v>
      </c>
      <c r="S1555" s="257">
        <f t="shared" si="325"/>
        <v>0</v>
      </c>
      <c r="T1555" s="257">
        <f t="shared" si="326"/>
        <v>0</v>
      </c>
      <c r="U1555" s="269">
        <f t="shared" si="327"/>
        <v>650445.70385152416</v>
      </c>
      <c r="V1555" s="269">
        <f t="shared" si="328"/>
        <v>650445.70385152416</v>
      </c>
      <c r="W1555" s="269">
        <f t="shared" si="329"/>
        <v>650445.70385152416</v>
      </c>
      <c r="X1555" s="257">
        <f t="shared" si="330"/>
        <v>650445.70385152416</v>
      </c>
      <c r="Y1555" s="270">
        <f>IF(L1555="Complex",(INDEX('Escalators '!$M$176:$S$176,MATCH('Forecast capex'!J1555,'Escalators '!$M$178:$S$178,0))/12+1)^((K1555-J1555)*12)-1,0)</f>
        <v>0</v>
      </c>
      <c r="Z1555" s="257">
        <f t="shared" si="331"/>
        <v>0</v>
      </c>
      <c r="AA1555" s="257">
        <f t="shared" si="332"/>
        <v>0</v>
      </c>
      <c r="AB1555" s="269">
        <f t="shared" si="333"/>
        <v>0</v>
      </c>
      <c r="AC1555" s="269">
        <f t="shared" si="334"/>
        <v>0</v>
      </c>
      <c r="AD1555" s="271" t="str">
        <f>INDEX('Global inputs'!$C$134:$C$171,MATCH(F1555,'Global inputs'!$B$134:$B$171,0))</f>
        <v>Asset replacement and renewal</v>
      </c>
      <c r="AE1555" s="272">
        <f>IF(OR(H1555='Operating leases'!$B$32,H1555='Operating leases'!$B$33),"",INDEX('Global inputs'!$C$186:$C$243,MATCH(E1555,'Global inputs'!$B$186:$B$243,0)))</f>
        <v>0.08</v>
      </c>
    </row>
    <row r="1556" spans="1:31" s="27" customFormat="1" x14ac:dyDescent="0.2">
      <c r="A1556" s="250"/>
      <c r="B1556" s="210" t="s">
        <v>742</v>
      </c>
      <c r="C1556" s="210" t="s">
        <v>288</v>
      </c>
      <c r="D1556" s="210" t="s">
        <v>718</v>
      </c>
      <c r="E1556" s="210" t="s">
        <v>160</v>
      </c>
      <c r="F1556" s="210" t="s">
        <v>112</v>
      </c>
      <c r="G1556" s="210" t="s">
        <v>722</v>
      </c>
      <c r="H1556" s="197">
        <v>0</v>
      </c>
      <c r="I1556" s="210" t="s">
        <v>229</v>
      </c>
      <c r="J1556" s="210">
        <v>2025</v>
      </c>
      <c r="K1556" s="210">
        <v>2025</v>
      </c>
      <c r="L1556" s="268" t="str">
        <f t="shared" si="322"/>
        <v>Simple</v>
      </c>
      <c r="M1556" s="197">
        <v>471525</v>
      </c>
      <c r="N1556" s="197">
        <v>0</v>
      </c>
      <c r="O1556" s="257">
        <f>IF(ISNA(MATCH(H1556,'Operating leases'!$B$32:$B$43,0)),0,INDEX('Operating leases'!$M$32:$S$43,MATCH(H1556,'Operating leases'!$B$32:$B$43,0),MATCH(J1556,'Operating leases'!$M$11:$S$11,0)))</f>
        <v>0</v>
      </c>
      <c r="P1556" s="257">
        <f t="shared" si="323"/>
        <v>471525</v>
      </c>
      <c r="Q1556" s="257">
        <f t="shared" si="324"/>
        <v>471525</v>
      </c>
      <c r="R1556" s="258">
        <f>INDEX('Escalators '!$M$124:$S$129,MATCH(I1556,'Escalators '!$B$124:$B$129,0),MATCH(J1556,'Escalators '!$M$113:$S$113,0))</f>
        <v>1.0919411253473632</v>
      </c>
      <c r="S1556" s="257">
        <f t="shared" si="325"/>
        <v>0</v>
      </c>
      <c r="T1556" s="257">
        <f t="shared" si="326"/>
        <v>0</v>
      </c>
      <c r="U1556" s="269">
        <f t="shared" si="327"/>
        <v>514877.53912941541</v>
      </c>
      <c r="V1556" s="269">
        <f t="shared" si="328"/>
        <v>514877.53912941541</v>
      </c>
      <c r="W1556" s="269">
        <f t="shared" si="329"/>
        <v>514877.53912941541</v>
      </c>
      <c r="X1556" s="257">
        <f t="shared" si="330"/>
        <v>514877.53912941541</v>
      </c>
      <c r="Y1556" s="270">
        <f>IF(L1556="Complex",(INDEX('Escalators '!$M$176:$S$176,MATCH('Forecast capex'!J1556,'Escalators '!$M$178:$S$178,0))/12+1)^((K1556-J1556)*12)-1,0)</f>
        <v>0</v>
      </c>
      <c r="Z1556" s="257">
        <f t="shared" si="331"/>
        <v>0</v>
      </c>
      <c r="AA1556" s="257">
        <f t="shared" si="332"/>
        <v>0</v>
      </c>
      <c r="AB1556" s="269">
        <f t="shared" si="333"/>
        <v>0</v>
      </c>
      <c r="AC1556" s="269">
        <f t="shared" si="334"/>
        <v>0</v>
      </c>
      <c r="AD1556" s="271" t="str">
        <f>INDEX('Global inputs'!$C$134:$C$171,MATCH(F1556,'Global inputs'!$B$134:$B$171,0))</f>
        <v>Asset replacement and renewal</v>
      </c>
      <c r="AE1556" s="272">
        <f>IF(OR(H1556='Operating leases'!$B$32,H1556='Operating leases'!$B$33),"",INDEX('Global inputs'!$C$186:$C$243,MATCH(E1556,'Global inputs'!$B$186:$B$243,0)))</f>
        <v>0.08</v>
      </c>
    </row>
    <row r="1557" spans="1:31" s="27" customFormat="1" x14ac:dyDescent="0.2">
      <c r="A1557" s="250"/>
      <c r="B1557" s="210" t="s">
        <v>742</v>
      </c>
      <c r="C1557" s="210" t="s">
        <v>288</v>
      </c>
      <c r="D1557" s="210" t="s">
        <v>718</v>
      </c>
      <c r="E1557" s="210" t="s">
        <v>160</v>
      </c>
      <c r="F1557" s="210" t="s">
        <v>112</v>
      </c>
      <c r="G1557" s="210" t="s">
        <v>722</v>
      </c>
      <c r="H1557" s="197">
        <v>0</v>
      </c>
      <c r="I1557" s="210" t="s">
        <v>221</v>
      </c>
      <c r="J1557" s="210">
        <v>2025</v>
      </c>
      <c r="K1557" s="210">
        <v>2025</v>
      </c>
      <c r="L1557" s="268" t="str">
        <f t="shared" si="322"/>
        <v>Simple</v>
      </c>
      <c r="M1557" s="197">
        <v>471525</v>
      </c>
      <c r="N1557" s="197">
        <v>0</v>
      </c>
      <c r="O1557" s="257">
        <f>IF(ISNA(MATCH(H1557,'Operating leases'!$B$32:$B$43,0)),0,INDEX('Operating leases'!$M$32:$S$43,MATCH(H1557,'Operating leases'!$B$32:$B$43,0),MATCH(J1557,'Operating leases'!$M$11:$S$11,0)))</f>
        <v>0</v>
      </c>
      <c r="P1557" s="257">
        <f t="shared" si="323"/>
        <v>471525</v>
      </c>
      <c r="Q1557" s="257">
        <f t="shared" si="324"/>
        <v>471525</v>
      </c>
      <c r="R1557" s="258">
        <f>INDEX('Escalators '!$M$124:$S$129,MATCH(I1557,'Escalators '!$B$124:$B$129,0),MATCH(J1557,'Escalators '!$M$113:$S$113,0))</f>
        <v>1.0867931559758131</v>
      </c>
      <c r="S1557" s="257">
        <f t="shared" si="325"/>
        <v>0</v>
      </c>
      <c r="T1557" s="257">
        <f t="shared" si="326"/>
        <v>0</v>
      </c>
      <c r="U1557" s="269">
        <f t="shared" si="327"/>
        <v>512450.14287149528</v>
      </c>
      <c r="V1557" s="269">
        <f t="shared" si="328"/>
        <v>512450.14287149528</v>
      </c>
      <c r="W1557" s="269">
        <f t="shared" si="329"/>
        <v>512450.14287149528</v>
      </c>
      <c r="X1557" s="257">
        <f t="shared" si="330"/>
        <v>512450.14287149528</v>
      </c>
      <c r="Y1557" s="270">
        <f>IF(L1557="Complex",(INDEX('Escalators '!$M$176:$S$176,MATCH('Forecast capex'!J1557,'Escalators '!$M$178:$S$178,0))/12+1)^((K1557-J1557)*12)-1,0)</f>
        <v>0</v>
      </c>
      <c r="Z1557" s="257">
        <f t="shared" si="331"/>
        <v>0</v>
      </c>
      <c r="AA1557" s="257">
        <f t="shared" si="332"/>
        <v>0</v>
      </c>
      <c r="AB1557" s="269">
        <f t="shared" si="333"/>
        <v>0</v>
      </c>
      <c r="AC1557" s="269">
        <f t="shared" si="334"/>
        <v>0</v>
      </c>
      <c r="AD1557" s="271" t="str">
        <f>INDEX('Global inputs'!$C$134:$C$171,MATCH(F1557,'Global inputs'!$B$134:$B$171,0))</f>
        <v>Asset replacement and renewal</v>
      </c>
      <c r="AE1557" s="272">
        <f>IF(OR(H1557='Operating leases'!$B$32,H1557='Operating leases'!$B$33),"",INDEX('Global inputs'!$C$186:$C$243,MATCH(E1557,'Global inputs'!$B$186:$B$243,0)))</f>
        <v>0.08</v>
      </c>
    </row>
    <row r="1558" spans="1:31" s="27" customFormat="1" x14ac:dyDescent="0.2">
      <c r="A1558" s="250"/>
      <c r="B1558" s="210" t="s">
        <v>742</v>
      </c>
      <c r="C1558" s="210" t="s">
        <v>288</v>
      </c>
      <c r="D1558" s="210" t="s">
        <v>718</v>
      </c>
      <c r="E1558" s="210" t="s">
        <v>161</v>
      </c>
      <c r="F1558" s="210" t="s">
        <v>112</v>
      </c>
      <c r="G1558" s="210" t="s">
        <v>722</v>
      </c>
      <c r="H1558" s="197">
        <v>0</v>
      </c>
      <c r="I1558" s="210" t="s">
        <v>229</v>
      </c>
      <c r="J1558" s="210">
        <v>2025</v>
      </c>
      <c r="K1558" s="210">
        <v>2025</v>
      </c>
      <c r="L1558" s="268" t="str">
        <f t="shared" si="322"/>
        <v>Simple</v>
      </c>
      <c r="M1558" s="197">
        <v>405000</v>
      </c>
      <c r="N1558" s="197">
        <v>0</v>
      </c>
      <c r="O1558" s="257">
        <f>IF(ISNA(MATCH(H1558,'Operating leases'!$B$32:$B$43,0)),0,INDEX('Operating leases'!$M$32:$S$43,MATCH(H1558,'Operating leases'!$B$32:$B$43,0),MATCH(J1558,'Operating leases'!$M$11:$S$11,0)))</f>
        <v>0</v>
      </c>
      <c r="P1558" s="257">
        <f t="shared" si="323"/>
        <v>405000</v>
      </c>
      <c r="Q1558" s="257">
        <f t="shared" si="324"/>
        <v>405000</v>
      </c>
      <c r="R1558" s="258">
        <f>INDEX('Escalators '!$M$124:$S$129,MATCH(I1558,'Escalators '!$B$124:$B$129,0),MATCH(J1558,'Escalators '!$M$113:$S$113,0))</f>
        <v>1.0919411253473632</v>
      </c>
      <c r="S1558" s="257">
        <f t="shared" si="325"/>
        <v>0</v>
      </c>
      <c r="T1558" s="257">
        <f t="shared" si="326"/>
        <v>0</v>
      </c>
      <c r="U1558" s="269">
        <f t="shared" si="327"/>
        <v>442236.15576568211</v>
      </c>
      <c r="V1558" s="269">
        <f t="shared" si="328"/>
        <v>442236.15576568211</v>
      </c>
      <c r="W1558" s="269">
        <f t="shared" si="329"/>
        <v>442236.15576568211</v>
      </c>
      <c r="X1558" s="257">
        <f t="shared" si="330"/>
        <v>442236.15576568211</v>
      </c>
      <c r="Y1558" s="270">
        <f>IF(L1558="Complex",(INDEX('Escalators '!$M$176:$S$176,MATCH('Forecast capex'!J1558,'Escalators '!$M$178:$S$178,0))/12+1)^((K1558-J1558)*12)-1,0)</f>
        <v>0</v>
      </c>
      <c r="Z1558" s="257">
        <f t="shared" si="331"/>
        <v>0</v>
      </c>
      <c r="AA1558" s="257">
        <f t="shared" si="332"/>
        <v>0</v>
      </c>
      <c r="AB1558" s="269">
        <f t="shared" si="333"/>
        <v>0</v>
      </c>
      <c r="AC1558" s="269">
        <f t="shared" si="334"/>
        <v>0</v>
      </c>
      <c r="AD1558" s="271" t="str">
        <f>INDEX('Global inputs'!$C$134:$C$171,MATCH(F1558,'Global inputs'!$B$134:$B$171,0))</f>
        <v>Asset replacement and renewal</v>
      </c>
      <c r="AE1558" s="272">
        <f>IF(OR(H1558='Operating leases'!$B$32,H1558='Operating leases'!$B$33),"",INDEX('Global inputs'!$C$186:$C$243,MATCH(E1558,'Global inputs'!$B$186:$B$243,0)))</f>
        <v>0.08</v>
      </c>
    </row>
    <row r="1559" spans="1:31" s="27" customFormat="1" x14ac:dyDescent="0.2">
      <c r="A1559" s="250"/>
      <c r="B1559" s="210" t="s">
        <v>742</v>
      </c>
      <c r="C1559" s="210" t="s">
        <v>288</v>
      </c>
      <c r="D1559" s="210" t="s">
        <v>718</v>
      </c>
      <c r="E1559" s="210" t="s">
        <v>161</v>
      </c>
      <c r="F1559" s="210" t="s">
        <v>112</v>
      </c>
      <c r="G1559" s="210" t="s">
        <v>722</v>
      </c>
      <c r="H1559" s="197">
        <v>0</v>
      </c>
      <c r="I1559" s="210" t="s">
        <v>221</v>
      </c>
      <c r="J1559" s="210">
        <v>2025</v>
      </c>
      <c r="K1559" s="210">
        <v>2025</v>
      </c>
      <c r="L1559" s="268" t="str">
        <f t="shared" si="322"/>
        <v>Simple</v>
      </c>
      <c r="M1559" s="197">
        <v>405000</v>
      </c>
      <c r="N1559" s="197">
        <v>0</v>
      </c>
      <c r="O1559" s="257">
        <f>IF(ISNA(MATCH(H1559,'Operating leases'!$B$32:$B$43,0)),0,INDEX('Operating leases'!$M$32:$S$43,MATCH(H1559,'Operating leases'!$B$32:$B$43,0),MATCH(J1559,'Operating leases'!$M$11:$S$11,0)))</f>
        <v>0</v>
      </c>
      <c r="P1559" s="257">
        <f t="shared" si="323"/>
        <v>405000</v>
      </c>
      <c r="Q1559" s="257">
        <f t="shared" si="324"/>
        <v>405000</v>
      </c>
      <c r="R1559" s="258">
        <f>INDEX('Escalators '!$M$124:$S$129,MATCH(I1559,'Escalators '!$B$124:$B$129,0),MATCH(J1559,'Escalators '!$M$113:$S$113,0))</f>
        <v>1.0867931559758131</v>
      </c>
      <c r="S1559" s="257">
        <f t="shared" si="325"/>
        <v>0</v>
      </c>
      <c r="T1559" s="257">
        <f t="shared" si="326"/>
        <v>0</v>
      </c>
      <c r="U1559" s="269">
        <f t="shared" si="327"/>
        <v>440151.22817020427</v>
      </c>
      <c r="V1559" s="269">
        <f t="shared" si="328"/>
        <v>440151.22817020427</v>
      </c>
      <c r="W1559" s="269">
        <f t="shared" si="329"/>
        <v>440151.22817020427</v>
      </c>
      <c r="X1559" s="257">
        <f t="shared" si="330"/>
        <v>440151.22817020427</v>
      </c>
      <c r="Y1559" s="270">
        <f>IF(L1559="Complex",(INDEX('Escalators '!$M$176:$S$176,MATCH('Forecast capex'!J1559,'Escalators '!$M$178:$S$178,0))/12+1)^((K1559-J1559)*12)-1,0)</f>
        <v>0</v>
      </c>
      <c r="Z1559" s="257">
        <f t="shared" si="331"/>
        <v>0</v>
      </c>
      <c r="AA1559" s="257">
        <f t="shared" si="332"/>
        <v>0</v>
      </c>
      <c r="AB1559" s="269">
        <f t="shared" si="333"/>
        <v>0</v>
      </c>
      <c r="AC1559" s="269">
        <f t="shared" si="334"/>
        <v>0</v>
      </c>
      <c r="AD1559" s="271" t="str">
        <f>INDEX('Global inputs'!$C$134:$C$171,MATCH(F1559,'Global inputs'!$B$134:$B$171,0))</f>
        <v>Asset replacement and renewal</v>
      </c>
      <c r="AE1559" s="272">
        <f>IF(OR(H1559='Operating leases'!$B$32,H1559='Operating leases'!$B$33),"",INDEX('Global inputs'!$C$186:$C$243,MATCH(E1559,'Global inputs'!$B$186:$B$243,0)))</f>
        <v>0.08</v>
      </c>
    </row>
    <row r="1560" spans="1:31" s="27" customFormat="1" x14ac:dyDescent="0.2">
      <c r="A1560" s="250"/>
      <c r="B1560" s="210" t="s">
        <v>742</v>
      </c>
      <c r="C1560" s="210" t="s">
        <v>286</v>
      </c>
      <c r="D1560" s="210" t="s">
        <v>735</v>
      </c>
      <c r="E1560" s="210" t="s">
        <v>144</v>
      </c>
      <c r="F1560" s="210" t="s">
        <v>117</v>
      </c>
      <c r="G1560" s="210" t="s">
        <v>736</v>
      </c>
      <c r="H1560" s="197">
        <v>0</v>
      </c>
      <c r="I1560" s="210" t="s">
        <v>229</v>
      </c>
      <c r="J1560" s="210">
        <v>2025</v>
      </c>
      <c r="K1560" s="210">
        <v>2025</v>
      </c>
      <c r="L1560" s="268" t="str">
        <f t="shared" si="322"/>
        <v>Simple</v>
      </c>
      <c r="M1560" s="197">
        <v>250800</v>
      </c>
      <c r="N1560" s="197">
        <v>0</v>
      </c>
      <c r="O1560" s="257">
        <f>IF(ISNA(MATCH(H1560,'Operating leases'!$B$32:$B$43,0)),0,INDEX('Operating leases'!$M$32:$S$43,MATCH(H1560,'Operating leases'!$B$32:$B$43,0),MATCH(J1560,'Operating leases'!$M$11:$S$11,0)))</f>
        <v>0</v>
      </c>
      <c r="P1560" s="257">
        <f t="shared" si="323"/>
        <v>250800</v>
      </c>
      <c r="Q1560" s="257">
        <f t="shared" si="324"/>
        <v>250800</v>
      </c>
      <c r="R1560" s="258">
        <f>INDEX('Escalators '!$M$124:$S$129,MATCH(I1560,'Escalators '!$B$124:$B$129,0),MATCH(J1560,'Escalators '!$M$113:$S$113,0))</f>
        <v>1.0919411253473632</v>
      </c>
      <c r="S1560" s="257">
        <f t="shared" si="325"/>
        <v>0</v>
      </c>
      <c r="T1560" s="257">
        <f t="shared" si="326"/>
        <v>0</v>
      </c>
      <c r="U1560" s="269">
        <f t="shared" si="327"/>
        <v>273858.83423711872</v>
      </c>
      <c r="V1560" s="269">
        <f t="shared" si="328"/>
        <v>273858.83423711872</v>
      </c>
      <c r="W1560" s="269">
        <f t="shared" si="329"/>
        <v>273858.83423711872</v>
      </c>
      <c r="X1560" s="257">
        <f t="shared" si="330"/>
        <v>273858.83423711872</v>
      </c>
      <c r="Y1560" s="270">
        <f>IF(L1560="Complex",(INDEX('Escalators '!$M$176:$S$176,MATCH('Forecast capex'!J1560,'Escalators '!$M$178:$S$178,0))/12+1)^((K1560-J1560)*12)-1,0)</f>
        <v>0</v>
      </c>
      <c r="Z1560" s="257">
        <f t="shared" si="331"/>
        <v>0</v>
      </c>
      <c r="AA1560" s="257">
        <f t="shared" si="332"/>
        <v>0</v>
      </c>
      <c r="AB1560" s="269">
        <f t="shared" si="333"/>
        <v>0</v>
      </c>
      <c r="AC1560" s="269">
        <f t="shared" si="334"/>
        <v>0</v>
      </c>
      <c r="AD1560" s="271" t="str">
        <f>INDEX('Global inputs'!$C$134:$C$171,MATCH(F1560,'Global inputs'!$B$134:$B$171,0))</f>
        <v>Asset replacement and renewal</v>
      </c>
      <c r="AE1560" s="272">
        <f>IF(OR(H1560='Operating leases'!$B$32,H1560='Operating leases'!$B$33),"",INDEX('Global inputs'!$C$186:$C$243,MATCH(E1560,'Global inputs'!$B$186:$B$243,0)))</f>
        <v>0.08</v>
      </c>
    </row>
    <row r="1561" spans="1:31" s="27" customFormat="1" x14ac:dyDescent="0.2">
      <c r="A1561" s="250"/>
      <c r="B1561" s="210" t="s">
        <v>742</v>
      </c>
      <c r="C1561" s="210" t="s">
        <v>286</v>
      </c>
      <c r="D1561" s="210" t="s">
        <v>735</v>
      </c>
      <c r="E1561" s="210" t="s">
        <v>144</v>
      </c>
      <c r="F1561" s="210" t="s">
        <v>117</v>
      </c>
      <c r="G1561" s="210" t="s">
        <v>736</v>
      </c>
      <c r="H1561" s="197">
        <v>0</v>
      </c>
      <c r="I1561" s="210" t="s">
        <v>221</v>
      </c>
      <c r="J1561" s="210">
        <v>2025</v>
      </c>
      <c r="K1561" s="210">
        <v>2025</v>
      </c>
      <c r="L1561" s="268" t="str">
        <f t="shared" si="322"/>
        <v>Simple</v>
      </c>
      <c r="M1561" s="197">
        <v>1003200</v>
      </c>
      <c r="N1561" s="197">
        <v>0</v>
      </c>
      <c r="O1561" s="257">
        <f>IF(ISNA(MATCH(H1561,'Operating leases'!$B$32:$B$43,0)),0,INDEX('Operating leases'!$M$32:$S$43,MATCH(H1561,'Operating leases'!$B$32:$B$43,0),MATCH(J1561,'Operating leases'!$M$11:$S$11,0)))</f>
        <v>0</v>
      </c>
      <c r="P1561" s="257">
        <f t="shared" si="323"/>
        <v>1003200</v>
      </c>
      <c r="Q1561" s="257">
        <f t="shared" si="324"/>
        <v>1003200</v>
      </c>
      <c r="R1561" s="258">
        <f>INDEX('Escalators '!$M$124:$S$129,MATCH(I1561,'Escalators '!$B$124:$B$129,0),MATCH(J1561,'Escalators '!$M$113:$S$113,0))</f>
        <v>1.0867931559758131</v>
      </c>
      <c r="S1561" s="257">
        <f t="shared" si="325"/>
        <v>0</v>
      </c>
      <c r="T1561" s="257">
        <f t="shared" si="326"/>
        <v>0</v>
      </c>
      <c r="U1561" s="269">
        <f t="shared" si="327"/>
        <v>1090270.8940749357</v>
      </c>
      <c r="V1561" s="269">
        <f t="shared" si="328"/>
        <v>1090270.8940749357</v>
      </c>
      <c r="W1561" s="269">
        <f t="shared" si="329"/>
        <v>1090270.8940749357</v>
      </c>
      <c r="X1561" s="257">
        <f t="shared" si="330"/>
        <v>1090270.8940749357</v>
      </c>
      <c r="Y1561" s="270">
        <f>IF(L1561="Complex",(INDEX('Escalators '!$M$176:$S$176,MATCH('Forecast capex'!J1561,'Escalators '!$M$178:$S$178,0))/12+1)^((K1561-J1561)*12)-1,0)</f>
        <v>0</v>
      </c>
      <c r="Z1561" s="257">
        <f t="shared" si="331"/>
        <v>0</v>
      </c>
      <c r="AA1561" s="257">
        <f t="shared" si="332"/>
        <v>0</v>
      </c>
      <c r="AB1561" s="269">
        <f t="shared" si="333"/>
        <v>0</v>
      </c>
      <c r="AC1561" s="269">
        <f t="shared" si="334"/>
        <v>0</v>
      </c>
      <c r="AD1561" s="271" t="str">
        <f>INDEX('Global inputs'!$C$134:$C$171,MATCH(F1561,'Global inputs'!$B$134:$B$171,0))</f>
        <v>Asset replacement and renewal</v>
      </c>
      <c r="AE1561" s="272">
        <f>IF(OR(H1561='Operating leases'!$B$32,H1561='Operating leases'!$B$33),"",INDEX('Global inputs'!$C$186:$C$243,MATCH(E1561,'Global inputs'!$B$186:$B$243,0)))</f>
        <v>0.08</v>
      </c>
    </row>
    <row r="1562" spans="1:31" s="27" customFormat="1" x14ac:dyDescent="0.2">
      <c r="A1562" s="250"/>
      <c r="B1562" s="210" t="s">
        <v>738</v>
      </c>
      <c r="C1562" s="210" t="s">
        <v>292</v>
      </c>
      <c r="D1562" s="210" t="s">
        <v>739</v>
      </c>
      <c r="E1562" s="210" t="s">
        <v>181</v>
      </c>
      <c r="F1562" s="210" t="s">
        <v>89</v>
      </c>
      <c r="G1562" s="210" t="s">
        <v>749</v>
      </c>
      <c r="H1562" s="197">
        <v>0</v>
      </c>
      <c r="I1562" s="210" t="s">
        <v>229</v>
      </c>
      <c r="J1562" s="210">
        <v>2025</v>
      </c>
      <c r="K1562" s="210">
        <v>2025</v>
      </c>
      <c r="L1562" s="268" t="str">
        <f t="shared" si="322"/>
        <v>Simple</v>
      </c>
      <c r="M1562" s="197">
        <v>77500</v>
      </c>
      <c r="N1562" s="197">
        <v>0</v>
      </c>
      <c r="O1562" s="257">
        <f>IF(ISNA(MATCH(H1562,'Operating leases'!$B$32:$B$43,0)),0,INDEX('Operating leases'!$M$32:$S$43,MATCH(H1562,'Operating leases'!$B$32:$B$43,0),MATCH(J1562,'Operating leases'!$M$11:$S$11,0)))</f>
        <v>0</v>
      </c>
      <c r="P1562" s="257">
        <f t="shared" si="323"/>
        <v>77500</v>
      </c>
      <c r="Q1562" s="257">
        <f t="shared" si="324"/>
        <v>77500</v>
      </c>
      <c r="R1562" s="258">
        <f>INDEX('Escalators '!$M$124:$S$129,MATCH(I1562,'Escalators '!$B$124:$B$129,0),MATCH(J1562,'Escalators '!$M$113:$S$113,0))</f>
        <v>1.0919411253473632</v>
      </c>
      <c r="S1562" s="257">
        <f t="shared" si="325"/>
        <v>0</v>
      </c>
      <c r="T1562" s="257">
        <f t="shared" si="326"/>
        <v>0</v>
      </c>
      <c r="U1562" s="269">
        <f t="shared" si="327"/>
        <v>84625.437214420643</v>
      </c>
      <c r="V1562" s="269">
        <f t="shared" si="328"/>
        <v>84625.437214420643</v>
      </c>
      <c r="W1562" s="269">
        <f t="shared" si="329"/>
        <v>84625.437214420643</v>
      </c>
      <c r="X1562" s="257">
        <f t="shared" si="330"/>
        <v>84625.437214420643</v>
      </c>
      <c r="Y1562" s="270">
        <f>IF(L1562="Complex",(INDEX('Escalators '!$M$176:$S$176,MATCH('Forecast capex'!J1562,'Escalators '!$M$178:$S$178,0))/12+1)^((K1562-J1562)*12)-1,0)</f>
        <v>0</v>
      </c>
      <c r="Z1562" s="257">
        <f t="shared" si="331"/>
        <v>0</v>
      </c>
      <c r="AA1562" s="257">
        <f t="shared" si="332"/>
        <v>0</v>
      </c>
      <c r="AB1562" s="269">
        <f t="shared" si="333"/>
        <v>0</v>
      </c>
      <c r="AC1562" s="269">
        <f t="shared" si="334"/>
        <v>0</v>
      </c>
      <c r="AD1562" s="271" t="str">
        <f>INDEX('Global inputs'!$C$134:$C$171,MATCH(F1562,'Global inputs'!$B$134:$B$171,0))</f>
        <v>Non-network CAPEX</v>
      </c>
      <c r="AE1562" s="272">
        <f>IF(OR(H1562='Operating leases'!$B$32,H1562='Operating leases'!$B$33),"",INDEX('Global inputs'!$C$186:$C$243,MATCH(E1562,'Global inputs'!$B$186:$B$243,0)))</f>
        <v>0.5</v>
      </c>
    </row>
    <row r="1563" spans="1:31" s="27" customFormat="1" x14ac:dyDescent="0.2">
      <c r="A1563" s="250"/>
      <c r="B1563" s="210" t="s">
        <v>738</v>
      </c>
      <c r="C1563" s="210" t="s">
        <v>292</v>
      </c>
      <c r="D1563" s="210" t="s">
        <v>739</v>
      </c>
      <c r="E1563" s="210" t="s">
        <v>183</v>
      </c>
      <c r="F1563" s="210" t="s">
        <v>89</v>
      </c>
      <c r="G1563" s="210" t="s">
        <v>750</v>
      </c>
      <c r="H1563" s="197">
        <v>0</v>
      </c>
      <c r="I1563" s="210" t="s">
        <v>229</v>
      </c>
      <c r="J1563" s="210">
        <v>2025</v>
      </c>
      <c r="K1563" s="210">
        <v>2025</v>
      </c>
      <c r="L1563" s="268" t="str">
        <f t="shared" si="322"/>
        <v>Simple</v>
      </c>
      <c r="M1563" s="197">
        <v>1472500</v>
      </c>
      <c r="N1563" s="197">
        <v>0</v>
      </c>
      <c r="O1563" s="257">
        <f>IF(ISNA(MATCH(H1563,'Operating leases'!$B$32:$B$43,0)),0,INDEX('Operating leases'!$M$32:$S$43,MATCH(H1563,'Operating leases'!$B$32:$B$43,0),MATCH(J1563,'Operating leases'!$M$11:$S$11,0)))</f>
        <v>0</v>
      </c>
      <c r="P1563" s="257">
        <f t="shared" si="323"/>
        <v>1472500</v>
      </c>
      <c r="Q1563" s="257">
        <f t="shared" si="324"/>
        <v>1472500</v>
      </c>
      <c r="R1563" s="258">
        <f>INDEX('Escalators '!$M$124:$S$129,MATCH(I1563,'Escalators '!$B$124:$B$129,0),MATCH(J1563,'Escalators '!$M$113:$S$113,0))</f>
        <v>1.0919411253473632</v>
      </c>
      <c r="S1563" s="257">
        <f t="shared" si="325"/>
        <v>0</v>
      </c>
      <c r="T1563" s="257">
        <f t="shared" si="326"/>
        <v>0</v>
      </c>
      <c r="U1563" s="269">
        <f t="shared" si="327"/>
        <v>1607883.3070739922</v>
      </c>
      <c r="V1563" s="269">
        <f t="shared" si="328"/>
        <v>1607883.3070739922</v>
      </c>
      <c r="W1563" s="269">
        <f t="shared" si="329"/>
        <v>1607883.3070739922</v>
      </c>
      <c r="X1563" s="257">
        <f t="shared" si="330"/>
        <v>1607883.3070739922</v>
      </c>
      <c r="Y1563" s="270">
        <f>IF(L1563="Complex",(INDEX('Escalators '!$M$176:$S$176,MATCH('Forecast capex'!J1563,'Escalators '!$M$178:$S$178,0))/12+1)^((K1563-J1563)*12)-1,0)</f>
        <v>0</v>
      </c>
      <c r="Z1563" s="257">
        <f t="shared" si="331"/>
        <v>0</v>
      </c>
      <c r="AA1563" s="257">
        <f t="shared" si="332"/>
        <v>0</v>
      </c>
      <c r="AB1563" s="269">
        <f t="shared" si="333"/>
        <v>0</v>
      </c>
      <c r="AC1563" s="269">
        <f t="shared" si="334"/>
        <v>0</v>
      </c>
      <c r="AD1563" s="271" t="str">
        <f>INDEX('Global inputs'!$C$134:$C$171,MATCH(F1563,'Global inputs'!$B$134:$B$171,0))</f>
        <v>Non-network CAPEX</v>
      </c>
      <c r="AE1563" s="272">
        <f>IF(OR(H1563='Operating leases'!$B$32,H1563='Operating leases'!$B$33),"",INDEX('Global inputs'!$C$186:$C$243,MATCH(E1563,'Global inputs'!$B$186:$B$243,0)))</f>
        <v>0.5</v>
      </c>
    </row>
    <row r="1564" spans="1:31" s="27" customFormat="1" x14ac:dyDescent="0.2">
      <c r="A1564" s="250"/>
      <c r="B1564" s="210" t="s">
        <v>738</v>
      </c>
      <c r="C1564" s="210" t="s">
        <v>292</v>
      </c>
      <c r="D1564" s="210" t="s">
        <v>739</v>
      </c>
      <c r="E1564" s="210" t="s">
        <v>186</v>
      </c>
      <c r="F1564" s="210" t="s">
        <v>89</v>
      </c>
      <c r="G1564" s="210">
        <v>0</v>
      </c>
      <c r="H1564" s="197" t="s">
        <v>89</v>
      </c>
      <c r="I1564" s="210" t="s">
        <v>229</v>
      </c>
      <c r="J1564" s="210">
        <v>2025</v>
      </c>
      <c r="K1564" s="210">
        <v>2025</v>
      </c>
      <c r="L1564" s="268" t="str">
        <f t="shared" si="322"/>
        <v>Simple</v>
      </c>
      <c r="M1564" s="197">
        <v>0</v>
      </c>
      <c r="N1564" s="197">
        <v>0</v>
      </c>
      <c r="O1564" s="257">
        <f>IF(ISNA(MATCH(H1564,'Operating leases'!$B$32:$B$43,0)),0,INDEX('Operating leases'!$M$32:$S$43,MATCH(H1564,'Operating leases'!$B$32:$B$43,0),MATCH(J1564,'Operating leases'!$M$11:$S$11,0)))</f>
        <v>124872.11166684427</v>
      </c>
      <c r="P1564" s="257">
        <f t="shared" si="323"/>
        <v>124872.11166684427</v>
      </c>
      <c r="Q1564" s="257">
        <f t="shared" si="324"/>
        <v>124872.11166684427</v>
      </c>
      <c r="R1564" s="258">
        <f>INDEX('Escalators '!$M$124:$S$129,MATCH(I1564,'Escalators '!$B$124:$B$129,0),MATCH(J1564,'Escalators '!$M$113:$S$113,0))</f>
        <v>1.0919411253473632</v>
      </c>
      <c r="S1564" s="257">
        <f t="shared" si="325"/>
        <v>136352.99413799553</v>
      </c>
      <c r="T1564" s="257">
        <f t="shared" si="326"/>
        <v>0</v>
      </c>
      <c r="U1564" s="269">
        <f t="shared" si="327"/>
        <v>0</v>
      </c>
      <c r="V1564" s="269">
        <f t="shared" si="328"/>
        <v>0</v>
      </c>
      <c r="W1564" s="269">
        <f t="shared" si="329"/>
        <v>136352.99413799553</v>
      </c>
      <c r="X1564" s="257">
        <f t="shared" si="330"/>
        <v>136352.99413799553</v>
      </c>
      <c r="Y1564" s="270">
        <f>IF(L1564="Complex",(INDEX('Escalators '!$M$176:$S$176,MATCH('Forecast capex'!J1564,'Escalators '!$M$178:$S$178,0))/12+1)^((K1564-J1564)*12)-1,0)</f>
        <v>0</v>
      </c>
      <c r="Z1564" s="257">
        <f t="shared" si="331"/>
        <v>0</v>
      </c>
      <c r="AA1564" s="257">
        <f t="shared" si="332"/>
        <v>0</v>
      </c>
      <c r="AB1564" s="269">
        <f t="shared" si="333"/>
        <v>0</v>
      </c>
      <c r="AC1564" s="269">
        <f t="shared" si="334"/>
        <v>0</v>
      </c>
      <c r="AD1564" s="271" t="str">
        <f>INDEX('Global inputs'!$C$134:$C$171,MATCH(F1564,'Global inputs'!$B$134:$B$171,0))</f>
        <v>Non-network CAPEX</v>
      </c>
      <c r="AE1564" s="272" t="str">
        <f>IF(OR(H1564='Operating leases'!$B$32,H1564='Operating leases'!$B$33),"",INDEX('Global inputs'!$C$186:$C$243,MATCH(E1564,'Global inputs'!$B$186:$B$243,0)))</f>
        <v/>
      </c>
    </row>
    <row r="1565" spans="1:31" s="27" customFormat="1" x14ac:dyDescent="0.2">
      <c r="A1565" s="250"/>
      <c r="B1565" s="210" t="s">
        <v>738</v>
      </c>
      <c r="C1565" s="210" t="s">
        <v>292</v>
      </c>
      <c r="D1565" s="210" t="s">
        <v>739</v>
      </c>
      <c r="E1565" s="210" t="s">
        <v>185</v>
      </c>
      <c r="F1565" s="210" t="s">
        <v>91</v>
      </c>
      <c r="G1565" s="210">
        <v>0</v>
      </c>
      <c r="H1565" s="197" t="s">
        <v>91</v>
      </c>
      <c r="I1565" s="210" t="s">
        <v>229</v>
      </c>
      <c r="J1565" s="210">
        <v>2025</v>
      </c>
      <c r="K1565" s="210">
        <v>2025</v>
      </c>
      <c r="L1565" s="268" t="str">
        <f t="shared" si="322"/>
        <v>Simple</v>
      </c>
      <c r="M1565" s="197">
        <v>0</v>
      </c>
      <c r="N1565" s="197">
        <v>0</v>
      </c>
      <c r="O1565" s="257">
        <f>IF(ISNA(MATCH(H1565,'Operating leases'!$B$32:$B$43,0)),0,INDEX('Operating leases'!$M$32:$S$43,MATCH(H1565,'Operating leases'!$B$32:$B$43,0),MATCH(J1565,'Operating leases'!$M$11:$S$11,0)))</f>
        <v>0</v>
      </c>
      <c r="P1565" s="257">
        <f t="shared" si="323"/>
        <v>0</v>
      </c>
      <c r="Q1565" s="257">
        <f t="shared" si="324"/>
        <v>0</v>
      </c>
      <c r="R1565" s="258">
        <f>INDEX('Escalators '!$M$124:$S$129,MATCH(I1565,'Escalators '!$B$124:$B$129,0),MATCH(J1565,'Escalators '!$M$113:$S$113,0))</f>
        <v>1.0919411253473632</v>
      </c>
      <c r="S1565" s="257">
        <f t="shared" si="325"/>
        <v>0</v>
      </c>
      <c r="T1565" s="257">
        <f t="shared" si="326"/>
        <v>0</v>
      </c>
      <c r="U1565" s="269">
        <f t="shared" si="327"/>
        <v>0</v>
      </c>
      <c r="V1565" s="269">
        <f t="shared" si="328"/>
        <v>0</v>
      </c>
      <c r="W1565" s="269">
        <f t="shared" si="329"/>
        <v>0</v>
      </c>
      <c r="X1565" s="257">
        <f t="shared" si="330"/>
        <v>0</v>
      </c>
      <c r="Y1565" s="270">
        <f>IF(L1565="Complex",(INDEX('Escalators '!$M$176:$S$176,MATCH('Forecast capex'!J1565,'Escalators '!$M$178:$S$178,0))/12+1)^((K1565-J1565)*12)-1,0)</f>
        <v>0</v>
      </c>
      <c r="Z1565" s="257">
        <f t="shared" si="331"/>
        <v>0</v>
      </c>
      <c r="AA1565" s="257">
        <f t="shared" si="332"/>
        <v>0</v>
      </c>
      <c r="AB1565" s="269">
        <f t="shared" si="333"/>
        <v>0</v>
      </c>
      <c r="AC1565" s="269">
        <f t="shared" si="334"/>
        <v>0</v>
      </c>
      <c r="AD1565" s="271" t="str">
        <f>INDEX('Global inputs'!$C$134:$C$171,MATCH(F1565,'Global inputs'!$B$134:$B$171,0))</f>
        <v>Non-network CAPEX</v>
      </c>
      <c r="AE1565" s="272" t="str">
        <f>IF(OR(H1565='Operating leases'!$B$32,H1565='Operating leases'!$B$33),"",INDEX('Global inputs'!$C$186:$C$243,MATCH(E1565,'Global inputs'!$B$186:$B$243,0)))</f>
        <v/>
      </c>
    </row>
    <row r="1566" spans="1:31" s="27" customFormat="1" x14ac:dyDescent="0.2">
      <c r="A1566" s="250"/>
      <c r="B1566" s="210" t="s">
        <v>746</v>
      </c>
      <c r="C1566" s="210" t="s">
        <v>286</v>
      </c>
      <c r="D1566" s="210" t="s">
        <v>732</v>
      </c>
      <c r="E1566" s="210" t="s">
        <v>136</v>
      </c>
      <c r="F1566" s="210" t="s">
        <v>78</v>
      </c>
      <c r="G1566" s="210" t="s">
        <v>751</v>
      </c>
      <c r="H1566" s="197">
        <v>0</v>
      </c>
      <c r="I1566" s="210" t="s">
        <v>229</v>
      </c>
      <c r="J1566" s="210">
        <v>2025</v>
      </c>
      <c r="K1566" s="210">
        <v>2025</v>
      </c>
      <c r="L1566" s="268" t="str">
        <f t="shared" si="322"/>
        <v>Simple</v>
      </c>
      <c r="M1566" s="197">
        <v>0</v>
      </c>
      <c r="N1566" s="197">
        <v>0</v>
      </c>
      <c r="O1566" s="257">
        <f>IF(ISNA(MATCH(H1566,'Operating leases'!$B$32:$B$43,0)),0,INDEX('Operating leases'!$M$32:$S$43,MATCH(H1566,'Operating leases'!$B$32:$B$43,0),MATCH(J1566,'Operating leases'!$M$11:$S$11,0)))</f>
        <v>0</v>
      </c>
      <c r="P1566" s="257">
        <f t="shared" si="323"/>
        <v>0</v>
      </c>
      <c r="Q1566" s="257">
        <f t="shared" si="324"/>
        <v>0</v>
      </c>
      <c r="R1566" s="258">
        <f>INDEX('Escalators '!$M$124:$S$129,MATCH(I1566,'Escalators '!$B$124:$B$129,0),MATCH(J1566,'Escalators '!$M$113:$S$113,0))</f>
        <v>1.0919411253473632</v>
      </c>
      <c r="S1566" s="257">
        <f t="shared" si="325"/>
        <v>0</v>
      </c>
      <c r="T1566" s="257">
        <f t="shared" si="326"/>
        <v>0</v>
      </c>
      <c r="U1566" s="269">
        <f t="shared" si="327"/>
        <v>0</v>
      </c>
      <c r="V1566" s="269">
        <f t="shared" si="328"/>
        <v>0</v>
      </c>
      <c r="W1566" s="269">
        <f t="shared" si="329"/>
        <v>0</v>
      </c>
      <c r="X1566" s="257">
        <f t="shared" si="330"/>
        <v>0</v>
      </c>
      <c r="Y1566" s="270">
        <f>IF(L1566="Complex",(INDEX('Escalators '!$M$176:$S$176,MATCH('Forecast capex'!J1566,'Escalators '!$M$178:$S$178,0))/12+1)^((K1566-J1566)*12)-1,0)</f>
        <v>0</v>
      </c>
      <c r="Z1566" s="257">
        <f t="shared" si="331"/>
        <v>0</v>
      </c>
      <c r="AA1566" s="257">
        <f t="shared" si="332"/>
        <v>0</v>
      </c>
      <c r="AB1566" s="269">
        <f t="shared" si="333"/>
        <v>0</v>
      </c>
      <c r="AC1566" s="269">
        <f t="shared" si="334"/>
        <v>0</v>
      </c>
      <c r="AD1566" s="271" t="str">
        <f>INDEX('Global inputs'!$C$134:$C$171,MATCH(F1566,'Global inputs'!$B$134:$B$171,0))</f>
        <v xml:space="preserve">System growth </v>
      </c>
      <c r="AE1566" s="272">
        <f>IF(OR(H1566='Operating leases'!$B$32,H1566='Operating leases'!$B$33),"",INDEX('Global inputs'!$C$186:$C$243,MATCH(E1566,'Global inputs'!$B$186:$B$243,0)))</f>
        <v>0</v>
      </c>
    </row>
    <row r="1567" spans="1:31" s="27" customFormat="1" x14ac:dyDescent="0.2">
      <c r="A1567" s="250"/>
      <c r="B1567" s="210" t="s">
        <v>746</v>
      </c>
      <c r="C1567" s="210" t="s">
        <v>286</v>
      </c>
      <c r="D1567" s="210" t="s">
        <v>732</v>
      </c>
      <c r="E1567" s="210" t="s">
        <v>136</v>
      </c>
      <c r="F1567" s="210" t="s">
        <v>78</v>
      </c>
      <c r="G1567" s="210" t="s">
        <v>751</v>
      </c>
      <c r="H1567" s="197">
        <v>0</v>
      </c>
      <c r="I1567" s="210" t="s">
        <v>221</v>
      </c>
      <c r="J1567" s="210">
        <v>2025</v>
      </c>
      <c r="K1567" s="210">
        <v>2025</v>
      </c>
      <c r="L1567" s="268" t="str">
        <f t="shared" si="322"/>
        <v>Simple</v>
      </c>
      <c r="M1567" s="197">
        <v>0</v>
      </c>
      <c r="N1567" s="197">
        <v>0</v>
      </c>
      <c r="O1567" s="257">
        <f>IF(ISNA(MATCH(H1567,'Operating leases'!$B$32:$B$43,0)),0,INDEX('Operating leases'!$M$32:$S$43,MATCH(H1567,'Operating leases'!$B$32:$B$43,0),MATCH(J1567,'Operating leases'!$M$11:$S$11,0)))</f>
        <v>0</v>
      </c>
      <c r="P1567" s="257">
        <f t="shared" si="323"/>
        <v>0</v>
      </c>
      <c r="Q1567" s="257">
        <f t="shared" si="324"/>
        <v>0</v>
      </c>
      <c r="R1567" s="258">
        <f>INDEX('Escalators '!$M$124:$S$129,MATCH(I1567,'Escalators '!$B$124:$B$129,0),MATCH(J1567,'Escalators '!$M$113:$S$113,0))</f>
        <v>1.0867931559758131</v>
      </c>
      <c r="S1567" s="257">
        <f t="shared" si="325"/>
        <v>0</v>
      </c>
      <c r="T1567" s="257">
        <f t="shared" si="326"/>
        <v>0</v>
      </c>
      <c r="U1567" s="269">
        <f t="shared" si="327"/>
        <v>0</v>
      </c>
      <c r="V1567" s="269">
        <f t="shared" si="328"/>
        <v>0</v>
      </c>
      <c r="W1567" s="269">
        <f t="shared" si="329"/>
        <v>0</v>
      </c>
      <c r="X1567" s="257">
        <f t="shared" si="330"/>
        <v>0</v>
      </c>
      <c r="Y1567" s="270">
        <f>IF(L1567="Complex",(INDEX('Escalators '!$M$176:$S$176,MATCH('Forecast capex'!J1567,'Escalators '!$M$178:$S$178,0))/12+1)^((K1567-J1567)*12)-1,0)</f>
        <v>0</v>
      </c>
      <c r="Z1567" s="257">
        <f t="shared" si="331"/>
        <v>0</v>
      </c>
      <c r="AA1567" s="257">
        <f t="shared" si="332"/>
        <v>0</v>
      </c>
      <c r="AB1567" s="269">
        <f t="shared" si="333"/>
        <v>0</v>
      </c>
      <c r="AC1567" s="269">
        <f t="shared" si="334"/>
        <v>0</v>
      </c>
      <c r="AD1567" s="271" t="str">
        <f>INDEX('Global inputs'!$C$134:$C$171,MATCH(F1567,'Global inputs'!$B$134:$B$171,0))</f>
        <v xml:space="preserve">System growth </v>
      </c>
      <c r="AE1567" s="272">
        <f>IF(OR(H1567='Operating leases'!$B$32,H1567='Operating leases'!$B$33),"",INDEX('Global inputs'!$C$186:$C$243,MATCH(E1567,'Global inputs'!$B$186:$B$243,0)))</f>
        <v>0</v>
      </c>
    </row>
    <row r="1568" spans="1:31" s="27" customFormat="1" x14ac:dyDescent="0.2">
      <c r="A1568" s="250"/>
      <c r="B1568" s="210" t="s">
        <v>746</v>
      </c>
      <c r="C1568" s="210" t="s">
        <v>286</v>
      </c>
      <c r="D1568" s="210" t="s">
        <v>732</v>
      </c>
      <c r="E1568" s="210" t="s">
        <v>140</v>
      </c>
      <c r="F1568" s="210" t="s">
        <v>78</v>
      </c>
      <c r="G1568" s="210" t="s">
        <v>733</v>
      </c>
      <c r="H1568" s="197">
        <v>0</v>
      </c>
      <c r="I1568" s="210" t="s">
        <v>142</v>
      </c>
      <c r="J1568" s="210">
        <v>2025</v>
      </c>
      <c r="K1568" s="210">
        <v>2025</v>
      </c>
      <c r="L1568" s="268" t="str">
        <f t="shared" si="322"/>
        <v>Simple</v>
      </c>
      <c r="M1568" s="197">
        <v>0</v>
      </c>
      <c r="N1568" s="197">
        <v>0</v>
      </c>
      <c r="O1568" s="257">
        <f>IF(ISNA(MATCH(H1568,'Operating leases'!$B$32:$B$43,0)),0,INDEX('Operating leases'!$M$32:$S$43,MATCH(H1568,'Operating leases'!$B$32:$B$43,0),MATCH(J1568,'Operating leases'!$M$11:$S$11,0)))</f>
        <v>0</v>
      </c>
      <c r="P1568" s="257">
        <f t="shared" si="323"/>
        <v>0</v>
      </c>
      <c r="Q1568" s="257">
        <f t="shared" si="324"/>
        <v>0</v>
      </c>
      <c r="R1568" s="258">
        <f>INDEX('Escalators '!$M$124:$S$129,MATCH(I1568,'Escalators '!$B$124:$B$129,0),MATCH(J1568,'Escalators '!$M$113:$S$113,0))</f>
        <v>1.0914807286621109</v>
      </c>
      <c r="S1568" s="257">
        <f t="shared" si="325"/>
        <v>0</v>
      </c>
      <c r="T1568" s="257">
        <f t="shared" si="326"/>
        <v>0</v>
      </c>
      <c r="U1568" s="269">
        <f t="shared" si="327"/>
        <v>0</v>
      </c>
      <c r="V1568" s="269">
        <f t="shared" si="328"/>
        <v>0</v>
      </c>
      <c r="W1568" s="269">
        <f t="shared" si="329"/>
        <v>0</v>
      </c>
      <c r="X1568" s="257">
        <f t="shared" si="330"/>
        <v>0</v>
      </c>
      <c r="Y1568" s="270">
        <f>IF(L1568="Complex",(INDEX('Escalators '!$M$176:$S$176,MATCH('Forecast capex'!J1568,'Escalators '!$M$178:$S$178,0))/12+1)^((K1568-J1568)*12)-1,0)</f>
        <v>0</v>
      </c>
      <c r="Z1568" s="257">
        <f t="shared" si="331"/>
        <v>0</v>
      </c>
      <c r="AA1568" s="257">
        <f t="shared" si="332"/>
        <v>0</v>
      </c>
      <c r="AB1568" s="269">
        <f t="shared" si="333"/>
        <v>0</v>
      </c>
      <c r="AC1568" s="269">
        <f t="shared" si="334"/>
        <v>0</v>
      </c>
      <c r="AD1568" s="271" t="str">
        <f>INDEX('Global inputs'!$C$134:$C$171,MATCH(F1568,'Global inputs'!$B$134:$B$171,0))</f>
        <v xml:space="preserve">System growth </v>
      </c>
      <c r="AE1568" s="272">
        <f>IF(OR(H1568='Operating leases'!$B$32,H1568='Operating leases'!$B$33),"",INDEX('Global inputs'!$C$186:$C$243,MATCH(E1568,'Global inputs'!$B$186:$B$243,0)))</f>
        <v>0.08</v>
      </c>
    </row>
    <row r="1569" spans="1:31" s="27" customFormat="1" x14ac:dyDescent="0.2">
      <c r="A1569" s="250"/>
      <c r="B1569" s="210" t="s">
        <v>746</v>
      </c>
      <c r="C1569" s="210" t="s">
        <v>286</v>
      </c>
      <c r="D1569" s="210" t="s">
        <v>732</v>
      </c>
      <c r="E1569" s="210" t="s">
        <v>140</v>
      </c>
      <c r="F1569" s="210" t="s">
        <v>78</v>
      </c>
      <c r="G1569" s="210" t="s">
        <v>733</v>
      </c>
      <c r="H1569" s="197">
        <v>0</v>
      </c>
      <c r="I1569" s="210" t="s">
        <v>221</v>
      </c>
      <c r="J1569" s="210">
        <v>2025</v>
      </c>
      <c r="K1569" s="210">
        <v>2025</v>
      </c>
      <c r="L1569" s="268" t="str">
        <f t="shared" si="322"/>
        <v>Simple</v>
      </c>
      <c r="M1569" s="197">
        <v>0</v>
      </c>
      <c r="N1569" s="197">
        <v>0</v>
      </c>
      <c r="O1569" s="257">
        <f>IF(ISNA(MATCH(H1569,'Operating leases'!$B$32:$B$43,0)),0,INDEX('Operating leases'!$M$32:$S$43,MATCH(H1569,'Operating leases'!$B$32:$B$43,0),MATCH(J1569,'Operating leases'!$M$11:$S$11,0)))</f>
        <v>0</v>
      </c>
      <c r="P1569" s="257">
        <f t="shared" si="323"/>
        <v>0</v>
      </c>
      <c r="Q1569" s="257">
        <f t="shared" si="324"/>
        <v>0</v>
      </c>
      <c r="R1569" s="258">
        <f>INDEX('Escalators '!$M$124:$S$129,MATCH(I1569,'Escalators '!$B$124:$B$129,0),MATCH(J1569,'Escalators '!$M$113:$S$113,0))</f>
        <v>1.0867931559758131</v>
      </c>
      <c r="S1569" s="257">
        <f t="shared" si="325"/>
        <v>0</v>
      </c>
      <c r="T1569" s="257">
        <f t="shared" si="326"/>
        <v>0</v>
      </c>
      <c r="U1569" s="269">
        <f t="shared" si="327"/>
        <v>0</v>
      </c>
      <c r="V1569" s="269">
        <f t="shared" si="328"/>
        <v>0</v>
      </c>
      <c r="W1569" s="269">
        <f t="shared" si="329"/>
        <v>0</v>
      </c>
      <c r="X1569" s="257">
        <f t="shared" si="330"/>
        <v>0</v>
      </c>
      <c r="Y1569" s="270">
        <f>IF(L1569="Complex",(INDEX('Escalators '!$M$176:$S$176,MATCH('Forecast capex'!J1569,'Escalators '!$M$178:$S$178,0))/12+1)^((K1569-J1569)*12)-1,0)</f>
        <v>0</v>
      </c>
      <c r="Z1569" s="257">
        <f t="shared" si="331"/>
        <v>0</v>
      </c>
      <c r="AA1569" s="257">
        <f t="shared" si="332"/>
        <v>0</v>
      </c>
      <c r="AB1569" s="269">
        <f t="shared" si="333"/>
        <v>0</v>
      </c>
      <c r="AC1569" s="269">
        <f t="shared" si="334"/>
        <v>0</v>
      </c>
      <c r="AD1569" s="271" t="str">
        <f>INDEX('Global inputs'!$C$134:$C$171,MATCH(F1569,'Global inputs'!$B$134:$B$171,0))</f>
        <v xml:space="preserve">System growth </v>
      </c>
      <c r="AE1569" s="272">
        <f>IF(OR(H1569='Operating leases'!$B$32,H1569='Operating leases'!$B$33),"",INDEX('Global inputs'!$C$186:$C$243,MATCH(E1569,'Global inputs'!$B$186:$B$243,0)))</f>
        <v>0.08</v>
      </c>
    </row>
    <row r="1570" spans="1:31" s="27" customFormat="1" x14ac:dyDescent="0.2">
      <c r="A1570" s="250"/>
      <c r="B1570" s="210" t="s">
        <v>746</v>
      </c>
      <c r="C1570" s="210" t="s">
        <v>286</v>
      </c>
      <c r="D1570" s="210" t="s">
        <v>735</v>
      </c>
      <c r="E1570" s="210" t="s">
        <v>144</v>
      </c>
      <c r="F1570" s="210" t="s">
        <v>78</v>
      </c>
      <c r="G1570" s="210" t="s">
        <v>736</v>
      </c>
      <c r="H1570" s="197">
        <v>0</v>
      </c>
      <c r="I1570" s="210" t="s">
        <v>229</v>
      </c>
      <c r="J1570" s="210">
        <v>2025</v>
      </c>
      <c r="K1570" s="210">
        <v>2025</v>
      </c>
      <c r="L1570" s="268" t="str">
        <f t="shared" si="322"/>
        <v>Simple</v>
      </c>
      <c r="M1570" s="197">
        <v>0</v>
      </c>
      <c r="N1570" s="197">
        <v>0</v>
      </c>
      <c r="O1570" s="257">
        <f>IF(ISNA(MATCH(H1570,'Operating leases'!$B$32:$B$43,0)),0,INDEX('Operating leases'!$M$32:$S$43,MATCH(H1570,'Operating leases'!$B$32:$B$43,0),MATCH(J1570,'Operating leases'!$M$11:$S$11,0)))</f>
        <v>0</v>
      </c>
      <c r="P1570" s="257">
        <f t="shared" si="323"/>
        <v>0</v>
      </c>
      <c r="Q1570" s="257">
        <f t="shared" si="324"/>
        <v>0</v>
      </c>
      <c r="R1570" s="258">
        <f>INDEX('Escalators '!$M$124:$S$129,MATCH(I1570,'Escalators '!$B$124:$B$129,0),MATCH(J1570,'Escalators '!$M$113:$S$113,0))</f>
        <v>1.0919411253473632</v>
      </c>
      <c r="S1570" s="257">
        <f t="shared" si="325"/>
        <v>0</v>
      </c>
      <c r="T1570" s="257">
        <f t="shared" si="326"/>
        <v>0</v>
      </c>
      <c r="U1570" s="269">
        <f t="shared" si="327"/>
        <v>0</v>
      </c>
      <c r="V1570" s="269">
        <f t="shared" si="328"/>
        <v>0</v>
      </c>
      <c r="W1570" s="269">
        <f t="shared" si="329"/>
        <v>0</v>
      </c>
      <c r="X1570" s="257">
        <f t="shared" si="330"/>
        <v>0</v>
      </c>
      <c r="Y1570" s="270">
        <f>IF(L1570="Complex",(INDEX('Escalators '!$M$176:$S$176,MATCH('Forecast capex'!J1570,'Escalators '!$M$178:$S$178,0))/12+1)^((K1570-J1570)*12)-1,0)</f>
        <v>0</v>
      </c>
      <c r="Z1570" s="257">
        <f t="shared" si="331"/>
        <v>0</v>
      </c>
      <c r="AA1570" s="257">
        <f t="shared" si="332"/>
        <v>0</v>
      </c>
      <c r="AB1570" s="269">
        <f t="shared" si="333"/>
        <v>0</v>
      </c>
      <c r="AC1570" s="269">
        <f t="shared" si="334"/>
        <v>0</v>
      </c>
      <c r="AD1570" s="271" t="str">
        <f>INDEX('Global inputs'!$C$134:$C$171,MATCH(F1570,'Global inputs'!$B$134:$B$171,0))</f>
        <v xml:space="preserve">System growth </v>
      </c>
      <c r="AE1570" s="272">
        <f>IF(OR(H1570='Operating leases'!$B$32,H1570='Operating leases'!$B$33),"",INDEX('Global inputs'!$C$186:$C$243,MATCH(E1570,'Global inputs'!$B$186:$B$243,0)))</f>
        <v>0.08</v>
      </c>
    </row>
    <row r="1571" spans="1:31" s="27" customFormat="1" x14ac:dyDescent="0.2">
      <c r="A1571" s="250"/>
      <c r="B1571" s="210" t="s">
        <v>746</v>
      </c>
      <c r="C1571" s="210" t="s">
        <v>286</v>
      </c>
      <c r="D1571" s="210" t="s">
        <v>735</v>
      </c>
      <c r="E1571" s="210" t="s">
        <v>144</v>
      </c>
      <c r="F1571" s="210" t="s">
        <v>78</v>
      </c>
      <c r="G1571" s="210" t="s">
        <v>736</v>
      </c>
      <c r="H1571" s="197">
        <v>0</v>
      </c>
      <c r="I1571" s="210" t="s">
        <v>221</v>
      </c>
      <c r="J1571" s="210">
        <v>2025</v>
      </c>
      <c r="K1571" s="210">
        <v>2025</v>
      </c>
      <c r="L1571" s="268" t="str">
        <f t="shared" si="322"/>
        <v>Simple</v>
      </c>
      <c r="M1571" s="197">
        <v>0</v>
      </c>
      <c r="N1571" s="197">
        <v>0</v>
      </c>
      <c r="O1571" s="257">
        <f>IF(ISNA(MATCH(H1571,'Operating leases'!$B$32:$B$43,0)),0,INDEX('Operating leases'!$M$32:$S$43,MATCH(H1571,'Operating leases'!$B$32:$B$43,0),MATCH(J1571,'Operating leases'!$M$11:$S$11,0)))</f>
        <v>0</v>
      </c>
      <c r="P1571" s="257">
        <f t="shared" si="323"/>
        <v>0</v>
      </c>
      <c r="Q1571" s="257">
        <f t="shared" si="324"/>
        <v>0</v>
      </c>
      <c r="R1571" s="258">
        <f>INDEX('Escalators '!$M$124:$S$129,MATCH(I1571,'Escalators '!$B$124:$B$129,0),MATCH(J1571,'Escalators '!$M$113:$S$113,0))</f>
        <v>1.0867931559758131</v>
      </c>
      <c r="S1571" s="257">
        <f t="shared" si="325"/>
        <v>0</v>
      </c>
      <c r="T1571" s="257">
        <f t="shared" si="326"/>
        <v>0</v>
      </c>
      <c r="U1571" s="269">
        <f t="shared" si="327"/>
        <v>0</v>
      </c>
      <c r="V1571" s="269">
        <f t="shared" si="328"/>
        <v>0</v>
      </c>
      <c r="W1571" s="269">
        <f t="shared" si="329"/>
        <v>0</v>
      </c>
      <c r="X1571" s="257">
        <f t="shared" si="330"/>
        <v>0</v>
      </c>
      <c r="Y1571" s="270">
        <f>IF(L1571="Complex",(INDEX('Escalators '!$M$176:$S$176,MATCH('Forecast capex'!J1571,'Escalators '!$M$178:$S$178,0))/12+1)^((K1571-J1571)*12)-1,0)</f>
        <v>0</v>
      </c>
      <c r="Z1571" s="257">
        <f t="shared" si="331"/>
        <v>0</v>
      </c>
      <c r="AA1571" s="257">
        <f t="shared" si="332"/>
        <v>0</v>
      </c>
      <c r="AB1571" s="269">
        <f t="shared" si="333"/>
        <v>0</v>
      </c>
      <c r="AC1571" s="269">
        <f t="shared" si="334"/>
        <v>0</v>
      </c>
      <c r="AD1571" s="271" t="str">
        <f>INDEX('Global inputs'!$C$134:$C$171,MATCH(F1571,'Global inputs'!$B$134:$B$171,0))</f>
        <v xml:space="preserve">System growth </v>
      </c>
      <c r="AE1571" s="272">
        <f>IF(OR(H1571='Operating leases'!$B$32,H1571='Operating leases'!$B$33),"",INDEX('Global inputs'!$C$186:$C$243,MATCH(E1571,'Global inputs'!$B$186:$B$243,0)))</f>
        <v>0.08</v>
      </c>
    </row>
    <row r="1572" spans="1:31" s="27" customFormat="1" x14ac:dyDescent="0.2">
      <c r="A1572" s="250"/>
      <c r="B1572" s="210" t="s">
        <v>746</v>
      </c>
      <c r="C1572" s="210" t="s">
        <v>286</v>
      </c>
      <c r="D1572" s="210" t="s">
        <v>735</v>
      </c>
      <c r="E1572" s="210" t="s">
        <v>147</v>
      </c>
      <c r="F1572" s="210" t="s">
        <v>78</v>
      </c>
      <c r="G1572" s="210" t="s">
        <v>744</v>
      </c>
      <c r="H1572" s="197">
        <v>0</v>
      </c>
      <c r="I1572" s="210" t="s">
        <v>229</v>
      </c>
      <c r="J1572" s="210">
        <v>2025</v>
      </c>
      <c r="K1572" s="210">
        <v>2025</v>
      </c>
      <c r="L1572" s="268" t="str">
        <f t="shared" si="322"/>
        <v>Simple</v>
      </c>
      <c r="M1572" s="197">
        <v>0</v>
      </c>
      <c r="N1572" s="197">
        <v>0</v>
      </c>
      <c r="O1572" s="257">
        <f>IF(ISNA(MATCH(H1572,'Operating leases'!$B$32:$B$43,0)),0,INDEX('Operating leases'!$M$32:$S$43,MATCH(H1572,'Operating leases'!$B$32:$B$43,0),MATCH(J1572,'Operating leases'!$M$11:$S$11,0)))</f>
        <v>0</v>
      </c>
      <c r="P1572" s="257">
        <f t="shared" si="323"/>
        <v>0</v>
      </c>
      <c r="Q1572" s="257">
        <f t="shared" si="324"/>
        <v>0</v>
      </c>
      <c r="R1572" s="258">
        <f>INDEX('Escalators '!$M$124:$S$129,MATCH(I1572,'Escalators '!$B$124:$B$129,0),MATCH(J1572,'Escalators '!$M$113:$S$113,0))</f>
        <v>1.0919411253473632</v>
      </c>
      <c r="S1572" s="257">
        <f t="shared" si="325"/>
        <v>0</v>
      </c>
      <c r="T1572" s="257">
        <f t="shared" si="326"/>
        <v>0</v>
      </c>
      <c r="U1572" s="269">
        <f t="shared" si="327"/>
        <v>0</v>
      </c>
      <c r="V1572" s="269">
        <f t="shared" si="328"/>
        <v>0</v>
      </c>
      <c r="W1572" s="269">
        <f t="shared" si="329"/>
        <v>0</v>
      </c>
      <c r="X1572" s="257">
        <f t="shared" si="330"/>
        <v>0</v>
      </c>
      <c r="Y1572" s="270">
        <f>IF(L1572="Complex",(INDEX('Escalators '!$M$176:$S$176,MATCH('Forecast capex'!J1572,'Escalators '!$M$178:$S$178,0))/12+1)^((K1572-J1572)*12)-1,0)</f>
        <v>0</v>
      </c>
      <c r="Z1572" s="257">
        <f t="shared" si="331"/>
        <v>0</v>
      </c>
      <c r="AA1572" s="257">
        <f t="shared" si="332"/>
        <v>0</v>
      </c>
      <c r="AB1572" s="269">
        <f t="shared" si="333"/>
        <v>0</v>
      </c>
      <c r="AC1572" s="269">
        <f t="shared" si="334"/>
        <v>0</v>
      </c>
      <c r="AD1572" s="271" t="str">
        <f>INDEX('Global inputs'!$C$134:$C$171,MATCH(F1572,'Global inputs'!$B$134:$B$171,0))</f>
        <v xml:space="preserve">System growth </v>
      </c>
      <c r="AE1572" s="272">
        <f>IF(OR(H1572='Operating leases'!$B$32,H1572='Operating leases'!$B$33),"",INDEX('Global inputs'!$C$186:$C$243,MATCH(E1572,'Global inputs'!$B$186:$B$243,0)))</f>
        <v>0.08</v>
      </c>
    </row>
    <row r="1573" spans="1:31" s="27" customFormat="1" x14ac:dyDescent="0.2">
      <c r="A1573" s="250"/>
      <c r="B1573" s="210" t="s">
        <v>746</v>
      </c>
      <c r="C1573" s="210" t="s">
        <v>286</v>
      </c>
      <c r="D1573" s="210" t="s">
        <v>735</v>
      </c>
      <c r="E1573" s="210" t="s">
        <v>147</v>
      </c>
      <c r="F1573" s="210" t="s">
        <v>78</v>
      </c>
      <c r="G1573" s="210" t="s">
        <v>744</v>
      </c>
      <c r="H1573" s="197">
        <v>0</v>
      </c>
      <c r="I1573" s="210" t="s">
        <v>221</v>
      </c>
      <c r="J1573" s="210">
        <v>2025</v>
      </c>
      <c r="K1573" s="210">
        <v>2025</v>
      </c>
      <c r="L1573" s="268" t="str">
        <f t="shared" si="322"/>
        <v>Simple</v>
      </c>
      <c r="M1573" s="197">
        <v>0</v>
      </c>
      <c r="N1573" s="197">
        <v>0</v>
      </c>
      <c r="O1573" s="257">
        <f>IF(ISNA(MATCH(H1573,'Operating leases'!$B$32:$B$43,0)),0,INDEX('Operating leases'!$M$32:$S$43,MATCH(H1573,'Operating leases'!$B$32:$B$43,0),MATCH(J1573,'Operating leases'!$M$11:$S$11,0)))</f>
        <v>0</v>
      </c>
      <c r="P1573" s="257">
        <f t="shared" si="323"/>
        <v>0</v>
      </c>
      <c r="Q1573" s="257">
        <f t="shared" si="324"/>
        <v>0</v>
      </c>
      <c r="R1573" s="258">
        <f>INDEX('Escalators '!$M$124:$S$129,MATCH(I1573,'Escalators '!$B$124:$B$129,0),MATCH(J1573,'Escalators '!$M$113:$S$113,0))</f>
        <v>1.0867931559758131</v>
      </c>
      <c r="S1573" s="257">
        <f t="shared" si="325"/>
        <v>0</v>
      </c>
      <c r="T1573" s="257">
        <f t="shared" si="326"/>
        <v>0</v>
      </c>
      <c r="U1573" s="269">
        <f t="shared" si="327"/>
        <v>0</v>
      </c>
      <c r="V1573" s="269">
        <f t="shared" si="328"/>
        <v>0</v>
      </c>
      <c r="W1573" s="269">
        <f t="shared" si="329"/>
        <v>0</v>
      </c>
      <c r="X1573" s="257">
        <f t="shared" si="330"/>
        <v>0</v>
      </c>
      <c r="Y1573" s="270">
        <f>IF(L1573="Complex",(INDEX('Escalators '!$M$176:$S$176,MATCH('Forecast capex'!J1573,'Escalators '!$M$178:$S$178,0))/12+1)^((K1573-J1573)*12)-1,0)</f>
        <v>0</v>
      </c>
      <c r="Z1573" s="257">
        <f t="shared" si="331"/>
        <v>0</v>
      </c>
      <c r="AA1573" s="257">
        <f t="shared" si="332"/>
        <v>0</v>
      </c>
      <c r="AB1573" s="269">
        <f t="shared" si="333"/>
        <v>0</v>
      </c>
      <c r="AC1573" s="269">
        <f t="shared" si="334"/>
        <v>0</v>
      </c>
      <c r="AD1573" s="271" t="str">
        <f>INDEX('Global inputs'!$C$134:$C$171,MATCH(F1573,'Global inputs'!$B$134:$B$171,0))</f>
        <v xml:space="preserve">System growth </v>
      </c>
      <c r="AE1573" s="272">
        <f>IF(OR(H1573='Operating leases'!$B$32,H1573='Operating leases'!$B$33),"",INDEX('Global inputs'!$C$186:$C$243,MATCH(E1573,'Global inputs'!$B$186:$B$243,0)))</f>
        <v>0.08</v>
      </c>
    </row>
    <row r="1574" spans="1:31" s="27" customFormat="1" x14ac:dyDescent="0.2">
      <c r="A1574" s="250"/>
      <c r="B1574" s="210" t="s">
        <v>746</v>
      </c>
      <c r="C1574" s="210" t="s">
        <v>291</v>
      </c>
      <c r="D1574" s="210" t="s">
        <v>735</v>
      </c>
      <c r="E1574" s="210" t="s">
        <v>175</v>
      </c>
      <c r="F1574" s="210" t="s">
        <v>78</v>
      </c>
      <c r="G1574" s="210" t="s">
        <v>748</v>
      </c>
      <c r="H1574" s="197">
        <v>0</v>
      </c>
      <c r="I1574" s="210" t="s">
        <v>229</v>
      </c>
      <c r="J1574" s="210">
        <v>2025</v>
      </c>
      <c r="K1574" s="210">
        <v>2025</v>
      </c>
      <c r="L1574" s="268" t="str">
        <f t="shared" si="322"/>
        <v>Simple</v>
      </c>
      <c r="M1574" s="197">
        <v>0</v>
      </c>
      <c r="N1574" s="197">
        <v>0</v>
      </c>
      <c r="O1574" s="257">
        <f>IF(ISNA(MATCH(H1574,'Operating leases'!$B$32:$B$43,0)),0,INDEX('Operating leases'!$M$32:$S$43,MATCH(H1574,'Operating leases'!$B$32:$B$43,0),MATCH(J1574,'Operating leases'!$M$11:$S$11,0)))</f>
        <v>0</v>
      </c>
      <c r="P1574" s="257">
        <f t="shared" si="323"/>
        <v>0</v>
      </c>
      <c r="Q1574" s="257">
        <f t="shared" si="324"/>
        <v>0</v>
      </c>
      <c r="R1574" s="258">
        <f>INDEX('Escalators '!$M$124:$S$129,MATCH(I1574,'Escalators '!$B$124:$B$129,0),MATCH(J1574,'Escalators '!$M$113:$S$113,0))</f>
        <v>1.0919411253473632</v>
      </c>
      <c r="S1574" s="257">
        <f t="shared" si="325"/>
        <v>0</v>
      </c>
      <c r="T1574" s="257">
        <f t="shared" si="326"/>
        <v>0</v>
      </c>
      <c r="U1574" s="269">
        <f t="shared" si="327"/>
        <v>0</v>
      </c>
      <c r="V1574" s="269">
        <f t="shared" si="328"/>
        <v>0</v>
      </c>
      <c r="W1574" s="269">
        <f t="shared" si="329"/>
        <v>0</v>
      </c>
      <c r="X1574" s="257">
        <f t="shared" si="330"/>
        <v>0</v>
      </c>
      <c r="Y1574" s="270">
        <f>IF(L1574="Complex",(INDEX('Escalators '!$M$176:$S$176,MATCH('Forecast capex'!J1574,'Escalators '!$M$178:$S$178,0))/12+1)^((K1574-J1574)*12)-1,0)</f>
        <v>0</v>
      </c>
      <c r="Z1574" s="257">
        <f t="shared" si="331"/>
        <v>0</v>
      </c>
      <c r="AA1574" s="257">
        <f t="shared" si="332"/>
        <v>0</v>
      </c>
      <c r="AB1574" s="269">
        <f t="shared" si="333"/>
        <v>0</v>
      </c>
      <c r="AC1574" s="269">
        <f t="shared" si="334"/>
        <v>0</v>
      </c>
      <c r="AD1574" s="271" t="str">
        <f>INDEX('Global inputs'!$C$134:$C$171,MATCH(F1574,'Global inputs'!$B$134:$B$171,0))</f>
        <v xml:space="preserve">System growth </v>
      </c>
      <c r="AE1574" s="272">
        <f>IF(OR(H1574='Operating leases'!$B$32,H1574='Operating leases'!$B$33),"",INDEX('Global inputs'!$C$186:$C$243,MATCH(E1574,'Global inputs'!$B$186:$B$243,0)))</f>
        <v>0.1</v>
      </c>
    </row>
    <row r="1575" spans="1:31" s="27" customFormat="1" x14ac:dyDescent="0.2">
      <c r="A1575" s="250"/>
      <c r="B1575" s="210" t="s">
        <v>746</v>
      </c>
      <c r="C1575" s="210" t="s">
        <v>291</v>
      </c>
      <c r="D1575" s="210" t="s">
        <v>735</v>
      </c>
      <c r="E1575" s="210" t="s">
        <v>175</v>
      </c>
      <c r="F1575" s="210" t="s">
        <v>78</v>
      </c>
      <c r="G1575" s="210" t="s">
        <v>748</v>
      </c>
      <c r="H1575" s="197">
        <v>0</v>
      </c>
      <c r="I1575" s="210" t="s">
        <v>221</v>
      </c>
      <c r="J1575" s="210">
        <v>2025</v>
      </c>
      <c r="K1575" s="210">
        <v>2025</v>
      </c>
      <c r="L1575" s="268" t="str">
        <f t="shared" si="322"/>
        <v>Simple</v>
      </c>
      <c r="M1575" s="197">
        <v>0</v>
      </c>
      <c r="N1575" s="197">
        <v>0</v>
      </c>
      <c r="O1575" s="257">
        <f>IF(ISNA(MATCH(H1575,'Operating leases'!$B$32:$B$43,0)),0,INDEX('Operating leases'!$M$32:$S$43,MATCH(H1575,'Operating leases'!$B$32:$B$43,0),MATCH(J1575,'Operating leases'!$M$11:$S$11,0)))</f>
        <v>0</v>
      </c>
      <c r="P1575" s="257">
        <f t="shared" si="323"/>
        <v>0</v>
      </c>
      <c r="Q1575" s="257">
        <f t="shared" si="324"/>
        <v>0</v>
      </c>
      <c r="R1575" s="258">
        <f>INDEX('Escalators '!$M$124:$S$129,MATCH(I1575,'Escalators '!$B$124:$B$129,0),MATCH(J1575,'Escalators '!$M$113:$S$113,0))</f>
        <v>1.0867931559758131</v>
      </c>
      <c r="S1575" s="257">
        <f t="shared" si="325"/>
        <v>0</v>
      </c>
      <c r="T1575" s="257">
        <f t="shared" si="326"/>
        <v>0</v>
      </c>
      <c r="U1575" s="269">
        <f t="shared" si="327"/>
        <v>0</v>
      </c>
      <c r="V1575" s="269">
        <f t="shared" si="328"/>
        <v>0</v>
      </c>
      <c r="W1575" s="269">
        <f t="shared" si="329"/>
        <v>0</v>
      </c>
      <c r="X1575" s="257">
        <f t="shared" si="330"/>
        <v>0</v>
      </c>
      <c r="Y1575" s="270">
        <f>IF(L1575="Complex",(INDEX('Escalators '!$M$176:$S$176,MATCH('Forecast capex'!J1575,'Escalators '!$M$178:$S$178,0))/12+1)^((K1575-J1575)*12)-1,0)</f>
        <v>0</v>
      </c>
      <c r="Z1575" s="257">
        <f t="shared" si="331"/>
        <v>0</v>
      </c>
      <c r="AA1575" s="257">
        <f t="shared" si="332"/>
        <v>0</v>
      </c>
      <c r="AB1575" s="269">
        <f t="shared" si="333"/>
        <v>0</v>
      </c>
      <c r="AC1575" s="269">
        <f t="shared" si="334"/>
        <v>0</v>
      </c>
      <c r="AD1575" s="271" t="str">
        <f>INDEX('Global inputs'!$C$134:$C$171,MATCH(F1575,'Global inputs'!$B$134:$B$171,0))</f>
        <v xml:space="preserve">System growth </v>
      </c>
      <c r="AE1575" s="272">
        <f>IF(OR(H1575='Operating leases'!$B$32,H1575='Operating leases'!$B$33),"",INDEX('Global inputs'!$C$186:$C$243,MATCH(E1575,'Global inputs'!$B$186:$B$243,0)))</f>
        <v>0.1</v>
      </c>
    </row>
    <row r="1576" spans="1:31" s="27" customFormat="1" x14ac:dyDescent="0.2">
      <c r="A1576" s="250"/>
      <c r="B1576" s="210" t="s">
        <v>742</v>
      </c>
      <c r="C1576" s="210" t="s">
        <v>286</v>
      </c>
      <c r="D1576" s="210" t="s">
        <v>732</v>
      </c>
      <c r="E1576" s="210" t="s">
        <v>136</v>
      </c>
      <c r="F1576" s="210" t="s">
        <v>108</v>
      </c>
      <c r="G1576" s="210" t="s">
        <v>751</v>
      </c>
      <c r="H1576" s="197">
        <v>0</v>
      </c>
      <c r="I1576" s="210" t="s">
        <v>221</v>
      </c>
      <c r="J1576" s="210">
        <v>2025</v>
      </c>
      <c r="K1576" s="210">
        <v>2025</v>
      </c>
      <c r="L1576" s="268" t="str">
        <f t="shared" si="322"/>
        <v>Simple</v>
      </c>
      <c r="M1576" s="197">
        <v>33250</v>
      </c>
      <c r="N1576" s="197">
        <v>0</v>
      </c>
      <c r="O1576" s="257">
        <f>IF(ISNA(MATCH(H1576,'Operating leases'!$B$32:$B$43,0)),0,INDEX('Operating leases'!$M$32:$S$43,MATCH(H1576,'Operating leases'!$B$32:$B$43,0),MATCH(J1576,'Operating leases'!$M$11:$S$11,0)))</f>
        <v>0</v>
      </c>
      <c r="P1576" s="257">
        <f t="shared" si="323"/>
        <v>33250</v>
      </c>
      <c r="Q1576" s="257">
        <f t="shared" si="324"/>
        <v>33250</v>
      </c>
      <c r="R1576" s="258">
        <f>INDEX('Escalators '!$M$124:$S$129,MATCH(I1576,'Escalators '!$B$124:$B$129,0),MATCH(J1576,'Escalators '!$M$113:$S$113,0))</f>
        <v>1.0867931559758131</v>
      </c>
      <c r="S1576" s="257">
        <f t="shared" si="325"/>
        <v>0</v>
      </c>
      <c r="T1576" s="257">
        <f t="shared" si="326"/>
        <v>0</v>
      </c>
      <c r="U1576" s="269">
        <f t="shared" si="327"/>
        <v>36135.872436195787</v>
      </c>
      <c r="V1576" s="269">
        <f t="shared" si="328"/>
        <v>36135.872436195787</v>
      </c>
      <c r="W1576" s="269">
        <f t="shared" si="329"/>
        <v>36135.872436195787</v>
      </c>
      <c r="X1576" s="257">
        <f t="shared" si="330"/>
        <v>36135.872436195787</v>
      </c>
      <c r="Y1576" s="270">
        <f>IF(L1576="Complex",(INDEX('Escalators '!$M$176:$S$176,MATCH('Forecast capex'!J1576,'Escalators '!$M$178:$S$178,0))/12+1)^((K1576-J1576)*12)-1,0)</f>
        <v>0</v>
      </c>
      <c r="Z1576" s="257">
        <f t="shared" si="331"/>
        <v>0</v>
      </c>
      <c r="AA1576" s="257">
        <f t="shared" si="332"/>
        <v>0</v>
      </c>
      <c r="AB1576" s="269">
        <f t="shared" si="333"/>
        <v>0</v>
      </c>
      <c r="AC1576" s="269">
        <f t="shared" si="334"/>
        <v>0</v>
      </c>
      <c r="AD1576" s="271" t="str">
        <f>INDEX('Global inputs'!$C$134:$C$171,MATCH(F1576,'Global inputs'!$B$134:$B$171,0))</f>
        <v>Asset replacement and renewal</v>
      </c>
      <c r="AE1576" s="272">
        <f>IF(OR(H1576='Operating leases'!$B$32,H1576='Operating leases'!$B$33),"",INDEX('Global inputs'!$C$186:$C$243,MATCH(E1576,'Global inputs'!$B$186:$B$243,0)))</f>
        <v>0</v>
      </c>
    </row>
    <row r="1577" spans="1:31" s="27" customFormat="1" x14ac:dyDescent="0.2">
      <c r="A1577" s="250"/>
      <c r="B1577" s="210" t="s">
        <v>742</v>
      </c>
      <c r="C1577" s="210" t="s">
        <v>286</v>
      </c>
      <c r="D1577" s="210" t="s">
        <v>732</v>
      </c>
      <c r="E1577" s="210" t="s">
        <v>136</v>
      </c>
      <c r="F1577" s="210" t="s">
        <v>108</v>
      </c>
      <c r="G1577" s="210" t="s">
        <v>751</v>
      </c>
      <c r="H1577" s="197">
        <v>0</v>
      </c>
      <c r="I1577" s="210" t="s">
        <v>229</v>
      </c>
      <c r="J1577" s="210">
        <v>2025</v>
      </c>
      <c r="K1577" s="210">
        <v>2025</v>
      </c>
      <c r="L1577" s="268" t="str">
        <f t="shared" si="322"/>
        <v>Simple</v>
      </c>
      <c r="M1577" s="197">
        <v>33250</v>
      </c>
      <c r="N1577" s="197">
        <v>0</v>
      </c>
      <c r="O1577" s="257">
        <f>IF(ISNA(MATCH(H1577,'Operating leases'!$B$32:$B$43,0)),0,INDEX('Operating leases'!$M$32:$S$43,MATCH(H1577,'Operating leases'!$B$32:$B$43,0),MATCH(J1577,'Operating leases'!$M$11:$S$11,0)))</f>
        <v>0</v>
      </c>
      <c r="P1577" s="257">
        <f t="shared" si="323"/>
        <v>33250</v>
      </c>
      <c r="Q1577" s="257">
        <f t="shared" si="324"/>
        <v>33250</v>
      </c>
      <c r="R1577" s="258">
        <f>INDEX('Escalators '!$M$124:$S$129,MATCH(I1577,'Escalators '!$B$124:$B$129,0),MATCH(J1577,'Escalators '!$M$113:$S$113,0))</f>
        <v>1.0919411253473632</v>
      </c>
      <c r="S1577" s="257">
        <f t="shared" si="325"/>
        <v>0</v>
      </c>
      <c r="T1577" s="257">
        <f t="shared" si="326"/>
        <v>0</v>
      </c>
      <c r="U1577" s="269">
        <f t="shared" si="327"/>
        <v>36307.042417799828</v>
      </c>
      <c r="V1577" s="269">
        <f t="shared" si="328"/>
        <v>36307.042417799828</v>
      </c>
      <c r="W1577" s="269">
        <f t="shared" si="329"/>
        <v>36307.042417799828</v>
      </c>
      <c r="X1577" s="257">
        <f t="shared" si="330"/>
        <v>36307.042417799828</v>
      </c>
      <c r="Y1577" s="270">
        <f>IF(L1577="Complex",(INDEX('Escalators '!$M$176:$S$176,MATCH('Forecast capex'!J1577,'Escalators '!$M$178:$S$178,0))/12+1)^((K1577-J1577)*12)-1,0)</f>
        <v>0</v>
      </c>
      <c r="Z1577" s="257">
        <f t="shared" si="331"/>
        <v>0</v>
      </c>
      <c r="AA1577" s="257">
        <f t="shared" si="332"/>
        <v>0</v>
      </c>
      <c r="AB1577" s="269">
        <f t="shared" si="333"/>
        <v>0</v>
      </c>
      <c r="AC1577" s="269">
        <f t="shared" si="334"/>
        <v>0</v>
      </c>
      <c r="AD1577" s="271" t="str">
        <f>INDEX('Global inputs'!$C$134:$C$171,MATCH(F1577,'Global inputs'!$B$134:$B$171,0))</f>
        <v>Asset replacement and renewal</v>
      </c>
      <c r="AE1577" s="272">
        <f>IF(OR(H1577='Operating leases'!$B$32,H1577='Operating leases'!$B$33),"",INDEX('Global inputs'!$C$186:$C$243,MATCH(E1577,'Global inputs'!$B$186:$B$243,0)))</f>
        <v>0</v>
      </c>
    </row>
    <row r="1578" spans="1:31" s="27" customFormat="1" x14ac:dyDescent="0.2">
      <c r="A1578" s="250"/>
      <c r="B1578" s="210" t="s">
        <v>742</v>
      </c>
      <c r="C1578" s="210" t="s">
        <v>286</v>
      </c>
      <c r="D1578" s="210" t="s">
        <v>732</v>
      </c>
      <c r="E1578" s="210" t="s">
        <v>138</v>
      </c>
      <c r="F1578" s="210" t="s">
        <v>108</v>
      </c>
      <c r="G1578" s="210" t="s">
        <v>752</v>
      </c>
      <c r="H1578" s="197">
        <v>0</v>
      </c>
      <c r="I1578" s="210" t="s">
        <v>221</v>
      </c>
      <c r="J1578" s="210">
        <v>2025</v>
      </c>
      <c r="K1578" s="210">
        <v>2025</v>
      </c>
      <c r="L1578" s="268" t="str">
        <f t="shared" si="322"/>
        <v>Simple</v>
      </c>
      <c r="M1578" s="197">
        <v>53572.399999999994</v>
      </c>
      <c r="N1578" s="197">
        <v>0</v>
      </c>
      <c r="O1578" s="257">
        <f>IF(ISNA(MATCH(H1578,'Operating leases'!$B$32:$B$43,0)),0,INDEX('Operating leases'!$M$32:$S$43,MATCH(H1578,'Operating leases'!$B$32:$B$43,0),MATCH(J1578,'Operating leases'!$M$11:$S$11,0)))</f>
        <v>0</v>
      </c>
      <c r="P1578" s="257">
        <f t="shared" si="323"/>
        <v>53572.399999999994</v>
      </c>
      <c r="Q1578" s="257">
        <f t="shared" si="324"/>
        <v>53572.399999999994</v>
      </c>
      <c r="R1578" s="258">
        <f>INDEX('Escalators '!$M$124:$S$129,MATCH(I1578,'Escalators '!$B$124:$B$129,0),MATCH(J1578,'Escalators '!$M$113:$S$113,0))</f>
        <v>1.0867931559758131</v>
      </c>
      <c r="S1578" s="257">
        <f t="shared" si="325"/>
        <v>0</v>
      </c>
      <c r="T1578" s="257">
        <f t="shared" si="326"/>
        <v>0</v>
      </c>
      <c r="U1578" s="269">
        <f t="shared" si="327"/>
        <v>58222.11766919864</v>
      </c>
      <c r="V1578" s="269">
        <f t="shared" si="328"/>
        <v>58222.11766919864</v>
      </c>
      <c r="W1578" s="269">
        <f t="shared" si="329"/>
        <v>58222.11766919864</v>
      </c>
      <c r="X1578" s="257">
        <f t="shared" si="330"/>
        <v>58222.11766919864</v>
      </c>
      <c r="Y1578" s="270">
        <f>IF(L1578="Complex",(INDEX('Escalators '!$M$176:$S$176,MATCH('Forecast capex'!J1578,'Escalators '!$M$178:$S$178,0))/12+1)^((K1578-J1578)*12)-1,0)</f>
        <v>0</v>
      </c>
      <c r="Z1578" s="257">
        <f t="shared" si="331"/>
        <v>0</v>
      </c>
      <c r="AA1578" s="257">
        <f t="shared" si="332"/>
        <v>0</v>
      </c>
      <c r="AB1578" s="269">
        <f t="shared" si="333"/>
        <v>0</v>
      </c>
      <c r="AC1578" s="269">
        <f t="shared" si="334"/>
        <v>0</v>
      </c>
      <c r="AD1578" s="271" t="str">
        <f>INDEX('Global inputs'!$C$134:$C$171,MATCH(F1578,'Global inputs'!$B$134:$B$171,0))</f>
        <v>Asset replacement and renewal</v>
      </c>
      <c r="AE1578" s="272">
        <f>IF(OR(H1578='Operating leases'!$B$32,H1578='Operating leases'!$B$33),"",INDEX('Global inputs'!$C$186:$C$243,MATCH(E1578,'Global inputs'!$B$186:$B$243,0)))</f>
        <v>0.08</v>
      </c>
    </row>
    <row r="1579" spans="1:31" s="27" customFormat="1" x14ac:dyDescent="0.2">
      <c r="A1579" s="250"/>
      <c r="B1579" s="210" t="s">
        <v>742</v>
      </c>
      <c r="C1579" s="210" t="s">
        <v>286</v>
      </c>
      <c r="D1579" s="210" t="s">
        <v>732</v>
      </c>
      <c r="E1579" s="210" t="s">
        <v>138</v>
      </c>
      <c r="F1579" s="210" t="s">
        <v>108</v>
      </c>
      <c r="G1579" s="210" t="s">
        <v>752</v>
      </c>
      <c r="H1579" s="197">
        <v>0</v>
      </c>
      <c r="I1579" s="210" t="s">
        <v>139</v>
      </c>
      <c r="J1579" s="210">
        <v>2025</v>
      </c>
      <c r="K1579" s="210">
        <v>2025</v>
      </c>
      <c r="L1579" s="268" t="str">
        <f t="shared" si="322"/>
        <v>Simple</v>
      </c>
      <c r="M1579" s="197">
        <v>80358.599999999991</v>
      </c>
      <c r="N1579" s="197">
        <v>0</v>
      </c>
      <c r="O1579" s="257">
        <f>IF(ISNA(MATCH(H1579,'Operating leases'!$B$32:$B$43,0)),0,INDEX('Operating leases'!$M$32:$S$43,MATCH(H1579,'Operating leases'!$B$32:$B$43,0),MATCH(J1579,'Operating leases'!$M$11:$S$11,0)))</f>
        <v>0</v>
      </c>
      <c r="P1579" s="257">
        <f t="shared" si="323"/>
        <v>80358.599999999991</v>
      </c>
      <c r="Q1579" s="257">
        <f t="shared" si="324"/>
        <v>80358.599999999991</v>
      </c>
      <c r="R1579" s="258">
        <f>INDEX('Escalators '!$M$124:$S$129,MATCH(I1579,'Escalators '!$B$124:$B$129,0),MATCH(J1579,'Escalators '!$M$113:$S$113,0))</f>
        <v>1.0587148896071601</v>
      </c>
      <c r="S1579" s="257">
        <f t="shared" si="325"/>
        <v>0</v>
      </c>
      <c r="T1579" s="257">
        <f t="shared" si="326"/>
        <v>0</v>
      </c>
      <c r="U1579" s="269">
        <f t="shared" si="327"/>
        <v>85076.846327985928</v>
      </c>
      <c r="V1579" s="269">
        <f t="shared" si="328"/>
        <v>85076.846327985928</v>
      </c>
      <c r="W1579" s="269">
        <f t="shared" si="329"/>
        <v>85076.846327985928</v>
      </c>
      <c r="X1579" s="257">
        <f t="shared" si="330"/>
        <v>85076.846327985928</v>
      </c>
      <c r="Y1579" s="270">
        <f>IF(L1579="Complex",(INDEX('Escalators '!$M$176:$S$176,MATCH('Forecast capex'!J1579,'Escalators '!$M$178:$S$178,0))/12+1)^((K1579-J1579)*12)-1,0)</f>
        <v>0</v>
      </c>
      <c r="Z1579" s="257">
        <f t="shared" si="331"/>
        <v>0</v>
      </c>
      <c r="AA1579" s="257">
        <f t="shared" si="332"/>
        <v>0</v>
      </c>
      <c r="AB1579" s="269">
        <f t="shared" si="333"/>
        <v>0</v>
      </c>
      <c r="AC1579" s="269">
        <f t="shared" si="334"/>
        <v>0</v>
      </c>
      <c r="AD1579" s="271" t="str">
        <f>INDEX('Global inputs'!$C$134:$C$171,MATCH(F1579,'Global inputs'!$B$134:$B$171,0))</f>
        <v>Asset replacement and renewal</v>
      </c>
      <c r="AE1579" s="272">
        <f>IF(OR(H1579='Operating leases'!$B$32,H1579='Operating leases'!$B$33),"",INDEX('Global inputs'!$C$186:$C$243,MATCH(E1579,'Global inputs'!$B$186:$B$243,0)))</f>
        <v>0.08</v>
      </c>
    </row>
    <row r="1580" spans="1:31" s="27" customFormat="1" x14ac:dyDescent="0.2">
      <c r="A1580" s="250"/>
      <c r="B1580" s="210" t="s">
        <v>742</v>
      </c>
      <c r="C1580" s="210" t="s">
        <v>286</v>
      </c>
      <c r="D1580" s="210" t="s">
        <v>732</v>
      </c>
      <c r="E1580" s="210" t="s">
        <v>140</v>
      </c>
      <c r="F1580" s="210" t="s">
        <v>108</v>
      </c>
      <c r="G1580" s="210" t="s">
        <v>733</v>
      </c>
      <c r="H1580" s="197">
        <v>0</v>
      </c>
      <c r="I1580" s="210" t="s">
        <v>221</v>
      </c>
      <c r="J1580" s="210">
        <v>2025</v>
      </c>
      <c r="K1580" s="210">
        <v>2025</v>
      </c>
      <c r="L1580" s="268" t="str">
        <f t="shared" si="322"/>
        <v>Simple</v>
      </c>
      <c r="M1580" s="197">
        <v>383040</v>
      </c>
      <c r="N1580" s="197">
        <v>0</v>
      </c>
      <c r="O1580" s="257">
        <f>IF(ISNA(MATCH(H1580,'Operating leases'!$B$32:$B$43,0)),0,INDEX('Operating leases'!$M$32:$S$43,MATCH(H1580,'Operating leases'!$B$32:$B$43,0),MATCH(J1580,'Operating leases'!$M$11:$S$11,0)))</f>
        <v>0</v>
      </c>
      <c r="P1580" s="257">
        <f t="shared" si="323"/>
        <v>383040</v>
      </c>
      <c r="Q1580" s="257">
        <f t="shared" si="324"/>
        <v>383040</v>
      </c>
      <c r="R1580" s="258">
        <f>INDEX('Escalators '!$M$124:$S$129,MATCH(I1580,'Escalators '!$B$124:$B$129,0),MATCH(J1580,'Escalators '!$M$113:$S$113,0))</f>
        <v>1.0867931559758131</v>
      </c>
      <c r="S1580" s="257">
        <f t="shared" si="325"/>
        <v>0</v>
      </c>
      <c r="T1580" s="257">
        <f t="shared" si="326"/>
        <v>0</v>
      </c>
      <c r="U1580" s="269">
        <f t="shared" si="327"/>
        <v>416285.25046497543</v>
      </c>
      <c r="V1580" s="269">
        <f t="shared" si="328"/>
        <v>416285.25046497543</v>
      </c>
      <c r="W1580" s="269">
        <f t="shared" si="329"/>
        <v>416285.25046497543</v>
      </c>
      <c r="X1580" s="257">
        <f t="shared" si="330"/>
        <v>416285.25046497543</v>
      </c>
      <c r="Y1580" s="270">
        <f>IF(L1580="Complex",(INDEX('Escalators '!$M$176:$S$176,MATCH('Forecast capex'!J1580,'Escalators '!$M$178:$S$178,0))/12+1)^((K1580-J1580)*12)-1,0)</f>
        <v>0</v>
      </c>
      <c r="Z1580" s="257">
        <f t="shared" si="331"/>
        <v>0</v>
      </c>
      <c r="AA1580" s="257">
        <f t="shared" si="332"/>
        <v>0</v>
      </c>
      <c r="AB1580" s="269">
        <f t="shared" si="333"/>
        <v>0</v>
      </c>
      <c r="AC1580" s="269">
        <f t="shared" si="334"/>
        <v>0</v>
      </c>
      <c r="AD1580" s="271" t="str">
        <f>INDEX('Global inputs'!$C$134:$C$171,MATCH(F1580,'Global inputs'!$B$134:$B$171,0))</f>
        <v>Asset replacement and renewal</v>
      </c>
      <c r="AE1580" s="272">
        <f>IF(OR(H1580='Operating leases'!$B$32,H1580='Operating leases'!$B$33),"",INDEX('Global inputs'!$C$186:$C$243,MATCH(E1580,'Global inputs'!$B$186:$B$243,0)))</f>
        <v>0.08</v>
      </c>
    </row>
    <row r="1581" spans="1:31" s="27" customFormat="1" x14ac:dyDescent="0.2">
      <c r="A1581" s="250"/>
      <c r="B1581" s="210" t="s">
        <v>742</v>
      </c>
      <c r="C1581" s="210" t="s">
        <v>286</v>
      </c>
      <c r="D1581" s="210" t="s">
        <v>732</v>
      </c>
      <c r="E1581" s="210" t="s">
        <v>140</v>
      </c>
      <c r="F1581" s="210" t="s">
        <v>108</v>
      </c>
      <c r="G1581" s="210" t="s">
        <v>733</v>
      </c>
      <c r="H1581" s="197">
        <v>0</v>
      </c>
      <c r="I1581" s="210" t="s">
        <v>142</v>
      </c>
      <c r="J1581" s="210">
        <v>2025</v>
      </c>
      <c r="K1581" s="210">
        <v>2025</v>
      </c>
      <c r="L1581" s="268" t="str">
        <f t="shared" si="322"/>
        <v>Simple</v>
      </c>
      <c r="M1581" s="197">
        <v>574560</v>
      </c>
      <c r="N1581" s="197">
        <v>0</v>
      </c>
      <c r="O1581" s="257">
        <f>IF(ISNA(MATCH(H1581,'Operating leases'!$B$32:$B$43,0)),0,INDEX('Operating leases'!$M$32:$S$43,MATCH(H1581,'Operating leases'!$B$32:$B$43,0),MATCH(J1581,'Operating leases'!$M$11:$S$11,0)))</f>
        <v>0</v>
      </c>
      <c r="P1581" s="257">
        <f t="shared" si="323"/>
        <v>574560</v>
      </c>
      <c r="Q1581" s="257">
        <f t="shared" si="324"/>
        <v>574560</v>
      </c>
      <c r="R1581" s="258">
        <f>INDEX('Escalators '!$M$124:$S$129,MATCH(I1581,'Escalators '!$B$124:$B$129,0),MATCH(J1581,'Escalators '!$M$113:$S$113,0))</f>
        <v>1.0914807286621109</v>
      </c>
      <c r="S1581" s="257">
        <f t="shared" si="325"/>
        <v>0</v>
      </c>
      <c r="T1581" s="257">
        <f t="shared" si="326"/>
        <v>0</v>
      </c>
      <c r="U1581" s="269">
        <f t="shared" si="327"/>
        <v>627121.16746010247</v>
      </c>
      <c r="V1581" s="269">
        <f t="shared" si="328"/>
        <v>627121.16746010247</v>
      </c>
      <c r="W1581" s="269">
        <f t="shared" si="329"/>
        <v>627121.16746010247</v>
      </c>
      <c r="X1581" s="257">
        <f t="shared" si="330"/>
        <v>627121.16746010247</v>
      </c>
      <c r="Y1581" s="270">
        <f>IF(L1581="Complex",(INDEX('Escalators '!$M$176:$S$176,MATCH('Forecast capex'!J1581,'Escalators '!$M$178:$S$178,0))/12+1)^((K1581-J1581)*12)-1,0)</f>
        <v>0</v>
      </c>
      <c r="Z1581" s="257">
        <f t="shared" si="331"/>
        <v>0</v>
      </c>
      <c r="AA1581" s="257">
        <f t="shared" si="332"/>
        <v>0</v>
      </c>
      <c r="AB1581" s="269">
        <f t="shared" si="333"/>
        <v>0</v>
      </c>
      <c r="AC1581" s="269">
        <f t="shared" si="334"/>
        <v>0</v>
      </c>
      <c r="AD1581" s="271" t="str">
        <f>INDEX('Global inputs'!$C$134:$C$171,MATCH(F1581,'Global inputs'!$B$134:$B$171,0))</f>
        <v>Asset replacement and renewal</v>
      </c>
      <c r="AE1581" s="272">
        <f>IF(OR(H1581='Operating leases'!$B$32,H1581='Operating leases'!$B$33),"",INDEX('Global inputs'!$C$186:$C$243,MATCH(E1581,'Global inputs'!$B$186:$B$243,0)))</f>
        <v>0.08</v>
      </c>
    </row>
    <row r="1582" spans="1:31" s="27" customFormat="1" x14ac:dyDescent="0.2">
      <c r="A1582" s="250"/>
      <c r="B1582" s="210" t="s">
        <v>742</v>
      </c>
      <c r="C1582" s="210" t="s">
        <v>286</v>
      </c>
      <c r="D1582" s="210" t="s">
        <v>735</v>
      </c>
      <c r="E1582" s="210" t="s">
        <v>147</v>
      </c>
      <c r="F1582" s="210" t="s">
        <v>108</v>
      </c>
      <c r="G1582" s="210" t="s">
        <v>744</v>
      </c>
      <c r="H1582" s="197">
        <v>0</v>
      </c>
      <c r="I1582" s="210" t="s">
        <v>221</v>
      </c>
      <c r="J1582" s="210">
        <v>2025</v>
      </c>
      <c r="K1582" s="210">
        <v>2025</v>
      </c>
      <c r="L1582" s="268" t="str">
        <f t="shared" si="322"/>
        <v>Simple</v>
      </c>
      <c r="M1582" s="197">
        <v>62562.641399999993</v>
      </c>
      <c r="N1582" s="197">
        <v>0</v>
      </c>
      <c r="O1582" s="257">
        <f>IF(ISNA(MATCH(H1582,'Operating leases'!$B$32:$B$43,0)),0,INDEX('Operating leases'!$M$32:$S$43,MATCH(H1582,'Operating leases'!$B$32:$B$43,0),MATCH(J1582,'Operating leases'!$M$11:$S$11,0)))</f>
        <v>0</v>
      </c>
      <c r="P1582" s="257">
        <f t="shared" si="323"/>
        <v>62562.641399999993</v>
      </c>
      <c r="Q1582" s="257">
        <f t="shared" si="324"/>
        <v>62562.641399999993</v>
      </c>
      <c r="R1582" s="258">
        <f>INDEX('Escalators '!$M$124:$S$129,MATCH(I1582,'Escalators '!$B$124:$B$129,0),MATCH(J1582,'Escalators '!$M$113:$S$113,0))</f>
        <v>1.0867931559758131</v>
      </c>
      <c r="S1582" s="257">
        <f t="shared" si="325"/>
        <v>0</v>
      </c>
      <c r="T1582" s="257">
        <f t="shared" si="326"/>
        <v>0</v>
      </c>
      <c r="U1582" s="269">
        <f t="shared" si="327"/>
        <v>67992.650493289053</v>
      </c>
      <c r="V1582" s="269">
        <f t="shared" si="328"/>
        <v>67992.650493289053</v>
      </c>
      <c r="W1582" s="269">
        <f t="shared" si="329"/>
        <v>67992.650493289053</v>
      </c>
      <c r="X1582" s="257">
        <f t="shared" si="330"/>
        <v>67992.650493289053</v>
      </c>
      <c r="Y1582" s="270">
        <f>IF(L1582="Complex",(INDEX('Escalators '!$M$176:$S$176,MATCH('Forecast capex'!J1582,'Escalators '!$M$178:$S$178,0))/12+1)^((K1582-J1582)*12)-1,0)</f>
        <v>0</v>
      </c>
      <c r="Z1582" s="257">
        <f t="shared" si="331"/>
        <v>0</v>
      </c>
      <c r="AA1582" s="257">
        <f t="shared" si="332"/>
        <v>0</v>
      </c>
      <c r="AB1582" s="269">
        <f t="shared" si="333"/>
        <v>0</v>
      </c>
      <c r="AC1582" s="269">
        <f t="shared" si="334"/>
        <v>0</v>
      </c>
      <c r="AD1582" s="271" t="str">
        <f>INDEX('Global inputs'!$C$134:$C$171,MATCH(F1582,'Global inputs'!$B$134:$B$171,0))</f>
        <v>Asset replacement and renewal</v>
      </c>
      <c r="AE1582" s="272">
        <f>IF(OR(H1582='Operating leases'!$B$32,H1582='Operating leases'!$B$33),"",INDEX('Global inputs'!$C$186:$C$243,MATCH(E1582,'Global inputs'!$B$186:$B$243,0)))</f>
        <v>0.08</v>
      </c>
    </row>
    <row r="1583" spans="1:31" s="27" customFormat="1" x14ac:dyDescent="0.2">
      <c r="A1583" s="250"/>
      <c r="B1583" s="210" t="s">
        <v>742</v>
      </c>
      <c r="C1583" s="210" t="s">
        <v>286</v>
      </c>
      <c r="D1583" s="210" t="s">
        <v>735</v>
      </c>
      <c r="E1583" s="210" t="s">
        <v>147</v>
      </c>
      <c r="F1583" s="210" t="s">
        <v>108</v>
      </c>
      <c r="G1583" s="210" t="s">
        <v>744</v>
      </c>
      <c r="H1583" s="197">
        <v>0</v>
      </c>
      <c r="I1583" s="210" t="s">
        <v>229</v>
      </c>
      <c r="J1583" s="210">
        <v>2025</v>
      </c>
      <c r="K1583" s="210">
        <v>2025</v>
      </c>
      <c r="L1583" s="268" t="str">
        <f t="shared" si="322"/>
        <v>Simple</v>
      </c>
      <c r="M1583" s="197">
        <v>15640.660349999998</v>
      </c>
      <c r="N1583" s="197">
        <v>0</v>
      </c>
      <c r="O1583" s="257">
        <f>IF(ISNA(MATCH(H1583,'Operating leases'!$B$32:$B$43,0)),0,INDEX('Operating leases'!$M$32:$S$43,MATCH(H1583,'Operating leases'!$B$32:$B$43,0),MATCH(J1583,'Operating leases'!$M$11:$S$11,0)))</f>
        <v>0</v>
      </c>
      <c r="P1583" s="257">
        <f t="shared" si="323"/>
        <v>15640.660349999998</v>
      </c>
      <c r="Q1583" s="257">
        <f t="shared" si="324"/>
        <v>15640.660349999998</v>
      </c>
      <c r="R1583" s="258">
        <f>INDEX('Escalators '!$M$124:$S$129,MATCH(I1583,'Escalators '!$B$124:$B$129,0),MATCH(J1583,'Escalators '!$M$113:$S$113,0))</f>
        <v>1.0919411253473632</v>
      </c>
      <c r="S1583" s="257">
        <f t="shared" si="325"/>
        <v>0</v>
      </c>
      <c r="T1583" s="257">
        <f t="shared" si="326"/>
        <v>0</v>
      </c>
      <c r="U1583" s="269">
        <f t="shared" si="327"/>
        <v>17078.680263754883</v>
      </c>
      <c r="V1583" s="269">
        <f t="shared" si="328"/>
        <v>17078.680263754883</v>
      </c>
      <c r="W1583" s="269">
        <f t="shared" si="329"/>
        <v>17078.680263754883</v>
      </c>
      <c r="X1583" s="257">
        <f t="shared" si="330"/>
        <v>17078.680263754883</v>
      </c>
      <c r="Y1583" s="270">
        <f>IF(L1583="Complex",(INDEX('Escalators '!$M$176:$S$176,MATCH('Forecast capex'!J1583,'Escalators '!$M$178:$S$178,0))/12+1)^((K1583-J1583)*12)-1,0)</f>
        <v>0</v>
      </c>
      <c r="Z1583" s="257">
        <f t="shared" si="331"/>
        <v>0</v>
      </c>
      <c r="AA1583" s="257">
        <f t="shared" si="332"/>
        <v>0</v>
      </c>
      <c r="AB1583" s="269">
        <f t="shared" si="333"/>
        <v>0</v>
      </c>
      <c r="AC1583" s="269">
        <f t="shared" si="334"/>
        <v>0</v>
      </c>
      <c r="AD1583" s="271" t="str">
        <f>INDEX('Global inputs'!$C$134:$C$171,MATCH(F1583,'Global inputs'!$B$134:$B$171,0))</f>
        <v>Asset replacement and renewal</v>
      </c>
      <c r="AE1583" s="272">
        <f>IF(OR(H1583='Operating leases'!$B$32,H1583='Operating leases'!$B$33),"",INDEX('Global inputs'!$C$186:$C$243,MATCH(E1583,'Global inputs'!$B$186:$B$243,0)))</f>
        <v>0.08</v>
      </c>
    </row>
    <row r="1584" spans="1:31" s="27" customFormat="1" x14ac:dyDescent="0.2">
      <c r="A1584" s="250"/>
      <c r="B1584" s="210" t="s">
        <v>742</v>
      </c>
      <c r="C1584" s="210" t="s">
        <v>288</v>
      </c>
      <c r="D1584" s="210" t="s">
        <v>223</v>
      </c>
      <c r="E1584" s="210" t="s">
        <v>156</v>
      </c>
      <c r="F1584" s="210" t="s">
        <v>108</v>
      </c>
      <c r="G1584" s="210" t="s">
        <v>727</v>
      </c>
      <c r="H1584" s="197">
        <v>0</v>
      </c>
      <c r="I1584" s="210" t="s">
        <v>221</v>
      </c>
      <c r="J1584" s="210">
        <v>2025</v>
      </c>
      <c r="K1584" s="210">
        <v>2025</v>
      </c>
      <c r="L1584" s="268" t="str">
        <f t="shared" si="322"/>
        <v>Simple</v>
      </c>
      <c r="M1584" s="197">
        <v>5818.75</v>
      </c>
      <c r="N1584" s="197">
        <v>0</v>
      </c>
      <c r="O1584" s="257">
        <f>IF(ISNA(MATCH(H1584,'Operating leases'!$B$32:$B$43,0)),0,INDEX('Operating leases'!$M$32:$S$43,MATCH(H1584,'Operating leases'!$B$32:$B$43,0),MATCH(J1584,'Operating leases'!$M$11:$S$11,0)))</f>
        <v>0</v>
      </c>
      <c r="P1584" s="257">
        <f t="shared" si="323"/>
        <v>5818.75</v>
      </c>
      <c r="Q1584" s="257">
        <f t="shared" si="324"/>
        <v>5818.75</v>
      </c>
      <c r="R1584" s="258">
        <f>INDEX('Escalators '!$M$124:$S$129,MATCH(I1584,'Escalators '!$B$124:$B$129,0),MATCH(J1584,'Escalators '!$M$113:$S$113,0))</f>
        <v>1.0867931559758131</v>
      </c>
      <c r="S1584" s="257">
        <f t="shared" si="325"/>
        <v>0</v>
      </c>
      <c r="T1584" s="257">
        <f t="shared" si="326"/>
        <v>0</v>
      </c>
      <c r="U1584" s="269">
        <f t="shared" si="327"/>
        <v>6323.7776763342627</v>
      </c>
      <c r="V1584" s="269">
        <f t="shared" si="328"/>
        <v>6323.7776763342627</v>
      </c>
      <c r="W1584" s="269">
        <f t="shared" si="329"/>
        <v>6323.7776763342627</v>
      </c>
      <c r="X1584" s="257">
        <f t="shared" si="330"/>
        <v>6323.7776763342627</v>
      </c>
      <c r="Y1584" s="270">
        <f>IF(L1584="Complex",(INDEX('Escalators '!$M$176:$S$176,MATCH('Forecast capex'!J1584,'Escalators '!$M$178:$S$178,0))/12+1)^((K1584-J1584)*12)-1,0)</f>
        <v>0</v>
      </c>
      <c r="Z1584" s="257">
        <f t="shared" si="331"/>
        <v>0</v>
      </c>
      <c r="AA1584" s="257">
        <f t="shared" si="332"/>
        <v>0</v>
      </c>
      <c r="AB1584" s="269">
        <f t="shared" si="333"/>
        <v>0</v>
      </c>
      <c r="AC1584" s="269">
        <f t="shared" si="334"/>
        <v>0</v>
      </c>
      <c r="AD1584" s="271" t="str">
        <f>INDEX('Global inputs'!$C$134:$C$171,MATCH(F1584,'Global inputs'!$B$134:$B$171,0))</f>
        <v>Asset replacement and renewal</v>
      </c>
      <c r="AE1584" s="272">
        <f>IF(OR(H1584='Operating leases'!$B$32,H1584='Operating leases'!$B$33),"",INDEX('Global inputs'!$C$186:$C$243,MATCH(E1584,'Global inputs'!$B$186:$B$243,0)))</f>
        <v>0.08</v>
      </c>
    </row>
    <row r="1585" spans="1:31" s="27" customFormat="1" x14ac:dyDescent="0.2">
      <c r="A1585" s="250"/>
      <c r="B1585" s="210" t="s">
        <v>742</v>
      </c>
      <c r="C1585" s="210" t="s">
        <v>288</v>
      </c>
      <c r="D1585" s="210" t="s">
        <v>223</v>
      </c>
      <c r="E1585" s="210" t="s">
        <v>156</v>
      </c>
      <c r="F1585" s="210" t="s">
        <v>108</v>
      </c>
      <c r="G1585" s="210" t="s">
        <v>727</v>
      </c>
      <c r="H1585" s="197">
        <v>0</v>
      </c>
      <c r="I1585" s="210" t="s">
        <v>223</v>
      </c>
      <c r="J1585" s="210">
        <v>2025</v>
      </c>
      <c r="K1585" s="210">
        <v>2025</v>
      </c>
      <c r="L1585" s="268" t="str">
        <f t="shared" si="322"/>
        <v>Simple</v>
      </c>
      <c r="M1585" s="197">
        <v>2493.75</v>
      </c>
      <c r="N1585" s="197">
        <v>0</v>
      </c>
      <c r="O1585" s="257">
        <f>IF(ISNA(MATCH(H1585,'Operating leases'!$B$32:$B$43,0)),0,INDEX('Operating leases'!$M$32:$S$43,MATCH(H1585,'Operating leases'!$B$32:$B$43,0),MATCH(J1585,'Operating leases'!$M$11:$S$11,0)))</f>
        <v>0</v>
      </c>
      <c r="P1585" s="257">
        <f t="shared" si="323"/>
        <v>2493.75</v>
      </c>
      <c r="Q1585" s="257">
        <f t="shared" si="324"/>
        <v>2493.75</v>
      </c>
      <c r="R1585" s="258">
        <f>INDEX('Escalators '!$M$124:$S$129,MATCH(I1585,'Escalators '!$B$124:$B$129,0),MATCH(J1585,'Escalators '!$M$113:$S$113,0))</f>
        <v>1.1331892756985407</v>
      </c>
      <c r="S1585" s="257">
        <f t="shared" si="325"/>
        <v>0</v>
      </c>
      <c r="T1585" s="257">
        <f t="shared" si="326"/>
        <v>0</v>
      </c>
      <c r="U1585" s="269">
        <f t="shared" si="327"/>
        <v>2825.8907562732356</v>
      </c>
      <c r="V1585" s="269">
        <f t="shared" si="328"/>
        <v>2825.8907562732356</v>
      </c>
      <c r="W1585" s="269">
        <f t="shared" si="329"/>
        <v>2825.8907562732356</v>
      </c>
      <c r="X1585" s="257">
        <f t="shared" si="330"/>
        <v>2825.8907562732356</v>
      </c>
      <c r="Y1585" s="270">
        <f>IF(L1585="Complex",(INDEX('Escalators '!$M$176:$S$176,MATCH('Forecast capex'!J1585,'Escalators '!$M$178:$S$178,0))/12+1)^((K1585-J1585)*12)-1,0)</f>
        <v>0</v>
      </c>
      <c r="Z1585" s="257">
        <f t="shared" si="331"/>
        <v>0</v>
      </c>
      <c r="AA1585" s="257">
        <f t="shared" si="332"/>
        <v>0</v>
      </c>
      <c r="AB1585" s="269">
        <f t="shared" si="333"/>
        <v>0</v>
      </c>
      <c r="AC1585" s="269">
        <f t="shared" si="334"/>
        <v>0</v>
      </c>
      <c r="AD1585" s="271" t="str">
        <f>INDEX('Global inputs'!$C$134:$C$171,MATCH(F1585,'Global inputs'!$B$134:$B$171,0))</f>
        <v>Asset replacement and renewal</v>
      </c>
      <c r="AE1585" s="272">
        <f>IF(OR(H1585='Operating leases'!$B$32,H1585='Operating leases'!$B$33),"",INDEX('Global inputs'!$C$186:$C$243,MATCH(E1585,'Global inputs'!$B$186:$B$243,0)))</f>
        <v>0.08</v>
      </c>
    </row>
    <row r="1586" spans="1:31" s="27" customFormat="1" x14ac:dyDescent="0.2">
      <c r="A1586" s="250"/>
      <c r="B1586" s="210" t="s">
        <v>742</v>
      </c>
      <c r="C1586" s="210" t="s">
        <v>290</v>
      </c>
      <c r="D1586" s="210" t="s">
        <v>718</v>
      </c>
      <c r="E1586" s="210" t="s">
        <v>173</v>
      </c>
      <c r="F1586" s="210" t="s">
        <v>108</v>
      </c>
      <c r="G1586" s="210" t="s">
        <v>719</v>
      </c>
      <c r="H1586" s="197">
        <v>0</v>
      </c>
      <c r="I1586" s="210" t="s">
        <v>221</v>
      </c>
      <c r="J1586" s="210">
        <v>2025</v>
      </c>
      <c r="K1586" s="210">
        <v>2025</v>
      </c>
      <c r="L1586" s="268" t="str">
        <f t="shared" si="322"/>
        <v>Simple</v>
      </c>
      <c r="M1586" s="197">
        <v>19950</v>
      </c>
      <c r="N1586" s="197">
        <v>0</v>
      </c>
      <c r="O1586" s="257">
        <f>IF(ISNA(MATCH(H1586,'Operating leases'!$B$32:$B$43,0)),0,INDEX('Operating leases'!$M$32:$S$43,MATCH(H1586,'Operating leases'!$B$32:$B$43,0),MATCH(J1586,'Operating leases'!$M$11:$S$11,0)))</f>
        <v>0</v>
      </c>
      <c r="P1586" s="257">
        <f t="shared" si="323"/>
        <v>19950</v>
      </c>
      <c r="Q1586" s="257">
        <f t="shared" si="324"/>
        <v>19950</v>
      </c>
      <c r="R1586" s="258">
        <f>INDEX('Escalators '!$M$124:$S$129,MATCH(I1586,'Escalators '!$B$124:$B$129,0),MATCH(J1586,'Escalators '!$M$113:$S$113,0))</f>
        <v>1.0867931559758131</v>
      </c>
      <c r="S1586" s="257">
        <f t="shared" si="325"/>
        <v>0</v>
      </c>
      <c r="T1586" s="257">
        <f t="shared" si="326"/>
        <v>0</v>
      </c>
      <c r="U1586" s="269">
        <f t="shared" si="327"/>
        <v>21681.523461717472</v>
      </c>
      <c r="V1586" s="269">
        <f t="shared" si="328"/>
        <v>21681.523461717472</v>
      </c>
      <c r="W1586" s="269">
        <f t="shared" si="329"/>
        <v>21681.523461717472</v>
      </c>
      <c r="X1586" s="257">
        <f t="shared" si="330"/>
        <v>21681.523461717472</v>
      </c>
      <c r="Y1586" s="270">
        <f>IF(L1586="Complex",(INDEX('Escalators '!$M$176:$S$176,MATCH('Forecast capex'!J1586,'Escalators '!$M$178:$S$178,0))/12+1)^((K1586-J1586)*12)-1,0)</f>
        <v>0</v>
      </c>
      <c r="Z1586" s="257">
        <f t="shared" si="331"/>
        <v>0</v>
      </c>
      <c r="AA1586" s="257">
        <f t="shared" si="332"/>
        <v>0</v>
      </c>
      <c r="AB1586" s="269">
        <f t="shared" si="333"/>
        <v>0</v>
      </c>
      <c r="AC1586" s="269">
        <f t="shared" si="334"/>
        <v>0</v>
      </c>
      <c r="AD1586" s="271" t="str">
        <f>INDEX('Global inputs'!$C$134:$C$171,MATCH(F1586,'Global inputs'!$B$134:$B$171,0))</f>
        <v>Asset replacement and renewal</v>
      </c>
      <c r="AE1586" s="272">
        <f>IF(OR(H1586='Operating leases'!$B$32,H1586='Operating leases'!$B$33),"",INDEX('Global inputs'!$C$186:$C$243,MATCH(E1586,'Global inputs'!$B$186:$B$243,0)))</f>
        <v>0.08</v>
      </c>
    </row>
    <row r="1587" spans="1:31" s="27" customFormat="1" x14ac:dyDescent="0.2">
      <c r="A1587" s="250"/>
      <c r="B1587" s="210" t="s">
        <v>742</v>
      </c>
      <c r="C1587" s="210" t="s">
        <v>290</v>
      </c>
      <c r="D1587" s="210" t="s">
        <v>718</v>
      </c>
      <c r="E1587" s="210" t="s">
        <v>173</v>
      </c>
      <c r="F1587" s="210" t="s">
        <v>108</v>
      </c>
      <c r="G1587" s="210" t="s">
        <v>719</v>
      </c>
      <c r="H1587" s="197">
        <v>0</v>
      </c>
      <c r="I1587" s="210" t="s">
        <v>142</v>
      </c>
      <c r="J1587" s="210">
        <v>2025</v>
      </c>
      <c r="K1587" s="210">
        <v>2025</v>
      </c>
      <c r="L1587" s="268" t="str">
        <f t="shared" si="322"/>
        <v>Simple</v>
      </c>
      <c r="M1587" s="197">
        <v>79800</v>
      </c>
      <c r="N1587" s="197">
        <v>0</v>
      </c>
      <c r="O1587" s="257">
        <f>IF(ISNA(MATCH(H1587,'Operating leases'!$B$32:$B$43,0)),0,INDEX('Operating leases'!$M$32:$S$43,MATCH(H1587,'Operating leases'!$B$32:$B$43,0),MATCH(J1587,'Operating leases'!$M$11:$S$11,0)))</f>
        <v>0</v>
      </c>
      <c r="P1587" s="257">
        <f t="shared" si="323"/>
        <v>79800</v>
      </c>
      <c r="Q1587" s="257">
        <f t="shared" si="324"/>
        <v>79800</v>
      </c>
      <c r="R1587" s="258">
        <f>INDEX('Escalators '!$M$124:$S$129,MATCH(I1587,'Escalators '!$B$124:$B$129,0),MATCH(J1587,'Escalators '!$M$113:$S$113,0))</f>
        <v>1.0914807286621109</v>
      </c>
      <c r="S1587" s="257">
        <f t="shared" si="325"/>
        <v>0</v>
      </c>
      <c r="T1587" s="257">
        <f t="shared" si="326"/>
        <v>0</v>
      </c>
      <c r="U1587" s="269">
        <f t="shared" si="327"/>
        <v>87100.16214723645</v>
      </c>
      <c r="V1587" s="269">
        <f t="shared" si="328"/>
        <v>87100.16214723645</v>
      </c>
      <c r="W1587" s="269">
        <f t="shared" si="329"/>
        <v>87100.16214723645</v>
      </c>
      <c r="X1587" s="257">
        <f t="shared" si="330"/>
        <v>87100.16214723645</v>
      </c>
      <c r="Y1587" s="270">
        <f>IF(L1587="Complex",(INDEX('Escalators '!$M$176:$S$176,MATCH('Forecast capex'!J1587,'Escalators '!$M$178:$S$178,0))/12+1)^((K1587-J1587)*12)-1,0)</f>
        <v>0</v>
      </c>
      <c r="Z1587" s="257">
        <f t="shared" si="331"/>
        <v>0</v>
      </c>
      <c r="AA1587" s="257">
        <f t="shared" si="332"/>
        <v>0</v>
      </c>
      <c r="AB1587" s="269">
        <f t="shared" si="333"/>
        <v>0</v>
      </c>
      <c r="AC1587" s="269">
        <f t="shared" si="334"/>
        <v>0</v>
      </c>
      <c r="AD1587" s="271" t="str">
        <f>INDEX('Global inputs'!$C$134:$C$171,MATCH(F1587,'Global inputs'!$B$134:$B$171,0))</f>
        <v>Asset replacement and renewal</v>
      </c>
      <c r="AE1587" s="272">
        <f>IF(OR(H1587='Operating leases'!$B$32,H1587='Operating leases'!$B$33),"",INDEX('Global inputs'!$C$186:$C$243,MATCH(E1587,'Global inputs'!$B$186:$B$243,0)))</f>
        <v>0.08</v>
      </c>
    </row>
    <row r="1588" spans="1:31" s="27" customFormat="1" x14ac:dyDescent="0.2">
      <c r="A1588" s="250"/>
      <c r="B1588" s="210" t="s">
        <v>742</v>
      </c>
      <c r="C1588" s="210" t="s">
        <v>289</v>
      </c>
      <c r="D1588" s="210" t="s">
        <v>723</v>
      </c>
      <c r="E1588" s="210" t="s">
        <v>164</v>
      </c>
      <c r="F1588" s="210" t="s">
        <v>108</v>
      </c>
      <c r="G1588" s="210" t="s">
        <v>724</v>
      </c>
      <c r="H1588" s="197">
        <v>0</v>
      </c>
      <c r="I1588" s="210" t="s">
        <v>221</v>
      </c>
      <c r="J1588" s="210">
        <v>2025</v>
      </c>
      <c r="K1588" s="210">
        <v>2025</v>
      </c>
      <c r="L1588" s="268" t="str">
        <f t="shared" si="322"/>
        <v>Simple</v>
      </c>
      <c r="M1588" s="197">
        <v>12129.599999999999</v>
      </c>
      <c r="N1588" s="197">
        <v>0</v>
      </c>
      <c r="O1588" s="257">
        <f>IF(ISNA(MATCH(H1588,'Operating leases'!$B$32:$B$43,0)),0,INDEX('Operating leases'!$M$32:$S$43,MATCH(H1588,'Operating leases'!$B$32:$B$43,0),MATCH(J1588,'Operating leases'!$M$11:$S$11,0)))</f>
        <v>0</v>
      </c>
      <c r="P1588" s="257">
        <f t="shared" si="323"/>
        <v>12129.599999999999</v>
      </c>
      <c r="Q1588" s="257">
        <f t="shared" si="324"/>
        <v>12129.599999999999</v>
      </c>
      <c r="R1588" s="258">
        <f>INDEX('Escalators '!$M$124:$S$129,MATCH(I1588,'Escalators '!$B$124:$B$129,0),MATCH(J1588,'Escalators '!$M$113:$S$113,0))</f>
        <v>1.0867931559758131</v>
      </c>
      <c r="S1588" s="257">
        <f t="shared" si="325"/>
        <v>0</v>
      </c>
      <c r="T1588" s="257">
        <f t="shared" si="326"/>
        <v>0</v>
      </c>
      <c r="U1588" s="269">
        <f t="shared" si="327"/>
        <v>13182.36626472422</v>
      </c>
      <c r="V1588" s="269">
        <f t="shared" si="328"/>
        <v>13182.36626472422</v>
      </c>
      <c r="W1588" s="269">
        <f t="shared" si="329"/>
        <v>13182.36626472422</v>
      </c>
      <c r="X1588" s="257">
        <f t="shared" si="330"/>
        <v>13182.36626472422</v>
      </c>
      <c r="Y1588" s="270">
        <f>IF(L1588="Complex",(INDEX('Escalators '!$M$176:$S$176,MATCH('Forecast capex'!J1588,'Escalators '!$M$178:$S$178,0))/12+1)^((K1588-J1588)*12)-1,0)</f>
        <v>0</v>
      </c>
      <c r="Z1588" s="257">
        <f t="shared" si="331"/>
        <v>0</v>
      </c>
      <c r="AA1588" s="257">
        <f t="shared" si="332"/>
        <v>0</v>
      </c>
      <c r="AB1588" s="269">
        <f t="shared" si="333"/>
        <v>0</v>
      </c>
      <c r="AC1588" s="269">
        <f t="shared" si="334"/>
        <v>0</v>
      </c>
      <c r="AD1588" s="271" t="str">
        <f>INDEX('Global inputs'!$C$134:$C$171,MATCH(F1588,'Global inputs'!$B$134:$B$171,0))</f>
        <v>Asset replacement and renewal</v>
      </c>
      <c r="AE1588" s="272">
        <f>IF(OR(H1588='Operating leases'!$B$32,H1588='Operating leases'!$B$33),"",INDEX('Global inputs'!$C$186:$C$243,MATCH(E1588,'Global inputs'!$B$186:$B$243,0)))</f>
        <v>0.08</v>
      </c>
    </row>
    <row r="1589" spans="1:31" s="27" customFormat="1" x14ac:dyDescent="0.2">
      <c r="A1589" s="250"/>
      <c r="B1589" s="210" t="s">
        <v>742</v>
      </c>
      <c r="C1589" s="210" t="s">
        <v>289</v>
      </c>
      <c r="D1589" s="210" t="s">
        <v>723</v>
      </c>
      <c r="E1589" s="210" t="s">
        <v>164</v>
      </c>
      <c r="F1589" s="210" t="s">
        <v>108</v>
      </c>
      <c r="G1589" s="210" t="s">
        <v>724</v>
      </c>
      <c r="H1589" s="197">
        <v>0</v>
      </c>
      <c r="I1589" s="210" t="s">
        <v>139</v>
      </c>
      <c r="J1589" s="210">
        <v>2025</v>
      </c>
      <c r="K1589" s="210">
        <v>2025</v>
      </c>
      <c r="L1589" s="268" t="str">
        <f t="shared" si="322"/>
        <v>Simple</v>
      </c>
      <c r="M1589" s="197">
        <v>48518.399999999994</v>
      </c>
      <c r="N1589" s="197">
        <v>0</v>
      </c>
      <c r="O1589" s="257">
        <f>IF(ISNA(MATCH(H1589,'Operating leases'!$B$32:$B$43,0)),0,INDEX('Operating leases'!$M$32:$S$43,MATCH(H1589,'Operating leases'!$B$32:$B$43,0),MATCH(J1589,'Operating leases'!$M$11:$S$11,0)))</f>
        <v>0</v>
      </c>
      <c r="P1589" s="257">
        <f t="shared" si="323"/>
        <v>48518.399999999994</v>
      </c>
      <c r="Q1589" s="257">
        <f t="shared" si="324"/>
        <v>48518.399999999994</v>
      </c>
      <c r="R1589" s="258">
        <f>INDEX('Escalators '!$M$124:$S$129,MATCH(I1589,'Escalators '!$B$124:$B$129,0),MATCH(J1589,'Escalators '!$M$113:$S$113,0))</f>
        <v>1.0587148896071601</v>
      </c>
      <c r="S1589" s="257">
        <f t="shared" si="325"/>
        <v>0</v>
      </c>
      <c r="T1589" s="257">
        <f t="shared" si="326"/>
        <v>0</v>
      </c>
      <c r="U1589" s="269">
        <f t="shared" si="327"/>
        <v>51367.152499916032</v>
      </c>
      <c r="V1589" s="269">
        <f t="shared" si="328"/>
        <v>51367.152499916032</v>
      </c>
      <c r="W1589" s="269">
        <f t="shared" si="329"/>
        <v>51367.152499916032</v>
      </c>
      <c r="X1589" s="257">
        <f t="shared" si="330"/>
        <v>51367.152499916032</v>
      </c>
      <c r="Y1589" s="270">
        <f>IF(L1589="Complex",(INDEX('Escalators '!$M$176:$S$176,MATCH('Forecast capex'!J1589,'Escalators '!$M$178:$S$178,0))/12+1)^((K1589-J1589)*12)-1,0)</f>
        <v>0</v>
      </c>
      <c r="Z1589" s="257">
        <f t="shared" si="331"/>
        <v>0</v>
      </c>
      <c r="AA1589" s="257">
        <f t="shared" si="332"/>
        <v>0</v>
      </c>
      <c r="AB1589" s="269">
        <f t="shared" si="333"/>
        <v>0</v>
      </c>
      <c r="AC1589" s="269">
        <f t="shared" si="334"/>
        <v>0</v>
      </c>
      <c r="AD1589" s="271" t="str">
        <f>INDEX('Global inputs'!$C$134:$C$171,MATCH(F1589,'Global inputs'!$B$134:$B$171,0))</f>
        <v>Asset replacement and renewal</v>
      </c>
      <c r="AE1589" s="272">
        <f>IF(OR(H1589='Operating leases'!$B$32,H1589='Operating leases'!$B$33),"",INDEX('Global inputs'!$C$186:$C$243,MATCH(E1589,'Global inputs'!$B$186:$B$243,0)))</f>
        <v>0.08</v>
      </c>
    </row>
    <row r="1590" spans="1:31" s="27" customFormat="1" x14ac:dyDescent="0.2">
      <c r="A1590" s="250"/>
      <c r="B1590" s="210" t="s">
        <v>742</v>
      </c>
      <c r="C1590" s="210" t="s">
        <v>291</v>
      </c>
      <c r="D1590" s="210" t="s">
        <v>735</v>
      </c>
      <c r="E1590" s="210" t="s">
        <v>175</v>
      </c>
      <c r="F1590" s="210" t="s">
        <v>108</v>
      </c>
      <c r="G1590" s="210" t="s">
        <v>748</v>
      </c>
      <c r="H1590" s="197">
        <v>0</v>
      </c>
      <c r="I1590" s="210" t="s">
        <v>221</v>
      </c>
      <c r="J1590" s="210">
        <v>2025</v>
      </c>
      <c r="K1590" s="210">
        <v>2025</v>
      </c>
      <c r="L1590" s="268" t="str">
        <f t="shared" si="322"/>
        <v>Simple</v>
      </c>
      <c r="M1590" s="197">
        <v>78204</v>
      </c>
      <c r="N1590" s="197">
        <v>0</v>
      </c>
      <c r="O1590" s="257">
        <f>IF(ISNA(MATCH(H1590,'Operating leases'!$B$32:$B$43,0)),0,INDEX('Operating leases'!$M$32:$S$43,MATCH(H1590,'Operating leases'!$B$32:$B$43,0),MATCH(J1590,'Operating leases'!$M$11:$S$11,0)))</f>
        <v>0</v>
      </c>
      <c r="P1590" s="257">
        <f t="shared" si="323"/>
        <v>78204</v>
      </c>
      <c r="Q1590" s="257">
        <f t="shared" si="324"/>
        <v>78204</v>
      </c>
      <c r="R1590" s="258">
        <f>INDEX('Escalators '!$M$124:$S$129,MATCH(I1590,'Escalators '!$B$124:$B$129,0),MATCH(J1590,'Escalators '!$M$113:$S$113,0))</f>
        <v>1.0867931559758131</v>
      </c>
      <c r="S1590" s="257">
        <f t="shared" si="325"/>
        <v>0</v>
      </c>
      <c r="T1590" s="257">
        <f t="shared" si="326"/>
        <v>0</v>
      </c>
      <c r="U1590" s="269">
        <f t="shared" si="327"/>
        <v>84991.571969932484</v>
      </c>
      <c r="V1590" s="269">
        <f t="shared" si="328"/>
        <v>84991.571969932484</v>
      </c>
      <c r="W1590" s="269">
        <f t="shared" si="329"/>
        <v>84991.571969932484</v>
      </c>
      <c r="X1590" s="257">
        <f t="shared" si="330"/>
        <v>84991.571969932484</v>
      </c>
      <c r="Y1590" s="270">
        <f>IF(L1590="Complex",(INDEX('Escalators '!$M$176:$S$176,MATCH('Forecast capex'!J1590,'Escalators '!$M$178:$S$178,0))/12+1)^((K1590-J1590)*12)-1,0)</f>
        <v>0</v>
      </c>
      <c r="Z1590" s="257">
        <f t="shared" si="331"/>
        <v>0</v>
      </c>
      <c r="AA1590" s="257">
        <f t="shared" si="332"/>
        <v>0</v>
      </c>
      <c r="AB1590" s="269">
        <f t="shared" si="333"/>
        <v>0</v>
      </c>
      <c r="AC1590" s="269">
        <f t="shared" si="334"/>
        <v>0</v>
      </c>
      <c r="AD1590" s="271" t="str">
        <f>INDEX('Global inputs'!$C$134:$C$171,MATCH(F1590,'Global inputs'!$B$134:$B$171,0))</f>
        <v>Asset replacement and renewal</v>
      </c>
      <c r="AE1590" s="272">
        <f>IF(OR(H1590='Operating leases'!$B$32,H1590='Operating leases'!$B$33),"",INDEX('Global inputs'!$C$186:$C$243,MATCH(E1590,'Global inputs'!$B$186:$B$243,0)))</f>
        <v>0.1</v>
      </c>
    </row>
    <row r="1591" spans="1:31" s="27" customFormat="1" x14ac:dyDescent="0.2">
      <c r="A1591" s="250"/>
      <c r="B1591" s="210" t="s">
        <v>742</v>
      </c>
      <c r="C1591" s="210" t="s">
        <v>291</v>
      </c>
      <c r="D1591" s="210" t="s">
        <v>735</v>
      </c>
      <c r="E1591" s="210" t="s">
        <v>175</v>
      </c>
      <c r="F1591" s="210" t="s">
        <v>108</v>
      </c>
      <c r="G1591" s="210" t="s">
        <v>748</v>
      </c>
      <c r="H1591" s="197">
        <v>0</v>
      </c>
      <c r="I1591" s="210" t="s">
        <v>229</v>
      </c>
      <c r="J1591" s="210">
        <v>2025</v>
      </c>
      <c r="K1591" s="210">
        <v>2025</v>
      </c>
      <c r="L1591" s="268" t="str">
        <f t="shared" si="322"/>
        <v>Simple</v>
      </c>
      <c r="M1591" s="197">
        <v>19551</v>
      </c>
      <c r="N1591" s="197">
        <v>0</v>
      </c>
      <c r="O1591" s="257">
        <f>IF(ISNA(MATCH(H1591,'Operating leases'!$B$32:$B$43,0)),0,INDEX('Operating leases'!$M$32:$S$43,MATCH(H1591,'Operating leases'!$B$32:$B$43,0),MATCH(J1591,'Operating leases'!$M$11:$S$11,0)))</f>
        <v>0</v>
      </c>
      <c r="P1591" s="257">
        <f t="shared" si="323"/>
        <v>19551</v>
      </c>
      <c r="Q1591" s="257">
        <f t="shared" si="324"/>
        <v>19551</v>
      </c>
      <c r="R1591" s="258">
        <f>INDEX('Escalators '!$M$124:$S$129,MATCH(I1591,'Escalators '!$B$124:$B$129,0),MATCH(J1591,'Escalators '!$M$113:$S$113,0))</f>
        <v>1.0919411253473632</v>
      </c>
      <c r="S1591" s="257">
        <f t="shared" si="325"/>
        <v>0</v>
      </c>
      <c r="T1591" s="257">
        <f t="shared" si="326"/>
        <v>0</v>
      </c>
      <c r="U1591" s="269">
        <f t="shared" si="327"/>
        <v>21348.540941666299</v>
      </c>
      <c r="V1591" s="269">
        <f t="shared" si="328"/>
        <v>21348.540941666299</v>
      </c>
      <c r="W1591" s="269">
        <f t="shared" si="329"/>
        <v>21348.540941666299</v>
      </c>
      <c r="X1591" s="257">
        <f t="shared" si="330"/>
        <v>21348.540941666299</v>
      </c>
      <c r="Y1591" s="270">
        <f>IF(L1591="Complex",(INDEX('Escalators '!$M$176:$S$176,MATCH('Forecast capex'!J1591,'Escalators '!$M$178:$S$178,0))/12+1)^((K1591-J1591)*12)-1,0)</f>
        <v>0</v>
      </c>
      <c r="Z1591" s="257">
        <f t="shared" si="331"/>
        <v>0</v>
      </c>
      <c r="AA1591" s="257">
        <f t="shared" si="332"/>
        <v>0</v>
      </c>
      <c r="AB1591" s="269">
        <f t="shared" si="333"/>
        <v>0</v>
      </c>
      <c r="AC1591" s="269">
        <f t="shared" si="334"/>
        <v>0</v>
      </c>
      <c r="AD1591" s="271" t="str">
        <f>INDEX('Global inputs'!$C$134:$C$171,MATCH(F1591,'Global inputs'!$B$134:$B$171,0))</f>
        <v>Asset replacement and renewal</v>
      </c>
      <c r="AE1591" s="272">
        <f>IF(OR(H1591='Operating leases'!$B$32,H1591='Operating leases'!$B$33),"",INDEX('Global inputs'!$C$186:$C$243,MATCH(E1591,'Global inputs'!$B$186:$B$243,0)))</f>
        <v>0.1</v>
      </c>
    </row>
    <row r="1592" spans="1:31" s="27" customFormat="1" x14ac:dyDescent="0.2">
      <c r="A1592" s="250"/>
      <c r="B1592" s="210" t="s">
        <v>742</v>
      </c>
      <c r="C1592" s="210" t="s">
        <v>286</v>
      </c>
      <c r="D1592" s="210" t="s">
        <v>732</v>
      </c>
      <c r="E1592" s="210" t="s">
        <v>136</v>
      </c>
      <c r="F1592" s="210" t="s">
        <v>108</v>
      </c>
      <c r="G1592" s="210" t="s">
        <v>751</v>
      </c>
      <c r="H1592" s="197">
        <v>0</v>
      </c>
      <c r="I1592" s="210" t="s">
        <v>221</v>
      </c>
      <c r="J1592" s="210">
        <v>2025</v>
      </c>
      <c r="K1592" s="210">
        <v>2025</v>
      </c>
      <c r="L1592" s="268" t="str">
        <f t="shared" si="322"/>
        <v>Simple</v>
      </c>
      <c r="M1592" s="197">
        <v>534992.5</v>
      </c>
      <c r="N1592" s="197">
        <v>0</v>
      </c>
      <c r="O1592" s="257">
        <f>IF(ISNA(MATCH(H1592,'Operating leases'!$B$32:$B$43,0)),0,INDEX('Operating leases'!$M$32:$S$43,MATCH(H1592,'Operating leases'!$B$32:$B$43,0),MATCH(J1592,'Operating leases'!$M$11:$S$11,0)))</f>
        <v>0</v>
      </c>
      <c r="P1592" s="257">
        <f t="shared" si="323"/>
        <v>534992.5</v>
      </c>
      <c r="Q1592" s="257">
        <f t="shared" si="324"/>
        <v>534992.5</v>
      </c>
      <c r="R1592" s="258">
        <f>INDEX('Escalators '!$M$124:$S$129,MATCH(I1592,'Escalators '!$B$124:$B$129,0),MATCH(J1592,'Escalators '!$M$113:$S$113,0))</f>
        <v>1.0867931559758131</v>
      </c>
      <c r="S1592" s="257">
        <f t="shared" si="325"/>
        <v>0</v>
      </c>
      <c r="T1592" s="257">
        <f t="shared" si="326"/>
        <v>0</v>
      </c>
      <c r="U1592" s="269">
        <f t="shared" si="327"/>
        <v>581426.18749839021</v>
      </c>
      <c r="V1592" s="269">
        <f t="shared" si="328"/>
        <v>581426.18749839021</v>
      </c>
      <c r="W1592" s="269">
        <f t="shared" si="329"/>
        <v>581426.18749839021</v>
      </c>
      <c r="X1592" s="257">
        <f t="shared" si="330"/>
        <v>581426.18749839021</v>
      </c>
      <c r="Y1592" s="270">
        <f>IF(L1592="Complex",(INDEX('Escalators '!$M$176:$S$176,MATCH('Forecast capex'!J1592,'Escalators '!$M$178:$S$178,0))/12+1)^((K1592-J1592)*12)-1,0)</f>
        <v>0</v>
      </c>
      <c r="Z1592" s="257">
        <f t="shared" si="331"/>
        <v>0</v>
      </c>
      <c r="AA1592" s="257">
        <f t="shared" si="332"/>
        <v>0</v>
      </c>
      <c r="AB1592" s="269">
        <f t="shared" si="333"/>
        <v>0</v>
      </c>
      <c r="AC1592" s="269">
        <f t="shared" si="334"/>
        <v>0</v>
      </c>
      <c r="AD1592" s="271" t="str">
        <f>INDEX('Global inputs'!$C$134:$C$171,MATCH(F1592,'Global inputs'!$B$134:$B$171,0))</f>
        <v>Asset replacement and renewal</v>
      </c>
      <c r="AE1592" s="272">
        <f>IF(OR(H1592='Operating leases'!$B$32,H1592='Operating leases'!$B$33),"",INDEX('Global inputs'!$C$186:$C$243,MATCH(E1592,'Global inputs'!$B$186:$B$243,0)))</f>
        <v>0</v>
      </c>
    </row>
    <row r="1593" spans="1:31" s="27" customFormat="1" x14ac:dyDescent="0.2">
      <c r="A1593" s="250"/>
      <c r="B1593" s="210" t="s">
        <v>742</v>
      </c>
      <c r="C1593" s="210" t="s">
        <v>286</v>
      </c>
      <c r="D1593" s="210" t="s">
        <v>732</v>
      </c>
      <c r="E1593" s="210" t="s">
        <v>136</v>
      </c>
      <c r="F1593" s="210" t="s">
        <v>108</v>
      </c>
      <c r="G1593" s="210" t="s">
        <v>751</v>
      </c>
      <c r="H1593" s="197">
        <v>0</v>
      </c>
      <c r="I1593" s="210" t="s">
        <v>229</v>
      </c>
      <c r="J1593" s="210">
        <v>2025</v>
      </c>
      <c r="K1593" s="210">
        <v>2025</v>
      </c>
      <c r="L1593" s="268" t="str">
        <f t="shared" si="322"/>
        <v>Simple</v>
      </c>
      <c r="M1593" s="197">
        <v>534992.5</v>
      </c>
      <c r="N1593" s="197">
        <v>0</v>
      </c>
      <c r="O1593" s="257">
        <f>IF(ISNA(MATCH(H1593,'Operating leases'!$B$32:$B$43,0)),0,INDEX('Operating leases'!$M$32:$S$43,MATCH(H1593,'Operating leases'!$B$32:$B$43,0),MATCH(J1593,'Operating leases'!$M$11:$S$11,0)))</f>
        <v>0</v>
      </c>
      <c r="P1593" s="257">
        <f t="shared" si="323"/>
        <v>534992.5</v>
      </c>
      <c r="Q1593" s="257">
        <f t="shared" si="324"/>
        <v>534992.5</v>
      </c>
      <c r="R1593" s="258">
        <f>INDEX('Escalators '!$M$124:$S$129,MATCH(I1593,'Escalators '!$B$124:$B$129,0),MATCH(J1593,'Escalators '!$M$113:$S$113,0))</f>
        <v>1.0919411253473632</v>
      </c>
      <c r="S1593" s="257">
        <f t="shared" si="325"/>
        <v>0</v>
      </c>
      <c r="T1593" s="257">
        <f t="shared" si="326"/>
        <v>0</v>
      </c>
      <c r="U1593" s="269">
        <f t="shared" si="327"/>
        <v>584180.3125023992</v>
      </c>
      <c r="V1593" s="269">
        <f t="shared" si="328"/>
        <v>584180.3125023992</v>
      </c>
      <c r="W1593" s="269">
        <f t="shared" si="329"/>
        <v>584180.3125023992</v>
      </c>
      <c r="X1593" s="257">
        <f t="shared" si="330"/>
        <v>584180.3125023992</v>
      </c>
      <c r="Y1593" s="270">
        <f>IF(L1593="Complex",(INDEX('Escalators '!$M$176:$S$176,MATCH('Forecast capex'!J1593,'Escalators '!$M$178:$S$178,0))/12+1)^((K1593-J1593)*12)-1,0)</f>
        <v>0</v>
      </c>
      <c r="Z1593" s="257">
        <f t="shared" si="331"/>
        <v>0</v>
      </c>
      <c r="AA1593" s="257">
        <f t="shared" si="332"/>
        <v>0</v>
      </c>
      <c r="AB1593" s="269">
        <f t="shared" si="333"/>
        <v>0</v>
      </c>
      <c r="AC1593" s="269">
        <f t="shared" si="334"/>
        <v>0</v>
      </c>
      <c r="AD1593" s="271" t="str">
        <f>INDEX('Global inputs'!$C$134:$C$171,MATCH(F1593,'Global inputs'!$B$134:$B$171,0))</f>
        <v>Asset replacement and renewal</v>
      </c>
      <c r="AE1593" s="272">
        <f>IF(OR(H1593='Operating leases'!$B$32,H1593='Operating leases'!$B$33),"",INDEX('Global inputs'!$C$186:$C$243,MATCH(E1593,'Global inputs'!$B$186:$B$243,0)))</f>
        <v>0</v>
      </c>
    </row>
    <row r="1594" spans="1:31" s="27" customFormat="1" x14ac:dyDescent="0.2">
      <c r="A1594" s="250"/>
      <c r="B1594" s="210" t="s">
        <v>742</v>
      </c>
      <c r="C1594" s="210" t="s">
        <v>286</v>
      </c>
      <c r="D1594" s="210" t="s">
        <v>732</v>
      </c>
      <c r="E1594" s="210" t="s">
        <v>138</v>
      </c>
      <c r="F1594" s="210" t="s">
        <v>108</v>
      </c>
      <c r="G1594" s="210" t="s">
        <v>752</v>
      </c>
      <c r="H1594" s="197">
        <v>0</v>
      </c>
      <c r="I1594" s="210" t="s">
        <v>221</v>
      </c>
      <c r="J1594" s="210">
        <v>2025</v>
      </c>
      <c r="K1594" s="210">
        <v>2025</v>
      </c>
      <c r="L1594" s="268" t="str">
        <f t="shared" si="322"/>
        <v>Simple</v>
      </c>
      <c r="M1594" s="197">
        <v>306964</v>
      </c>
      <c r="N1594" s="197">
        <v>0</v>
      </c>
      <c r="O1594" s="257">
        <f>IF(ISNA(MATCH(H1594,'Operating leases'!$B$32:$B$43,0)),0,INDEX('Operating leases'!$M$32:$S$43,MATCH(H1594,'Operating leases'!$B$32:$B$43,0),MATCH(J1594,'Operating leases'!$M$11:$S$11,0)))</f>
        <v>0</v>
      </c>
      <c r="P1594" s="257">
        <f t="shared" si="323"/>
        <v>306964</v>
      </c>
      <c r="Q1594" s="257">
        <f t="shared" si="324"/>
        <v>306964</v>
      </c>
      <c r="R1594" s="258">
        <f>INDEX('Escalators '!$M$124:$S$129,MATCH(I1594,'Escalators '!$B$124:$B$129,0),MATCH(J1594,'Escalators '!$M$113:$S$113,0))</f>
        <v>1.0867931559758131</v>
      </c>
      <c r="S1594" s="257">
        <f t="shared" si="325"/>
        <v>0</v>
      </c>
      <c r="T1594" s="257">
        <f t="shared" si="326"/>
        <v>0</v>
      </c>
      <c r="U1594" s="269">
        <f t="shared" si="327"/>
        <v>333606.37433095946</v>
      </c>
      <c r="V1594" s="269">
        <f t="shared" si="328"/>
        <v>333606.37433095946</v>
      </c>
      <c r="W1594" s="269">
        <f t="shared" si="329"/>
        <v>333606.37433095946</v>
      </c>
      <c r="X1594" s="257">
        <f t="shared" si="330"/>
        <v>333606.37433095946</v>
      </c>
      <c r="Y1594" s="270">
        <f>IF(L1594="Complex",(INDEX('Escalators '!$M$176:$S$176,MATCH('Forecast capex'!J1594,'Escalators '!$M$178:$S$178,0))/12+1)^((K1594-J1594)*12)-1,0)</f>
        <v>0</v>
      </c>
      <c r="Z1594" s="257">
        <f t="shared" si="331"/>
        <v>0</v>
      </c>
      <c r="AA1594" s="257">
        <f t="shared" si="332"/>
        <v>0</v>
      </c>
      <c r="AB1594" s="269">
        <f t="shared" si="333"/>
        <v>0</v>
      </c>
      <c r="AC1594" s="269">
        <f t="shared" si="334"/>
        <v>0</v>
      </c>
      <c r="AD1594" s="271" t="str">
        <f>INDEX('Global inputs'!$C$134:$C$171,MATCH(F1594,'Global inputs'!$B$134:$B$171,0))</f>
        <v>Asset replacement and renewal</v>
      </c>
      <c r="AE1594" s="272">
        <f>IF(OR(H1594='Operating leases'!$B$32,H1594='Operating leases'!$B$33),"",INDEX('Global inputs'!$C$186:$C$243,MATCH(E1594,'Global inputs'!$B$186:$B$243,0)))</f>
        <v>0.08</v>
      </c>
    </row>
    <row r="1595" spans="1:31" s="27" customFormat="1" x14ac:dyDescent="0.2">
      <c r="A1595" s="250"/>
      <c r="B1595" s="210" t="s">
        <v>742</v>
      </c>
      <c r="C1595" s="210" t="s">
        <v>286</v>
      </c>
      <c r="D1595" s="210" t="s">
        <v>732</v>
      </c>
      <c r="E1595" s="210" t="s">
        <v>138</v>
      </c>
      <c r="F1595" s="210" t="s">
        <v>108</v>
      </c>
      <c r="G1595" s="210" t="s">
        <v>752</v>
      </c>
      <c r="H1595" s="197">
        <v>0</v>
      </c>
      <c r="I1595" s="210" t="s">
        <v>139</v>
      </c>
      <c r="J1595" s="210">
        <v>2025</v>
      </c>
      <c r="K1595" s="210">
        <v>2025</v>
      </c>
      <c r="L1595" s="268" t="str">
        <f t="shared" si="322"/>
        <v>Simple</v>
      </c>
      <c r="M1595" s="197">
        <v>460446</v>
      </c>
      <c r="N1595" s="197">
        <v>0</v>
      </c>
      <c r="O1595" s="257">
        <f>IF(ISNA(MATCH(H1595,'Operating leases'!$B$32:$B$43,0)),0,INDEX('Operating leases'!$M$32:$S$43,MATCH(H1595,'Operating leases'!$B$32:$B$43,0),MATCH(J1595,'Operating leases'!$M$11:$S$11,0)))</f>
        <v>0</v>
      </c>
      <c r="P1595" s="257">
        <f t="shared" si="323"/>
        <v>460446</v>
      </c>
      <c r="Q1595" s="257">
        <f t="shared" si="324"/>
        <v>460446</v>
      </c>
      <c r="R1595" s="258">
        <f>INDEX('Escalators '!$M$124:$S$129,MATCH(I1595,'Escalators '!$B$124:$B$129,0),MATCH(J1595,'Escalators '!$M$113:$S$113,0))</f>
        <v>1.0587148896071601</v>
      </c>
      <c r="S1595" s="257">
        <f t="shared" si="325"/>
        <v>0</v>
      </c>
      <c r="T1595" s="257">
        <f t="shared" si="326"/>
        <v>0</v>
      </c>
      <c r="U1595" s="269">
        <f t="shared" si="327"/>
        <v>487481.03606005845</v>
      </c>
      <c r="V1595" s="269">
        <f t="shared" si="328"/>
        <v>487481.03606005845</v>
      </c>
      <c r="W1595" s="269">
        <f t="shared" si="329"/>
        <v>487481.03606005845</v>
      </c>
      <c r="X1595" s="257">
        <f t="shared" si="330"/>
        <v>487481.03606005845</v>
      </c>
      <c r="Y1595" s="270">
        <f>IF(L1595="Complex",(INDEX('Escalators '!$M$176:$S$176,MATCH('Forecast capex'!J1595,'Escalators '!$M$178:$S$178,0))/12+1)^((K1595-J1595)*12)-1,0)</f>
        <v>0</v>
      </c>
      <c r="Z1595" s="257">
        <f t="shared" si="331"/>
        <v>0</v>
      </c>
      <c r="AA1595" s="257">
        <f t="shared" si="332"/>
        <v>0</v>
      </c>
      <c r="AB1595" s="269">
        <f t="shared" si="333"/>
        <v>0</v>
      </c>
      <c r="AC1595" s="269">
        <f t="shared" si="334"/>
        <v>0</v>
      </c>
      <c r="AD1595" s="271" t="str">
        <f>INDEX('Global inputs'!$C$134:$C$171,MATCH(F1595,'Global inputs'!$B$134:$B$171,0))</f>
        <v>Asset replacement and renewal</v>
      </c>
      <c r="AE1595" s="272">
        <f>IF(OR(H1595='Operating leases'!$B$32,H1595='Operating leases'!$B$33),"",INDEX('Global inputs'!$C$186:$C$243,MATCH(E1595,'Global inputs'!$B$186:$B$243,0)))</f>
        <v>0.08</v>
      </c>
    </row>
    <row r="1596" spans="1:31" s="27" customFormat="1" x14ac:dyDescent="0.2">
      <c r="A1596" s="250"/>
      <c r="B1596" s="210" t="s">
        <v>742</v>
      </c>
      <c r="C1596" s="210" t="s">
        <v>286</v>
      </c>
      <c r="D1596" s="210" t="s">
        <v>732</v>
      </c>
      <c r="E1596" s="210" t="s">
        <v>140</v>
      </c>
      <c r="F1596" s="210" t="s">
        <v>108</v>
      </c>
      <c r="G1596" s="210" t="s">
        <v>733</v>
      </c>
      <c r="H1596" s="197">
        <v>0</v>
      </c>
      <c r="I1596" s="210" t="s">
        <v>221</v>
      </c>
      <c r="J1596" s="210">
        <v>2025</v>
      </c>
      <c r="K1596" s="210">
        <v>2025</v>
      </c>
      <c r="L1596" s="268" t="str">
        <f t="shared" si="322"/>
        <v>Simple</v>
      </c>
      <c r="M1596" s="197">
        <v>432516</v>
      </c>
      <c r="N1596" s="197">
        <v>0</v>
      </c>
      <c r="O1596" s="257">
        <f>IF(ISNA(MATCH(H1596,'Operating leases'!$B$32:$B$43,0)),0,INDEX('Operating leases'!$M$32:$S$43,MATCH(H1596,'Operating leases'!$B$32:$B$43,0),MATCH(J1596,'Operating leases'!$M$11:$S$11,0)))</f>
        <v>0</v>
      </c>
      <c r="P1596" s="257">
        <f t="shared" si="323"/>
        <v>432516</v>
      </c>
      <c r="Q1596" s="257">
        <f t="shared" si="324"/>
        <v>432516</v>
      </c>
      <c r="R1596" s="258">
        <f>INDEX('Escalators '!$M$124:$S$129,MATCH(I1596,'Escalators '!$B$124:$B$129,0),MATCH(J1596,'Escalators '!$M$113:$S$113,0))</f>
        <v>1.0867931559758131</v>
      </c>
      <c r="S1596" s="257">
        <f t="shared" si="325"/>
        <v>0</v>
      </c>
      <c r="T1596" s="257">
        <f t="shared" si="326"/>
        <v>0</v>
      </c>
      <c r="U1596" s="269">
        <f t="shared" si="327"/>
        <v>470055.42865003477</v>
      </c>
      <c r="V1596" s="269">
        <f t="shared" si="328"/>
        <v>470055.42865003477</v>
      </c>
      <c r="W1596" s="269">
        <f t="shared" si="329"/>
        <v>470055.42865003477</v>
      </c>
      <c r="X1596" s="257">
        <f t="shared" si="330"/>
        <v>470055.42865003477</v>
      </c>
      <c r="Y1596" s="270">
        <f>IF(L1596="Complex",(INDEX('Escalators '!$M$176:$S$176,MATCH('Forecast capex'!J1596,'Escalators '!$M$178:$S$178,0))/12+1)^((K1596-J1596)*12)-1,0)</f>
        <v>0</v>
      </c>
      <c r="Z1596" s="257">
        <f t="shared" si="331"/>
        <v>0</v>
      </c>
      <c r="AA1596" s="257">
        <f t="shared" si="332"/>
        <v>0</v>
      </c>
      <c r="AB1596" s="269">
        <f t="shared" si="333"/>
        <v>0</v>
      </c>
      <c r="AC1596" s="269">
        <f t="shared" si="334"/>
        <v>0</v>
      </c>
      <c r="AD1596" s="271" t="str">
        <f>INDEX('Global inputs'!$C$134:$C$171,MATCH(F1596,'Global inputs'!$B$134:$B$171,0))</f>
        <v>Asset replacement and renewal</v>
      </c>
      <c r="AE1596" s="272">
        <f>IF(OR(H1596='Operating leases'!$B$32,H1596='Operating leases'!$B$33),"",INDEX('Global inputs'!$C$186:$C$243,MATCH(E1596,'Global inputs'!$B$186:$B$243,0)))</f>
        <v>0.08</v>
      </c>
    </row>
    <row r="1597" spans="1:31" s="27" customFormat="1" x14ac:dyDescent="0.2">
      <c r="A1597" s="250"/>
      <c r="B1597" s="210" t="s">
        <v>742</v>
      </c>
      <c r="C1597" s="210" t="s">
        <v>286</v>
      </c>
      <c r="D1597" s="210" t="s">
        <v>732</v>
      </c>
      <c r="E1597" s="210" t="s">
        <v>140</v>
      </c>
      <c r="F1597" s="210" t="s">
        <v>108</v>
      </c>
      <c r="G1597" s="210" t="s">
        <v>733</v>
      </c>
      <c r="H1597" s="197">
        <v>0</v>
      </c>
      <c r="I1597" s="210" t="s">
        <v>142</v>
      </c>
      <c r="J1597" s="210">
        <v>2025</v>
      </c>
      <c r="K1597" s="210">
        <v>2025</v>
      </c>
      <c r="L1597" s="268" t="str">
        <f t="shared" si="322"/>
        <v>Simple</v>
      </c>
      <c r="M1597" s="197">
        <v>648774</v>
      </c>
      <c r="N1597" s="197">
        <v>0</v>
      </c>
      <c r="O1597" s="257">
        <f>IF(ISNA(MATCH(H1597,'Operating leases'!$B$32:$B$43,0)),0,INDEX('Operating leases'!$M$32:$S$43,MATCH(H1597,'Operating leases'!$B$32:$B$43,0),MATCH(J1597,'Operating leases'!$M$11:$S$11,0)))</f>
        <v>0</v>
      </c>
      <c r="P1597" s="257">
        <f t="shared" si="323"/>
        <v>648774</v>
      </c>
      <c r="Q1597" s="257">
        <f t="shared" si="324"/>
        <v>648774</v>
      </c>
      <c r="R1597" s="258">
        <f>INDEX('Escalators '!$M$124:$S$129,MATCH(I1597,'Escalators '!$B$124:$B$129,0),MATCH(J1597,'Escalators '!$M$113:$S$113,0))</f>
        <v>1.0914807286621109</v>
      </c>
      <c r="S1597" s="257">
        <f t="shared" si="325"/>
        <v>0</v>
      </c>
      <c r="T1597" s="257">
        <f t="shared" si="326"/>
        <v>0</v>
      </c>
      <c r="U1597" s="269">
        <f t="shared" si="327"/>
        <v>708124.31825703231</v>
      </c>
      <c r="V1597" s="269">
        <f t="shared" si="328"/>
        <v>708124.31825703231</v>
      </c>
      <c r="W1597" s="269">
        <f t="shared" si="329"/>
        <v>708124.31825703231</v>
      </c>
      <c r="X1597" s="257">
        <f t="shared" si="330"/>
        <v>708124.31825703231</v>
      </c>
      <c r="Y1597" s="270">
        <f>IF(L1597="Complex",(INDEX('Escalators '!$M$176:$S$176,MATCH('Forecast capex'!J1597,'Escalators '!$M$178:$S$178,0))/12+1)^((K1597-J1597)*12)-1,0)</f>
        <v>0</v>
      </c>
      <c r="Z1597" s="257">
        <f t="shared" si="331"/>
        <v>0</v>
      </c>
      <c r="AA1597" s="257">
        <f t="shared" si="332"/>
        <v>0</v>
      </c>
      <c r="AB1597" s="269">
        <f t="shared" si="333"/>
        <v>0</v>
      </c>
      <c r="AC1597" s="269">
        <f t="shared" si="334"/>
        <v>0</v>
      </c>
      <c r="AD1597" s="271" t="str">
        <f>INDEX('Global inputs'!$C$134:$C$171,MATCH(F1597,'Global inputs'!$B$134:$B$171,0))</f>
        <v>Asset replacement and renewal</v>
      </c>
      <c r="AE1597" s="272">
        <f>IF(OR(H1597='Operating leases'!$B$32,H1597='Operating leases'!$B$33),"",INDEX('Global inputs'!$C$186:$C$243,MATCH(E1597,'Global inputs'!$B$186:$B$243,0)))</f>
        <v>0.08</v>
      </c>
    </row>
    <row r="1598" spans="1:31" s="27" customFormat="1" x14ac:dyDescent="0.2">
      <c r="A1598" s="250"/>
      <c r="B1598" s="210" t="s">
        <v>742</v>
      </c>
      <c r="C1598" s="210" t="s">
        <v>286</v>
      </c>
      <c r="D1598" s="210" t="s">
        <v>735</v>
      </c>
      <c r="E1598" s="210" t="s">
        <v>144</v>
      </c>
      <c r="F1598" s="210" t="s">
        <v>108</v>
      </c>
      <c r="G1598" s="210" t="s">
        <v>736</v>
      </c>
      <c r="H1598" s="197">
        <v>0</v>
      </c>
      <c r="I1598" s="210" t="s">
        <v>221</v>
      </c>
      <c r="J1598" s="210">
        <v>2025</v>
      </c>
      <c r="K1598" s="210">
        <v>2025</v>
      </c>
      <c r="L1598" s="268" t="str">
        <f t="shared" si="322"/>
        <v>Simple</v>
      </c>
      <c r="M1598" s="197">
        <v>237218.8</v>
      </c>
      <c r="N1598" s="197">
        <v>0</v>
      </c>
      <c r="O1598" s="257">
        <f>IF(ISNA(MATCH(H1598,'Operating leases'!$B$32:$B$43,0)),0,INDEX('Operating leases'!$M$32:$S$43,MATCH(H1598,'Operating leases'!$B$32:$B$43,0),MATCH(J1598,'Operating leases'!$M$11:$S$11,0)))</f>
        <v>0</v>
      </c>
      <c r="P1598" s="257">
        <f t="shared" si="323"/>
        <v>237218.8</v>
      </c>
      <c r="Q1598" s="257">
        <f t="shared" si="324"/>
        <v>237218.8</v>
      </c>
      <c r="R1598" s="258">
        <f>INDEX('Escalators '!$M$124:$S$129,MATCH(I1598,'Escalators '!$B$124:$B$129,0),MATCH(J1598,'Escalators '!$M$113:$S$113,0))</f>
        <v>1.0867931559758131</v>
      </c>
      <c r="S1598" s="257">
        <f t="shared" si="325"/>
        <v>0</v>
      </c>
      <c r="T1598" s="257">
        <f t="shared" si="326"/>
        <v>0</v>
      </c>
      <c r="U1598" s="269">
        <f t="shared" si="327"/>
        <v>257807.7683087952</v>
      </c>
      <c r="V1598" s="269">
        <f t="shared" si="328"/>
        <v>257807.7683087952</v>
      </c>
      <c r="W1598" s="269">
        <f t="shared" si="329"/>
        <v>257807.7683087952</v>
      </c>
      <c r="X1598" s="257">
        <f t="shared" si="330"/>
        <v>257807.7683087952</v>
      </c>
      <c r="Y1598" s="270">
        <f>IF(L1598="Complex",(INDEX('Escalators '!$M$176:$S$176,MATCH('Forecast capex'!J1598,'Escalators '!$M$178:$S$178,0))/12+1)^((K1598-J1598)*12)-1,0)</f>
        <v>0</v>
      </c>
      <c r="Z1598" s="257">
        <f t="shared" si="331"/>
        <v>0</v>
      </c>
      <c r="AA1598" s="257">
        <f t="shared" si="332"/>
        <v>0</v>
      </c>
      <c r="AB1598" s="269">
        <f t="shared" si="333"/>
        <v>0</v>
      </c>
      <c r="AC1598" s="269">
        <f t="shared" si="334"/>
        <v>0</v>
      </c>
      <c r="AD1598" s="271" t="str">
        <f>INDEX('Global inputs'!$C$134:$C$171,MATCH(F1598,'Global inputs'!$B$134:$B$171,0))</f>
        <v>Asset replacement and renewal</v>
      </c>
      <c r="AE1598" s="272">
        <f>IF(OR(H1598='Operating leases'!$B$32,H1598='Operating leases'!$B$33),"",INDEX('Global inputs'!$C$186:$C$243,MATCH(E1598,'Global inputs'!$B$186:$B$243,0)))</f>
        <v>0.08</v>
      </c>
    </row>
    <row r="1599" spans="1:31" s="27" customFormat="1" x14ac:dyDescent="0.2">
      <c r="A1599" s="250"/>
      <c r="B1599" s="210" t="s">
        <v>742</v>
      </c>
      <c r="C1599" s="210" t="s">
        <v>286</v>
      </c>
      <c r="D1599" s="210" t="s">
        <v>735</v>
      </c>
      <c r="E1599" s="210" t="s">
        <v>144</v>
      </c>
      <c r="F1599" s="210" t="s">
        <v>108</v>
      </c>
      <c r="G1599" s="210" t="s">
        <v>736</v>
      </c>
      <c r="H1599" s="197">
        <v>0</v>
      </c>
      <c r="I1599" s="210" t="s">
        <v>229</v>
      </c>
      <c r="J1599" s="210">
        <v>2025</v>
      </c>
      <c r="K1599" s="210">
        <v>2025</v>
      </c>
      <c r="L1599" s="268" t="str">
        <f t="shared" si="322"/>
        <v>Simple</v>
      </c>
      <c r="M1599" s="197">
        <v>59304.7</v>
      </c>
      <c r="N1599" s="197">
        <v>0</v>
      </c>
      <c r="O1599" s="257">
        <f>IF(ISNA(MATCH(H1599,'Operating leases'!$B$32:$B$43,0)),0,INDEX('Operating leases'!$M$32:$S$43,MATCH(H1599,'Operating leases'!$B$32:$B$43,0),MATCH(J1599,'Operating leases'!$M$11:$S$11,0)))</f>
        <v>0</v>
      </c>
      <c r="P1599" s="257">
        <f t="shared" si="323"/>
        <v>59304.7</v>
      </c>
      <c r="Q1599" s="257">
        <f t="shared" si="324"/>
        <v>59304.7</v>
      </c>
      <c r="R1599" s="258">
        <f>INDEX('Escalators '!$M$124:$S$129,MATCH(I1599,'Escalators '!$B$124:$B$129,0),MATCH(J1599,'Escalators '!$M$113:$S$113,0))</f>
        <v>1.0919411253473632</v>
      </c>
      <c r="S1599" s="257">
        <f t="shared" si="325"/>
        <v>0</v>
      </c>
      <c r="T1599" s="257">
        <f t="shared" si="326"/>
        <v>0</v>
      </c>
      <c r="U1599" s="269">
        <f t="shared" si="327"/>
        <v>64757.240856387769</v>
      </c>
      <c r="V1599" s="269">
        <f t="shared" si="328"/>
        <v>64757.240856387769</v>
      </c>
      <c r="W1599" s="269">
        <f t="shared" si="329"/>
        <v>64757.240856387769</v>
      </c>
      <c r="X1599" s="257">
        <f t="shared" si="330"/>
        <v>64757.240856387769</v>
      </c>
      <c r="Y1599" s="270">
        <f>IF(L1599="Complex",(INDEX('Escalators '!$M$176:$S$176,MATCH('Forecast capex'!J1599,'Escalators '!$M$178:$S$178,0))/12+1)^((K1599-J1599)*12)-1,0)</f>
        <v>0</v>
      </c>
      <c r="Z1599" s="257">
        <f t="shared" si="331"/>
        <v>0</v>
      </c>
      <c r="AA1599" s="257">
        <f t="shared" si="332"/>
        <v>0</v>
      </c>
      <c r="AB1599" s="269">
        <f t="shared" si="333"/>
        <v>0</v>
      </c>
      <c r="AC1599" s="269">
        <f t="shared" si="334"/>
        <v>0</v>
      </c>
      <c r="AD1599" s="271" t="str">
        <f>INDEX('Global inputs'!$C$134:$C$171,MATCH(F1599,'Global inputs'!$B$134:$B$171,0))</f>
        <v>Asset replacement and renewal</v>
      </c>
      <c r="AE1599" s="272">
        <f>IF(OR(H1599='Operating leases'!$B$32,H1599='Operating leases'!$B$33),"",INDEX('Global inputs'!$C$186:$C$243,MATCH(E1599,'Global inputs'!$B$186:$B$243,0)))</f>
        <v>0.08</v>
      </c>
    </row>
    <row r="1600" spans="1:31" s="27" customFormat="1" x14ac:dyDescent="0.2">
      <c r="A1600" s="250"/>
      <c r="B1600" s="210" t="s">
        <v>742</v>
      </c>
      <c r="C1600" s="210" t="s">
        <v>286</v>
      </c>
      <c r="D1600" s="210" t="s">
        <v>735</v>
      </c>
      <c r="E1600" s="210" t="s">
        <v>147</v>
      </c>
      <c r="F1600" s="210" t="s">
        <v>108</v>
      </c>
      <c r="G1600" s="210" t="s">
        <v>744</v>
      </c>
      <c r="H1600" s="197">
        <v>0</v>
      </c>
      <c r="I1600" s="210" t="s">
        <v>221</v>
      </c>
      <c r="J1600" s="210">
        <v>2025</v>
      </c>
      <c r="K1600" s="210">
        <v>2025</v>
      </c>
      <c r="L1600" s="268" t="str">
        <f t="shared" si="322"/>
        <v>Simple</v>
      </c>
      <c r="M1600" s="197">
        <v>59105.2</v>
      </c>
      <c r="N1600" s="197">
        <v>0</v>
      </c>
      <c r="O1600" s="257">
        <f>IF(ISNA(MATCH(H1600,'Operating leases'!$B$32:$B$43,0)),0,INDEX('Operating leases'!$M$32:$S$43,MATCH(H1600,'Operating leases'!$B$32:$B$43,0),MATCH(J1600,'Operating leases'!$M$11:$S$11,0)))</f>
        <v>0</v>
      </c>
      <c r="P1600" s="257">
        <f t="shared" si="323"/>
        <v>59105.2</v>
      </c>
      <c r="Q1600" s="257">
        <f t="shared" si="324"/>
        <v>59105.2</v>
      </c>
      <c r="R1600" s="258">
        <f>INDEX('Escalators '!$M$124:$S$129,MATCH(I1600,'Escalators '!$B$124:$B$129,0),MATCH(J1600,'Escalators '!$M$113:$S$113,0))</f>
        <v>1.0867931559758131</v>
      </c>
      <c r="S1600" s="257">
        <f t="shared" si="325"/>
        <v>0</v>
      </c>
      <c r="T1600" s="257">
        <f t="shared" si="326"/>
        <v>0</v>
      </c>
      <c r="U1600" s="269">
        <f t="shared" si="327"/>
        <v>64235.126842581623</v>
      </c>
      <c r="V1600" s="269">
        <f t="shared" si="328"/>
        <v>64235.126842581623</v>
      </c>
      <c r="W1600" s="269">
        <f t="shared" si="329"/>
        <v>64235.126842581623</v>
      </c>
      <c r="X1600" s="257">
        <f t="shared" si="330"/>
        <v>64235.126842581623</v>
      </c>
      <c r="Y1600" s="270">
        <f>IF(L1600="Complex",(INDEX('Escalators '!$M$176:$S$176,MATCH('Forecast capex'!J1600,'Escalators '!$M$178:$S$178,0))/12+1)^((K1600-J1600)*12)-1,0)</f>
        <v>0</v>
      </c>
      <c r="Z1600" s="257">
        <f t="shared" si="331"/>
        <v>0</v>
      </c>
      <c r="AA1600" s="257">
        <f t="shared" si="332"/>
        <v>0</v>
      </c>
      <c r="AB1600" s="269">
        <f t="shared" si="333"/>
        <v>0</v>
      </c>
      <c r="AC1600" s="269">
        <f t="shared" si="334"/>
        <v>0</v>
      </c>
      <c r="AD1600" s="271" t="str">
        <f>INDEX('Global inputs'!$C$134:$C$171,MATCH(F1600,'Global inputs'!$B$134:$B$171,0))</f>
        <v>Asset replacement and renewal</v>
      </c>
      <c r="AE1600" s="272">
        <f>IF(OR(H1600='Operating leases'!$B$32,H1600='Operating leases'!$B$33),"",INDEX('Global inputs'!$C$186:$C$243,MATCH(E1600,'Global inputs'!$B$186:$B$243,0)))</f>
        <v>0.08</v>
      </c>
    </row>
    <row r="1601" spans="1:31" s="27" customFormat="1" x14ac:dyDescent="0.2">
      <c r="A1601" s="250"/>
      <c r="B1601" s="210" t="s">
        <v>742</v>
      </c>
      <c r="C1601" s="210" t="s">
        <v>286</v>
      </c>
      <c r="D1601" s="210" t="s">
        <v>735</v>
      </c>
      <c r="E1601" s="210" t="s">
        <v>147</v>
      </c>
      <c r="F1601" s="210" t="s">
        <v>108</v>
      </c>
      <c r="G1601" s="210" t="s">
        <v>744</v>
      </c>
      <c r="H1601" s="197">
        <v>0</v>
      </c>
      <c r="I1601" s="210" t="s">
        <v>229</v>
      </c>
      <c r="J1601" s="210">
        <v>2025</v>
      </c>
      <c r="K1601" s="210">
        <v>2025</v>
      </c>
      <c r="L1601" s="268" t="str">
        <f t="shared" si="322"/>
        <v>Simple</v>
      </c>
      <c r="M1601" s="197">
        <v>14776.3</v>
      </c>
      <c r="N1601" s="197">
        <v>0</v>
      </c>
      <c r="O1601" s="257">
        <f>IF(ISNA(MATCH(H1601,'Operating leases'!$B$32:$B$43,0)),0,INDEX('Operating leases'!$M$32:$S$43,MATCH(H1601,'Operating leases'!$B$32:$B$43,0),MATCH(J1601,'Operating leases'!$M$11:$S$11,0)))</f>
        <v>0</v>
      </c>
      <c r="P1601" s="257">
        <f t="shared" si="323"/>
        <v>14776.3</v>
      </c>
      <c r="Q1601" s="257">
        <f t="shared" si="324"/>
        <v>14776.3</v>
      </c>
      <c r="R1601" s="258">
        <f>INDEX('Escalators '!$M$124:$S$129,MATCH(I1601,'Escalators '!$B$124:$B$129,0),MATCH(J1601,'Escalators '!$M$113:$S$113,0))</f>
        <v>1.0919411253473632</v>
      </c>
      <c r="S1601" s="257">
        <f t="shared" si="325"/>
        <v>0</v>
      </c>
      <c r="T1601" s="257">
        <f t="shared" si="326"/>
        <v>0</v>
      </c>
      <c r="U1601" s="269">
        <f t="shared" si="327"/>
        <v>16134.849650470242</v>
      </c>
      <c r="V1601" s="269">
        <f t="shared" si="328"/>
        <v>16134.849650470242</v>
      </c>
      <c r="W1601" s="269">
        <f t="shared" si="329"/>
        <v>16134.849650470242</v>
      </c>
      <c r="X1601" s="257">
        <f t="shared" si="330"/>
        <v>16134.849650470242</v>
      </c>
      <c r="Y1601" s="270">
        <f>IF(L1601="Complex",(INDEX('Escalators '!$M$176:$S$176,MATCH('Forecast capex'!J1601,'Escalators '!$M$178:$S$178,0))/12+1)^((K1601-J1601)*12)-1,0)</f>
        <v>0</v>
      </c>
      <c r="Z1601" s="257">
        <f t="shared" si="331"/>
        <v>0</v>
      </c>
      <c r="AA1601" s="257">
        <f t="shared" si="332"/>
        <v>0</v>
      </c>
      <c r="AB1601" s="269">
        <f t="shared" si="333"/>
        <v>0</v>
      </c>
      <c r="AC1601" s="269">
        <f t="shared" si="334"/>
        <v>0</v>
      </c>
      <c r="AD1601" s="271" t="str">
        <f>INDEX('Global inputs'!$C$134:$C$171,MATCH(F1601,'Global inputs'!$B$134:$B$171,0))</f>
        <v>Asset replacement and renewal</v>
      </c>
      <c r="AE1601" s="272">
        <f>IF(OR(H1601='Operating leases'!$B$32,H1601='Operating leases'!$B$33),"",INDEX('Global inputs'!$C$186:$C$243,MATCH(E1601,'Global inputs'!$B$186:$B$243,0)))</f>
        <v>0.08</v>
      </c>
    </row>
    <row r="1602" spans="1:31" s="27" customFormat="1" x14ac:dyDescent="0.2">
      <c r="A1602" s="250"/>
      <c r="B1602" s="210" t="s">
        <v>742</v>
      </c>
      <c r="C1602" s="210" t="s">
        <v>288</v>
      </c>
      <c r="D1602" s="210" t="s">
        <v>223</v>
      </c>
      <c r="E1602" s="210" t="s">
        <v>156</v>
      </c>
      <c r="F1602" s="210" t="s">
        <v>108</v>
      </c>
      <c r="G1602" s="210" t="s">
        <v>727</v>
      </c>
      <c r="H1602" s="197">
        <v>0</v>
      </c>
      <c r="I1602" s="210" t="s">
        <v>221</v>
      </c>
      <c r="J1602" s="210">
        <v>2025</v>
      </c>
      <c r="K1602" s="210">
        <v>2025</v>
      </c>
      <c r="L1602" s="268" t="str">
        <f t="shared" si="322"/>
        <v>Simple</v>
      </c>
      <c r="M1602" s="197">
        <v>140999.94999999998</v>
      </c>
      <c r="N1602" s="197">
        <v>0</v>
      </c>
      <c r="O1602" s="257">
        <f>IF(ISNA(MATCH(H1602,'Operating leases'!$B$32:$B$43,0)),0,INDEX('Operating leases'!$M$32:$S$43,MATCH(H1602,'Operating leases'!$B$32:$B$43,0),MATCH(J1602,'Operating leases'!$M$11:$S$11,0)))</f>
        <v>0</v>
      </c>
      <c r="P1602" s="257">
        <f t="shared" si="323"/>
        <v>140999.94999999998</v>
      </c>
      <c r="Q1602" s="257">
        <f t="shared" si="324"/>
        <v>140999.94999999998</v>
      </c>
      <c r="R1602" s="258">
        <f>INDEX('Escalators '!$M$124:$S$129,MATCH(I1602,'Escalators '!$B$124:$B$129,0),MATCH(J1602,'Escalators '!$M$113:$S$113,0))</f>
        <v>1.0867931559758131</v>
      </c>
      <c r="S1602" s="257">
        <f t="shared" si="325"/>
        <v>0</v>
      </c>
      <c r="T1602" s="257">
        <f t="shared" si="326"/>
        <v>0</v>
      </c>
      <c r="U1602" s="269">
        <f t="shared" si="327"/>
        <v>153237.78065293183</v>
      </c>
      <c r="V1602" s="269">
        <f t="shared" si="328"/>
        <v>153237.78065293183</v>
      </c>
      <c r="W1602" s="269">
        <f t="shared" si="329"/>
        <v>153237.78065293183</v>
      </c>
      <c r="X1602" s="257">
        <f t="shared" si="330"/>
        <v>153237.78065293183</v>
      </c>
      <c r="Y1602" s="270">
        <f>IF(L1602="Complex",(INDEX('Escalators '!$M$176:$S$176,MATCH('Forecast capex'!J1602,'Escalators '!$M$178:$S$178,0))/12+1)^((K1602-J1602)*12)-1,0)</f>
        <v>0</v>
      </c>
      <c r="Z1602" s="257">
        <f t="shared" si="331"/>
        <v>0</v>
      </c>
      <c r="AA1602" s="257">
        <f t="shared" si="332"/>
        <v>0</v>
      </c>
      <c r="AB1602" s="269">
        <f t="shared" si="333"/>
        <v>0</v>
      </c>
      <c r="AC1602" s="269">
        <f t="shared" si="334"/>
        <v>0</v>
      </c>
      <c r="AD1602" s="271" t="str">
        <f>INDEX('Global inputs'!$C$134:$C$171,MATCH(F1602,'Global inputs'!$B$134:$B$171,0))</f>
        <v>Asset replacement and renewal</v>
      </c>
      <c r="AE1602" s="272">
        <f>IF(OR(H1602='Operating leases'!$B$32,H1602='Operating leases'!$B$33),"",INDEX('Global inputs'!$C$186:$C$243,MATCH(E1602,'Global inputs'!$B$186:$B$243,0)))</f>
        <v>0.08</v>
      </c>
    </row>
    <row r="1603" spans="1:31" s="27" customFormat="1" x14ac:dyDescent="0.2">
      <c r="A1603" s="250"/>
      <c r="B1603" s="210" t="s">
        <v>742</v>
      </c>
      <c r="C1603" s="210" t="s">
        <v>288</v>
      </c>
      <c r="D1603" s="210" t="s">
        <v>223</v>
      </c>
      <c r="E1603" s="210" t="s">
        <v>156</v>
      </c>
      <c r="F1603" s="210" t="s">
        <v>108</v>
      </c>
      <c r="G1603" s="210" t="s">
        <v>727</v>
      </c>
      <c r="H1603" s="197">
        <v>0</v>
      </c>
      <c r="I1603" s="210" t="s">
        <v>223</v>
      </c>
      <c r="J1603" s="210">
        <v>2025</v>
      </c>
      <c r="K1603" s="210">
        <v>2025</v>
      </c>
      <c r="L1603" s="268" t="str">
        <f t="shared" si="322"/>
        <v>Simple</v>
      </c>
      <c r="M1603" s="197">
        <v>60428.549999999996</v>
      </c>
      <c r="N1603" s="197">
        <v>0</v>
      </c>
      <c r="O1603" s="257">
        <f>IF(ISNA(MATCH(H1603,'Operating leases'!$B$32:$B$43,0)),0,INDEX('Operating leases'!$M$32:$S$43,MATCH(H1603,'Operating leases'!$B$32:$B$43,0),MATCH(J1603,'Operating leases'!$M$11:$S$11,0)))</f>
        <v>0</v>
      </c>
      <c r="P1603" s="257">
        <f t="shared" si="323"/>
        <v>60428.549999999996</v>
      </c>
      <c r="Q1603" s="257">
        <f t="shared" si="324"/>
        <v>60428.549999999996</v>
      </c>
      <c r="R1603" s="258">
        <f>INDEX('Escalators '!$M$124:$S$129,MATCH(I1603,'Escalators '!$B$124:$B$129,0),MATCH(J1603,'Escalators '!$M$113:$S$113,0))</f>
        <v>1.1331892756985407</v>
      </c>
      <c r="S1603" s="257">
        <f t="shared" si="325"/>
        <v>0</v>
      </c>
      <c r="T1603" s="257">
        <f t="shared" si="326"/>
        <v>0</v>
      </c>
      <c r="U1603" s="269">
        <f t="shared" si="327"/>
        <v>68476.984806013046</v>
      </c>
      <c r="V1603" s="269">
        <f t="shared" si="328"/>
        <v>68476.984806013046</v>
      </c>
      <c r="W1603" s="269">
        <f t="shared" si="329"/>
        <v>68476.984806013046</v>
      </c>
      <c r="X1603" s="257">
        <f t="shared" si="330"/>
        <v>68476.984806013046</v>
      </c>
      <c r="Y1603" s="270">
        <f>IF(L1603="Complex",(INDEX('Escalators '!$M$176:$S$176,MATCH('Forecast capex'!J1603,'Escalators '!$M$178:$S$178,0))/12+1)^((K1603-J1603)*12)-1,0)</f>
        <v>0</v>
      </c>
      <c r="Z1603" s="257">
        <f t="shared" si="331"/>
        <v>0</v>
      </c>
      <c r="AA1603" s="257">
        <f t="shared" si="332"/>
        <v>0</v>
      </c>
      <c r="AB1603" s="269">
        <f t="shared" si="333"/>
        <v>0</v>
      </c>
      <c r="AC1603" s="269">
        <f t="shared" si="334"/>
        <v>0</v>
      </c>
      <c r="AD1603" s="271" t="str">
        <f>INDEX('Global inputs'!$C$134:$C$171,MATCH(F1603,'Global inputs'!$B$134:$B$171,0))</f>
        <v>Asset replacement and renewal</v>
      </c>
      <c r="AE1603" s="272">
        <f>IF(OR(H1603='Operating leases'!$B$32,H1603='Operating leases'!$B$33),"",INDEX('Global inputs'!$C$186:$C$243,MATCH(E1603,'Global inputs'!$B$186:$B$243,0)))</f>
        <v>0.08</v>
      </c>
    </row>
    <row r="1604" spans="1:31" s="27" customFormat="1" x14ac:dyDescent="0.2">
      <c r="A1604" s="250"/>
      <c r="B1604" s="210" t="s">
        <v>742</v>
      </c>
      <c r="C1604" s="210" t="s">
        <v>290</v>
      </c>
      <c r="D1604" s="210" t="s">
        <v>718</v>
      </c>
      <c r="E1604" s="210" t="s">
        <v>173</v>
      </c>
      <c r="F1604" s="210" t="s">
        <v>108</v>
      </c>
      <c r="G1604" s="210" t="s">
        <v>719</v>
      </c>
      <c r="H1604" s="197">
        <v>0</v>
      </c>
      <c r="I1604" s="210" t="s">
        <v>221</v>
      </c>
      <c r="J1604" s="210">
        <v>2025</v>
      </c>
      <c r="K1604" s="210">
        <v>2025</v>
      </c>
      <c r="L1604" s="268" t="str">
        <f t="shared" si="322"/>
        <v>Simple</v>
      </c>
      <c r="M1604" s="197">
        <v>9975</v>
      </c>
      <c r="N1604" s="197">
        <v>0</v>
      </c>
      <c r="O1604" s="257">
        <f>IF(ISNA(MATCH(H1604,'Operating leases'!$B$32:$B$43,0)),0,INDEX('Operating leases'!$M$32:$S$43,MATCH(H1604,'Operating leases'!$B$32:$B$43,0),MATCH(J1604,'Operating leases'!$M$11:$S$11,0)))</f>
        <v>0</v>
      </c>
      <c r="P1604" s="257">
        <f t="shared" si="323"/>
        <v>9975</v>
      </c>
      <c r="Q1604" s="257">
        <f t="shared" si="324"/>
        <v>9975</v>
      </c>
      <c r="R1604" s="258">
        <f>INDEX('Escalators '!$M$124:$S$129,MATCH(I1604,'Escalators '!$B$124:$B$129,0),MATCH(J1604,'Escalators '!$M$113:$S$113,0))</f>
        <v>1.0867931559758131</v>
      </c>
      <c r="S1604" s="257">
        <f t="shared" si="325"/>
        <v>0</v>
      </c>
      <c r="T1604" s="257">
        <f t="shared" si="326"/>
        <v>0</v>
      </c>
      <c r="U1604" s="269">
        <f t="shared" si="327"/>
        <v>10840.761730858736</v>
      </c>
      <c r="V1604" s="269">
        <f t="shared" si="328"/>
        <v>10840.761730858736</v>
      </c>
      <c r="W1604" s="269">
        <f t="shared" si="329"/>
        <v>10840.761730858736</v>
      </c>
      <c r="X1604" s="257">
        <f t="shared" si="330"/>
        <v>10840.761730858736</v>
      </c>
      <c r="Y1604" s="270">
        <f>IF(L1604="Complex",(INDEX('Escalators '!$M$176:$S$176,MATCH('Forecast capex'!J1604,'Escalators '!$M$178:$S$178,0))/12+1)^((K1604-J1604)*12)-1,0)</f>
        <v>0</v>
      </c>
      <c r="Z1604" s="257">
        <f t="shared" si="331"/>
        <v>0</v>
      </c>
      <c r="AA1604" s="257">
        <f t="shared" si="332"/>
        <v>0</v>
      </c>
      <c r="AB1604" s="269">
        <f t="shared" si="333"/>
        <v>0</v>
      </c>
      <c r="AC1604" s="269">
        <f t="shared" si="334"/>
        <v>0</v>
      </c>
      <c r="AD1604" s="271" t="str">
        <f>INDEX('Global inputs'!$C$134:$C$171,MATCH(F1604,'Global inputs'!$B$134:$B$171,0))</f>
        <v>Asset replacement and renewal</v>
      </c>
      <c r="AE1604" s="272">
        <f>IF(OR(H1604='Operating leases'!$B$32,H1604='Operating leases'!$B$33),"",INDEX('Global inputs'!$C$186:$C$243,MATCH(E1604,'Global inputs'!$B$186:$B$243,0)))</f>
        <v>0.08</v>
      </c>
    </row>
    <row r="1605" spans="1:31" s="27" customFormat="1" x14ac:dyDescent="0.2">
      <c r="A1605" s="250"/>
      <c r="B1605" s="210" t="s">
        <v>742</v>
      </c>
      <c r="C1605" s="210" t="s">
        <v>290</v>
      </c>
      <c r="D1605" s="210" t="s">
        <v>718</v>
      </c>
      <c r="E1605" s="210" t="s">
        <v>173</v>
      </c>
      <c r="F1605" s="210" t="s">
        <v>108</v>
      </c>
      <c r="G1605" s="210" t="s">
        <v>719</v>
      </c>
      <c r="H1605" s="197">
        <v>0</v>
      </c>
      <c r="I1605" s="210" t="s">
        <v>142</v>
      </c>
      <c r="J1605" s="210">
        <v>2025</v>
      </c>
      <c r="K1605" s="210">
        <v>2025</v>
      </c>
      <c r="L1605" s="268" t="str">
        <f t="shared" si="322"/>
        <v>Simple</v>
      </c>
      <c r="M1605" s="197">
        <v>39900</v>
      </c>
      <c r="N1605" s="197">
        <v>0</v>
      </c>
      <c r="O1605" s="257">
        <f>IF(ISNA(MATCH(H1605,'Operating leases'!$B$32:$B$43,0)),0,INDEX('Operating leases'!$M$32:$S$43,MATCH(H1605,'Operating leases'!$B$32:$B$43,0),MATCH(J1605,'Operating leases'!$M$11:$S$11,0)))</f>
        <v>0</v>
      </c>
      <c r="P1605" s="257">
        <f t="shared" si="323"/>
        <v>39900</v>
      </c>
      <c r="Q1605" s="257">
        <f t="shared" si="324"/>
        <v>39900</v>
      </c>
      <c r="R1605" s="258">
        <f>INDEX('Escalators '!$M$124:$S$129,MATCH(I1605,'Escalators '!$B$124:$B$129,0),MATCH(J1605,'Escalators '!$M$113:$S$113,0))</f>
        <v>1.0914807286621109</v>
      </c>
      <c r="S1605" s="257">
        <f t="shared" si="325"/>
        <v>0</v>
      </c>
      <c r="T1605" s="257">
        <f t="shared" si="326"/>
        <v>0</v>
      </c>
      <c r="U1605" s="269">
        <f t="shared" si="327"/>
        <v>43550.081073618225</v>
      </c>
      <c r="V1605" s="269">
        <f t="shared" si="328"/>
        <v>43550.081073618225</v>
      </c>
      <c r="W1605" s="269">
        <f t="shared" si="329"/>
        <v>43550.081073618225</v>
      </c>
      <c r="X1605" s="257">
        <f t="shared" si="330"/>
        <v>43550.081073618225</v>
      </c>
      <c r="Y1605" s="270">
        <f>IF(L1605="Complex",(INDEX('Escalators '!$M$176:$S$176,MATCH('Forecast capex'!J1605,'Escalators '!$M$178:$S$178,0))/12+1)^((K1605-J1605)*12)-1,0)</f>
        <v>0</v>
      </c>
      <c r="Z1605" s="257">
        <f t="shared" si="331"/>
        <v>0</v>
      </c>
      <c r="AA1605" s="257">
        <f t="shared" si="332"/>
        <v>0</v>
      </c>
      <c r="AB1605" s="269">
        <f t="shared" si="333"/>
        <v>0</v>
      </c>
      <c r="AC1605" s="269">
        <f t="shared" si="334"/>
        <v>0</v>
      </c>
      <c r="AD1605" s="271" t="str">
        <f>INDEX('Global inputs'!$C$134:$C$171,MATCH(F1605,'Global inputs'!$B$134:$B$171,0))</f>
        <v>Asset replacement and renewal</v>
      </c>
      <c r="AE1605" s="272">
        <f>IF(OR(H1605='Operating leases'!$B$32,H1605='Operating leases'!$B$33),"",INDEX('Global inputs'!$C$186:$C$243,MATCH(E1605,'Global inputs'!$B$186:$B$243,0)))</f>
        <v>0.08</v>
      </c>
    </row>
    <row r="1606" spans="1:31" s="27" customFormat="1" x14ac:dyDescent="0.2">
      <c r="A1606" s="250"/>
      <c r="B1606" s="210" t="s">
        <v>742</v>
      </c>
      <c r="C1606" s="210" t="s">
        <v>289</v>
      </c>
      <c r="D1606" s="210" t="s">
        <v>723</v>
      </c>
      <c r="E1606" s="210" t="s">
        <v>164</v>
      </c>
      <c r="F1606" s="210" t="s">
        <v>108</v>
      </c>
      <c r="G1606" s="210" t="s">
        <v>724</v>
      </c>
      <c r="H1606" s="197">
        <v>0</v>
      </c>
      <c r="I1606" s="210" t="s">
        <v>221</v>
      </c>
      <c r="J1606" s="210">
        <v>2025</v>
      </c>
      <c r="K1606" s="210">
        <v>2025</v>
      </c>
      <c r="L1606" s="268" t="str">
        <f t="shared" si="322"/>
        <v>Simple</v>
      </c>
      <c r="M1606" s="197">
        <v>6064.7999999999993</v>
      </c>
      <c r="N1606" s="197">
        <v>0</v>
      </c>
      <c r="O1606" s="257">
        <f>IF(ISNA(MATCH(H1606,'Operating leases'!$B$32:$B$43,0)),0,INDEX('Operating leases'!$M$32:$S$43,MATCH(H1606,'Operating leases'!$B$32:$B$43,0),MATCH(J1606,'Operating leases'!$M$11:$S$11,0)))</f>
        <v>0</v>
      </c>
      <c r="P1606" s="257">
        <f t="shared" si="323"/>
        <v>6064.7999999999993</v>
      </c>
      <c r="Q1606" s="257">
        <f t="shared" si="324"/>
        <v>6064.7999999999993</v>
      </c>
      <c r="R1606" s="258">
        <f>INDEX('Escalators '!$M$124:$S$129,MATCH(I1606,'Escalators '!$B$124:$B$129,0),MATCH(J1606,'Escalators '!$M$113:$S$113,0))</f>
        <v>1.0867931559758131</v>
      </c>
      <c r="S1606" s="257">
        <f t="shared" si="325"/>
        <v>0</v>
      </c>
      <c r="T1606" s="257">
        <f t="shared" si="326"/>
        <v>0</v>
      </c>
      <c r="U1606" s="269">
        <f t="shared" si="327"/>
        <v>6591.18313236211</v>
      </c>
      <c r="V1606" s="269">
        <f t="shared" si="328"/>
        <v>6591.18313236211</v>
      </c>
      <c r="W1606" s="269">
        <f t="shared" si="329"/>
        <v>6591.18313236211</v>
      </c>
      <c r="X1606" s="257">
        <f t="shared" si="330"/>
        <v>6591.18313236211</v>
      </c>
      <c r="Y1606" s="270">
        <f>IF(L1606="Complex",(INDEX('Escalators '!$M$176:$S$176,MATCH('Forecast capex'!J1606,'Escalators '!$M$178:$S$178,0))/12+1)^((K1606-J1606)*12)-1,0)</f>
        <v>0</v>
      </c>
      <c r="Z1606" s="257">
        <f t="shared" si="331"/>
        <v>0</v>
      </c>
      <c r="AA1606" s="257">
        <f t="shared" si="332"/>
        <v>0</v>
      </c>
      <c r="AB1606" s="269">
        <f t="shared" si="333"/>
        <v>0</v>
      </c>
      <c r="AC1606" s="269">
        <f t="shared" si="334"/>
        <v>0</v>
      </c>
      <c r="AD1606" s="271" t="str">
        <f>INDEX('Global inputs'!$C$134:$C$171,MATCH(F1606,'Global inputs'!$B$134:$B$171,0))</f>
        <v>Asset replacement and renewal</v>
      </c>
      <c r="AE1606" s="272">
        <f>IF(OR(H1606='Operating leases'!$B$32,H1606='Operating leases'!$B$33),"",INDEX('Global inputs'!$C$186:$C$243,MATCH(E1606,'Global inputs'!$B$186:$B$243,0)))</f>
        <v>0.08</v>
      </c>
    </row>
    <row r="1607" spans="1:31" s="27" customFormat="1" x14ac:dyDescent="0.2">
      <c r="A1607" s="250"/>
      <c r="B1607" s="210" t="s">
        <v>742</v>
      </c>
      <c r="C1607" s="210" t="s">
        <v>289</v>
      </c>
      <c r="D1607" s="210" t="s">
        <v>723</v>
      </c>
      <c r="E1607" s="210" t="s">
        <v>164</v>
      </c>
      <c r="F1607" s="210" t="s">
        <v>108</v>
      </c>
      <c r="G1607" s="210" t="s">
        <v>724</v>
      </c>
      <c r="H1607" s="197">
        <v>0</v>
      </c>
      <c r="I1607" s="210" t="s">
        <v>139</v>
      </c>
      <c r="J1607" s="210">
        <v>2025</v>
      </c>
      <c r="K1607" s="210">
        <v>2025</v>
      </c>
      <c r="L1607" s="268" t="str">
        <f t="shared" si="322"/>
        <v>Simple</v>
      </c>
      <c r="M1607" s="197">
        <v>24259.199999999997</v>
      </c>
      <c r="N1607" s="197">
        <v>0</v>
      </c>
      <c r="O1607" s="257">
        <f>IF(ISNA(MATCH(H1607,'Operating leases'!$B$32:$B$43,0)),0,INDEX('Operating leases'!$M$32:$S$43,MATCH(H1607,'Operating leases'!$B$32:$B$43,0),MATCH(J1607,'Operating leases'!$M$11:$S$11,0)))</f>
        <v>0</v>
      </c>
      <c r="P1607" s="257">
        <f t="shared" si="323"/>
        <v>24259.199999999997</v>
      </c>
      <c r="Q1607" s="257">
        <f t="shared" si="324"/>
        <v>24259.199999999997</v>
      </c>
      <c r="R1607" s="258">
        <f>INDEX('Escalators '!$M$124:$S$129,MATCH(I1607,'Escalators '!$B$124:$B$129,0),MATCH(J1607,'Escalators '!$M$113:$S$113,0))</f>
        <v>1.0587148896071601</v>
      </c>
      <c r="S1607" s="257">
        <f t="shared" si="325"/>
        <v>0</v>
      </c>
      <c r="T1607" s="257">
        <f t="shared" si="326"/>
        <v>0</v>
      </c>
      <c r="U1607" s="269">
        <f t="shared" si="327"/>
        <v>25683.576249958016</v>
      </c>
      <c r="V1607" s="269">
        <f t="shared" si="328"/>
        <v>25683.576249958016</v>
      </c>
      <c r="W1607" s="269">
        <f t="shared" si="329"/>
        <v>25683.576249958016</v>
      </c>
      <c r="X1607" s="257">
        <f t="shared" si="330"/>
        <v>25683.576249958016</v>
      </c>
      <c r="Y1607" s="270">
        <f>IF(L1607="Complex",(INDEX('Escalators '!$M$176:$S$176,MATCH('Forecast capex'!J1607,'Escalators '!$M$178:$S$178,0))/12+1)^((K1607-J1607)*12)-1,0)</f>
        <v>0</v>
      </c>
      <c r="Z1607" s="257">
        <f t="shared" si="331"/>
        <v>0</v>
      </c>
      <c r="AA1607" s="257">
        <f t="shared" si="332"/>
        <v>0</v>
      </c>
      <c r="AB1607" s="269">
        <f t="shared" si="333"/>
        <v>0</v>
      </c>
      <c r="AC1607" s="269">
        <f t="shared" si="334"/>
        <v>0</v>
      </c>
      <c r="AD1607" s="271" t="str">
        <f>INDEX('Global inputs'!$C$134:$C$171,MATCH(F1607,'Global inputs'!$B$134:$B$171,0))</f>
        <v>Asset replacement and renewal</v>
      </c>
      <c r="AE1607" s="272">
        <f>IF(OR(H1607='Operating leases'!$B$32,H1607='Operating leases'!$B$33),"",INDEX('Global inputs'!$C$186:$C$243,MATCH(E1607,'Global inputs'!$B$186:$B$243,0)))</f>
        <v>0.08</v>
      </c>
    </row>
    <row r="1608" spans="1:31" s="27" customFormat="1" x14ac:dyDescent="0.2">
      <c r="A1608" s="250"/>
      <c r="B1608" s="210" t="s">
        <v>742</v>
      </c>
      <c r="C1608" s="210" t="s">
        <v>285</v>
      </c>
      <c r="D1608" s="210" t="s">
        <v>223</v>
      </c>
      <c r="E1608" s="210" t="s">
        <v>134</v>
      </c>
      <c r="F1608" s="210" t="s">
        <v>108</v>
      </c>
      <c r="G1608" s="210" t="s">
        <v>726</v>
      </c>
      <c r="H1608" s="197">
        <v>0</v>
      </c>
      <c r="I1608" s="210" t="s">
        <v>221</v>
      </c>
      <c r="J1608" s="210">
        <v>2025</v>
      </c>
      <c r="K1608" s="210">
        <v>2025</v>
      </c>
      <c r="L1608" s="268" t="str">
        <f t="shared" si="322"/>
        <v>Simple</v>
      </c>
      <c r="M1608" s="197">
        <v>96451.599999999991</v>
      </c>
      <c r="N1608" s="197">
        <v>0</v>
      </c>
      <c r="O1608" s="257">
        <f>IF(ISNA(MATCH(H1608,'Operating leases'!$B$32:$B$43,0)),0,INDEX('Operating leases'!$M$32:$S$43,MATCH(H1608,'Operating leases'!$B$32:$B$43,0),MATCH(J1608,'Operating leases'!$M$11:$S$11,0)))</f>
        <v>0</v>
      </c>
      <c r="P1608" s="257">
        <f t="shared" si="323"/>
        <v>96451.599999999991</v>
      </c>
      <c r="Q1608" s="257">
        <f t="shared" si="324"/>
        <v>96451.599999999991</v>
      </c>
      <c r="R1608" s="258">
        <f>INDEX('Escalators '!$M$124:$S$129,MATCH(I1608,'Escalators '!$B$124:$B$129,0),MATCH(J1608,'Escalators '!$M$113:$S$113,0))</f>
        <v>1.0867931559758131</v>
      </c>
      <c r="S1608" s="257">
        <f t="shared" si="325"/>
        <v>0</v>
      </c>
      <c r="T1608" s="257">
        <f t="shared" si="326"/>
        <v>0</v>
      </c>
      <c r="U1608" s="269">
        <f t="shared" si="327"/>
        <v>104822.93876291672</v>
      </c>
      <c r="V1608" s="269">
        <f t="shared" si="328"/>
        <v>104822.93876291672</v>
      </c>
      <c r="W1608" s="269">
        <f t="shared" si="329"/>
        <v>104822.93876291672</v>
      </c>
      <c r="X1608" s="257">
        <f t="shared" si="330"/>
        <v>104822.93876291672</v>
      </c>
      <c r="Y1608" s="270">
        <f>IF(L1608="Complex",(INDEX('Escalators '!$M$176:$S$176,MATCH('Forecast capex'!J1608,'Escalators '!$M$178:$S$178,0))/12+1)^((K1608-J1608)*12)-1,0)</f>
        <v>0</v>
      </c>
      <c r="Z1608" s="257">
        <f t="shared" si="331"/>
        <v>0</v>
      </c>
      <c r="AA1608" s="257">
        <f t="shared" si="332"/>
        <v>0</v>
      </c>
      <c r="AB1608" s="269">
        <f t="shared" si="333"/>
        <v>0</v>
      </c>
      <c r="AC1608" s="269">
        <f t="shared" si="334"/>
        <v>0</v>
      </c>
      <c r="AD1608" s="271" t="str">
        <f>INDEX('Global inputs'!$C$134:$C$171,MATCH(F1608,'Global inputs'!$B$134:$B$171,0))</f>
        <v>Asset replacement and renewal</v>
      </c>
      <c r="AE1608" s="272">
        <f>IF(OR(H1608='Operating leases'!$B$32,H1608='Operating leases'!$B$33),"",INDEX('Global inputs'!$C$186:$C$243,MATCH(E1608,'Global inputs'!$B$186:$B$243,0)))</f>
        <v>0.08</v>
      </c>
    </row>
    <row r="1609" spans="1:31" s="27" customFormat="1" x14ac:dyDescent="0.2">
      <c r="A1609" s="250"/>
      <c r="B1609" s="210" t="s">
        <v>742</v>
      </c>
      <c r="C1609" s="210" t="s">
        <v>285</v>
      </c>
      <c r="D1609" s="210" t="s">
        <v>223</v>
      </c>
      <c r="E1609" s="210" t="s">
        <v>134</v>
      </c>
      <c r="F1609" s="210" t="s">
        <v>108</v>
      </c>
      <c r="G1609" s="210" t="s">
        <v>726</v>
      </c>
      <c r="H1609" s="197">
        <v>0</v>
      </c>
      <c r="I1609" s="210" t="s">
        <v>223</v>
      </c>
      <c r="J1609" s="210">
        <v>2025</v>
      </c>
      <c r="K1609" s="210">
        <v>2025</v>
      </c>
      <c r="L1609" s="268" t="str">
        <f t="shared" si="322"/>
        <v>Simple</v>
      </c>
      <c r="M1609" s="197">
        <v>41336.400000000001</v>
      </c>
      <c r="N1609" s="197">
        <v>0</v>
      </c>
      <c r="O1609" s="257">
        <f>IF(ISNA(MATCH(H1609,'Operating leases'!$B$32:$B$43,0)),0,INDEX('Operating leases'!$M$32:$S$43,MATCH(H1609,'Operating leases'!$B$32:$B$43,0),MATCH(J1609,'Operating leases'!$M$11:$S$11,0)))</f>
        <v>0</v>
      </c>
      <c r="P1609" s="257">
        <f t="shared" si="323"/>
        <v>41336.400000000001</v>
      </c>
      <c r="Q1609" s="257">
        <f t="shared" si="324"/>
        <v>41336.400000000001</v>
      </c>
      <c r="R1609" s="258">
        <f>INDEX('Escalators '!$M$124:$S$129,MATCH(I1609,'Escalators '!$B$124:$B$129,0),MATCH(J1609,'Escalators '!$M$113:$S$113,0))</f>
        <v>1.1331892756985407</v>
      </c>
      <c r="S1609" s="257">
        <f t="shared" si="325"/>
        <v>0</v>
      </c>
      <c r="T1609" s="257">
        <f t="shared" si="326"/>
        <v>0</v>
      </c>
      <c r="U1609" s="269">
        <f t="shared" si="327"/>
        <v>46841.965175985155</v>
      </c>
      <c r="V1609" s="269">
        <f t="shared" si="328"/>
        <v>46841.965175985155</v>
      </c>
      <c r="W1609" s="269">
        <f t="shared" si="329"/>
        <v>46841.965175985155</v>
      </c>
      <c r="X1609" s="257">
        <f t="shared" si="330"/>
        <v>46841.965175985155</v>
      </c>
      <c r="Y1609" s="270">
        <f>IF(L1609="Complex",(INDEX('Escalators '!$M$176:$S$176,MATCH('Forecast capex'!J1609,'Escalators '!$M$178:$S$178,0))/12+1)^((K1609-J1609)*12)-1,0)</f>
        <v>0</v>
      </c>
      <c r="Z1609" s="257">
        <f t="shared" si="331"/>
        <v>0</v>
      </c>
      <c r="AA1609" s="257">
        <f t="shared" si="332"/>
        <v>0</v>
      </c>
      <c r="AB1609" s="269">
        <f t="shared" si="333"/>
        <v>0</v>
      </c>
      <c r="AC1609" s="269">
        <f t="shared" si="334"/>
        <v>0</v>
      </c>
      <c r="AD1609" s="271" t="str">
        <f>INDEX('Global inputs'!$C$134:$C$171,MATCH(F1609,'Global inputs'!$B$134:$B$171,0))</f>
        <v>Asset replacement and renewal</v>
      </c>
      <c r="AE1609" s="272">
        <f>IF(OR(H1609='Operating leases'!$B$32,H1609='Operating leases'!$B$33),"",INDEX('Global inputs'!$C$186:$C$243,MATCH(E1609,'Global inputs'!$B$186:$B$243,0)))</f>
        <v>0.08</v>
      </c>
    </row>
    <row r="1610" spans="1:31" s="27" customFormat="1" x14ac:dyDescent="0.2">
      <c r="A1610" s="250"/>
      <c r="B1610" s="210" t="s">
        <v>742</v>
      </c>
      <c r="C1610" s="210" t="s">
        <v>291</v>
      </c>
      <c r="D1610" s="210" t="s">
        <v>735</v>
      </c>
      <c r="E1610" s="210" t="s">
        <v>175</v>
      </c>
      <c r="F1610" s="210" t="s">
        <v>108</v>
      </c>
      <c r="G1610" s="210" t="s">
        <v>748</v>
      </c>
      <c r="H1610" s="197">
        <v>0</v>
      </c>
      <c r="I1610" s="210" t="s">
        <v>221</v>
      </c>
      <c r="J1610" s="210">
        <v>2025</v>
      </c>
      <c r="K1610" s="210">
        <v>2025</v>
      </c>
      <c r="L1610" s="268" t="str">
        <f t="shared" ref="L1610:L1673" si="335">IF(J1610=K1610,"Simple","Complex")</f>
        <v>Simple</v>
      </c>
      <c r="M1610" s="197">
        <v>44688</v>
      </c>
      <c r="N1610" s="197">
        <v>0</v>
      </c>
      <c r="O1610" s="257">
        <f>IF(ISNA(MATCH(H1610,'Operating leases'!$B$32:$B$43,0)),0,INDEX('Operating leases'!$M$32:$S$43,MATCH(H1610,'Operating leases'!$B$32:$B$43,0),MATCH(J1610,'Operating leases'!$M$11:$S$11,0)))</f>
        <v>0</v>
      </c>
      <c r="P1610" s="257">
        <f t="shared" ref="P1610:P1673" si="336">O1610+M1610</f>
        <v>44688</v>
      </c>
      <c r="Q1610" s="257">
        <f t="shared" ref="Q1610:Q1673" si="337">M1610+N1610+O1610</f>
        <v>44688</v>
      </c>
      <c r="R1610" s="258">
        <f>INDEX('Escalators '!$M$124:$S$129,MATCH(I1610,'Escalators '!$B$124:$B$129,0),MATCH(J1610,'Escalators '!$M$113:$S$113,0))</f>
        <v>1.0867931559758131</v>
      </c>
      <c r="S1610" s="257">
        <f t="shared" ref="S1610:S1673" si="338">O1610*R1610</f>
        <v>0</v>
      </c>
      <c r="T1610" s="257">
        <f t="shared" ref="T1610:T1673" si="339">N1610*R1610</f>
        <v>0</v>
      </c>
      <c r="U1610" s="269">
        <f t="shared" ref="U1610:U1673" si="340">W1610-S1610</f>
        <v>48566.612554247135</v>
      </c>
      <c r="V1610" s="269">
        <f t="shared" ref="V1610:V1673" si="341">U1610+T1610</f>
        <v>48566.612554247135</v>
      </c>
      <c r="W1610" s="269">
        <f t="shared" ref="W1610:W1673" si="342">X1610-T1610</f>
        <v>48566.612554247135</v>
      </c>
      <c r="X1610" s="257">
        <f t="shared" ref="X1610:X1673" si="343">Q1610*R1610</f>
        <v>48566.612554247135</v>
      </c>
      <c r="Y1610" s="270">
        <f>IF(L1610="Complex",(INDEX('Escalators '!$M$176:$S$176,MATCH('Forecast capex'!J1610,'Escalators '!$M$178:$S$178,0))/12+1)^((K1610-J1610)*12)-1,0)</f>
        <v>0</v>
      </c>
      <c r="Z1610" s="257">
        <f t="shared" ref="Z1610:Z1673" si="344">P1610*Y1610</f>
        <v>0</v>
      </c>
      <c r="AA1610" s="257">
        <f t="shared" ref="AA1610:AA1673" si="345">W1610*Y1610</f>
        <v>0</v>
      </c>
      <c r="AB1610" s="269">
        <f t="shared" ref="AB1610:AB1673" si="346">IF(L1610="Complex",AC1610-T1610,0)</f>
        <v>0</v>
      </c>
      <c r="AC1610" s="269">
        <f t="shared" ref="AC1610:AC1673" si="347">IF(L1610="Complex",V1610+AA1610,0)</f>
        <v>0</v>
      </c>
      <c r="AD1610" s="271" t="str">
        <f>INDEX('Global inputs'!$C$134:$C$171,MATCH(F1610,'Global inputs'!$B$134:$B$171,0))</f>
        <v>Asset replacement and renewal</v>
      </c>
      <c r="AE1610" s="272">
        <f>IF(OR(H1610='Operating leases'!$B$32,H1610='Operating leases'!$B$33),"",INDEX('Global inputs'!$C$186:$C$243,MATCH(E1610,'Global inputs'!$B$186:$B$243,0)))</f>
        <v>0.1</v>
      </c>
    </row>
    <row r="1611" spans="1:31" s="27" customFormat="1" x14ac:dyDescent="0.2">
      <c r="A1611" s="250"/>
      <c r="B1611" s="210" t="s">
        <v>742</v>
      </c>
      <c r="C1611" s="210" t="s">
        <v>291</v>
      </c>
      <c r="D1611" s="210" t="s">
        <v>735</v>
      </c>
      <c r="E1611" s="210" t="s">
        <v>175</v>
      </c>
      <c r="F1611" s="210" t="s">
        <v>108</v>
      </c>
      <c r="G1611" s="210" t="s">
        <v>748</v>
      </c>
      <c r="H1611" s="197">
        <v>0</v>
      </c>
      <c r="I1611" s="210" t="s">
        <v>229</v>
      </c>
      <c r="J1611" s="210">
        <v>2025</v>
      </c>
      <c r="K1611" s="210">
        <v>2025</v>
      </c>
      <c r="L1611" s="268" t="str">
        <f t="shared" si="335"/>
        <v>Simple</v>
      </c>
      <c r="M1611" s="197">
        <v>11172</v>
      </c>
      <c r="N1611" s="197">
        <v>0</v>
      </c>
      <c r="O1611" s="257">
        <f>IF(ISNA(MATCH(H1611,'Operating leases'!$B$32:$B$43,0)),0,INDEX('Operating leases'!$M$32:$S$43,MATCH(H1611,'Operating leases'!$B$32:$B$43,0),MATCH(J1611,'Operating leases'!$M$11:$S$11,0)))</f>
        <v>0</v>
      </c>
      <c r="P1611" s="257">
        <f t="shared" si="336"/>
        <v>11172</v>
      </c>
      <c r="Q1611" s="257">
        <f t="shared" si="337"/>
        <v>11172</v>
      </c>
      <c r="R1611" s="258">
        <f>INDEX('Escalators '!$M$124:$S$129,MATCH(I1611,'Escalators '!$B$124:$B$129,0),MATCH(J1611,'Escalators '!$M$113:$S$113,0))</f>
        <v>1.0919411253473632</v>
      </c>
      <c r="S1611" s="257">
        <f t="shared" si="338"/>
        <v>0</v>
      </c>
      <c r="T1611" s="257">
        <f t="shared" si="339"/>
        <v>0</v>
      </c>
      <c r="U1611" s="269">
        <f t="shared" si="340"/>
        <v>12199.166252380741</v>
      </c>
      <c r="V1611" s="269">
        <f t="shared" si="341"/>
        <v>12199.166252380741</v>
      </c>
      <c r="W1611" s="269">
        <f t="shared" si="342"/>
        <v>12199.166252380741</v>
      </c>
      <c r="X1611" s="257">
        <f t="shared" si="343"/>
        <v>12199.166252380741</v>
      </c>
      <c r="Y1611" s="270">
        <f>IF(L1611="Complex",(INDEX('Escalators '!$M$176:$S$176,MATCH('Forecast capex'!J1611,'Escalators '!$M$178:$S$178,0))/12+1)^((K1611-J1611)*12)-1,0)</f>
        <v>0</v>
      </c>
      <c r="Z1611" s="257">
        <f t="shared" si="344"/>
        <v>0</v>
      </c>
      <c r="AA1611" s="257">
        <f t="shared" si="345"/>
        <v>0</v>
      </c>
      <c r="AB1611" s="269">
        <f t="shared" si="346"/>
        <v>0</v>
      </c>
      <c r="AC1611" s="269">
        <f t="shared" si="347"/>
        <v>0</v>
      </c>
      <c r="AD1611" s="271" t="str">
        <f>INDEX('Global inputs'!$C$134:$C$171,MATCH(F1611,'Global inputs'!$B$134:$B$171,0))</f>
        <v>Asset replacement and renewal</v>
      </c>
      <c r="AE1611" s="272">
        <f>IF(OR(H1611='Operating leases'!$B$32,H1611='Operating leases'!$B$33),"",INDEX('Global inputs'!$C$186:$C$243,MATCH(E1611,'Global inputs'!$B$186:$B$243,0)))</f>
        <v>0.1</v>
      </c>
    </row>
    <row r="1612" spans="1:31" s="27" customFormat="1" x14ac:dyDescent="0.2">
      <c r="A1612" s="250"/>
      <c r="B1612" s="210" t="s">
        <v>742</v>
      </c>
      <c r="C1612" s="210" t="s">
        <v>286</v>
      </c>
      <c r="D1612" s="210" t="s">
        <v>732</v>
      </c>
      <c r="E1612" s="210" t="s">
        <v>138</v>
      </c>
      <c r="F1612" s="210" t="s">
        <v>108</v>
      </c>
      <c r="G1612" s="210" t="s">
        <v>752</v>
      </c>
      <c r="H1612" s="197">
        <v>0</v>
      </c>
      <c r="I1612" s="210" t="s">
        <v>221</v>
      </c>
      <c r="J1612" s="210">
        <v>2025</v>
      </c>
      <c r="K1612" s="210">
        <v>2025</v>
      </c>
      <c r="L1612" s="268" t="str">
        <f t="shared" si="335"/>
        <v>Simple</v>
      </c>
      <c r="M1612" s="197">
        <v>491142.39999999997</v>
      </c>
      <c r="N1612" s="197">
        <v>0</v>
      </c>
      <c r="O1612" s="257">
        <f>IF(ISNA(MATCH(H1612,'Operating leases'!$B$32:$B$43,0)),0,INDEX('Operating leases'!$M$32:$S$43,MATCH(H1612,'Operating leases'!$B$32:$B$43,0),MATCH(J1612,'Operating leases'!$M$11:$S$11,0)))</f>
        <v>0</v>
      </c>
      <c r="P1612" s="257">
        <f t="shared" si="336"/>
        <v>491142.39999999997</v>
      </c>
      <c r="Q1612" s="257">
        <f t="shared" si="337"/>
        <v>491142.39999999997</v>
      </c>
      <c r="R1612" s="258">
        <f>INDEX('Escalators '!$M$124:$S$129,MATCH(I1612,'Escalators '!$B$124:$B$129,0),MATCH(J1612,'Escalators '!$M$113:$S$113,0))</f>
        <v>1.0867931559758131</v>
      </c>
      <c r="S1612" s="257">
        <f t="shared" si="338"/>
        <v>0</v>
      </c>
      <c r="T1612" s="257">
        <f t="shared" si="339"/>
        <v>0</v>
      </c>
      <c r="U1612" s="269">
        <f t="shared" si="340"/>
        <v>533770.19892953511</v>
      </c>
      <c r="V1612" s="269">
        <f t="shared" si="341"/>
        <v>533770.19892953511</v>
      </c>
      <c r="W1612" s="269">
        <f t="shared" si="342"/>
        <v>533770.19892953511</v>
      </c>
      <c r="X1612" s="257">
        <f t="shared" si="343"/>
        <v>533770.19892953511</v>
      </c>
      <c r="Y1612" s="270">
        <f>IF(L1612="Complex",(INDEX('Escalators '!$M$176:$S$176,MATCH('Forecast capex'!J1612,'Escalators '!$M$178:$S$178,0))/12+1)^((K1612-J1612)*12)-1,0)</f>
        <v>0</v>
      </c>
      <c r="Z1612" s="257">
        <f t="shared" si="344"/>
        <v>0</v>
      </c>
      <c r="AA1612" s="257">
        <f t="shared" si="345"/>
        <v>0</v>
      </c>
      <c r="AB1612" s="269">
        <f t="shared" si="346"/>
        <v>0</v>
      </c>
      <c r="AC1612" s="269">
        <f t="shared" si="347"/>
        <v>0</v>
      </c>
      <c r="AD1612" s="271" t="str">
        <f>INDEX('Global inputs'!$C$134:$C$171,MATCH(F1612,'Global inputs'!$B$134:$B$171,0))</f>
        <v>Asset replacement and renewal</v>
      </c>
      <c r="AE1612" s="272">
        <f>IF(OR(H1612='Operating leases'!$B$32,H1612='Operating leases'!$B$33),"",INDEX('Global inputs'!$C$186:$C$243,MATCH(E1612,'Global inputs'!$B$186:$B$243,0)))</f>
        <v>0.08</v>
      </c>
    </row>
    <row r="1613" spans="1:31" s="27" customFormat="1" x14ac:dyDescent="0.2">
      <c r="A1613" s="250"/>
      <c r="B1613" s="210" t="s">
        <v>742</v>
      </c>
      <c r="C1613" s="210" t="s">
        <v>286</v>
      </c>
      <c r="D1613" s="210" t="s">
        <v>732</v>
      </c>
      <c r="E1613" s="210" t="s">
        <v>138</v>
      </c>
      <c r="F1613" s="210" t="s">
        <v>108</v>
      </c>
      <c r="G1613" s="210" t="s">
        <v>752</v>
      </c>
      <c r="H1613" s="197">
        <v>0</v>
      </c>
      <c r="I1613" s="210" t="s">
        <v>139</v>
      </c>
      <c r="J1613" s="210">
        <v>2025</v>
      </c>
      <c r="K1613" s="210">
        <v>2025</v>
      </c>
      <c r="L1613" s="268" t="str">
        <f t="shared" si="335"/>
        <v>Simple</v>
      </c>
      <c r="M1613" s="197">
        <v>736713.6</v>
      </c>
      <c r="N1613" s="197">
        <v>0</v>
      </c>
      <c r="O1613" s="257">
        <f>IF(ISNA(MATCH(H1613,'Operating leases'!$B$32:$B$43,0)),0,INDEX('Operating leases'!$M$32:$S$43,MATCH(H1613,'Operating leases'!$B$32:$B$43,0),MATCH(J1613,'Operating leases'!$M$11:$S$11,0)))</f>
        <v>0</v>
      </c>
      <c r="P1613" s="257">
        <f t="shared" si="336"/>
        <v>736713.6</v>
      </c>
      <c r="Q1613" s="257">
        <f t="shared" si="337"/>
        <v>736713.6</v>
      </c>
      <c r="R1613" s="258">
        <f>INDEX('Escalators '!$M$124:$S$129,MATCH(I1613,'Escalators '!$B$124:$B$129,0),MATCH(J1613,'Escalators '!$M$113:$S$113,0))</f>
        <v>1.0587148896071601</v>
      </c>
      <c r="S1613" s="257">
        <f t="shared" si="338"/>
        <v>0</v>
      </c>
      <c r="T1613" s="257">
        <f t="shared" si="339"/>
        <v>0</v>
      </c>
      <c r="U1613" s="269">
        <f t="shared" si="340"/>
        <v>779969.65769609343</v>
      </c>
      <c r="V1613" s="269">
        <f t="shared" si="341"/>
        <v>779969.65769609343</v>
      </c>
      <c r="W1613" s="269">
        <f t="shared" si="342"/>
        <v>779969.65769609343</v>
      </c>
      <c r="X1613" s="257">
        <f t="shared" si="343"/>
        <v>779969.65769609343</v>
      </c>
      <c r="Y1613" s="270">
        <f>IF(L1613="Complex",(INDEX('Escalators '!$M$176:$S$176,MATCH('Forecast capex'!J1613,'Escalators '!$M$178:$S$178,0))/12+1)^((K1613-J1613)*12)-1,0)</f>
        <v>0</v>
      </c>
      <c r="Z1613" s="257">
        <f t="shared" si="344"/>
        <v>0</v>
      </c>
      <c r="AA1613" s="257">
        <f t="shared" si="345"/>
        <v>0</v>
      </c>
      <c r="AB1613" s="269">
        <f t="shared" si="346"/>
        <v>0</v>
      </c>
      <c r="AC1613" s="269">
        <f t="shared" si="347"/>
        <v>0</v>
      </c>
      <c r="AD1613" s="271" t="str">
        <f>INDEX('Global inputs'!$C$134:$C$171,MATCH(F1613,'Global inputs'!$B$134:$B$171,0))</f>
        <v>Asset replacement and renewal</v>
      </c>
      <c r="AE1613" s="272">
        <f>IF(OR(H1613='Operating leases'!$B$32,H1613='Operating leases'!$B$33),"",INDEX('Global inputs'!$C$186:$C$243,MATCH(E1613,'Global inputs'!$B$186:$B$243,0)))</f>
        <v>0.08</v>
      </c>
    </row>
    <row r="1614" spans="1:31" s="27" customFormat="1" x14ac:dyDescent="0.2">
      <c r="A1614" s="250"/>
      <c r="B1614" s="210" t="s">
        <v>742</v>
      </c>
      <c r="C1614" s="210" t="s">
        <v>286</v>
      </c>
      <c r="D1614" s="210" t="s">
        <v>732</v>
      </c>
      <c r="E1614" s="210" t="s">
        <v>141</v>
      </c>
      <c r="F1614" s="210" t="s">
        <v>108</v>
      </c>
      <c r="G1614" s="210" t="s">
        <v>734</v>
      </c>
      <c r="H1614" s="197">
        <v>0</v>
      </c>
      <c r="I1614" s="210" t="s">
        <v>221</v>
      </c>
      <c r="J1614" s="210">
        <v>2025</v>
      </c>
      <c r="K1614" s="210">
        <v>2025</v>
      </c>
      <c r="L1614" s="268" t="str">
        <f t="shared" si="335"/>
        <v>Simple</v>
      </c>
      <c r="M1614" s="197">
        <v>25137</v>
      </c>
      <c r="N1614" s="197">
        <v>0</v>
      </c>
      <c r="O1614" s="257">
        <f>IF(ISNA(MATCH(H1614,'Operating leases'!$B$32:$B$43,0)),0,INDEX('Operating leases'!$M$32:$S$43,MATCH(H1614,'Operating leases'!$B$32:$B$43,0),MATCH(J1614,'Operating leases'!$M$11:$S$11,0)))</f>
        <v>0</v>
      </c>
      <c r="P1614" s="257">
        <f t="shared" si="336"/>
        <v>25137</v>
      </c>
      <c r="Q1614" s="257">
        <f t="shared" si="337"/>
        <v>25137</v>
      </c>
      <c r="R1614" s="258">
        <f>INDEX('Escalators '!$M$124:$S$129,MATCH(I1614,'Escalators '!$B$124:$B$129,0),MATCH(J1614,'Escalators '!$M$113:$S$113,0))</f>
        <v>1.0867931559758131</v>
      </c>
      <c r="S1614" s="257">
        <f t="shared" si="338"/>
        <v>0</v>
      </c>
      <c r="T1614" s="257">
        <f t="shared" si="339"/>
        <v>0</v>
      </c>
      <c r="U1614" s="269">
        <f t="shared" si="340"/>
        <v>27318.719561764014</v>
      </c>
      <c r="V1614" s="269">
        <f t="shared" si="341"/>
        <v>27318.719561764014</v>
      </c>
      <c r="W1614" s="269">
        <f t="shared" si="342"/>
        <v>27318.719561764014</v>
      </c>
      <c r="X1614" s="257">
        <f t="shared" si="343"/>
        <v>27318.719561764014</v>
      </c>
      <c r="Y1614" s="270">
        <f>IF(L1614="Complex",(INDEX('Escalators '!$M$176:$S$176,MATCH('Forecast capex'!J1614,'Escalators '!$M$178:$S$178,0))/12+1)^((K1614-J1614)*12)-1,0)</f>
        <v>0</v>
      </c>
      <c r="Z1614" s="257">
        <f t="shared" si="344"/>
        <v>0</v>
      </c>
      <c r="AA1614" s="257">
        <f t="shared" si="345"/>
        <v>0</v>
      </c>
      <c r="AB1614" s="269">
        <f t="shared" si="346"/>
        <v>0</v>
      </c>
      <c r="AC1614" s="269">
        <f t="shared" si="347"/>
        <v>0</v>
      </c>
      <c r="AD1614" s="271" t="str">
        <f>INDEX('Global inputs'!$C$134:$C$171,MATCH(F1614,'Global inputs'!$B$134:$B$171,0))</f>
        <v>Asset replacement and renewal</v>
      </c>
      <c r="AE1614" s="272">
        <f>IF(OR(H1614='Operating leases'!$B$32,H1614='Operating leases'!$B$33),"",INDEX('Global inputs'!$C$186:$C$243,MATCH(E1614,'Global inputs'!$B$186:$B$243,0)))</f>
        <v>0.08</v>
      </c>
    </row>
    <row r="1615" spans="1:31" s="27" customFormat="1" x14ac:dyDescent="0.2">
      <c r="A1615" s="250"/>
      <c r="B1615" s="210" t="s">
        <v>742</v>
      </c>
      <c r="C1615" s="210" t="s">
        <v>286</v>
      </c>
      <c r="D1615" s="210" t="s">
        <v>732</v>
      </c>
      <c r="E1615" s="210" t="s">
        <v>141</v>
      </c>
      <c r="F1615" s="210" t="s">
        <v>108</v>
      </c>
      <c r="G1615" s="210" t="s">
        <v>734</v>
      </c>
      <c r="H1615" s="197">
        <v>0</v>
      </c>
      <c r="I1615" s="210" t="s">
        <v>142</v>
      </c>
      <c r="J1615" s="210">
        <v>2025</v>
      </c>
      <c r="K1615" s="210">
        <v>2025</v>
      </c>
      <c r="L1615" s="268" t="str">
        <f t="shared" si="335"/>
        <v>Simple</v>
      </c>
      <c r="M1615" s="197">
        <v>100548</v>
      </c>
      <c r="N1615" s="197">
        <v>0</v>
      </c>
      <c r="O1615" s="257">
        <f>IF(ISNA(MATCH(H1615,'Operating leases'!$B$32:$B$43,0)),0,INDEX('Operating leases'!$M$32:$S$43,MATCH(H1615,'Operating leases'!$B$32:$B$43,0),MATCH(J1615,'Operating leases'!$M$11:$S$11,0)))</f>
        <v>0</v>
      </c>
      <c r="P1615" s="257">
        <f t="shared" si="336"/>
        <v>100548</v>
      </c>
      <c r="Q1615" s="257">
        <f t="shared" si="337"/>
        <v>100548</v>
      </c>
      <c r="R1615" s="258">
        <f>INDEX('Escalators '!$M$124:$S$129,MATCH(I1615,'Escalators '!$B$124:$B$129,0),MATCH(J1615,'Escalators '!$M$113:$S$113,0))</f>
        <v>1.0914807286621109</v>
      </c>
      <c r="S1615" s="257">
        <f t="shared" si="338"/>
        <v>0</v>
      </c>
      <c r="T1615" s="257">
        <f t="shared" si="339"/>
        <v>0</v>
      </c>
      <c r="U1615" s="269">
        <f t="shared" si="340"/>
        <v>109746.20430551792</v>
      </c>
      <c r="V1615" s="269">
        <f t="shared" si="341"/>
        <v>109746.20430551792</v>
      </c>
      <c r="W1615" s="269">
        <f t="shared" si="342"/>
        <v>109746.20430551792</v>
      </c>
      <c r="X1615" s="257">
        <f t="shared" si="343"/>
        <v>109746.20430551792</v>
      </c>
      <c r="Y1615" s="270">
        <f>IF(L1615="Complex",(INDEX('Escalators '!$M$176:$S$176,MATCH('Forecast capex'!J1615,'Escalators '!$M$178:$S$178,0))/12+1)^((K1615-J1615)*12)-1,0)</f>
        <v>0</v>
      </c>
      <c r="Z1615" s="257">
        <f t="shared" si="344"/>
        <v>0</v>
      </c>
      <c r="AA1615" s="257">
        <f t="shared" si="345"/>
        <v>0</v>
      </c>
      <c r="AB1615" s="269">
        <f t="shared" si="346"/>
        <v>0</v>
      </c>
      <c r="AC1615" s="269">
        <f t="shared" si="347"/>
        <v>0</v>
      </c>
      <c r="AD1615" s="271" t="str">
        <f>INDEX('Global inputs'!$C$134:$C$171,MATCH(F1615,'Global inputs'!$B$134:$B$171,0))</f>
        <v>Asset replacement and renewal</v>
      </c>
      <c r="AE1615" s="272">
        <f>IF(OR(H1615='Operating leases'!$B$32,H1615='Operating leases'!$B$33),"",INDEX('Global inputs'!$C$186:$C$243,MATCH(E1615,'Global inputs'!$B$186:$B$243,0)))</f>
        <v>0.08</v>
      </c>
    </row>
    <row r="1616" spans="1:31" s="27" customFormat="1" x14ac:dyDescent="0.2">
      <c r="A1616" s="250"/>
      <c r="B1616" s="210" t="s">
        <v>742</v>
      </c>
      <c r="C1616" s="210" t="s">
        <v>286</v>
      </c>
      <c r="D1616" s="210" t="s">
        <v>735</v>
      </c>
      <c r="E1616" s="210" t="s">
        <v>144</v>
      </c>
      <c r="F1616" s="210" t="s">
        <v>108</v>
      </c>
      <c r="G1616" s="210" t="s">
        <v>736</v>
      </c>
      <c r="H1616" s="197">
        <v>0</v>
      </c>
      <c r="I1616" s="210" t="s">
        <v>221</v>
      </c>
      <c r="J1616" s="210">
        <v>2025</v>
      </c>
      <c r="K1616" s="210">
        <v>2025</v>
      </c>
      <c r="L1616" s="268" t="str">
        <f t="shared" si="335"/>
        <v>Simple</v>
      </c>
      <c r="M1616" s="197">
        <v>123636.79999999999</v>
      </c>
      <c r="N1616" s="197">
        <v>0</v>
      </c>
      <c r="O1616" s="257">
        <f>IF(ISNA(MATCH(H1616,'Operating leases'!$B$32:$B$43,0)),0,INDEX('Operating leases'!$M$32:$S$43,MATCH(H1616,'Operating leases'!$B$32:$B$43,0),MATCH(J1616,'Operating leases'!$M$11:$S$11,0)))</f>
        <v>0</v>
      </c>
      <c r="P1616" s="257">
        <f t="shared" si="336"/>
        <v>123636.79999999999</v>
      </c>
      <c r="Q1616" s="257">
        <f t="shared" si="337"/>
        <v>123636.79999999999</v>
      </c>
      <c r="R1616" s="258">
        <f>INDEX('Escalators '!$M$124:$S$129,MATCH(I1616,'Escalators '!$B$124:$B$129,0),MATCH(J1616,'Escalators '!$M$113:$S$113,0))</f>
        <v>1.0867931559758131</v>
      </c>
      <c r="S1616" s="257">
        <f t="shared" si="338"/>
        <v>0</v>
      </c>
      <c r="T1616" s="257">
        <f t="shared" si="339"/>
        <v>0</v>
      </c>
      <c r="U1616" s="269">
        <f t="shared" si="340"/>
        <v>134367.62806675039</v>
      </c>
      <c r="V1616" s="269">
        <f t="shared" si="341"/>
        <v>134367.62806675039</v>
      </c>
      <c r="W1616" s="269">
        <f t="shared" si="342"/>
        <v>134367.62806675039</v>
      </c>
      <c r="X1616" s="257">
        <f t="shared" si="343"/>
        <v>134367.62806675039</v>
      </c>
      <c r="Y1616" s="270">
        <f>IF(L1616="Complex",(INDEX('Escalators '!$M$176:$S$176,MATCH('Forecast capex'!J1616,'Escalators '!$M$178:$S$178,0))/12+1)^((K1616-J1616)*12)-1,0)</f>
        <v>0</v>
      </c>
      <c r="Z1616" s="257">
        <f t="shared" si="344"/>
        <v>0</v>
      </c>
      <c r="AA1616" s="257">
        <f t="shared" si="345"/>
        <v>0</v>
      </c>
      <c r="AB1616" s="269">
        <f t="shared" si="346"/>
        <v>0</v>
      </c>
      <c r="AC1616" s="269">
        <f t="shared" si="347"/>
        <v>0</v>
      </c>
      <c r="AD1616" s="271" t="str">
        <f>INDEX('Global inputs'!$C$134:$C$171,MATCH(F1616,'Global inputs'!$B$134:$B$171,0))</f>
        <v>Asset replacement and renewal</v>
      </c>
      <c r="AE1616" s="272">
        <f>IF(OR(H1616='Operating leases'!$B$32,H1616='Operating leases'!$B$33),"",INDEX('Global inputs'!$C$186:$C$243,MATCH(E1616,'Global inputs'!$B$186:$B$243,0)))</f>
        <v>0.08</v>
      </c>
    </row>
    <row r="1617" spans="1:31" s="27" customFormat="1" x14ac:dyDescent="0.2">
      <c r="A1617" s="250"/>
      <c r="B1617" s="210" t="s">
        <v>742</v>
      </c>
      <c r="C1617" s="210" t="s">
        <v>286</v>
      </c>
      <c r="D1617" s="210" t="s">
        <v>735</v>
      </c>
      <c r="E1617" s="210" t="s">
        <v>144</v>
      </c>
      <c r="F1617" s="210" t="s">
        <v>108</v>
      </c>
      <c r="G1617" s="210" t="s">
        <v>736</v>
      </c>
      <c r="H1617" s="197">
        <v>0</v>
      </c>
      <c r="I1617" s="210" t="s">
        <v>229</v>
      </c>
      <c r="J1617" s="210">
        <v>2025</v>
      </c>
      <c r="K1617" s="210">
        <v>2025</v>
      </c>
      <c r="L1617" s="268" t="str">
        <f t="shared" si="335"/>
        <v>Simple</v>
      </c>
      <c r="M1617" s="197">
        <v>30909.199999999997</v>
      </c>
      <c r="N1617" s="197">
        <v>0</v>
      </c>
      <c r="O1617" s="257">
        <f>IF(ISNA(MATCH(H1617,'Operating leases'!$B$32:$B$43,0)),0,INDEX('Operating leases'!$M$32:$S$43,MATCH(H1617,'Operating leases'!$B$32:$B$43,0),MATCH(J1617,'Operating leases'!$M$11:$S$11,0)))</f>
        <v>0</v>
      </c>
      <c r="P1617" s="257">
        <f t="shared" si="336"/>
        <v>30909.199999999997</v>
      </c>
      <c r="Q1617" s="257">
        <f t="shared" si="337"/>
        <v>30909.199999999997</v>
      </c>
      <c r="R1617" s="258">
        <f>INDEX('Escalators '!$M$124:$S$129,MATCH(I1617,'Escalators '!$B$124:$B$129,0),MATCH(J1617,'Escalators '!$M$113:$S$113,0))</f>
        <v>1.0919411253473632</v>
      </c>
      <c r="S1617" s="257">
        <f t="shared" si="338"/>
        <v>0</v>
      </c>
      <c r="T1617" s="257">
        <f t="shared" si="339"/>
        <v>0</v>
      </c>
      <c r="U1617" s="269">
        <f t="shared" si="340"/>
        <v>33751.026631586712</v>
      </c>
      <c r="V1617" s="269">
        <f t="shared" si="341"/>
        <v>33751.026631586712</v>
      </c>
      <c r="W1617" s="269">
        <f t="shared" si="342"/>
        <v>33751.026631586712</v>
      </c>
      <c r="X1617" s="257">
        <f t="shared" si="343"/>
        <v>33751.026631586712</v>
      </c>
      <c r="Y1617" s="270">
        <f>IF(L1617="Complex",(INDEX('Escalators '!$M$176:$S$176,MATCH('Forecast capex'!J1617,'Escalators '!$M$178:$S$178,0))/12+1)^((K1617-J1617)*12)-1,0)</f>
        <v>0</v>
      </c>
      <c r="Z1617" s="257">
        <f t="shared" si="344"/>
        <v>0</v>
      </c>
      <c r="AA1617" s="257">
        <f t="shared" si="345"/>
        <v>0</v>
      </c>
      <c r="AB1617" s="269">
        <f t="shared" si="346"/>
        <v>0</v>
      </c>
      <c r="AC1617" s="269">
        <f t="shared" si="347"/>
        <v>0</v>
      </c>
      <c r="AD1617" s="271" t="str">
        <f>INDEX('Global inputs'!$C$134:$C$171,MATCH(F1617,'Global inputs'!$B$134:$B$171,0))</f>
        <v>Asset replacement and renewal</v>
      </c>
      <c r="AE1617" s="272">
        <f>IF(OR(H1617='Operating leases'!$B$32,H1617='Operating leases'!$B$33),"",INDEX('Global inputs'!$C$186:$C$243,MATCH(E1617,'Global inputs'!$B$186:$B$243,0)))</f>
        <v>0.08</v>
      </c>
    </row>
    <row r="1618" spans="1:31" s="27" customFormat="1" x14ac:dyDescent="0.2">
      <c r="A1618" s="250"/>
      <c r="B1618" s="210" t="s">
        <v>742</v>
      </c>
      <c r="C1618" s="210" t="s">
        <v>288</v>
      </c>
      <c r="D1618" s="210" t="s">
        <v>223</v>
      </c>
      <c r="E1618" s="210" t="s">
        <v>156</v>
      </c>
      <c r="F1618" s="210" t="s">
        <v>108</v>
      </c>
      <c r="G1618" s="210" t="s">
        <v>727</v>
      </c>
      <c r="H1618" s="197">
        <v>0</v>
      </c>
      <c r="I1618" s="210" t="s">
        <v>221</v>
      </c>
      <c r="J1618" s="210">
        <v>2025</v>
      </c>
      <c r="K1618" s="210">
        <v>2025</v>
      </c>
      <c r="L1618" s="268" t="str">
        <f t="shared" si="335"/>
        <v>Simple</v>
      </c>
      <c r="M1618" s="197">
        <v>24438.75</v>
      </c>
      <c r="N1618" s="197">
        <v>0</v>
      </c>
      <c r="O1618" s="257">
        <f>IF(ISNA(MATCH(H1618,'Operating leases'!$B$32:$B$43,0)),0,INDEX('Operating leases'!$M$32:$S$43,MATCH(H1618,'Operating leases'!$B$32:$B$43,0),MATCH(J1618,'Operating leases'!$M$11:$S$11,0)))</f>
        <v>0</v>
      </c>
      <c r="P1618" s="257">
        <f t="shared" si="336"/>
        <v>24438.75</v>
      </c>
      <c r="Q1618" s="257">
        <f t="shared" si="337"/>
        <v>24438.75</v>
      </c>
      <c r="R1618" s="258">
        <f>INDEX('Escalators '!$M$124:$S$129,MATCH(I1618,'Escalators '!$B$124:$B$129,0),MATCH(J1618,'Escalators '!$M$113:$S$113,0))</f>
        <v>1.0867931559758131</v>
      </c>
      <c r="S1618" s="257">
        <f t="shared" si="338"/>
        <v>0</v>
      </c>
      <c r="T1618" s="257">
        <f t="shared" si="339"/>
        <v>0</v>
      </c>
      <c r="U1618" s="269">
        <f t="shared" si="340"/>
        <v>26559.8662406039</v>
      </c>
      <c r="V1618" s="269">
        <f t="shared" si="341"/>
        <v>26559.8662406039</v>
      </c>
      <c r="W1618" s="269">
        <f t="shared" si="342"/>
        <v>26559.8662406039</v>
      </c>
      <c r="X1618" s="257">
        <f t="shared" si="343"/>
        <v>26559.8662406039</v>
      </c>
      <c r="Y1618" s="270">
        <f>IF(L1618="Complex",(INDEX('Escalators '!$M$176:$S$176,MATCH('Forecast capex'!J1618,'Escalators '!$M$178:$S$178,0))/12+1)^((K1618-J1618)*12)-1,0)</f>
        <v>0</v>
      </c>
      <c r="Z1618" s="257">
        <f t="shared" si="344"/>
        <v>0</v>
      </c>
      <c r="AA1618" s="257">
        <f t="shared" si="345"/>
        <v>0</v>
      </c>
      <c r="AB1618" s="269">
        <f t="shared" si="346"/>
        <v>0</v>
      </c>
      <c r="AC1618" s="269">
        <f t="shared" si="347"/>
        <v>0</v>
      </c>
      <c r="AD1618" s="271" t="str">
        <f>INDEX('Global inputs'!$C$134:$C$171,MATCH(F1618,'Global inputs'!$B$134:$B$171,0))</f>
        <v>Asset replacement and renewal</v>
      </c>
      <c r="AE1618" s="272">
        <f>IF(OR(H1618='Operating leases'!$B$32,H1618='Operating leases'!$B$33),"",INDEX('Global inputs'!$C$186:$C$243,MATCH(E1618,'Global inputs'!$B$186:$B$243,0)))</f>
        <v>0.08</v>
      </c>
    </row>
    <row r="1619" spans="1:31" s="27" customFormat="1" x14ac:dyDescent="0.2">
      <c r="A1619" s="250"/>
      <c r="B1619" s="210" t="s">
        <v>742</v>
      </c>
      <c r="C1619" s="210" t="s">
        <v>288</v>
      </c>
      <c r="D1619" s="210" t="s">
        <v>223</v>
      </c>
      <c r="E1619" s="210" t="s">
        <v>156</v>
      </c>
      <c r="F1619" s="210" t="s">
        <v>108</v>
      </c>
      <c r="G1619" s="210" t="s">
        <v>727</v>
      </c>
      <c r="H1619" s="197">
        <v>0</v>
      </c>
      <c r="I1619" s="210" t="s">
        <v>223</v>
      </c>
      <c r="J1619" s="210">
        <v>2025</v>
      </c>
      <c r="K1619" s="210">
        <v>2025</v>
      </c>
      <c r="L1619" s="268" t="str">
        <f t="shared" si="335"/>
        <v>Simple</v>
      </c>
      <c r="M1619" s="197">
        <v>10473.75</v>
      </c>
      <c r="N1619" s="197">
        <v>0</v>
      </c>
      <c r="O1619" s="257">
        <f>IF(ISNA(MATCH(H1619,'Operating leases'!$B$32:$B$43,0)),0,INDEX('Operating leases'!$M$32:$S$43,MATCH(H1619,'Operating leases'!$B$32:$B$43,0),MATCH(J1619,'Operating leases'!$M$11:$S$11,0)))</f>
        <v>0</v>
      </c>
      <c r="P1619" s="257">
        <f t="shared" si="336"/>
        <v>10473.75</v>
      </c>
      <c r="Q1619" s="257">
        <f t="shared" si="337"/>
        <v>10473.75</v>
      </c>
      <c r="R1619" s="258">
        <f>INDEX('Escalators '!$M$124:$S$129,MATCH(I1619,'Escalators '!$B$124:$B$129,0),MATCH(J1619,'Escalators '!$M$113:$S$113,0))</f>
        <v>1.1331892756985407</v>
      </c>
      <c r="S1619" s="257">
        <f t="shared" si="338"/>
        <v>0</v>
      </c>
      <c r="T1619" s="257">
        <f t="shared" si="339"/>
        <v>0</v>
      </c>
      <c r="U1619" s="269">
        <f t="shared" si="340"/>
        <v>11868.74117634759</v>
      </c>
      <c r="V1619" s="269">
        <f t="shared" si="341"/>
        <v>11868.74117634759</v>
      </c>
      <c r="W1619" s="269">
        <f t="shared" si="342"/>
        <v>11868.74117634759</v>
      </c>
      <c r="X1619" s="257">
        <f t="shared" si="343"/>
        <v>11868.74117634759</v>
      </c>
      <c r="Y1619" s="270">
        <f>IF(L1619="Complex",(INDEX('Escalators '!$M$176:$S$176,MATCH('Forecast capex'!J1619,'Escalators '!$M$178:$S$178,0))/12+1)^((K1619-J1619)*12)-1,0)</f>
        <v>0</v>
      </c>
      <c r="Z1619" s="257">
        <f t="shared" si="344"/>
        <v>0</v>
      </c>
      <c r="AA1619" s="257">
        <f t="shared" si="345"/>
        <v>0</v>
      </c>
      <c r="AB1619" s="269">
        <f t="shared" si="346"/>
        <v>0</v>
      </c>
      <c r="AC1619" s="269">
        <f t="shared" si="347"/>
        <v>0</v>
      </c>
      <c r="AD1619" s="271" t="str">
        <f>INDEX('Global inputs'!$C$134:$C$171,MATCH(F1619,'Global inputs'!$B$134:$B$171,0))</f>
        <v>Asset replacement and renewal</v>
      </c>
      <c r="AE1619" s="272">
        <f>IF(OR(H1619='Operating leases'!$B$32,H1619='Operating leases'!$B$33),"",INDEX('Global inputs'!$C$186:$C$243,MATCH(E1619,'Global inputs'!$B$186:$B$243,0)))</f>
        <v>0.08</v>
      </c>
    </row>
    <row r="1620" spans="1:31" s="27" customFormat="1" x14ac:dyDescent="0.2">
      <c r="A1620" s="250"/>
      <c r="B1620" s="210" t="s">
        <v>742</v>
      </c>
      <c r="C1620" s="210" t="s">
        <v>286</v>
      </c>
      <c r="D1620" s="210" t="s">
        <v>732</v>
      </c>
      <c r="E1620" s="210" t="s">
        <v>138</v>
      </c>
      <c r="F1620" s="210" t="s">
        <v>108</v>
      </c>
      <c r="G1620" s="210" t="s">
        <v>752</v>
      </c>
      <c r="H1620" s="197">
        <v>0</v>
      </c>
      <c r="I1620" s="210" t="s">
        <v>221</v>
      </c>
      <c r="J1620" s="210">
        <v>2025</v>
      </c>
      <c r="K1620" s="210">
        <v>2025</v>
      </c>
      <c r="L1620" s="268" t="str">
        <f t="shared" si="335"/>
        <v>Simple</v>
      </c>
      <c r="M1620" s="197">
        <v>723360.4</v>
      </c>
      <c r="N1620" s="197">
        <v>0</v>
      </c>
      <c r="O1620" s="257">
        <f>IF(ISNA(MATCH(H1620,'Operating leases'!$B$32:$B$43,0)),0,INDEX('Operating leases'!$M$32:$S$43,MATCH(H1620,'Operating leases'!$B$32:$B$43,0),MATCH(J1620,'Operating leases'!$M$11:$S$11,0)))</f>
        <v>0</v>
      </c>
      <c r="P1620" s="257">
        <f t="shared" si="336"/>
        <v>723360.4</v>
      </c>
      <c r="Q1620" s="257">
        <f t="shared" si="337"/>
        <v>723360.4</v>
      </c>
      <c r="R1620" s="258">
        <f>INDEX('Escalators '!$M$124:$S$129,MATCH(I1620,'Escalators '!$B$124:$B$129,0),MATCH(J1620,'Escalators '!$M$113:$S$113,0))</f>
        <v>1.0867931559758131</v>
      </c>
      <c r="S1620" s="257">
        <f t="shared" si="338"/>
        <v>0</v>
      </c>
      <c r="T1620" s="257">
        <f t="shared" si="339"/>
        <v>0</v>
      </c>
      <c r="U1620" s="269">
        <f t="shared" si="340"/>
        <v>786143.13202392659</v>
      </c>
      <c r="V1620" s="269">
        <f t="shared" si="341"/>
        <v>786143.13202392659</v>
      </c>
      <c r="W1620" s="269">
        <f t="shared" si="342"/>
        <v>786143.13202392659</v>
      </c>
      <c r="X1620" s="257">
        <f t="shared" si="343"/>
        <v>786143.13202392659</v>
      </c>
      <c r="Y1620" s="270">
        <f>IF(L1620="Complex",(INDEX('Escalators '!$M$176:$S$176,MATCH('Forecast capex'!J1620,'Escalators '!$M$178:$S$178,0))/12+1)^((K1620-J1620)*12)-1,0)</f>
        <v>0</v>
      </c>
      <c r="Z1620" s="257">
        <f t="shared" si="344"/>
        <v>0</v>
      </c>
      <c r="AA1620" s="257">
        <f t="shared" si="345"/>
        <v>0</v>
      </c>
      <c r="AB1620" s="269">
        <f t="shared" si="346"/>
        <v>0</v>
      </c>
      <c r="AC1620" s="269">
        <f t="shared" si="347"/>
        <v>0</v>
      </c>
      <c r="AD1620" s="271" t="str">
        <f>INDEX('Global inputs'!$C$134:$C$171,MATCH(F1620,'Global inputs'!$B$134:$B$171,0))</f>
        <v>Asset replacement and renewal</v>
      </c>
      <c r="AE1620" s="272">
        <f>IF(OR(H1620='Operating leases'!$B$32,H1620='Operating leases'!$B$33),"",INDEX('Global inputs'!$C$186:$C$243,MATCH(E1620,'Global inputs'!$B$186:$B$243,0)))</f>
        <v>0.08</v>
      </c>
    </row>
    <row r="1621" spans="1:31" s="27" customFormat="1" x14ac:dyDescent="0.2">
      <c r="A1621" s="250"/>
      <c r="B1621" s="210" t="s">
        <v>742</v>
      </c>
      <c r="C1621" s="210" t="s">
        <v>286</v>
      </c>
      <c r="D1621" s="210" t="s">
        <v>732</v>
      </c>
      <c r="E1621" s="210" t="s">
        <v>138</v>
      </c>
      <c r="F1621" s="210" t="s">
        <v>108</v>
      </c>
      <c r="G1621" s="210" t="s">
        <v>752</v>
      </c>
      <c r="H1621" s="197">
        <v>0</v>
      </c>
      <c r="I1621" s="210" t="s">
        <v>139</v>
      </c>
      <c r="J1621" s="210">
        <v>2025</v>
      </c>
      <c r="K1621" s="210">
        <v>2025</v>
      </c>
      <c r="L1621" s="268" t="str">
        <f t="shared" si="335"/>
        <v>Simple</v>
      </c>
      <c r="M1621" s="197">
        <v>1085040.5999999999</v>
      </c>
      <c r="N1621" s="197">
        <v>0</v>
      </c>
      <c r="O1621" s="257">
        <f>IF(ISNA(MATCH(H1621,'Operating leases'!$B$32:$B$43,0)),0,INDEX('Operating leases'!$M$32:$S$43,MATCH(H1621,'Operating leases'!$B$32:$B$43,0),MATCH(J1621,'Operating leases'!$M$11:$S$11,0)))</f>
        <v>0</v>
      </c>
      <c r="P1621" s="257">
        <f t="shared" si="336"/>
        <v>1085040.5999999999</v>
      </c>
      <c r="Q1621" s="257">
        <f t="shared" si="337"/>
        <v>1085040.5999999999</v>
      </c>
      <c r="R1621" s="258">
        <f>INDEX('Escalators '!$M$124:$S$129,MATCH(I1621,'Escalators '!$B$124:$B$129,0),MATCH(J1621,'Escalators '!$M$113:$S$113,0))</f>
        <v>1.0587148896071601</v>
      </c>
      <c r="S1621" s="257">
        <f t="shared" si="338"/>
        <v>0</v>
      </c>
      <c r="T1621" s="257">
        <f t="shared" si="339"/>
        <v>0</v>
      </c>
      <c r="U1621" s="269">
        <f t="shared" si="340"/>
        <v>1148748.6390482867</v>
      </c>
      <c r="V1621" s="269">
        <f t="shared" si="341"/>
        <v>1148748.6390482867</v>
      </c>
      <c r="W1621" s="269">
        <f t="shared" si="342"/>
        <v>1148748.6390482867</v>
      </c>
      <c r="X1621" s="257">
        <f t="shared" si="343"/>
        <v>1148748.6390482867</v>
      </c>
      <c r="Y1621" s="270">
        <f>IF(L1621="Complex",(INDEX('Escalators '!$M$176:$S$176,MATCH('Forecast capex'!J1621,'Escalators '!$M$178:$S$178,0))/12+1)^((K1621-J1621)*12)-1,0)</f>
        <v>0</v>
      </c>
      <c r="Z1621" s="257">
        <f t="shared" si="344"/>
        <v>0</v>
      </c>
      <c r="AA1621" s="257">
        <f t="shared" si="345"/>
        <v>0</v>
      </c>
      <c r="AB1621" s="269">
        <f t="shared" si="346"/>
        <v>0</v>
      </c>
      <c r="AC1621" s="269">
        <f t="shared" si="347"/>
        <v>0</v>
      </c>
      <c r="AD1621" s="271" t="str">
        <f>INDEX('Global inputs'!$C$134:$C$171,MATCH(F1621,'Global inputs'!$B$134:$B$171,0))</f>
        <v>Asset replacement and renewal</v>
      </c>
      <c r="AE1621" s="272">
        <f>IF(OR(H1621='Operating leases'!$B$32,H1621='Operating leases'!$B$33),"",INDEX('Global inputs'!$C$186:$C$243,MATCH(E1621,'Global inputs'!$B$186:$B$243,0)))</f>
        <v>0.08</v>
      </c>
    </row>
    <row r="1622" spans="1:31" s="27" customFormat="1" x14ac:dyDescent="0.2">
      <c r="A1622" s="250"/>
      <c r="B1622" s="210" t="s">
        <v>742</v>
      </c>
      <c r="C1622" s="210" t="s">
        <v>286</v>
      </c>
      <c r="D1622" s="210" t="s">
        <v>732</v>
      </c>
      <c r="E1622" s="210" t="s">
        <v>143</v>
      </c>
      <c r="F1622" s="210" t="s">
        <v>108</v>
      </c>
      <c r="G1622" s="210" t="s">
        <v>734</v>
      </c>
      <c r="H1622" s="197">
        <v>0</v>
      </c>
      <c r="I1622" s="210" t="s">
        <v>221</v>
      </c>
      <c r="J1622" s="210">
        <v>2025</v>
      </c>
      <c r="K1622" s="210">
        <v>2025</v>
      </c>
      <c r="L1622" s="268" t="str">
        <f t="shared" si="335"/>
        <v>Simple</v>
      </c>
      <c r="M1622" s="197">
        <v>19684</v>
      </c>
      <c r="N1622" s="197">
        <v>0</v>
      </c>
      <c r="O1622" s="257">
        <f>IF(ISNA(MATCH(H1622,'Operating leases'!$B$32:$B$43,0)),0,INDEX('Operating leases'!$M$32:$S$43,MATCH(H1622,'Operating leases'!$B$32:$B$43,0),MATCH(J1622,'Operating leases'!$M$11:$S$11,0)))</f>
        <v>0</v>
      </c>
      <c r="P1622" s="257">
        <f t="shared" si="336"/>
        <v>19684</v>
      </c>
      <c r="Q1622" s="257">
        <f t="shared" si="337"/>
        <v>19684</v>
      </c>
      <c r="R1622" s="258">
        <f>INDEX('Escalators '!$M$124:$S$129,MATCH(I1622,'Escalators '!$B$124:$B$129,0),MATCH(J1622,'Escalators '!$M$113:$S$113,0))</f>
        <v>1.0867931559758131</v>
      </c>
      <c r="S1622" s="257">
        <f t="shared" si="338"/>
        <v>0</v>
      </c>
      <c r="T1622" s="257">
        <f t="shared" si="339"/>
        <v>0</v>
      </c>
      <c r="U1622" s="269">
        <f t="shared" si="340"/>
        <v>21392.436482227906</v>
      </c>
      <c r="V1622" s="269">
        <f t="shared" si="341"/>
        <v>21392.436482227906</v>
      </c>
      <c r="W1622" s="269">
        <f t="shared" si="342"/>
        <v>21392.436482227906</v>
      </c>
      <c r="X1622" s="257">
        <f t="shared" si="343"/>
        <v>21392.436482227906</v>
      </c>
      <c r="Y1622" s="270">
        <f>IF(L1622="Complex",(INDEX('Escalators '!$M$176:$S$176,MATCH('Forecast capex'!J1622,'Escalators '!$M$178:$S$178,0))/12+1)^((K1622-J1622)*12)-1,0)</f>
        <v>0</v>
      </c>
      <c r="Z1622" s="257">
        <f t="shared" si="344"/>
        <v>0</v>
      </c>
      <c r="AA1622" s="257">
        <f t="shared" si="345"/>
        <v>0</v>
      </c>
      <c r="AB1622" s="269">
        <f t="shared" si="346"/>
        <v>0</v>
      </c>
      <c r="AC1622" s="269">
        <f t="shared" si="347"/>
        <v>0</v>
      </c>
      <c r="AD1622" s="271" t="str">
        <f>INDEX('Global inputs'!$C$134:$C$171,MATCH(F1622,'Global inputs'!$B$134:$B$171,0))</f>
        <v>Asset replacement and renewal</v>
      </c>
      <c r="AE1622" s="272">
        <f>IF(OR(H1622='Operating leases'!$B$32,H1622='Operating leases'!$B$33),"",INDEX('Global inputs'!$C$186:$C$243,MATCH(E1622,'Global inputs'!$B$186:$B$243,0)))</f>
        <v>0.08</v>
      </c>
    </row>
    <row r="1623" spans="1:31" s="27" customFormat="1" x14ac:dyDescent="0.2">
      <c r="A1623" s="250"/>
      <c r="B1623" s="210" t="s">
        <v>742</v>
      </c>
      <c r="C1623" s="210" t="s">
        <v>286</v>
      </c>
      <c r="D1623" s="210" t="s">
        <v>732</v>
      </c>
      <c r="E1623" s="210" t="s">
        <v>143</v>
      </c>
      <c r="F1623" s="210" t="s">
        <v>108</v>
      </c>
      <c r="G1623" s="210" t="s">
        <v>734</v>
      </c>
      <c r="H1623" s="197">
        <v>0</v>
      </c>
      <c r="I1623" s="210" t="s">
        <v>142</v>
      </c>
      <c r="J1623" s="210">
        <v>2025</v>
      </c>
      <c r="K1623" s="210">
        <v>2025</v>
      </c>
      <c r="L1623" s="268" t="str">
        <f t="shared" si="335"/>
        <v>Simple</v>
      </c>
      <c r="M1623" s="197">
        <v>78736</v>
      </c>
      <c r="N1623" s="197">
        <v>0</v>
      </c>
      <c r="O1623" s="257">
        <f>IF(ISNA(MATCH(H1623,'Operating leases'!$B$32:$B$43,0)),0,INDEX('Operating leases'!$M$32:$S$43,MATCH(H1623,'Operating leases'!$B$32:$B$43,0),MATCH(J1623,'Operating leases'!$M$11:$S$11,0)))</f>
        <v>0</v>
      </c>
      <c r="P1623" s="257">
        <f t="shared" si="336"/>
        <v>78736</v>
      </c>
      <c r="Q1623" s="257">
        <f t="shared" si="337"/>
        <v>78736</v>
      </c>
      <c r="R1623" s="258">
        <f>INDEX('Escalators '!$M$124:$S$129,MATCH(I1623,'Escalators '!$B$124:$B$129,0),MATCH(J1623,'Escalators '!$M$113:$S$113,0))</f>
        <v>1.0914807286621109</v>
      </c>
      <c r="S1623" s="257">
        <f t="shared" si="338"/>
        <v>0</v>
      </c>
      <c r="T1623" s="257">
        <f t="shared" si="339"/>
        <v>0</v>
      </c>
      <c r="U1623" s="269">
        <f t="shared" si="340"/>
        <v>85938.826651939962</v>
      </c>
      <c r="V1623" s="269">
        <f t="shared" si="341"/>
        <v>85938.826651939962</v>
      </c>
      <c r="W1623" s="269">
        <f t="shared" si="342"/>
        <v>85938.826651939962</v>
      </c>
      <c r="X1623" s="257">
        <f t="shared" si="343"/>
        <v>85938.826651939962</v>
      </c>
      <c r="Y1623" s="270">
        <f>IF(L1623="Complex",(INDEX('Escalators '!$M$176:$S$176,MATCH('Forecast capex'!J1623,'Escalators '!$M$178:$S$178,0))/12+1)^((K1623-J1623)*12)-1,0)</f>
        <v>0</v>
      </c>
      <c r="Z1623" s="257">
        <f t="shared" si="344"/>
        <v>0</v>
      </c>
      <c r="AA1623" s="257">
        <f t="shared" si="345"/>
        <v>0</v>
      </c>
      <c r="AB1623" s="269">
        <f t="shared" si="346"/>
        <v>0</v>
      </c>
      <c r="AC1623" s="269">
        <f t="shared" si="347"/>
        <v>0</v>
      </c>
      <c r="AD1623" s="271" t="str">
        <f>INDEX('Global inputs'!$C$134:$C$171,MATCH(F1623,'Global inputs'!$B$134:$B$171,0))</f>
        <v>Asset replacement and renewal</v>
      </c>
      <c r="AE1623" s="272">
        <f>IF(OR(H1623='Operating leases'!$B$32,H1623='Operating leases'!$B$33),"",INDEX('Global inputs'!$C$186:$C$243,MATCH(E1623,'Global inputs'!$B$186:$B$243,0)))</f>
        <v>0.08</v>
      </c>
    </row>
    <row r="1624" spans="1:31" s="27" customFormat="1" x14ac:dyDescent="0.2">
      <c r="A1624" s="250"/>
      <c r="B1624" s="210" t="s">
        <v>742</v>
      </c>
      <c r="C1624" s="210" t="s">
        <v>289</v>
      </c>
      <c r="D1624" s="210" t="s">
        <v>723</v>
      </c>
      <c r="E1624" s="210" t="s">
        <v>164</v>
      </c>
      <c r="F1624" s="210" t="s">
        <v>108</v>
      </c>
      <c r="G1624" s="210" t="s">
        <v>724</v>
      </c>
      <c r="H1624" s="197">
        <v>0</v>
      </c>
      <c r="I1624" s="210" t="s">
        <v>221</v>
      </c>
      <c r="J1624" s="210">
        <v>2025</v>
      </c>
      <c r="K1624" s="210">
        <v>2025</v>
      </c>
      <c r="L1624" s="268" t="str">
        <f t="shared" si="335"/>
        <v>Simple</v>
      </c>
      <c r="M1624" s="197">
        <v>12129.599999999999</v>
      </c>
      <c r="N1624" s="197">
        <v>0</v>
      </c>
      <c r="O1624" s="257">
        <f>IF(ISNA(MATCH(H1624,'Operating leases'!$B$32:$B$43,0)),0,INDEX('Operating leases'!$M$32:$S$43,MATCH(H1624,'Operating leases'!$B$32:$B$43,0),MATCH(J1624,'Operating leases'!$M$11:$S$11,0)))</f>
        <v>0</v>
      </c>
      <c r="P1624" s="257">
        <f t="shared" si="336"/>
        <v>12129.599999999999</v>
      </c>
      <c r="Q1624" s="257">
        <f t="shared" si="337"/>
        <v>12129.599999999999</v>
      </c>
      <c r="R1624" s="258">
        <f>INDEX('Escalators '!$M$124:$S$129,MATCH(I1624,'Escalators '!$B$124:$B$129,0),MATCH(J1624,'Escalators '!$M$113:$S$113,0))</f>
        <v>1.0867931559758131</v>
      </c>
      <c r="S1624" s="257">
        <f t="shared" si="338"/>
        <v>0</v>
      </c>
      <c r="T1624" s="257">
        <f t="shared" si="339"/>
        <v>0</v>
      </c>
      <c r="U1624" s="269">
        <f t="shared" si="340"/>
        <v>13182.36626472422</v>
      </c>
      <c r="V1624" s="269">
        <f t="shared" si="341"/>
        <v>13182.36626472422</v>
      </c>
      <c r="W1624" s="269">
        <f t="shared" si="342"/>
        <v>13182.36626472422</v>
      </c>
      <c r="X1624" s="257">
        <f t="shared" si="343"/>
        <v>13182.36626472422</v>
      </c>
      <c r="Y1624" s="270">
        <f>IF(L1624="Complex",(INDEX('Escalators '!$M$176:$S$176,MATCH('Forecast capex'!J1624,'Escalators '!$M$178:$S$178,0))/12+1)^((K1624-J1624)*12)-1,0)</f>
        <v>0</v>
      </c>
      <c r="Z1624" s="257">
        <f t="shared" si="344"/>
        <v>0</v>
      </c>
      <c r="AA1624" s="257">
        <f t="shared" si="345"/>
        <v>0</v>
      </c>
      <c r="AB1624" s="269">
        <f t="shared" si="346"/>
        <v>0</v>
      </c>
      <c r="AC1624" s="269">
        <f t="shared" si="347"/>
        <v>0</v>
      </c>
      <c r="AD1624" s="271" t="str">
        <f>INDEX('Global inputs'!$C$134:$C$171,MATCH(F1624,'Global inputs'!$B$134:$B$171,0))</f>
        <v>Asset replacement and renewal</v>
      </c>
      <c r="AE1624" s="272">
        <f>IF(OR(H1624='Operating leases'!$B$32,H1624='Operating leases'!$B$33),"",INDEX('Global inputs'!$C$186:$C$243,MATCH(E1624,'Global inputs'!$B$186:$B$243,0)))</f>
        <v>0.08</v>
      </c>
    </row>
    <row r="1625" spans="1:31" s="27" customFormat="1" x14ac:dyDescent="0.2">
      <c r="A1625" s="250"/>
      <c r="B1625" s="210" t="s">
        <v>742</v>
      </c>
      <c r="C1625" s="210" t="s">
        <v>289</v>
      </c>
      <c r="D1625" s="210" t="s">
        <v>723</v>
      </c>
      <c r="E1625" s="210" t="s">
        <v>164</v>
      </c>
      <c r="F1625" s="210" t="s">
        <v>108</v>
      </c>
      <c r="G1625" s="210" t="s">
        <v>724</v>
      </c>
      <c r="H1625" s="197">
        <v>0</v>
      </c>
      <c r="I1625" s="210" t="s">
        <v>139</v>
      </c>
      <c r="J1625" s="210">
        <v>2025</v>
      </c>
      <c r="K1625" s="210">
        <v>2025</v>
      </c>
      <c r="L1625" s="268" t="str">
        <f t="shared" si="335"/>
        <v>Simple</v>
      </c>
      <c r="M1625" s="197">
        <v>48518.399999999994</v>
      </c>
      <c r="N1625" s="197">
        <v>0</v>
      </c>
      <c r="O1625" s="257">
        <f>IF(ISNA(MATCH(H1625,'Operating leases'!$B$32:$B$43,0)),0,INDEX('Operating leases'!$M$32:$S$43,MATCH(H1625,'Operating leases'!$B$32:$B$43,0),MATCH(J1625,'Operating leases'!$M$11:$S$11,0)))</f>
        <v>0</v>
      </c>
      <c r="P1625" s="257">
        <f t="shared" si="336"/>
        <v>48518.399999999994</v>
      </c>
      <c r="Q1625" s="257">
        <f t="shared" si="337"/>
        <v>48518.399999999994</v>
      </c>
      <c r="R1625" s="258">
        <f>INDEX('Escalators '!$M$124:$S$129,MATCH(I1625,'Escalators '!$B$124:$B$129,0),MATCH(J1625,'Escalators '!$M$113:$S$113,0))</f>
        <v>1.0587148896071601</v>
      </c>
      <c r="S1625" s="257">
        <f t="shared" si="338"/>
        <v>0</v>
      </c>
      <c r="T1625" s="257">
        <f t="shared" si="339"/>
        <v>0</v>
      </c>
      <c r="U1625" s="269">
        <f t="shared" si="340"/>
        <v>51367.152499916032</v>
      </c>
      <c r="V1625" s="269">
        <f t="shared" si="341"/>
        <v>51367.152499916032</v>
      </c>
      <c r="W1625" s="269">
        <f t="shared" si="342"/>
        <v>51367.152499916032</v>
      </c>
      <c r="X1625" s="257">
        <f t="shared" si="343"/>
        <v>51367.152499916032</v>
      </c>
      <c r="Y1625" s="270">
        <f>IF(L1625="Complex",(INDEX('Escalators '!$M$176:$S$176,MATCH('Forecast capex'!J1625,'Escalators '!$M$178:$S$178,0))/12+1)^((K1625-J1625)*12)-1,0)</f>
        <v>0</v>
      </c>
      <c r="Z1625" s="257">
        <f t="shared" si="344"/>
        <v>0</v>
      </c>
      <c r="AA1625" s="257">
        <f t="shared" si="345"/>
        <v>0</v>
      </c>
      <c r="AB1625" s="269">
        <f t="shared" si="346"/>
        <v>0</v>
      </c>
      <c r="AC1625" s="269">
        <f t="shared" si="347"/>
        <v>0</v>
      </c>
      <c r="AD1625" s="271" t="str">
        <f>INDEX('Global inputs'!$C$134:$C$171,MATCH(F1625,'Global inputs'!$B$134:$B$171,0))</f>
        <v>Asset replacement and renewal</v>
      </c>
      <c r="AE1625" s="272">
        <f>IF(OR(H1625='Operating leases'!$B$32,H1625='Operating leases'!$B$33),"",INDEX('Global inputs'!$C$186:$C$243,MATCH(E1625,'Global inputs'!$B$186:$B$243,0)))</f>
        <v>0.08</v>
      </c>
    </row>
    <row r="1626" spans="1:31" s="27" customFormat="1" x14ac:dyDescent="0.2">
      <c r="A1626" s="250"/>
      <c r="B1626" s="210" t="s">
        <v>742</v>
      </c>
      <c r="C1626" s="210" t="s">
        <v>285</v>
      </c>
      <c r="D1626" s="210" t="s">
        <v>223</v>
      </c>
      <c r="E1626" s="210" t="s">
        <v>134</v>
      </c>
      <c r="F1626" s="210" t="s">
        <v>105</v>
      </c>
      <c r="G1626" s="210" t="s">
        <v>726</v>
      </c>
      <c r="H1626" s="197">
        <v>0</v>
      </c>
      <c r="I1626" s="210" t="s">
        <v>223</v>
      </c>
      <c r="J1626" s="210">
        <v>2025</v>
      </c>
      <c r="K1626" s="210">
        <v>2026</v>
      </c>
      <c r="L1626" s="268" t="str">
        <f t="shared" si="335"/>
        <v>Complex</v>
      </c>
      <c r="M1626" s="197">
        <v>853221.6</v>
      </c>
      <c r="N1626" s="197">
        <v>0</v>
      </c>
      <c r="O1626" s="257">
        <f>IF(ISNA(MATCH(H1626,'Operating leases'!$B$32:$B$43,0)),0,INDEX('Operating leases'!$M$32:$S$43,MATCH(H1626,'Operating leases'!$B$32:$B$43,0),MATCH(J1626,'Operating leases'!$M$11:$S$11,0)))</f>
        <v>0</v>
      </c>
      <c r="P1626" s="257">
        <f t="shared" si="336"/>
        <v>853221.6</v>
      </c>
      <c r="Q1626" s="257">
        <f t="shared" si="337"/>
        <v>853221.6</v>
      </c>
      <c r="R1626" s="258">
        <f>INDEX('Escalators '!$M$124:$S$129,MATCH(I1626,'Escalators '!$B$124:$B$129,0),MATCH(J1626,'Escalators '!$M$113:$S$113,0))</f>
        <v>1.1331892756985407</v>
      </c>
      <c r="S1626" s="257">
        <f t="shared" si="338"/>
        <v>0</v>
      </c>
      <c r="T1626" s="257">
        <f t="shared" si="339"/>
        <v>0</v>
      </c>
      <c r="U1626" s="269">
        <f t="shared" si="340"/>
        <v>966861.56691434991</v>
      </c>
      <c r="V1626" s="269">
        <f t="shared" si="341"/>
        <v>966861.56691434991</v>
      </c>
      <c r="W1626" s="269">
        <f t="shared" si="342"/>
        <v>966861.56691434991</v>
      </c>
      <c r="X1626" s="257">
        <f t="shared" si="343"/>
        <v>966861.56691434991</v>
      </c>
      <c r="Y1626" s="270">
        <f>IF(L1626="Complex",(INDEX('Escalators '!$M$176:$S$176,MATCH('Forecast capex'!J1626,'Escalators '!$M$178:$S$178,0))/12+1)^((K1626-J1626)*12)-1,0)</f>
        <v>3.5566952945970565E-2</v>
      </c>
      <c r="Z1626" s="257">
        <f t="shared" si="344"/>
        <v>30346.492499685719</v>
      </c>
      <c r="AA1626" s="257">
        <f t="shared" si="345"/>
        <v>34388.319855710055</v>
      </c>
      <c r="AB1626" s="269">
        <f t="shared" si="346"/>
        <v>1001249.8867700599</v>
      </c>
      <c r="AC1626" s="269">
        <f t="shared" si="347"/>
        <v>1001249.8867700599</v>
      </c>
      <c r="AD1626" s="271" t="str">
        <f>INDEX('Global inputs'!$C$134:$C$171,MATCH(F1626,'Global inputs'!$B$134:$B$171,0))</f>
        <v>Asset replacement and renewal</v>
      </c>
      <c r="AE1626" s="272">
        <f>IF(OR(H1626='Operating leases'!$B$32,H1626='Operating leases'!$B$33),"",INDEX('Global inputs'!$C$186:$C$243,MATCH(E1626,'Global inputs'!$B$186:$B$243,0)))</f>
        <v>0.08</v>
      </c>
    </row>
    <row r="1627" spans="1:31" s="27" customFormat="1" x14ac:dyDescent="0.2">
      <c r="A1627" s="250"/>
      <c r="B1627" s="210" t="s">
        <v>742</v>
      </c>
      <c r="C1627" s="210" t="s">
        <v>285</v>
      </c>
      <c r="D1627" s="210" t="s">
        <v>223</v>
      </c>
      <c r="E1627" s="210" t="s">
        <v>134</v>
      </c>
      <c r="F1627" s="210" t="s">
        <v>105</v>
      </c>
      <c r="G1627" s="210" t="s">
        <v>726</v>
      </c>
      <c r="H1627" s="197">
        <v>0</v>
      </c>
      <c r="I1627" s="210" t="s">
        <v>221</v>
      </c>
      <c r="J1627" s="210">
        <v>2025</v>
      </c>
      <c r="K1627" s="210">
        <v>2026</v>
      </c>
      <c r="L1627" s="268" t="str">
        <f t="shared" si="335"/>
        <v>Complex</v>
      </c>
      <c r="M1627" s="197">
        <v>1990850.3999999997</v>
      </c>
      <c r="N1627" s="197">
        <v>0</v>
      </c>
      <c r="O1627" s="257">
        <f>IF(ISNA(MATCH(H1627,'Operating leases'!$B$32:$B$43,0)),0,INDEX('Operating leases'!$M$32:$S$43,MATCH(H1627,'Operating leases'!$B$32:$B$43,0),MATCH(J1627,'Operating leases'!$M$11:$S$11,0)))</f>
        <v>0</v>
      </c>
      <c r="P1627" s="257">
        <f t="shared" si="336"/>
        <v>1990850.3999999997</v>
      </c>
      <c r="Q1627" s="257">
        <f t="shared" si="337"/>
        <v>1990850.3999999997</v>
      </c>
      <c r="R1627" s="258">
        <f>INDEX('Escalators '!$M$124:$S$129,MATCH(I1627,'Escalators '!$B$124:$B$129,0),MATCH(J1627,'Escalators '!$M$113:$S$113,0))</f>
        <v>1.0867931559758131</v>
      </c>
      <c r="S1627" s="257">
        <f t="shared" si="338"/>
        <v>0</v>
      </c>
      <c r="T1627" s="257">
        <f t="shared" si="339"/>
        <v>0</v>
      </c>
      <c r="U1627" s="269">
        <f t="shared" si="340"/>
        <v>2163642.5892917095</v>
      </c>
      <c r="V1627" s="269">
        <f t="shared" si="341"/>
        <v>2163642.5892917095</v>
      </c>
      <c r="W1627" s="269">
        <f t="shared" si="342"/>
        <v>2163642.5892917095</v>
      </c>
      <c r="X1627" s="257">
        <f t="shared" si="343"/>
        <v>2163642.5892917095</v>
      </c>
      <c r="Y1627" s="270">
        <f>IF(L1627="Complex",(INDEX('Escalators '!$M$176:$S$176,MATCH('Forecast capex'!J1627,'Escalators '!$M$178:$S$178,0))/12+1)^((K1627-J1627)*12)-1,0)</f>
        <v>3.5566952945970565E-2</v>
      </c>
      <c r="Z1627" s="257">
        <f t="shared" si="344"/>
        <v>70808.482499266669</v>
      </c>
      <c r="AA1627" s="257">
        <f t="shared" si="345"/>
        <v>76954.174165236152</v>
      </c>
      <c r="AB1627" s="269">
        <f t="shared" si="346"/>
        <v>2240596.7634569458</v>
      </c>
      <c r="AC1627" s="269">
        <f t="shared" si="347"/>
        <v>2240596.7634569458</v>
      </c>
      <c r="AD1627" s="271" t="str">
        <f>INDEX('Global inputs'!$C$134:$C$171,MATCH(F1627,'Global inputs'!$B$134:$B$171,0))</f>
        <v>Asset replacement and renewal</v>
      </c>
      <c r="AE1627" s="272">
        <f>IF(OR(H1627='Operating leases'!$B$32,H1627='Operating leases'!$B$33),"",INDEX('Global inputs'!$C$186:$C$243,MATCH(E1627,'Global inputs'!$B$186:$B$243,0)))</f>
        <v>0.08</v>
      </c>
    </row>
    <row r="1628" spans="1:31" s="27" customFormat="1" x14ac:dyDescent="0.2">
      <c r="A1628" s="250"/>
      <c r="B1628" s="210" t="s">
        <v>742</v>
      </c>
      <c r="C1628" s="210" t="s">
        <v>286</v>
      </c>
      <c r="D1628" s="210" t="s">
        <v>732</v>
      </c>
      <c r="E1628" s="210" t="s">
        <v>136</v>
      </c>
      <c r="F1628" s="210" t="s">
        <v>108</v>
      </c>
      <c r="G1628" s="210" t="s">
        <v>751</v>
      </c>
      <c r="H1628" s="197">
        <v>0</v>
      </c>
      <c r="I1628" s="210" t="s">
        <v>221</v>
      </c>
      <c r="J1628" s="210">
        <v>2025</v>
      </c>
      <c r="K1628" s="210">
        <v>2026</v>
      </c>
      <c r="L1628" s="268" t="str">
        <f t="shared" si="335"/>
        <v>Complex</v>
      </c>
      <c r="M1628" s="197">
        <v>163305</v>
      </c>
      <c r="N1628" s="197">
        <v>0</v>
      </c>
      <c r="O1628" s="257">
        <f>IF(ISNA(MATCH(H1628,'Operating leases'!$B$32:$B$43,0)),0,INDEX('Operating leases'!$M$32:$S$43,MATCH(H1628,'Operating leases'!$B$32:$B$43,0),MATCH(J1628,'Operating leases'!$M$11:$S$11,0)))</f>
        <v>0</v>
      </c>
      <c r="P1628" s="257">
        <f t="shared" si="336"/>
        <v>163305</v>
      </c>
      <c r="Q1628" s="257">
        <f t="shared" si="337"/>
        <v>163305</v>
      </c>
      <c r="R1628" s="258">
        <f>INDEX('Escalators '!$M$124:$S$129,MATCH(I1628,'Escalators '!$B$124:$B$129,0),MATCH(J1628,'Escalators '!$M$113:$S$113,0))</f>
        <v>1.0867931559758131</v>
      </c>
      <c r="S1628" s="257">
        <f t="shared" si="338"/>
        <v>0</v>
      </c>
      <c r="T1628" s="257">
        <f t="shared" si="339"/>
        <v>0</v>
      </c>
      <c r="U1628" s="269">
        <f t="shared" si="340"/>
        <v>177478.75633663015</v>
      </c>
      <c r="V1628" s="269">
        <f t="shared" si="341"/>
        <v>177478.75633663015</v>
      </c>
      <c r="W1628" s="269">
        <f t="shared" si="342"/>
        <v>177478.75633663015</v>
      </c>
      <c r="X1628" s="257">
        <f t="shared" si="343"/>
        <v>177478.75633663015</v>
      </c>
      <c r="Y1628" s="270">
        <f>IF(L1628="Complex",(INDEX('Escalators '!$M$176:$S$176,MATCH('Forecast capex'!J1628,'Escalators '!$M$178:$S$178,0))/12+1)^((K1628-J1628)*12)-1,0)</f>
        <v>3.5566952945970565E-2</v>
      </c>
      <c r="Z1628" s="257">
        <f t="shared" si="344"/>
        <v>5808.2612508417233</v>
      </c>
      <c r="AA1628" s="257">
        <f t="shared" si="345"/>
        <v>6312.3785755342997</v>
      </c>
      <c r="AB1628" s="269">
        <f t="shared" si="346"/>
        <v>183791.13491216445</v>
      </c>
      <c r="AC1628" s="269">
        <f t="shared" si="347"/>
        <v>183791.13491216445</v>
      </c>
      <c r="AD1628" s="271" t="str">
        <f>INDEX('Global inputs'!$C$134:$C$171,MATCH(F1628,'Global inputs'!$B$134:$B$171,0))</f>
        <v>Asset replacement and renewal</v>
      </c>
      <c r="AE1628" s="272">
        <f>IF(OR(H1628='Operating leases'!$B$32,H1628='Operating leases'!$B$33),"",INDEX('Global inputs'!$C$186:$C$243,MATCH(E1628,'Global inputs'!$B$186:$B$243,0)))</f>
        <v>0</v>
      </c>
    </row>
    <row r="1629" spans="1:31" s="27" customFormat="1" x14ac:dyDescent="0.2">
      <c r="A1629" s="250"/>
      <c r="B1629" s="210" t="s">
        <v>742</v>
      </c>
      <c r="C1629" s="210" t="s">
        <v>286</v>
      </c>
      <c r="D1629" s="210" t="s">
        <v>732</v>
      </c>
      <c r="E1629" s="210" t="s">
        <v>136</v>
      </c>
      <c r="F1629" s="210" t="s">
        <v>108</v>
      </c>
      <c r="G1629" s="210" t="s">
        <v>751</v>
      </c>
      <c r="H1629" s="197">
        <v>0</v>
      </c>
      <c r="I1629" s="210" t="s">
        <v>229</v>
      </c>
      <c r="J1629" s="210">
        <v>2025</v>
      </c>
      <c r="K1629" s="210">
        <v>2026</v>
      </c>
      <c r="L1629" s="268" t="str">
        <f t="shared" si="335"/>
        <v>Complex</v>
      </c>
      <c r="M1629" s="197">
        <v>163305</v>
      </c>
      <c r="N1629" s="197">
        <v>0</v>
      </c>
      <c r="O1629" s="257">
        <f>IF(ISNA(MATCH(H1629,'Operating leases'!$B$32:$B$43,0)),0,INDEX('Operating leases'!$M$32:$S$43,MATCH(H1629,'Operating leases'!$B$32:$B$43,0),MATCH(J1629,'Operating leases'!$M$11:$S$11,0)))</f>
        <v>0</v>
      </c>
      <c r="P1629" s="257">
        <f t="shared" si="336"/>
        <v>163305</v>
      </c>
      <c r="Q1629" s="257">
        <f t="shared" si="337"/>
        <v>163305</v>
      </c>
      <c r="R1629" s="258">
        <f>INDEX('Escalators '!$M$124:$S$129,MATCH(I1629,'Escalators '!$B$124:$B$129,0),MATCH(J1629,'Escalators '!$M$113:$S$113,0))</f>
        <v>1.0919411253473632</v>
      </c>
      <c r="S1629" s="257">
        <f t="shared" si="338"/>
        <v>0</v>
      </c>
      <c r="T1629" s="257">
        <f t="shared" si="339"/>
        <v>0</v>
      </c>
      <c r="U1629" s="269">
        <f t="shared" si="340"/>
        <v>178319.44547485115</v>
      </c>
      <c r="V1629" s="269">
        <f t="shared" si="341"/>
        <v>178319.44547485115</v>
      </c>
      <c r="W1629" s="269">
        <f t="shared" si="342"/>
        <v>178319.44547485115</v>
      </c>
      <c r="X1629" s="257">
        <f t="shared" si="343"/>
        <v>178319.44547485115</v>
      </c>
      <c r="Y1629" s="270">
        <f>IF(L1629="Complex",(INDEX('Escalators '!$M$176:$S$176,MATCH('Forecast capex'!J1629,'Escalators '!$M$178:$S$178,0))/12+1)^((K1629-J1629)*12)-1,0)</f>
        <v>3.5566952945970565E-2</v>
      </c>
      <c r="Z1629" s="257">
        <f t="shared" si="344"/>
        <v>5808.2612508417233</v>
      </c>
      <c r="AA1629" s="257">
        <f t="shared" si="345"/>
        <v>6342.2793265555947</v>
      </c>
      <c r="AB1629" s="269">
        <f t="shared" si="346"/>
        <v>184661.72480140673</v>
      </c>
      <c r="AC1629" s="269">
        <f t="shared" si="347"/>
        <v>184661.72480140673</v>
      </c>
      <c r="AD1629" s="271" t="str">
        <f>INDEX('Global inputs'!$C$134:$C$171,MATCH(F1629,'Global inputs'!$B$134:$B$171,0))</f>
        <v>Asset replacement and renewal</v>
      </c>
      <c r="AE1629" s="272">
        <f>IF(OR(H1629='Operating leases'!$B$32,H1629='Operating leases'!$B$33),"",INDEX('Global inputs'!$C$186:$C$243,MATCH(E1629,'Global inputs'!$B$186:$B$243,0)))</f>
        <v>0</v>
      </c>
    </row>
    <row r="1630" spans="1:31" s="27" customFormat="1" x14ac:dyDescent="0.2">
      <c r="A1630" s="250"/>
      <c r="B1630" s="210" t="s">
        <v>742</v>
      </c>
      <c r="C1630" s="210" t="s">
        <v>286</v>
      </c>
      <c r="D1630" s="210" t="s">
        <v>732</v>
      </c>
      <c r="E1630" s="210" t="s">
        <v>138</v>
      </c>
      <c r="F1630" s="210" t="s">
        <v>108</v>
      </c>
      <c r="G1630" s="210" t="s">
        <v>752</v>
      </c>
      <c r="H1630" s="197">
        <v>0</v>
      </c>
      <c r="I1630" s="210" t="s">
        <v>221</v>
      </c>
      <c r="J1630" s="210">
        <v>2025</v>
      </c>
      <c r="K1630" s="210">
        <v>2026</v>
      </c>
      <c r="L1630" s="268" t="str">
        <f t="shared" si="335"/>
        <v>Complex</v>
      </c>
      <c r="M1630" s="197">
        <v>124339.79999999999</v>
      </c>
      <c r="N1630" s="197">
        <v>0</v>
      </c>
      <c r="O1630" s="257">
        <f>IF(ISNA(MATCH(H1630,'Operating leases'!$B$32:$B$43,0)),0,INDEX('Operating leases'!$M$32:$S$43,MATCH(H1630,'Operating leases'!$B$32:$B$43,0),MATCH(J1630,'Operating leases'!$M$11:$S$11,0)))</f>
        <v>0</v>
      </c>
      <c r="P1630" s="257">
        <f t="shared" si="336"/>
        <v>124339.79999999999</v>
      </c>
      <c r="Q1630" s="257">
        <f t="shared" si="337"/>
        <v>124339.79999999999</v>
      </c>
      <c r="R1630" s="258">
        <f>INDEX('Escalators '!$M$124:$S$129,MATCH(I1630,'Escalators '!$B$124:$B$129,0),MATCH(J1630,'Escalators '!$M$113:$S$113,0))</f>
        <v>1.0867931559758131</v>
      </c>
      <c r="S1630" s="257">
        <f t="shared" si="338"/>
        <v>0</v>
      </c>
      <c r="T1630" s="257">
        <f t="shared" si="339"/>
        <v>0</v>
      </c>
      <c r="U1630" s="269">
        <f t="shared" si="340"/>
        <v>135131.64365540139</v>
      </c>
      <c r="V1630" s="269">
        <f t="shared" si="341"/>
        <v>135131.64365540139</v>
      </c>
      <c r="W1630" s="269">
        <f t="shared" si="342"/>
        <v>135131.64365540139</v>
      </c>
      <c r="X1630" s="257">
        <f t="shared" si="343"/>
        <v>135131.64365540139</v>
      </c>
      <c r="Y1630" s="270">
        <f>IF(L1630="Complex",(INDEX('Escalators '!$M$176:$S$176,MATCH('Forecast capex'!J1630,'Escalators '!$M$178:$S$178,0))/12+1)^((K1630-J1630)*12)-1,0)</f>
        <v>3.5566952945970565E-2</v>
      </c>
      <c r="Z1630" s="257">
        <f t="shared" si="344"/>
        <v>4422.3878159113901</v>
      </c>
      <c r="AA1630" s="257">
        <f t="shared" si="345"/>
        <v>4806.2208114033228</v>
      </c>
      <c r="AB1630" s="269">
        <f t="shared" si="346"/>
        <v>139937.86446680472</v>
      </c>
      <c r="AC1630" s="269">
        <f t="shared" si="347"/>
        <v>139937.86446680472</v>
      </c>
      <c r="AD1630" s="271" t="str">
        <f>INDEX('Global inputs'!$C$134:$C$171,MATCH(F1630,'Global inputs'!$B$134:$B$171,0))</f>
        <v>Asset replacement and renewal</v>
      </c>
      <c r="AE1630" s="272">
        <f>IF(OR(H1630='Operating leases'!$B$32,H1630='Operating leases'!$B$33),"",INDEX('Global inputs'!$C$186:$C$243,MATCH(E1630,'Global inputs'!$B$186:$B$243,0)))</f>
        <v>0.08</v>
      </c>
    </row>
    <row r="1631" spans="1:31" s="27" customFormat="1" x14ac:dyDescent="0.2">
      <c r="A1631" s="250"/>
      <c r="B1631" s="210" t="s">
        <v>742</v>
      </c>
      <c r="C1631" s="210" t="s">
        <v>286</v>
      </c>
      <c r="D1631" s="210" t="s">
        <v>732</v>
      </c>
      <c r="E1631" s="210" t="s">
        <v>138</v>
      </c>
      <c r="F1631" s="210" t="s">
        <v>108</v>
      </c>
      <c r="G1631" s="210" t="s">
        <v>752</v>
      </c>
      <c r="H1631" s="197">
        <v>0</v>
      </c>
      <c r="I1631" s="210" t="s">
        <v>139</v>
      </c>
      <c r="J1631" s="210">
        <v>2025</v>
      </c>
      <c r="K1631" s="210">
        <v>2026</v>
      </c>
      <c r="L1631" s="268" t="str">
        <f t="shared" si="335"/>
        <v>Complex</v>
      </c>
      <c r="M1631" s="197">
        <v>186509.69999999998</v>
      </c>
      <c r="N1631" s="197">
        <v>0</v>
      </c>
      <c r="O1631" s="257">
        <f>IF(ISNA(MATCH(H1631,'Operating leases'!$B$32:$B$43,0)),0,INDEX('Operating leases'!$M$32:$S$43,MATCH(H1631,'Operating leases'!$B$32:$B$43,0),MATCH(J1631,'Operating leases'!$M$11:$S$11,0)))</f>
        <v>0</v>
      </c>
      <c r="P1631" s="257">
        <f t="shared" si="336"/>
        <v>186509.69999999998</v>
      </c>
      <c r="Q1631" s="257">
        <f t="shared" si="337"/>
        <v>186509.69999999998</v>
      </c>
      <c r="R1631" s="258">
        <f>INDEX('Escalators '!$M$124:$S$129,MATCH(I1631,'Escalators '!$B$124:$B$129,0),MATCH(J1631,'Escalators '!$M$113:$S$113,0))</f>
        <v>1.0587148896071601</v>
      </c>
      <c r="S1631" s="257">
        <f t="shared" si="338"/>
        <v>0</v>
      </c>
      <c r="T1631" s="257">
        <f t="shared" si="339"/>
        <v>0</v>
      </c>
      <c r="U1631" s="269">
        <f t="shared" si="340"/>
        <v>197460.59644616453</v>
      </c>
      <c r="V1631" s="269">
        <f t="shared" si="341"/>
        <v>197460.59644616453</v>
      </c>
      <c r="W1631" s="269">
        <f t="shared" si="342"/>
        <v>197460.59644616453</v>
      </c>
      <c r="X1631" s="257">
        <f t="shared" si="343"/>
        <v>197460.59644616453</v>
      </c>
      <c r="Y1631" s="270">
        <f>IF(L1631="Complex",(INDEX('Escalators '!$M$176:$S$176,MATCH('Forecast capex'!J1631,'Escalators '!$M$178:$S$178,0))/12+1)^((K1631-J1631)*12)-1,0)</f>
        <v>3.5566952945970565E-2</v>
      </c>
      <c r="Z1631" s="257">
        <f t="shared" si="344"/>
        <v>6633.5817238670852</v>
      </c>
      <c r="AA1631" s="257">
        <f t="shared" si="345"/>
        <v>7023.0717424840168</v>
      </c>
      <c r="AB1631" s="269">
        <f t="shared" si="346"/>
        <v>204483.66818864856</v>
      </c>
      <c r="AC1631" s="269">
        <f t="shared" si="347"/>
        <v>204483.66818864856</v>
      </c>
      <c r="AD1631" s="271" t="str">
        <f>INDEX('Global inputs'!$C$134:$C$171,MATCH(F1631,'Global inputs'!$B$134:$B$171,0))</f>
        <v>Asset replacement and renewal</v>
      </c>
      <c r="AE1631" s="272">
        <f>IF(OR(H1631='Operating leases'!$B$32,H1631='Operating leases'!$B$33),"",INDEX('Global inputs'!$C$186:$C$243,MATCH(E1631,'Global inputs'!$B$186:$B$243,0)))</f>
        <v>0.08</v>
      </c>
    </row>
    <row r="1632" spans="1:31" s="27" customFormat="1" x14ac:dyDescent="0.2">
      <c r="A1632" s="250"/>
      <c r="B1632" s="210" t="s">
        <v>742</v>
      </c>
      <c r="C1632" s="210" t="s">
        <v>286</v>
      </c>
      <c r="D1632" s="210" t="s">
        <v>732</v>
      </c>
      <c r="E1632" s="210" t="s">
        <v>140</v>
      </c>
      <c r="F1632" s="210" t="s">
        <v>108</v>
      </c>
      <c r="G1632" s="210" t="s">
        <v>733</v>
      </c>
      <c r="H1632" s="197">
        <v>0</v>
      </c>
      <c r="I1632" s="210" t="s">
        <v>221</v>
      </c>
      <c r="J1632" s="210">
        <v>2025</v>
      </c>
      <c r="K1632" s="210">
        <v>2026</v>
      </c>
      <c r="L1632" s="268" t="str">
        <f t="shared" si="335"/>
        <v>Complex</v>
      </c>
      <c r="M1632" s="197">
        <v>41040</v>
      </c>
      <c r="N1632" s="197">
        <v>0</v>
      </c>
      <c r="O1632" s="257">
        <f>IF(ISNA(MATCH(H1632,'Operating leases'!$B$32:$B$43,0)),0,INDEX('Operating leases'!$M$32:$S$43,MATCH(H1632,'Operating leases'!$B$32:$B$43,0),MATCH(J1632,'Operating leases'!$M$11:$S$11,0)))</f>
        <v>0</v>
      </c>
      <c r="P1632" s="257">
        <f t="shared" si="336"/>
        <v>41040</v>
      </c>
      <c r="Q1632" s="257">
        <f t="shared" si="337"/>
        <v>41040</v>
      </c>
      <c r="R1632" s="258">
        <f>INDEX('Escalators '!$M$124:$S$129,MATCH(I1632,'Escalators '!$B$124:$B$129,0),MATCH(J1632,'Escalators '!$M$113:$S$113,0))</f>
        <v>1.0867931559758131</v>
      </c>
      <c r="S1632" s="257">
        <f t="shared" si="338"/>
        <v>0</v>
      </c>
      <c r="T1632" s="257">
        <f t="shared" si="339"/>
        <v>0</v>
      </c>
      <c r="U1632" s="269">
        <f t="shared" si="340"/>
        <v>44601.991121247367</v>
      </c>
      <c r="V1632" s="269">
        <f t="shared" si="341"/>
        <v>44601.991121247367</v>
      </c>
      <c r="W1632" s="269">
        <f t="shared" si="342"/>
        <v>44601.991121247367</v>
      </c>
      <c r="X1632" s="257">
        <f t="shared" si="343"/>
        <v>44601.991121247367</v>
      </c>
      <c r="Y1632" s="270">
        <f>IF(L1632="Complex",(INDEX('Escalators '!$M$176:$S$176,MATCH('Forecast capex'!J1632,'Escalators '!$M$178:$S$178,0))/12+1)^((K1632-J1632)*12)-1,0)</f>
        <v>3.5566952945970565E-2</v>
      </c>
      <c r="Z1632" s="257">
        <f t="shared" si="344"/>
        <v>1459.667748902632</v>
      </c>
      <c r="AA1632" s="257">
        <f t="shared" si="345"/>
        <v>1586.356919506002</v>
      </c>
      <c r="AB1632" s="269">
        <f t="shared" si="346"/>
        <v>46188.348040753372</v>
      </c>
      <c r="AC1632" s="269">
        <f t="shared" si="347"/>
        <v>46188.348040753372</v>
      </c>
      <c r="AD1632" s="271" t="str">
        <f>INDEX('Global inputs'!$C$134:$C$171,MATCH(F1632,'Global inputs'!$B$134:$B$171,0))</f>
        <v>Asset replacement and renewal</v>
      </c>
      <c r="AE1632" s="272">
        <f>IF(OR(H1632='Operating leases'!$B$32,H1632='Operating leases'!$B$33),"",INDEX('Global inputs'!$C$186:$C$243,MATCH(E1632,'Global inputs'!$B$186:$B$243,0)))</f>
        <v>0.08</v>
      </c>
    </row>
    <row r="1633" spans="1:31" s="27" customFormat="1" x14ac:dyDescent="0.2">
      <c r="A1633" s="250"/>
      <c r="B1633" s="210" t="s">
        <v>742</v>
      </c>
      <c r="C1633" s="210" t="s">
        <v>286</v>
      </c>
      <c r="D1633" s="210" t="s">
        <v>732</v>
      </c>
      <c r="E1633" s="210" t="s">
        <v>140</v>
      </c>
      <c r="F1633" s="210" t="s">
        <v>108</v>
      </c>
      <c r="G1633" s="210" t="s">
        <v>733</v>
      </c>
      <c r="H1633" s="197">
        <v>0</v>
      </c>
      <c r="I1633" s="210" t="s">
        <v>142</v>
      </c>
      <c r="J1633" s="210">
        <v>2025</v>
      </c>
      <c r="K1633" s="210">
        <v>2026</v>
      </c>
      <c r="L1633" s="268" t="str">
        <f t="shared" si="335"/>
        <v>Complex</v>
      </c>
      <c r="M1633" s="197">
        <v>61560</v>
      </c>
      <c r="N1633" s="197">
        <v>0</v>
      </c>
      <c r="O1633" s="257">
        <f>IF(ISNA(MATCH(H1633,'Operating leases'!$B$32:$B$43,0)),0,INDEX('Operating leases'!$M$32:$S$43,MATCH(H1633,'Operating leases'!$B$32:$B$43,0),MATCH(J1633,'Operating leases'!$M$11:$S$11,0)))</f>
        <v>0</v>
      </c>
      <c r="P1633" s="257">
        <f t="shared" si="336"/>
        <v>61560</v>
      </c>
      <c r="Q1633" s="257">
        <f t="shared" si="337"/>
        <v>61560</v>
      </c>
      <c r="R1633" s="258">
        <f>INDEX('Escalators '!$M$124:$S$129,MATCH(I1633,'Escalators '!$B$124:$B$129,0),MATCH(J1633,'Escalators '!$M$113:$S$113,0))</f>
        <v>1.0914807286621109</v>
      </c>
      <c r="S1633" s="257">
        <f t="shared" si="338"/>
        <v>0</v>
      </c>
      <c r="T1633" s="257">
        <f t="shared" si="339"/>
        <v>0</v>
      </c>
      <c r="U1633" s="269">
        <f t="shared" si="340"/>
        <v>67191.553656439544</v>
      </c>
      <c r="V1633" s="269">
        <f t="shared" si="341"/>
        <v>67191.553656439544</v>
      </c>
      <c r="W1633" s="269">
        <f t="shared" si="342"/>
        <v>67191.553656439544</v>
      </c>
      <c r="X1633" s="257">
        <f t="shared" si="343"/>
        <v>67191.553656439544</v>
      </c>
      <c r="Y1633" s="270">
        <f>IF(L1633="Complex",(INDEX('Escalators '!$M$176:$S$176,MATCH('Forecast capex'!J1633,'Escalators '!$M$178:$S$178,0))/12+1)^((K1633-J1633)*12)-1,0)</f>
        <v>3.5566952945970565E-2</v>
      </c>
      <c r="Z1633" s="257">
        <f t="shared" si="344"/>
        <v>2189.5016233539482</v>
      </c>
      <c r="AA1633" s="257">
        <f t="shared" si="345"/>
        <v>2389.7988272652419</v>
      </c>
      <c r="AB1633" s="269">
        <f t="shared" si="346"/>
        <v>69581.352483704788</v>
      </c>
      <c r="AC1633" s="269">
        <f t="shared" si="347"/>
        <v>69581.352483704788</v>
      </c>
      <c r="AD1633" s="271" t="str">
        <f>INDEX('Global inputs'!$C$134:$C$171,MATCH(F1633,'Global inputs'!$B$134:$B$171,0))</f>
        <v>Asset replacement and renewal</v>
      </c>
      <c r="AE1633" s="272">
        <f>IF(OR(H1633='Operating leases'!$B$32,H1633='Operating leases'!$B$33),"",INDEX('Global inputs'!$C$186:$C$243,MATCH(E1633,'Global inputs'!$B$186:$B$243,0)))</f>
        <v>0.08</v>
      </c>
    </row>
    <row r="1634" spans="1:31" s="27" customFormat="1" x14ac:dyDescent="0.2">
      <c r="A1634" s="250"/>
      <c r="B1634" s="210" t="s">
        <v>742</v>
      </c>
      <c r="C1634" s="210" t="s">
        <v>286</v>
      </c>
      <c r="D1634" s="210" t="s">
        <v>732</v>
      </c>
      <c r="E1634" s="210" t="s">
        <v>141</v>
      </c>
      <c r="F1634" s="210" t="s">
        <v>108</v>
      </c>
      <c r="G1634" s="210" t="s">
        <v>734</v>
      </c>
      <c r="H1634" s="197">
        <v>0</v>
      </c>
      <c r="I1634" s="210" t="s">
        <v>221</v>
      </c>
      <c r="J1634" s="210">
        <v>2025</v>
      </c>
      <c r="K1634" s="210">
        <v>2026</v>
      </c>
      <c r="L1634" s="268" t="str">
        <f t="shared" si="335"/>
        <v>Complex</v>
      </c>
      <c r="M1634" s="197">
        <v>9576</v>
      </c>
      <c r="N1634" s="197">
        <v>0</v>
      </c>
      <c r="O1634" s="257">
        <f>IF(ISNA(MATCH(H1634,'Operating leases'!$B$32:$B$43,0)),0,INDEX('Operating leases'!$M$32:$S$43,MATCH(H1634,'Operating leases'!$B$32:$B$43,0),MATCH(J1634,'Operating leases'!$M$11:$S$11,0)))</f>
        <v>0</v>
      </c>
      <c r="P1634" s="257">
        <f t="shared" si="336"/>
        <v>9576</v>
      </c>
      <c r="Q1634" s="257">
        <f t="shared" si="337"/>
        <v>9576</v>
      </c>
      <c r="R1634" s="258">
        <f>INDEX('Escalators '!$M$124:$S$129,MATCH(I1634,'Escalators '!$B$124:$B$129,0),MATCH(J1634,'Escalators '!$M$113:$S$113,0))</f>
        <v>1.0867931559758131</v>
      </c>
      <c r="S1634" s="257">
        <f t="shared" si="338"/>
        <v>0</v>
      </c>
      <c r="T1634" s="257">
        <f t="shared" si="339"/>
        <v>0</v>
      </c>
      <c r="U1634" s="269">
        <f t="shared" si="340"/>
        <v>10407.131261624385</v>
      </c>
      <c r="V1634" s="269">
        <f t="shared" si="341"/>
        <v>10407.131261624385</v>
      </c>
      <c r="W1634" s="269">
        <f t="shared" si="342"/>
        <v>10407.131261624385</v>
      </c>
      <c r="X1634" s="257">
        <f t="shared" si="343"/>
        <v>10407.131261624385</v>
      </c>
      <c r="Y1634" s="270">
        <f>IF(L1634="Complex",(INDEX('Escalators '!$M$176:$S$176,MATCH('Forecast capex'!J1634,'Escalators '!$M$178:$S$178,0))/12+1)^((K1634-J1634)*12)-1,0)</f>
        <v>3.5566952945970565E-2</v>
      </c>
      <c r="Z1634" s="257">
        <f t="shared" si="344"/>
        <v>340.5891414106141</v>
      </c>
      <c r="AA1634" s="257">
        <f t="shared" si="345"/>
        <v>370.14994788473376</v>
      </c>
      <c r="AB1634" s="269">
        <f t="shared" si="346"/>
        <v>10777.281209509119</v>
      </c>
      <c r="AC1634" s="269">
        <f t="shared" si="347"/>
        <v>10777.281209509119</v>
      </c>
      <c r="AD1634" s="271" t="str">
        <f>INDEX('Global inputs'!$C$134:$C$171,MATCH(F1634,'Global inputs'!$B$134:$B$171,0))</f>
        <v>Asset replacement and renewal</v>
      </c>
      <c r="AE1634" s="272">
        <f>IF(OR(H1634='Operating leases'!$B$32,H1634='Operating leases'!$B$33),"",INDEX('Global inputs'!$C$186:$C$243,MATCH(E1634,'Global inputs'!$B$186:$B$243,0)))</f>
        <v>0.08</v>
      </c>
    </row>
    <row r="1635" spans="1:31" s="27" customFormat="1" x14ac:dyDescent="0.2">
      <c r="A1635" s="250"/>
      <c r="B1635" s="210" t="s">
        <v>742</v>
      </c>
      <c r="C1635" s="210" t="s">
        <v>286</v>
      </c>
      <c r="D1635" s="210" t="s">
        <v>732</v>
      </c>
      <c r="E1635" s="210" t="s">
        <v>141</v>
      </c>
      <c r="F1635" s="210" t="s">
        <v>108</v>
      </c>
      <c r="G1635" s="210" t="s">
        <v>734</v>
      </c>
      <c r="H1635" s="197">
        <v>0</v>
      </c>
      <c r="I1635" s="210" t="s">
        <v>142</v>
      </c>
      <c r="J1635" s="210">
        <v>2025</v>
      </c>
      <c r="K1635" s="210">
        <v>2026</v>
      </c>
      <c r="L1635" s="268" t="str">
        <f t="shared" si="335"/>
        <v>Complex</v>
      </c>
      <c r="M1635" s="197">
        <v>38304</v>
      </c>
      <c r="N1635" s="197">
        <v>0</v>
      </c>
      <c r="O1635" s="257">
        <f>IF(ISNA(MATCH(H1635,'Operating leases'!$B$32:$B$43,0)),0,INDEX('Operating leases'!$M$32:$S$43,MATCH(H1635,'Operating leases'!$B$32:$B$43,0),MATCH(J1635,'Operating leases'!$M$11:$S$11,0)))</f>
        <v>0</v>
      </c>
      <c r="P1635" s="257">
        <f t="shared" si="336"/>
        <v>38304</v>
      </c>
      <c r="Q1635" s="257">
        <f t="shared" si="337"/>
        <v>38304</v>
      </c>
      <c r="R1635" s="258">
        <f>INDEX('Escalators '!$M$124:$S$129,MATCH(I1635,'Escalators '!$B$124:$B$129,0),MATCH(J1635,'Escalators '!$M$113:$S$113,0))</f>
        <v>1.0914807286621109</v>
      </c>
      <c r="S1635" s="257">
        <f t="shared" si="338"/>
        <v>0</v>
      </c>
      <c r="T1635" s="257">
        <f t="shared" si="339"/>
        <v>0</v>
      </c>
      <c r="U1635" s="269">
        <f t="shared" si="340"/>
        <v>41808.077830673494</v>
      </c>
      <c r="V1635" s="269">
        <f t="shared" si="341"/>
        <v>41808.077830673494</v>
      </c>
      <c r="W1635" s="269">
        <f t="shared" si="342"/>
        <v>41808.077830673494</v>
      </c>
      <c r="X1635" s="257">
        <f t="shared" si="343"/>
        <v>41808.077830673494</v>
      </c>
      <c r="Y1635" s="270">
        <f>IF(L1635="Complex",(INDEX('Escalators '!$M$176:$S$176,MATCH('Forecast capex'!J1635,'Escalators '!$M$178:$S$178,0))/12+1)^((K1635-J1635)*12)-1,0)</f>
        <v>3.5566952945970565E-2</v>
      </c>
      <c r="Z1635" s="257">
        <f t="shared" si="344"/>
        <v>1362.3565656424564</v>
      </c>
      <c r="AA1635" s="257">
        <f t="shared" si="345"/>
        <v>1486.9859369650392</v>
      </c>
      <c r="AB1635" s="269">
        <f t="shared" si="346"/>
        <v>43295.06376763853</v>
      </c>
      <c r="AC1635" s="269">
        <f t="shared" si="347"/>
        <v>43295.06376763853</v>
      </c>
      <c r="AD1635" s="271" t="str">
        <f>INDEX('Global inputs'!$C$134:$C$171,MATCH(F1635,'Global inputs'!$B$134:$B$171,0))</f>
        <v>Asset replacement and renewal</v>
      </c>
      <c r="AE1635" s="272">
        <f>IF(OR(H1635='Operating leases'!$B$32,H1635='Operating leases'!$B$33),"",INDEX('Global inputs'!$C$186:$C$243,MATCH(E1635,'Global inputs'!$B$186:$B$243,0)))</f>
        <v>0.08</v>
      </c>
    </row>
    <row r="1636" spans="1:31" s="27" customFormat="1" x14ac:dyDescent="0.2">
      <c r="A1636" s="250"/>
      <c r="B1636" s="210" t="s">
        <v>742</v>
      </c>
      <c r="C1636" s="210" t="s">
        <v>286</v>
      </c>
      <c r="D1636" s="210" t="s">
        <v>735</v>
      </c>
      <c r="E1636" s="210" t="s">
        <v>147</v>
      </c>
      <c r="F1636" s="210" t="s">
        <v>108</v>
      </c>
      <c r="G1636" s="210" t="s">
        <v>744</v>
      </c>
      <c r="H1636" s="197">
        <v>0</v>
      </c>
      <c r="I1636" s="210" t="s">
        <v>221</v>
      </c>
      <c r="J1636" s="210">
        <v>2025</v>
      </c>
      <c r="K1636" s="210">
        <v>2026</v>
      </c>
      <c r="L1636" s="268" t="str">
        <f t="shared" si="335"/>
        <v>Complex</v>
      </c>
      <c r="M1636" s="197">
        <v>25330.799999999999</v>
      </c>
      <c r="N1636" s="197">
        <v>0</v>
      </c>
      <c r="O1636" s="257">
        <f>IF(ISNA(MATCH(H1636,'Operating leases'!$B$32:$B$43,0)),0,INDEX('Operating leases'!$M$32:$S$43,MATCH(H1636,'Operating leases'!$B$32:$B$43,0),MATCH(J1636,'Operating leases'!$M$11:$S$11,0)))</f>
        <v>0</v>
      </c>
      <c r="P1636" s="257">
        <f t="shared" si="336"/>
        <v>25330.799999999999</v>
      </c>
      <c r="Q1636" s="257">
        <f t="shared" si="337"/>
        <v>25330.799999999999</v>
      </c>
      <c r="R1636" s="258">
        <f>INDEX('Escalators '!$M$124:$S$129,MATCH(I1636,'Escalators '!$B$124:$B$129,0),MATCH(J1636,'Escalators '!$M$113:$S$113,0))</f>
        <v>1.0867931559758131</v>
      </c>
      <c r="S1636" s="257">
        <f t="shared" si="338"/>
        <v>0</v>
      </c>
      <c r="T1636" s="257">
        <f t="shared" si="339"/>
        <v>0</v>
      </c>
      <c r="U1636" s="269">
        <f t="shared" si="340"/>
        <v>27529.340075392123</v>
      </c>
      <c r="V1636" s="269">
        <f t="shared" si="341"/>
        <v>27529.340075392123</v>
      </c>
      <c r="W1636" s="269">
        <f t="shared" si="342"/>
        <v>27529.340075392123</v>
      </c>
      <c r="X1636" s="257">
        <f t="shared" si="343"/>
        <v>27529.340075392123</v>
      </c>
      <c r="Y1636" s="270">
        <f>IF(L1636="Complex",(INDEX('Escalators '!$M$176:$S$176,MATCH('Forecast capex'!J1636,'Escalators '!$M$178:$S$178,0))/12+1)^((K1636-J1636)*12)-1,0)</f>
        <v>3.5566952945970565E-2</v>
      </c>
      <c r="Z1636" s="257">
        <f t="shared" si="344"/>
        <v>900.93937168379114</v>
      </c>
      <c r="AA1636" s="257">
        <f t="shared" si="345"/>
        <v>979.13474309509343</v>
      </c>
      <c r="AB1636" s="269">
        <f t="shared" si="346"/>
        <v>28508.474818487215</v>
      </c>
      <c r="AC1636" s="269">
        <f t="shared" si="347"/>
        <v>28508.474818487215</v>
      </c>
      <c r="AD1636" s="271" t="str">
        <f>INDEX('Global inputs'!$C$134:$C$171,MATCH(F1636,'Global inputs'!$B$134:$B$171,0))</f>
        <v>Asset replacement and renewal</v>
      </c>
      <c r="AE1636" s="272">
        <f>IF(OR(H1636='Operating leases'!$B$32,H1636='Operating leases'!$B$33),"",INDEX('Global inputs'!$C$186:$C$243,MATCH(E1636,'Global inputs'!$B$186:$B$243,0)))</f>
        <v>0.08</v>
      </c>
    </row>
    <row r="1637" spans="1:31" s="27" customFormat="1" x14ac:dyDescent="0.2">
      <c r="A1637" s="250"/>
      <c r="B1637" s="210" t="s">
        <v>742</v>
      </c>
      <c r="C1637" s="210" t="s">
        <v>286</v>
      </c>
      <c r="D1637" s="210" t="s">
        <v>735</v>
      </c>
      <c r="E1637" s="210" t="s">
        <v>147</v>
      </c>
      <c r="F1637" s="210" t="s">
        <v>108</v>
      </c>
      <c r="G1637" s="210" t="s">
        <v>744</v>
      </c>
      <c r="H1637" s="197">
        <v>0</v>
      </c>
      <c r="I1637" s="210" t="s">
        <v>229</v>
      </c>
      <c r="J1637" s="210">
        <v>2025</v>
      </c>
      <c r="K1637" s="210">
        <v>2026</v>
      </c>
      <c r="L1637" s="268" t="str">
        <f t="shared" si="335"/>
        <v>Complex</v>
      </c>
      <c r="M1637" s="197">
        <v>6332.7</v>
      </c>
      <c r="N1637" s="197">
        <v>0</v>
      </c>
      <c r="O1637" s="257">
        <f>IF(ISNA(MATCH(H1637,'Operating leases'!$B$32:$B$43,0)),0,INDEX('Operating leases'!$M$32:$S$43,MATCH(H1637,'Operating leases'!$B$32:$B$43,0),MATCH(J1637,'Operating leases'!$M$11:$S$11,0)))</f>
        <v>0</v>
      </c>
      <c r="P1637" s="257">
        <f t="shared" si="336"/>
        <v>6332.7</v>
      </c>
      <c r="Q1637" s="257">
        <f t="shared" si="337"/>
        <v>6332.7</v>
      </c>
      <c r="R1637" s="258">
        <f>INDEX('Escalators '!$M$124:$S$129,MATCH(I1637,'Escalators '!$B$124:$B$129,0),MATCH(J1637,'Escalators '!$M$113:$S$113,0))</f>
        <v>1.0919411253473632</v>
      </c>
      <c r="S1637" s="257">
        <f t="shared" si="338"/>
        <v>0</v>
      </c>
      <c r="T1637" s="257">
        <f t="shared" si="339"/>
        <v>0</v>
      </c>
      <c r="U1637" s="269">
        <f t="shared" si="340"/>
        <v>6914.9355644872467</v>
      </c>
      <c r="V1637" s="269">
        <f t="shared" si="341"/>
        <v>6914.9355644872467</v>
      </c>
      <c r="W1637" s="269">
        <f t="shared" si="342"/>
        <v>6914.9355644872467</v>
      </c>
      <c r="X1637" s="257">
        <f t="shared" si="343"/>
        <v>6914.9355644872467</v>
      </c>
      <c r="Y1637" s="270">
        <f>IF(L1637="Complex",(INDEX('Escalators '!$M$176:$S$176,MATCH('Forecast capex'!J1637,'Escalators '!$M$178:$S$178,0))/12+1)^((K1637-J1637)*12)-1,0)</f>
        <v>3.5566952945970565E-2</v>
      </c>
      <c r="Z1637" s="257">
        <f t="shared" si="344"/>
        <v>225.23484292094778</v>
      </c>
      <c r="AA1637" s="257">
        <f t="shared" si="345"/>
        <v>245.94318784653632</v>
      </c>
      <c r="AB1637" s="269">
        <f t="shared" si="346"/>
        <v>7160.8787523337833</v>
      </c>
      <c r="AC1637" s="269">
        <f t="shared" si="347"/>
        <v>7160.8787523337833</v>
      </c>
      <c r="AD1637" s="271" t="str">
        <f>INDEX('Global inputs'!$C$134:$C$171,MATCH(F1637,'Global inputs'!$B$134:$B$171,0))</f>
        <v>Asset replacement and renewal</v>
      </c>
      <c r="AE1637" s="272">
        <f>IF(OR(H1637='Operating leases'!$B$32,H1637='Operating leases'!$B$33),"",INDEX('Global inputs'!$C$186:$C$243,MATCH(E1637,'Global inputs'!$B$186:$B$243,0)))</f>
        <v>0.08</v>
      </c>
    </row>
    <row r="1638" spans="1:31" s="27" customFormat="1" x14ac:dyDescent="0.2">
      <c r="A1638" s="250"/>
      <c r="B1638" s="210" t="s">
        <v>742</v>
      </c>
      <c r="C1638" s="210" t="s">
        <v>288</v>
      </c>
      <c r="D1638" s="210" t="s">
        <v>223</v>
      </c>
      <c r="E1638" s="210" t="s">
        <v>156</v>
      </c>
      <c r="F1638" s="210" t="s">
        <v>108</v>
      </c>
      <c r="G1638" s="210" t="s">
        <v>727</v>
      </c>
      <c r="H1638" s="197">
        <v>0</v>
      </c>
      <c r="I1638" s="210" t="s">
        <v>221</v>
      </c>
      <c r="J1638" s="210">
        <v>2025</v>
      </c>
      <c r="K1638" s="210">
        <v>2026</v>
      </c>
      <c r="L1638" s="268" t="str">
        <f t="shared" si="335"/>
        <v>Complex</v>
      </c>
      <c r="M1638" s="197">
        <v>14962.499999999998</v>
      </c>
      <c r="N1638" s="197">
        <v>0</v>
      </c>
      <c r="O1638" s="257">
        <f>IF(ISNA(MATCH(H1638,'Operating leases'!$B$32:$B$43,0)),0,INDEX('Operating leases'!$M$32:$S$43,MATCH(H1638,'Operating leases'!$B$32:$B$43,0),MATCH(J1638,'Operating leases'!$M$11:$S$11,0)))</f>
        <v>0</v>
      </c>
      <c r="P1638" s="257">
        <f t="shared" si="336"/>
        <v>14962.499999999998</v>
      </c>
      <c r="Q1638" s="257">
        <f t="shared" si="337"/>
        <v>14962.499999999998</v>
      </c>
      <c r="R1638" s="258">
        <f>INDEX('Escalators '!$M$124:$S$129,MATCH(I1638,'Escalators '!$B$124:$B$129,0),MATCH(J1638,'Escalators '!$M$113:$S$113,0))</f>
        <v>1.0867931559758131</v>
      </c>
      <c r="S1638" s="257">
        <f t="shared" si="338"/>
        <v>0</v>
      </c>
      <c r="T1638" s="257">
        <f t="shared" si="339"/>
        <v>0</v>
      </c>
      <c r="U1638" s="269">
        <f t="shared" si="340"/>
        <v>16261.1425962881</v>
      </c>
      <c r="V1638" s="269">
        <f t="shared" si="341"/>
        <v>16261.1425962881</v>
      </c>
      <c r="W1638" s="269">
        <f t="shared" si="342"/>
        <v>16261.1425962881</v>
      </c>
      <c r="X1638" s="257">
        <f t="shared" si="343"/>
        <v>16261.1425962881</v>
      </c>
      <c r="Y1638" s="270">
        <f>IF(L1638="Complex",(INDEX('Escalators '!$M$176:$S$176,MATCH('Forecast capex'!J1638,'Escalators '!$M$178:$S$178,0))/12+1)^((K1638-J1638)*12)-1,0)</f>
        <v>3.5566952945970565E-2</v>
      </c>
      <c r="Z1638" s="257">
        <f t="shared" si="344"/>
        <v>532.17053345408453</v>
      </c>
      <c r="AA1638" s="257">
        <f t="shared" si="345"/>
        <v>578.35929356989652</v>
      </c>
      <c r="AB1638" s="269">
        <f t="shared" si="346"/>
        <v>16839.501889857998</v>
      </c>
      <c r="AC1638" s="269">
        <f t="shared" si="347"/>
        <v>16839.501889857998</v>
      </c>
      <c r="AD1638" s="271" t="str">
        <f>INDEX('Global inputs'!$C$134:$C$171,MATCH(F1638,'Global inputs'!$B$134:$B$171,0))</f>
        <v>Asset replacement and renewal</v>
      </c>
      <c r="AE1638" s="272">
        <f>IF(OR(H1638='Operating leases'!$B$32,H1638='Operating leases'!$B$33),"",INDEX('Global inputs'!$C$186:$C$243,MATCH(E1638,'Global inputs'!$B$186:$B$243,0)))</f>
        <v>0.08</v>
      </c>
    </row>
    <row r="1639" spans="1:31" s="27" customFormat="1" x14ac:dyDescent="0.2">
      <c r="A1639" s="250"/>
      <c r="B1639" s="210" t="s">
        <v>742</v>
      </c>
      <c r="C1639" s="210" t="s">
        <v>288</v>
      </c>
      <c r="D1639" s="210" t="s">
        <v>223</v>
      </c>
      <c r="E1639" s="210" t="s">
        <v>156</v>
      </c>
      <c r="F1639" s="210" t="s">
        <v>108</v>
      </c>
      <c r="G1639" s="210" t="s">
        <v>727</v>
      </c>
      <c r="H1639" s="197">
        <v>0</v>
      </c>
      <c r="I1639" s="210" t="s">
        <v>223</v>
      </c>
      <c r="J1639" s="210">
        <v>2025</v>
      </c>
      <c r="K1639" s="210">
        <v>2026</v>
      </c>
      <c r="L1639" s="268" t="str">
        <f t="shared" si="335"/>
        <v>Complex</v>
      </c>
      <c r="M1639" s="197">
        <v>6412.5</v>
      </c>
      <c r="N1639" s="197">
        <v>0</v>
      </c>
      <c r="O1639" s="257">
        <f>IF(ISNA(MATCH(H1639,'Operating leases'!$B$32:$B$43,0)),0,INDEX('Operating leases'!$M$32:$S$43,MATCH(H1639,'Operating leases'!$B$32:$B$43,0),MATCH(J1639,'Operating leases'!$M$11:$S$11,0)))</f>
        <v>0</v>
      </c>
      <c r="P1639" s="257">
        <f t="shared" si="336"/>
        <v>6412.5</v>
      </c>
      <c r="Q1639" s="257">
        <f t="shared" si="337"/>
        <v>6412.5</v>
      </c>
      <c r="R1639" s="258">
        <f>INDEX('Escalators '!$M$124:$S$129,MATCH(I1639,'Escalators '!$B$124:$B$129,0),MATCH(J1639,'Escalators '!$M$113:$S$113,0))</f>
        <v>1.1331892756985407</v>
      </c>
      <c r="S1639" s="257">
        <f t="shared" si="338"/>
        <v>0</v>
      </c>
      <c r="T1639" s="257">
        <f t="shared" si="339"/>
        <v>0</v>
      </c>
      <c r="U1639" s="269">
        <f t="shared" si="340"/>
        <v>7266.576230416892</v>
      </c>
      <c r="V1639" s="269">
        <f t="shared" si="341"/>
        <v>7266.576230416892</v>
      </c>
      <c r="W1639" s="269">
        <f t="shared" si="342"/>
        <v>7266.576230416892</v>
      </c>
      <c r="X1639" s="257">
        <f t="shared" si="343"/>
        <v>7266.576230416892</v>
      </c>
      <c r="Y1639" s="270">
        <f>IF(L1639="Complex",(INDEX('Escalators '!$M$176:$S$176,MATCH('Forecast capex'!J1639,'Escalators '!$M$178:$S$178,0))/12+1)^((K1639-J1639)*12)-1,0)</f>
        <v>3.5566952945970565E-2</v>
      </c>
      <c r="Z1639" s="257">
        <f t="shared" si="344"/>
        <v>228.07308576603626</v>
      </c>
      <c r="AA1639" s="257">
        <f t="shared" si="345"/>
        <v>258.44997486554576</v>
      </c>
      <c r="AB1639" s="269">
        <f t="shared" si="346"/>
        <v>7525.0262052824382</v>
      </c>
      <c r="AC1639" s="269">
        <f t="shared" si="347"/>
        <v>7525.0262052824382</v>
      </c>
      <c r="AD1639" s="271" t="str">
        <f>INDEX('Global inputs'!$C$134:$C$171,MATCH(F1639,'Global inputs'!$B$134:$B$171,0))</f>
        <v>Asset replacement and renewal</v>
      </c>
      <c r="AE1639" s="272">
        <f>IF(OR(H1639='Operating leases'!$B$32,H1639='Operating leases'!$B$33),"",INDEX('Global inputs'!$C$186:$C$243,MATCH(E1639,'Global inputs'!$B$186:$B$243,0)))</f>
        <v>0.08</v>
      </c>
    </row>
    <row r="1640" spans="1:31" s="27" customFormat="1" x14ac:dyDescent="0.2">
      <c r="A1640" s="250"/>
      <c r="B1640" s="210" t="s">
        <v>742</v>
      </c>
      <c r="C1640" s="210" t="s">
        <v>289</v>
      </c>
      <c r="D1640" s="210" t="s">
        <v>723</v>
      </c>
      <c r="E1640" s="210" t="s">
        <v>164</v>
      </c>
      <c r="F1640" s="210" t="s">
        <v>108</v>
      </c>
      <c r="G1640" s="210" t="s">
        <v>724</v>
      </c>
      <c r="H1640" s="197">
        <v>0</v>
      </c>
      <c r="I1640" s="210" t="s">
        <v>221</v>
      </c>
      <c r="J1640" s="210">
        <v>2025</v>
      </c>
      <c r="K1640" s="210">
        <v>2026</v>
      </c>
      <c r="L1640" s="268" t="str">
        <f t="shared" si="335"/>
        <v>Complex</v>
      </c>
      <c r="M1640" s="197">
        <v>2599.1999999999998</v>
      </c>
      <c r="N1640" s="197">
        <v>0</v>
      </c>
      <c r="O1640" s="257">
        <f>IF(ISNA(MATCH(H1640,'Operating leases'!$B$32:$B$43,0)),0,INDEX('Operating leases'!$M$32:$S$43,MATCH(H1640,'Operating leases'!$B$32:$B$43,0),MATCH(J1640,'Operating leases'!$M$11:$S$11,0)))</f>
        <v>0</v>
      </c>
      <c r="P1640" s="257">
        <f t="shared" si="336"/>
        <v>2599.1999999999998</v>
      </c>
      <c r="Q1640" s="257">
        <f t="shared" si="337"/>
        <v>2599.1999999999998</v>
      </c>
      <c r="R1640" s="258">
        <f>INDEX('Escalators '!$M$124:$S$129,MATCH(I1640,'Escalators '!$B$124:$B$129,0),MATCH(J1640,'Escalators '!$M$113:$S$113,0))</f>
        <v>1.0867931559758131</v>
      </c>
      <c r="S1640" s="257">
        <f t="shared" si="338"/>
        <v>0</v>
      </c>
      <c r="T1640" s="257">
        <f t="shared" si="339"/>
        <v>0</v>
      </c>
      <c r="U1640" s="269">
        <f t="shared" si="340"/>
        <v>2824.7927710123331</v>
      </c>
      <c r="V1640" s="269">
        <f t="shared" si="341"/>
        <v>2824.7927710123331</v>
      </c>
      <c r="W1640" s="269">
        <f t="shared" si="342"/>
        <v>2824.7927710123331</v>
      </c>
      <c r="X1640" s="257">
        <f t="shared" si="343"/>
        <v>2824.7927710123331</v>
      </c>
      <c r="Y1640" s="270">
        <f>IF(L1640="Complex",(INDEX('Escalators '!$M$176:$S$176,MATCH('Forecast capex'!J1640,'Escalators '!$M$178:$S$178,0))/12+1)^((K1640-J1640)*12)-1,0)</f>
        <v>3.5566952945970565E-2</v>
      </c>
      <c r="Z1640" s="257">
        <f t="shared" si="344"/>
        <v>92.445624097166686</v>
      </c>
      <c r="AA1640" s="257">
        <f t="shared" si="345"/>
        <v>100.46927156871345</v>
      </c>
      <c r="AB1640" s="269">
        <f t="shared" si="346"/>
        <v>2925.2620425810464</v>
      </c>
      <c r="AC1640" s="269">
        <f t="shared" si="347"/>
        <v>2925.2620425810464</v>
      </c>
      <c r="AD1640" s="271" t="str">
        <f>INDEX('Global inputs'!$C$134:$C$171,MATCH(F1640,'Global inputs'!$B$134:$B$171,0))</f>
        <v>Asset replacement and renewal</v>
      </c>
      <c r="AE1640" s="272">
        <f>IF(OR(H1640='Operating leases'!$B$32,H1640='Operating leases'!$B$33),"",INDEX('Global inputs'!$C$186:$C$243,MATCH(E1640,'Global inputs'!$B$186:$B$243,0)))</f>
        <v>0.08</v>
      </c>
    </row>
    <row r="1641" spans="1:31" s="27" customFormat="1" x14ac:dyDescent="0.2">
      <c r="A1641" s="250"/>
      <c r="B1641" s="210" t="s">
        <v>742</v>
      </c>
      <c r="C1641" s="210" t="s">
        <v>289</v>
      </c>
      <c r="D1641" s="210" t="s">
        <v>723</v>
      </c>
      <c r="E1641" s="210" t="s">
        <v>164</v>
      </c>
      <c r="F1641" s="210" t="s">
        <v>108</v>
      </c>
      <c r="G1641" s="210" t="s">
        <v>724</v>
      </c>
      <c r="H1641" s="197">
        <v>0</v>
      </c>
      <c r="I1641" s="210" t="s">
        <v>139</v>
      </c>
      <c r="J1641" s="210">
        <v>2025</v>
      </c>
      <c r="K1641" s="210">
        <v>2026</v>
      </c>
      <c r="L1641" s="268" t="str">
        <f t="shared" si="335"/>
        <v>Complex</v>
      </c>
      <c r="M1641" s="197">
        <v>10396.799999999999</v>
      </c>
      <c r="N1641" s="197">
        <v>0</v>
      </c>
      <c r="O1641" s="257">
        <f>IF(ISNA(MATCH(H1641,'Operating leases'!$B$32:$B$43,0)),0,INDEX('Operating leases'!$M$32:$S$43,MATCH(H1641,'Operating leases'!$B$32:$B$43,0),MATCH(J1641,'Operating leases'!$M$11:$S$11,0)))</f>
        <v>0</v>
      </c>
      <c r="P1641" s="257">
        <f t="shared" si="336"/>
        <v>10396.799999999999</v>
      </c>
      <c r="Q1641" s="257">
        <f t="shared" si="337"/>
        <v>10396.799999999999</v>
      </c>
      <c r="R1641" s="258">
        <f>INDEX('Escalators '!$M$124:$S$129,MATCH(I1641,'Escalators '!$B$124:$B$129,0),MATCH(J1641,'Escalators '!$M$113:$S$113,0))</f>
        <v>1.0587148896071601</v>
      </c>
      <c r="S1641" s="257">
        <f t="shared" si="338"/>
        <v>0</v>
      </c>
      <c r="T1641" s="257">
        <f t="shared" si="339"/>
        <v>0</v>
      </c>
      <c r="U1641" s="269">
        <f t="shared" si="340"/>
        <v>11007.246964267721</v>
      </c>
      <c r="V1641" s="269">
        <f t="shared" si="341"/>
        <v>11007.246964267721</v>
      </c>
      <c r="W1641" s="269">
        <f t="shared" si="342"/>
        <v>11007.246964267721</v>
      </c>
      <c r="X1641" s="257">
        <f t="shared" si="343"/>
        <v>11007.246964267721</v>
      </c>
      <c r="Y1641" s="270">
        <f>IF(L1641="Complex",(INDEX('Escalators '!$M$176:$S$176,MATCH('Forecast capex'!J1641,'Escalators '!$M$178:$S$178,0))/12+1)^((K1641-J1641)*12)-1,0)</f>
        <v>3.5566952945970565E-2</v>
      </c>
      <c r="Z1641" s="257">
        <f t="shared" si="344"/>
        <v>369.78249638866674</v>
      </c>
      <c r="AA1641" s="257">
        <f t="shared" si="345"/>
        <v>391.49423484278736</v>
      </c>
      <c r="AB1641" s="269">
        <f t="shared" si="346"/>
        <v>11398.741199110507</v>
      </c>
      <c r="AC1641" s="269">
        <f t="shared" si="347"/>
        <v>11398.741199110507</v>
      </c>
      <c r="AD1641" s="271" t="str">
        <f>INDEX('Global inputs'!$C$134:$C$171,MATCH(F1641,'Global inputs'!$B$134:$B$171,0))</f>
        <v>Asset replacement and renewal</v>
      </c>
      <c r="AE1641" s="272">
        <f>IF(OR(H1641='Operating leases'!$B$32,H1641='Operating leases'!$B$33),"",INDEX('Global inputs'!$C$186:$C$243,MATCH(E1641,'Global inputs'!$B$186:$B$243,0)))</f>
        <v>0.08</v>
      </c>
    </row>
    <row r="1642" spans="1:31" s="27" customFormat="1" x14ac:dyDescent="0.2">
      <c r="A1642" s="250"/>
      <c r="B1642" s="210" t="s">
        <v>742</v>
      </c>
      <c r="C1642" s="210" t="s">
        <v>291</v>
      </c>
      <c r="D1642" s="210" t="s">
        <v>735</v>
      </c>
      <c r="E1642" s="210" t="s">
        <v>175</v>
      </c>
      <c r="F1642" s="210" t="s">
        <v>108</v>
      </c>
      <c r="G1642" s="210" t="s">
        <v>748</v>
      </c>
      <c r="H1642" s="197">
        <v>0</v>
      </c>
      <c r="I1642" s="210" t="s">
        <v>221</v>
      </c>
      <c r="J1642" s="210">
        <v>2025</v>
      </c>
      <c r="K1642" s="210">
        <v>2026</v>
      </c>
      <c r="L1642" s="268" t="str">
        <f t="shared" si="335"/>
        <v>Complex</v>
      </c>
      <c r="M1642" s="197">
        <v>19152</v>
      </c>
      <c r="N1642" s="197">
        <v>0</v>
      </c>
      <c r="O1642" s="257">
        <f>IF(ISNA(MATCH(H1642,'Operating leases'!$B$32:$B$43,0)),0,INDEX('Operating leases'!$M$32:$S$43,MATCH(H1642,'Operating leases'!$B$32:$B$43,0),MATCH(J1642,'Operating leases'!$M$11:$S$11,0)))</f>
        <v>0</v>
      </c>
      <c r="P1642" s="257">
        <f t="shared" si="336"/>
        <v>19152</v>
      </c>
      <c r="Q1642" s="257">
        <f t="shared" si="337"/>
        <v>19152</v>
      </c>
      <c r="R1642" s="258">
        <f>INDEX('Escalators '!$M$124:$S$129,MATCH(I1642,'Escalators '!$B$124:$B$129,0),MATCH(J1642,'Escalators '!$M$113:$S$113,0))</f>
        <v>1.0867931559758131</v>
      </c>
      <c r="S1642" s="257">
        <f t="shared" si="338"/>
        <v>0</v>
      </c>
      <c r="T1642" s="257">
        <f t="shared" si="339"/>
        <v>0</v>
      </c>
      <c r="U1642" s="269">
        <f t="shared" si="340"/>
        <v>20814.26252324877</v>
      </c>
      <c r="V1642" s="269">
        <f t="shared" si="341"/>
        <v>20814.26252324877</v>
      </c>
      <c r="W1642" s="269">
        <f t="shared" si="342"/>
        <v>20814.26252324877</v>
      </c>
      <c r="X1642" s="257">
        <f t="shared" si="343"/>
        <v>20814.26252324877</v>
      </c>
      <c r="Y1642" s="270">
        <f>IF(L1642="Complex",(INDEX('Escalators '!$M$176:$S$176,MATCH('Forecast capex'!J1642,'Escalators '!$M$178:$S$178,0))/12+1)^((K1642-J1642)*12)-1,0)</f>
        <v>3.5566952945970565E-2</v>
      </c>
      <c r="Z1642" s="257">
        <f t="shared" si="344"/>
        <v>681.17828282122821</v>
      </c>
      <c r="AA1642" s="257">
        <f t="shared" si="345"/>
        <v>740.29989576946753</v>
      </c>
      <c r="AB1642" s="269">
        <f t="shared" si="346"/>
        <v>21554.562419018239</v>
      </c>
      <c r="AC1642" s="269">
        <f t="shared" si="347"/>
        <v>21554.562419018239</v>
      </c>
      <c r="AD1642" s="271" t="str">
        <f>INDEX('Global inputs'!$C$134:$C$171,MATCH(F1642,'Global inputs'!$B$134:$B$171,0))</f>
        <v>Asset replacement and renewal</v>
      </c>
      <c r="AE1642" s="272">
        <f>IF(OR(H1642='Operating leases'!$B$32,H1642='Operating leases'!$B$33),"",INDEX('Global inputs'!$C$186:$C$243,MATCH(E1642,'Global inputs'!$B$186:$B$243,0)))</f>
        <v>0.1</v>
      </c>
    </row>
    <row r="1643" spans="1:31" s="27" customFormat="1" x14ac:dyDescent="0.2">
      <c r="A1643" s="250"/>
      <c r="B1643" s="210" t="s">
        <v>742</v>
      </c>
      <c r="C1643" s="210" t="s">
        <v>291</v>
      </c>
      <c r="D1643" s="210" t="s">
        <v>735</v>
      </c>
      <c r="E1643" s="210" t="s">
        <v>175</v>
      </c>
      <c r="F1643" s="210" t="s">
        <v>108</v>
      </c>
      <c r="G1643" s="210" t="s">
        <v>748</v>
      </c>
      <c r="H1643" s="197">
        <v>0</v>
      </c>
      <c r="I1643" s="210" t="s">
        <v>229</v>
      </c>
      <c r="J1643" s="210">
        <v>2025</v>
      </c>
      <c r="K1643" s="210">
        <v>2026</v>
      </c>
      <c r="L1643" s="268" t="str">
        <f t="shared" si="335"/>
        <v>Complex</v>
      </c>
      <c r="M1643" s="197">
        <v>4788</v>
      </c>
      <c r="N1643" s="197">
        <v>0</v>
      </c>
      <c r="O1643" s="257">
        <f>IF(ISNA(MATCH(H1643,'Operating leases'!$B$32:$B$43,0)),0,INDEX('Operating leases'!$M$32:$S$43,MATCH(H1643,'Operating leases'!$B$32:$B$43,0),MATCH(J1643,'Operating leases'!$M$11:$S$11,0)))</f>
        <v>0</v>
      </c>
      <c r="P1643" s="257">
        <f t="shared" si="336"/>
        <v>4788</v>
      </c>
      <c r="Q1643" s="257">
        <f t="shared" si="337"/>
        <v>4788</v>
      </c>
      <c r="R1643" s="258">
        <f>INDEX('Escalators '!$M$124:$S$129,MATCH(I1643,'Escalators '!$B$124:$B$129,0),MATCH(J1643,'Escalators '!$M$113:$S$113,0))</f>
        <v>1.0919411253473632</v>
      </c>
      <c r="S1643" s="257">
        <f t="shared" si="338"/>
        <v>0</v>
      </c>
      <c r="T1643" s="257">
        <f t="shared" si="339"/>
        <v>0</v>
      </c>
      <c r="U1643" s="269">
        <f t="shared" si="340"/>
        <v>5228.2141081631753</v>
      </c>
      <c r="V1643" s="269">
        <f t="shared" si="341"/>
        <v>5228.2141081631753</v>
      </c>
      <c r="W1643" s="269">
        <f t="shared" si="342"/>
        <v>5228.2141081631753</v>
      </c>
      <c r="X1643" s="257">
        <f t="shared" si="343"/>
        <v>5228.2141081631753</v>
      </c>
      <c r="Y1643" s="270">
        <f>IF(L1643="Complex",(INDEX('Escalators '!$M$176:$S$176,MATCH('Forecast capex'!J1643,'Escalators '!$M$178:$S$178,0))/12+1)^((K1643-J1643)*12)-1,0)</f>
        <v>3.5566952945970565E-2</v>
      </c>
      <c r="Z1643" s="257">
        <f t="shared" si="344"/>
        <v>170.29457070530705</v>
      </c>
      <c r="AA1643" s="257">
        <f t="shared" si="345"/>
        <v>185.95164517649911</v>
      </c>
      <c r="AB1643" s="269">
        <f t="shared" si="346"/>
        <v>5414.1657533396747</v>
      </c>
      <c r="AC1643" s="269">
        <f t="shared" si="347"/>
        <v>5414.1657533396747</v>
      </c>
      <c r="AD1643" s="271" t="str">
        <f>INDEX('Global inputs'!$C$134:$C$171,MATCH(F1643,'Global inputs'!$B$134:$B$171,0))</f>
        <v>Asset replacement and renewal</v>
      </c>
      <c r="AE1643" s="272">
        <f>IF(OR(H1643='Operating leases'!$B$32,H1643='Operating leases'!$B$33),"",INDEX('Global inputs'!$C$186:$C$243,MATCH(E1643,'Global inputs'!$B$186:$B$243,0)))</f>
        <v>0.1</v>
      </c>
    </row>
    <row r="1644" spans="1:31" s="27" customFormat="1" x14ac:dyDescent="0.2">
      <c r="A1644" s="250"/>
      <c r="B1644" s="210" t="s">
        <v>742</v>
      </c>
      <c r="C1644" s="210" t="s">
        <v>286</v>
      </c>
      <c r="D1644" s="210" t="s">
        <v>732</v>
      </c>
      <c r="E1644" s="210" t="s">
        <v>138</v>
      </c>
      <c r="F1644" s="210" t="s">
        <v>108</v>
      </c>
      <c r="G1644" s="210" t="s">
        <v>752</v>
      </c>
      <c r="H1644" s="197">
        <v>0</v>
      </c>
      <c r="I1644" s="210" t="s">
        <v>221</v>
      </c>
      <c r="J1644" s="210">
        <v>2025</v>
      </c>
      <c r="K1644" s="210">
        <v>2026</v>
      </c>
      <c r="L1644" s="268" t="str">
        <f t="shared" si="335"/>
        <v>Complex</v>
      </c>
      <c r="M1644" s="197">
        <v>103249.79999999999</v>
      </c>
      <c r="N1644" s="197">
        <v>0</v>
      </c>
      <c r="O1644" s="257">
        <f>IF(ISNA(MATCH(H1644,'Operating leases'!$B$32:$B$43,0)),0,INDEX('Operating leases'!$M$32:$S$43,MATCH(H1644,'Operating leases'!$B$32:$B$43,0),MATCH(J1644,'Operating leases'!$M$11:$S$11,0)))</f>
        <v>0</v>
      </c>
      <c r="P1644" s="257">
        <f t="shared" si="336"/>
        <v>103249.79999999999</v>
      </c>
      <c r="Q1644" s="257">
        <f t="shared" si="337"/>
        <v>103249.79999999999</v>
      </c>
      <c r="R1644" s="258">
        <f>INDEX('Escalators '!$M$124:$S$129,MATCH(I1644,'Escalators '!$B$124:$B$129,0),MATCH(J1644,'Escalators '!$M$113:$S$113,0))</f>
        <v>1.0867931559758131</v>
      </c>
      <c r="S1644" s="257">
        <f t="shared" si="338"/>
        <v>0</v>
      </c>
      <c r="T1644" s="257">
        <f t="shared" si="339"/>
        <v>0</v>
      </c>
      <c r="U1644" s="269">
        <f t="shared" si="340"/>
        <v>112211.17599587148</v>
      </c>
      <c r="V1644" s="269">
        <f t="shared" si="341"/>
        <v>112211.17599587148</v>
      </c>
      <c r="W1644" s="269">
        <f t="shared" si="342"/>
        <v>112211.17599587148</v>
      </c>
      <c r="X1644" s="257">
        <f t="shared" si="343"/>
        <v>112211.17599587148</v>
      </c>
      <c r="Y1644" s="270">
        <f>IF(L1644="Complex",(INDEX('Escalators '!$M$176:$S$176,MATCH('Forecast capex'!J1644,'Escalators '!$M$178:$S$178,0))/12+1)^((K1644-J1644)*12)-1,0)</f>
        <v>3.5566952945970565E-2</v>
      </c>
      <c r="Z1644" s="257">
        <f t="shared" si="344"/>
        <v>3672.2807782808713</v>
      </c>
      <c r="AA1644" s="257">
        <f t="shared" si="345"/>
        <v>3991.009616657183</v>
      </c>
      <c r="AB1644" s="269">
        <f t="shared" si="346"/>
        <v>116202.18561252867</v>
      </c>
      <c r="AC1644" s="269">
        <f t="shared" si="347"/>
        <v>116202.18561252867</v>
      </c>
      <c r="AD1644" s="271" t="str">
        <f>INDEX('Global inputs'!$C$134:$C$171,MATCH(F1644,'Global inputs'!$B$134:$B$171,0))</f>
        <v>Asset replacement and renewal</v>
      </c>
      <c r="AE1644" s="272">
        <f>IF(OR(H1644='Operating leases'!$B$32,H1644='Operating leases'!$B$33),"",INDEX('Global inputs'!$C$186:$C$243,MATCH(E1644,'Global inputs'!$B$186:$B$243,0)))</f>
        <v>0.08</v>
      </c>
    </row>
    <row r="1645" spans="1:31" s="27" customFormat="1" x14ac:dyDescent="0.2">
      <c r="A1645" s="250"/>
      <c r="B1645" s="210" t="s">
        <v>742</v>
      </c>
      <c r="C1645" s="210" t="s">
        <v>286</v>
      </c>
      <c r="D1645" s="210" t="s">
        <v>732</v>
      </c>
      <c r="E1645" s="210" t="s">
        <v>138</v>
      </c>
      <c r="F1645" s="210" t="s">
        <v>108</v>
      </c>
      <c r="G1645" s="210" t="s">
        <v>752</v>
      </c>
      <c r="H1645" s="197">
        <v>0</v>
      </c>
      <c r="I1645" s="210" t="s">
        <v>139</v>
      </c>
      <c r="J1645" s="210">
        <v>2025</v>
      </c>
      <c r="K1645" s="210">
        <v>2026</v>
      </c>
      <c r="L1645" s="268" t="str">
        <f t="shared" si="335"/>
        <v>Complex</v>
      </c>
      <c r="M1645" s="197">
        <v>154874.69999999998</v>
      </c>
      <c r="N1645" s="197">
        <v>0</v>
      </c>
      <c r="O1645" s="257">
        <f>IF(ISNA(MATCH(H1645,'Operating leases'!$B$32:$B$43,0)),0,INDEX('Operating leases'!$M$32:$S$43,MATCH(H1645,'Operating leases'!$B$32:$B$43,0),MATCH(J1645,'Operating leases'!$M$11:$S$11,0)))</f>
        <v>0</v>
      </c>
      <c r="P1645" s="257">
        <f t="shared" si="336"/>
        <v>154874.69999999998</v>
      </c>
      <c r="Q1645" s="257">
        <f t="shared" si="337"/>
        <v>154874.69999999998</v>
      </c>
      <c r="R1645" s="258">
        <f>INDEX('Escalators '!$M$124:$S$129,MATCH(I1645,'Escalators '!$B$124:$B$129,0),MATCH(J1645,'Escalators '!$M$113:$S$113,0))</f>
        <v>1.0587148896071601</v>
      </c>
      <c r="S1645" s="257">
        <f t="shared" si="338"/>
        <v>0</v>
      </c>
      <c r="T1645" s="257">
        <f t="shared" si="339"/>
        <v>0</v>
      </c>
      <c r="U1645" s="269">
        <f t="shared" si="340"/>
        <v>163968.15091344202</v>
      </c>
      <c r="V1645" s="269">
        <f t="shared" si="341"/>
        <v>163968.15091344202</v>
      </c>
      <c r="W1645" s="269">
        <f t="shared" si="342"/>
        <v>163968.15091344202</v>
      </c>
      <c r="X1645" s="257">
        <f t="shared" si="343"/>
        <v>163968.15091344202</v>
      </c>
      <c r="Y1645" s="270">
        <f>IF(L1645="Complex",(INDEX('Escalators '!$M$176:$S$176,MATCH('Forecast capex'!J1645,'Escalators '!$M$178:$S$178,0))/12+1)^((K1645-J1645)*12)-1,0)</f>
        <v>3.5566952945970565E-2</v>
      </c>
      <c r="Z1645" s="257">
        <f t="shared" si="344"/>
        <v>5508.4211674213066</v>
      </c>
      <c r="AA1645" s="257">
        <f t="shared" si="345"/>
        <v>5831.8475081761926</v>
      </c>
      <c r="AB1645" s="269">
        <f t="shared" si="346"/>
        <v>169799.99842161822</v>
      </c>
      <c r="AC1645" s="269">
        <f t="shared" si="347"/>
        <v>169799.99842161822</v>
      </c>
      <c r="AD1645" s="271" t="str">
        <f>INDEX('Global inputs'!$C$134:$C$171,MATCH(F1645,'Global inputs'!$B$134:$B$171,0))</f>
        <v>Asset replacement and renewal</v>
      </c>
      <c r="AE1645" s="272">
        <f>IF(OR(H1645='Operating leases'!$B$32,H1645='Operating leases'!$B$33),"",INDEX('Global inputs'!$C$186:$C$243,MATCH(E1645,'Global inputs'!$B$186:$B$243,0)))</f>
        <v>0.08</v>
      </c>
    </row>
    <row r="1646" spans="1:31" s="27" customFormat="1" x14ac:dyDescent="0.2">
      <c r="A1646" s="250"/>
      <c r="B1646" s="210" t="s">
        <v>714</v>
      </c>
      <c r="C1646" s="210" t="s">
        <v>284</v>
      </c>
      <c r="D1646" s="210" t="s">
        <v>715</v>
      </c>
      <c r="E1646" s="210" t="s">
        <v>127</v>
      </c>
      <c r="F1646" s="210" t="s">
        <v>92</v>
      </c>
      <c r="G1646" s="210" t="s">
        <v>716</v>
      </c>
      <c r="H1646" s="197">
        <v>0</v>
      </c>
      <c r="I1646" s="210" t="s">
        <v>229</v>
      </c>
      <c r="J1646" s="210">
        <v>2026</v>
      </c>
      <c r="K1646" s="210">
        <v>2026</v>
      </c>
      <c r="L1646" s="268" t="str">
        <f t="shared" si="335"/>
        <v>Simple</v>
      </c>
      <c r="M1646" s="197">
        <v>6202.5499999999993</v>
      </c>
      <c r="N1646" s="197">
        <v>9303.8249999999971</v>
      </c>
      <c r="O1646" s="257">
        <f>IF(ISNA(MATCH(H1646,'Operating leases'!$B$32:$B$43,0)),0,INDEX('Operating leases'!$M$32:$S$43,MATCH(H1646,'Operating leases'!$B$32:$B$43,0),MATCH(J1646,'Operating leases'!$M$11:$S$11,0)))</f>
        <v>0</v>
      </c>
      <c r="P1646" s="257">
        <f t="shared" si="336"/>
        <v>6202.5499999999993</v>
      </c>
      <c r="Q1646" s="257">
        <f t="shared" si="337"/>
        <v>15506.374999999996</v>
      </c>
      <c r="R1646" s="258">
        <f>INDEX('Escalators '!$M$124:$S$129,MATCH(I1646,'Escalators '!$B$124:$B$129,0),MATCH(J1646,'Escalators '!$M$113:$S$113,0))</f>
        <v>1.1110424701464636</v>
      </c>
      <c r="S1646" s="257">
        <f t="shared" si="338"/>
        <v>0</v>
      </c>
      <c r="T1646" s="257">
        <f t="shared" si="339"/>
        <v>10336.944709810419</v>
      </c>
      <c r="U1646" s="269">
        <f t="shared" si="340"/>
        <v>6891.2964732069468</v>
      </c>
      <c r="V1646" s="269">
        <f t="shared" si="341"/>
        <v>17228.241183017366</v>
      </c>
      <c r="W1646" s="269">
        <f t="shared" si="342"/>
        <v>6891.2964732069468</v>
      </c>
      <c r="X1646" s="257">
        <f t="shared" si="343"/>
        <v>17228.241183017366</v>
      </c>
      <c r="Y1646" s="270">
        <f>IF(L1646="Complex",(INDEX('Escalators '!$M$176:$S$176,MATCH('Forecast capex'!J1646,'Escalators '!$M$178:$S$178,0))/12+1)^((K1646-J1646)*12)-1,0)</f>
        <v>0</v>
      </c>
      <c r="Z1646" s="257">
        <f t="shared" si="344"/>
        <v>0</v>
      </c>
      <c r="AA1646" s="257">
        <f t="shared" si="345"/>
        <v>0</v>
      </c>
      <c r="AB1646" s="269">
        <f t="shared" si="346"/>
        <v>0</v>
      </c>
      <c r="AC1646" s="269">
        <f t="shared" si="347"/>
        <v>0</v>
      </c>
      <c r="AD1646" s="271" t="str">
        <f>INDEX('Global inputs'!$C$134:$C$171,MATCH(F1646,'Global inputs'!$B$134:$B$171,0))</f>
        <v>Asset relocations and undergrounding</v>
      </c>
      <c r="AE1646" s="272">
        <f>IF(OR(H1646='Operating leases'!$B$32,H1646='Operating leases'!$B$33),"",INDEX('Global inputs'!$C$186:$C$243,MATCH(E1646,'Global inputs'!$B$186:$B$243,0)))</f>
        <v>0.08</v>
      </c>
    </row>
    <row r="1647" spans="1:31" s="27" customFormat="1" x14ac:dyDescent="0.2">
      <c r="A1647" s="250"/>
      <c r="B1647" s="210" t="s">
        <v>714</v>
      </c>
      <c r="C1647" s="210" t="s">
        <v>284</v>
      </c>
      <c r="D1647" s="210" t="s">
        <v>715</v>
      </c>
      <c r="E1647" s="210" t="s">
        <v>127</v>
      </c>
      <c r="F1647" s="210" t="s">
        <v>92</v>
      </c>
      <c r="G1647" s="210" t="s">
        <v>716</v>
      </c>
      <c r="H1647" s="197">
        <v>0</v>
      </c>
      <c r="I1647" s="210" t="s">
        <v>221</v>
      </c>
      <c r="J1647" s="210">
        <v>2026</v>
      </c>
      <c r="K1647" s="210">
        <v>2026</v>
      </c>
      <c r="L1647" s="268" t="str">
        <f t="shared" si="335"/>
        <v>Simple</v>
      </c>
      <c r="M1647" s="197">
        <v>6202.5499999999993</v>
      </c>
      <c r="N1647" s="197">
        <v>9303.8249999999971</v>
      </c>
      <c r="O1647" s="257">
        <f>IF(ISNA(MATCH(H1647,'Operating leases'!$B$32:$B$43,0)),0,INDEX('Operating leases'!$M$32:$S$43,MATCH(H1647,'Operating leases'!$B$32:$B$43,0),MATCH(J1647,'Operating leases'!$M$11:$S$11,0)))</f>
        <v>0</v>
      </c>
      <c r="P1647" s="257">
        <f t="shared" si="336"/>
        <v>6202.5499999999993</v>
      </c>
      <c r="Q1647" s="257">
        <f t="shared" si="337"/>
        <v>15506.374999999996</v>
      </c>
      <c r="R1647" s="258">
        <f>INDEX('Escalators '!$M$124:$S$129,MATCH(I1647,'Escalators '!$B$124:$B$129,0),MATCH(J1647,'Escalators '!$M$113:$S$113,0))</f>
        <v>1.1088998660799403</v>
      </c>
      <c r="S1647" s="257">
        <f t="shared" si="338"/>
        <v>0</v>
      </c>
      <c r="T1647" s="257">
        <f t="shared" si="339"/>
        <v>10317.010296531198</v>
      </c>
      <c r="U1647" s="269">
        <f t="shared" si="340"/>
        <v>6878.0068643541326</v>
      </c>
      <c r="V1647" s="269">
        <f t="shared" si="341"/>
        <v>17195.017160885331</v>
      </c>
      <c r="W1647" s="269">
        <f t="shared" si="342"/>
        <v>6878.0068643541326</v>
      </c>
      <c r="X1647" s="257">
        <f t="shared" si="343"/>
        <v>17195.017160885331</v>
      </c>
      <c r="Y1647" s="270">
        <f>IF(L1647="Complex",(INDEX('Escalators '!$M$176:$S$176,MATCH('Forecast capex'!J1647,'Escalators '!$M$178:$S$178,0))/12+1)^((K1647-J1647)*12)-1,0)</f>
        <v>0</v>
      </c>
      <c r="Z1647" s="257">
        <f t="shared" si="344"/>
        <v>0</v>
      </c>
      <c r="AA1647" s="257">
        <f t="shared" si="345"/>
        <v>0</v>
      </c>
      <c r="AB1647" s="269">
        <f t="shared" si="346"/>
        <v>0</v>
      </c>
      <c r="AC1647" s="269">
        <f t="shared" si="347"/>
        <v>0</v>
      </c>
      <c r="AD1647" s="271" t="str">
        <f>INDEX('Global inputs'!$C$134:$C$171,MATCH(F1647,'Global inputs'!$B$134:$B$171,0))</f>
        <v>Asset relocations and undergrounding</v>
      </c>
      <c r="AE1647" s="272">
        <f>IF(OR(H1647='Operating leases'!$B$32,H1647='Operating leases'!$B$33),"",INDEX('Global inputs'!$C$186:$C$243,MATCH(E1647,'Global inputs'!$B$186:$B$243,0)))</f>
        <v>0.08</v>
      </c>
    </row>
    <row r="1648" spans="1:31" s="27" customFormat="1" x14ac:dyDescent="0.2">
      <c r="A1648" s="250"/>
      <c r="B1648" s="210" t="s">
        <v>714</v>
      </c>
      <c r="C1648" s="210" t="s">
        <v>284</v>
      </c>
      <c r="D1648" s="210" t="s">
        <v>715</v>
      </c>
      <c r="E1648" s="210" t="s">
        <v>129</v>
      </c>
      <c r="F1648" s="210" t="s">
        <v>92</v>
      </c>
      <c r="G1648" s="210" t="s">
        <v>716</v>
      </c>
      <c r="H1648" s="197">
        <v>0</v>
      </c>
      <c r="I1648" s="210" t="s">
        <v>229</v>
      </c>
      <c r="J1648" s="210">
        <v>2026</v>
      </c>
      <c r="K1648" s="210">
        <v>2026</v>
      </c>
      <c r="L1648" s="268" t="str">
        <f t="shared" si="335"/>
        <v>Simple</v>
      </c>
      <c r="M1648" s="197">
        <v>6202.5499999999993</v>
      </c>
      <c r="N1648" s="197">
        <v>9303.8249999999971</v>
      </c>
      <c r="O1648" s="257">
        <f>IF(ISNA(MATCH(H1648,'Operating leases'!$B$32:$B$43,0)),0,INDEX('Operating leases'!$M$32:$S$43,MATCH(H1648,'Operating leases'!$B$32:$B$43,0),MATCH(J1648,'Operating leases'!$M$11:$S$11,0)))</f>
        <v>0</v>
      </c>
      <c r="P1648" s="257">
        <f t="shared" si="336"/>
        <v>6202.5499999999993</v>
      </c>
      <c r="Q1648" s="257">
        <f t="shared" si="337"/>
        <v>15506.374999999996</v>
      </c>
      <c r="R1648" s="258">
        <f>INDEX('Escalators '!$M$124:$S$129,MATCH(I1648,'Escalators '!$B$124:$B$129,0),MATCH(J1648,'Escalators '!$M$113:$S$113,0))</f>
        <v>1.1110424701464636</v>
      </c>
      <c r="S1648" s="257">
        <f t="shared" si="338"/>
        <v>0</v>
      </c>
      <c r="T1648" s="257">
        <f t="shared" si="339"/>
        <v>10336.944709810419</v>
      </c>
      <c r="U1648" s="269">
        <f t="shared" si="340"/>
        <v>6891.2964732069468</v>
      </c>
      <c r="V1648" s="269">
        <f t="shared" si="341"/>
        <v>17228.241183017366</v>
      </c>
      <c r="W1648" s="269">
        <f t="shared" si="342"/>
        <v>6891.2964732069468</v>
      </c>
      <c r="X1648" s="257">
        <f t="shared" si="343"/>
        <v>17228.241183017366</v>
      </c>
      <c r="Y1648" s="270">
        <f>IF(L1648="Complex",(INDEX('Escalators '!$M$176:$S$176,MATCH('Forecast capex'!J1648,'Escalators '!$M$178:$S$178,0))/12+1)^((K1648-J1648)*12)-1,0)</f>
        <v>0</v>
      </c>
      <c r="Z1648" s="257">
        <f t="shared" si="344"/>
        <v>0</v>
      </c>
      <c r="AA1648" s="257">
        <f t="shared" si="345"/>
        <v>0</v>
      </c>
      <c r="AB1648" s="269">
        <f t="shared" si="346"/>
        <v>0</v>
      </c>
      <c r="AC1648" s="269">
        <f t="shared" si="347"/>
        <v>0</v>
      </c>
      <c r="AD1648" s="271" t="str">
        <f>INDEX('Global inputs'!$C$134:$C$171,MATCH(F1648,'Global inputs'!$B$134:$B$171,0))</f>
        <v>Asset relocations and undergrounding</v>
      </c>
      <c r="AE1648" s="272">
        <f>IF(OR(H1648='Operating leases'!$B$32,H1648='Operating leases'!$B$33),"",INDEX('Global inputs'!$C$186:$C$243,MATCH(E1648,'Global inputs'!$B$186:$B$243,0)))</f>
        <v>0.1</v>
      </c>
    </row>
    <row r="1649" spans="1:31" s="27" customFormat="1" x14ac:dyDescent="0.2">
      <c r="A1649" s="250"/>
      <c r="B1649" s="210" t="s">
        <v>714</v>
      </c>
      <c r="C1649" s="210" t="s">
        <v>284</v>
      </c>
      <c r="D1649" s="210" t="s">
        <v>715</v>
      </c>
      <c r="E1649" s="210" t="s">
        <v>129</v>
      </c>
      <c r="F1649" s="210" t="s">
        <v>92</v>
      </c>
      <c r="G1649" s="210" t="s">
        <v>716</v>
      </c>
      <c r="H1649" s="197">
        <v>0</v>
      </c>
      <c r="I1649" s="210" t="s">
        <v>221</v>
      </c>
      <c r="J1649" s="210">
        <v>2026</v>
      </c>
      <c r="K1649" s="210">
        <v>2026</v>
      </c>
      <c r="L1649" s="268" t="str">
        <f t="shared" si="335"/>
        <v>Simple</v>
      </c>
      <c r="M1649" s="197">
        <v>6202.5499999999993</v>
      </c>
      <c r="N1649" s="197">
        <v>9303.8249999999971</v>
      </c>
      <c r="O1649" s="257">
        <f>IF(ISNA(MATCH(H1649,'Operating leases'!$B$32:$B$43,0)),0,INDEX('Operating leases'!$M$32:$S$43,MATCH(H1649,'Operating leases'!$B$32:$B$43,0),MATCH(J1649,'Operating leases'!$M$11:$S$11,0)))</f>
        <v>0</v>
      </c>
      <c r="P1649" s="257">
        <f t="shared" si="336"/>
        <v>6202.5499999999993</v>
      </c>
      <c r="Q1649" s="257">
        <f t="shared" si="337"/>
        <v>15506.374999999996</v>
      </c>
      <c r="R1649" s="258">
        <f>INDEX('Escalators '!$M$124:$S$129,MATCH(I1649,'Escalators '!$B$124:$B$129,0),MATCH(J1649,'Escalators '!$M$113:$S$113,0))</f>
        <v>1.1088998660799403</v>
      </c>
      <c r="S1649" s="257">
        <f t="shared" si="338"/>
        <v>0</v>
      </c>
      <c r="T1649" s="257">
        <f t="shared" si="339"/>
        <v>10317.010296531198</v>
      </c>
      <c r="U1649" s="269">
        <f t="shared" si="340"/>
        <v>6878.0068643541326</v>
      </c>
      <c r="V1649" s="269">
        <f t="shared" si="341"/>
        <v>17195.017160885331</v>
      </c>
      <c r="W1649" s="269">
        <f t="shared" si="342"/>
        <v>6878.0068643541326</v>
      </c>
      <c r="X1649" s="257">
        <f t="shared" si="343"/>
        <v>17195.017160885331</v>
      </c>
      <c r="Y1649" s="270">
        <f>IF(L1649="Complex",(INDEX('Escalators '!$M$176:$S$176,MATCH('Forecast capex'!J1649,'Escalators '!$M$178:$S$178,0))/12+1)^((K1649-J1649)*12)-1,0)</f>
        <v>0</v>
      </c>
      <c r="Z1649" s="257">
        <f t="shared" si="344"/>
        <v>0</v>
      </c>
      <c r="AA1649" s="257">
        <f t="shared" si="345"/>
        <v>0</v>
      </c>
      <c r="AB1649" s="269">
        <f t="shared" si="346"/>
        <v>0</v>
      </c>
      <c r="AC1649" s="269">
        <f t="shared" si="347"/>
        <v>0</v>
      </c>
      <c r="AD1649" s="271" t="str">
        <f>INDEX('Global inputs'!$C$134:$C$171,MATCH(F1649,'Global inputs'!$B$134:$B$171,0))</f>
        <v>Asset relocations and undergrounding</v>
      </c>
      <c r="AE1649" s="272">
        <f>IF(OR(H1649='Operating leases'!$B$32,H1649='Operating leases'!$B$33),"",INDEX('Global inputs'!$C$186:$C$243,MATCH(E1649,'Global inputs'!$B$186:$B$243,0)))</f>
        <v>0.1</v>
      </c>
    </row>
    <row r="1650" spans="1:31" s="27" customFormat="1" x14ac:dyDescent="0.2">
      <c r="A1650" s="250"/>
      <c r="B1650" s="210" t="s">
        <v>714</v>
      </c>
      <c r="C1650" s="210" t="s">
        <v>287</v>
      </c>
      <c r="D1650" s="210" t="s">
        <v>715</v>
      </c>
      <c r="E1650" s="210" t="s">
        <v>150</v>
      </c>
      <c r="F1650" s="210" t="s">
        <v>92</v>
      </c>
      <c r="G1650" s="210" t="s">
        <v>716</v>
      </c>
      <c r="H1650" s="197">
        <v>0</v>
      </c>
      <c r="I1650" s="210" t="s">
        <v>229</v>
      </c>
      <c r="J1650" s="210">
        <v>2026</v>
      </c>
      <c r="K1650" s="210">
        <v>2026</v>
      </c>
      <c r="L1650" s="268" t="str">
        <f t="shared" si="335"/>
        <v>Simple</v>
      </c>
      <c r="M1650" s="197">
        <v>24810.199999999997</v>
      </c>
      <c r="N1650" s="197">
        <v>37215.299999999988</v>
      </c>
      <c r="O1650" s="257">
        <f>IF(ISNA(MATCH(H1650,'Operating leases'!$B$32:$B$43,0)),0,INDEX('Operating leases'!$M$32:$S$43,MATCH(H1650,'Operating leases'!$B$32:$B$43,0),MATCH(J1650,'Operating leases'!$M$11:$S$11,0)))</f>
        <v>0</v>
      </c>
      <c r="P1650" s="257">
        <f t="shared" si="336"/>
        <v>24810.199999999997</v>
      </c>
      <c r="Q1650" s="257">
        <f t="shared" si="337"/>
        <v>62025.499999999985</v>
      </c>
      <c r="R1650" s="258">
        <f>INDEX('Escalators '!$M$124:$S$129,MATCH(I1650,'Escalators '!$B$124:$B$129,0),MATCH(J1650,'Escalators '!$M$113:$S$113,0))</f>
        <v>1.1110424701464636</v>
      </c>
      <c r="S1650" s="257">
        <f t="shared" si="338"/>
        <v>0</v>
      </c>
      <c r="T1650" s="257">
        <f t="shared" si="339"/>
        <v>41347.778839241677</v>
      </c>
      <c r="U1650" s="269">
        <f t="shared" si="340"/>
        <v>27565.185892827787</v>
      </c>
      <c r="V1650" s="269">
        <f t="shared" si="341"/>
        <v>68912.964732069464</v>
      </c>
      <c r="W1650" s="269">
        <f t="shared" si="342"/>
        <v>27565.185892827787</v>
      </c>
      <c r="X1650" s="257">
        <f t="shared" si="343"/>
        <v>68912.964732069464</v>
      </c>
      <c r="Y1650" s="270">
        <f>IF(L1650="Complex",(INDEX('Escalators '!$M$176:$S$176,MATCH('Forecast capex'!J1650,'Escalators '!$M$178:$S$178,0))/12+1)^((K1650-J1650)*12)-1,0)</f>
        <v>0</v>
      </c>
      <c r="Z1650" s="257">
        <f t="shared" si="344"/>
        <v>0</v>
      </c>
      <c r="AA1650" s="257">
        <f t="shared" si="345"/>
        <v>0</v>
      </c>
      <c r="AB1650" s="269">
        <f t="shared" si="346"/>
        <v>0</v>
      </c>
      <c r="AC1650" s="269">
        <f t="shared" si="347"/>
        <v>0</v>
      </c>
      <c r="AD1650" s="271" t="str">
        <f>INDEX('Global inputs'!$C$134:$C$171,MATCH(F1650,'Global inputs'!$B$134:$B$171,0))</f>
        <v>Asset relocations and undergrounding</v>
      </c>
      <c r="AE1650" s="272">
        <f>IF(OR(H1650='Operating leases'!$B$32,H1650='Operating leases'!$B$33),"",INDEX('Global inputs'!$C$186:$C$243,MATCH(E1650,'Global inputs'!$B$186:$B$243,0)))</f>
        <v>0.08</v>
      </c>
    </row>
    <row r="1651" spans="1:31" s="27" customFormat="1" x14ac:dyDescent="0.2">
      <c r="A1651" s="250"/>
      <c r="B1651" s="210" t="s">
        <v>714</v>
      </c>
      <c r="C1651" s="210" t="s">
        <v>287</v>
      </c>
      <c r="D1651" s="210" t="s">
        <v>715</v>
      </c>
      <c r="E1651" s="210" t="s">
        <v>150</v>
      </c>
      <c r="F1651" s="210" t="s">
        <v>92</v>
      </c>
      <c r="G1651" s="210" t="s">
        <v>716</v>
      </c>
      <c r="H1651" s="197">
        <v>0</v>
      </c>
      <c r="I1651" s="210" t="s">
        <v>221</v>
      </c>
      <c r="J1651" s="210">
        <v>2026</v>
      </c>
      <c r="K1651" s="210">
        <v>2026</v>
      </c>
      <c r="L1651" s="268" t="str">
        <f t="shared" si="335"/>
        <v>Simple</v>
      </c>
      <c r="M1651" s="197">
        <v>24810.199999999997</v>
      </c>
      <c r="N1651" s="197">
        <v>37215.299999999988</v>
      </c>
      <c r="O1651" s="257">
        <f>IF(ISNA(MATCH(H1651,'Operating leases'!$B$32:$B$43,0)),0,INDEX('Operating leases'!$M$32:$S$43,MATCH(H1651,'Operating leases'!$B$32:$B$43,0),MATCH(J1651,'Operating leases'!$M$11:$S$11,0)))</f>
        <v>0</v>
      </c>
      <c r="P1651" s="257">
        <f t="shared" si="336"/>
        <v>24810.199999999997</v>
      </c>
      <c r="Q1651" s="257">
        <f t="shared" si="337"/>
        <v>62025.499999999985</v>
      </c>
      <c r="R1651" s="258">
        <f>INDEX('Escalators '!$M$124:$S$129,MATCH(I1651,'Escalators '!$B$124:$B$129,0),MATCH(J1651,'Escalators '!$M$113:$S$113,0))</f>
        <v>1.1088998660799403</v>
      </c>
      <c r="S1651" s="257">
        <f t="shared" si="338"/>
        <v>0</v>
      </c>
      <c r="T1651" s="257">
        <f t="shared" si="339"/>
        <v>41268.041186124792</v>
      </c>
      <c r="U1651" s="269">
        <f t="shared" si="340"/>
        <v>27512.027457416531</v>
      </c>
      <c r="V1651" s="269">
        <f t="shared" si="341"/>
        <v>68780.068643541323</v>
      </c>
      <c r="W1651" s="269">
        <f t="shared" si="342"/>
        <v>27512.027457416531</v>
      </c>
      <c r="X1651" s="257">
        <f t="shared" si="343"/>
        <v>68780.068643541323</v>
      </c>
      <c r="Y1651" s="270">
        <f>IF(L1651="Complex",(INDEX('Escalators '!$M$176:$S$176,MATCH('Forecast capex'!J1651,'Escalators '!$M$178:$S$178,0))/12+1)^((K1651-J1651)*12)-1,0)</f>
        <v>0</v>
      </c>
      <c r="Z1651" s="257">
        <f t="shared" si="344"/>
        <v>0</v>
      </c>
      <c r="AA1651" s="257">
        <f t="shared" si="345"/>
        <v>0</v>
      </c>
      <c r="AB1651" s="269">
        <f t="shared" si="346"/>
        <v>0</v>
      </c>
      <c r="AC1651" s="269">
        <f t="shared" si="347"/>
        <v>0</v>
      </c>
      <c r="AD1651" s="271" t="str">
        <f>INDEX('Global inputs'!$C$134:$C$171,MATCH(F1651,'Global inputs'!$B$134:$B$171,0))</f>
        <v>Asset relocations and undergrounding</v>
      </c>
      <c r="AE1651" s="272">
        <f>IF(OR(H1651='Operating leases'!$B$32,H1651='Operating leases'!$B$33),"",INDEX('Global inputs'!$C$186:$C$243,MATCH(E1651,'Global inputs'!$B$186:$B$243,0)))</f>
        <v>0.08</v>
      </c>
    </row>
    <row r="1652" spans="1:31" s="27" customFormat="1" x14ac:dyDescent="0.2">
      <c r="A1652" s="250"/>
      <c r="B1652" s="210" t="s">
        <v>714</v>
      </c>
      <c r="C1652" s="210" t="s">
        <v>287</v>
      </c>
      <c r="D1652" s="210" t="s">
        <v>715</v>
      </c>
      <c r="E1652" s="210" t="s">
        <v>151</v>
      </c>
      <c r="F1652" s="210" t="s">
        <v>92</v>
      </c>
      <c r="G1652" s="210" t="s">
        <v>716</v>
      </c>
      <c r="H1652" s="197">
        <v>0</v>
      </c>
      <c r="I1652" s="210" t="s">
        <v>229</v>
      </c>
      <c r="J1652" s="210">
        <v>2026</v>
      </c>
      <c r="K1652" s="210">
        <v>2026</v>
      </c>
      <c r="L1652" s="268" t="str">
        <f t="shared" si="335"/>
        <v>Simple</v>
      </c>
      <c r="M1652" s="197">
        <v>24810.199999999997</v>
      </c>
      <c r="N1652" s="197">
        <v>37215.299999999988</v>
      </c>
      <c r="O1652" s="257">
        <f>IF(ISNA(MATCH(H1652,'Operating leases'!$B$32:$B$43,0)),0,INDEX('Operating leases'!$M$32:$S$43,MATCH(H1652,'Operating leases'!$B$32:$B$43,0),MATCH(J1652,'Operating leases'!$M$11:$S$11,0)))</f>
        <v>0</v>
      </c>
      <c r="P1652" s="257">
        <f t="shared" si="336"/>
        <v>24810.199999999997</v>
      </c>
      <c r="Q1652" s="257">
        <f t="shared" si="337"/>
        <v>62025.499999999985</v>
      </c>
      <c r="R1652" s="258">
        <f>INDEX('Escalators '!$M$124:$S$129,MATCH(I1652,'Escalators '!$B$124:$B$129,0),MATCH(J1652,'Escalators '!$M$113:$S$113,0))</f>
        <v>1.1110424701464636</v>
      </c>
      <c r="S1652" s="257">
        <f t="shared" si="338"/>
        <v>0</v>
      </c>
      <c r="T1652" s="257">
        <f t="shared" si="339"/>
        <v>41347.778839241677</v>
      </c>
      <c r="U1652" s="269">
        <f t="shared" si="340"/>
        <v>27565.185892827787</v>
      </c>
      <c r="V1652" s="269">
        <f t="shared" si="341"/>
        <v>68912.964732069464</v>
      </c>
      <c r="W1652" s="269">
        <f t="shared" si="342"/>
        <v>27565.185892827787</v>
      </c>
      <c r="X1652" s="257">
        <f t="shared" si="343"/>
        <v>68912.964732069464</v>
      </c>
      <c r="Y1652" s="270">
        <f>IF(L1652="Complex",(INDEX('Escalators '!$M$176:$S$176,MATCH('Forecast capex'!J1652,'Escalators '!$M$178:$S$178,0))/12+1)^((K1652-J1652)*12)-1,0)</f>
        <v>0</v>
      </c>
      <c r="Z1652" s="257">
        <f t="shared" si="344"/>
        <v>0</v>
      </c>
      <c r="AA1652" s="257">
        <f t="shared" si="345"/>
        <v>0</v>
      </c>
      <c r="AB1652" s="269">
        <f t="shared" si="346"/>
        <v>0</v>
      </c>
      <c r="AC1652" s="269">
        <f t="shared" si="347"/>
        <v>0</v>
      </c>
      <c r="AD1652" s="271" t="str">
        <f>INDEX('Global inputs'!$C$134:$C$171,MATCH(F1652,'Global inputs'!$B$134:$B$171,0))</f>
        <v>Asset relocations and undergrounding</v>
      </c>
      <c r="AE1652" s="272">
        <f>IF(OR(H1652='Operating leases'!$B$32,H1652='Operating leases'!$B$33),"",INDEX('Global inputs'!$C$186:$C$243,MATCH(E1652,'Global inputs'!$B$186:$B$243,0)))</f>
        <v>0.1</v>
      </c>
    </row>
    <row r="1653" spans="1:31" s="27" customFormat="1" x14ac:dyDescent="0.2">
      <c r="A1653" s="250"/>
      <c r="B1653" s="210" t="s">
        <v>714</v>
      </c>
      <c r="C1653" s="210" t="s">
        <v>287</v>
      </c>
      <c r="D1653" s="210" t="s">
        <v>715</v>
      </c>
      <c r="E1653" s="210" t="s">
        <v>151</v>
      </c>
      <c r="F1653" s="210" t="s">
        <v>92</v>
      </c>
      <c r="G1653" s="210" t="s">
        <v>716</v>
      </c>
      <c r="H1653" s="197">
        <v>0</v>
      </c>
      <c r="I1653" s="210" t="s">
        <v>221</v>
      </c>
      <c r="J1653" s="210">
        <v>2026</v>
      </c>
      <c r="K1653" s="210">
        <v>2026</v>
      </c>
      <c r="L1653" s="268" t="str">
        <f t="shared" si="335"/>
        <v>Simple</v>
      </c>
      <c r="M1653" s="197">
        <v>24810.199999999997</v>
      </c>
      <c r="N1653" s="197">
        <v>37215.299999999988</v>
      </c>
      <c r="O1653" s="257">
        <f>IF(ISNA(MATCH(H1653,'Operating leases'!$B$32:$B$43,0)),0,INDEX('Operating leases'!$M$32:$S$43,MATCH(H1653,'Operating leases'!$B$32:$B$43,0),MATCH(J1653,'Operating leases'!$M$11:$S$11,0)))</f>
        <v>0</v>
      </c>
      <c r="P1653" s="257">
        <f t="shared" si="336"/>
        <v>24810.199999999997</v>
      </c>
      <c r="Q1653" s="257">
        <f t="shared" si="337"/>
        <v>62025.499999999985</v>
      </c>
      <c r="R1653" s="258">
        <f>INDEX('Escalators '!$M$124:$S$129,MATCH(I1653,'Escalators '!$B$124:$B$129,0),MATCH(J1653,'Escalators '!$M$113:$S$113,0))</f>
        <v>1.1088998660799403</v>
      </c>
      <c r="S1653" s="257">
        <f t="shared" si="338"/>
        <v>0</v>
      </c>
      <c r="T1653" s="257">
        <f t="shared" si="339"/>
        <v>41268.041186124792</v>
      </c>
      <c r="U1653" s="269">
        <f t="shared" si="340"/>
        <v>27512.027457416531</v>
      </c>
      <c r="V1653" s="269">
        <f t="shared" si="341"/>
        <v>68780.068643541323</v>
      </c>
      <c r="W1653" s="269">
        <f t="shared" si="342"/>
        <v>27512.027457416531</v>
      </c>
      <c r="X1653" s="257">
        <f t="shared" si="343"/>
        <v>68780.068643541323</v>
      </c>
      <c r="Y1653" s="270">
        <f>IF(L1653="Complex",(INDEX('Escalators '!$M$176:$S$176,MATCH('Forecast capex'!J1653,'Escalators '!$M$178:$S$178,0))/12+1)^((K1653-J1653)*12)-1,0)</f>
        <v>0</v>
      </c>
      <c r="Z1653" s="257">
        <f t="shared" si="344"/>
        <v>0</v>
      </c>
      <c r="AA1653" s="257">
        <f t="shared" si="345"/>
        <v>0</v>
      </c>
      <c r="AB1653" s="269">
        <f t="shared" si="346"/>
        <v>0</v>
      </c>
      <c r="AC1653" s="269">
        <f t="shared" si="347"/>
        <v>0</v>
      </c>
      <c r="AD1653" s="271" t="str">
        <f>INDEX('Global inputs'!$C$134:$C$171,MATCH(F1653,'Global inputs'!$B$134:$B$171,0))</f>
        <v>Asset relocations and undergrounding</v>
      </c>
      <c r="AE1653" s="272">
        <f>IF(OR(H1653='Operating leases'!$B$32,H1653='Operating leases'!$B$33),"",INDEX('Global inputs'!$C$186:$C$243,MATCH(E1653,'Global inputs'!$B$186:$B$243,0)))</f>
        <v>0.1</v>
      </c>
    </row>
    <row r="1654" spans="1:31" s="27" customFormat="1" x14ac:dyDescent="0.2">
      <c r="A1654" s="250"/>
      <c r="B1654" s="210" t="s">
        <v>714</v>
      </c>
      <c r="C1654" s="210" t="s">
        <v>287</v>
      </c>
      <c r="D1654" s="210" t="s">
        <v>715</v>
      </c>
      <c r="E1654" s="210" t="s">
        <v>153</v>
      </c>
      <c r="F1654" s="210" t="s">
        <v>92</v>
      </c>
      <c r="G1654" s="210" t="s">
        <v>716</v>
      </c>
      <c r="H1654" s="197">
        <v>0</v>
      </c>
      <c r="I1654" s="210" t="s">
        <v>229</v>
      </c>
      <c r="J1654" s="210">
        <v>2026</v>
      </c>
      <c r="K1654" s="210">
        <v>2026</v>
      </c>
      <c r="L1654" s="268" t="str">
        <f t="shared" si="335"/>
        <v>Simple</v>
      </c>
      <c r="M1654" s="197">
        <v>1127.6499999999999</v>
      </c>
      <c r="N1654" s="197">
        <v>1691.4749999999997</v>
      </c>
      <c r="O1654" s="257">
        <f>IF(ISNA(MATCH(H1654,'Operating leases'!$B$32:$B$43,0)),0,INDEX('Operating leases'!$M$32:$S$43,MATCH(H1654,'Operating leases'!$B$32:$B$43,0),MATCH(J1654,'Operating leases'!$M$11:$S$11,0)))</f>
        <v>0</v>
      </c>
      <c r="P1654" s="257">
        <f t="shared" si="336"/>
        <v>1127.6499999999999</v>
      </c>
      <c r="Q1654" s="257">
        <f t="shared" si="337"/>
        <v>2819.1249999999995</v>
      </c>
      <c r="R1654" s="258">
        <f>INDEX('Escalators '!$M$124:$S$129,MATCH(I1654,'Escalators '!$B$124:$B$129,0),MATCH(J1654,'Escalators '!$M$113:$S$113,0))</f>
        <v>1.1110424701464636</v>
      </c>
      <c r="S1654" s="257">
        <f t="shared" si="338"/>
        <v>0</v>
      </c>
      <c r="T1654" s="257">
        <f t="shared" si="339"/>
        <v>1879.3005621909892</v>
      </c>
      <c r="U1654" s="269">
        <f t="shared" si="340"/>
        <v>1252.8670414606595</v>
      </c>
      <c r="V1654" s="269">
        <f t="shared" si="341"/>
        <v>3132.1676036516487</v>
      </c>
      <c r="W1654" s="269">
        <f t="shared" si="342"/>
        <v>1252.8670414606595</v>
      </c>
      <c r="X1654" s="257">
        <f t="shared" si="343"/>
        <v>3132.1676036516487</v>
      </c>
      <c r="Y1654" s="270">
        <f>IF(L1654="Complex",(INDEX('Escalators '!$M$176:$S$176,MATCH('Forecast capex'!J1654,'Escalators '!$M$178:$S$178,0))/12+1)^((K1654-J1654)*12)-1,0)</f>
        <v>0</v>
      </c>
      <c r="Z1654" s="257">
        <f t="shared" si="344"/>
        <v>0</v>
      </c>
      <c r="AA1654" s="257">
        <f t="shared" si="345"/>
        <v>0</v>
      </c>
      <c r="AB1654" s="269">
        <f t="shared" si="346"/>
        <v>0</v>
      </c>
      <c r="AC1654" s="269">
        <f t="shared" si="347"/>
        <v>0</v>
      </c>
      <c r="AD1654" s="271" t="str">
        <f>INDEX('Global inputs'!$C$134:$C$171,MATCH(F1654,'Global inputs'!$B$134:$B$171,0))</f>
        <v>Asset relocations and undergrounding</v>
      </c>
      <c r="AE1654" s="272">
        <f>IF(OR(H1654='Operating leases'!$B$32,H1654='Operating leases'!$B$33),"",INDEX('Global inputs'!$C$186:$C$243,MATCH(E1654,'Global inputs'!$B$186:$B$243,0)))</f>
        <v>0.08</v>
      </c>
    </row>
    <row r="1655" spans="1:31" s="27" customFormat="1" x14ac:dyDescent="0.2">
      <c r="A1655" s="250"/>
      <c r="B1655" s="210" t="s">
        <v>714</v>
      </c>
      <c r="C1655" s="210" t="s">
        <v>287</v>
      </c>
      <c r="D1655" s="210" t="s">
        <v>715</v>
      </c>
      <c r="E1655" s="210" t="s">
        <v>153</v>
      </c>
      <c r="F1655" s="210" t="s">
        <v>92</v>
      </c>
      <c r="G1655" s="210" t="s">
        <v>716</v>
      </c>
      <c r="H1655" s="197">
        <v>0</v>
      </c>
      <c r="I1655" s="210" t="s">
        <v>221</v>
      </c>
      <c r="J1655" s="210">
        <v>2026</v>
      </c>
      <c r="K1655" s="210">
        <v>2026</v>
      </c>
      <c r="L1655" s="268" t="str">
        <f t="shared" si="335"/>
        <v>Simple</v>
      </c>
      <c r="M1655" s="197">
        <v>1127.6499999999999</v>
      </c>
      <c r="N1655" s="197">
        <v>1691.4749999999997</v>
      </c>
      <c r="O1655" s="257">
        <f>IF(ISNA(MATCH(H1655,'Operating leases'!$B$32:$B$43,0)),0,INDEX('Operating leases'!$M$32:$S$43,MATCH(H1655,'Operating leases'!$B$32:$B$43,0),MATCH(J1655,'Operating leases'!$M$11:$S$11,0)))</f>
        <v>0</v>
      </c>
      <c r="P1655" s="257">
        <f t="shared" si="336"/>
        <v>1127.6499999999999</v>
      </c>
      <c r="Q1655" s="257">
        <f t="shared" si="337"/>
        <v>2819.1249999999995</v>
      </c>
      <c r="R1655" s="258">
        <f>INDEX('Escalators '!$M$124:$S$129,MATCH(I1655,'Escalators '!$B$124:$B$129,0),MATCH(J1655,'Escalators '!$M$113:$S$113,0))</f>
        <v>1.1088998660799403</v>
      </c>
      <c r="S1655" s="257">
        <f t="shared" si="338"/>
        <v>0</v>
      </c>
      <c r="T1655" s="257">
        <f t="shared" si="339"/>
        <v>1875.6764009775666</v>
      </c>
      <c r="U1655" s="269">
        <f t="shared" si="340"/>
        <v>1250.4509339850447</v>
      </c>
      <c r="V1655" s="269">
        <f t="shared" si="341"/>
        <v>3126.1273349626113</v>
      </c>
      <c r="W1655" s="269">
        <f t="shared" si="342"/>
        <v>1250.4509339850447</v>
      </c>
      <c r="X1655" s="257">
        <f t="shared" si="343"/>
        <v>3126.1273349626113</v>
      </c>
      <c r="Y1655" s="270">
        <f>IF(L1655="Complex",(INDEX('Escalators '!$M$176:$S$176,MATCH('Forecast capex'!J1655,'Escalators '!$M$178:$S$178,0))/12+1)^((K1655-J1655)*12)-1,0)</f>
        <v>0</v>
      </c>
      <c r="Z1655" s="257">
        <f t="shared" si="344"/>
        <v>0</v>
      </c>
      <c r="AA1655" s="257">
        <f t="shared" si="345"/>
        <v>0</v>
      </c>
      <c r="AB1655" s="269">
        <f t="shared" si="346"/>
        <v>0</v>
      </c>
      <c r="AC1655" s="269">
        <f t="shared" si="347"/>
        <v>0</v>
      </c>
      <c r="AD1655" s="271" t="str">
        <f>INDEX('Global inputs'!$C$134:$C$171,MATCH(F1655,'Global inputs'!$B$134:$B$171,0))</f>
        <v>Asset relocations and undergrounding</v>
      </c>
      <c r="AE1655" s="272">
        <f>IF(OR(H1655='Operating leases'!$B$32,H1655='Operating leases'!$B$33),"",INDEX('Global inputs'!$C$186:$C$243,MATCH(E1655,'Global inputs'!$B$186:$B$243,0)))</f>
        <v>0.08</v>
      </c>
    </row>
    <row r="1656" spans="1:31" s="27" customFormat="1" x14ac:dyDescent="0.2">
      <c r="A1656" s="250"/>
      <c r="B1656" s="210" t="s">
        <v>714</v>
      </c>
      <c r="C1656" s="210" t="s">
        <v>287</v>
      </c>
      <c r="D1656" s="210" t="s">
        <v>715</v>
      </c>
      <c r="E1656" s="210" t="s">
        <v>154</v>
      </c>
      <c r="F1656" s="210" t="s">
        <v>92</v>
      </c>
      <c r="G1656" s="210" t="s">
        <v>716</v>
      </c>
      <c r="H1656" s="197">
        <v>0</v>
      </c>
      <c r="I1656" s="210" t="s">
        <v>229</v>
      </c>
      <c r="J1656" s="210">
        <v>2026</v>
      </c>
      <c r="K1656" s="210">
        <v>2026</v>
      </c>
      <c r="L1656" s="268" t="str">
        <f t="shared" si="335"/>
        <v>Simple</v>
      </c>
      <c r="M1656" s="197">
        <v>1127.6499999999999</v>
      </c>
      <c r="N1656" s="197">
        <v>1691.4749999999997</v>
      </c>
      <c r="O1656" s="257">
        <f>IF(ISNA(MATCH(H1656,'Operating leases'!$B$32:$B$43,0)),0,INDEX('Operating leases'!$M$32:$S$43,MATCH(H1656,'Operating leases'!$B$32:$B$43,0),MATCH(J1656,'Operating leases'!$M$11:$S$11,0)))</f>
        <v>0</v>
      </c>
      <c r="P1656" s="257">
        <f t="shared" si="336"/>
        <v>1127.6499999999999</v>
      </c>
      <c r="Q1656" s="257">
        <f t="shared" si="337"/>
        <v>2819.1249999999995</v>
      </c>
      <c r="R1656" s="258">
        <f>INDEX('Escalators '!$M$124:$S$129,MATCH(I1656,'Escalators '!$B$124:$B$129,0),MATCH(J1656,'Escalators '!$M$113:$S$113,0))</f>
        <v>1.1110424701464636</v>
      </c>
      <c r="S1656" s="257">
        <f t="shared" si="338"/>
        <v>0</v>
      </c>
      <c r="T1656" s="257">
        <f t="shared" si="339"/>
        <v>1879.3005621909892</v>
      </c>
      <c r="U1656" s="269">
        <f t="shared" si="340"/>
        <v>1252.8670414606595</v>
      </c>
      <c r="V1656" s="269">
        <f t="shared" si="341"/>
        <v>3132.1676036516487</v>
      </c>
      <c r="W1656" s="269">
        <f t="shared" si="342"/>
        <v>1252.8670414606595</v>
      </c>
      <c r="X1656" s="257">
        <f t="shared" si="343"/>
        <v>3132.1676036516487</v>
      </c>
      <c r="Y1656" s="270">
        <f>IF(L1656="Complex",(INDEX('Escalators '!$M$176:$S$176,MATCH('Forecast capex'!J1656,'Escalators '!$M$178:$S$178,0))/12+1)^((K1656-J1656)*12)-1,0)</f>
        <v>0</v>
      </c>
      <c r="Z1656" s="257">
        <f t="shared" si="344"/>
        <v>0</v>
      </c>
      <c r="AA1656" s="257">
        <f t="shared" si="345"/>
        <v>0</v>
      </c>
      <c r="AB1656" s="269">
        <f t="shared" si="346"/>
        <v>0</v>
      </c>
      <c r="AC1656" s="269">
        <f t="shared" si="347"/>
        <v>0</v>
      </c>
      <c r="AD1656" s="271" t="str">
        <f>INDEX('Global inputs'!$C$134:$C$171,MATCH(F1656,'Global inputs'!$B$134:$B$171,0))</f>
        <v>Asset relocations and undergrounding</v>
      </c>
      <c r="AE1656" s="272">
        <f>IF(OR(H1656='Operating leases'!$B$32,H1656='Operating leases'!$B$33),"",INDEX('Global inputs'!$C$186:$C$243,MATCH(E1656,'Global inputs'!$B$186:$B$243,0)))</f>
        <v>0.1</v>
      </c>
    </row>
    <row r="1657" spans="1:31" s="27" customFormat="1" x14ac:dyDescent="0.2">
      <c r="A1657" s="250"/>
      <c r="B1657" s="210" t="s">
        <v>714</v>
      </c>
      <c r="C1657" s="210" t="s">
        <v>287</v>
      </c>
      <c r="D1657" s="210" t="s">
        <v>715</v>
      </c>
      <c r="E1657" s="210" t="s">
        <v>154</v>
      </c>
      <c r="F1657" s="210" t="s">
        <v>92</v>
      </c>
      <c r="G1657" s="210" t="s">
        <v>716</v>
      </c>
      <c r="H1657" s="197">
        <v>0</v>
      </c>
      <c r="I1657" s="210" t="s">
        <v>221</v>
      </c>
      <c r="J1657" s="210">
        <v>2026</v>
      </c>
      <c r="K1657" s="210">
        <v>2026</v>
      </c>
      <c r="L1657" s="268" t="str">
        <f t="shared" si="335"/>
        <v>Simple</v>
      </c>
      <c r="M1657" s="197">
        <v>1127.6499999999999</v>
      </c>
      <c r="N1657" s="197">
        <v>1691.4749999999997</v>
      </c>
      <c r="O1657" s="257">
        <f>IF(ISNA(MATCH(H1657,'Operating leases'!$B$32:$B$43,0)),0,INDEX('Operating leases'!$M$32:$S$43,MATCH(H1657,'Operating leases'!$B$32:$B$43,0),MATCH(J1657,'Operating leases'!$M$11:$S$11,0)))</f>
        <v>0</v>
      </c>
      <c r="P1657" s="257">
        <f t="shared" si="336"/>
        <v>1127.6499999999999</v>
      </c>
      <c r="Q1657" s="257">
        <f t="shared" si="337"/>
        <v>2819.1249999999995</v>
      </c>
      <c r="R1657" s="258">
        <f>INDEX('Escalators '!$M$124:$S$129,MATCH(I1657,'Escalators '!$B$124:$B$129,0),MATCH(J1657,'Escalators '!$M$113:$S$113,0))</f>
        <v>1.1088998660799403</v>
      </c>
      <c r="S1657" s="257">
        <f t="shared" si="338"/>
        <v>0</v>
      </c>
      <c r="T1657" s="257">
        <f t="shared" si="339"/>
        <v>1875.6764009775666</v>
      </c>
      <c r="U1657" s="269">
        <f t="shared" si="340"/>
        <v>1250.4509339850447</v>
      </c>
      <c r="V1657" s="269">
        <f t="shared" si="341"/>
        <v>3126.1273349626113</v>
      </c>
      <c r="W1657" s="269">
        <f t="shared" si="342"/>
        <v>1250.4509339850447</v>
      </c>
      <c r="X1657" s="257">
        <f t="shared" si="343"/>
        <v>3126.1273349626113</v>
      </c>
      <c r="Y1657" s="270">
        <f>IF(L1657="Complex",(INDEX('Escalators '!$M$176:$S$176,MATCH('Forecast capex'!J1657,'Escalators '!$M$178:$S$178,0))/12+1)^((K1657-J1657)*12)-1,0)</f>
        <v>0</v>
      </c>
      <c r="Z1657" s="257">
        <f t="shared" si="344"/>
        <v>0</v>
      </c>
      <c r="AA1657" s="257">
        <f t="shared" si="345"/>
        <v>0</v>
      </c>
      <c r="AB1657" s="269">
        <f t="shared" si="346"/>
        <v>0</v>
      </c>
      <c r="AC1657" s="269">
        <f t="shared" si="347"/>
        <v>0</v>
      </c>
      <c r="AD1657" s="271" t="str">
        <f>INDEX('Global inputs'!$C$134:$C$171,MATCH(F1657,'Global inputs'!$B$134:$B$171,0))</f>
        <v>Asset relocations and undergrounding</v>
      </c>
      <c r="AE1657" s="272">
        <f>IF(OR(H1657='Operating leases'!$B$32,H1657='Operating leases'!$B$33),"",INDEX('Global inputs'!$C$186:$C$243,MATCH(E1657,'Global inputs'!$B$186:$B$243,0)))</f>
        <v>0.1</v>
      </c>
    </row>
    <row r="1658" spans="1:31" s="27" customFormat="1" x14ac:dyDescent="0.2">
      <c r="A1658" s="250"/>
      <c r="B1658" s="210" t="s">
        <v>714</v>
      </c>
      <c r="C1658" s="210" t="s">
        <v>284</v>
      </c>
      <c r="D1658" s="210" t="s">
        <v>715</v>
      </c>
      <c r="E1658" s="210" t="s">
        <v>127</v>
      </c>
      <c r="F1658" s="210" t="s">
        <v>92</v>
      </c>
      <c r="G1658" s="210" t="s">
        <v>717</v>
      </c>
      <c r="H1658" s="197">
        <v>0</v>
      </c>
      <c r="I1658" s="210" t="s">
        <v>229</v>
      </c>
      <c r="J1658" s="210">
        <v>2026</v>
      </c>
      <c r="K1658" s="210">
        <v>2026</v>
      </c>
      <c r="L1658" s="268" t="str">
        <f t="shared" si="335"/>
        <v>Simple</v>
      </c>
      <c r="M1658" s="197">
        <v>1691.4749999999999</v>
      </c>
      <c r="N1658" s="197">
        <v>2537.2124999999996</v>
      </c>
      <c r="O1658" s="257">
        <f>IF(ISNA(MATCH(H1658,'Operating leases'!$B$32:$B$43,0)),0,INDEX('Operating leases'!$M$32:$S$43,MATCH(H1658,'Operating leases'!$B$32:$B$43,0),MATCH(J1658,'Operating leases'!$M$11:$S$11,0)))</f>
        <v>0</v>
      </c>
      <c r="P1658" s="257">
        <f t="shared" si="336"/>
        <v>1691.4749999999999</v>
      </c>
      <c r="Q1658" s="257">
        <f t="shared" si="337"/>
        <v>4228.6875</v>
      </c>
      <c r="R1658" s="258">
        <f>INDEX('Escalators '!$M$124:$S$129,MATCH(I1658,'Escalators '!$B$124:$B$129,0),MATCH(J1658,'Escalators '!$M$113:$S$113,0))</f>
        <v>1.1110424701464636</v>
      </c>
      <c r="S1658" s="257">
        <f t="shared" si="338"/>
        <v>0</v>
      </c>
      <c r="T1658" s="257">
        <f t="shared" si="339"/>
        <v>2818.9508432864841</v>
      </c>
      <c r="U1658" s="269">
        <f t="shared" si="340"/>
        <v>1879.3005621909897</v>
      </c>
      <c r="V1658" s="269">
        <f t="shared" si="341"/>
        <v>4698.2514054774738</v>
      </c>
      <c r="W1658" s="269">
        <f t="shared" si="342"/>
        <v>1879.3005621909897</v>
      </c>
      <c r="X1658" s="257">
        <f t="shared" si="343"/>
        <v>4698.2514054774738</v>
      </c>
      <c r="Y1658" s="270">
        <f>IF(L1658="Complex",(INDEX('Escalators '!$M$176:$S$176,MATCH('Forecast capex'!J1658,'Escalators '!$M$178:$S$178,0))/12+1)^((K1658-J1658)*12)-1,0)</f>
        <v>0</v>
      </c>
      <c r="Z1658" s="257">
        <f t="shared" si="344"/>
        <v>0</v>
      </c>
      <c r="AA1658" s="257">
        <f t="shared" si="345"/>
        <v>0</v>
      </c>
      <c r="AB1658" s="269">
        <f t="shared" si="346"/>
        <v>0</v>
      </c>
      <c r="AC1658" s="269">
        <f t="shared" si="347"/>
        <v>0</v>
      </c>
      <c r="AD1658" s="271" t="str">
        <f>INDEX('Global inputs'!$C$134:$C$171,MATCH(F1658,'Global inputs'!$B$134:$B$171,0))</f>
        <v>Asset relocations and undergrounding</v>
      </c>
      <c r="AE1658" s="272">
        <f>IF(OR(H1658='Operating leases'!$B$32,H1658='Operating leases'!$B$33),"",INDEX('Global inputs'!$C$186:$C$243,MATCH(E1658,'Global inputs'!$B$186:$B$243,0)))</f>
        <v>0.08</v>
      </c>
    </row>
    <row r="1659" spans="1:31" s="27" customFormat="1" x14ac:dyDescent="0.2">
      <c r="A1659" s="250"/>
      <c r="B1659" s="210" t="s">
        <v>714</v>
      </c>
      <c r="C1659" s="210" t="s">
        <v>284</v>
      </c>
      <c r="D1659" s="210" t="s">
        <v>715</v>
      </c>
      <c r="E1659" s="210" t="s">
        <v>127</v>
      </c>
      <c r="F1659" s="210" t="s">
        <v>92</v>
      </c>
      <c r="G1659" s="210" t="s">
        <v>717</v>
      </c>
      <c r="H1659" s="197">
        <v>0</v>
      </c>
      <c r="I1659" s="210" t="s">
        <v>221</v>
      </c>
      <c r="J1659" s="210">
        <v>2026</v>
      </c>
      <c r="K1659" s="210">
        <v>2026</v>
      </c>
      <c r="L1659" s="268" t="str">
        <f t="shared" si="335"/>
        <v>Simple</v>
      </c>
      <c r="M1659" s="197">
        <v>1691.4749999999999</v>
      </c>
      <c r="N1659" s="197">
        <v>2537.2124999999996</v>
      </c>
      <c r="O1659" s="257">
        <f>IF(ISNA(MATCH(H1659,'Operating leases'!$B$32:$B$43,0)),0,INDEX('Operating leases'!$M$32:$S$43,MATCH(H1659,'Operating leases'!$B$32:$B$43,0),MATCH(J1659,'Operating leases'!$M$11:$S$11,0)))</f>
        <v>0</v>
      </c>
      <c r="P1659" s="257">
        <f t="shared" si="336"/>
        <v>1691.4749999999999</v>
      </c>
      <c r="Q1659" s="257">
        <f t="shared" si="337"/>
        <v>4228.6875</v>
      </c>
      <c r="R1659" s="258">
        <f>INDEX('Escalators '!$M$124:$S$129,MATCH(I1659,'Escalators '!$B$124:$B$129,0),MATCH(J1659,'Escalators '!$M$113:$S$113,0))</f>
        <v>1.1088998660799403</v>
      </c>
      <c r="S1659" s="257">
        <f t="shared" si="338"/>
        <v>0</v>
      </c>
      <c r="T1659" s="257">
        <f t="shared" si="339"/>
        <v>2813.5146014663501</v>
      </c>
      <c r="U1659" s="269">
        <f t="shared" si="340"/>
        <v>1875.6764009775675</v>
      </c>
      <c r="V1659" s="269">
        <f t="shared" si="341"/>
        <v>4689.1910024439176</v>
      </c>
      <c r="W1659" s="269">
        <f t="shared" si="342"/>
        <v>1875.6764009775675</v>
      </c>
      <c r="X1659" s="257">
        <f t="shared" si="343"/>
        <v>4689.1910024439176</v>
      </c>
      <c r="Y1659" s="270">
        <f>IF(L1659="Complex",(INDEX('Escalators '!$M$176:$S$176,MATCH('Forecast capex'!J1659,'Escalators '!$M$178:$S$178,0))/12+1)^((K1659-J1659)*12)-1,0)</f>
        <v>0</v>
      </c>
      <c r="Z1659" s="257">
        <f t="shared" si="344"/>
        <v>0</v>
      </c>
      <c r="AA1659" s="257">
        <f t="shared" si="345"/>
        <v>0</v>
      </c>
      <c r="AB1659" s="269">
        <f t="shared" si="346"/>
        <v>0</v>
      </c>
      <c r="AC1659" s="269">
        <f t="shared" si="347"/>
        <v>0</v>
      </c>
      <c r="AD1659" s="271" t="str">
        <f>INDEX('Global inputs'!$C$134:$C$171,MATCH(F1659,'Global inputs'!$B$134:$B$171,0))</f>
        <v>Asset relocations and undergrounding</v>
      </c>
      <c r="AE1659" s="272">
        <f>IF(OR(H1659='Operating leases'!$B$32,H1659='Operating leases'!$B$33),"",INDEX('Global inputs'!$C$186:$C$243,MATCH(E1659,'Global inputs'!$B$186:$B$243,0)))</f>
        <v>0.08</v>
      </c>
    </row>
    <row r="1660" spans="1:31" s="27" customFormat="1" x14ac:dyDescent="0.2">
      <c r="A1660" s="250"/>
      <c r="B1660" s="210" t="s">
        <v>714</v>
      </c>
      <c r="C1660" s="210" t="s">
        <v>284</v>
      </c>
      <c r="D1660" s="210" t="s">
        <v>715</v>
      </c>
      <c r="E1660" s="210" t="s">
        <v>129</v>
      </c>
      <c r="F1660" s="210" t="s">
        <v>92</v>
      </c>
      <c r="G1660" s="210" t="s">
        <v>717</v>
      </c>
      <c r="H1660" s="197">
        <v>0</v>
      </c>
      <c r="I1660" s="210" t="s">
        <v>229</v>
      </c>
      <c r="J1660" s="210">
        <v>2026</v>
      </c>
      <c r="K1660" s="210">
        <v>2026</v>
      </c>
      <c r="L1660" s="268" t="str">
        <f t="shared" si="335"/>
        <v>Simple</v>
      </c>
      <c r="M1660" s="197">
        <v>1691.4749999999999</v>
      </c>
      <c r="N1660" s="197">
        <v>2537.2124999999996</v>
      </c>
      <c r="O1660" s="257">
        <f>IF(ISNA(MATCH(H1660,'Operating leases'!$B$32:$B$43,0)),0,INDEX('Operating leases'!$M$32:$S$43,MATCH(H1660,'Operating leases'!$B$32:$B$43,0),MATCH(J1660,'Operating leases'!$M$11:$S$11,0)))</f>
        <v>0</v>
      </c>
      <c r="P1660" s="257">
        <f t="shared" si="336"/>
        <v>1691.4749999999999</v>
      </c>
      <c r="Q1660" s="257">
        <f t="shared" si="337"/>
        <v>4228.6875</v>
      </c>
      <c r="R1660" s="258">
        <f>INDEX('Escalators '!$M$124:$S$129,MATCH(I1660,'Escalators '!$B$124:$B$129,0),MATCH(J1660,'Escalators '!$M$113:$S$113,0))</f>
        <v>1.1110424701464636</v>
      </c>
      <c r="S1660" s="257">
        <f t="shared" si="338"/>
        <v>0</v>
      </c>
      <c r="T1660" s="257">
        <f t="shared" si="339"/>
        <v>2818.9508432864841</v>
      </c>
      <c r="U1660" s="269">
        <f t="shared" si="340"/>
        <v>1879.3005621909897</v>
      </c>
      <c r="V1660" s="269">
        <f t="shared" si="341"/>
        <v>4698.2514054774738</v>
      </c>
      <c r="W1660" s="269">
        <f t="shared" si="342"/>
        <v>1879.3005621909897</v>
      </c>
      <c r="X1660" s="257">
        <f t="shared" si="343"/>
        <v>4698.2514054774738</v>
      </c>
      <c r="Y1660" s="270">
        <f>IF(L1660="Complex",(INDEX('Escalators '!$M$176:$S$176,MATCH('Forecast capex'!J1660,'Escalators '!$M$178:$S$178,0))/12+1)^((K1660-J1660)*12)-1,0)</f>
        <v>0</v>
      </c>
      <c r="Z1660" s="257">
        <f t="shared" si="344"/>
        <v>0</v>
      </c>
      <c r="AA1660" s="257">
        <f t="shared" si="345"/>
        <v>0</v>
      </c>
      <c r="AB1660" s="269">
        <f t="shared" si="346"/>
        <v>0</v>
      </c>
      <c r="AC1660" s="269">
        <f t="shared" si="347"/>
        <v>0</v>
      </c>
      <c r="AD1660" s="271" t="str">
        <f>INDEX('Global inputs'!$C$134:$C$171,MATCH(F1660,'Global inputs'!$B$134:$B$171,0))</f>
        <v>Asset relocations and undergrounding</v>
      </c>
      <c r="AE1660" s="272">
        <f>IF(OR(H1660='Operating leases'!$B$32,H1660='Operating leases'!$B$33),"",INDEX('Global inputs'!$C$186:$C$243,MATCH(E1660,'Global inputs'!$B$186:$B$243,0)))</f>
        <v>0.1</v>
      </c>
    </row>
    <row r="1661" spans="1:31" s="27" customFormat="1" x14ac:dyDescent="0.2">
      <c r="A1661" s="250"/>
      <c r="B1661" s="210" t="s">
        <v>714</v>
      </c>
      <c r="C1661" s="210" t="s">
        <v>284</v>
      </c>
      <c r="D1661" s="210" t="s">
        <v>715</v>
      </c>
      <c r="E1661" s="210" t="s">
        <v>129</v>
      </c>
      <c r="F1661" s="210" t="s">
        <v>92</v>
      </c>
      <c r="G1661" s="210" t="s">
        <v>717</v>
      </c>
      <c r="H1661" s="197">
        <v>0</v>
      </c>
      <c r="I1661" s="210" t="s">
        <v>221</v>
      </c>
      <c r="J1661" s="210">
        <v>2026</v>
      </c>
      <c r="K1661" s="210">
        <v>2026</v>
      </c>
      <c r="L1661" s="268" t="str">
        <f t="shared" si="335"/>
        <v>Simple</v>
      </c>
      <c r="M1661" s="197">
        <v>1691.4749999999999</v>
      </c>
      <c r="N1661" s="197">
        <v>2537.2124999999996</v>
      </c>
      <c r="O1661" s="257">
        <f>IF(ISNA(MATCH(H1661,'Operating leases'!$B$32:$B$43,0)),0,INDEX('Operating leases'!$M$32:$S$43,MATCH(H1661,'Operating leases'!$B$32:$B$43,0),MATCH(J1661,'Operating leases'!$M$11:$S$11,0)))</f>
        <v>0</v>
      </c>
      <c r="P1661" s="257">
        <f t="shared" si="336"/>
        <v>1691.4749999999999</v>
      </c>
      <c r="Q1661" s="257">
        <f t="shared" si="337"/>
        <v>4228.6875</v>
      </c>
      <c r="R1661" s="258">
        <f>INDEX('Escalators '!$M$124:$S$129,MATCH(I1661,'Escalators '!$B$124:$B$129,0),MATCH(J1661,'Escalators '!$M$113:$S$113,0))</f>
        <v>1.1088998660799403</v>
      </c>
      <c r="S1661" s="257">
        <f t="shared" si="338"/>
        <v>0</v>
      </c>
      <c r="T1661" s="257">
        <f t="shared" si="339"/>
        <v>2813.5146014663501</v>
      </c>
      <c r="U1661" s="269">
        <f t="shared" si="340"/>
        <v>1875.6764009775675</v>
      </c>
      <c r="V1661" s="269">
        <f t="shared" si="341"/>
        <v>4689.1910024439176</v>
      </c>
      <c r="W1661" s="269">
        <f t="shared" si="342"/>
        <v>1875.6764009775675</v>
      </c>
      <c r="X1661" s="257">
        <f t="shared" si="343"/>
        <v>4689.1910024439176</v>
      </c>
      <c r="Y1661" s="270">
        <f>IF(L1661="Complex",(INDEX('Escalators '!$M$176:$S$176,MATCH('Forecast capex'!J1661,'Escalators '!$M$178:$S$178,0))/12+1)^((K1661-J1661)*12)-1,0)</f>
        <v>0</v>
      </c>
      <c r="Z1661" s="257">
        <f t="shared" si="344"/>
        <v>0</v>
      </c>
      <c r="AA1661" s="257">
        <f t="shared" si="345"/>
        <v>0</v>
      </c>
      <c r="AB1661" s="269">
        <f t="shared" si="346"/>
        <v>0</v>
      </c>
      <c r="AC1661" s="269">
        <f t="shared" si="347"/>
        <v>0</v>
      </c>
      <c r="AD1661" s="271" t="str">
        <f>INDEX('Global inputs'!$C$134:$C$171,MATCH(F1661,'Global inputs'!$B$134:$B$171,0))</f>
        <v>Asset relocations and undergrounding</v>
      </c>
      <c r="AE1661" s="272">
        <f>IF(OR(H1661='Operating leases'!$B$32,H1661='Operating leases'!$B$33),"",INDEX('Global inputs'!$C$186:$C$243,MATCH(E1661,'Global inputs'!$B$186:$B$243,0)))</f>
        <v>0.1</v>
      </c>
    </row>
    <row r="1662" spans="1:31" s="27" customFormat="1" x14ac:dyDescent="0.2">
      <c r="A1662" s="250"/>
      <c r="B1662" s="210" t="s">
        <v>714</v>
      </c>
      <c r="C1662" s="210" t="s">
        <v>287</v>
      </c>
      <c r="D1662" s="210" t="s">
        <v>715</v>
      </c>
      <c r="E1662" s="210" t="s">
        <v>150</v>
      </c>
      <c r="F1662" s="210" t="s">
        <v>92</v>
      </c>
      <c r="G1662" s="210" t="s">
        <v>717</v>
      </c>
      <c r="H1662" s="197">
        <v>0</v>
      </c>
      <c r="I1662" s="210" t="s">
        <v>229</v>
      </c>
      <c r="J1662" s="210">
        <v>2026</v>
      </c>
      <c r="K1662" s="210">
        <v>2026</v>
      </c>
      <c r="L1662" s="268" t="str">
        <f t="shared" si="335"/>
        <v>Simple</v>
      </c>
      <c r="M1662" s="197">
        <v>11277.449999999999</v>
      </c>
      <c r="N1662" s="197">
        <v>16916.174999999996</v>
      </c>
      <c r="O1662" s="257">
        <f>IF(ISNA(MATCH(H1662,'Operating leases'!$B$32:$B$43,0)),0,INDEX('Operating leases'!$M$32:$S$43,MATCH(H1662,'Operating leases'!$B$32:$B$43,0),MATCH(J1662,'Operating leases'!$M$11:$S$11,0)))</f>
        <v>0</v>
      </c>
      <c r="P1662" s="257">
        <f t="shared" si="336"/>
        <v>11277.449999999999</v>
      </c>
      <c r="Q1662" s="257">
        <f t="shared" si="337"/>
        <v>28193.624999999993</v>
      </c>
      <c r="R1662" s="258">
        <f>INDEX('Escalators '!$M$124:$S$129,MATCH(I1662,'Escalators '!$B$124:$B$129,0),MATCH(J1662,'Escalators '!$M$113:$S$113,0))</f>
        <v>1.1110424701464636</v>
      </c>
      <c r="S1662" s="257">
        <f t="shared" si="338"/>
        <v>0</v>
      </c>
      <c r="T1662" s="257">
        <f t="shared" si="339"/>
        <v>18794.588857429848</v>
      </c>
      <c r="U1662" s="269">
        <f t="shared" si="340"/>
        <v>12529.725904953233</v>
      </c>
      <c r="V1662" s="269">
        <f t="shared" si="341"/>
        <v>31324.314762383081</v>
      </c>
      <c r="W1662" s="269">
        <f t="shared" si="342"/>
        <v>12529.725904953233</v>
      </c>
      <c r="X1662" s="257">
        <f t="shared" si="343"/>
        <v>31324.314762383081</v>
      </c>
      <c r="Y1662" s="270">
        <f>IF(L1662="Complex",(INDEX('Escalators '!$M$176:$S$176,MATCH('Forecast capex'!J1662,'Escalators '!$M$178:$S$178,0))/12+1)^((K1662-J1662)*12)-1,0)</f>
        <v>0</v>
      </c>
      <c r="Z1662" s="257">
        <f t="shared" si="344"/>
        <v>0</v>
      </c>
      <c r="AA1662" s="257">
        <f t="shared" si="345"/>
        <v>0</v>
      </c>
      <c r="AB1662" s="269">
        <f t="shared" si="346"/>
        <v>0</v>
      </c>
      <c r="AC1662" s="269">
        <f t="shared" si="347"/>
        <v>0</v>
      </c>
      <c r="AD1662" s="271" t="str">
        <f>INDEX('Global inputs'!$C$134:$C$171,MATCH(F1662,'Global inputs'!$B$134:$B$171,0))</f>
        <v>Asset relocations and undergrounding</v>
      </c>
      <c r="AE1662" s="272">
        <f>IF(OR(H1662='Operating leases'!$B$32,H1662='Operating leases'!$B$33),"",INDEX('Global inputs'!$C$186:$C$243,MATCH(E1662,'Global inputs'!$B$186:$B$243,0)))</f>
        <v>0.08</v>
      </c>
    </row>
    <row r="1663" spans="1:31" s="27" customFormat="1" x14ac:dyDescent="0.2">
      <c r="A1663" s="250"/>
      <c r="B1663" s="210" t="s">
        <v>714</v>
      </c>
      <c r="C1663" s="210" t="s">
        <v>287</v>
      </c>
      <c r="D1663" s="210" t="s">
        <v>715</v>
      </c>
      <c r="E1663" s="210" t="s">
        <v>150</v>
      </c>
      <c r="F1663" s="210" t="s">
        <v>92</v>
      </c>
      <c r="G1663" s="210" t="s">
        <v>717</v>
      </c>
      <c r="H1663" s="197">
        <v>0</v>
      </c>
      <c r="I1663" s="210" t="s">
        <v>221</v>
      </c>
      <c r="J1663" s="210">
        <v>2026</v>
      </c>
      <c r="K1663" s="210">
        <v>2026</v>
      </c>
      <c r="L1663" s="268" t="str">
        <f t="shared" si="335"/>
        <v>Simple</v>
      </c>
      <c r="M1663" s="197">
        <v>11277.449999999999</v>
      </c>
      <c r="N1663" s="197">
        <v>16916.174999999996</v>
      </c>
      <c r="O1663" s="257">
        <f>IF(ISNA(MATCH(H1663,'Operating leases'!$B$32:$B$43,0)),0,INDEX('Operating leases'!$M$32:$S$43,MATCH(H1663,'Operating leases'!$B$32:$B$43,0),MATCH(J1663,'Operating leases'!$M$11:$S$11,0)))</f>
        <v>0</v>
      </c>
      <c r="P1663" s="257">
        <f t="shared" si="336"/>
        <v>11277.449999999999</v>
      </c>
      <c r="Q1663" s="257">
        <f t="shared" si="337"/>
        <v>28193.624999999993</v>
      </c>
      <c r="R1663" s="258">
        <f>INDEX('Escalators '!$M$124:$S$129,MATCH(I1663,'Escalators '!$B$124:$B$129,0),MATCH(J1663,'Escalators '!$M$113:$S$113,0))</f>
        <v>1.1088998660799403</v>
      </c>
      <c r="S1663" s="257">
        <f t="shared" si="338"/>
        <v>0</v>
      </c>
      <c r="T1663" s="257">
        <f t="shared" si="339"/>
        <v>18758.344192084831</v>
      </c>
      <c r="U1663" s="269">
        <f t="shared" si="340"/>
        <v>12505.562794723217</v>
      </c>
      <c r="V1663" s="269">
        <f t="shared" si="341"/>
        <v>31263.906986808048</v>
      </c>
      <c r="W1663" s="269">
        <f t="shared" si="342"/>
        <v>12505.562794723217</v>
      </c>
      <c r="X1663" s="257">
        <f t="shared" si="343"/>
        <v>31263.906986808048</v>
      </c>
      <c r="Y1663" s="270">
        <f>IF(L1663="Complex",(INDEX('Escalators '!$M$176:$S$176,MATCH('Forecast capex'!J1663,'Escalators '!$M$178:$S$178,0))/12+1)^((K1663-J1663)*12)-1,0)</f>
        <v>0</v>
      </c>
      <c r="Z1663" s="257">
        <f t="shared" si="344"/>
        <v>0</v>
      </c>
      <c r="AA1663" s="257">
        <f t="shared" si="345"/>
        <v>0</v>
      </c>
      <c r="AB1663" s="269">
        <f t="shared" si="346"/>
        <v>0</v>
      </c>
      <c r="AC1663" s="269">
        <f t="shared" si="347"/>
        <v>0</v>
      </c>
      <c r="AD1663" s="271" t="str">
        <f>INDEX('Global inputs'!$C$134:$C$171,MATCH(F1663,'Global inputs'!$B$134:$B$171,0))</f>
        <v>Asset relocations and undergrounding</v>
      </c>
      <c r="AE1663" s="272">
        <f>IF(OR(H1663='Operating leases'!$B$32,H1663='Operating leases'!$B$33),"",INDEX('Global inputs'!$C$186:$C$243,MATCH(E1663,'Global inputs'!$B$186:$B$243,0)))</f>
        <v>0.08</v>
      </c>
    </row>
    <row r="1664" spans="1:31" s="27" customFormat="1" x14ac:dyDescent="0.2">
      <c r="A1664" s="250"/>
      <c r="B1664" s="210" t="s">
        <v>714</v>
      </c>
      <c r="C1664" s="210" t="s">
        <v>287</v>
      </c>
      <c r="D1664" s="210" t="s">
        <v>715</v>
      </c>
      <c r="E1664" s="210" t="s">
        <v>151</v>
      </c>
      <c r="F1664" s="210" t="s">
        <v>92</v>
      </c>
      <c r="G1664" s="210" t="s">
        <v>717</v>
      </c>
      <c r="H1664" s="197">
        <v>0</v>
      </c>
      <c r="I1664" s="210" t="s">
        <v>229</v>
      </c>
      <c r="J1664" s="210">
        <v>2026</v>
      </c>
      <c r="K1664" s="210">
        <v>2026</v>
      </c>
      <c r="L1664" s="268" t="str">
        <f t="shared" si="335"/>
        <v>Simple</v>
      </c>
      <c r="M1664" s="197">
        <v>11277.449999999999</v>
      </c>
      <c r="N1664" s="197">
        <v>16916.174999999996</v>
      </c>
      <c r="O1664" s="257">
        <f>IF(ISNA(MATCH(H1664,'Operating leases'!$B$32:$B$43,0)),0,INDEX('Operating leases'!$M$32:$S$43,MATCH(H1664,'Operating leases'!$B$32:$B$43,0),MATCH(J1664,'Operating leases'!$M$11:$S$11,0)))</f>
        <v>0</v>
      </c>
      <c r="P1664" s="257">
        <f t="shared" si="336"/>
        <v>11277.449999999999</v>
      </c>
      <c r="Q1664" s="257">
        <f t="shared" si="337"/>
        <v>28193.624999999993</v>
      </c>
      <c r="R1664" s="258">
        <f>INDEX('Escalators '!$M$124:$S$129,MATCH(I1664,'Escalators '!$B$124:$B$129,0),MATCH(J1664,'Escalators '!$M$113:$S$113,0))</f>
        <v>1.1110424701464636</v>
      </c>
      <c r="S1664" s="257">
        <f t="shared" si="338"/>
        <v>0</v>
      </c>
      <c r="T1664" s="257">
        <f t="shared" si="339"/>
        <v>18794.588857429848</v>
      </c>
      <c r="U1664" s="269">
        <f t="shared" si="340"/>
        <v>12529.725904953233</v>
      </c>
      <c r="V1664" s="269">
        <f t="shared" si="341"/>
        <v>31324.314762383081</v>
      </c>
      <c r="W1664" s="269">
        <f t="shared" si="342"/>
        <v>12529.725904953233</v>
      </c>
      <c r="X1664" s="257">
        <f t="shared" si="343"/>
        <v>31324.314762383081</v>
      </c>
      <c r="Y1664" s="270">
        <f>IF(L1664="Complex",(INDEX('Escalators '!$M$176:$S$176,MATCH('Forecast capex'!J1664,'Escalators '!$M$178:$S$178,0))/12+1)^((K1664-J1664)*12)-1,0)</f>
        <v>0</v>
      </c>
      <c r="Z1664" s="257">
        <f t="shared" si="344"/>
        <v>0</v>
      </c>
      <c r="AA1664" s="257">
        <f t="shared" si="345"/>
        <v>0</v>
      </c>
      <c r="AB1664" s="269">
        <f t="shared" si="346"/>
        <v>0</v>
      </c>
      <c r="AC1664" s="269">
        <f t="shared" si="347"/>
        <v>0</v>
      </c>
      <c r="AD1664" s="271" t="str">
        <f>INDEX('Global inputs'!$C$134:$C$171,MATCH(F1664,'Global inputs'!$B$134:$B$171,0))</f>
        <v>Asset relocations and undergrounding</v>
      </c>
      <c r="AE1664" s="272">
        <f>IF(OR(H1664='Operating leases'!$B$32,H1664='Operating leases'!$B$33),"",INDEX('Global inputs'!$C$186:$C$243,MATCH(E1664,'Global inputs'!$B$186:$B$243,0)))</f>
        <v>0.1</v>
      </c>
    </row>
    <row r="1665" spans="1:31" s="27" customFormat="1" x14ac:dyDescent="0.2">
      <c r="A1665" s="250"/>
      <c r="B1665" s="210" t="s">
        <v>714</v>
      </c>
      <c r="C1665" s="210" t="s">
        <v>287</v>
      </c>
      <c r="D1665" s="210" t="s">
        <v>715</v>
      </c>
      <c r="E1665" s="210" t="s">
        <v>151</v>
      </c>
      <c r="F1665" s="210" t="s">
        <v>92</v>
      </c>
      <c r="G1665" s="210" t="s">
        <v>717</v>
      </c>
      <c r="H1665" s="197">
        <v>0</v>
      </c>
      <c r="I1665" s="210" t="s">
        <v>221</v>
      </c>
      <c r="J1665" s="210">
        <v>2026</v>
      </c>
      <c r="K1665" s="210">
        <v>2026</v>
      </c>
      <c r="L1665" s="268" t="str">
        <f t="shared" si="335"/>
        <v>Simple</v>
      </c>
      <c r="M1665" s="197">
        <v>11277.449999999999</v>
      </c>
      <c r="N1665" s="197">
        <v>16916.174999999996</v>
      </c>
      <c r="O1665" s="257">
        <f>IF(ISNA(MATCH(H1665,'Operating leases'!$B$32:$B$43,0)),0,INDEX('Operating leases'!$M$32:$S$43,MATCH(H1665,'Operating leases'!$B$32:$B$43,0),MATCH(J1665,'Operating leases'!$M$11:$S$11,0)))</f>
        <v>0</v>
      </c>
      <c r="P1665" s="257">
        <f t="shared" si="336"/>
        <v>11277.449999999999</v>
      </c>
      <c r="Q1665" s="257">
        <f t="shared" si="337"/>
        <v>28193.624999999993</v>
      </c>
      <c r="R1665" s="258">
        <f>INDEX('Escalators '!$M$124:$S$129,MATCH(I1665,'Escalators '!$B$124:$B$129,0),MATCH(J1665,'Escalators '!$M$113:$S$113,0))</f>
        <v>1.1088998660799403</v>
      </c>
      <c r="S1665" s="257">
        <f t="shared" si="338"/>
        <v>0</v>
      </c>
      <c r="T1665" s="257">
        <f t="shared" si="339"/>
        <v>18758.344192084831</v>
      </c>
      <c r="U1665" s="269">
        <f t="shared" si="340"/>
        <v>12505.562794723217</v>
      </c>
      <c r="V1665" s="269">
        <f t="shared" si="341"/>
        <v>31263.906986808048</v>
      </c>
      <c r="W1665" s="269">
        <f t="shared" si="342"/>
        <v>12505.562794723217</v>
      </c>
      <c r="X1665" s="257">
        <f t="shared" si="343"/>
        <v>31263.906986808048</v>
      </c>
      <c r="Y1665" s="270">
        <f>IF(L1665="Complex",(INDEX('Escalators '!$M$176:$S$176,MATCH('Forecast capex'!J1665,'Escalators '!$M$178:$S$178,0))/12+1)^((K1665-J1665)*12)-1,0)</f>
        <v>0</v>
      </c>
      <c r="Z1665" s="257">
        <f t="shared" si="344"/>
        <v>0</v>
      </c>
      <c r="AA1665" s="257">
        <f t="shared" si="345"/>
        <v>0</v>
      </c>
      <c r="AB1665" s="269">
        <f t="shared" si="346"/>
        <v>0</v>
      </c>
      <c r="AC1665" s="269">
        <f t="shared" si="347"/>
        <v>0</v>
      </c>
      <c r="AD1665" s="271" t="str">
        <f>INDEX('Global inputs'!$C$134:$C$171,MATCH(F1665,'Global inputs'!$B$134:$B$171,0))</f>
        <v>Asset relocations and undergrounding</v>
      </c>
      <c r="AE1665" s="272">
        <f>IF(OR(H1665='Operating leases'!$B$32,H1665='Operating leases'!$B$33),"",INDEX('Global inputs'!$C$186:$C$243,MATCH(E1665,'Global inputs'!$B$186:$B$243,0)))</f>
        <v>0.1</v>
      </c>
    </row>
    <row r="1666" spans="1:31" s="27" customFormat="1" x14ac:dyDescent="0.2">
      <c r="A1666" s="250"/>
      <c r="B1666" s="210" t="s">
        <v>714</v>
      </c>
      <c r="C1666" s="210" t="s">
        <v>287</v>
      </c>
      <c r="D1666" s="210" t="s">
        <v>715</v>
      </c>
      <c r="E1666" s="210" t="s">
        <v>153</v>
      </c>
      <c r="F1666" s="210" t="s">
        <v>92</v>
      </c>
      <c r="G1666" s="210" t="s">
        <v>717</v>
      </c>
      <c r="H1666" s="197">
        <v>0</v>
      </c>
      <c r="I1666" s="210" t="s">
        <v>229</v>
      </c>
      <c r="J1666" s="210">
        <v>2026</v>
      </c>
      <c r="K1666" s="210">
        <v>2026</v>
      </c>
      <c r="L1666" s="268" t="str">
        <f t="shared" si="335"/>
        <v>Simple</v>
      </c>
      <c r="M1666" s="197">
        <v>4511.0749999999998</v>
      </c>
      <c r="N1666" s="197">
        <v>6766.6124999999993</v>
      </c>
      <c r="O1666" s="257">
        <f>IF(ISNA(MATCH(H1666,'Operating leases'!$B$32:$B$43,0)),0,INDEX('Operating leases'!$M$32:$S$43,MATCH(H1666,'Operating leases'!$B$32:$B$43,0),MATCH(J1666,'Operating leases'!$M$11:$S$11,0)))</f>
        <v>0</v>
      </c>
      <c r="P1666" s="257">
        <f t="shared" si="336"/>
        <v>4511.0749999999998</v>
      </c>
      <c r="Q1666" s="257">
        <f t="shared" si="337"/>
        <v>11277.6875</v>
      </c>
      <c r="R1666" s="258">
        <f>INDEX('Escalators '!$M$124:$S$129,MATCH(I1666,'Escalators '!$B$124:$B$129,0),MATCH(J1666,'Escalators '!$M$113:$S$113,0))</f>
        <v>1.1110424701464636</v>
      </c>
      <c r="S1666" s="257">
        <f t="shared" si="338"/>
        <v>0</v>
      </c>
      <c r="T1666" s="257">
        <f t="shared" si="339"/>
        <v>7517.993866523937</v>
      </c>
      <c r="U1666" s="269">
        <f t="shared" si="340"/>
        <v>5011.9959110159598</v>
      </c>
      <c r="V1666" s="269">
        <f t="shared" si="341"/>
        <v>12529.989777539897</v>
      </c>
      <c r="W1666" s="269">
        <f t="shared" si="342"/>
        <v>5011.9959110159598</v>
      </c>
      <c r="X1666" s="257">
        <f t="shared" si="343"/>
        <v>12529.989777539897</v>
      </c>
      <c r="Y1666" s="270">
        <f>IF(L1666="Complex",(INDEX('Escalators '!$M$176:$S$176,MATCH('Forecast capex'!J1666,'Escalators '!$M$178:$S$178,0))/12+1)^((K1666-J1666)*12)-1,0)</f>
        <v>0</v>
      </c>
      <c r="Z1666" s="257">
        <f t="shared" si="344"/>
        <v>0</v>
      </c>
      <c r="AA1666" s="257">
        <f t="shared" si="345"/>
        <v>0</v>
      </c>
      <c r="AB1666" s="269">
        <f t="shared" si="346"/>
        <v>0</v>
      </c>
      <c r="AC1666" s="269">
        <f t="shared" si="347"/>
        <v>0</v>
      </c>
      <c r="AD1666" s="271" t="str">
        <f>INDEX('Global inputs'!$C$134:$C$171,MATCH(F1666,'Global inputs'!$B$134:$B$171,0))</f>
        <v>Asset relocations and undergrounding</v>
      </c>
      <c r="AE1666" s="272">
        <f>IF(OR(H1666='Operating leases'!$B$32,H1666='Operating leases'!$B$33),"",INDEX('Global inputs'!$C$186:$C$243,MATCH(E1666,'Global inputs'!$B$186:$B$243,0)))</f>
        <v>0.08</v>
      </c>
    </row>
    <row r="1667" spans="1:31" s="27" customFormat="1" x14ac:dyDescent="0.2">
      <c r="A1667" s="250"/>
      <c r="B1667" s="210" t="s">
        <v>714</v>
      </c>
      <c r="C1667" s="210" t="s">
        <v>287</v>
      </c>
      <c r="D1667" s="210" t="s">
        <v>715</v>
      </c>
      <c r="E1667" s="210" t="s">
        <v>153</v>
      </c>
      <c r="F1667" s="210" t="s">
        <v>92</v>
      </c>
      <c r="G1667" s="210" t="s">
        <v>717</v>
      </c>
      <c r="H1667" s="197">
        <v>0</v>
      </c>
      <c r="I1667" s="210" t="s">
        <v>221</v>
      </c>
      <c r="J1667" s="210">
        <v>2026</v>
      </c>
      <c r="K1667" s="210">
        <v>2026</v>
      </c>
      <c r="L1667" s="268" t="str">
        <f t="shared" si="335"/>
        <v>Simple</v>
      </c>
      <c r="M1667" s="197">
        <v>4511.0749999999998</v>
      </c>
      <c r="N1667" s="197">
        <v>6766.6124999999993</v>
      </c>
      <c r="O1667" s="257">
        <f>IF(ISNA(MATCH(H1667,'Operating leases'!$B$32:$B$43,0)),0,INDEX('Operating leases'!$M$32:$S$43,MATCH(H1667,'Operating leases'!$B$32:$B$43,0),MATCH(J1667,'Operating leases'!$M$11:$S$11,0)))</f>
        <v>0</v>
      </c>
      <c r="P1667" s="257">
        <f t="shared" si="336"/>
        <v>4511.0749999999998</v>
      </c>
      <c r="Q1667" s="257">
        <f t="shared" si="337"/>
        <v>11277.6875</v>
      </c>
      <c r="R1667" s="258">
        <f>INDEX('Escalators '!$M$124:$S$129,MATCH(I1667,'Escalators '!$B$124:$B$129,0),MATCH(J1667,'Escalators '!$M$113:$S$113,0))</f>
        <v>1.1088998660799403</v>
      </c>
      <c r="S1667" s="257">
        <f t="shared" si="338"/>
        <v>0</v>
      </c>
      <c r="T1667" s="257">
        <f t="shared" si="339"/>
        <v>7503.4956950648493</v>
      </c>
      <c r="U1667" s="269">
        <f t="shared" si="340"/>
        <v>5002.3304633765665</v>
      </c>
      <c r="V1667" s="269">
        <f t="shared" si="341"/>
        <v>12505.826158441416</v>
      </c>
      <c r="W1667" s="269">
        <f t="shared" si="342"/>
        <v>5002.3304633765665</v>
      </c>
      <c r="X1667" s="257">
        <f t="shared" si="343"/>
        <v>12505.826158441416</v>
      </c>
      <c r="Y1667" s="270">
        <f>IF(L1667="Complex",(INDEX('Escalators '!$M$176:$S$176,MATCH('Forecast capex'!J1667,'Escalators '!$M$178:$S$178,0))/12+1)^((K1667-J1667)*12)-1,0)</f>
        <v>0</v>
      </c>
      <c r="Z1667" s="257">
        <f t="shared" si="344"/>
        <v>0</v>
      </c>
      <c r="AA1667" s="257">
        <f t="shared" si="345"/>
        <v>0</v>
      </c>
      <c r="AB1667" s="269">
        <f t="shared" si="346"/>
        <v>0</v>
      </c>
      <c r="AC1667" s="269">
        <f t="shared" si="347"/>
        <v>0</v>
      </c>
      <c r="AD1667" s="271" t="str">
        <f>INDEX('Global inputs'!$C$134:$C$171,MATCH(F1667,'Global inputs'!$B$134:$B$171,0))</f>
        <v>Asset relocations and undergrounding</v>
      </c>
      <c r="AE1667" s="272">
        <f>IF(OR(H1667='Operating leases'!$B$32,H1667='Operating leases'!$B$33),"",INDEX('Global inputs'!$C$186:$C$243,MATCH(E1667,'Global inputs'!$B$186:$B$243,0)))</f>
        <v>0.08</v>
      </c>
    </row>
    <row r="1668" spans="1:31" s="27" customFormat="1" x14ac:dyDescent="0.2">
      <c r="A1668" s="250"/>
      <c r="B1668" s="210" t="s">
        <v>714</v>
      </c>
      <c r="C1668" s="210" t="s">
        <v>287</v>
      </c>
      <c r="D1668" s="210" t="s">
        <v>715</v>
      </c>
      <c r="E1668" s="210" t="s">
        <v>154</v>
      </c>
      <c r="F1668" s="210" t="s">
        <v>92</v>
      </c>
      <c r="G1668" s="210" t="s">
        <v>717</v>
      </c>
      <c r="H1668" s="197">
        <v>0</v>
      </c>
      <c r="I1668" s="210" t="s">
        <v>229</v>
      </c>
      <c r="J1668" s="210">
        <v>2026</v>
      </c>
      <c r="K1668" s="210">
        <v>2026</v>
      </c>
      <c r="L1668" s="268" t="str">
        <f t="shared" si="335"/>
        <v>Simple</v>
      </c>
      <c r="M1668" s="197">
        <v>4511.0749999999998</v>
      </c>
      <c r="N1668" s="197">
        <v>6766.6124999999993</v>
      </c>
      <c r="O1668" s="257">
        <f>IF(ISNA(MATCH(H1668,'Operating leases'!$B$32:$B$43,0)),0,INDEX('Operating leases'!$M$32:$S$43,MATCH(H1668,'Operating leases'!$B$32:$B$43,0),MATCH(J1668,'Operating leases'!$M$11:$S$11,0)))</f>
        <v>0</v>
      </c>
      <c r="P1668" s="257">
        <f t="shared" si="336"/>
        <v>4511.0749999999998</v>
      </c>
      <c r="Q1668" s="257">
        <f t="shared" si="337"/>
        <v>11277.6875</v>
      </c>
      <c r="R1668" s="258">
        <f>INDEX('Escalators '!$M$124:$S$129,MATCH(I1668,'Escalators '!$B$124:$B$129,0),MATCH(J1668,'Escalators '!$M$113:$S$113,0))</f>
        <v>1.1110424701464636</v>
      </c>
      <c r="S1668" s="257">
        <f t="shared" si="338"/>
        <v>0</v>
      </c>
      <c r="T1668" s="257">
        <f t="shared" si="339"/>
        <v>7517.993866523937</v>
      </c>
      <c r="U1668" s="269">
        <f t="shared" si="340"/>
        <v>5011.9959110159598</v>
      </c>
      <c r="V1668" s="269">
        <f t="shared" si="341"/>
        <v>12529.989777539897</v>
      </c>
      <c r="W1668" s="269">
        <f t="shared" si="342"/>
        <v>5011.9959110159598</v>
      </c>
      <c r="X1668" s="257">
        <f t="shared" si="343"/>
        <v>12529.989777539897</v>
      </c>
      <c r="Y1668" s="270">
        <f>IF(L1668="Complex",(INDEX('Escalators '!$M$176:$S$176,MATCH('Forecast capex'!J1668,'Escalators '!$M$178:$S$178,0))/12+1)^((K1668-J1668)*12)-1,0)</f>
        <v>0</v>
      </c>
      <c r="Z1668" s="257">
        <f t="shared" si="344"/>
        <v>0</v>
      </c>
      <c r="AA1668" s="257">
        <f t="shared" si="345"/>
        <v>0</v>
      </c>
      <c r="AB1668" s="269">
        <f t="shared" si="346"/>
        <v>0</v>
      </c>
      <c r="AC1668" s="269">
        <f t="shared" si="347"/>
        <v>0</v>
      </c>
      <c r="AD1668" s="271" t="str">
        <f>INDEX('Global inputs'!$C$134:$C$171,MATCH(F1668,'Global inputs'!$B$134:$B$171,0))</f>
        <v>Asset relocations and undergrounding</v>
      </c>
      <c r="AE1668" s="272">
        <f>IF(OR(H1668='Operating leases'!$B$32,H1668='Operating leases'!$B$33),"",INDEX('Global inputs'!$C$186:$C$243,MATCH(E1668,'Global inputs'!$B$186:$B$243,0)))</f>
        <v>0.1</v>
      </c>
    </row>
    <row r="1669" spans="1:31" s="29" customFormat="1" x14ac:dyDescent="0.2">
      <c r="A1669" s="267"/>
      <c r="B1669" s="210" t="s">
        <v>714</v>
      </c>
      <c r="C1669" s="210" t="s">
        <v>287</v>
      </c>
      <c r="D1669" s="210" t="s">
        <v>715</v>
      </c>
      <c r="E1669" s="210" t="s">
        <v>154</v>
      </c>
      <c r="F1669" s="210" t="s">
        <v>92</v>
      </c>
      <c r="G1669" s="210" t="s">
        <v>717</v>
      </c>
      <c r="H1669" s="197">
        <v>0</v>
      </c>
      <c r="I1669" s="210" t="s">
        <v>221</v>
      </c>
      <c r="J1669" s="210">
        <v>2026</v>
      </c>
      <c r="K1669" s="210">
        <v>2026</v>
      </c>
      <c r="L1669" s="268" t="str">
        <f t="shared" si="335"/>
        <v>Simple</v>
      </c>
      <c r="M1669" s="197">
        <v>4511.0749999999998</v>
      </c>
      <c r="N1669" s="197">
        <v>6766.6124999999993</v>
      </c>
      <c r="O1669" s="257">
        <f>IF(ISNA(MATCH(H1669,'Operating leases'!$B$32:$B$43,0)),0,INDEX('Operating leases'!$M$32:$S$43,MATCH(H1669,'Operating leases'!$B$32:$B$43,0),MATCH(J1669,'Operating leases'!$M$11:$S$11,0)))</f>
        <v>0</v>
      </c>
      <c r="P1669" s="257">
        <f t="shared" si="336"/>
        <v>4511.0749999999998</v>
      </c>
      <c r="Q1669" s="257">
        <f t="shared" si="337"/>
        <v>11277.6875</v>
      </c>
      <c r="R1669" s="258">
        <f>INDEX('Escalators '!$M$124:$S$129,MATCH(I1669,'Escalators '!$B$124:$B$129,0),MATCH(J1669,'Escalators '!$M$113:$S$113,0))</f>
        <v>1.1088998660799403</v>
      </c>
      <c r="S1669" s="257">
        <f t="shared" si="338"/>
        <v>0</v>
      </c>
      <c r="T1669" s="257">
        <f t="shared" si="339"/>
        <v>7503.4956950648493</v>
      </c>
      <c r="U1669" s="269">
        <f t="shared" si="340"/>
        <v>5002.3304633765665</v>
      </c>
      <c r="V1669" s="269">
        <f t="shared" si="341"/>
        <v>12505.826158441416</v>
      </c>
      <c r="W1669" s="269">
        <f t="shared" si="342"/>
        <v>5002.3304633765665</v>
      </c>
      <c r="X1669" s="257">
        <f t="shared" si="343"/>
        <v>12505.826158441416</v>
      </c>
      <c r="Y1669" s="270">
        <f>IF(L1669="Complex",(INDEX('Escalators '!$M$176:$S$176,MATCH('Forecast capex'!J1669,'Escalators '!$M$178:$S$178,0))/12+1)^((K1669-J1669)*12)-1,0)</f>
        <v>0</v>
      </c>
      <c r="Z1669" s="257">
        <f t="shared" si="344"/>
        <v>0</v>
      </c>
      <c r="AA1669" s="257">
        <f t="shared" si="345"/>
        <v>0</v>
      </c>
      <c r="AB1669" s="269">
        <f t="shared" si="346"/>
        <v>0</v>
      </c>
      <c r="AC1669" s="269">
        <f t="shared" si="347"/>
        <v>0</v>
      </c>
      <c r="AD1669" s="271" t="str">
        <f>INDEX('Global inputs'!$C$134:$C$171,MATCH(F1669,'Global inputs'!$B$134:$B$171,0))</f>
        <v>Asset relocations and undergrounding</v>
      </c>
      <c r="AE1669" s="272">
        <f>IF(OR(H1669='Operating leases'!$B$32,H1669='Operating leases'!$B$33),"",INDEX('Global inputs'!$C$186:$C$243,MATCH(E1669,'Global inputs'!$B$186:$B$243,0)))</f>
        <v>0.1</v>
      </c>
    </row>
    <row r="1670" spans="1:31" s="27" customFormat="1" x14ac:dyDescent="0.2">
      <c r="A1670" s="250"/>
      <c r="B1670" s="210" t="s">
        <v>714</v>
      </c>
      <c r="C1670" s="210" t="s">
        <v>290</v>
      </c>
      <c r="D1670" s="210" t="s">
        <v>718</v>
      </c>
      <c r="E1670" s="210" t="s">
        <v>173</v>
      </c>
      <c r="F1670" s="210" t="s">
        <v>92</v>
      </c>
      <c r="G1670" s="210" t="s">
        <v>719</v>
      </c>
      <c r="H1670" s="197">
        <v>0</v>
      </c>
      <c r="I1670" s="210" t="s">
        <v>142</v>
      </c>
      <c r="J1670" s="210">
        <v>2026</v>
      </c>
      <c r="K1670" s="210">
        <v>2026</v>
      </c>
      <c r="L1670" s="268" t="str">
        <f t="shared" si="335"/>
        <v>Simple</v>
      </c>
      <c r="M1670" s="197">
        <v>10826.199999999999</v>
      </c>
      <c r="N1670" s="197">
        <v>16239.299999999996</v>
      </c>
      <c r="O1670" s="257">
        <f>IF(ISNA(MATCH(H1670,'Operating leases'!$B$32:$B$43,0)),0,INDEX('Operating leases'!$M$32:$S$43,MATCH(H1670,'Operating leases'!$B$32:$B$43,0),MATCH(J1670,'Operating leases'!$M$11:$S$11,0)))</f>
        <v>0</v>
      </c>
      <c r="P1670" s="257">
        <f t="shared" si="336"/>
        <v>10826.199999999999</v>
      </c>
      <c r="Q1670" s="257">
        <f t="shared" si="337"/>
        <v>27065.499999999993</v>
      </c>
      <c r="R1670" s="258">
        <f>INDEX('Escalators '!$M$124:$S$129,MATCH(I1670,'Escalators '!$B$124:$B$129,0),MATCH(J1670,'Escalators '!$M$113:$S$113,0))</f>
        <v>1.1158480359294924</v>
      </c>
      <c r="S1670" s="257">
        <f t="shared" si="338"/>
        <v>0</v>
      </c>
      <c r="T1670" s="257">
        <f t="shared" si="339"/>
        <v>18120.5910098698</v>
      </c>
      <c r="U1670" s="269">
        <f t="shared" si="340"/>
        <v>12080.394006579871</v>
      </c>
      <c r="V1670" s="269">
        <f t="shared" si="341"/>
        <v>30200.985016449671</v>
      </c>
      <c r="W1670" s="269">
        <f t="shared" si="342"/>
        <v>12080.394006579871</v>
      </c>
      <c r="X1670" s="257">
        <f t="shared" si="343"/>
        <v>30200.985016449671</v>
      </c>
      <c r="Y1670" s="270">
        <f>IF(L1670="Complex",(INDEX('Escalators '!$M$176:$S$176,MATCH('Forecast capex'!J1670,'Escalators '!$M$178:$S$178,0))/12+1)^((K1670-J1670)*12)-1,0)</f>
        <v>0</v>
      </c>
      <c r="Z1670" s="257">
        <f t="shared" si="344"/>
        <v>0</v>
      </c>
      <c r="AA1670" s="257">
        <f t="shared" si="345"/>
        <v>0</v>
      </c>
      <c r="AB1670" s="269">
        <f t="shared" si="346"/>
        <v>0</v>
      </c>
      <c r="AC1670" s="269">
        <f t="shared" si="347"/>
        <v>0</v>
      </c>
      <c r="AD1670" s="271" t="str">
        <f>INDEX('Global inputs'!$C$134:$C$171,MATCH(F1670,'Global inputs'!$B$134:$B$171,0))</f>
        <v>Asset relocations and undergrounding</v>
      </c>
      <c r="AE1670" s="272">
        <f>IF(OR(H1670='Operating leases'!$B$32,H1670='Operating leases'!$B$33),"",INDEX('Global inputs'!$C$186:$C$243,MATCH(E1670,'Global inputs'!$B$186:$B$243,0)))</f>
        <v>0.08</v>
      </c>
    </row>
    <row r="1671" spans="1:31" s="27" customFormat="1" x14ac:dyDescent="0.2">
      <c r="A1671" s="250"/>
      <c r="B1671" s="210" t="s">
        <v>714</v>
      </c>
      <c r="C1671" s="210" t="s">
        <v>290</v>
      </c>
      <c r="D1671" s="210" t="s">
        <v>718</v>
      </c>
      <c r="E1671" s="210" t="s">
        <v>173</v>
      </c>
      <c r="F1671" s="210" t="s">
        <v>92</v>
      </c>
      <c r="G1671" s="210" t="s">
        <v>719</v>
      </c>
      <c r="H1671" s="197">
        <v>0</v>
      </c>
      <c r="I1671" s="210" t="s">
        <v>221</v>
      </c>
      <c r="J1671" s="210">
        <v>2026</v>
      </c>
      <c r="K1671" s="210">
        <v>2026</v>
      </c>
      <c r="L1671" s="268" t="str">
        <f t="shared" si="335"/>
        <v>Simple</v>
      </c>
      <c r="M1671" s="197">
        <v>2706.5499999999997</v>
      </c>
      <c r="N1671" s="197">
        <v>4059.8249999999989</v>
      </c>
      <c r="O1671" s="257">
        <f>IF(ISNA(MATCH(H1671,'Operating leases'!$B$32:$B$43,0)),0,INDEX('Operating leases'!$M$32:$S$43,MATCH(H1671,'Operating leases'!$B$32:$B$43,0),MATCH(J1671,'Operating leases'!$M$11:$S$11,0)))</f>
        <v>0</v>
      </c>
      <c r="P1671" s="257">
        <f t="shared" si="336"/>
        <v>2706.5499999999997</v>
      </c>
      <c r="Q1671" s="257">
        <f t="shared" si="337"/>
        <v>6766.3749999999982</v>
      </c>
      <c r="R1671" s="258">
        <f>INDEX('Escalators '!$M$124:$S$129,MATCH(I1671,'Escalators '!$B$124:$B$129,0),MATCH(J1671,'Escalators '!$M$113:$S$113,0))</f>
        <v>1.1088998660799403</v>
      </c>
      <c r="S1671" s="257">
        <f t="shared" si="338"/>
        <v>0</v>
      </c>
      <c r="T1671" s="257">
        <f t="shared" si="339"/>
        <v>4501.9393988079928</v>
      </c>
      <c r="U1671" s="269">
        <f t="shared" si="340"/>
        <v>3001.2929325386613</v>
      </c>
      <c r="V1671" s="269">
        <f t="shared" si="341"/>
        <v>7503.2323313466541</v>
      </c>
      <c r="W1671" s="269">
        <f t="shared" si="342"/>
        <v>3001.2929325386613</v>
      </c>
      <c r="X1671" s="257">
        <f t="shared" si="343"/>
        <v>7503.2323313466541</v>
      </c>
      <c r="Y1671" s="270">
        <f>IF(L1671="Complex",(INDEX('Escalators '!$M$176:$S$176,MATCH('Forecast capex'!J1671,'Escalators '!$M$178:$S$178,0))/12+1)^((K1671-J1671)*12)-1,0)</f>
        <v>0</v>
      </c>
      <c r="Z1671" s="257">
        <f t="shared" si="344"/>
        <v>0</v>
      </c>
      <c r="AA1671" s="257">
        <f t="shared" si="345"/>
        <v>0</v>
      </c>
      <c r="AB1671" s="269">
        <f t="shared" si="346"/>
        <v>0</v>
      </c>
      <c r="AC1671" s="269">
        <f t="shared" si="347"/>
        <v>0</v>
      </c>
      <c r="AD1671" s="271" t="str">
        <f>INDEX('Global inputs'!$C$134:$C$171,MATCH(F1671,'Global inputs'!$B$134:$B$171,0))</f>
        <v>Asset relocations and undergrounding</v>
      </c>
      <c r="AE1671" s="272">
        <f>IF(OR(H1671='Operating leases'!$B$32,H1671='Operating leases'!$B$33),"",INDEX('Global inputs'!$C$186:$C$243,MATCH(E1671,'Global inputs'!$B$186:$B$243,0)))</f>
        <v>0.08</v>
      </c>
    </row>
    <row r="1672" spans="1:31" s="27" customFormat="1" x14ac:dyDescent="0.2">
      <c r="A1672" s="250"/>
      <c r="B1672" s="210" t="s">
        <v>714</v>
      </c>
      <c r="C1672" s="210" t="s">
        <v>290</v>
      </c>
      <c r="D1672" s="210" t="s">
        <v>718</v>
      </c>
      <c r="E1672" s="210" t="s">
        <v>169</v>
      </c>
      <c r="F1672" s="210" t="s">
        <v>92</v>
      </c>
      <c r="G1672" s="210" t="s">
        <v>720</v>
      </c>
      <c r="H1672" s="197">
        <v>0</v>
      </c>
      <c r="I1672" s="210" t="s">
        <v>229</v>
      </c>
      <c r="J1672" s="210">
        <v>2026</v>
      </c>
      <c r="K1672" s="210">
        <v>2026</v>
      </c>
      <c r="L1672" s="268" t="str">
        <f t="shared" si="335"/>
        <v>Simple</v>
      </c>
      <c r="M1672" s="197">
        <v>23005.769999999997</v>
      </c>
      <c r="N1672" s="197">
        <v>34508.654999999992</v>
      </c>
      <c r="O1672" s="257">
        <f>IF(ISNA(MATCH(H1672,'Operating leases'!$B$32:$B$43,0)),0,INDEX('Operating leases'!$M$32:$S$43,MATCH(H1672,'Operating leases'!$B$32:$B$43,0),MATCH(J1672,'Operating leases'!$M$11:$S$11,0)))</f>
        <v>0</v>
      </c>
      <c r="P1672" s="257">
        <f t="shared" si="336"/>
        <v>23005.769999999997</v>
      </c>
      <c r="Q1672" s="257">
        <f t="shared" si="337"/>
        <v>57514.424999999988</v>
      </c>
      <c r="R1672" s="258">
        <f>INDEX('Escalators '!$M$124:$S$129,MATCH(I1672,'Escalators '!$B$124:$B$129,0),MATCH(J1672,'Escalators '!$M$113:$S$113,0))</f>
        <v>1.1110424701464636</v>
      </c>
      <c r="S1672" s="257">
        <f t="shared" si="338"/>
        <v>0</v>
      </c>
      <c r="T1672" s="257">
        <f t="shared" si="339"/>
        <v>38340.581292632101</v>
      </c>
      <c r="U1672" s="269">
        <f t="shared" si="340"/>
        <v>25560.387528421408</v>
      </c>
      <c r="V1672" s="269">
        <f t="shared" si="341"/>
        <v>63900.96882105351</v>
      </c>
      <c r="W1672" s="269">
        <f t="shared" si="342"/>
        <v>25560.387528421408</v>
      </c>
      <c r="X1672" s="257">
        <f t="shared" si="343"/>
        <v>63900.96882105351</v>
      </c>
      <c r="Y1672" s="270">
        <f>IF(L1672="Complex",(INDEX('Escalators '!$M$176:$S$176,MATCH('Forecast capex'!J1672,'Escalators '!$M$178:$S$178,0))/12+1)^((K1672-J1672)*12)-1,0)</f>
        <v>0</v>
      </c>
      <c r="Z1672" s="257">
        <f t="shared" si="344"/>
        <v>0</v>
      </c>
      <c r="AA1672" s="257">
        <f t="shared" si="345"/>
        <v>0</v>
      </c>
      <c r="AB1672" s="269">
        <f t="shared" si="346"/>
        <v>0</v>
      </c>
      <c r="AC1672" s="269">
        <f t="shared" si="347"/>
        <v>0</v>
      </c>
      <c r="AD1672" s="271" t="str">
        <f>INDEX('Global inputs'!$C$134:$C$171,MATCH(F1672,'Global inputs'!$B$134:$B$171,0))</f>
        <v>Asset relocations and undergrounding</v>
      </c>
      <c r="AE1672" s="272">
        <f>IF(OR(H1672='Operating leases'!$B$32,H1672='Operating leases'!$B$33),"",INDEX('Global inputs'!$C$186:$C$243,MATCH(E1672,'Global inputs'!$B$186:$B$243,0)))</f>
        <v>0.08</v>
      </c>
    </row>
    <row r="1673" spans="1:31" s="27" customFormat="1" x14ac:dyDescent="0.2">
      <c r="A1673" s="250"/>
      <c r="B1673" s="210" t="s">
        <v>714</v>
      </c>
      <c r="C1673" s="210" t="s">
        <v>290</v>
      </c>
      <c r="D1673" s="210" t="s">
        <v>718</v>
      </c>
      <c r="E1673" s="210" t="s">
        <v>169</v>
      </c>
      <c r="F1673" s="210" t="s">
        <v>92</v>
      </c>
      <c r="G1673" s="210" t="s">
        <v>720</v>
      </c>
      <c r="H1673" s="197">
        <v>0</v>
      </c>
      <c r="I1673" s="210" t="s">
        <v>221</v>
      </c>
      <c r="J1673" s="210">
        <v>2026</v>
      </c>
      <c r="K1673" s="210">
        <v>2026</v>
      </c>
      <c r="L1673" s="268" t="str">
        <f t="shared" si="335"/>
        <v>Simple</v>
      </c>
      <c r="M1673" s="197">
        <v>15337.18</v>
      </c>
      <c r="N1673" s="197">
        <v>23005.77</v>
      </c>
      <c r="O1673" s="257">
        <f>IF(ISNA(MATCH(H1673,'Operating leases'!$B$32:$B$43,0)),0,INDEX('Operating leases'!$M$32:$S$43,MATCH(H1673,'Operating leases'!$B$32:$B$43,0),MATCH(J1673,'Operating leases'!$M$11:$S$11,0)))</f>
        <v>0</v>
      </c>
      <c r="P1673" s="257">
        <f t="shared" si="336"/>
        <v>15337.18</v>
      </c>
      <c r="Q1673" s="257">
        <f t="shared" si="337"/>
        <v>38342.949999999997</v>
      </c>
      <c r="R1673" s="258">
        <f>INDEX('Escalators '!$M$124:$S$129,MATCH(I1673,'Escalators '!$B$124:$B$129,0),MATCH(J1673,'Escalators '!$M$113:$S$113,0))</f>
        <v>1.1088998660799403</v>
      </c>
      <c r="S1673" s="257">
        <f t="shared" si="338"/>
        <v>0</v>
      </c>
      <c r="T1673" s="257">
        <f t="shared" si="339"/>
        <v>25511.095272065908</v>
      </c>
      <c r="U1673" s="269">
        <f t="shared" si="340"/>
        <v>17007.396848043933</v>
      </c>
      <c r="V1673" s="269">
        <f t="shared" si="341"/>
        <v>42518.49212010984</v>
      </c>
      <c r="W1673" s="269">
        <f t="shared" si="342"/>
        <v>17007.396848043933</v>
      </c>
      <c r="X1673" s="257">
        <f t="shared" si="343"/>
        <v>42518.49212010984</v>
      </c>
      <c r="Y1673" s="270">
        <f>IF(L1673="Complex",(INDEX('Escalators '!$M$176:$S$176,MATCH('Forecast capex'!J1673,'Escalators '!$M$178:$S$178,0))/12+1)^((K1673-J1673)*12)-1,0)</f>
        <v>0</v>
      </c>
      <c r="Z1673" s="257">
        <f t="shared" si="344"/>
        <v>0</v>
      </c>
      <c r="AA1673" s="257">
        <f t="shared" si="345"/>
        <v>0</v>
      </c>
      <c r="AB1673" s="269">
        <f t="shared" si="346"/>
        <v>0</v>
      </c>
      <c r="AC1673" s="269">
        <f t="shared" si="347"/>
        <v>0</v>
      </c>
      <c r="AD1673" s="271" t="str">
        <f>INDEX('Global inputs'!$C$134:$C$171,MATCH(F1673,'Global inputs'!$B$134:$B$171,0))</f>
        <v>Asset relocations and undergrounding</v>
      </c>
      <c r="AE1673" s="272">
        <f>IF(OR(H1673='Operating leases'!$B$32,H1673='Operating leases'!$B$33),"",INDEX('Global inputs'!$C$186:$C$243,MATCH(E1673,'Global inputs'!$B$186:$B$243,0)))</f>
        <v>0.08</v>
      </c>
    </row>
    <row r="1674" spans="1:31" s="27" customFormat="1" x14ac:dyDescent="0.2">
      <c r="A1674" s="250"/>
      <c r="B1674" s="210" t="s">
        <v>714</v>
      </c>
      <c r="C1674" s="210" t="s">
        <v>290</v>
      </c>
      <c r="D1674" s="210" t="s">
        <v>718</v>
      </c>
      <c r="E1674" s="210" t="s">
        <v>170</v>
      </c>
      <c r="F1674" s="210" t="s">
        <v>92</v>
      </c>
      <c r="G1674" s="210" t="s">
        <v>721</v>
      </c>
      <c r="H1674" s="197">
        <v>0</v>
      </c>
      <c r="I1674" s="210" t="s">
        <v>229</v>
      </c>
      <c r="J1674" s="210">
        <v>2026</v>
      </c>
      <c r="K1674" s="210">
        <v>2026</v>
      </c>
      <c r="L1674" s="268" t="str">
        <f t="shared" ref="L1674:L1737" si="348">IF(J1674=K1674,"Simple","Complex")</f>
        <v>Simple</v>
      </c>
      <c r="M1674" s="197">
        <v>20299.125</v>
      </c>
      <c r="N1674" s="197">
        <v>30448.6875</v>
      </c>
      <c r="O1674" s="257">
        <f>IF(ISNA(MATCH(H1674,'Operating leases'!$B$32:$B$43,0)),0,INDEX('Operating leases'!$M$32:$S$43,MATCH(H1674,'Operating leases'!$B$32:$B$43,0),MATCH(J1674,'Operating leases'!$M$11:$S$11,0)))</f>
        <v>0</v>
      </c>
      <c r="P1674" s="257">
        <f t="shared" ref="P1674:P1737" si="349">O1674+M1674</f>
        <v>20299.125</v>
      </c>
      <c r="Q1674" s="257">
        <f t="shared" ref="Q1674:Q1737" si="350">M1674+N1674+O1674</f>
        <v>50747.8125</v>
      </c>
      <c r="R1674" s="258">
        <f>INDEX('Escalators '!$M$124:$S$129,MATCH(I1674,'Escalators '!$B$124:$B$129,0),MATCH(J1674,'Escalators '!$M$113:$S$113,0))</f>
        <v>1.1110424701464636</v>
      </c>
      <c r="S1674" s="257">
        <f t="shared" ref="S1674:S1737" si="351">O1674*R1674</f>
        <v>0</v>
      </c>
      <c r="T1674" s="257">
        <f t="shared" ref="T1674:T1737" si="352">N1674*R1674</f>
        <v>33829.784972717753</v>
      </c>
      <c r="U1674" s="269">
        <f t="shared" ref="U1674:U1737" si="353">W1674-S1674</f>
        <v>22553.189981811833</v>
      </c>
      <c r="V1674" s="269">
        <f t="shared" ref="V1674:V1737" si="354">U1674+T1674</f>
        <v>56382.974954529585</v>
      </c>
      <c r="W1674" s="269">
        <f t="shared" ref="W1674:W1737" si="355">X1674-T1674</f>
        <v>22553.189981811833</v>
      </c>
      <c r="X1674" s="257">
        <f t="shared" ref="X1674:X1737" si="356">Q1674*R1674</f>
        <v>56382.974954529585</v>
      </c>
      <c r="Y1674" s="270">
        <f>IF(L1674="Complex",(INDEX('Escalators '!$M$176:$S$176,MATCH('Forecast capex'!J1674,'Escalators '!$M$178:$S$178,0))/12+1)^((K1674-J1674)*12)-1,0)</f>
        <v>0</v>
      </c>
      <c r="Z1674" s="257">
        <f t="shared" ref="Z1674:Z1737" si="357">P1674*Y1674</f>
        <v>0</v>
      </c>
      <c r="AA1674" s="257">
        <f t="shared" ref="AA1674:AA1737" si="358">W1674*Y1674</f>
        <v>0</v>
      </c>
      <c r="AB1674" s="269">
        <f t="shared" ref="AB1674:AB1737" si="359">IF(L1674="Complex",AC1674-T1674,0)</f>
        <v>0</v>
      </c>
      <c r="AC1674" s="269">
        <f t="shared" ref="AC1674:AC1737" si="360">IF(L1674="Complex",V1674+AA1674,0)</f>
        <v>0</v>
      </c>
      <c r="AD1674" s="271" t="str">
        <f>INDEX('Global inputs'!$C$134:$C$171,MATCH(F1674,'Global inputs'!$B$134:$B$171,0))</f>
        <v>Asset relocations and undergrounding</v>
      </c>
      <c r="AE1674" s="272">
        <f>IF(OR(H1674='Operating leases'!$B$32,H1674='Operating leases'!$B$33),"",INDEX('Global inputs'!$C$186:$C$243,MATCH(E1674,'Global inputs'!$B$186:$B$243,0)))</f>
        <v>0.08</v>
      </c>
    </row>
    <row r="1675" spans="1:31" s="27" customFormat="1" x14ac:dyDescent="0.2">
      <c r="A1675" s="250"/>
      <c r="B1675" s="210" t="s">
        <v>714</v>
      </c>
      <c r="C1675" s="210" t="s">
        <v>290</v>
      </c>
      <c r="D1675" s="210" t="s">
        <v>718</v>
      </c>
      <c r="E1675" s="210" t="s">
        <v>170</v>
      </c>
      <c r="F1675" s="210" t="s">
        <v>92</v>
      </c>
      <c r="G1675" s="210" t="s">
        <v>721</v>
      </c>
      <c r="H1675" s="197">
        <v>0</v>
      </c>
      <c r="I1675" s="210" t="s">
        <v>221</v>
      </c>
      <c r="J1675" s="210">
        <v>2026</v>
      </c>
      <c r="K1675" s="210">
        <v>2026</v>
      </c>
      <c r="L1675" s="268" t="str">
        <f t="shared" si="348"/>
        <v>Simple</v>
      </c>
      <c r="M1675" s="197">
        <v>20299.125</v>
      </c>
      <c r="N1675" s="197">
        <v>30448.6875</v>
      </c>
      <c r="O1675" s="257">
        <f>IF(ISNA(MATCH(H1675,'Operating leases'!$B$32:$B$43,0)),0,INDEX('Operating leases'!$M$32:$S$43,MATCH(H1675,'Operating leases'!$B$32:$B$43,0),MATCH(J1675,'Operating leases'!$M$11:$S$11,0)))</f>
        <v>0</v>
      </c>
      <c r="P1675" s="257">
        <f t="shared" si="349"/>
        <v>20299.125</v>
      </c>
      <c r="Q1675" s="257">
        <f t="shared" si="350"/>
        <v>50747.8125</v>
      </c>
      <c r="R1675" s="258">
        <f>INDEX('Escalators '!$M$124:$S$129,MATCH(I1675,'Escalators '!$B$124:$B$129,0),MATCH(J1675,'Escalators '!$M$113:$S$113,0))</f>
        <v>1.1088998660799403</v>
      </c>
      <c r="S1675" s="257">
        <f t="shared" si="351"/>
        <v>0</v>
      </c>
      <c r="T1675" s="257">
        <f t="shared" si="352"/>
        <v>33764.545491059951</v>
      </c>
      <c r="U1675" s="269">
        <f t="shared" si="353"/>
        <v>22509.696994039972</v>
      </c>
      <c r="V1675" s="269">
        <f t="shared" si="354"/>
        <v>56274.242485099923</v>
      </c>
      <c r="W1675" s="269">
        <f t="shared" si="355"/>
        <v>22509.696994039972</v>
      </c>
      <c r="X1675" s="257">
        <f t="shared" si="356"/>
        <v>56274.242485099923</v>
      </c>
      <c r="Y1675" s="270">
        <f>IF(L1675="Complex",(INDEX('Escalators '!$M$176:$S$176,MATCH('Forecast capex'!J1675,'Escalators '!$M$178:$S$178,0))/12+1)^((K1675-J1675)*12)-1,0)</f>
        <v>0</v>
      </c>
      <c r="Z1675" s="257">
        <f t="shared" si="357"/>
        <v>0</v>
      </c>
      <c r="AA1675" s="257">
        <f t="shared" si="358"/>
        <v>0</v>
      </c>
      <c r="AB1675" s="269">
        <f t="shared" si="359"/>
        <v>0</v>
      </c>
      <c r="AC1675" s="269">
        <f t="shared" si="360"/>
        <v>0</v>
      </c>
      <c r="AD1675" s="271" t="str">
        <f>INDEX('Global inputs'!$C$134:$C$171,MATCH(F1675,'Global inputs'!$B$134:$B$171,0))</f>
        <v>Asset relocations and undergrounding</v>
      </c>
      <c r="AE1675" s="272">
        <f>IF(OR(H1675='Operating leases'!$B$32,H1675='Operating leases'!$B$33),"",INDEX('Global inputs'!$C$186:$C$243,MATCH(E1675,'Global inputs'!$B$186:$B$243,0)))</f>
        <v>0.08</v>
      </c>
    </row>
    <row r="1676" spans="1:31" s="27" customFormat="1" x14ac:dyDescent="0.2">
      <c r="A1676" s="250"/>
      <c r="B1676" s="210" t="s">
        <v>714</v>
      </c>
      <c r="C1676" s="210" t="s">
        <v>288</v>
      </c>
      <c r="D1676" s="210" t="s">
        <v>718</v>
      </c>
      <c r="E1676" s="210" t="s">
        <v>160</v>
      </c>
      <c r="F1676" s="210" t="s">
        <v>92</v>
      </c>
      <c r="G1676" s="210" t="s">
        <v>722</v>
      </c>
      <c r="H1676" s="197">
        <v>0</v>
      </c>
      <c r="I1676" s="210" t="s">
        <v>229</v>
      </c>
      <c r="J1676" s="210">
        <v>2026</v>
      </c>
      <c r="K1676" s="210">
        <v>2026</v>
      </c>
      <c r="L1676" s="268" t="str">
        <f t="shared" si="348"/>
        <v>Simple</v>
      </c>
      <c r="M1676" s="197">
        <v>12405.099999999999</v>
      </c>
      <c r="N1676" s="197">
        <v>18607.649999999994</v>
      </c>
      <c r="O1676" s="257">
        <f>IF(ISNA(MATCH(H1676,'Operating leases'!$B$32:$B$43,0)),0,INDEX('Operating leases'!$M$32:$S$43,MATCH(H1676,'Operating leases'!$B$32:$B$43,0),MATCH(J1676,'Operating leases'!$M$11:$S$11,0)))</f>
        <v>0</v>
      </c>
      <c r="P1676" s="257">
        <f t="shared" si="349"/>
        <v>12405.099999999999</v>
      </c>
      <c r="Q1676" s="257">
        <f t="shared" si="350"/>
        <v>31012.749999999993</v>
      </c>
      <c r="R1676" s="258">
        <f>INDEX('Escalators '!$M$124:$S$129,MATCH(I1676,'Escalators '!$B$124:$B$129,0),MATCH(J1676,'Escalators '!$M$113:$S$113,0))</f>
        <v>1.1110424701464636</v>
      </c>
      <c r="S1676" s="257">
        <f t="shared" si="351"/>
        <v>0</v>
      </c>
      <c r="T1676" s="257">
        <f t="shared" si="352"/>
        <v>20673.889419620838</v>
      </c>
      <c r="U1676" s="269">
        <f t="shared" si="353"/>
        <v>13782.592946413894</v>
      </c>
      <c r="V1676" s="269">
        <f t="shared" si="354"/>
        <v>34456.482366034732</v>
      </c>
      <c r="W1676" s="269">
        <f t="shared" si="355"/>
        <v>13782.592946413894</v>
      </c>
      <c r="X1676" s="257">
        <f t="shared" si="356"/>
        <v>34456.482366034732</v>
      </c>
      <c r="Y1676" s="270">
        <f>IF(L1676="Complex",(INDEX('Escalators '!$M$176:$S$176,MATCH('Forecast capex'!J1676,'Escalators '!$M$178:$S$178,0))/12+1)^((K1676-J1676)*12)-1,0)</f>
        <v>0</v>
      </c>
      <c r="Z1676" s="257">
        <f t="shared" si="357"/>
        <v>0</v>
      </c>
      <c r="AA1676" s="257">
        <f t="shared" si="358"/>
        <v>0</v>
      </c>
      <c r="AB1676" s="269">
        <f t="shared" si="359"/>
        <v>0</v>
      </c>
      <c r="AC1676" s="269">
        <f t="shared" si="360"/>
        <v>0</v>
      </c>
      <c r="AD1676" s="271" t="str">
        <f>INDEX('Global inputs'!$C$134:$C$171,MATCH(F1676,'Global inputs'!$B$134:$B$171,0))</f>
        <v>Asset relocations and undergrounding</v>
      </c>
      <c r="AE1676" s="272">
        <f>IF(OR(H1676='Operating leases'!$B$32,H1676='Operating leases'!$B$33),"",INDEX('Global inputs'!$C$186:$C$243,MATCH(E1676,'Global inputs'!$B$186:$B$243,0)))</f>
        <v>0.08</v>
      </c>
    </row>
    <row r="1677" spans="1:31" s="27" customFormat="1" x14ac:dyDescent="0.2">
      <c r="A1677" s="250"/>
      <c r="B1677" s="210" t="s">
        <v>714</v>
      </c>
      <c r="C1677" s="210" t="s">
        <v>288</v>
      </c>
      <c r="D1677" s="210" t="s">
        <v>718</v>
      </c>
      <c r="E1677" s="210" t="s">
        <v>160</v>
      </c>
      <c r="F1677" s="210" t="s">
        <v>92</v>
      </c>
      <c r="G1677" s="210" t="s">
        <v>722</v>
      </c>
      <c r="H1677" s="197">
        <v>0</v>
      </c>
      <c r="I1677" s="210" t="s">
        <v>221</v>
      </c>
      <c r="J1677" s="210">
        <v>2026</v>
      </c>
      <c r="K1677" s="210">
        <v>2026</v>
      </c>
      <c r="L1677" s="268" t="str">
        <f t="shared" si="348"/>
        <v>Simple</v>
      </c>
      <c r="M1677" s="197">
        <v>12405.099999999999</v>
      </c>
      <c r="N1677" s="197">
        <v>18607.649999999994</v>
      </c>
      <c r="O1677" s="257">
        <f>IF(ISNA(MATCH(H1677,'Operating leases'!$B$32:$B$43,0)),0,INDEX('Operating leases'!$M$32:$S$43,MATCH(H1677,'Operating leases'!$B$32:$B$43,0),MATCH(J1677,'Operating leases'!$M$11:$S$11,0)))</f>
        <v>0</v>
      </c>
      <c r="P1677" s="257">
        <f t="shared" si="349"/>
        <v>12405.099999999999</v>
      </c>
      <c r="Q1677" s="257">
        <f t="shared" si="350"/>
        <v>31012.749999999993</v>
      </c>
      <c r="R1677" s="258">
        <f>INDEX('Escalators '!$M$124:$S$129,MATCH(I1677,'Escalators '!$B$124:$B$129,0),MATCH(J1677,'Escalators '!$M$113:$S$113,0))</f>
        <v>1.1088998660799403</v>
      </c>
      <c r="S1677" s="257">
        <f t="shared" si="351"/>
        <v>0</v>
      </c>
      <c r="T1677" s="257">
        <f t="shared" si="352"/>
        <v>20634.020593062396</v>
      </c>
      <c r="U1677" s="269">
        <f t="shared" si="353"/>
        <v>13756.013728708265</v>
      </c>
      <c r="V1677" s="269">
        <f t="shared" si="354"/>
        <v>34390.034321770661</v>
      </c>
      <c r="W1677" s="269">
        <f t="shared" si="355"/>
        <v>13756.013728708265</v>
      </c>
      <c r="X1677" s="257">
        <f t="shared" si="356"/>
        <v>34390.034321770661</v>
      </c>
      <c r="Y1677" s="270">
        <f>IF(L1677="Complex",(INDEX('Escalators '!$M$176:$S$176,MATCH('Forecast capex'!J1677,'Escalators '!$M$178:$S$178,0))/12+1)^((K1677-J1677)*12)-1,0)</f>
        <v>0</v>
      </c>
      <c r="Z1677" s="257">
        <f t="shared" si="357"/>
        <v>0</v>
      </c>
      <c r="AA1677" s="257">
        <f t="shared" si="358"/>
        <v>0</v>
      </c>
      <c r="AB1677" s="269">
        <f t="shared" si="359"/>
        <v>0</v>
      </c>
      <c r="AC1677" s="269">
        <f t="shared" si="360"/>
        <v>0</v>
      </c>
      <c r="AD1677" s="271" t="str">
        <f>INDEX('Global inputs'!$C$134:$C$171,MATCH(F1677,'Global inputs'!$B$134:$B$171,0))</f>
        <v>Asset relocations and undergrounding</v>
      </c>
      <c r="AE1677" s="272">
        <f>IF(OR(H1677='Operating leases'!$B$32,H1677='Operating leases'!$B$33),"",INDEX('Global inputs'!$C$186:$C$243,MATCH(E1677,'Global inputs'!$B$186:$B$243,0)))</f>
        <v>0.08</v>
      </c>
    </row>
    <row r="1678" spans="1:31" s="27" customFormat="1" x14ac:dyDescent="0.2">
      <c r="A1678" s="250"/>
      <c r="B1678" s="210" t="s">
        <v>714</v>
      </c>
      <c r="C1678" s="210" t="s">
        <v>289</v>
      </c>
      <c r="D1678" s="210" t="s">
        <v>723</v>
      </c>
      <c r="E1678" s="210" t="s">
        <v>164</v>
      </c>
      <c r="F1678" s="210" t="s">
        <v>92</v>
      </c>
      <c r="G1678" s="210" t="s">
        <v>724</v>
      </c>
      <c r="H1678" s="197">
        <v>0</v>
      </c>
      <c r="I1678" s="210" t="s">
        <v>139</v>
      </c>
      <c r="J1678" s="210">
        <v>2026</v>
      </c>
      <c r="K1678" s="210">
        <v>2026</v>
      </c>
      <c r="L1678" s="268" t="str">
        <f t="shared" si="348"/>
        <v>Simple</v>
      </c>
      <c r="M1678" s="197">
        <v>14434.68</v>
      </c>
      <c r="N1678" s="197">
        <v>21652.02</v>
      </c>
      <c r="O1678" s="257">
        <f>IF(ISNA(MATCH(H1678,'Operating leases'!$B$32:$B$43,0)),0,INDEX('Operating leases'!$M$32:$S$43,MATCH(H1678,'Operating leases'!$B$32:$B$43,0),MATCH(J1678,'Operating leases'!$M$11:$S$11,0)))</f>
        <v>0</v>
      </c>
      <c r="P1678" s="257">
        <f t="shared" si="349"/>
        <v>14434.68</v>
      </c>
      <c r="Q1678" s="257">
        <f t="shared" si="350"/>
        <v>36086.699999999997</v>
      </c>
      <c r="R1678" s="258">
        <f>INDEX('Escalators '!$M$124:$S$129,MATCH(I1678,'Escalators '!$B$124:$B$129,0),MATCH(J1678,'Escalators '!$M$113:$S$113,0))</f>
        <v>1.0777078650827305</v>
      </c>
      <c r="S1678" s="257">
        <f t="shared" si="351"/>
        <v>0</v>
      </c>
      <c r="T1678" s="257">
        <f t="shared" si="352"/>
        <v>23334.552248928583</v>
      </c>
      <c r="U1678" s="269">
        <f t="shared" si="353"/>
        <v>15556.368165952383</v>
      </c>
      <c r="V1678" s="269">
        <f t="shared" si="354"/>
        <v>38890.920414880966</v>
      </c>
      <c r="W1678" s="269">
        <f t="shared" si="355"/>
        <v>15556.368165952383</v>
      </c>
      <c r="X1678" s="257">
        <f t="shared" si="356"/>
        <v>38890.920414880966</v>
      </c>
      <c r="Y1678" s="270">
        <f>IF(L1678="Complex",(INDEX('Escalators '!$M$176:$S$176,MATCH('Forecast capex'!J1678,'Escalators '!$M$178:$S$178,0))/12+1)^((K1678-J1678)*12)-1,0)</f>
        <v>0</v>
      </c>
      <c r="Z1678" s="257">
        <f t="shared" si="357"/>
        <v>0</v>
      </c>
      <c r="AA1678" s="257">
        <f t="shared" si="358"/>
        <v>0</v>
      </c>
      <c r="AB1678" s="269">
        <f t="shared" si="359"/>
        <v>0</v>
      </c>
      <c r="AC1678" s="269">
        <f t="shared" si="360"/>
        <v>0</v>
      </c>
      <c r="AD1678" s="271" t="str">
        <f>INDEX('Global inputs'!$C$134:$C$171,MATCH(F1678,'Global inputs'!$B$134:$B$171,0))</f>
        <v>Asset relocations and undergrounding</v>
      </c>
      <c r="AE1678" s="272">
        <f>IF(OR(H1678='Operating leases'!$B$32,H1678='Operating leases'!$B$33),"",INDEX('Global inputs'!$C$186:$C$243,MATCH(E1678,'Global inputs'!$B$186:$B$243,0)))</f>
        <v>0.08</v>
      </c>
    </row>
    <row r="1679" spans="1:31" s="27" customFormat="1" x14ac:dyDescent="0.2">
      <c r="A1679" s="250"/>
      <c r="B1679" s="210" t="s">
        <v>714</v>
      </c>
      <c r="C1679" s="210" t="s">
        <v>289</v>
      </c>
      <c r="D1679" s="210" t="s">
        <v>723</v>
      </c>
      <c r="E1679" s="210" t="s">
        <v>164</v>
      </c>
      <c r="F1679" s="210" t="s">
        <v>92</v>
      </c>
      <c r="G1679" s="210" t="s">
        <v>724</v>
      </c>
      <c r="H1679" s="197">
        <v>0</v>
      </c>
      <c r="I1679" s="210" t="s">
        <v>221</v>
      </c>
      <c r="J1679" s="210">
        <v>2026</v>
      </c>
      <c r="K1679" s="210">
        <v>2026</v>
      </c>
      <c r="L1679" s="268" t="str">
        <f t="shared" si="348"/>
        <v>Simple</v>
      </c>
      <c r="M1679" s="197">
        <v>3608.67</v>
      </c>
      <c r="N1679" s="197">
        <v>5413.0050000000001</v>
      </c>
      <c r="O1679" s="257">
        <f>IF(ISNA(MATCH(H1679,'Operating leases'!$B$32:$B$43,0)),0,INDEX('Operating leases'!$M$32:$S$43,MATCH(H1679,'Operating leases'!$B$32:$B$43,0),MATCH(J1679,'Operating leases'!$M$11:$S$11,0)))</f>
        <v>0</v>
      </c>
      <c r="P1679" s="257">
        <f t="shared" si="349"/>
        <v>3608.67</v>
      </c>
      <c r="Q1679" s="257">
        <f t="shared" si="350"/>
        <v>9021.6749999999993</v>
      </c>
      <c r="R1679" s="258">
        <f>INDEX('Escalators '!$M$124:$S$129,MATCH(I1679,'Escalators '!$B$124:$B$129,0),MATCH(J1679,'Escalators '!$M$113:$S$113,0))</f>
        <v>1.1088998660799403</v>
      </c>
      <c r="S1679" s="257">
        <f t="shared" si="351"/>
        <v>0</v>
      </c>
      <c r="T1679" s="257">
        <f t="shared" si="352"/>
        <v>6002.4805195900472</v>
      </c>
      <c r="U1679" s="269">
        <f t="shared" si="353"/>
        <v>4001.6536797266972</v>
      </c>
      <c r="V1679" s="269">
        <f t="shared" si="354"/>
        <v>10004.134199316744</v>
      </c>
      <c r="W1679" s="269">
        <f t="shared" si="355"/>
        <v>4001.6536797266972</v>
      </c>
      <c r="X1679" s="257">
        <f t="shared" si="356"/>
        <v>10004.134199316744</v>
      </c>
      <c r="Y1679" s="270">
        <f>IF(L1679="Complex",(INDEX('Escalators '!$M$176:$S$176,MATCH('Forecast capex'!J1679,'Escalators '!$M$178:$S$178,0))/12+1)^((K1679-J1679)*12)-1,0)</f>
        <v>0</v>
      </c>
      <c r="Z1679" s="257">
        <f t="shared" si="357"/>
        <v>0</v>
      </c>
      <c r="AA1679" s="257">
        <f t="shared" si="358"/>
        <v>0</v>
      </c>
      <c r="AB1679" s="269">
        <f t="shared" si="359"/>
        <v>0</v>
      </c>
      <c r="AC1679" s="269">
        <f t="shared" si="360"/>
        <v>0</v>
      </c>
      <c r="AD1679" s="271" t="str">
        <f>INDEX('Global inputs'!$C$134:$C$171,MATCH(F1679,'Global inputs'!$B$134:$B$171,0))</f>
        <v>Asset relocations and undergrounding</v>
      </c>
      <c r="AE1679" s="272">
        <f>IF(OR(H1679='Operating leases'!$B$32,H1679='Operating leases'!$B$33),"",INDEX('Global inputs'!$C$186:$C$243,MATCH(E1679,'Global inputs'!$B$186:$B$243,0)))</f>
        <v>0.08</v>
      </c>
    </row>
    <row r="1680" spans="1:31" s="27" customFormat="1" x14ac:dyDescent="0.2">
      <c r="A1680" s="250"/>
      <c r="B1680" s="210" t="s">
        <v>714</v>
      </c>
      <c r="C1680" s="210" t="s">
        <v>289</v>
      </c>
      <c r="D1680" s="210" t="s">
        <v>723</v>
      </c>
      <c r="E1680" s="210" t="s">
        <v>163</v>
      </c>
      <c r="F1680" s="210" t="s">
        <v>92</v>
      </c>
      <c r="G1680" s="210" t="s">
        <v>725</v>
      </c>
      <c r="H1680" s="197">
        <v>0</v>
      </c>
      <c r="I1680" s="210" t="s">
        <v>139</v>
      </c>
      <c r="J1680" s="210">
        <v>2026</v>
      </c>
      <c r="K1680" s="210">
        <v>2026</v>
      </c>
      <c r="L1680" s="268" t="str">
        <f t="shared" si="348"/>
        <v>Simple</v>
      </c>
      <c r="M1680" s="197">
        <v>16239.68</v>
      </c>
      <c r="N1680" s="197">
        <v>24359.52</v>
      </c>
      <c r="O1680" s="257">
        <f>IF(ISNA(MATCH(H1680,'Operating leases'!$B$32:$B$43,0)),0,INDEX('Operating leases'!$M$32:$S$43,MATCH(H1680,'Operating leases'!$B$32:$B$43,0),MATCH(J1680,'Operating leases'!$M$11:$S$11,0)))</f>
        <v>0</v>
      </c>
      <c r="P1680" s="257">
        <f t="shared" si="349"/>
        <v>16239.68</v>
      </c>
      <c r="Q1680" s="257">
        <f t="shared" si="350"/>
        <v>40599.199999999997</v>
      </c>
      <c r="R1680" s="258">
        <f>INDEX('Escalators '!$M$124:$S$129,MATCH(I1680,'Escalators '!$B$124:$B$129,0),MATCH(J1680,'Escalators '!$M$113:$S$113,0))</f>
        <v>1.0777078650827305</v>
      </c>
      <c r="S1680" s="257">
        <f t="shared" si="351"/>
        <v>0</v>
      </c>
      <c r="T1680" s="257">
        <f t="shared" si="352"/>
        <v>26252.446293640078</v>
      </c>
      <c r="U1680" s="269">
        <f t="shared" si="353"/>
        <v>17501.630862426715</v>
      </c>
      <c r="V1680" s="269">
        <f t="shared" si="354"/>
        <v>43754.077156066793</v>
      </c>
      <c r="W1680" s="269">
        <f t="shared" si="355"/>
        <v>17501.630862426715</v>
      </c>
      <c r="X1680" s="257">
        <f t="shared" si="356"/>
        <v>43754.077156066793</v>
      </c>
      <c r="Y1680" s="270">
        <f>IF(L1680="Complex",(INDEX('Escalators '!$M$176:$S$176,MATCH('Forecast capex'!J1680,'Escalators '!$M$178:$S$178,0))/12+1)^((K1680-J1680)*12)-1,0)</f>
        <v>0</v>
      </c>
      <c r="Z1680" s="257">
        <f t="shared" si="357"/>
        <v>0</v>
      </c>
      <c r="AA1680" s="257">
        <f t="shared" si="358"/>
        <v>0</v>
      </c>
      <c r="AB1680" s="269">
        <f t="shared" si="359"/>
        <v>0</v>
      </c>
      <c r="AC1680" s="269">
        <f t="shared" si="360"/>
        <v>0</v>
      </c>
      <c r="AD1680" s="271" t="str">
        <f>INDEX('Global inputs'!$C$134:$C$171,MATCH(F1680,'Global inputs'!$B$134:$B$171,0))</f>
        <v>Asset relocations and undergrounding</v>
      </c>
      <c r="AE1680" s="272">
        <f>IF(OR(H1680='Operating leases'!$B$32,H1680='Operating leases'!$B$33),"",INDEX('Global inputs'!$C$186:$C$243,MATCH(E1680,'Global inputs'!$B$186:$B$243,0)))</f>
        <v>0.08</v>
      </c>
    </row>
    <row r="1681" spans="1:31" s="27" customFormat="1" x14ac:dyDescent="0.2">
      <c r="A1681" s="250"/>
      <c r="B1681" s="210" t="s">
        <v>714</v>
      </c>
      <c r="C1681" s="210" t="s">
        <v>289</v>
      </c>
      <c r="D1681" s="210" t="s">
        <v>723</v>
      </c>
      <c r="E1681" s="210" t="s">
        <v>163</v>
      </c>
      <c r="F1681" s="210" t="s">
        <v>92</v>
      </c>
      <c r="G1681" s="210" t="s">
        <v>725</v>
      </c>
      <c r="H1681" s="197">
        <v>0</v>
      </c>
      <c r="I1681" s="210" t="s">
        <v>221</v>
      </c>
      <c r="J1681" s="210">
        <v>2026</v>
      </c>
      <c r="K1681" s="210">
        <v>2026</v>
      </c>
      <c r="L1681" s="268" t="str">
        <f t="shared" si="348"/>
        <v>Simple</v>
      </c>
      <c r="M1681" s="197">
        <v>4059.92</v>
      </c>
      <c r="N1681" s="197">
        <v>6089.88</v>
      </c>
      <c r="O1681" s="257">
        <f>IF(ISNA(MATCH(H1681,'Operating leases'!$B$32:$B$43,0)),0,INDEX('Operating leases'!$M$32:$S$43,MATCH(H1681,'Operating leases'!$B$32:$B$43,0),MATCH(J1681,'Operating leases'!$M$11:$S$11,0)))</f>
        <v>0</v>
      </c>
      <c r="P1681" s="257">
        <f t="shared" si="349"/>
        <v>4059.92</v>
      </c>
      <c r="Q1681" s="257">
        <f t="shared" si="350"/>
        <v>10149.799999999999</v>
      </c>
      <c r="R1681" s="258">
        <f>INDEX('Escalators '!$M$124:$S$129,MATCH(I1681,'Escalators '!$B$124:$B$129,0),MATCH(J1681,'Escalators '!$M$113:$S$113,0))</f>
        <v>1.1088998660799403</v>
      </c>
      <c r="S1681" s="257">
        <f t="shared" si="351"/>
        <v>0</v>
      </c>
      <c r="T1681" s="257">
        <f t="shared" si="352"/>
        <v>6753.0671164429068</v>
      </c>
      <c r="U1681" s="269">
        <f t="shared" si="353"/>
        <v>4502.0447442952709</v>
      </c>
      <c r="V1681" s="269">
        <f t="shared" si="354"/>
        <v>11255.111860738178</v>
      </c>
      <c r="W1681" s="269">
        <f t="shared" si="355"/>
        <v>4502.0447442952709</v>
      </c>
      <c r="X1681" s="257">
        <f t="shared" si="356"/>
        <v>11255.111860738178</v>
      </c>
      <c r="Y1681" s="270">
        <f>IF(L1681="Complex",(INDEX('Escalators '!$M$176:$S$176,MATCH('Forecast capex'!J1681,'Escalators '!$M$178:$S$178,0))/12+1)^((K1681-J1681)*12)-1,0)</f>
        <v>0</v>
      </c>
      <c r="Z1681" s="257">
        <f t="shared" si="357"/>
        <v>0</v>
      </c>
      <c r="AA1681" s="257">
        <f t="shared" si="358"/>
        <v>0</v>
      </c>
      <c r="AB1681" s="269">
        <f t="shared" si="359"/>
        <v>0</v>
      </c>
      <c r="AC1681" s="269">
        <f t="shared" si="360"/>
        <v>0</v>
      </c>
      <c r="AD1681" s="271" t="str">
        <f>INDEX('Global inputs'!$C$134:$C$171,MATCH(F1681,'Global inputs'!$B$134:$B$171,0))</f>
        <v>Asset relocations and undergrounding</v>
      </c>
      <c r="AE1681" s="272">
        <f>IF(OR(H1681='Operating leases'!$B$32,H1681='Operating leases'!$B$33),"",INDEX('Global inputs'!$C$186:$C$243,MATCH(E1681,'Global inputs'!$B$186:$B$243,0)))</f>
        <v>0.08</v>
      </c>
    </row>
    <row r="1682" spans="1:31" s="27" customFormat="1" x14ac:dyDescent="0.2">
      <c r="A1682" s="250"/>
      <c r="B1682" s="210" t="s">
        <v>714</v>
      </c>
      <c r="C1682" s="210" t="s">
        <v>285</v>
      </c>
      <c r="D1682" s="210" t="s">
        <v>223</v>
      </c>
      <c r="E1682" s="210" t="s">
        <v>134</v>
      </c>
      <c r="F1682" s="210" t="s">
        <v>92</v>
      </c>
      <c r="G1682" s="210" t="s">
        <v>726</v>
      </c>
      <c r="H1682" s="197">
        <v>0</v>
      </c>
      <c r="I1682" s="210" t="s">
        <v>223</v>
      </c>
      <c r="J1682" s="210">
        <v>2026</v>
      </c>
      <c r="K1682" s="210">
        <v>2026</v>
      </c>
      <c r="L1682" s="268" t="str">
        <f t="shared" si="348"/>
        <v>Simple</v>
      </c>
      <c r="M1682" s="197">
        <v>5413.0049999999992</v>
      </c>
      <c r="N1682" s="197">
        <v>8119.5074999999979</v>
      </c>
      <c r="O1682" s="257">
        <f>IF(ISNA(MATCH(H1682,'Operating leases'!$B$32:$B$43,0)),0,INDEX('Operating leases'!$M$32:$S$43,MATCH(H1682,'Operating leases'!$B$32:$B$43,0),MATCH(J1682,'Operating leases'!$M$11:$S$11,0)))</f>
        <v>0</v>
      </c>
      <c r="P1682" s="257">
        <f t="shared" si="349"/>
        <v>5413.0049999999992</v>
      </c>
      <c r="Q1682" s="257">
        <f t="shared" si="350"/>
        <v>13532.512499999997</v>
      </c>
      <c r="R1682" s="258">
        <f>INDEX('Escalators '!$M$124:$S$129,MATCH(I1682,'Escalators '!$B$124:$B$129,0),MATCH(J1682,'Escalators '!$M$113:$S$113,0))</f>
        <v>1.168210490264004</v>
      </c>
      <c r="S1682" s="257">
        <f t="shared" si="351"/>
        <v>0</v>
      </c>
      <c r="T1682" s="257">
        <f t="shared" si="352"/>
        <v>9485.2938372772551</v>
      </c>
      <c r="U1682" s="269">
        <f t="shared" si="353"/>
        <v>6323.5292248515052</v>
      </c>
      <c r="V1682" s="269">
        <f t="shared" si="354"/>
        <v>15808.82306212876</v>
      </c>
      <c r="W1682" s="269">
        <f t="shared" si="355"/>
        <v>6323.5292248515052</v>
      </c>
      <c r="X1682" s="257">
        <f t="shared" si="356"/>
        <v>15808.82306212876</v>
      </c>
      <c r="Y1682" s="270">
        <f>IF(L1682="Complex",(INDEX('Escalators '!$M$176:$S$176,MATCH('Forecast capex'!J1682,'Escalators '!$M$178:$S$178,0))/12+1)^((K1682-J1682)*12)-1,0)</f>
        <v>0</v>
      </c>
      <c r="Z1682" s="257">
        <f t="shared" si="357"/>
        <v>0</v>
      </c>
      <c r="AA1682" s="257">
        <f t="shared" si="358"/>
        <v>0</v>
      </c>
      <c r="AB1682" s="269">
        <f t="shared" si="359"/>
        <v>0</v>
      </c>
      <c r="AC1682" s="269">
        <f t="shared" si="360"/>
        <v>0</v>
      </c>
      <c r="AD1682" s="271" t="str">
        <f>INDEX('Global inputs'!$C$134:$C$171,MATCH(F1682,'Global inputs'!$B$134:$B$171,0))</f>
        <v>Asset relocations and undergrounding</v>
      </c>
      <c r="AE1682" s="272">
        <f>IF(OR(H1682='Operating leases'!$B$32,H1682='Operating leases'!$B$33),"",INDEX('Global inputs'!$C$186:$C$243,MATCH(E1682,'Global inputs'!$B$186:$B$243,0)))</f>
        <v>0.08</v>
      </c>
    </row>
    <row r="1683" spans="1:31" s="27" customFormat="1" x14ac:dyDescent="0.2">
      <c r="A1683" s="250"/>
      <c r="B1683" s="210" t="s">
        <v>714</v>
      </c>
      <c r="C1683" s="210" t="s">
        <v>285</v>
      </c>
      <c r="D1683" s="210" t="s">
        <v>223</v>
      </c>
      <c r="E1683" s="210" t="s">
        <v>134</v>
      </c>
      <c r="F1683" s="210" t="s">
        <v>92</v>
      </c>
      <c r="G1683" s="210" t="s">
        <v>726</v>
      </c>
      <c r="H1683" s="197">
        <v>0</v>
      </c>
      <c r="I1683" s="210" t="s">
        <v>221</v>
      </c>
      <c r="J1683" s="210">
        <v>2026</v>
      </c>
      <c r="K1683" s="210">
        <v>2026</v>
      </c>
      <c r="L1683" s="268" t="str">
        <f t="shared" si="348"/>
        <v>Simple</v>
      </c>
      <c r="M1683" s="197">
        <v>12630.344999999998</v>
      </c>
      <c r="N1683" s="197">
        <v>18945.517499999994</v>
      </c>
      <c r="O1683" s="257">
        <f>IF(ISNA(MATCH(H1683,'Operating leases'!$B$32:$B$43,0)),0,INDEX('Operating leases'!$M$32:$S$43,MATCH(H1683,'Operating leases'!$B$32:$B$43,0),MATCH(J1683,'Operating leases'!$M$11:$S$11,0)))</f>
        <v>0</v>
      </c>
      <c r="P1683" s="257">
        <f t="shared" si="349"/>
        <v>12630.344999999998</v>
      </c>
      <c r="Q1683" s="257">
        <f t="shared" si="350"/>
        <v>31575.862499999992</v>
      </c>
      <c r="R1683" s="258">
        <f>INDEX('Escalators '!$M$124:$S$129,MATCH(I1683,'Escalators '!$B$124:$B$129,0),MATCH(J1683,'Escalators '!$M$113:$S$113,0))</f>
        <v>1.1088998660799403</v>
      </c>
      <c r="S1683" s="257">
        <f t="shared" si="351"/>
        <v>0</v>
      </c>
      <c r="T1683" s="257">
        <f t="shared" si="352"/>
        <v>21008.681818565157</v>
      </c>
      <c r="U1683" s="269">
        <f t="shared" si="353"/>
        <v>14005.787879043441</v>
      </c>
      <c r="V1683" s="269">
        <f t="shared" si="354"/>
        <v>35014.469697608598</v>
      </c>
      <c r="W1683" s="269">
        <f t="shared" si="355"/>
        <v>14005.787879043441</v>
      </c>
      <c r="X1683" s="257">
        <f t="shared" si="356"/>
        <v>35014.469697608598</v>
      </c>
      <c r="Y1683" s="270">
        <f>IF(L1683="Complex",(INDEX('Escalators '!$M$176:$S$176,MATCH('Forecast capex'!J1683,'Escalators '!$M$178:$S$178,0))/12+1)^((K1683-J1683)*12)-1,0)</f>
        <v>0</v>
      </c>
      <c r="Z1683" s="257">
        <f t="shared" si="357"/>
        <v>0</v>
      </c>
      <c r="AA1683" s="257">
        <f t="shared" si="358"/>
        <v>0</v>
      </c>
      <c r="AB1683" s="269">
        <f t="shared" si="359"/>
        <v>0</v>
      </c>
      <c r="AC1683" s="269">
        <f t="shared" si="360"/>
        <v>0</v>
      </c>
      <c r="AD1683" s="271" t="str">
        <f>INDEX('Global inputs'!$C$134:$C$171,MATCH(F1683,'Global inputs'!$B$134:$B$171,0))</f>
        <v>Asset relocations and undergrounding</v>
      </c>
      <c r="AE1683" s="272">
        <f>IF(OR(H1683='Operating leases'!$B$32,H1683='Operating leases'!$B$33),"",INDEX('Global inputs'!$C$186:$C$243,MATCH(E1683,'Global inputs'!$B$186:$B$243,0)))</f>
        <v>0.08</v>
      </c>
    </row>
    <row r="1684" spans="1:31" s="27" customFormat="1" x14ac:dyDescent="0.2">
      <c r="A1684" s="250"/>
      <c r="B1684" s="210" t="s">
        <v>714</v>
      </c>
      <c r="C1684" s="210" t="s">
        <v>288</v>
      </c>
      <c r="D1684" s="210" t="s">
        <v>223</v>
      </c>
      <c r="E1684" s="210" t="s">
        <v>156</v>
      </c>
      <c r="F1684" s="210" t="s">
        <v>92</v>
      </c>
      <c r="G1684" s="210" t="s">
        <v>727</v>
      </c>
      <c r="H1684" s="197">
        <v>0</v>
      </c>
      <c r="I1684" s="210" t="s">
        <v>223</v>
      </c>
      <c r="J1684" s="210">
        <v>2026</v>
      </c>
      <c r="K1684" s="210">
        <v>2026</v>
      </c>
      <c r="L1684" s="268" t="str">
        <f t="shared" si="348"/>
        <v>Simple</v>
      </c>
      <c r="M1684" s="197">
        <v>58867.604999999989</v>
      </c>
      <c r="N1684" s="197">
        <v>88301.407499999972</v>
      </c>
      <c r="O1684" s="257">
        <f>IF(ISNA(MATCH(H1684,'Operating leases'!$B$32:$B$43,0)),0,INDEX('Operating leases'!$M$32:$S$43,MATCH(H1684,'Operating leases'!$B$32:$B$43,0),MATCH(J1684,'Operating leases'!$M$11:$S$11,0)))</f>
        <v>0</v>
      </c>
      <c r="P1684" s="257">
        <f t="shared" si="349"/>
        <v>58867.604999999989</v>
      </c>
      <c r="Q1684" s="257">
        <f t="shared" si="350"/>
        <v>147169.01249999995</v>
      </c>
      <c r="R1684" s="258">
        <f>INDEX('Escalators '!$M$124:$S$129,MATCH(I1684,'Escalators '!$B$124:$B$129,0),MATCH(J1684,'Escalators '!$M$113:$S$113,0))</f>
        <v>1.168210490264004</v>
      </c>
      <c r="S1684" s="257">
        <f t="shared" si="351"/>
        <v>0</v>
      </c>
      <c r="T1684" s="257">
        <f t="shared" si="352"/>
        <v>103154.63054657658</v>
      </c>
      <c r="U1684" s="269">
        <f t="shared" si="353"/>
        <v>68769.753697717708</v>
      </c>
      <c r="V1684" s="269">
        <f t="shared" si="354"/>
        <v>171924.38424429428</v>
      </c>
      <c r="W1684" s="269">
        <f t="shared" si="355"/>
        <v>68769.753697717708</v>
      </c>
      <c r="X1684" s="257">
        <f t="shared" si="356"/>
        <v>171924.38424429428</v>
      </c>
      <c r="Y1684" s="270">
        <f>IF(L1684="Complex",(INDEX('Escalators '!$M$176:$S$176,MATCH('Forecast capex'!J1684,'Escalators '!$M$178:$S$178,0))/12+1)^((K1684-J1684)*12)-1,0)</f>
        <v>0</v>
      </c>
      <c r="Z1684" s="257">
        <f t="shared" si="357"/>
        <v>0</v>
      </c>
      <c r="AA1684" s="257">
        <f t="shared" si="358"/>
        <v>0</v>
      </c>
      <c r="AB1684" s="269">
        <f t="shared" si="359"/>
        <v>0</v>
      </c>
      <c r="AC1684" s="269">
        <f t="shared" si="360"/>
        <v>0</v>
      </c>
      <c r="AD1684" s="271" t="str">
        <f>INDEX('Global inputs'!$C$134:$C$171,MATCH(F1684,'Global inputs'!$B$134:$B$171,0))</f>
        <v>Asset relocations and undergrounding</v>
      </c>
      <c r="AE1684" s="272">
        <f>IF(OR(H1684='Operating leases'!$B$32,H1684='Operating leases'!$B$33),"",INDEX('Global inputs'!$C$186:$C$243,MATCH(E1684,'Global inputs'!$B$186:$B$243,0)))</f>
        <v>0.08</v>
      </c>
    </row>
    <row r="1685" spans="1:31" s="27" customFormat="1" x14ac:dyDescent="0.2">
      <c r="A1685" s="250"/>
      <c r="B1685" s="210" t="s">
        <v>714</v>
      </c>
      <c r="C1685" s="210" t="s">
        <v>288</v>
      </c>
      <c r="D1685" s="210" t="s">
        <v>223</v>
      </c>
      <c r="E1685" s="210" t="s">
        <v>156</v>
      </c>
      <c r="F1685" s="210" t="s">
        <v>92</v>
      </c>
      <c r="G1685" s="210" t="s">
        <v>727</v>
      </c>
      <c r="H1685" s="197">
        <v>0</v>
      </c>
      <c r="I1685" s="210" t="s">
        <v>221</v>
      </c>
      <c r="J1685" s="210">
        <v>2026</v>
      </c>
      <c r="K1685" s="210">
        <v>2026</v>
      </c>
      <c r="L1685" s="268" t="str">
        <f t="shared" si="348"/>
        <v>Simple</v>
      </c>
      <c r="M1685" s="197">
        <v>137357.74499999997</v>
      </c>
      <c r="N1685" s="197">
        <v>206036.61749999993</v>
      </c>
      <c r="O1685" s="257">
        <f>IF(ISNA(MATCH(H1685,'Operating leases'!$B$32:$B$43,0)),0,INDEX('Operating leases'!$M$32:$S$43,MATCH(H1685,'Operating leases'!$B$32:$B$43,0),MATCH(J1685,'Operating leases'!$M$11:$S$11,0)))</f>
        <v>0</v>
      </c>
      <c r="P1685" s="257">
        <f t="shared" si="349"/>
        <v>137357.74499999997</v>
      </c>
      <c r="Q1685" s="257">
        <f t="shared" si="350"/>
        <v>343394.36249999993</v>
      </c>
      <c r="R1685" s="258">
        <f>INDEX('Escalators '!$M$124:$S$129,MATCH(I1685,'Escalators '!$B$124:$B$129,0),MATCH(J1685,'Escalators '!$M$113:$S$113,0))</f>
        <v>1.1088998660799403</v>
      </c>
      <c r="S1685" s="257">
        <f t="shared" si="351"/>
        <v>0</v>
      </c>
      <c r="T1685" s="257">
        <f t="shared" si="352"/>
        <v>228473.9775533138</v>
      </c>
      <c r="U1685" s="269">
        <f t="shared" si="353"/>
        <v>152315.9850355426</v>
      </c>
      <c r="V1685" s="269">
        <f t="shared" si="354"/>
        <v>380789.9625888564</v>
      </c>
      <c r="W1685" s="269">
        <f t="shared" si="355"/>
        <v>152315.9850355426</v>
      </c>
      <c r="X1685" s="257">
        <f t="shared" si="356"/>
        <v>380789.9625888564</v>
      </c>
      <c r="Y1685" s="270">
        <f>IF(L1685="Complex",(INDEX('Escalators '!$M$176:$S$176,MATCH('Forecast capex'!J1685,'Escalators '!$M$178:$S$178,0))/12+1)^((K1685-J1685)*12)-1,0)</f>
        <v>0</v>
      </c>
      <c r="Z1685" s="257">
        <f t="shared" si="357"/>
        <v>0</v>
      </c>
      <c r="AA1685" s="257">
        <f t="shared" si="358"/>
        <v>0</v>
      </c>
      <c r="AB1685" s="269">
        <f t="shared" si="359"/>
        <v>0</v>
      </c>
      <c r="AC1685" s="269">
        <f t="shared" si="360"/>
        <v>0</v>
      </c>
      <c r="AD1685" s="271" t="str">
        <f>INDEX('Global inputs'!$C$134:$C$171,MATCH(F1685,'Global inputs'!$B$134:$B$171,0))</f>
        <v>Asset relocations and undergrounding</v>
      </c>
      <c r="AE1685" s="272">
        <f>IF(OR(H1685='Operating leases'!$B$32,H1685='Operating leases'!$B$33),"",INDEX('Global inputs'!$C$186:$C$243,MATCH(E1685,'Global inputs'!$B$186:$B$243,0)))</f>
        <v>0.08</v>
      </c>
    </row>
    <row r="1686" spans="1:31" s="27" customFormat="1" x14ac:dyDescent="0.2">
      <c r="A1686" s="250"/>
      <c r="B1686" s="210" t="s">
        <v>714</v>
      </c>
      <c r="C1686" s="210" t="s">
        <v>288</v>
      </c>
      <c r="D1686" s="210" t="s">
        <v>223</v>
      </c>
      <c r="E1686" s="210" t="s">
        <v>158</v>
      </c>
      <c r="F1686" s="210" t="s">
        <v>92</v>
      </c>
      <c r="G1686" s="210" t="s">
        <v>728</v>
      </c>
      <c r="H1686" s="197">
        <v>0</v>
      </c>
      <c r="I1686" s="210" t="s">
        <v>223</v>
      </c>
      <c r="J1686" s="210">
        <v>2026</v>
      </c>
      <c r="K1686" s="210">
        <v>2026</v>
      </c>
      <c r="L1686" s="268" t="str">
        <f t="shared" si="348"/>
        <v>Simple</v>
      </c>
      <c r="M1686" s="197">
        <v>49620.020000000004</v>
      </c>
      <c r="N1686" s="197">
        <v>74430.03</v>
      </c>
      <c r="O1686" s="257">
        <f>IF(ISNA(MATCH(H1686,'Operating leases'!$B$32:$B$43,0)),0,INDEX('Operating leases'!$M$32:$S$43,MATCH(H1686,'Operating leases'!$B$32:$B$43,0),MATCH(J1686,'Operating leases'!$M$11:$S$11,0)))</f>
        <v>0</v>
      </c>
      <c r="P1686" s="257">
        <f t="shared" si="349"/>
        <v>49620.020000000004</v>
      </c>
      <c r="Q1686" s="257">
        <f t="shared" si="350"/>
        <v>124050.05</v>
      </c>
      <c r="R1686" s="258">
        <f>INDEX('Escalators '!$M$124:$S$129,MATCH(I1686,'Escalators '!$B$124:$B$129,0),MATCH(J1686,'Escalators '!$M$113:$S$113,0))</f>
        <v>1.168210490264004</v>
      </c>
      <c r="S1686" s="257">
        <f t="shared" si="351"/>
        <v>0</v>
      </c>
      <c r="T1686" s="257">
        <f t="shared" si="352"/>
        <v>86949.941836664526</v>
      </c>
      <c r="U1686" s="269">
        <f t="shared" si="353"/>
        <v>57966.627891109689</v>
      </c>
      <c r="V1686" s="269">
        <f t="shared" si="354"/>
        <v>144916.56972777421</v>
      </c>
      <c r="W1686" s="269">
        <f t="shared" si="355"/>
        <v>57966.627891109689</v>
      </c>
      <c r="X1686" s="257">
        <f t="shared" si="356"/>
        <v>144916.56972777421</v>
      </c>
      <c r="Y1686" s="270">
        <f>IF(L1686="Complex",(INDEX('Escalators '!$M$176:$S$176,MATCH('Forecast capex'!J1686,'Escalators '!$M$178:$S$178,0))/12+1)^((K1686-J1686)*12)-1,0)</f>
        <v>0</v>
      </c>
      <c r="Z1686" s="257">
        <f t="shared" si="357"/>
        <v>0</v>
      </c>
      <c r="AA1686" s="257">
        <f t="shared" si="358"/>
        <v>0</v>
      </c>
      <c r="AB1686" s="269">
        <f t="shared" si="359"/>
        <v>0</v>
      </c>
      <c r="AC1686" s="269">
        <f t="shared" si="360"/>
        <v>0</v>
      </c>
      <c r="AD1686" s="271" t="str">
        <f>INDEX('Global inputs'!$C$134:$C$171,MATCH(F1686,'Global inputs'!$B$134:$B$171,0))</f>
        <v>Asset relocations and undergrounding</v>
      </c>
      <c r="AE1686" s="272">
        <f>IF(OR(H1686='Operating leases'!$B$32,H1686='Operating leases'!$B$33),"",INDEX('Global inputs'!$C$186:$C$243,MATCH(E1686,'Global inputs'!$B$186:$B$243,0)))</f>
        <v>0.08</v>
      </c>
    </row>
    <row r="1687" spans="1:31" s="27" customFormat="1" x14ac:dyDescent="0.2">
      <c r="A1687" s="250"/>
      <c r="B1687" s="210" t="s">
        <v>714</v>
      </c>
      <c r="C1687" s="210" t="s">
        <v>288</v>
      </c>
      <c r="D1687" s="210" t="s">
        <v>223</v>
      </c>
      <c r="E1687" s="210" t="s">
        <v>158</v>
      </c>
      <c r="F1687" s="210" t="s">
        <v>92</v>
      </c>
      <c r="G1687" s="210" t="s">
        <v>728</v>
      </c>
      <c r="H1687" s="197">
        <v>0</v>
      </c>
      <c r="I1687" s="210" t="s">
        <v>221</v>
      </c>
      <c r="J1687" s="210">
        <v>2026</v>
      </c>
      <c r="K1687" s="210">
        <v>2026</v>
      </c>
      <c r="L1687" s="268" t="str">
        <f t="shared" si="348"/>
        <v>Simple</v>
      </c>
      <c r="M1687" s="197">
        <v>74430.029999999984</v>
      </c>
      <c r="N1687" s="197">
        <v>111645.04499999997</v>
      </c>
      <c r="O1687" s="257">
        <f>IF(ISNA(MATCH(H1687,'Operating leases'!$B$32:$B$43,0)),0,INDEX('Operating leases'!$M$32:$S$43,MATCH(H1687,'Operating leases'!$B$32:$B$43,0),MATCH(J1687,'Operating leases'!$M$11:$S$11,0)))</f>
        <v>0</v>
      </c>
      <c r="P1687" s="257">
        <f t="shared" si="349"/>
        <v>74430.029999999984</v>
      </c>
      <c r="Q1687" s="257">
        <f t="shared" si="350"/>
        <v>186075.07499999995</v>
      </c>
      <c r="R1687" s="258">
        <f>INDEX('Escalators '!$M$124:$S$129,MATCH(I1687,'Escalators '!$B$124:$B$129,0),MATCH(J1687,'Escalators '!$M$113:$S$113,0))</f>
        <v>1.1088998660799403</v>
      </c>
      <c r="S1687" s="257">
        <f t="shared" si="351"/>
        <v>0</v>
      </c>
      <c r="T1687" s="257">
        <f t="shared" si="352"/>
        <v>123803.17544898887</v>
      </c>
      <c r="U1687" s="269">
        <f t="shared" si="353"/>
        <v>82535.450299325938</v>
      </c>
      <c r="V1687" s="269">
        <f t="shared" si="354"/>
        <v>206338.62574831481</v>
      </c>
      <c r="W1687" s="269">
        <f t="shared" si="355"/>
        <v>82535.450299325938</v>
      </c>
      <c r="X1687" s="257">
        <f t="shared" si="356"/>
        <v>206338.62574831481</v>
      </c>
      <c r="Y1687" s="270">
        <f>IF(L1687="Complex",(INDEX('Escalators '!$M$176:$S$176,MATCH('Forecast capex'!J1687,'Escalators '!$M$178:$S$178,0))/12+1)^((K1687-J1687)*12)-1,0)</f>
        <v>0</v>
      </c>
      <c r="Z1687" s="257">
        <f t="shared" si="357"/>
        <v>0</v>
      </c>
      <c r="AA1687" s="257">
        <f t="shared" si="358"/>
        <v>0</v>
      </c>
      <c r="AB1687" s="269">
        <f t="shared" si="359"/>
        <v>0</v>
      </c>
      <c r="AC1687" s="269">
        <f t="shared" si="360"/>
        <v>0</v>
      </c>
      <c r="AD1687" s="271" t="str">
        <f>INDEX('Global inputs'!$C$134:$C$171,MATCH(F1687,'Global inputs'!$B$134:$B$171,0))</f>
        <v>Asset relocations and undergrounding</v>
      </c>
      <c r="AE1687" s="272">
        <f>IF(OR(H1687='Operating leases'!$B$32,H1687='Operating leases'!$B$33),"",INDEX('Global inputs'!$C$186:$C$243,MATCH(E1687,'Global inputs'!$B$186:$B$243,0)))</f>
        <v>0.08</v>
      </c>
    </row>
    <row r="1688" spans="1:31" s="27" customFormat="1" x14ac:dyDescent="0.2">
      <c r="A1688" s="250"/>
      <c r="B1688" s="210" t="s">
        <v>714</v>
      </c>
      <c r="C1688" s="210" t="s">
        <v>284</v>
      </c>
      <c r="D1688" s="210" t="s">
        <v>729</v>
      </c>
      <c r="E1688" s="210" t="s">
        <v>127</v>
      </c>
      <c r="F1688" s="210" t="s">
        <v>92</v>
      </c>
      <c r="G1688" s="210" t="s">
        <v>730</v>
      </c>
      <c r="H1688" s="197">
        <v>0</v>
      </c>
      <c r="I1688" s="210" t="s">
        <v>225</v>
      </c>
      <c r="J1688" s="210">
        <v>2026</v>
      </c>
      <c r="K1688" s="210">
        <v>2026</v>
      </c>
      <c r="L1688" s="268" t="str">
        <f t="shared" si="348"/>
        <v>Simple</v>
      </c>
      <c r="M1688" s="197">
        <v>1353.3700000000001</v>
      </c>
      <c r="N1688" s="197">
        <v>2030.0550000000001</v>
      </c>
      <c r="O1688" s="257">
        <f>IF(ISNA(MATCH(H1688,'Operating leases'!$B$32:$B$43,0)),0,INDEX('Operating leases'!$M$32:$S$43,MATCH(H1688,'Operating leases'!$B$32:$B$43,0),MATCH(J1688,'Operating leases'!$M$11:$S$11,0)))</f>
        <v>0</v>
      </c>
      <c r="P1688" s="257">
        <f t="shared" si="349"/>
        <v>1353.3700000000001</v>
      </c>
      <c r="Q1688" s="257">
        <f t="shared" si="350"/>
        <v>3383.4250000000002</v>
      </c>
      <c r="R1688" s="258">
        <f>INDEX('Escalators '!$M$124:$S$129,MATCH(I1688,'Escalators '!$B$124:$B$129,0),MATCH(J1688,'Escalators '!$M$113:$S$113,0))</f>
        <v>1.1685447741482344</v>
      </c>
      <c r="S1688" s="257">
        <f t="shared" si="351"/>
        <v>0</v>
      </c>
      <c r="T1688" s="257">
        <f t="shared" si="352"/>
        <v>2372.2101614834942</v>
      </c>
      <c r="U1688" s="269">
        <f t="shared" si="353"/>
        <v>1581.4734409889961</v>
      </c>
      <c r="V1688" s="269">
        <f t="shared" si="354"/>
        <v>3953.6836024724903</v>
      </c>
      <c r="W1688" s="269">
        <f t="shared" si="355"/>
        <v>1581.4734409889961</v>
      </c>
      <c r="X1688" s="257">
        <f t="shared" si="356"/>
        <v>3953.6836024724903</v>
      </c>
      <c r="Y1688" s="270">
        <f>IF(L1688="Complex",(INDEX('Escalators '!$M$176:$S$176,MATCH('Forecast capex'!J1688,'Escalators '!$M$178:$S$178,0))/12+1)^((K1688-J1688)*12)-1,0)</f>
        <v>0</v>
      </c>
      <c r="Z1688" s="257">
        <f t="shared" si="357"/>
        <v>0</v>
      </c>
      <c r="AA1688" s="257">
        <f t="shared" si="358"/>
        <v>0</v>
      </c>
      <c r="AB1688" s="269">
        <f t="shared" si="359"/>
        <v>0</v>
      </c>
      <c r="AC1688" s="269">
        <f t="shared" si="360"/>
        <v>0</v>
      </c>
      <c r="AD1688" s="271" t="str">
        <f>INDEX('Global inputs'!$C$134:$C$171,MATCH(F1688,'Global inputs'!$B$134:$B$171,0))</f>
        <v>Asset relocations and undergrounding</v>
      </c>
      <c r="AE1688" s="272">
        <f>IF(OR(H1688='Operating leases'!$B$32,H1688='Operating leases'!$B$33),"",INDEX('Global inputs'!$C$186:$C$243,MATCH(E1688,'Global inputs'!$B$186:$B$243,0)))</f>
        <v>0.08</v>
      </c>
    </row>
    <row r="1689" spans="1:31" s="27" customFormat="1" x14ac:dyDescent="0.2">
      <c r="A1689" s="250"/>
      <c r="B1689" s="210" t="s">
        <v>714</v>
      </c>
      <c r="C1689" s="210" t="s">
        <v>284</v>
      </c>
      <c r="D1689" s="210" t="s">
        <v>729</v>
      </c>
      <c r="E1689" s="210" t="s">
        <v>127</v>
      </c>
      <c r="F1689" s="210" t="s">
        <v>92</v>
      </c>
      <c r="G1689" s="210" t="s">
        <v>730</v>
      </c>
      <c r="H1689" s="197">
        <v>0</v>
      </c>
      <c r="I1689" s="210" t="s">
        <v>221</v>
      </c>
      <c r="J1689" s="210">
        <v>2026</v>
      </c>
      <c r="K1689" s="210">
        <v>2026</v>
      </c>
      <c r="L1689" s="268" t="str">
        <f t="shared" si="348"/>
        <v>Simple</v>
      </c>
      <c r="M1689" s="197">
        <v>5413.4800000000005</v>
      </c>
      <c r="N1689" s="197">
        <v>8120.22</v>
      </c>
      <c r="O1689" s="257">
        <f>IF(ISNA(MATCH(H1689,'Operating leases'!$B$32:$B$43,0)),0,INDEX('Operating leases'!$M$32:$S$43,MATCH(H1689,'Operating leases'!$B$32:$B$43,0),MATCH(J1689,'Operating leases'!$M$11:$S$11,0)))</f>
        <v>0</v>
      </c>
      <c r="P1689" s="257">
        <f t="shared" si="349"/>
        <v>5413.4800000000005</v>
      </c>
      <c r="Q1689" s="257">
        <f t="shared" si="350"/>
        <v>13533.7</v>
      </c>
      <c r="R1689" s="258">
        <f>INDEX('Escalators '!$M$124:$S$129,MATCH(I1689,'Escalators '!$B$124:$B$129,0),MATCH(J1689,'Escalators '!$M$113:$S$113,0))</f>
        <v>1.1088998660799403</v>
      </c>
      <c r="S1689" s="257">
        <f t="shared" si="351"/>
        <v>0</v>
      </c>
      <c r="T1689" s="257">
        <f t="shared" si="352"/>
        <v>9004.5108705396524</v>
      </c>
      <c r="U1689" s="269">
        <f t="shared" si="353"/>
        <v>6003.0072470264367</v>
      </c>
      <c r="V1689" s="269">
        <f t="shared" si="354"/>
        <v>15007.518117566089</v>
      </c>
      <c r="W1689" s="269">
        <f t="shared" si="355"/>
        <v>6003.0072470264367</v>
      </c>
      <c r="X1689" s="257">
        <f t="shared" si="356"/>
        <v>15007.518117566089</v>
      </c>
      <c r="Y1689" s="270">
        <f>IF(L1689="Complex",(INDEX('Escalators '!$M$176:$S$176,MATCH('Forecast capex'!J1689,'Escalators '!$M$178:$S$178,0))/12+1)^((K1689-J1689)*12)-1,0)</f>
        <v>0</v>
      </c>
      <c r="Z1689" s="257">
        <f t="shared" si="357"/>
        <v>0</v>
      </c>
      <c r="AA1689" s="257">
        <f t="shared" si="358"/>
        <v>0</v>
      </c>
      <c r="AB1689" s="269">
        <f t="shared" si="359"/>
        <v>0</v>
      </c>
      <c r="AC1689" s="269">
        <f t="shared" si="360"/>
        <v>0</v>
      </c>
      <c r="AD1689" s="271" t="str">
        <f>INDEX('Global inputs'!$C$134:$C$171,MATCH(F1689,'Global inputs'!$B$134:$B$171,0))</f>
        <v>Asset relocations and undergrounding</v>
      </c>
      <c r="AE1689" s="272">
        <f>IF(OR(H1689='Operating leases'!$B$32,H1689='Operating leases'!$B$33),"",INDEX('Global inputs'!$C$186:$C$243,MATCH(E1689,'Global inputs'!$B$186:$B$243,0)))</f>
        <v>0.08</v>
      </c>
    </row>
    <row r="1690" spans="1:31" s="27" customFormat="1" x14ac:dyDescent="0.2">
      <c r="A1690" s="250"/>
      <c r="B1690" s="210" t="s">
        <v>714</v>
      </c>
      <c r="C1690" s="210" t="s">
        <v>284</v>
      </c>
      <c r="D1690" s="210" t="s">
        <v>729</v>
      </c>
      <c r="E1690" s="210" t="s">
        <v>129</v>
      </c>
      <c r="F1690" s="210" t="s">
        <v>92</v>
      </c>
      <c r="G1690" s="210" t="s">
        <v>730</v>
      </c>
      <c r="H1690" s="197">
        <v>0</v>
      </c>
      <c r="I1690" s="210" t="s">
        <v>225</v>
      </c>
      <c r="J1690" s="210">
        <v>2026</v>
      </c>
      <c r="K1690" s="210">
        <v>2026</v>
      </c>
      <c r="L1690" s="268" t="str">
        <f t="shared" si="348"/>
        <v>Simple</v>
      </c>
      <c r="M1690" s="197">
        <v>1353.3700000000001</v>
      </c>
      <c r="N1690" s="197">
        <v>2030.0550000000001</v>
      </c>
      <c r="O1690" s="257">
        <f>IF(ISNA(MATCH(H1690,'Operating leases'!$B$32:$B$43,0)),0,INDEX('Operating leases'!$M$32:$S$43,MATCH(H1690,'Operating leases'!$B$32:$B$43,0),MATCH(J1690,'Operating leases'!$M$11:$S$11,0)))</f>
        <v>0</v>
      </c>
      <c r="P1690" s="257">
        <f t="shared" si="349"/>
        <v>1353.3700000000001</v>
      </c>
      <c r="Q1690" s="257">
        <f t="shared" si="350"/>
        <v>3383.4250000000002</v>
      </c>
      <c r="R1690" s="258">
        <f>INDEX('Escalators '!$M$124:$S$129,MATCH(I1690,'Escalators '!$B$124:$B$129,0),MATCH(J1690,'Escalators '!$M$113:$S$113,0))</f>
        <v>1.1685447741482344</v>
      </c>
      <c r="S1690" s="257">
        <f t="shared" si="351"/>
        <v>0</v>
      </c>
      <c r="T1690" s="257">
        <f t="shared" si="352"/>
        <v>2372.2101614834942</v>
      </c>
      <c r="U1690" s="269">
        <f t="shared" si="353"/>
        <v>1581.4734409889961</v>
      </c>
      <c r="V1690" s="269">
        <f t="shared" si="354"/>
        <v>3953.6836024724903</v>
      </c>
      <c r="W1690" s="269">
        <f t="shared" si="355"/>
        <v>1581.4734409889961</v>
      </c>
      <c r="X1690" s="257">
        <f t="shared" si="356"/>
        <v>3953.6836024724903</v>
      </c>
      <c r="Y1690" s="270">
        <f>IF(L1690="Complex",(INDEX('Escalators '!$M$176:$S$176,MATCH('Forecast capex'!J1690,'Escalators '!$M$178:$S$178,0))/12+1)^((K1690-J1690)*12)-1,0)</f>
        <v>0</v>
      </c>
      <c r="Z1690" s="257">
        <f t="shared" si="357"/>
        <v>0</v>
      </c>
      <c r="AA1690" s="257">
        <f t="shared" si="358"/>
        <v>0</v>
      </c>
      <c r="AB1690" s="269">
        <f t="shared" si="359"/>
        <v>0</v>
      </c>
      <c r="AC1690" s="269">
        <f t="shared" si="360"/>
        <v>0</v>
      </c>
      <c r="AD1690" s="271" t="str">
        <f>INDEX('Global inputs'!$C$134:$C$171,MATCH(F1690,'Global inputs'!$B$134:$B$171,0))</f>
        <v>Asset relocations and undergrounding</v>
      </c>
      <c r="AE1690" s="272">
        <f>IF(OR(H1690='Operating leases'!$B$32,H1690='Operating leases'!$B$33),"",INDEX('Global inputs'!$C$186:$C$243,MATCH(E1690,'Global inputs'!$B$186:$B$243,0)))</f>
        <v>0.1</v>
      </c>
    </row>
    <row r="1691" spans="1:31" s="27" customFormat="1" x14ac:dyDescent="0.2">
      <c r="A1691" s="250"/>
      <c r="B1691" s="210" t="s">
        <v>714</v>
      </c>
      <c r="C1691" s="210" t="s">
        <v>284</v>
      </c>
      <c r="D1691" s="210" t="s">
        <v>729</v>
      </c>
      <c r="E1691" s="210" t="s">
        <v>129</v>
      </c>
      <c r="F1691" s="210" t="s">
        <v>92</v>
      </c>
      <c r="G1691" s="210" t="s">
        <v>730</v>
      </c>
      <c r="H1691" s="197">
        <v>0</v>
      </c>
      <c r="I1691" s="210" t="s">
        <v>221</v>
      </c>
      <c r="J1691" s="210">
        <v>2026</v>
      </c>
      <c r="K1691" s="210">
        <v>2026</v>
      </c>
      <c r="L1691" s="268" t="str">
        <f t="shared" si="348"/>
        <v>Simple</v>
      </c>
      <c r="M1691" s="197">
        <v>5413.4800000000005</v>
      </c>
      <c r="N1691" s="197">
        <v>8120.22</v>
      </c>
      <c r="O1691" s="257">
        <f>IF(ISNA(MATCH(H1691,'Operating leases'!$B$32:$B$43,0)),0,INDEX('Operating leases'!$M$32:$S$43,MATCH(H1691,'Operating leases'!$B$32:$B$43,0),MATCH(J1691,'Operating leases'!$M$11:$S$11,0)))</f>
        <v>0</v>
      </c>
      <c r="P1691" s="257">
        <f t="shared" si="349"/>
        <v>5413.4800000000005</v>
      </c>
      <c r="Q1691" s="257">
        <f t="shared" si="350"/>
        <v>13533.7</v>
      </c>
      <c r="R1691" s="258">
        <f>INDEX('Escalators '!$M$124:$S$129,MATCH(I1691,'Escalators '!$B$124:$B$129,0),MATCH(J1691,'Escalators '!$M$113:$S$113,0))</f>
        <v>1.1088998660799403</v>
      </c>
      <c r="S1691" s="257">
        <f t="shared" si="351"/>
        <v>0</v>
      </c>
      <c r="T1691" s="257">
        <f t="shared" si="352"/>
        <v>9004.5108705396524</v>
      </c>
      <c r="U1691" s="269">
        <f t="shared" si="353"/>
        <v>6003.0072470264367</v>
      </c>
      <c r="V1691" s="269">
        <f t="shared" si="354"/>
        <v>15007.518117566089</v>
      </c>
      <c r="W1691" s="269">
        <f t="shared" si="355"/>
        <v>6003.0072470264367</v>
      </c>
      <c r="X1691" s="257">
        <f t="shared" si="356"/>
        <v>15007.518117566089</v>
      </c>
      <c r="Y1691" s="270">
        <f>IF(L1691="Complex",(INDEX('Escalators '!$M$176:$S$176,MATCH('Forecast capex'!J1691,'Escalators '!$M$178:$S$178,0))/12+1)^((K1691-J1691)*12)-1,0)</f>
        <v>0</v>
      </c>
      <c r="Z1691" s="257">
        <f t="shared" si="357"/>
        <v>0</v>
      </c>
      <c r="AA1691" s="257">
        <f t="shared" si="358"/>
        <v>0</v>
      </c>
      <c r="AB1691" s="269">
        <f t="shared" si="359"/>
        <v>0</v>
      </c>
      <c r="AC1691" s="269">
        <f t="shared" si="360"/>
        <v>0</v>
      </c>
      <c r="AD1691" s="271" t="str">
        <f>INDEX('Global inputs'!$C$134:$C$171,MATCH(F1691,'Global inputs'!$B$134:$B$171,0))</f>
        <v>Asset relocations and undergrounding</v>
      </c>
      <c r="AE1691" s="272">
        <f>IF(OR(H1691='Operating leases'!$B$32,H1691='Operating leases'!$B$33),"",INDEX('Global inputs'!$C$186:$C$243,MATCH(E1691,'Global inputs'!$B$186:$B$243,0)))</f>
        <v>0.1</v>
      </c>
    </row>
    <row r="1692" spans="1:31" s="27" customFormat="1" x14ac:dyDescent="0.2">
      <c r="A1692" s="250"/>
      <c r="B1692" s="210" t="s">
        <v>714</v>
      </c>
      <c r="C1692" s="210" t="s">
        <v>287</v>
      </c>
      <c r="D1692" s="210" t="s">
        <v>729</v>
      </c>
      <c r="E1692" s="210" t="s">
        <v>150</v>
      </c>
      <c r="F1692" s="210" t="s">
        <v>92</v>
      </c>
      <c r="G1692" s="210" t="s">
        <v>731</v>
      </c>
      <c r="H1692" s="197">
        <v>0</v>
      </c>
      <c r="I1692" s="210" t="s">
        <v>225</v>
      </c>
      <c r="J1692" s="210">
        <v>2026</v>
      </c>
      <c r="K1692" s="210">
        <v>2026</v>
      </c>
      <c r="L1692" s="268" t="str">
        <f t="shared" si="348"/>
        <v>Simple</v>
      </c>
      <c r="M1692" s="197">
        <v>2255.4900000000002</v>
      </c>
      <c r="N1692" s="197">
        <v>3383.2350000000001</v>
      </c>
      <c r="O1692" s="257">
        <f>IF(ISNA(MATCH(H1692,'Operating leases'!$B$32:$B$43,0)),0,INDEX('Operating leases'!$M$32:$S$43,MATCH(H1692,'Operating leases'!$B$32:$B$43,0),MATCH(J1692,'Operating leases'!$M$11:$S$11,0)))</f>
        <v>0</v>
      </c>
      <c r="P1692" s="257">
        <f t="shared" si="349"/>
        <v>2255.4900000000002</v>
      </c>
      <c r="Q1692" s="257">
        <f t="shared" si="350"/>
        <v>5638.7250000000004</v>
      </c>
      <c r="R1692" s="258">
        <f>INDEX('Escalators '!$M$124:$S$129,MATCH(I1692,'Escalators '!$B$124:$B$129,0),MATCH(J1692,'Escalators '!$M$113:$S$113,0))</f>
        <v>1.1685447741482344</v>
      </c>
      <c r="S1692" s="257">
        <f t="shared" si="351"/>
        <v>0</v>
      </c>
      <c r="T1692" s="257">
        <f t="shared" si="352"/>
        <v>3953.4615789654022</v>
      </c>
      <c r="U1692" s="269">
        <f t="shared" si="353"/>
        <v>2635.6410526436016</v>
      </c>
      <c r="V1692" s="269">
        <f t="shared" si="354"/>
        <v>6589.1026316090038</v>
      </c>
      <c r="W1692" s="269">
        <f t="shared" si="355"/>
        <v>2635.6410526436016</v>
      </c>
      <c r="X1692" s="257">
        <f t="shared" si="356"/>
        <v>6589.1026316090038</v>
      </c>
      <c r="Y1692" s="270">
        <f>IF(L1692="Complex",(INDEX('Escalators '!$M$176:$S$176,MATCH('Forecast capex'!J1692,'Escalators '!$M$178:$S$178,0))/12+1)^((K1692-J1692)*12)-1,0)</f>
        <v>0</v>
      </c>
      <c r="Z1692" s="257">
        <f t="shared" si="357"/>
        <v>0</v>
      </c>
      <c r="AA1692" s="257">
        <f t="shared" si="358"/>
        <v>0</v>
      </c>
      <c r="AB1692" s="269">
        <f t="shared" si="359"/>
        <v>0</v>
      </c>
      <c r="AC1692" s="269">
        <f t="shared" si="360"/>
        <v>0</v>
      </c>
      <c r="AD1692" s="271" t="str">
        <f>INDEX('Global inputs'!$C$134:$C$171,MATCH(F1692,'Global inputs'!$B$134:$B$171,0))</f>
        <v>Asset relocations and undergrounding</v>
      </c>
      <c r="AE1692" s="272">
        <f>IF(OR(H1692='Operating leases'!$B$32,H1692='Operating leases'!$B$33),"",INDEX('Global inputs'!$C$186:$C$243,MATCH(E1692,'Global inputs'!$B$186:$B$243,0)))</f>
        <v>0.08</v>
      </c>
    </row>
    <row r="1693" spans="1:31" s="27" customFormat="1" x14ac:dyDescent="0.2">
      <c r="A1693" s="250"/>
      <c r="B1693" s="210" t="s">
        <v>714</v>
      </c>
      <c r="C1693" s="210" t="s">
        <v>287</v>
      </c>
      <c r="D1693" s="210" t="s">
        <v>729</v>
      </c>
      <c r="E1693" s="210" t="s">
        <v>150</v>
      </c>
      <c r="F1693" s="210" t="s">
        <v>92</v>
      </c>
      <c r="G1693" s="210" t="s">
        <v>731</v>
      </c>
      <c r="H1693" s="197">
        <v>0</v>
      </c>
      <c r="I1693" s="210" t="s">
        <v>221</v>
      </c>
      <c r="J1693" s="210">
        <v>2026</v>
      </c>
      <c r="K1693" s="210">
        <v>2026</v>
      </c>
      <c r="L1693" s="268" t="str">
        <f t="shared" si="348"/>
        <v>Simple</v>
      </c>
      <c r="M1693" s="197">
        <v>9021.9600000000009</v>
      </c>
      <c r="N1693" s="197">
        <v>13532.94</v>
      </c>
      <c r="O1693" s="257">
        <f>IF(ISNA(MATCH(H1693,'Operating leases'!$B$32:$B$43,0)),0,INDEX('Operating leases'!$M$32:$S$43,MATCH(H1693,'Operating leases'!$B$32:$B$43,0),MATCH(J1693,'Operating leases'!$M$11:$S$11,0)))</f>
        <v>0</v>
      </c>
      <c r="P1693" s="257">
        <f t="shared" si="349"/>
        <v>9021.9600000000009</v>
      </c>
      <c r="Q1693" s="257">
        <f t="shared" si="350"/>
        <v>22554.9</v>
      </c>
      <c r="R1693" s="258">
        <f>INDEX('Escalators '!$M$124:$S$129,MATCH(I1693,'Escalators '!$B$124:$B$129,0),MATCH(J1693,'Escalators '!$M$113:$S$113,0))</f>
        <v>1.1088998660799403</v>
      </c>
      <c r="S1693" s="257">
        <f t="shared" si="351"/>
        <v>0</v>
      </c>
      <c r="T1693" s="257">
        <f t="shared" si="352"/>
        <v>15006.675353667868</v>
      </c>
      <c r="U1693" s="269">
        <f t="shared" si="353"/>
        <v>10004.45023577858</v>
      </c>
      <c r="V1693" s="269">
        <f t="shared" si="354"/>
        <v>25011.125589446448</v>
      </c>
      <c r="W1693" s="269">
        <f t="shared" si="355"/>
        <v>10004.45023577858</v>
      </c>
      <c r="X1693" s="257">
        <f t="shared" si="356"/>
        <v>25011.125589446448</v>
      </c>
      <c r="Y1693" s="270">
        <f>IF(L1693="Complex",(INDEX('Escalators '!$M$176:$S$176,MATCH('Forecast capex'!J1693,'Escalators '!$M$178:$S$178,0))/12+1)^((K1693-J1693)*12)-1,0)</f>
        <v>0</v>
      </c>
      <c r="Z1693" s="257">
        <f t="shared" si="357"/>
        <v>0</v>
      </c>
      <c r="AA1693" s="257">
        <f t="shared" si="358"/>
        <v>0</v>
      </c>
      <c r="AB1693" s="269">
        <f t="shared" si="359"/>
        <v>0</v>
      </c>
      <c r="AC1693" s="269">
        <f t="shared" si="360"/>
        <v>0</v>
      </c>
      <c r="AD1693" s="271" t="str">
        <f>INDEX('Global inputs'!$C$134:$C$171,MATCH(F1693,'Global inputs'!$B$134:$B$171,0))</f>
        <v>Asset relocations and undergrounding</v>
      </c>
      <c r="AE1693" s="272">
        <f>IF(OR(H1693='Operating leases'!$B$32,H1693='Operating leases'!$B$33),"",INDEX('Global inputs'!$C$186:$C$243,MATCH(E1693,'Global inputs'!$B$186:$B$243,0)))</f>
        <v>0.08</v>
      </c>
    </row>
    <row r="1694" spans="1:31" s="27" customFormat="1" x14ac:dyDescent="0.2">
      <c r="A1694" s="250"/>
      <c r="B1694" s="210" t="s">
        <v>714</v>
      </c>
      <c r="C1694" s="210" t="s">
        <v>287</v>
      </c>
      <c r="D1694" s="210" t="s">
        <v>729</v>
      </c>
      <c r="E1694" s="210" t="s">
        <v>151</v>
      </c>
      <c r="F1694" s="210" t="s">
        <v>92</v>
      </c>
      <c r="G1694" s="210" t="s">
        <v>731</v>
      </c>
      <c r="H1694" s="197">
        <v>0</v>
      </c>
      <c r="I1694" s="210" t="s">
        <v>225</v>
      </c>
      <c r="J1694" s="210">
        <v>2026</v>
      </c>
      <c r="K1694" s="210">
        <v>2026</v>
      </c>
      <c r="L1694" s="268" t="str">
        <f t="shared" si="348"/>
        <v>Simple</v>
      </c>
      <c r="M1694" s="197">
        <v>2255.4900000000002</v>
      </c>
      <c r="N1694" s="197">
        <v>3383.2350000000001</v>
      </c>
      <c r="O1694" s="257">
        <f>IF(ISNA(MATCH(H1694,'Operating leases'!$B$32:$B$43,0)),0,INDEX('Operating leases'!$M$32:$S$43,MATCH(H1694,'Operating leases'!$B$32:$B$43,0),MATCH(J1694,'Operating leases'!$M$11:$S$11,0)))</f>
        <v>0</v>
      </c>
      <c r="P1694" s="257">
        <f t="shared" si="349"/>
        <v>2255.4900000000002</v>
      </c>
      <c r="Q1694" s="257">
        <f t="shared" si="350"/>
        <v>5638.7250000000004</v>
      </c>
      <c r="R1694" s="258">
        <f>INDEX('Escalators '!$M$124:$S$129,MATCH(I1694,'Escalators '!$B$124:$B$129,0),MATCH(J1694,'Escalators '!$M$113:$S$113,0))</f>
        <v>1.1685447741482344</v>
      </c>
      <c r="S1694" s="257">
        <f t="shared" si="351"/>
        <v>0</v>
      </c>
      <c r="T1694" s="257">
        <f t="shared" si="352"/>
        <v>3953.4615789654022</v>
      </c>
      <c r="U1694" s="269">
        <f t="shared" si="353"/>
        <v>2635.6410526436016</v>
      </c>
      <c r="V1694" s="269">
        <f t="shared" si="354"/>
        <v>6589.1026316090038</v>
      </c>
      <c r="W1694" s="269">
        <f t="shared" si="355"/>
        <v>2635.6410526436016</v>
      </c>
      <c r="X1694" s="257">
        <f t="shared" si="356"/>
        <v>6589.1026316090038</v>
      </c>
      <c r="Y1694" s="270">
        <f>IF(L1694="Complex",(INDEX('Escalators '!$M$176:$S$176,MATCH('Forecast capex'!J1694,'Escalators '!$M$178:$S$178,0))/12+1)^((K1694-J1694)*12)-1,0)</f>
        <v>0</v>
      </c>
      <c r="Z1694" s="257">
        <f t="shared" si="357"/>
        <v>0</v>
      </c>
      <c r="AA1694" s="257">
        <f t="shared" si="358"/>
        <v>0</v>
      </c>
      <c r="AB1694" s="269">
        <f t="shared" si="359"/>
        <v>0</v>
      </c>
      <c r="AC1694" s="269">
        <f t="shared" si="360"/>
        <v>0</v>
      </c>
      <c r="AD1694" s="271" t="str">
        <f>INDEX('Global inputs'!$C$134:$C$171,MATCH(F1694,'Global inputs'!$B$134:$B$171,0))</f>
        <v>Asset relocations and undergrounding</v>
      </c>
      <c r="AE1694" s="272">
        <f>IF(OR(H1694='Operating leases'!$B$32,H1694='Operating leases'!$B$33),"",INDEX('Global inputs'!$C$186:$C$243,MATCH(E1694,'Global inputs'!$B$186:$B$243,0)))</f>
        <v>0.1</v>
      </c>
    </row>
    <row r="1695" spans="1:31" s="27" customFormat="1" x14ac:dyDescent="0.2">
      <c r="A1695" s="250"/>
      <c r="B1695" s="210" t="s">
        <v>714</v>
      </c>
      <c r="C1695" s="210" t="s">
        <v>287</v>
      </c>
      <c r="D1695" s="210" t="s">
        <v>729</v>
      </c>
      <c r="E1695" s="210" t="s">
        <v>151</v>
      </c>
      <c r="F1695" s="210" t="s">
        <v>92</v>
      </c>
      <c r="G1695" s="210" t="s">
        <v>731</v>
      </c>
      <c r="H1695" s="197">
        <v>0</v>
      </c>
      <c r="I1695" s="210" t="s">
        <v>221</v>
      </c>
      <c r="J1695" s="210">
        <v>2026</v>
      </c>
      <c r="K1695" s="210">
        <v>2026</v>
      </c>
      <c r="L1695" s="268" t="str">
        <f t="shared" si="348"/>
        <v>Simple</v>
      </c>
      <c r="M1695" s="197">
        <v>9021.9600000000009</v>
      </c>
      <c r="N1695" s="197">
        <v>13532.94</v>
      </c>
      <c r="O1695" s="257">
        <f>IF(ISNA(MATCH(H1695,'Operating leases'!$B$32:$B$43,0)),0,INDEX('Operating leases'!$M$32:$S$43,MATCH(H1695,'Operating leases'!$B$32:$B$43,0),MATCH(J1695,'Operating leases'!$M$11:$S$11,0)))</f>
        <v>0</v>
      </c>
      <c r="P1695" s="257">
        <f t="shared" si="349"/>
        <v>9021.9600000000009</v>
      </c>
      <c r="Q1695" s="257">
        <f t="shared" si="350"/>
        <v>22554.9</v>
      </c>
      <c r="R1695" s="258">
        <f>INDEX('Escalators '!$M$124:$S$129,MATCH(I1695,'Escalators '!$B$124:$B$129,0),MATCH(J1695,'Escalators '!$M$113:$S$113,0))</f>
        <v>1.1088998660799403</v>
      </c>
      <c r="S1695" s="257">
        <f t="shared" si="351"/>
        <v>0</v>
      </c>
      <c r="T1695" s="257">
        <f t="shared" si="352"/>
        <v>15006.675353667868</v>
      </c>
      <c r="U1695" s="269">
        <f t="shared" si="353"/>
        <v>10004.45023577858</v>
      </c>
      <c r="V1695" s="269">
        <f t="shared" si="354"/>
        <v>25011.125589446448</v>
      </c>
      <c r="W1695" s="269">
        <f t="shared" si="355"/>
        <v>10004.45023577858</v>
      </c>
      <c r="X1695" s="257">
        <f t="shared" si="356"/>
        <v>25011.125589446448</v>
      </c>
      <c r="Y1695" s="270">
        <f>IF(L1695="Complex",(INDEX('Escalators '!$M$176:$S$176,MATCH('Forecast capex'!J1695,'Escalators '!$M$178:$S$178,0))/12+1)^((K1695-J1695)*12)-1,0)</f>
        <v>0</v>
      </c>
      <c r="Z1695" s="257">
        <f t="shared" si="357"/>
        <v>0</v>
      </c>
      <c r="AA1695" s="257">
        <f t="shared" si="358"/>
        <v>0</v>
      </c>
      <c r="AB1695" s="269">
        <f t="shared" si="359"/>
        <v>0</v>
      </c>
      <c r="AC1695" s="269">
        <f t="shared" si="360"/>
        <v>0</v>
      </c>
      <c r="AD1695" s="271" t="str">
        <f>INDEX('Global inputs'!$C$134:$C$171,MATCH(F1695,'Global inputs'!$B$134:$B$171,0))</f>
        <v>Asset relocations and undergrounding</v>
      </c>
      <c r="AE1695" s="272">
        <f>IF(OR(H1695='Operating leases'!$B$32,H1695='Operating leases'!$B$33),"",INDEX('Global inputs'!$C$186:$C$243,MATCH(E1695,'Global inputs'!$B$186:$B$243,0)))</f>
        <v>0.1</v>
      </c>
    </row>
    <row r="1696" spans="1:31" s="27" customFormat="1" x14ac:dyDescent="0.2">
      <c r="A1696" s="250"/>
      <c r="B1696" s="210" t="s">
        <v>714</v>
      </c>
      <c r="C1696" s="210" t="s">
        <v>284</v>
      </c>
      <c r="D1696" s="210" t="s">
        <v>715</v>
      </c>
      <c r="E1696" s="210" t="s">
        <v>127</v>
      </c>
      <c r="F1696" s="210" t="s">
        <v>94</v>
      </c>
      <c r="G1696" s="210" t="s">
        <v>716</v>
      </c>
      <c r="H1696" s="197">
        <v>0</v>
      </c>
      <c r="I1696" s="210" t="s">
        <v>229</v>
      </c>
      <c r="J1696" s="210">
        <v>2026</v>
      </c>
      <c r="K1696" s="210">
        <v>2026</v>
      </c>
      <c r="L1696" s="268" t="str">
        <f t="shared" si="348"/>
        <v>Simple</v>
      </c>
      <c r="M1696" s="197">
        <v>533.70993726050574</v>
      </c>
      <c r="N1696" s="197">
        <v>800.56490589075838</v>
      </c>
      <c r="O1696" s="257">
        <f>IF(ISNA(MATCH(H1696,'Operating leases'!$B$32:$B$43,0)),0,INDEX('Operating leases'!$M$32:$S$43,MATCH(H1696,'Operating leases'!$B$32:$B$43,0),MATCH(J1696,'Operating leases'!$M$11:$S$11,0)))</f>
        <v>0</v>
      </c>
      <c r="P1696" s="257">
        <f t="shared" si="349"/>
        <v>533.70993726050574</v>
      </c>
      <c r="Q1696" s="257">
        <f t="shared" si="350"/>
        <v>1334.2748431512641</v>
      </c>
      <c r="R1696" s="258">
        <f>INDEX('Escalators '!$M$124:$S$129,MATCH(I1696,'Escalators '!$B$124:$B$129,0),MATCH(J1696,'Escalators '!$M$113:$S$113,0))</f>
        <v>1.1110424701464636</v>
      </c>
      <c r="S1696" s="257">
        <f t="shared" si="351"/>
        <v>0</v>
      </c>
      <c r="T1696" s="257">
        <f t="shared" si="352"/>
        <v>889.46161055343941</v>
      </c>
      <c r="U1696" s="269">
        <f t="shared" si="353"/>
        <v>592.97440703562643</v>
      </c>
      <c r="V1696" s="269">
        <f t="shared" si="354"/>
        <v>1482.4360175890658</v>
      </c>
      <c r="W1696" s="269">
        <f t="shared" si="355"/>
        <v>592.97440703562643</v>
      </c>
      <c r="X1696" s="257">
        <f t="shared" si="356"/>
        <v>1482.4360175890658</v>
      </c>
      <c r="Y1696" s="270">
        <f>IF(L1696="Complex",(INDEX('Escalators '!$M$176:$S$176,MATCH('Forecast capex'!J1696,'Escalators '!$M$178:$S$178,0))/12+1)^((K1696-J1696)*12)-1,0)</f>
        <v>0</v>
      </c>
      <c r="Z1696" s="257">
        <f t="shared" si="357"/>
        <v>0</v>
      </c>
      <c r="AA1696" s="257">
        <f t="shared" si="358"/>
        <v>0</v>
      </c>
      <c r="AB1696" s="269">
        <f t="shared" si="359"/>
        <v>0</v>
      </c>
      <c r="AC1696" s="269">
        <f t="shared" si="360"/>
        <v>0</v>
      </c>
      <c r="AD1696" s="271" t="str">
        <f>INDEX('Global inputs'!$C$134:$C$171,MATCH(F1696,'Global inputs'!$B$134:$B$171,0))</f>
        <v>Consumer connection</v>
      </c>
      <c r="AE1696" s="272">
        <f>IF(OR(H1696='Operating leases'!$B$32,H1696='Operating leases'!$B$33),"",INDEX('Global inputs'!$C$186:$C$243,MATCH(E1696,'Global inputs'!$B$186:$B$243,0)))</f>
        <v>0.08</v>
      </c>
    </row>
    <row r="1697" spans="1:31" s="27" customFormat="1" x14ac:dyDescent="0.2">
      <c r="A1697" s="250"/>
      <c r="B1697" s="210" t="s">
        <v>714</v>
      </c>
      <c r="C1697" s="210" t="s">
        <v>284</v>
      </c>
      <c r="D1697" s="210" t="s">
        <v>715</v>
      </c>
      <c r="E1697" s="210" t="s">
        <v>127</v>
      </c>
      <c r="F1697" s="210" t="s">
        <v>94</v>
      </c>
      <c r="G1697" s="210" t="s">
        <v>716</v>
      </c>
      <c r="H1697" s="197">
        <v>0</v>
      </c>
      <c r="I1697" s="210" t="s">
        <v>221</v>
      </c>
      <c r="J1697" s="210">
        <v>2026</v>
      </c>
      <c r="K1697" s="210">
        <v>2026</v>
      </c>
      <c r="L1697" s="268" t="str">
        <f t="shared" si="348"/>
        <v>Simple</v>
      </c>
      <c r="M1697" s="197">
        <v>533.70993726050574</v>
      </c>
      <c r="N1697" s="197">
        <v>800.56490589075838</v>
      </c>
      <c r="O1697" s="257">
        <f>IF(ISNA(MATCH(H1697,'Operating leases'!$B$32:$B$43,0)),0,INDEX('Operating leases'!$M$32:$S$43,MATCH(H1697,'Operating leases'!$B$32:$B$43,0),MATCH(J1697,'Operating leases'!$M$11:$S$11,0)))</f>
        <v>0</v>
      </c>
      <c r="P1697" s="257">
        <f t="shared" si="349"/>
        <v>533.70993726050574</v>
      </c>
      <c r="Q1697" s="257">
        <f t="shared" si="350"/>
        <v>1334.2748431512641</v>
      </c>
      <c r="R1697" s="258">
        <f>INDEX('Escalators '!$M$124:$S$129,MATCH(I1697,'Escalators '!$B$124:$B$129,0),MATCH(J1697,'Escalators '!$M$113:$S$113,0))</f>
        <v>1.1088998660799403</v>
      </c>
      <c r="S1697" s="257">
        <f t="shared" si="351"/>
        <v>0</v>
      </c>
      <c r="T1697" s="257">
        <f t="shared" si="352"/>
        <v>887.74631693056199</v>
      </c>
      <c r="U1697" s="269">
        <f t="shared" si="353"/>
        <v>591.83087795370807</v>
      </c>
      <c r="V1697" s="269">
        <f t="shared" si="354"/>
        <v>1479.5771948842701</v>
      </c>
      <c r="W1697" s="269">
        <f t="shared" si="355"/>
        <v>591.83087795370807</v>
      </c>
      <c r="X1697" s="257">
        <f t="shared" si="356"/>
        <v>1479.5771948842701</v>
      </c>
      <c r="Y1697" s="270">
        <f>IF(L1697="Complex",(INDEX('Escalators '!$M$176:$S$176,MATCH('Forecast capex'!J1697,'Escalators '!$M$178:$S$178,0))/12+1)^((K1697-J1697)*12)-1,0)</f>
        <v>0</v>
      </c>
      <c r="Z1697" s="257">
        <f t="shared" si="357"/>
        <v>0</v>
      </c>
      <c r="AA1697" s="257">
        <f t="shared" si="358"/>
        <v>0</v>
      </c>
      <c r="AB1697" s="269">
        <f t="shared" si="359"/>
        <v>0</v>
      </c>
      <c r="AC1697" s="269">
        <f t="shared" si="360"/>
        <v>0</v>
      </c>
      <c r="AD1697" s="271" t="str">
        <f>INDEX('Global inputs'!$C$134:$C$171,MATCH(F1697,'Global inputs'!$B$134:$B$171,0))</f>
        <v>Consumer connection</v>
      </c>
      <c r="AE1697" s="272">
        <f>IF(OR(H1697='Operating leases'!$B$32,H1697='Operating leases'!$B$33),"",INDEX('Global inputs'!$C$186:$C$243,MATCH(E1697,'Global inputs'!$B$186:$B$243,0)))</f>
        <v>0.08</v>
      </c>
    </row>
    <row r="1698" spans="1:31" s="27" customFormat="1" x14ac:dyDescent="0.2">
      <c r="A1698" s="250"/>
      <c r="B1698" s="210" t="s">
        <v>714</v>
      </c>
      <c r="C1698" s="210" t="s">
        <v>284</v>
      </c>
      <c r="D1698" s="210" t="s">
        <v>715</v>
      </c>
      <c r="E1698" s="210" t="s">
        <v>129</v>
      </c>
      <c r="F1698" s="210" t="s">
        <v>94</v>
      </c>
      <c r="G1698" s="210" t="s">
        <v>716</v>
      </c>
      <c r="H1698" s="197">
        <v>0</v>
      </c>
      <c r="I1698" s="210" t="s">
        <v>229</v>
      </c>
      <c r="J1698" s="210">
        <v>2026</v>
      </c>
      <c r="K1698" s="210">
        <v>2026</v>
      </c>
      <c r="L1698" s="268" t="str">
        <f t="shared" si="348"/>
        <v>Simple</v>
      </c>
      <c r="M1698" s="197">
        <v>533.70993726050574</v>
      </c>
      <c r="N1698" s="197">
        <v>800.56490589075838</v>
      </c>
      <c r="O1698" s="257">
        <f>IF(ISNA(MATCH(H1698,'Operating leases'!$B$32:$B$43,0)),0,INDEX('Operating leases'!$M$32:$S$43,MATCH(H1698,'Operating leases'!$B$32:$B$43,0),MATCH(J1698,'Operating leases'!$M$11:$S$11,0)))</f>
        <v>0</v>
      </c>
      <c r="P1698" s="257">
        <f t="shared" si="349"/>
        <v>533.70993726050574</v>
      </c>
      <c r="Q1698" s="257">
        <f t="shared" si="350"/>
        <v>1334.2748431512641</v>
      </c>
      <c r="R1698" s="258">
        <f>INDEX('Escalators '!$M$124:$S$129,MATCH(I1698,'Escalators '!$B$124:$B$129,0),MATCH(J1698,'Escalators '!$M$113:$S$113,0))</f>
        <v>1.1110424701464636</v>
      </c>
      <c r="S1698" s="257">
        <f t="shared" si="351"/>
        <v>0</v>
      </c>
      <c r="T1698" s="257">
        <f t="shared" si="352"/>
        <v>889.46161055343941</v>
      </c>
      <c r="U1698" s="269">
        <f t="shared" si="353"/>
        <v>592.97440703562643</v>
      </c>
      <c r="V1698" s="269">
        <f t="shared" si="354"/>
        <v>1482.4360175890658</v>
      </c>
      <c r="W1698" s="269">
        <f t="shared" si="355"/>
        <v>592.97440703562643</v>
      </c>
      <c r="X1698" s="257">
        <f t="shared" si="356"/>
        <v>1482.4360175890658</v>
      </c>
      <c r="Y1698" s="270">
        <f>IF(L1698="Complex",(INDEX('Escalators '!$M$176:$S$176,MATCH('Forecast capex'!J1698,'Escalators '!$M$178:$S$178,0))/12+1)^((K1698-J1698)*12)-1,0)</f>
        <v>0</v>
      </c>
      <c r="Z1698" s="257">
        <f t="shared" si="357"/>
        <v>0</v>
      </c>
      <c r="AA1698" s="257">
        <f t="shared" si="358"/>
        <v>0</v>
      </c>
      <c r="AB1698" s="269">
        <f t="shared" si="359"/>
        <v>0</v>
      </c>
      <c r="AC1698" s="269">
        <f t="shared" si="360"/>
        <v>0</v>
      </c>
      <c r="AD1698" s="271" t="str">
        <f>INDEX('Global inputs'!$C$134:$C$171,MATCH(F1698,'Global inputs'!$B$134:$B$171,0))</f>
        <v>Consumer connection</v>
      </c>
      <c r="AE1698" s="272">
        <f>IF(OR(H1698='Operating leases'!$B$32,H1698='Operating leases'!$B$33),"",INDEX('Global inputs'!$C$186:$C$243,MATCH(E1698,'Global inputs'!$B$186:$B$243,0)))</f>
        <v>0.1</v>
      </c>
    </row>
    <row r="1699" spans="1:31" s="27" customFormat="1" x14ac:dyDescent="0.2">
      <c r="A1699" s="250"/>
      <c r="B1699" s="210" t="s">
        <v>714</v>
      </c>
      <c r="C1699" s="210" t="s">
        <v>284</v>
      </c>
      <c r="D1699" s="210" t="s">
        <v>715</v>
      </c>
      <c r="E1699" s="210" t="s">
        <v>129</v>
      </c>
      <c r="F1699" s="210" t="s">
        <v>94</v>
      </c>
      <c r="G1699" s="210" t="s">
        <v>716</v>
      </c>
      <c r="H1699" s="197">
        <v>0</v>
      </c>
      <c r="I1699" s="210" t="s">
        <v>221</v>
      </c>
      <c r="J1699" s="210">
        <v>2026</v>
      </c>
      <c r="K1699" s="210">
        <v>2026</v>
      </c>
      <c r="L1699" s="268" t="str">
        <f t="shared" si="348"/>
        <v>Simple</v>
      </c>
      <c r="M1699" s="197">
        <v>533.70993726050574</v>
      </c>
      <c r="N1699" s="197">
        <v>800.56490589075838</v>
      </c>
      <c r="O1699" s="257">
        <f>IF(ISNA(MATCH(H1699,'Operating leases'!$B$32:$B$43,0)),0,INDEX('Operating leases'!$M$32:$S$43,MATCH(H1699,'Operating leases'!$B$32:$B$43,0),MATCH(J1699,'Operating leases'!$M$11:$S$11,0)))</f>
        <v>0</v>
      </c>
      <c r="P1699" s="257">
        <f t="shared" si="349"/>
        <v>533.70993726050574</v>
      </c>
      <c r="Q1699" s="257">
        <f t="shared" si="350"/>
        <v>1334.2748431512641</v>
      </c>
      <c r="R1699" s="258">
        <f>INDEX('Escalators '!$M$124:$S$129,MATCH(I1699,'Escalators '!$B$124:$B$129,0),MATCH(J1699,'Escalators '!$M$113:$S$113,0))</f>
        <v>1.1088998660799403</v>
      </c>
      <c r="S1699" s="257">
        <f t="shared" si="351"/>
        <v>0</v>
      </c>
      <c r="T1699" s="257">
        <f t="shared" si="352"/>
        <v>887.74631693056199</v>
      </c>
      <c r="U1699" s="269">
        <f t="shared" si="353"/>
        <v>591.83087795370807</v>
      </c>
      <c r="V1699" s="269">
        <f t="shared" si="354"/>
        <v>1479.5771948842701</v>
      </c>
      <c r="W1699" s="269">
        <f t="shared" si="355"/>
        <v>591.83087795370807</v>
      </c>
      <c r="X1699" s="257">
        <f t="shared" si="356"/>
        <v>1479.5771948842701</v>
      </c>
      <c r="Y1699" s="270">
        <f>IF(L1699="Complex",(INDEX('Escalators '!$M$176:$S$176,MATCH('Forecast capex'!J1699,'Escalators '!$M$178:$S$178,0))/12+1)^((K1699-J1699)*12)-1,0)</f>
        <v>0</v>
      </c>
      <c r="Z1699" s="257">
        <f t="shared" si="357"/>
        <v>0</v>
      </c>
      <c r="AA1699" s="257">
        <f t="shared" si="358"/>
        <v>0</v>
      </c>
      <c r="AB1699" s="269">
        <f t="shared" si="359"/>
        <v>0</v>
      </c>
      <c r="AC1699" s="269">
        <f t="shared" si="360"/>
        <v>0</v>
      </c>
      <c r="AD1699" s="271" t="str">
        <f>INDEX('Global inputs'!$C$134:$C$171,MATCH(F1699,'Global inputs'!$B$134:$B$171,0))</f>
        <v>Consumer connection</v>
      </c>
      <c r="AE1699" s="272">
        <f>IF(OR(H1699='Operating leases'!$B$32,H1699='Operating leases'!$B$33),"",INDEX('Global inputs'!$C$186:$C$243,MATCH(E1699,'Global inputs'!$B$186:$B$243,0)))</f>
        <v>0.1</v>
      </c>
    </row>
    <row r="1700" spans="1:31" s="27" customFormat="1" x14ac:dyDescent="0.2">
      <c r="A1700" s="250"/>
      <c r="B1700" s="210" t="s">
        <v>714</v>
      </c>
      <c r="C1700" s="210" t="s">
        <v>287</v>
      </c>
      <c r="D1700" s="210" t="s">
        <v>715</v>
      </c>
      <c r="E1700" s="210" t="s">
        <v>150</v>
      </c>
      <c r="F1700" s="210" t="s">
        <v>94</v>
      </c>
      <c r="G1700" s="210" t="s">
        <v>716</v>
      </c>
      <c r="H1700" s="197">
        <v>0</v>
      </c>
      <c r="I1700" s="210" t="s">
        <v>229</v>
      </c>
      <c r="J1700" s="210">
        <v>2026</v>
      </c>
      <c r="K1700" s="210">
        <v>2026</v>
      </c>
      <c r="L1700" s="268" t="str">
        <f t="shared" si="348"/>
        <v>Simple</v>
      </c>
      <c r="M1700" s="197">
        <v>26687.264114473168</v>
      </c>
      <c r="N1700" s="197">
        <v>40030.896171709755</v>
      </c>
      <c r="O1700" s="257">
        <f>IF(ISNA(MATCH(H1700,'Operating leases'!$B$32:$B$43,0)),0,INDEX('Operating leases'!$M$32:$S$43,MATCH(H1700,'Operating leases'!$B$32:$B$43,0),MATCH(J1700,'Operating leases'!$M$11:$S$11,0)))</f>
        <v>0</v>
      </c>
      <c r="P1700" s="257">
        <f t="shared" si="349"/>
        <v>26687.264114473168</v>
      </c>
      <c r="Q1700" s="257">
        <f t="shared" si="350"/>
        <v>66718.160286182916</v>
      </c>
      <c r="R1700" s="258">
        <f>INDEX('Escalators '!$M$124:$S$129,MATCH(I1700,'Escalators '!$B$124:$B$129,0),MATCH(J1700,'Escalators '!$M$113:$S$113,0))</f>
        <v>1.1110424701464636</v>
      </c>
      <c r="S1700" s="257">
        <f t="shared" si="351"/>
        <v>0</v>
      </c>
      <c r="T1700" s="257">
        <f t="shared" si="352"/>
        <v>44476.025764793019</v>
      </c>
      <c r="U1700" s="269">
        <f t="shared" si="353"/>
        <v>29650.683843195344</v>
      </c>
      <c r="V1700" s="269">
        <f t="shared" si="354"/>
        <v>74126.709607988363</v>
      </c>
      <c r="W1700" s="269">
        <f t="shared" si="355"/>
        <v>29650.683843195344</v>
      </c>
      <c r="X1700" s="257">
        <f t="shared" si="356"/>
        <v>74126.709607988363</v>
      </c>
      <c r="Y1700" s="270">
        <f>IF(L1700="Complex",(INDEX('Escalators '!$M$176:$S$176,MATCH('Forecast capex'!J1700,'Escalators '!$M$178:$S$178,0))/12+1)^((K1700-J1700)*12)-1,0)</f>
        <v>0</v>
      </c>
      <c r="Z1700" s="257">
        <f t="shared" si="357"/>
        <v>0</v>
      </c>
      <c r="AA1700" s="257">
        <f t="shared" si="358"/>
        <v>0</v>
      </c>
      <c r="AB1700" s="269">
        <f t="shared" si="359"/>
        <v>0</v>
      </c>
      <c r="AC1700" s="269">
        <f t="shared" si="360"/>
        <v>0</v>
      </c>
      <c r="AD1700" s="271" t="str">
        <f>INDEX('Global inputs'!$C$134:$C$171,MATCH(F1700,'Global inputs'!$B$134:$B$171,0))</f>
        <v>Consumer connection</v>
      </c>
      <c r="AE1700" s="272">
        <f>IF(OR(H1700='Operating leases'!$B$32,H1700='Operating leases'!$B$33),"",INDEX('Global inputs'!$C$186:$C$243,MATCH(E1700,'Global inputs'!$B$186:$B$243,0)))</f>
        <v>0.08</v>
      </c>
    </row>
    <row r="1701" spans="1:31" s="27" customFormat="1" x14ac:dyDescent="0.2">
      <c r="A1701" s="250"/>
      <c r="B1701" s="210" t="s">
        <v>714</v>
      </c>
      <c r="C1701" s="210" t="s">
        <v>287</v>
      </c>
      <c r="D1701" s="210" t="s">
        <v>715</v>
      </c>
      <c r="E1701" s="210" t="s">
        <v>150</v>
      </c>
      <c r="F1701" s="210" t="s">
        <v>94</v>
      </c>
      <c r="G1701" s="210" t="s">
        <v>716</v>
      </c>
      <c r="H1701" s="197">
        <v>0</v>
      </c>
      <c r="I1701" s="210" t="s">
        <v>221</v>
      </c>
      <c r="J1701" s="210">
        <v>2026</v>
      </c>
      <c r="K1701" s="210">
        <v>2026</v>
      </c>
      <c r="L1701" s="268" t="str">
        <f t="shared" si="348"/>
        <v>Simple</v>
      </c>
      <c r="M1701" s="197">
        <v>26687.264114473168</v>
      </c>
      <c r="N1701" s="197">
        <v>40030.896171709755</v>
      </c>
      <c r="O1701" s="257">
        <f>IF(ISNA(MATCH(H1701,'Operating leases'!$B$32:$B$43,0)),0,INDEX('Operating leases'!$M$32:$S$43,MATCH(H1701,'Operating leases'!$B$32:$B$43,0),MATCH(J1701,'Operating leases'!$M$11:$S$11,0)))</f>
        <v>0</v>
      </c>
      <c r="P1701" s="257">
        <f t="shared" si="349"/>
        <v>26687.264114473168</v>
      </c>
      <c r="Q1701" s="257">
        <f t="shared" si="350"/>
        <v>66718.160286182916</v>
      </c>
      <c r="R1701" s="258">
        <f>INDEX('Escalators '!$M$124:$S$129,MATCH(I1701,'Escalators '!$B$124:$B$129,0),MATCH(J1701,'Escalators '!$M$113:$S$113,0))</f>
        <v>1.1088998660799403</v>
      </c>
      <c r="S1701" s="257">
        <f t="shared" si="351"/>
        <v>0</v>
      </c>
      <c r="T1701" s="257">
        <f t="shared" si="352"/>
        <v>44390.255403868941</v>
      </c>
      <c r="U1701" s="269">
        <f t="shared" si="353"/>
        <v>29593.50360257928</v>
      </c>
      <c r="V1701" s="269">
        <f t="shared" si="354"/>
        <v>73983.759006448221</v>
      </c>
      <c r="W1701" s="269">
        <f t="shared" si="355"/>
        <v>29593.50360257928</v>
      </c>
      <c r="X1701" s="257">
        <f t="shared" si="356"/>
        <v>73983.759006448221</v>
      </c>
      <c r="Y1701" s="270">
        <f>IF(L1701="Complex",(INDEX('Escalators '!$M$176:$S$176,MATCH('Forecast capex'!J1701,'Escalators '!$M$178:$S$178,0))/12+1)^((K1701-J1701)*12)-1,0)</f>
        <v>0</v>
      </c>
      <c r="Z1701" s="257">
        <f t="shared" si="357"/>
        <v>0</v>
      </c>
      <c r="AA1701" s="257">
        <f t="shared" si="358"/>
        <v>0</v>
      </c>
      <c r="AB1701" s="269">
        <f t="shared" si="359"/>
        <v>0</v>
      </c>
      <c r="AC1701" s="269">
        <f t="shared" si="360"/>
        <v>0</v>
      </c>
      <c r="AD1701" s="271" t="str">
        <f>INDEX('Global inputs'!$C$134:$C$171,MATCH(F1701,'Global inputs'!$B$134:$B$171,0))</f>
        <v>Consumer connection</v>
      </c>
      <c r="AE1701" s="272">
        <f>IF(OR(H1701='Operating leases'!$B$32,H1701='Operating leases'!$B$33),"",INDEX('Global inputs'!$C$186:$C$243,MATCH(E1701,'Global inputs'!$B$186:$B$243,0)))</f>
        <v>0.08</v>
      </c>
    </row>
    <row r="1702" spans="1:31" s="27" customFormat="1" x14ac:dyDescent="0.2">
      <c r="A1702" s="250"/>
      <c r="B1702" s="210" t="s">
        <v>714</v>
      </c>
      <c r="C1702" s="210" t="s">
        <v>287</v>
      </c>
      <c r="D1702" s="210" t="s">
        <v>715</v>
      </c>
      <c r="E1702" s="210" t="s">
        <v>151</v>
      </c>
      <c r="F1702" s="210" t="s">
        <v>94</v>
      </c>
      <c r="G1702" s="210" t="s">
        <v>716</v>
      </c>
      <c r="H1702" s="197">
        <v>0</v>
      </c>
      <c r="I1702" s="210" t="s">
        <v>229</v>
      </c>
      <c r="J1702" s="210">
        <v>2026</v>
      </c>
      <c r="K1702" s="210">
        <v>2026</v>
      </c>
      <c r="L1702" s="268" t="str">
        <f t="shared" si="348"/>
        <v>Simple</v>
      </c>
      <c r="M1702" s="197">
        <v>26687.264114473168</v>
      </c>
      <c r="N1702" s="197">
        <v>40030.896171709755</v>
      </c>
      <c r="O1702" s="257">
        <f>IF(ISNA(MATCH(H1702,'Operating leases'!$B$32:$B$43,0)),0,INDEX('Operating leases'!$M$32:$S$43,MATCH(H1702,'Operating leases'!$B$32:$B$43,0),MATCH(J1702,'Operating leases'!$M$11:$S$11,0)))</f>
        <v>0</v>
      </c>
      <c r="P1702" s="257">
        <f t="shared" si="349"/>
        <v>26687.264114473168</v>
      </c>
      <c r="Q1702" s="257">
        <f t="shared" si="350"/>
        <v>66718.160286182916</v>
      </c>
      <c r="R1702" s="258">
        <f>INDEX('Escalators '!$M$124:$S$129,MATCH(I1702,'Escalators '!$B$124:$B$129,0),MATCH(J1702,'Escalators '!$M$113:$S$113,0))</f>
        <v>1.1110424701464636</v>
      </c>
      <c r="S1702" s="257">
        <f t="shared" si="351"/>
        <v>0</v>
      </c>
      <c r="T1702" s="257">
        <f t="shared" si="352"/>
        <v>44476.025764793019</v>
      </c>
      <c r="U1702" s="269">
        <f t="shared" si="353"/>
        <v>29650.683843195344</v>
      </c>
      <c r="V1702" s="269">
        <f t="shared" si="354"/>
        <v>74126.709607988363</v>
      </c>
      <c r="W1702" s="269">
        <f t="shared" si="355"/>
        <v>29650.683843195344</v>
      </c>
      <c r="X1702" s="257">
        <f t="shared" si="356"/>
        <v>74126.709607988363</v>
      </c>
      <c r="Y1702" s="270">
        <f>IF(L1702="Complex",(INDEX('Escalators '!$M$176:$S$176,MATCH('Forecast capex'!J1702,'Escalators '!$M$178:$S$178,0))/12+1)^((K1702-J1702)*12)-1,0)</f>
        <v>0</v>
      </c>
      <c r="Z1702" s="257">
        <f t="shared" si="357"/>
        <v>0</v>
      </c>
      <c r="AA1702" s="257">
        <f t="shared" si="358"/>
        <v>0</v>
      </c>
      <c r="AB1702" s="269">
        <f t="shared" si="359"/>
        <v>0</v>
      </c>
      <c r="AC1702" s="269">
        <f t="shared" si="360"/>
        <v>0</v>
      </c>
      <c r="AD1702" s="271" t="str">
        <f>INDEX('Global inputs'!$C$134:$C$171,MATCH(F1702,'Global inputs'!$B$134:$B$171,0))</f>
        <v>Consumer connection</v>
      </c>
      <c r="AE1702" s="272">
        <f>IF(OR(H1702='Operating leases'!$B$32,H1702='Operating leases'!$B$33),"",INDEX('Global inputs'!$C$186:$C$243,MATCH(E1702,'Global inputs'!$B$186:$B$243,0)))</f>
        <v>0.1</v>
      </c>
    </row>
    <row r="1703" spans="1:31" s="27" customFormat="1" x14ac:dyDescent="0.2">
      <c r="A1703" s="250"/>
      <c r="B1703" s="210" t="s">
        <v>714</v>
      </c>
      <c r="C1703" s="210" t="s">
        <v>287</v>
      </c>
      <c r="D1703" s="210" t="s">
        <v>715</v>
      </c>
      <c r="E1703" s="210" t="s">
        <v>151</v>
      </c>
      <c r="F1703" s="210" t="s">
        <v>94</v>
      </c>
      <c r="G1703" s="210" t="s">
        <v>716</v>
      </c>
      <c r="H1703" s="197">
        <v>0</v>
      </c>
      <c r="I1703" s="210" t="s">
        <v>221</v>
      </c>
      <c r="J1703" s="210">
        <v>2026</v>
      </c>
      <c r="K1703" s="210">
        <v>2026</v>
      </c>
      <c r="L1703" s="268" t="str">
        <f t="shared" si="348"/>
        <v>Simple</v>
      </c>
      <c r="M1703" s="197">
        <v>26687.264114473168</v>
      </c>
      <c r="N1703" s="197">
        <v>40030.896171709755</v>
      </c>
      <c r="O1703" s="257">
        <f>IF(ISNA(MATCH(H1703,'Operating leases'!$B$32:$B$43,0)),0,INDEX('Operating leases'!$M$32:$S$43,MATCH(H1703,'Operating leases'!$B$32:$B$43,0),MATCH(J1703,'Operating leases'!$M$11:$S$11,0)))</f>
        <v>0</v>
      </c>
      <c r="P1703" s="257">
        <f t="shared" si="349"/>
        <v>26687.264114473168</v>
      </c>
      <c r="Q1703" s="257">
        <f t="shared" si="350"/>
        <v>66718.160286182916</v>
      </c>
      <c r="R1703" s="258">
        <f>INDEX('Escalators '!$M$124:$S$129,MATCH(I1703,'Escalators '!$B$124:$B$129,0),MATCH(J1703,'Escalators '!$M$113:$S$113,0))</f>
        <v>1.1088998660799403</v>
      </c>
      <c r="S1703" s="257">
        <f t="shared" si="351"/>
        <v>0</v>
      </c>
      <c r="T1703" s="257">
        <f t="shared" si="352"/>
        <v>44390.255403868941</v>
      </c>
      <c r="U1703" s="269">
        <f t="shared" si="353"/>
        <v>29593.50360257928</v>
      </c>
      <c r="V1703" s="269">
        <f t="shared" si="354"/>
        <v>73983.759006448221</v>
      </c>
      <c r="W1703" s="269">
        <f t="shared" si="355"/>
        <v>29593.50360257928</v>
      </c>
      <c r="X1703" s="257">
        <f t="shared" si="356"/>
        <v>73983.759006448221</v>
      </c>
      <c r="Y1703" s="270">
        <f>IF(L1703="Complex",(INDEX('Escalators '!$M$176:$S$176,MATCH('Forecast capex'!J1703,'Escalators '!$M$178:$S$178,0))/12+1)^((K1703-J1703)*12)-1,0)</f>
        <v>0</v>
      </c>
      <c r="Z1703" s="257">
        <f t="shared" si="357"/>
        <v>0</v>
      </c>
      <c r="AA1703" s="257">
        <f t="shared" si="358"/>
        <v>0</v>
      </c>
      <c r="AB1703" s="269">
        <f t="shared" si="359"/>
        <v>0</v>
      </c>
      <c r="AC1703" s="269">
        <f t="shared" si="360"/>
        <v>0</v>
      </c>
      <c r="AD1703" s="271" t="str">
        <f>INDEX('Global inputs'!$C$134:$C$171,MATCH(F1703,'Global inputs'!$B$134:$B$171,0))</f>
        <v>Consumer connection</v>
      </c>
      <c r="AE1703" s="272">
        <f>IF(OR(H1703='Operating leases'!$B$32,H1703='Operating leases'!$B$33),"",INDEX('Global inputs'!$C$186:$C$243,MATCH(E1703,'Global inputs'!$B$186:$B$243,0)))</f>
        <v>0.1</v>
      </c>
    </row>
    <row r="1704" spans="1:31" s="27" customFormat="1" x14ac:dyDescent="0.2">
      <c r="A1704" s="250"/>
      <c r="B1704" s="210" t="s">
        <v>714</v>
      </c>
      <c r="C1704" s="210" t="s">
        <v>287</v>
      </c>
      <c r="D1704" s="210" t="s">
        <v>715</v>
      </c>
      <c r="E1704" s="210" t="s">
        <v>153</v>
      </c>
      <c r="F1704" s="210" t="s">
        <v>94</v>
      </c>
      <c r="G1704" s="210" t="s">
        <v>716</v>
      </c>
      <c r="H1704" s="197">
        <v>0</v>
      </c>
      <c r="I1704" s="210" t="s">
        <v>229</v>
      </c>
      <c r="J1704" s="210">
        <v>2026</v>
      </c>
      <c r="K1704" s="210">
        <v>2026</v>
      </c>
      <c r="L1704" s="268" t="str">
        <f t="shared" si="348"/>
        <v>Simple</v>
      </c>
      <c r="M1704" s="197">
        <v>10407.785589441832</v>
      </c>
      <c r="N1704" s="197">
        <v>15611.678384162744</v>
      </c>
      <c r="O1704" s="257">
        <f>IF(ISNA(MATCH(H1704,'Operating leases'!$B$32:$B$43,0)),0,INDEX('Operating leases'!$M$32:$S$43,MATCH(H1704,'Operating leases'!$B$32:$B$43,0),MATCH(J1704,'Operating leases'!$M$11:$S$11,0)))</f>
        <v>0</v>
      </c>
      <c r="P1704" s="257">
        <f t="shared" si="349"/>
        <v>10407.785589441832</v>
      </c>
      <c r="Q1704" s="257">
        <f t="shared" si="350"/>
        <v>26019.463973604576</v>
      </c>
      <c r="R1704" s="258">
        <f>INDEX('Escalators '!$M$124:$S$129,MATCH(I1704,'Escalators '!$B$124:$B$129,0),MATCH(J1704,'Escalators '!$M$113:$S$113,0))</f>
        <v>1.1110424701464636</v>
      </c>
      <c r="S1704" s="257">
        <f t="shared" si="351"/>
        <v>0</v>
      </c>
      <c r="T1704" s="257">
        <f t="shared" si="352"/>
        <v>17345.237715072326</v>
      </c>
      <c r="U1704" s="269">
        <f t="shared" si="353"/>
        <v>11563.491810048221</v>
      </c>
      <c r="V1704" s="269">
        <f t="shared" si="354"/>
        <v>28908.729525120547</v>
      </c>
      <c r="W1704" s="269">
        <f t="shared" si="355"/>
        <v>11563.491810048221</v>
      </c>
      <c r="X1704" s="257">
        <f t="shared" si="356"/>
        <v>28908.729525120547</v>
      </c>
      <c r="Y1704" s="270">
        <f>IF(L1704="Complex",(INDEX('Escalators '!$M$176:$S$176,MATCH('Forecast capex'!J1704,'Escalators '!$M$178:$S$178,0))/12+1)^((K1704-J1704)*12)-1,0)</f>
        <v>0</v>
      </c>
      <c r="Z1704" s="257">
        <f t="shared" si="357"/>
        <v>0</v>
      </c>
      <c r="AA1704" s="257">
        <f t="shared" si="358"/>
        <v>0</v>
      </c>
      <c r="AB1704" s="269">
        <f t="shared" si="359"/>
        <v>0</v>
      </c>
      <c r="AC1704" s="269">
        <f t="shared" si="360"/>
        <v>0</v>
      </c>
      <c r="AD1704" s="271" t="str">
        <f>INDEX('Global inputs'!$C$134:$C$171,MATCH(F1704,'Global inputs'!$B$134:$B$171,0))</f>
        <v>Consumer connection</v>
      </c>
      <c r="AE1704" s="272">
        <f>IF(OR(H1704='Operating leases'!$B$32,H1704='Operating leases'!$B$33),"",INDEX('Global inputs'!$C$186:$C$243,MATCH(E1704,'Global inputs'!$B$186:$B$243,0)))</f>
        <v>0.08</v>
      </c>
    </row>
    <row r="1705" spans="1:31" s="27" customFormat="1" x14ac:dyDescent="0.2">
      <c r="A1705" s="250"/>
      <c r="B1705" s="210" t="s">
        <v>714</v>
      </c>
      <c r="C1705" s="210" t="s">
        <v>287</v>
      </c>
      <c r="D1705" s="210" t="s">
        <v>715</v>
      </c>
      <c r="E1705" s="210" t="s">
        <v>153</v>
      </c>
      <c r="F1705" s="210" t="s">
        <v>94</v>
      </c>
      <c r="G1705" s="210" t="s">
        <v>716</v>
      </c>
      <c r="H1705" s="197">
        <v>0</v>
      </c>
      <c r="I1705" s="210" t="s">
        <v>221</v>
      </c>
      <c r="J1705" s="210">
        <v>2026</v>
      </c>
      <c r="K1705" s="210">
        <v>2026</v>
      </c>
      <c r="L1705" s="268" t="str">
        <f t="shared" si="348"/>
        <v>Simple</v>
      </c>
      <c r="M1705" s="197">
        <v>10407.785589441832</v>
      </c>
      <c r="N1705" s="197">
        <v>15611.678384162744</v>
      </c>
      <c r="O1705" s="257">
        <f>IF(ISNA(MATCH(H1705,'Operating leases'!$B$32:$B$43,0)),0,INDEX('Operating leases'!$M$32:$S$43,MATCH(H1705,'Operating leases'!$B$32:$B$43,0),MATCH(J1705,'Operating leases'!$M$11:$S$11,0)))</f>
        <v>0</v>
      </c>
      <c r="P1705" s="257">
        <f t="shared" si="349"/>
        <v>10407.785589441832</v>
      </c>
      <c r="Q1705" s="257">
        <f t="shared" si="350"/>
        <v>26019.463973604576</v>
      </c>
      <c r="R1705" s="258">
        <f>INDEX('Escalators '!$M$124:$S$129,MATCH(I1705,'Escalators '!$B$124:$B$129,0),MATCH(J1705,'Escalators '!$M$113:$S$113,0))</f>
        <v>1.1088998660799403</v>
      </c>
      <c r="S1705" s="257">
        <f t="shared" si="351"/>
        <v>0</v>
      </c>
      <c r="T1705" s="257">
        <f t="shared" si="352"/>
        <v>17311.788069481165</v>
      </c>
      <c r="U1705" s="269">
        <f t="shared" si="353"/>
        <v>11541.192046320779</v>
      </c>
      <c r="V1705" s="269">
        <f t="shared" si="354"/>
        <v>28852.980115801944</v>
      </c>
      <c r="W1705" s="269">
        <f t="shared" si="355"/>
        <v>11541.192046320779</v>
      </c>
      <c r="X1705" s="257">
        <f t="shared" si="356"/>
        <v>28852.980115801944</v>
      </c>
      <c r="Y1705" s="270">
        <f>IF(L1705="Complex",(INDEX('Escalators '!$M$176:$S$176,MATCH('Forecast capex'!J1705,'Escalators '!$M$178:$S$178,0))/12+1)^((K1705-J1705)*12)-1,0)</f>
        <v>0</v>
      </c>
      <c r="Z1705" s="257">
        <f t="shared" si="357"/>
        <v>0</v>
      </c>
      <c r="AA1705" s="257">
        <f t="shared" si="358"/>
        <v>0</v>
      </c>
      <c r="AB1705" s="269">
        <f t="shared" si="359"/>
        <v>0</v>
      </c>
      <c r="AC1705" s="269">
        <f t="shared" si="360"/>
        <v>0</v>
      </c>
      <c r="AD1705" s="271" t="str">
        <f>INDEX('Global inputs'!$C$134:$C$171,MATCH(F1705,'Global inputs'!$B$134:$B$171,0))</f>
        <v>Consumer connection</v>
      </c>
      <c r="AE1705" s="272">
        <f>IF(OR(H1705='Operating leases'!$B$32,H1705='Operating leases'!$B$33),"",INDEX('Global inputs'!$C$186:$C$243,MATCH(E1705,'Global inputs'!$B$186:$B$243,0)))</f>
        <v>0.08</v>
      </c>
    </row>
    <row r="1706" spans="1:31" s="27" customFormat="1" x14ac:dyDescent="0.2">
      <c r="A1706" s="250"/>
      <c r="B1706" s="210" t="s">
        <v>714</v>
      </c>
      <c r="C1706" s="210" t="s">
        <v>287</v>
      </c>
      <c r="D1706" s="210" t="s">
        <v>715</v>
      </c>
      <c r="E1706" s="210" t="s">
        <v>154</v>
      </c>
      <c r="F1706" s="210" t="s">
        <v>94</v>
      </c>
      <c r="G1706" s="210" t="s">
        <v>716</v>
      </c>
      <c r="H1706" s="197">
        <v>0</v>
      </c>
      <c r="I1706" s="210" t="s">
        <v>229</v>
      </c>
      <c r="J1706" s="210">
        <v>2026</v>
      </c>
      <c r="K1706" s="210">
        <v>2026</v>
      </c>
      <c r="L1706" s="268" t="str">
        <f t="shared" si="348"/>
        <v>Simple</v>
      </c>
      <c r="M1706" s="197">
        <v>10407.785589441832</v>
      </c>
      <c r="N1706" s="197">
        <v>15611.678384162744</v>
      </c>
      <c r="O1706" s="257">
        <f>IF(ISNA(MATCH(H1706,'Operating leases'!$B$32:$B$43,0)),0,INDEX('Operating leases'!$M$32:$S$43,MATCH(H1706,'Operating leases'!$B$32:$B$43,0),MATCH(J1706,'Operating leases'!$M$11:$S$11,0)))</f>
        <v>0</v>
      </c>
      <c r="P1706" s="257">
        <f t="shared" si="349"/>
        <v>10407.785589441832</v>
      </c>
      <c r="Q1706" s="257">
        <f t="shared" si="350"/>
        <v>26019.463973604576</v>
      </c>
      <c r="R1706" s="258">
        <f>INDEX('Escalators '!$M$124:$S$129,MATCH(I1706,'Escalators '!$B$124:$B$129,0),MATCH(J1706,'Escalators '!$M$113:$S$113,0))</f>
        <v>1.1110424701464636</v>
      </c>
      <c r="S1706" s="257">
        <f t="shared" si="351"/>
        <v>0</v>
      </c>
      <c r="T1706" s="257">
        <f t="shared" si="352"/>
        <v>17345.237715072326</v>
      </c>
      <c r="U1706" s="269">
        <f t="shared" si="353"/>
        <v>11563.491810048221</v>
      </c>
      <c r="V1706" s="269">
        <f t="shared" si="354"/>
        <v>28908.729525120547</v>
      </c>
      <c r="W1706" s="269">
        <f t="shared" si="355"/>
        <v>11563.491810048221</v>
      </c>
      <c r="X1706" s="257">
        <f t="shared" si="356"/>
        <v>28908.729525120547</v>
      </c>
      <c r="Y1706" s="270">
        <f>IF(L1706="Complex",(INDEX('Escalators '!$M$176:$S$176,MATCH('Forecast capex'!J1706,'Escalators '!$M$178:$S$178,0))/12+1)^((K1706-J1706)*12)-1,0)</f>
        <v>0</v>
      </c>
      <c r="Z1706" s="257">
        <f t="shared" si="357"/>
        <v>0</v>
      </c>
      <c r="AA1706" s="257">
        <f t="shared" si="358"/>
        <v>0</v>
      </c>
      <c r="AB1706" s="269">
        <f t="shared" si="359"/>
        <v>0</v>
      </c>
      <c r="AC1706" s="269">
        <f t="shared" si="360"/>
        <v>0</v>
      </c>
      <c r="AD1706" s="271" t="str">
        <f>INDEX('Global inputs'!$C$134:$C$171,MATCH(F1706,'Global inputs'!$B$134:$B$171,0))</f>
        <v>Consumer connection</v>
      </c>
      <c r="AE1706" s="272">
        <f>IF(OR(H1706='Operating leases'!$B$32,H1706='Operating leases'!$B$33),"",INDEX('Global inputs'!$C$186:$C$243,MATCH(E1706,'Global inputs'!$B$186:$B$243,0)))</f>
        <v>0.1</v>
      </c>
    </row>
    <row r="1707" spans="1:31" s="27" customFormat="1" x14ac:dyDescent="0.2">
      <c r="A1707" s="250"/>
      <c r="B1707" s="210" t="s">
        <v>714</v>
      </c>
      <c r="C1707" s="210" t="s">
        <v>287</v>
      </c>
      <c r="D1707" s="210" t="s">
        <v>715</v>
      </c>
      <c r="E1707" s="210" t="s">
        <v>154</v>
      </c>
      <c r="F1707" s="210" t="s">
        <v>94</v>
      </c>
      <c r="G1707" s="210" t="s">
        <v>716</v>
      </c>
      <c r="H1707" s="197">
        <v>0</v>
      </c>
      <c r="I1707" s="210" t="s">
        <v>221</v>
      </c>
      <c r="J1707" s="210">
        <v>2026</v>
      </c>
      <c r="K1707" s="210">
        <v>2026</v>
      </c>
      <c r="L1707" s="268" t="str">
        <f t="shared" si="348"/>
        <v>Simple</v>
      </c>
      <c r="M1707" s="197">
        <v>10407.785589441832</v>
      </c>
      <c r="N1707" s="197">
        <v>15611.678384162744</v>
      </c>
      <c r="O1707" s="257">
        <f>IF(ISNA(MATCH(H1707,'Operating leases'!$B$32:$B$43,0)),0,INDEX('Operating leases'!$M$32:$S$43,MATCH(H1707,'Operating leases'!$B$32:$B$43,0),MATCH(J1707,'Operating leases'!$M$11:$S$11,0)))</f>
        <v>0</v>
      </c>
      <c r="P1707" s="257">
        <f t="shared" si="349"/>
        <v>10407.785589441832</v>
      </c>
      <c r="Q1707" s="257">
        <f t="shared" si="350"/>
        <v>26019.463973604576</v>
      </c>
      <c r="R1707" s="258">
        <f>INDEX('Escalators '!$M$124:$S$129,MATCH(I1707,'Escalators '!$B$124:$B$129,0),MATCH(J1707,'Escalators '!$M$113:$S$113,0))</f>
        <v>1.1088998660799403</v>
      </c>
      <c r="S1707" s="257">
        <f t="shared" si="351"/>
        <v>0</v>
      </c>
      <c r="T1707" s="257">
        <f t="shared" si="352"/>
        <v>17311.788069481165</v>
      </c>
      <c r="U1707" s="269">
        <f t="shared" si="353"/>
        <v>11541.192046320779</v>
      </c>
      <c r="V1707" s="269">
        <f t="shared" si="354"/>
        <v>28852.980115801944</v>
      </c>
      <c r="W1707" s="269">
        <f t="shared" si="355"/>
        <v>11541.192046320779</v>
      </c>
      <c r="X1707" s="257">
        <f t="shared" si="356"/>
        <v>28852.980115801944</v>
      </c>
      <c r="Y1707" s="270">
        <f>IF(L1707="Complex",(INDEX('Escalators '!$M$176:$S$176,MATCH('Forecast capex'!J1707,'Escalators '!$M$178:$S$178,0))/12+1)^((K1707-J1707)*12)-1,0)</f>
        <v>0</v>
      </c>
      <c r="Z1707" s="257">
        <f t="shared" si="357"/>
        <v>0</v>
      </c>
      <c r="AA1707" s="257">
        <f t="shared" si="358"/>
        <v>0</v>
      </c>
      <c r="AB1707" s="269">
        <f t="shared" si="359"/>
        <v>0</v>
      </c>
      <c r="AC1707" s="269">
        <f t="shared" si="360"/>
        <v>0</v>
      </c>
      <c r="AD1707" s="271" t="str">
        <f>INDEX('Global inputs'!$C$134:$C$171,MATCH(F1707,'Global inputs'!$B$134:$B$171,0))</f>
        <v>Consumer connection</v>
      </c>
      <c r="AE1707" s="272">
        <f>IF(OR(H1707='Operating leases'!$B$32,H1707='Operating leases'!$B$33),"",INDEX('Global inputs'!$C$186:$C$243,MATCH(E1707,'Global inputs'!$B$186:$B$243,0)))</f>
        <v>0.1</v>
      </c>
    </row>
    <row r="1708" spans="1:31" s="27" customFormat="1" x14ac:dyDescent="0.2">
      <c r="A1708" s="250"/>
      <c r="B1708" s="210" t="s">
        <v>714</v>
      </c>
      <c r="C1708" s="210" t="s">
        <v>284</v>
      </c>
      <c r="D1708" s="210" t="s">
        <v>715</v>
      </c>
      <c r="E1708" s="210" t="s">
        <v>127</v>
      </c>
      <c r="F1708" s="210" t="s">
        <v>94</v>
      </c>
      <c r="G1708" s="210" t="s">
        <v>717</v>
      </c>
      <c r="H1708" s="197">
        <v>0</v>
      </c>
      <c r="I1708" s="210" t="s">
        <v>229</v>
      </c>
      <c r="J1708" s="210">
        <v>2026</v>
      </c>
      <c r="K1708" s="210">
        <v>2026</v>
      </c>
      <c r="L1708" s="268" t="str">
        <f t="shared" si="348"/>
        <v>Simple</v>
      </c>
      <c r="M1708" s="197">
        <v>266.85496863025287</v>
      </c>
      <c r="N1708" s="197">
        <v>400.28245294537919</v>
      </c>
      <c r="O1708" s="257">
        <f>IF(ISNA(MATCH(H1708,'Operating leases'!$B$32:$B$43,0)),0,INDEX('Operating leases'!$M$32:$S$43,MATCH(H1708,'Operating leases'!$B$32:$B$43,0),MATCH(J1708,'Operating leases'!$M$11:$S$11,0)))</f>
        <v>0</v>
      </c>
      <c r="P1708" s="257">
        <f t="shared" si="349"/>
        <v>266.85496863025287</v>
      </c>
      <c r="Q1708" s="257">
        <f t="shared" si="350"/>
        <v>667.13742157563206</v>
      </c>
      <c r="R1708" s="258">
        <f>INDEX('Escalators '!$M$124:$S$129,MATCH(I1708,'Escalators '!$B$124:$B$129,0),MATCH(J1708,'Escalators '!$M$113:$S$113,0))</f>
        <v>1.1110424701464636</v>
      </c>
      <c r="S1708" s="257">
        <f t="shared" si="351"/>
        <v>0</v>
      </c>
      <c r="T1708" s="257">
        <f t="shared" si="352"/>
        <v>444.73080527671971</v>
      </c>
      <c r="U1708" s="269">
        <f t="shared" si="353"/>
        <v>296.48720351781321</v>
      </c>
      <c r="V1708" s="269">
        <f t="shared" si="354"/>
        <v>741.21800879453292</v>
      </c>
      <c r="W1708" s="269">
        <f t="shared" si="355"/>
        <v>296.48720351781321</v>
      </c>
      <c r="X1708" s="257">
        <f t="shared" si="356"/>
        <v>741.21800879453292</v>
      </c>
      <c r="Y1708" s="270">
        <f>IF(L1708="Complex",(INDEX('Escalators '!$M$176:$S$176,MATCH('Forecast capex'!J1708,'Escalators '!$M$178:$S$178,0))/12+1)^((K1708-J1708)*12)-1,0)</f>
        <v>0</v>
      </c>
      <c r="Z1708" s="257">
        <f t="shared" si="357"/>
        <v>0</v>
      </c>
      <c r="AA1708" s="257">
        <f t="shared" si="358"/>
        <v>0</v>
      </c>
      <c r="AB1708" s="269">
        <f t="shared" si="359"/>
        <v>0</v>
      </c>
      <c r="AC1708" s="269">
        <f t="shared" si="360"/>
        <v>0</v>
      </c>
      <c r="AD1708" s="271" t="str">
        <f>INDEX('Global inputs'!$C$134:$C$171,MATCH(F1708,'Global inputs'!$B$134:$B$171,0))</f>
        <v>Consumer connection</v>
      </c>
      <c r="AE1708" s="272">
        <f>IF(OR(H1708='Operating leases'!$B$32,H1708='Operating leases'!$B$33),"",INDEX('Global inputs'!$C$186:$C$243,MATCH(E1708,'Global inputs'!$B$186:$B$243,0)))</f>
        <v>0.08</v>
      </c>
    </row>
    <row r="1709" spans="1:31" s="27" customFormat="1" x14ac:dyDescent="0.2">
      <c r="A1709" s="250"/>
      <c r="B1709" s="210" t="s">
        <v>714</v>
      </c>
      <c r="C1709" s="210" t="s">
        <v>284</v>
      </c>
      <c r="D1709" s="210" t="s">
        <v>715</v>
      </c>
      <c r="E1709" s="210" t="s">
        <v>127</v>
      </c>
      <c r="F1709" s="210" t="s">
        <v>94</v>
      </c>
      <c r="G1709" s="210" t="s">
        <v>717</v>
      </c>
      <c r="H1709" s="197">
        <v>0</v>
      </c>
      <c r="I1709" s="210" t="s">
        <v>221</v>
      </c>
      <c r="J1709" s="210">
        <v>2026</v>
      </c>
      <c r="K1709" s="210">
        <v>2026</v>
      </c>
      <c r="L1709" s="268" t="str">
        <f t="shared" si="348"/>
        <v>Simple</v>
      </c>
      <c r="M1709" s="197">
        <v>266.85496863025287</v>
      </c>
      <c r="N1709" s="197">
        <v>400.28245294537919</v>
      </c>
      <c r="O1709" s="257">
        <f>IF(ISNA(MATCH(H1709,'Operating leases'!$B$32:$B$43,0)),0,INDEX('Operating leases'!$M$32:$S$43,MATCH(H1709,'Operating leases'!$B$32:$B$43,0),MATCH(J1709,'Operating leases'!$M$11:$S$11,0)))</f>
        <v>0</v>
      </c>
      <c r="P1709" s="257">
        <f t="shared" si="349"/>
        <v>266.85496863025287</v>
      </c>
      <c r="Q1709" s="257">
        <f t="shared" si="350"/>
        <v>667.13742157563206</v>
      </c>
      <c r="R1709" s="258">
        <f>INDEX('Escalators '!$M$124:$S$129,MATCH(I1709,'Escalators '!$B$124:$B$129,0),MATCH(J1709,'Escalators '!$M$113:$S$113,0))</f>
        <v>1.1088998660799403</v>
      </c>
      <c r="S1709" s="257">
        <f t="shared" si="351"/>
        <v>0</v>
      </c>
      <c r="T1709" s="257">
        <f t="shared" si="352"/>
        <v>443.87315846528099</v>
      </c>
      <c r="U1709" s="269">
        <f t="shared" si="353"/>
        <v>295.91543897685403</v>
      </c>
      <c r="V1709" s="269">
        <f t="shared" si="354"/>
        <v>739.78859744213503</v>
      </c>
      <c r="W1709" s="269">
        <f t="shared" si="355"/>
        <v>295.91543897685403</v>
      </c>
      <c r="X1709" s="257">
        <f t="shared" si="356"/>
        <v>739.78859744213503</v>
      </c>
      <c r="Y1709" s="270">
        <f>IF(L1709="Complex",(INDEX('Escalators '!$M$176:$S$176,MATCH('Forecast capex'!J1709,'Escalators '!$M$178:$S$178,0))/12+1)^((K1709-J1709)*12)-1,0)</f>
        <v>0</v>
      </c>
      <c r="Z1709" s="257">
        <f t="shared" si="357"/>
        <v>0</v>
      </c>
      <c r="AA1709" s="257">
        <f t="shared" si="358"/>
        <v>0</v>
      </c>
      <c r="AB1709" s="269">
        <f t="shared" si="359"/>
        <v>0</v>
      </c>
      <c r="AC1709" s="269">
        <f t="shared" si="360"/>
        <v>0</v>
      </c>
      <c r="AD1709" s="271" t="str">
        <f>INDEX('Global inputs'!$C$134:$C$171,MATCH(F1709,'Global inputs'!$B$134:$B$171,0))</f>
        <v>Consumer connection</v>
      </c>
      <c r="AE1709" s="272">
        <f>IF(OR(H1709='Operating leases'!$B$32,H1709='Operating leases'!$B$33),"",INDEX('Global inputs'!$C$186:$C$243,MATCH(E1709,'Global inputs'!$B$186:$B$243,0)))</f>
        <v>0.08</v>
      </c>
    </row>
    <row r="1710" spans="1:31" s="27" customFormat="1" x14ac:dyDescent="0.2">
      <c r="A1710" s="250"/>
      <c r="B1710" s="210" t="s">
        <v>714</v>
      </c>
      <c r="C1710" s="210" t="s">
        <v>284</v>
      </c>
      <c r="D1710" s="210" t="s">
        <v>715</v>
      </c>
      <c r="E1710" s="210" t="s">
        <v>129</v>
      </c>
      <c r="F1710" s="210" t="s">
        <v>94</v>
      </c>
      <c r="G1710" s="210" t="s">
        <v>717</v>
      </c>
      <c r="H1710" s="197">
        <v>0</v>
      </c>
      <c r="I1710" s="210" t="s">
        <v>229</v>
      </c>
      <c r="J1710" s="210">
        <v>2026</v>
      </c>
      <c r="K1710" s="210">
        <v>2026</v>
      </c>
      <c r="L1710" s="268" t="str">
        <f t="shared" si="348"/>
        <v>Simple</v>
      </c>
      <c r="M1710" s="197">
        <v>266.85496863025287</v>
      </c>
      <c r="N1710" s="197">
        <v>400.28245294537919</v>
      </c>
      <c r="O1710" s="257">
        <f>IF(ISNA(MATCH(H1710,'Operating leases'!$B$32:$B$43,0)),0,INDEX('Operating leases'!$M$32:$S$43,MATCH(H1710,'Operating leases'!$B$32:$B$43,0),MATCH(J1710,'Operating leases'!$M$11:$S$11,0)))</f>
        <v>0</v>
      </c>
      <c r="P1710" s="257">
        <f t="shared" si="349"/>
        <v>266.85496863025287</v>
      </c>
      <c r="Q1710" s="257">
        <f t="shared" si="350"/>
        <v>667.13742157563206</v>
      </c>
      <c r="R1710" s="258">
        <f>INDEX('Escalators '!$M$124:$S$129,MATCH(I1710,'Escalators '!$B$124:$B$129,0),MATCH(J1710,'Escalators '!$M$113:$S$113,0))</f>
        <v>1.1110424701464636</v>
      </c>
      <c r="S1710" s="257">
        <f t="shared" si="351"/>
        <v>0</v>
      </c>
      <c r="T1710" s="257">
        <f t="shared" si="352"/>
        <v>444.73080527671971</v>
      </c>
      <c r="U1710" s="269">
        <f t="shared" si="353"/>
        <v>296.48720351781321</v>
      </c>
      <c r="V1710" s="269">
        <f t="shared" si="354"/>
        <v>741.21800879453292</v>
      </c>
      <c r="W1710" s="269">
        <f t="shared" si="355"/>
        <v>296.48720351781321</v>
      </c>
      <c r="X1710" s="257">
        <f t="shared" si="356"/>
        <v>741.21800879453292</v>
      </c>
      <c r="Y1710" s="270">
        <f>IF(L1710="Complex",(INDEX('Escalators '!$M$176:$S$176,MATCH('Forecast capex'!J1710,'Escalators '!$M$178:$S$178,0))/12+1)^((K1710-J1710)*12)-1,0)</f>
        <v>0</v>
      </c>
      <c r="Z1710" s="257">
        <f t="shared" si="357"/>
        <v>0</v>
      </c>
      <c r="AA1710" s="257">
        <f t="shared" si="358"/>
        <v>0</v>
      </c>
      <c r="AB1710" s="269">
        <f t="shared" si="359"/>
        <v>0</v>
      </c>
      <c r="AC1710" s="269">
        <f t="shared" si="360"/>
        <v>0</v>
      </c>
      <c r="AD1710" s="271" t="str">
        <f>INDEX('Global inputs'!$C$134:$C$171,MATCH(F1710,'Global inputs'!$B$134:$B$171,0))</f>
        <v>Consumer connection</v>
      </c>
      <c r="AE1710" s="272">
        <f>IF(OR(H1710='Operating leases'!$B$32,H1710='Operating leases'!$B$33),"",INDEX('Global inputs'!$C$186:$C$243,MATCH(E1710,'Global inputs'!$B$186:$B$243,0)))</f>
        <v>0.1</v>
      </c>
    </row>
    <row r="1711" spans="1:31" s="27" customFormat="1" x14ac:dyDescent="0.2">
      <c r="A1711" s="250"/>
      <c r="B1711" s="210" t="s">
        <v>714</v>
      </c>
      <c r="C1711" s="210" t="s">
        <v>284</v>
      </c>
      <c r="D1711" s="210" t="s">
        <v>715</v>
      </c>
      <c r="E1711" s="210" t="s">
        <v>129</v>
      </c>
      <c r="F1711" s="210" t="s">
        <v>94</v>
      </c>
      <c r="G1711" s="210" t="s">
        <v>717</v>
      </c>
      <c r="H1711" s="197">
        <v>0</v>
      </c>
      <c r="I1711" s="210" t="s">
        <v>221</v>
      </c>
      <c r="J1711" s="210">
        <v>2026</v>
      </c>
      <c r="K1711" s="210">
        <v>2026</v>
      </c>
      <c r="L1711" s="268" t="str">
        <f t="shared" si="348"/>
        <v>Simple</v>
      </c>
      <c r="M1711" s="197">
        <v>266.85496863025287</v>
      </c>
      <c r="N1711" s="197">
        <v>400.28245294537919</v>
      </c>
      <c r="O1711" s="257">
        <f>IF(ISNA(MATCH(H1711,'Operating leases'!$B$32:$B$43,0)),0,INDEX('Operating leases'!$M$32:$S$43,MATCH(H1711,'Operating leases'!$B$32:$B$43,0),MATCH(J1711,'Operating leases'!$M$11:$S$11,0)))</f>
        <v>0</v>
      </c>
      <c r="P1711" s="257">
        <f t="shared" si="349"/>
        <v>266.85496863025287</v>
      </c>
      <c r="Q1711" s="257">
        <f t="shared" si="350"/>
        <v>667.13742157563206</v>
      </c>
      <c r="R1711" s="258">
        <f>INDEX('Escalators '!$M$124:$S$129,MATCH(I1711,'Escalators '!$B$124:$B$129,0),MATCH(J1711,'Escalators '!$M$113:$S$113,0))</f>
        <v>1.1088998660799403</v>
      </c>
      <c r="S1711" s="257">
        <f t="shared" si="351"/>
        <v>0</v>
      </c>
      <c r="T1711" s="257">
        <f t="shared" si="352"/>
        <v>443.87315846528099</v>
      </c>
      <c r="U1711" s="269">
        <f t="shared" si="353"/>
        <v>295.91543897685403</v>
      </c>
      <c r="V1711" s="269">
        <f t="shared" si="354"/>
        <v>739.78859744213503</v>
      </c>
      <c r="W1711" s="269">
        <f t="shared" si="355"/>
        <v>295.91543897685403</v>
      </c>
      <c r="X1711" s="257">
        <f t="shared" si="356"/>
        <v>739.78859744213503</v>
      </c>
      <c r="Y1711" s="270">
        <f>IF(L1711="Complex",(INDEX('Escalators '!$M$176:$S$176,MATCH('Forecast capex'!J1711,'Escalators '!$M$178:$S$178,0))/12+1)^((K1711-J1711)*12)-1,0)</f>
        <v>0</v>
      </c>
      <c r="Z1711" s="257">
        <f t="shared" si="357"/>
        <v>0</v>
      </c>
      <c r="AA1711" s="257">
        <f t="shared" si="358"/>
        <v>0</v>
      </c>
      <c r="AB1711" s="269">
        <f t="shared" si="359"/>
        <v>0</v>
      </c>
      <c r="AC1711" s="269">
        <f t="shared" si="360"/>
        <v>0</v>
      </c>
      <c r="AD1711" s="271" t="str">
        <f>INDEX('Global inputs'!$C$134:$C$171,MATCH(F1711,'Global inputs'!$B$134:$B$171,0))</f>
        <v>Consumer connection</v>
      </c>
      <c r="AE1711" s="272">
        <f>IF(OR(H1711='Operating leases'!$B$32,H1711='Operating leases'!$B$33),"",INDEX('Global inputs'!$C$186:$C$243,MATCH(E1711,'Global inputs'!$B$186:$B$243,0)))</f>
        <v>0.1</v>
      </c>
    </row>
    <row r="1712" spans="1:31" s="27" customFormat="1" x14ac:dyDescent="0.2">
      <c r="A1712" s="250"/>
      <c r="B1712" s="210" t="s">
        <v>714</v>
      </c>
      <c r="C1712" s="210" t="s">
        <v>287</v>
      </c>
      <c r="D1712" s="210" t="s">
        <v>715</v>
      </c>
      <c r="E1712" s="210" t="s">
        <v>150</v>
      </c>
      <c r="F1712" s="210" t="s">
        <v>94</v>
      </c>
      <c r="G1712" s="210" t="s">
        <v>717</v>
      </c>
      <c r="H1712" s="197">
        <v>0</v>
      </c>
      <c r="I1712" s="210" t="s">
        <v>229</v>
      </c>
      <c r="J1712" s="210">
        <v>2026</v>
      </c>
      <c r="K1712" s="210">
        <v>2026</v>
      </c>
      <c r="L1712" s="268" t="str">
        <f t="shared" si="348"/>
        <v>Simple</v>
      </c>
      <c r="M1712" s="197">
        <v>16012.181743539111</v>
      </c>
      <c r="N1712" s="197">
        <v>24018.27261530867</v>
      </c>
      <c r="O1712" s="257">
        <f>IF(ISNA(MATCH(H1712,'Operating leases'!$B$32:$B$43,0)),0,INDEX('Operating leases'!$M$32:$S$43,MATCH(H1712,'Operating leases'!$B$32:$B$43,0),MATCH(J1712,'Operating leases'!$M$11:$S$11,0)))</f>
        <v>0</v>
      </c>
      <c r="P1712" s="257">
        <f t="shared" si="349"/>
        <v>16012.181743539111</v>
      </c>
      <c r="Q1712" s="257">
        <f t="shared" si="350"/>
        <v>40030.454358847783</v>
      </c>
      <c r="R1712" s="258">
        <f>INDEX('Escalators '!$M$124:$S$129,MATCH(I1712,'Escalators '!$B$124:$B$129,0),MATCH(J1712,'Escalators '!$M$113:$S$113,0))</f>
        <v>1.1110424701464636</v>
      </c>
      <c r="S1712" s="257">
        <f t="shared" si="351"/>
        <v>0</v>
      </c>
      <c r="T1712" s="257">
        <f t="shared" si="352"/>
        <v>26685.320935163709</v>
      </c>
      <c r="U1712" s="269">
        <f t="shared" si="353"/>
        <v>17790.213956775802</v>
      </c>
      <c r="V1712" s="269">
        <f t="shared" si="354"/>
        <v>44475.534891939511</v>
      </c>
      <c r="W1712" s="269">
        <f t="shared" si="355"/>
        <v>17790.213956775802</v>
      </c>
      <c r="X1712" s="257">
        <f t="shared" si="356"/>
        <v>44475.534891939511</v>
      </c>
      <c r="Y1712" s="270">
        <f>IF(L1712="Complex",(INDEX('Escalators '!$M$176:$S$176,MATCH('Forecast capex'!J1712,'Escalators '!$M$178:$S$178,0))/12+1)^((K1712-J1712)*12)-1,0)</f>
        <v>0</v>
      </c>
      <c r="Z1712" s="257">
        <f t="shared" si="357"/>
        <v>0</v>
      </c>
      <c r="AA1712" s="257">
        <f t="shared" si="358"/>
        <v>0</v>
      </c>
      <c r="AB1712" s="269">
        <f t="shared" si="359"/>
        <v>0</v>
      </c>
      <c r="AC1712" s="269">
        <f t="shared" si="360"/>
        <v>0</v>
      </c>
      <c r="AD1712" s="271" t="str">
        <f>INDEX('Global inputs'!$C$134:$C$171,MATCH(F1712,'Global inputs'!$B$134:$B$171,0))</f>
        <v>Consumer connection</v>
      </c>
      <c r="AE1712" s="272">
        <f>IF(OR(H1712='Operating leases'!$B$32,H1712='Operating leases'!$B$33),"",INDEX('Global inputs'!$C$186:$C$243,MATCH(E1712,'Global inputs'!$B$186:$B$243,0)))</f>
        <v>0.08</v>
      </c>
    </row>
    <row r="1713" spans="1:31" s="27" customFormat="1" x14ac:dyDescent="0.2">
      <c r="A1713" s="250"/>
      <c r="B1713" s="210" t="s">
        <v>714</v>
      </c>
      <c r="C1713" s="210" t="s">
        <v>287</v>
      </c>
      <c r="D1713" s="210" t="s">
        <v>715</v>
      </c>
      <c r="E1713" s="210" t="s">
        <v>150</v>
      </c>
      <c r="F1713" s="210" t="s">
        <v>94</v>
      </c>
      <c r="G1713" s="210" t="s">
        <v>717</v>
      </c>
      <c r="H1713" s="197">
        <v>0</v>
      </c>
      <c r="I1713" s="210" t="s">
        <v>221</v>
      </c>
      <c r="J1713" s="210">
        <v>2026</v>
      </c>
      <c r="K1713" s="210">
        <v>2026</v>
      </c>
      <c r="L1713" s="268" t="str">
        <f t="shared" si="348"/>
        <v>Simple</v>
      </c>
      <c r="M1713" s="197">
        <v>16012.181743539111</v>
      </c>
      <c r="N1713" s="197">
        <v>24018.27261530867</v>
      </c>
      <c r="O1713" s="257">
        <f>IF(ISNA(MATCH(H1713,'Operating leases'!$B$32:$B$43,0)),0,INDEX('Operating leases'!$M$32:$S$43,MATCH(H1713,'Operating leases'!$B$32:$B$43,0),MATCH(J1713,'Operating leases'!$M$11:$S$11,0)))</f>
        <v>0</v>
      </c>
      <c r="P1713" s="257">
        <f t="shared" si="349"/>
        <v>16012.181743539111</v>
      </c>
      <c r="Q1713" s="257">
        <f t="shared" si="350"/>
        <v>40030.454358847783</v>
      </c>
      <c r="R1713" s="258">
        <f>INDEX('Escalators '!$M$124:$S$129,MATCH(I1713,'Escalators '!$B$124:$B$129,0),MATCH(J1713,'Escalators '!$M$113:$S$113,0))</f>
        <v>1.1088998660799403</v>
      </c>
      <c r="S1713" s="257">
        <f t="shared" si="351"/>
        <v>0</v>
      </c>
      <c r="T1713" s="257">
        <f t="shared" si="352"/>
        <v>26633.859286587282</v>
      </c>
      <c r="U1713" s="269">
        <f t="shared" si="353"/>
        <v>17755.906191058184</v>
      </c>
      <c r="V1713" s="269">
        <f t="shared" si="354"/>
        <v>44389.765477645466</v>
      </c>
      <c r="W1713" s="269">
        <f t="shared" si="355"/>
        <v>17755.906191058184</v>
      </c>
      <c r="X1713" s="257">
        <f t="shared" si="356"/>
        <v>44389.765477645466</v>
      </c>
      <c r="Y1713" s="270">
        <f>IF(L1713="Complex",(INDEX('Escalators '!$M$176:$S$176,MATCH('Forecast capex'!J1713,'Escalators '!$M$178:$S$178,0))/12+1)^((K1713-J1713)*12)-1,0)</f>
        <v>0</v>
      </c>
      <c r="Z1713" s="257">
        <f t="shared" si="357"/>
        <v>0</v>
      </c>
      <c r="AA1713" s="257">
        <f t="shared" si="358"/>
        <v>0</v>
      </c>
      <c r="AB1713" s="269">
        <f t="shared" si="359"/>
        <v>0</v>
      </c>
      <c r="AC1713" s="269">
        <f t="shared" si="360"/>
        <v>0</v>
      </c>
      <c r="AD1713" s="271" t="str">
        <f>INDEX('Global inputs'!$C$134:$C$171,MATCH(F1713,'Global inputs'!$B$134:$B$171,0))</f>
        <v>Consumer connection</v>
      </c>
      <c r="AE1713" s="272">
        <f>IF(OR(H1713='Operating leases'!$B$32,H1713='Operating leases'!$B$33),"",INDEX('Global inputs'!$C$186:$C$243,MATCH(E1713,'Global inputs'!$B$186:$B$243,0)))</f>
        <v>0.08</v>
      </c>
    </row>
    <row r="1714" spans="1:31" s="27" customFormat="1" x14ac:dyDescent="0.2">
      <c r="A1714" s="250"/>
      <c r="B1714" s="210" t="s">
        <v>714</v>
      </c>
      <c r="C1714" s="210" t="s">
        <v>287</v>
      </c>
      <c r="D1714" s="210" t="s">
        <v>715</v>
      </c>
      <c r="E1714" s="210" t="s">
        <v>151</v>
      </c>
      <c r="F1714" s="210" t="s">
        <v>94</v>
      </c>
      <c r="G1714" s="210" t="s">
        <v>717</v>
      </c>
      <c r="H1714" s="197">
        <v>0</v>
      </c>
      <c r="I1714" s="210" t="s">
        <v>229</v>
      </c>
      <c r="J1714" s="210">
        <v>2026</v>
      </c>
      <c r="K1714" s="210">
        <v>2026</v>
      </c>
      <c r="L1714" s="268" t="str">
        <f t="shared" si="348"/>
        <v>Simple</v>
      </c>
      <c r="M1714" s="197">
        <v>16012.181743539111</v>
      </c>
      <c r="N1714" s="197">
        <v>24018.27261530867</v>
      </c>
      <c r="O1714" s="257">
        <f>IF(ISNA(MATCH(H1714,'Operating leases'!$B$32:$B$43,0)),0,INDEX('Operating leases'!$M$32:$S$43,MATCH(H1714,'Operating leases'!$B$32:$B$43,0),MATCH(J1714,'Operating leases'!$M$11:$S$11,0)))</f>
        <v>0</v>
      </c>
      <c r="P1714" s="257">
        <f t="shared" si="349"/>
        <v>16012.181743539111</v>
      </c>
      <c r="Q1714" s="257">
        <f t="shared" si="350"/>
        <v>40030.454358847783</v>
      </c>
      <c r="R1714" s="258">
        <f>INDEX('Escalators '!$M$124:$S$129,MATCH(I1714,'Escalators '!$B$124:$B$129,0),MATCH(J1714,'Escalators '!$M$113:$S$113,0))</f>
        <v>1.1110424701464636</v>
      </c>
      <c r="S1714" s="257">
        <f t="shared" si="351"/>
        <v>0</v>
      </c>
      <c r="T1714" s="257">
        <f t="shared" si="352"/>
        <v>26685.320935163709</v>
      </c>
      <c r="U1714" s="269">
        <f t="shared" si="353"/>
        <v>17790.213956775802</v>
      </c>
      <c r="V1714" s="269">
        <f t="shared" si="354"/>
        <v>44475.534891939511</v>
      </c>
      <c r="W1714" s="269">
        <f t="shared" si="355"/>
        <v>17790.213956775802</v>
      </c>
      <c r="X1714" s="257">
        <f t="shared" si="356"/>
        <v>44475.534891939511</v>
      </c>
      <c r="Y1714" s="270">
        <f>IF(L1714="Complex",(INDEX('Escalators '!$M$176:$S$176,MATCH('Forecast capex'!J1714,'Escalators '!$M$178:$S$178,0))/12+1)^((K1714-J1714)*12)-1,0)</f>
        <v>0</v>
      </c>
      <c r="Z1714" s="257">
        <f t="shared" si="357"/>
        <v>0</v>
      </c>
      <c r="AA1714" s="257">
        <f t="shared" si="358"/>
        <v>0</v>
      </c>
      <c r="AB1714" s="269">
        <f t="shared" si="359"/>
        <v>0</v>
      </c>
      <c r="AC1714" s="269">
        <f t="shared" si="360"/>
        <v>0</v>
      </c>
      <c r="AD1714" s="271" t="str">
        <f>INDEX('Global inputs'!$C$134:$C$171,MATCH(F1714,'Global inputs'!$B$134:$B$171,0))</f>
        <v>Consumer connection</v>
      </c>
      <c r="AE1714" s="272">
        <f>IF(OR(H1714='Operating leases'!$B$32,H1714='Operating leases'!$B$33),"",INDEX('Global inputs'!$C$186:$C$243,MATCH(E1714,'Global inputs'!$B$186:$B$243,0)))</f>
        <v>0.1</v>
      </c>
    </row>
    <row r="1715" spans="1:31" s="27" customFormat="1" x14ac:dyDescent="0.2">
      <c r="A1715" s="250"/>
      <c r="B1715" s="210" t="s">
        <v>714</v>
      </c>
      <c r="C1715" s="210" t="s">
        <v>287</v>
      </c>
      <c r="D1715" s="210" t="s">
        <v>715</v>
      </c>
      <c r="E1715" s="210" t="s">
        <v>151</v>
      </c>
      <c r="F1715" s="210" t="s">
        <v>94</v>
      </c>
      <c r="G1715" s="210" t="s">
        <v>717</v>
      </c>
      <c r="H1715" s="197">
        <v>0</v>
      </c>
      <c r="I1715" s="210" t="s">
        <v>221</v>
      </c>
      <c r="J1715" s="210">
        <v>2026</v>
      </c>
      <c r="K1715" s="210">
        <v>2026</v>
      </c>
      <c r="L1715" s="268" t="str">
        <f t="shared" si="348"/>
        <v>Simple</v>
      </c>
      <c r="M1715" s="197">
        <v>16012.181743539111</v>
      </c>
      <c r="N1715" s="197">
        <v>24018.27261530867</v>
      </c>
      <c r="O1715" s="257">
        <f>IF(ISNA(MATCH(H1715,'Operating leases'!$B$32:$B$43,0)),0,INDEX('Operating leases'!$M$32:$S$43,MATCH(H1715,'Operating leases'!$B$32:$B$43,0),MATCH(J1715,'Operating leases'!$M$11:$S$11,0)))</f>
        <v>0</v>
      </c>
      <c r="P1715" s="257">
        <f t="shared" si="349"/>
        <v>16012.181743539111</v>
      </c>
      <c r="Q1715" s="257">
        <f t="shared" si="350"/>
        <v>40030.454358847783</v>
      </c>
      <c r="R1715" s="258">
        <f>INDEX('Escalators '!$M$124:$S$129,MATCH(I1715,'Escalators '!$B$124:$B$129,0),MATCH(J1715,'Escalators '!$M$113:$S$113,0))</f>
        <v>1.1088998660799403</v>
      </c>
      <c r="S1715" s="257">
        <f t="shared" si="351"/>
        <v>0</v>
      </c>
      <c r="T1715" s="257">
        <f t="shared" si="352"/>
        <v>26633.859286587282</v>
      </c>
      <c r="U1715" s="269">
        <f t="shared" si="353"/>
        <v>17755.906191058184</v>
      </c>
      <c r="V1715" s="269">
        <f t="shared" si="354"/>
        <v>44389.765477645466</v>
      </c>
      <c r="W1715" s="269">
        <f t="shared" si="355"/>
        <v>17755.906191058184</v>
      </c>
      <c r="X1715" s="257">
        <f t="shared" si="356"/>
        <v>44389.765477645466</v>
      </c>
      <c r="Y1715" s="270">
        <f>IF(L1715="Complex",(INDEX('Escalators '!$M$176:$S$176,MATCH('Forecast capex'!J1715,'Escalators '!$M$178:$S$178,0))/12+1)^((K1715-J1715)*12)-1,0)</f>
        <v>0</v>
      </c>
      <c r="Z1715" s="257">
        <f t="shared" si="357"/>
        <v>0</v>
      </c>
      <c r="AA1715" s="257">
        <f t="shared" si="358"/>
        <v>0</v>
      </c>
      <c r="AB1715" s="269">
        <f t="shared" si="359"/>
        <v>0</v>
      </c>
      <c r="AC1715" s="269">
        <f t="shared" si="360"/>
        <v>0</v>
      </c>
      <c r="AD1715" s="271" t="str">
        <f>INDEX('Global inputs'!$C$134:$C$171,MATCH(F1715,'Global inputs'!$B$134:$B$171,0))</f>
        <v>Consumer connection</v>
      </c>
      <c r="AE1715" s="272">
        <f>IF(OR(H1715='Operating leases'!$B$32,H1715='Operating leases'!$B$33),"",INDEX('Global inputs'!$C$186:$C$243,MATCH(E1715,'Global inputs'!$B$186:$B$243,0)))</f>
        <v>0.1</v>
      </c>
    </row>
    <row r="1716" spans="1:31" s="27" customFormat="1" x14ac:dyDescent="0.2">
      <c r="A1716" s="250"/>
      <c r="B1716" s="210" t="s">
        <v>714</v>
      </c>
      <c r="C1716" s="210" t="s">
        <v>287</v>
      </c>
      <c r="D1716" s="210" t="s">
        <v>715</v>
      </c>
      <c r="E1716" s="210" t="s">
        <v>153</v>
      </c>
      <c r="F1716" s="210" t="s">
        <v>94</v>
      </c>
      <c r="G1716" s="210" t="s">
        <v>717</v>
      </c>
      <c r="H1716" s="197">
        <v>0</v>
      </c>
      <c r="I1716" s="210" t="s">
        <v>229</v>
      </c>
      <c r="J1716" s="210">
        <v>2026</v>
      </c>
      <c r="K1716" s="210">
        <v>2026</v>
      </c>
      <c r="L1716" s="268" t="str">
        <f t="shared" si="348"/>
        <v>Simple</v>
      </c>
      <c r="M1716" s="197">
        <v>13877.34199449709</v>
      </c>
      <c r="N1716" s="197">
        <v>20816.012991745636</v>
      </c>
      <c r="O1716" s="257">
        <f>IF(ISNA(MATCH(H1716,'Operating leases'!$B$32:$B$43,0)),0,INDEX('Operating leases'!$M$32:$S$43,MATCH(H1716,'Operating leases'!$B$32:$B$43,0),MATCH(J1716,'Operating leases'!$M$11:$S$11,0)))</f>
        <v>0</v>
      </c>
      <c r="P1716" s="257">
        <f t="shared" si="349"/>
        <v>13877.34199449709</v>
      </c>
      <c r="Q1716" s="257">
        <f t="shared" si="350"/>
        <v>34693.354986242724</v>
      </c>
      <c r="R1716" s="258">
        <f>INDEX('Escalators '!$M$124:$S$129,MATCH(I1716,'Escalators '!$B$124:$B$129,0),MATCH(J1716,'Escalators '!$M$113:$S$113,0))</f>
        <v>1.1110424701464636</v>
      </c>
      <c r="S1716" s="257">
        <f t="shared" si="351"/>
        <v>0</v>
      </c>
      <c r="T1716" s="257">
        <f t="shared" si="352"/>
        <v>23127.47449294995</v>
      </c>
      <c r="U1716" s="269">
        <f t="shared" si="353"/>
        <v>15418.3163286333</v>
      </c>
      <c r="V1716" s="269">
        <f t="shared" si="354"/>
        <v>38545.79082158325</v>
      </c>
      <c r="W1716" s="269">
        <f t="shared" si="355"/>
        <v>15418.3163286333</v>
      </c>
      <c r="X1716" s="257">
        <f t="shared" si="356"/>
        <v>38545.79082158325</v>
      </c>
      <c r="Y1716" s="270">
        <f>IF(L1716="Complex",(INDEX('Escalators '!$M$176:$S$176,MATCH('Forecast capex'!J1716,'Escalators '!$M$178:$S$178,0))/12+1)^((K1716-J1716)*12)-1,0)</f>
        <v>0</v>
      </c>
      <c r="Z1716" s="257">
        <f t="shared" si="357"/>
        <v>0</v>
      </c>
      <c r="AA1716" s="257">
        <f t="shared" si="358"/>
        <v>0</v>
      </c>
      <c r="AB1716" s="269">
        <f t="shared" si="359"/>
        <v>0</v>
      </c>
      <c r="AC1716" s="269">
        <f t="shared" si="360"/>
        <v>0</v>
      </c>
      <c r="AD1716" s="271" t="str">
        <f>INDEX('Global inputs'!$C$134:$C$171,MATCH(F1716,'Global inputs'!$B$134:$B$171,0))</f>
        <v>Consumer connection</v>
      </c>
      <c r="AE1716" s="272">
        <f>IF(OR(H1716='Operating leases'!$B$32,H1716='Operating leases'!$B$33),"",INDEX('Global inputs'!$C$186:$C$243,MATCH(E1716,'Global inputs'!$B$186:$B$243,0)))</f>
        <v>0.08</v>
      </c>
    </row>
    <row r="1717" spans="1:31" s="27" customFormat="1" x14ac:dyDescent="0.2">
      <c r="A1717" s="250"/>
      <c r="B1717" s="210" t="s">
        <v>714</v>
      </c>
      <c r="C1717" s="210" t="s">
        <v>287</v>
      </c>
      <c r="D1717" s="210" t="s">
        <v>715</v>
      </c>
      <c r="E1717" s="210" t="s">
        <v>153</v>
      </c>
      <c r="F1717" s="210" t="s">
        <v>94</v>
      </c>
      <c r="G1717" s="210" t="s">
        <v>717</v>
      </c>
      <c r="H1717" s="197">
        <v>0</v>
      </c>
      <c r="I1717" s="210" t="s">
        <v>221</v>
      </c>
      <c r="J1717" s="210">
        <v>2026</v>
      </c>
      <c r="K1717" s="210">
        <v>2026</v>
      </c>
      <c r="L1717" s="268" t="str">
        <f t="shared" si="348"/>
        <v>Simple</v>
      </c>
      <c r="M1717" s="197">
        <v>13877.34199449709</v>
      </c>
      <c r="N1717" s="197">
        <v>20816.012991745636</v>
      </c>
      <c r="O1717" s="257">
        <f>IF(ISNA(MATCH(H1717,'Operating leases'!$B$32:$B$43,0)),0,INDEX('Operating leases'!$M$32:$S$43,MATCH(H1717,'Operating leases'!$B$32:$B$43,0),MATCH(J1717,'Operating leases'!$M$11:$S$11,0)))</f>
        <v>0</v>
      </c>
      <c r="P1717" s="257">
        <f t="shared" si="349"/>
        <v>13877.34199449709</v>
      </c>
      <c r="Q1717" s="257">
        <f t="shared" si="350"/>
        <v>34693.354986242724</v>
      </c>
      <c r="R1717" s="258">
        <f>INDEX('Escalators '!$M$124:$S$129,MATCH(I1717,'Escalators '!$B$124:$B$129,0),MATCH(J1717,'Escalators '!$M$113:$S$113,0))</f>
        <v>1.1088998660799403</v>
      </c>
      <c r="S1717" s="257">
        <f t="shared" si="351"/>
        <v>0</v>
      </c>
      <c r="T1717" s="257">
        <f t="shared" si="352"/>
        <v>23082.874018865034</v>
      </c>
      <c r="U1717" s="269">
        <f t="shared" si="353"/>
        <v>15388.582679243351</v>
      </c>
      <c r="V1717" s="269">
        <f t="shared" si="354"/>
        <v>38471.456698108384</v>
      </c>
      <c r="W1717" s="269">
        <f t="shared" si="355"/>
        <v>15388.582679243351</v>
      </c>
      <c r="X1717" s="257">
        <f t="shared" si="356"/>
        <v>38471.456698108384</v>
      </c>
      <c r="Y1717" s="270">
        <f>IF(L1717="Complex",(INDEX('Escalators '!$M$176:$S$176,MATCH('Forecast capex'!J1717,'Escalators '!$M$178:$S$178,0))/12+1)^((K1717-J1717)*12)-1,0)</f>
        <v>0</v>
      </c>
      <c r="Z1717" s="257">
        <f t="shared" si="357"/>
        <v>0</v>
      </c>
      <c r="AA1717" s="257">
        <f t="shared" si="358"/>
        <v>0</v>
      </c>
      <c r="AB1717" s="269">
        <f t="shared" si="359"/>
        <v>0</v>
      </c>
      <c r="AC1717" s="269">
        <f t="shared" si="360"/>
        <v>0</v>
      </c>
      <c r="AD1717" s="271" t="str">
        <f>INDEX('Global inputs'!$C$134:$C$171,MATCH(F1717,'Global inputs'!$B$134:$B$171,0))</f>
        <v>Consumer connection</v>
      </c>
      <c r="AE1717" s="272">
        <f>IF(OR(H1717='Operating leases'!$B$32,H1717='Operating leases'!$B$33),"",INDEX('Global inputs'!$C$186:$C$243,MATCH(E1717,'Global inputs'!$B$186:$B$243,0)))</f>
        <v>0.08</v>
      </c>
    </row>
    <row r="1718" spans="1:31" s="27" customFormat="1" x14ac:dyDescent="0.2">
      <c r="A1718" s="250"/>
      <c r="B1718" s="210" t="s">
        <v>714</v>
      </c>
      <c r="C1718" s="210" t="s">
        <v>287</v>
      </c>
      <c r="D1718" s="210" t="s">
        <v>715</v>
      </c>
      <c r="E1718" s="210" t="s">
        <v>154</v>
      </c>
      <c r="F1718" s="210" t="s">
        <v>94</v>
      </c>
      <c r="G1718" s="210" t="s">
        <v>717</v>
      </c>
      <c r="H1718" s="197">
        <v>0</v>
      </c>
      <c r="I1718" s="210" t="s">
        <v>229</v>
      </c>
      <c r="J1718" s="210">
        <v>2026</v>
      </c>
      <c r="K1718" s="210">
        <v>2026</v>
      </c>
      <c r="L1718" s="268" t="str">
        <f t="shared" si="348"/>
        <v>Simple</v>
      </c>
      <c r="M1718" s="197">
        <v>13877.34199449709</v>
      </c>
      <c r="N1718" s="197">
        <v>20816.012991745636</v>
      </c>
      <c r="O1718" s="257">
        <f>IF(ISNA(MATCH(H1718,'Operating leases'!$B$32:$B$43,0)),0,INDEX('Operating leases'!$M$32:$S$43,MATCH(H1718,'Operating leases'!$B$32:$B$43,0),MATCH(J1718,'Operating leases'!$M$11:$S$11,0)))</f>
        <v>0</v>
      </c>
      <c r="P1718" s="257">
        <f t="shared" si="349"/>
        <v>13877.34199449709</v>
      </c>
      <c r="Q1718" s="257">
        <f t="shared" si="350"/>
        <v>34693.354986242724</v>
      </c>
      <c r="R1718" s="258">
        <f>INDEX('Escalators '!$M$124:$S$129,MATCH(I1718,'Escalators '!$B$124:$B$129,0),MATCH(J1718,'Escalators '!$M$113:$S$113,0))</f>
        <v>1.1110424701464636</v>
      </c>
      <c r="S1718" s="257">
        <f t="shared" si="351"/>
        <v>0</v>
      </c>
      <c r="T1718" s="257">
        <f t="shared" si="352"/>
        <v>23127.47449294995</v>
      </c>
      <c r="U1718" s="269">
        <f t="shared" si="353"/>
        <v>15418.3163286333</v>
      </c>
      <c r="V1718" s="269">
        <f t="shared" si="354"/>
        <v>38545.79082158325</v>
      </c>
      <c r="W1718" s="269">
        <f t="shared" si="355"/>
        <v>15418.3163286333</v>
      </c>
      <c r="X1718" s="257">
        <f t="shared" si="356"/>
        <v>38545.79082158325</v>
      </c>
      <c r="Y1718" s="270">
        <f>IF(L1718="Complex",(INDEX('Escalators '!$M$176:$S$176,MATCH('Forecast capex'!J1718,'Escalators '!$M$178:$S$178,0))/12+1)^((K1718-J1718)*12)-1,0)</f>
        <v>0</v>
      </c>
      <c r="Z1718" s="257">
        <f t="shared" si="357"/>
        <v>0</v>
      </c>
      <c r="AA1718" s="257">
        <f t="shared" si="358"/>
        <v>0</v>
      </c>
      <c r="AB1718" s="269">
        <f t="shared" si="359"/>
        <v>0</v>
      </c>
      <c r="AC1718" s="269">
        <f t="shared" si="360"/>
        <v>0</v>
      </c>
      <c r="AD1718" s="271" t="str">
        <f>INDEX('Global inputs'!$C$134:$C$171,MATCH(F1718,'Global inputs'!$B$134:$B$171,0))</f>
        <v>Consumer connection</v>
      </c>
      <c r="AE1718" s="272">
        <f>IF(OR(H1718='Operating leases'!$B$32,H1718='Operating leases'!$B$33),"",INDEX('Global inputs'!$C$186:$C$243,MATCH(E1718,'Global inputs'!$B$186:$B$243,0)))</f>
        <v>0.1</v>
      </c>
    </row>
    <row r="1719" spans="1:31" s="27" customFormat="1" x14ac:dyDescent="0.2">
      <c r="A1719" s="250"/>
      <c r="B1719" s="210" t="s">
        <v>714</v>
      </c>
      <c r="C1719" s="210" t="s">
        <v>287</v>
      </c>
      <c r="D1719" s="210" t="s">
        <v>715</v>
      </c>
      <c r="E1719" s="210" t="s">
        <v>154</v>
      </c>
      <c r="F1719" s="210" t="s">
        <v>94</v>
      </c>
      <c r="G1719" s="210" t="s">
        <v>717</v>
      </c>
      <c r="H1719" s="197">
        <v>0</v>
      </c>
      <c r="I1719" s="210" t="s">
        <v>221</v>
      </c>
      <c r="J1719" s="210">
        <v>2026</v>
      </c>
      <c r="K1719" s="210">
        <v>2026</v>
      </c>
      <c r="L1719" s="268" t="str">
        <f t="shared" si="348"/>
        <v>Simple</v>
      </c>
      <c r="M1719" s="197">
        <v>13877.34199449709</v>
      </c>
      <c r="N1719" s="197">
        <v>20816.012991745636</v>
      </c>
      <c r="O1719" s="257">
        <f>IF(ISNA(MATCH(H1719,'Operating leases'!$B$32:$B$43,0)),0,INDEX('Operating leases'!$M$32:$S$43,MATCH(H1719,'Operating leases'!$B$32:$B$43,0),MATCH(J1719,'Operating leases'!$M$11:$S$11,0)))</f>
        <v>0</v>
      </c>
      <c r="P1719" s="257">
        <f t="shared" si="349"/>
        <v>13877.34199449709</v>
      </c>
      <c r="Q1719" s="257">
        <f t="shared" si="350"/>
        <v>34693.354986242724</v>
      </c>
      <c r="R1719" s="258">
        <f>INDEX('Escalators '!$M$124:$S$129,MATCH(I1719,'Escalators '!$B$124:$B$129,0),MATCH(J1719,'Escalators '!$M$113:$S$113,0))</f>
        <v>1.1088998660799403</v>
      </c>
      <c r="S1719" s="257">
        <f t="shared" si="351"/>
        <v>0</v>
      </c>
      <c r="T1719" s="257">
        <f t="shared" si="352"/>
        <v>23082.874018865034</v>
      </c>
      <c r="U1719" s="269">
        <f t="shared" si="353"/>
        <v>15388.582679243351</v>
      </c>
      <c r="V1719" s="269">
        <f t="shared" si="354"/>
        <v>38471.456698108384</v>
      </c>
      <c r="W1719" s="269">
        <f t="shared" si="355"/>
        <v>15388.582679243351</v>
      </c>
      <c r="X1719" s="257">
        <f t="shared" si="356"/>
        <v>38471.456698108384</v>
      </c>
      <c r="Y1719" s="270">
        <f>IF(L1719="Complex",(INDEX('Escalators '!$M$176:$S$176,MATCH('Forecast capex'!J1719,'Escalators '!$M$178:$S$178,0))/12+1)^((K1719-J1719)*12)-1,0)</f>
        <v>0</v>
      </c>
      <c r="Z1719" s="257">
        <f t="shared" si="357"/>
        <v>0</v>
      </c>
      <c r="AA1719" s="257">
        <f t="shared" si="358"/>
        <v>0</v>
      </c>
      <c r="AB1719" s="269">
        <f t="shared" si="359"/>
        <v>0</v>
      </c>
      <c r="AC1719" s="269">
        <f t="shared" si="360"/>
        <v>0</v>
      </c>
      <c r="AD1719" s="271" t="str">
        <f>INDEX('Global inputs'!$C$134:$C$171,MATCH(F1719,'Global inputs'!$B$134:$B$171,0))</f>
        <v>Consumer connection</v>
      </c>
      <c r="AE1719" s="272">
        <f>IF(OR(H1719='Operating leases'!$B$32,H1719='Operating leases'!$B$33),"",INDEX('Global inputs'!$C$186:$C$243,MATCH(E1719,'Global inputs'!$B$186:$B$243,0)))</f>
        <v>0.1</v>
      </c>
    </row>
    <row r="1720" spans="1:31" s="27" customFormat="1" x14ac:dyDescent="0.2">
      <c r="A1720" s="250"/>
      <c r="B1720" s="210" t="s">
        <v>714</v>
      </c>
      <c r="C1720" s="210" t="s">
        <v>286</v>
      </c>
      <c r="D1720" s="210" t="s">
        <v>732</v>
      </c>
      <c r="E1720" s="210" t="s">
        <v>140</v>
      </c>
      <c r="F1720" s="210" t="s">
        <v>94</v>
      </c>
      <c r="G1720" s="210" t="s">
        <v>733</v>
      </c>
      <c r="H1720" s="197">
        <v>0</v>
      </c>
      <c r="I1720" s="210" t="s">
        <v>142</v>
      </c>
      <c r="J1720" s="210">
        <v>2026</v>
      </c>
      <c r="K1720" s="210">
        <v>2026</v>
      </c>
      <c r="L1720" s="268" t="str">
        <f t="shared" si="348"/>
        <v>Simple</v>
      </c>
      <c r="M1720" s="197">
        <v>23698.311740669546</v>
      </c>
      <c r="N1720" s="197">
        <v>35547.467611004315</v>
      </c>
      <c r="O1720" s="257">
        <f>IF(ISNA(MATCH(H1720,'Operating leases'!$B$32:$B$43,0)),0,INDEX('Operating leases'!$M$32:$S$43,MATCH(H1720,'Operating leases'!$B$32:$B$43,0),MATCH(J1720,'Operating leases'!$M$11:$S$11,0)))</f>
        <v>0</v>
      </c>
      <c r="P1720" s="257">
        <f t="shared" si="349"/>
        <v>23698.311740669546</v>
      </c>
      <c r="Q1720" s="257">
        <f t="shared" si="350"/>
        <v>59245.77935167386</v>
      </c>
      <c r="R1720" s="258">
        <f>INDEX('Escalators '!$M$124:$S$129,MATCH(I1720,'Escalators '!$B$124:$B$129,0),MATCH(J1720,'Escalators '!$M$113:$S$113,0))</f>
        <v>1.1158480359294924</v>
      </c>
      <c r="S1720" s="257">
        <f t="shared" si="351"/>
        <v>0</v>
      </c>
      <c r="T1720" s="257">
        <f t="shared" si="352"/>
        <v>39665.571916006411</v>
      </c>
      <c r="U1720" s="269">
        <f t="shared" si="353"/>
        <v>26443.714610670948</v>
      </c>
      <c r="V1720" s="269">
        <f t="shared" si="354"/>
        <v>66109.286526677359</v>
      </c>
      <c r="W1720" s="269">
        <f t="shared" si="355"/>
        <v>26443.714610670948</v>
      </c>
      <c r="X1720" s="257">
        <f t="shared" si="356"/>
        <v>66109.286526677359</v>
      </c>
      <c r="Y1720" s="270">
        <f>IF(L1720="Complex",(INDEX('Escalators '!$M$176:$S$176,MATCH('Forecast capex'!J1720,'Escalators '!$M$178:$S$178,0))/12+1)^((K1720-J1720)*12)-1,0)</f>
        <v>0</v>
      </c>
      <c r="Z1720" s="257">
        <f t="shared" si="357"/>
        <v>0</v>
      </c>
      <c r="AA1720" s="257">
        <f t="shared" si="358"/>
        <v>0</v>
      </c>
      <c r="AB1720" s="269">
        <f t="shared" si="359"/>
        <v>0</v>
      </c>
      <c r="AC1720" s="269">
        <f t="shared" si="360"/>
        <v>0</v>
      </c>
      <c r="AD1720" s="271" t="str">
        <f>INDEX('Global inputs'!$C$134:$C$171,MATCH(F1720,'Global inputs'!$B$134:$B$171,0))</f>
        <v>Consumer connection</v>
      </c>
      <c r="AE1720" s="272">
        <f>IF(OR(H1720='Operating leases'!$B$32,H1720='Operating leases'!$B$33),"",INDEX('Global inputs'!$C$186:$C$243,MATCH(E1720,'Global inputs'!$B$186:$B$243,0)))</f>
        <v>0.08</v>
      </c>
    </row>
    <row r="1721" spans="1:31" s="27" customFormat="1" x14ac:dyDescent="0.2">
      <c r="A1721" s="250"/>
      <c r="B1721" s="210" t="s">
        <v>714</v>
      </c>
      <c r="C1721" s="210" t="s">
        <v>286</v>
      </c>
      <c r="D1721" s="210" t="s">
        <v>732</v>
      </c>
      <c r="E1721" s="210" t="s">
        <v>140</v>
      </c>
      <c r="F1721" s="210" t="s">
        <v>94</v>
      </c>
      <c r="G1721" s="210" t="s">
        <v>733</v>
      </c>
      <c r="H1721" s="197">
        <v>0</v>
      </c>
      <c r="I1721" s="210" t="s">
        <v>221</v>
      </c>
      <c r="J1721" s="210">
        <v>2026</v>
      </c>
      <c r="K1721" s="210">
        <v>2026</v>
      </c>
      <c r="L1721" s="268" t="str">
        <f t="shared" si="348"/>
        <v>Simple</v>
      </c>
      <c r="M1721" s="197">
        <v>15798.874493779702</v>
      </c>
      <c r="N1721" s="197">
        <v>23698.311740669546</v>
      </c>
      <c r="O1721" s="257">
        <f>IF(ISNA(MATCH(H1721,'Operating leases'!$B$32:$B$43,0)),0,INDEX('Operating leases'!$M$32:$S$43,MATCH(H1721,'Operating leases'!$B$32:$B$43,0),MATCH(J1721,'Operating leases'!$M$11:$S$11,0)))</f>
        <v>0</v>
      </c>
      <c r="P1721" s="257">
        <f t="shared" si="349"/>
        <v>15798.874493779702</v>
      </c>
      <c r="Q1721" s="257">
        <f t="shared" si="350"/>
        <v>39497.186234449247</v>
      </c>
      <c r="R1721" s="258">
        <f>INDEX('Escalators '!$M$124:$S$129,MATCH(I1721,'Escalators '!$B$124:$B$129,0),MATCH(J1721,'Escalators '!$M$113:$S$113,0))</f>
        <v>1.1088998660799403</v>
      </c>
      <c r="S1721" s="257">
        <f t="shared" si="351"/>
        <v>0</v>
      </c>
      <c r="T1721" s="257">
        <f t="shared" si="352"/>
        <v>26279.054715549137</v>
      </c>
      <c r="U1721" s="269">
        <f t="shared" si="353"/>
        <v>17519.369810366094</v>
      </c>
      <c r="V1721" s="269">
        <f t="shared" si="354"/>
        <v>43798.42452591523</v>
      </c>
      <c r="W1721" s="269">
        <f t="shared" si="355"/>
        <v>17519.369810366094</v>
      </c>
      <c r="X1721" s="257">
        <f t="shared" si="356"/>
        <v>43798.42452591523</v>
      </c>
      <c r="Y1721" s="270">
        <f>IF(L1721="Complex",(INDEX('Escalators '!$M$176:$S$176,MATCH('Forecast capex'!J1721,'Escalators '!$M$178:$S$178,0))/12+1)^((K1721-J1721)*12)-1,0)</f>
        <v>0</v>
      </c>
      <c r="Z1721" s="257">
        <f t="shared" si="357"/>
        <v>0</v>
      </c>
      <c r="AA1721" s="257">
        <f t="shared" si="358"/>
        <v>0</v>
      </c>
      <c r="AB1721" s="269">
        <f t="shared" si="359"/>
        <v>0</v>
      </c>
      <c r="AC1721" s="269">
        <f t="shared" si="360"/>
        <v>0</v>
      </c>
      <c r="AD1721" s="271" t="str">
        <f>INDEX('Global inputs'!$C$134:$C$171,MATCH(F1721,'Global inputs'!$B$134:$B$171,0))</f>
        <v>Consumer connection</v>
      </c>
      <c r="AE1721" s="272">
        <f>IF(OR(H1721='Operating leases'!$B$32,H1721='Operating leases'!$B$33),"",INDEX('Global inputs'!$C$186:$C$243,MATCH(E1721,'Global inputs'!$B$186:$B$243,0)))</f>
        <v>0.08</v>
      </c>
    </row>
    <row r="1722" spans="1:31" s="27" customFormat="1" x14ac:dyDescent="0.2">
      <c r="A1722" s="250"/>
      <c r="B1722" s="210" t="s">
        <v>714</v>
      </c>
      <c r="C1722" s="210" t="s">
        <v>286</v>
      </c>
      <c r="D1722" s="210" t="s">
        <v>732</v>
      </c>
      <c r="E1722" s="210" t="s">
        <v>141</v>
      </c>
      <c r="F1722" s="210" t="s">
        <v>94</v>
      </c>
      <c r="G1722" s="210" t="s">
        <v>734</v>
      </c>
      <c r="H1722" s="197">
        <v>0</v>
      </c>
      <c r="I1722" s="210" t="s">
        <v>142</v>
      </c>
      <c r="J1722" s="210">
        <v>2026</v>
      </c>
      <c r="K1722" s="210">
        <v>2026</v>
      </c>
      <c r="L1722" s="268" t="str">
        <f t="shared" si="348"/>
        <v>Simple</v>
      </c>
      <c r="M1722" s="197">
        <v>50385.045679708353</v>
      </c>
      <c r="N1722" s="197">
        <v>75577.568519562526</v>
      </c>
      <c r="O1722" s="257">
        <f>IF(ISNA(MATCH(H1722,'Operating leases'!$B$32:$B$43,0)),0,INDEX('Operating leases'!$M$32:$S$43,MATCH(H1722,'Operating leases'!$B$32:$B$43,0),MATCH(J1722,'Operating leases'!$M$11:$S$11,0)))</f>
        <v>0</v>
      </c>
      <c r="P1722" s="257">
        <f t="shared" si="349"/>
        <v>50385.045679708353</v>
      </c>
      <c r="Q1722" s="257">
        <f t="shared" si="350"/>
        <v>125962.61419927087</v>
      </c>
      <c r="R1722" s="258">
        <f>INDEX('Escalators '!$M$124:$S$129,MATCH(I1722,'Escalators '!$B$124:$B$129,0),MATCH(J1722,'Escalators '!$M$113:$S$113,0))</f>
        <v>1.1158480359294924</v>
      </c>
      <c r="S1722" s="257">
        <f t="shared" si="351"/>
        <v>0</v>
      </c>
      <c r="T1722" s="257">
        <f t="shared" si="352"/>
        <v>84333.081392880486</v>
      </c>
      <c r="U1722" s="269">
        <f t="shared" si="353"/>
        <v>56222.054261920319</v>
      </c>
      <c r="V1722" s="269">
        <f t="shared" si="354"/>
        <v>140555.1356548008</v>
      </c>
      <c r="W1722" s="269">
        <f t="shared" si="355"/>
        <v>56222.054261920319</v>
      </c>
      <c r="X1722" s="257">
        <f t="shared" si="356"/>
        <v>140555.1356548008</v>
      </c>
      <c r="Y1722" s="270">
        <f>IF(L1722="Complex",(INDEX('Escalators '!$M$176:$S$176,MATCH('Forecast capex'!J1722,'Escalators '!$M$178:$S$178,0))/12+1)^((K1722-J1722)*12)-1,0)</f>
        <v>0</v>
      </c>
      <c r="Z1722" s="257">
        <f t="shared" si="357"/>
        <v>0</v>
      </c>
      <c r="AA1722" s="257">
        <f t="shared" si="358"/>
        <v>0</v>
      </c>
      <c r="AB1722" s="269">
        <f t="shared" si="359"/>
        <v>0</v>
      </c>
      <c r="AC1722" s="269">
        <f t="shared" si="360"/>
        <v>0</v>
      </c>
      <c r="AD1722" s="271" t="str">
        <f>INDEX('Global inputs'!$C$134:$C$171,MATCH(F1722,'Global inputs'!$B$134:$B$171,0))</f>
        <v>Consumer connection</v>
      </c>
      <c r="AE1722" s="272">
        <f>IF(OR(H1722='Operating leases'!$B$32,H1722='Operating leases'!$B$33),"",INDEX('Global inputs'!$C$186:$C$243,MATCH(E1722,'Global inputs'!$B$186:$B$243,0)))</f>
        <v>0.08</v>
      </c>
    </row>
    <row r="1723" spans="1:31" s="27" customFormat="1" x14ac:dyDescent="0.2">
      <c r="A1723" s="250"/>
      <c r="B1723" s="210" t="s">
        <v>714</v>
      </c>
      <c r="C1723" s="210" t="s">
        <v>286</v>
      </c>
      <c r="D1723" s="210" t="s">
        <v>732</v>
      </c>
      <c r="E1723" s="210" t="s">
        <v>141</v>
      </c>
      <c r="F1723" s="210" t="s">
        <v>94</v>
      </c>
      <c r="G1723" s="210" t="s">
        <v>734</v>
      </c>
      <c r="H1723" s="197">
        <v>0</v>
      </c>
      <c r="I1723" s="210" t="s">
        <v>221</v>
      </c>
      <c r="J1723" s="210">
        <v>2026</v>
      </c>
      <c r="K1723" s="210">
        <v>2026</v>
      </c>
      <c r="L1723" s="268" t="str">
        <f t="shared" si="348"/>
        <v>Simple</v>
      </c>
      <c r="M1723" s="197">
        <v>12596.261419927088</v>
      </c>
      <c r="N1723" s="197">
        <v>18894.392129890632</v>
      </c>
      <c r="O1723" s="257">
        <f>IF(ISNA(MATCH(H1723,'Operating leases'!$B$32:$B$43,0)),0,INDEX('Operating leases'!$M$32:$S$43,MATCH(H1723,'Operating leases'!$B$32:$B$43,0),MATCH(J1723,'Operating leases'!$M$11:$S$11,0)))</f>
        <v>0</v>
      </c>
      <c r="P1723" s="257">
        <f t="shared" si="349"/>
        <v>12596.261419927088</v>
      </c>
      <c r="Q1723" s="257">
        <f t="shared" si="350"/>
        <v>31490.653549817718</v>
      </c>
      <c r="R1723" s="258">
        <f>INDEX('Escalators '!$M$124:$S$129,MATCH(I1723,'Escalators '!$B$124:$B$129,0),MATCH(J1723,'Escalators '!$M$113:$S$113,0))</f>
        <v>1.1088998660799403</v>
      </c>
      <c r="S1723" s="257">
        <f t="shared" si="351"/>
        <v>0</v>
      </c>
      <c r="T1723" s="257">
        <f t="shared" si="352"/>
        <v>20951.9889024976</v>
      </c>
      <c r="U1723" s="269">
        <f t="shared" si="353"/>
        <v>13967.992601665064</v>
      </c>
      <c r="V1723" s="269">
        <f t="shared" si="354"/>
        <v>34919.981504162664</v>
      </c>
      <c r="W1723" s="269">
        <f t="shared" si="355"/>
        <v>13967.992601665064</v>
      </c>
      <c r="X1723" s="257">
        <f t="shared" si="356"/>
        <v>34919.981504162664</v>
      </c>
      <c r="Y1723" s="270">
        <f>IF(L1723="Complex",(INDEX('Escalators '!$M$176:$S$176,MATCH('Forecast capex'!J1723,'Escalators '!$M$178:$S$178,0))/12+1)^((K1723-J1723)*12)-1,0)</f>
        <v>0</v>
      </c>
      <c r="Z1723" s="257">
        <f t="shared" si="357"/>
        <v>0</v>
      </c>
      <c r="AA1723" s="257">
        <f t="shared" si="358"/>
        <v>0</v>
      </c>
      <c r="AB1723" s="269">
        <f t="shared" si="359"/>
        <v>0</v>
      </c>
      <c r="AC1723" s="269">
        <f t="shared" si="360"/>
        <v>0</v>
      </c>
      <c r="AD1723" s="271" t="str">
        <f>INDEX('Global inputs'!$C$134:$C$171,MATCH(F1723,'Global inputs'!$B$134:$B$171,0))</f>
        <v>Consumer connection</v>
      </c>
      <c r="AE1723" s="272">
        <f>IF(OR(H1723='Operating leases'!$B$32,H1723='Operating leases'!$B$33),"",INDEX('Global inputs'!$C$186:$C$243,MATCH(E1723,'Global inputs'!$B$186:$B$243,0)))</f>
        <v>0.08</v>
      </c>
    </row>
    <row r="1724" spans="1:31" s="27" customFormat="1" x14ac:dyDescent="0.2">
      <c r="A1724" s="250"/>
      <c r="B1724" s="210" t="s">
        <v>714</v>
      </c>
      <c r="C1724" s="210" t="s">
        <v>290</v>
      </c>
      <c r="D1724" s="210" t="s">
        <v>718</v>
      </c>
      <c r="E1724" s="210" t="s">
        <v>173</v>
      </c>
      <c r="F1724" s="210" t="s">
        <v>94</v>
      </c>
      <c r="G1724" s="210" t="s">
        <v>719</v>
      </c>
      <c r="H1724" s="197">
        <v>0</v>
      </c>
      <c r="I1724" s="210" t="s">
        <v>142</v>
      </c>
      <c r="J1724" s="210">
        <v>2026</v>
      </c>
      <c r="K1724" s="210">
        <v>2026</v>
      </c>
      <c r="L1724" s="268" t="str">
        <f t="shared" si="348"/>
        <v>Simple</v>
      </c>
      <c r="M1724" s="197">
        <v>299749.17327997886</v>
      </c>
      <c r="N1724" s="197">
        <v>449623.7599199682</v>
      </c>
      <c r="O1724" s="257">
        <f>IF(ISNA(MATCH(H1724,'Operating leases'!$B$32:$B$43,0)),0,INDEX('Operating leases'!$M$32:$S$43,MATCH(H1724,'Operating leases'!$B$32:$B$43,0),MATCH(J1724,'Operating leases'!$M$11:$S$11,0)))</f>
        <v>0</v>
      </c>
      <c r="P1724" s="257">
        <f t="shared" si="349"/>
        <v>299749.17327997886</v>
      </c>
      <c r="Q1724" s="257">
        <f t="shared" si="350"/>
        <v>749372.933199947</v>
      </c>
      <c r="R1724" s="258">
        <f>INDEX('Escalators '!$M$124:$S$129,MATCH(I1724,'Escalators '!$B$124:$B$129,0),MATCH(J1724,'Escalators '!$M$113:$S$113,0))</f>
        <v>1.1158480359294924</v>
      </c>
      <c r="S1724" s="257">
        <f t="shared" si="351"/>
        <v>0</v>
      </c>
      <c r="T1724" s="257">
        <f t="shared" si="352"/>
        <v>501711.78941393015</v>
      </c>
      <c r="U1724" s="269">
        <f t="shared" si="353"/>
        <v>334474.52627595339</v>
      </c>
      <c r="V1724" s="269">
        <f t="shared" si="354"/>
        <v>836186.31568988354</v>
      </c>
      <c r="W1724" s="269">
        <f t="shared" si="355"/>
        <v>334474.52627595339</v>
      </c>
      <c r="X1724" s="257">
        <f t="shared" si="356"/>
        <v>836186.31568988354</v>
      </c>
      <c r="Y1724" s="270">
        <f>IF(L1724="Complex",(INDEX('Escalators '!$M$176:$S$176,MATCH('Forecast capex'!J1724,'Escalators '!$M$178:$S$178,0))/12+1)^((K1724-J1724)*12)-1,0)</f>
        <v>0</v>
      </c>
      <c r="Z1724" s="257">
        <f t="shared" si="357"/>
        <v>0</v>
      </c>
      <c r="AA1724" s="257">
        <f t="shared" si="358"/>
        <v>0</v>
      </c>
      <c r="AB1724" s="269">
        <f t="shared" si="359"/>
        <v>0</v>
      </c>
      <c r="AC1724" s="269">
        <f t="shared" si="360"/>
        <v>0</v>
      </c>
      <c r="AD1724" s="271" t="str">
        <f>INDEX('Global inputs'!$C$134:$C$171,MATCH(F1724,'Global inputs'!$B$134:$B$171,0))</f>
        <v>Consumer connection</v>
      </c>
      <c r="AE1724" s="272">
        <f>IF(OR(H1724='Operating leases'!$B$32,H1724='Operating leases'!$B$33),"",INDEX('Global inputs'!$C$186:$C$243,MATCH(E1724,'Global inputs'!$B$186:$B$243,0)))</f>
        <v>0.08</v>
      </c>
    </row>
    <row r="1725" spans="1:31" s="27" customFormat="1" x14ac:dyDescent="0.2">
      <c r="A1725" s="250"/>
      <c r="B1725" s="210" t="s">
        <v>714</v>
      </c>
      <c r="C1725" s="210" t="s">
        <v>290</v>
      </c>
      <c r="D1725" s="210" t="s">
        <v>718</v>
      </c>
      <c r="E1725" s="210" t="s">
        <v>173</v>
      </c>
      <c r="F1725" s="210" t="s">
        <v>94</v>
      </c>
      <c r="G1725" s="210" t="s">
        <v>719</v>
      </c>
      <c r="H1725" s="197">
        <v>0</v>
      </c>
      <c r="I1725" s="210" t="s">
        <v>221</v>
      </c>
      <c r="J1725" s="210">
        <v>2026</v>
      </c>
      <c r="K1725" s="210">
        <v>2026</v>
      </c>
      <c r="L1725" s="268" t="str">
        <f t="shared" si="348"/>
        <v>Simple</v>
      </c>
      <c r="M1725" s="197">
        <v>74937.293319994715</v>
      </c>
      <c r="N1725" s="197">
        <v>112405.93997999205</v>
      </c>
      <c r="O1725" s="257">
        <f>IF(ISNA(MATCH(H1725,'Operating leases'!$B$32:$B$43,0)),0,INDEX('Operating leases'!$M$32:$S$43,MATCH(H1725,'Operating leases'!$B$32:$B$43,0),MATCH(J1725,'Operating leases'!$M$11:$S$11,0)))</f>
        <v>0</v>
      </c>
      <c r="P1725" s="257">
        <f t="shared" si="349"/>
        <v>74937.293319994715</v>
      </c>
      <c r="Q1725" s="257">
        <f t="shared" si="350"/>
        <v>187343.23329998675</v>
      </c>
      <c r="R1725" s="258">
        <f>INDEX('Escalators '!$M$124:$S$129,MATCH(I1725,'Escalators '!$B$124:$B$129,0),MATCH(J1725,'Escalators '!$M$113:$S$113,0))</f>
        <v>1.1088998660799403</v>
      </c>
      <c r="S1725" s="257">
        <f t="shared" si="351"/>
        <v>0</v>
      </c>
      <c r="T1725" s="257">
        <f t="shared" si="352"/>
        <v>124646.93179040299</v>
      </c>
      <c r="U1725" s="269">
        <f t="shared" si="353"/>
        <v>83097.95452693534</v>
      </c>
      <c r="V1725" s="269">
        <f t="shared" si="354"/>
        <v>207744.88631733833</v>
      </c>
      <c r="W1725" s="269">
        <f t="shared" si="355"/>
        <v>83097.95452693534</v>
      </c>
      <c r="X1725" s="257">
        <f t="shared" si="356"/>
        <v>207744.88631733833</v>
      </c>
      <c r="Y1725" s="270">
        <f>IF(L1725="Complex",(INDEX('Escalators '!$M$176:$S$176,MATCH('Forecast capex'!J1725,'Escalators '!$M$178:$S$178,0))/12+1)^((K1725-J1725)*12)-1,0)</f>
        <v>0</v>
      </c>
      <c r="Z1725" s="257">
        <f t="shared" si="357"/>
        <v>0</v>
      </c>
      <c r="AA1725" s="257">
        <f t="shared" si="358"/>
        <v>0</v>
      </c>
      <c r="AB1725" s="269">
        <f t="shared" si="359"/>
        <v>0</v>
      </c>
      <c r="AC1725" s="269">
        <f t="shared" si="360"/>
        <v>0</v>
      </c>
      <c r="AD1725" s="271" t="str">
        <f>INDEX('Global inputs'!$C$134:$C$171,MATCH(F1725,'Global inputs'!$B$134:$B$171,0))</f>
        <v>Consumer connection</v>
      </c>
      <c r="AE1725" s="272">
        <f>IF(OR(H1725='Operating leases'!$B$32,H1725='Operating leases'!$B$33),"",INDEX('Global inputs'!$C$186:$C$243,MATCH(E1725,'Global inputs'!$B$186:$B$243,0)))</f>
        <v>0.08</v>
      </c>
    </row>
    <row r="1726" spans="1:31" s="27" customFormat="1" x14ac:dyDescent="0.2">
      <c r="A1726" s="250"/>
      <c r="B1726" s="210" t="s">
        <v>714</v>
      </c>
      <c r="C1726" s="210" t="s">
        <v>290</v>
      </c>
      <c r="D1726" s="210" t="s">
        <v>718</v>
      </c>
      <c r="E1726" s="210" t="s">
        <v>168</v>
      </c>
      <c r="F1726" s="210" t="s">
        <v>94</v>
      </c>
      <c r="G1726" s="210" t="s">
        <v>720</v>
      </c>
      <c r="H1726" s="197">
        <v>0</v>
      </c>
      <c r="I1726" s="210" t="s">
        <v>229</v>
      </c>
      <c r="J1726" s="210">
        <v>2026</v>
      </c>
      <c r="K1726" s="210">
        <v>2026</v>
      </c>
      <c r="L1726" s="268" t="str">
        <f t="shared" si="348"/>
        <v>Simple</v>
      </c>
      <c r="M1726" s="197">
        <v>88814.281864202232</v>
      </c>
      <c r="N1726" s="197">
        <v>133221.42279630332</v>
      </c>
      <c r="O1726" s="257">
        <f>IF(ISNA(MATCH(H1726,'Operating leases'!$B$32:$B$43,0)),0,INDEX('Operating leases'!$M$32:$S$43,MATCH(H1726,'Operating leases'!$B$32:$B$43,0),MATCH(J1726,'Operating leases'!$M$11:$S$11,0)))</f>
        <v>0</v>
      </c>
      <c r="P1726" s="257">
        <f t="shared" si="349"/>
        <v>88814.281864202232</v>
      </c>
      <c r="Q1726" s="257">
        <f t="shared" si="350"/>
        <v>222035.70466050555</v>
      </c>
      <c r="R1726" s="258">
        <f>INDEX('Escalators '!$M$124:$S$129,MATCH(I1726,'Escalators '!$B$124:$B$129,0),MATCH(J1726,'Escalators '!$M$113:$S$113,0))</f>
        <v>1.1110424701464636</v>
      </c>
      <c r="S1726" s="257">
        <f t="shared" si="351"/>
        <v>0</v>
      </c>
      <c r="T1726" s="257">
        <f t="shared" si="352"/>
        <v>148014.65866003124</v>
      </c>
      <c r="U1726" s="269">
        <f t="shared" si="353"/>
        <v>98676.439106687496</v>
      </c>
      <c r="V1726" s="269">
        <f t="shared" si="354"/>
        <v>246691.09776671874</v>
      </c>
      <c r="W1726" s="269">
        <f t="shared" si="355"/>
        <v>98676.439106687496</v>
      </c>
      <c r="X1726" s="257">
        <f t="shared" si="356"/>
        <v>246691.09776671874</v>
      </c>
      <c r="Y1726" s="270">
        <f>IF(L1726="Complex",(INDEX('Escalators '!$M$176:$S$176,MATCH('Forecast capex'!J1726,'Escalators '!$M$178:$S$178,0))/12+1)^((K1726-J1726)*12)-1,0)</f>
        <v>0</v>
      </c>
      <c r="Z1726" s="257">
        <f t="shared" si="357"/>
        <v>0</v>
      </c>
      <c r="AA1726" s="257">
        <f t="shared" si="358"/>
        <v>0</v>
      </c>
      <c r="AB1726" s="269">
        <f t="shared" si="359"/>
        <v>0</v>
      </c>
      <c r="AC1726" s="269">
        <f t="shared" si="360"/>
        <v>0</v>
      </c>
      <c r="AD1726" s="271" t="str">
        <f>INDEX('Global inputs'!$C$134:$C$171,MATCH(F1726,'Global inputs'!$B$134:$B$171,0))</f>
        <v>Consumer connection</v>
      </c>
      <c r="AE1726" s="272">
        <f>IF(OR(H1726='Operating leases'!$B$32,H1726='Operating leases'!$B$33),"",INDEX('Global inputs'!$C$186:$C$243,MATCH(E1726,'Global inputs'!$B$186:$B$243,0)))</f>
        <v>0.08</v>
      </c>
    </row>
    <row r="1727" spans="1:31" s="27" customFormat="1" x14ac:dyDescent="0.2">
      <c r="A1727" s="250"/>
      <c r="B1727" s="210" t="s">
        <v>714</v>
      </c>
      <c r="C1727" s="210" t="s">
        <v>290</v>
      </c>
      <c r="D1727" s="210" t="s">
        <v>718</v>
      </c>
      <c r="E1727" s="210" t="s">
        <v>168</v>
      </c>
      <c r="F1727" s="210" t="s">
        <v>94</v>
      </c>
      <c r="G1727" s="210" t="s">
        <v>720</v>
      </c>
      <c r="H1727" s="197">
        <v>0</v>
      </c>
      <c r="I1727" s="210" t="s">
        <v>221</v>
      </c>
      <c r="J1727" s="210">
        <v>2026</v>
      </c>
      <c r="K1727" s="210">
        <v>2026</v>
      </c>
      <c r="L1727" s="268" t="str">
        <f t="shared" si="348"/>
        <v>Simple</v>
      </c>
      <c r="M1727" s="197">
        <v>22203.570466050558</v>
      </c>
      <c r="N1727" s="197">
        <v>33305.35569907583</v>
      </c>
      <c r="O1727" s="257">
        <f>IF(ISNA(MATCH(H1727,'Operating leases'!$B$32:$B$43,0)),0,INDEX('Operating leases'!$M$32:$S$43,MATCH(H1727,'Operating leases'!$B$32:$B$43,0),MATCH(J1727,'Operating leases'!$M$11:$S$11,0)))</f>
        <v>0</v>
      </c>
      <c r="P1727" s="257">
        <f t="shared" si="349"/>
        <v>22203.570466050558</v>
      </c>
      <c r="Q1727" s="257">
        <f t="shared" si="350"/>
        <v>55508.926165126388</v>
      </c>
      <c r="R1727" s="258">
        <f>INDEX('Escalators '!$M$124:$S$129,MATCH(I1727,'Escalators '!$B$124:$B$129,0),MATCH(J1727,'Escalators '!$M$113:$S$113,0))</f>
        <v>1.1088998660799403</v>
      </c>
      <c r="S1727" s="257">
        <f t="shared" si="351"/>
        <v>0</v>
      </c>
      <c r="T1727" s="257">
        <f t="shared" si="352"/>
        <v>36932.304474449964</v>
      </c>
      <c r="U1727" s="269">
        <f t="shared" si="353"/>
        <v>24621.536316299978</v>
      </c>
      <c r="V1727" s="269">
        <f t="shared" si="354"/>
        <v>61553.840790749942</v>
      </c>
      <c r="W1727" s="269">
        <f t="shared" si="355"/>
        <v>24621.536316299978</v>
      </c>
      <c r="X1727" s="257">
        <f t="shared" si="356"/>
        <v>61553.840790749942</v>
      </c>
      <c r="Y1727" s="270">
        <f>IF(L1727="Complex",(INDEX('Escalators '!$M$176:$S$176,MATCH('Forecast capex'!J1727,'Escalators '!$M$178:$S$178,0))/12+1)^((K1727-J1727)*12)-1,0)</f>
        <v>0</v>
      </c>
      <c r="Z1727" s="257">
        <f t="shared" si="357"/>
        <v>0</v>
      </c>
      <c r="AA1727" s="257">
        <f t="shared" si="358"/>
        <v>0</v>
      </c>
      <c r="AB1727" s="269">
        <f t="shared" si="359"/>
        <v>0</v>
      </c>
      <c r="AC1727" s="269">
        <f t="shared" si="360"/>
        <v>0</v>
      </c>
      <c r="AD1727" s="271" t="str">
        <f>INDEX('Global inputs'!$C$134:$C$171,MATCH(F1727,'Global inputs'!$B$134:$B$171,0))</f>
        <v>Consumer connection</v>
      </c>
      <c r="AE1727" s="272">
        <f>IF(OR(H1727='Operating leases'!$B$32,H1727='Operating leases'!$B$33),"",INDEX('Global inputs'!$C$186:$C$243,MATCH(E1727,'Global inputs'!$B$186:$B$243,0)))</f>
        <v>0.08</v>
      </c>
    </row>
    <row r="1728" spans="1:31" s="27" customFormat="1" x14ac:dyDescent="0.2">
      <c r="A1728" s="250"/>
      <c r="B1728" s="210" t="s">
        <v>714</v>
      </c>
      <c r="C1728" s="210" t="s">
        <v>290</v>
      </c>
      <c r="D1728" s="210" t="s">
        <v>718</v>
      </c>
      <c r="E1728" s="210" t="s">
        <v>170</v>
      </c>
      <c r="F1728" s="210" t="s">
        <v>94</v>
      </c>
      <c r="G1728" s="210" t="s">
        <v>721</v>
      </c>
      <c r="H1728" s="197">
        <v>0</v>
      </c>
      <c r="I1728" s="210" t="s">
        <v>229</v>
      </c>
      <c r="J1728" s="210">
        <v>2026</v>
      </c>
      <c r="K1728" s="210">
        <v>2026</v>
      </c>
      <c r="L1728" s="268" t="str">
        <f t="shared" si="348"/>
        <v>Simple</v>
      </c>
      <c r="M1728" s="197">
        <v>147846.48887839948</v>
      </c>
      <c r="N1728" s="197">
        <v>221769.73331759922</v>
      </c>
      <c r="O1728" s="257">
        <f>IF(ISNA(MATCH(H1728,'Operating leases'!$B$32:$B$43,0)),0,INDEX('Operating leases'!$M$32:$S$43,MATCH(H1728,'Operating leases'!$B$32:$B$43,0),MATCH(J1728,'Operating leases'!$M$11:$S$11,0)))</f>
        <v>0</v>
      </c>
      <c r="P1728" s="257">
        <f t="shared" si="349"/>
        <v>147846.48887839948</v>
      </c>
      <c r="Q1728" s="257">
        <f t="shared" si="350"/>
        <v>369616.22219599871</v>
      </c>
      <c r="R1728" s="258">
        <f>INDEX('Escalators '!$M$124:$S$129,MATCH(I1728,'Escalators '!$B$124:$B$129,0),MATCH(J1728,'Escalators '!$M$113:$S$113,0))</f>
        <v>1.1110424701464636</v>
      </c>
      <c r="S1728" s="257">
        <f t="shared" si="351"/>
        <v>0</v>
      </c>
      <c r="T1728" s="257">
        <f t="shared" si="352"/>
        <v>246395.59230890794</v>
      </c>
      <c r="U1728" s="269">
        <f t="shared" si="353"/>
        <v>164263.72820593859</v>
      </c>
      <c r="V1728" s="269">
        <f t="shared" si="354"/>
        <v>410659.32051484653</v>
      </c>
      <c r="W1728" s="269">
        <f t="shared" si="355"/>
        <v>164263.72820593859</v>
      </c>
      <c r="X1728" s="257">
        <f t="shared" si="356"/>
        <v>410659.32051484653</v>
      </c>
      <c r="Y1728" s="270">
        <f>IF(L1728="Complex",(INDEX('Escalators '!$M$176:$S$176,MATCH('Forecast capex'!J1728,'Escalators '!$M$178:$S$178,0))/12+1)^((K1728-J1728)*12)-1,0)</f>
        <v>0</v>
      </c>
      <c r="Z1728" s="257">
        <f t="shared" si="357"/>
        <v>0</v>
      </c>
      <c r="AA1728" s="257">
        <f t="shared" si="358"/>
        <v>0</v>
      </c>
      <c r="AB1728" s="269">
        <f t="shared" si="359"/>
        <v>0</v>
      </c>
      <c r="AC1728" s="269">
        <f t="shared" si="360"/>
        <v>0</v>
      </c>
      <c r="AD1728" s="271" t="str">
        <f>INDEX('Global inputs'!$C$134:$C$171,MATCH(F1728,'Global inputs'!$B$134:$B$171,0))</f>
        <v>Consumer connection</v>
      </c>
      <c r="AE1728" s="272">
        <f>IF(OR(H1728='Operating leases'!$B$32,H1728='Operating leases'!$B$33),"",INDEX('Global inputs'!$C$186:$C$243,MATCH(E1728,'Global inputs'!$B$186:$B$243,0)))</f>
        <v>0.08</v>
      </c>
    </row>
    <row r="1729" spans="1:31" s="27" customFormat="1" x14ac:dyDescent="0.2">
      <c r="A1729" s="250"/>
      <c r="B1729" s="210" t="s">
        <v>714</v>
      </c>
      <c r="C1729" s="210" t="s">
        <v>290</v>
      </c>
      <c r="D1729" s="210" t="s">
        <v>718</v>
      </c>
      <c r="E1729" s="210" t="s">
        <v>170</v>
      </c>
      <c r="F1729" s="210" t="s">
        <v>94</v>
      </c>
      <c r="G1729" s="210" t="s">
        <v>721</v>
      </c>
      <c r="H1729" s="197">
        <v>0</v>
      </c>
      <c r="I1729" s="210" t="s">
        <v>221</v>
      </c>
      <c r="J1729" s="210">
        <v>2026</v>
      </c>
      <c r="K1729" s="210">
        <v>2026</v>
      </c>
      <c r="L1729" s="268" t="str">
        <f t="shared" si="348"/>
        <v>Simple</v>
      </c>
      <c r="M1729" s="197">
        <v>147846.48887839948</v>
      </c>
      <c r="N1729" s="197">
        <v>221769.73331759922</v>
      </c>
      <c r="O1729" s="257">
        <f>IF(ISNA(MATCH(H1729,'Operating leases'!$B$32:$B$43,0)),0,INDEX('Operating leases'!$M$32:$S$43,MATCH(H1729,'Operating leases'!$B$32:$B$43,0),MATCH(J1729,'Operating leases'!$M$11:$S$11,0)))</f>
        <v>0</v>
      </c>
      <c r="P1729" s="257">
        <f t="shared" si="349"/>
        <v>147846.48887839948</v>
      </c>
      <c r="Q1729" s="257">
        <f t="shared" si="350"/>
        <v>369616.22219599871</v>
      </c>
      <c r="R1729" s="258">
        <f>INDEX('Escalators '!$M$124:$S$129,MATCH(I1729,'Escalators '!$B$124:$B$129,0),MATCH(J1729,'Escalators '!$M$113:$S$113,0))</f>
        <v>1.1088998660799403</v>
      </c>
      <c r="S1729" s="257">
        <f t="shared" si="351"/>
        <v>0</v>
      </c>
      <c r="T1729" s="257">
        <f t="shared" si="352"/>
        <v>245920.42757646984</v>
      </c>
      <c r="U1729" s="269">
        <f t="shared" si="353"/>
        <v>163946.95171764656</v>
      </c>
      <c r="V1729" s="269">
        <f t="shared" si="354"/>
        <v>409867.3792941164</v>
      </c>
      <c r="W1729" s="269">
        <f t="shared" si="355"/>
        <v>163946.95171764656</v>
      </c>
      <c r="X1729" s="257">
        <f t="shared" si="356"/>
        <v>409867.3792941164</v>
      </c>
      <c r="Y1729" s="270">
        <f>IF(L1729="Complex",(INDEX('Escalators '!$M$176:$S$176,MATCH('Forecast capex'!J1729,'Escalators '!$M$178:$S$178,0))/12+1)^((K1729-J1729)*12)-1,0)</f>
        <v>0</v>
      </c>
      <c r="Z1729" s="257">
        <f t="shared" si="357"/>
        <v>0</v>
      </c>
      <c r="AA1729" s="257">
        <f t="shared" si="358"/>
        <v>0</v>
      </c>
      <c r="AB1729" s="269">
        <f t="shared" si="359"/>
        <v>0</v>
      </c>
      <c r="AC1729" s="269">
        <f t="shared" si="360"/>
        <v>0</v>
      </c>
      <c r="AD1729" s="271" t="str">
        <f>INDEX('Global inputs'!$C$134:$C$171,MATCH(F1729,'Global inputs'!$B$134:$B$171,0))</f>
        <v>Consumer connection</v>
      </c>
      <c r="AE1729" s="272">
        <f>IF(OR(H1729='Operating leases'!$B$32,H1729='Operating leases'!$B$33),"",INDEX('Global inputs'!$C$186:$C$243,MATCH(E1729,'Global inputs'!$B$186:$B$243,0)))</f>
        <v>0.08</v>
      </c>
    </row>
    <row r="1730" spans="1:31" s="27" customFormat="1" x14ac:dyDescent="0.2">
      <c r="A1730" s="250"/>
      <c r="B1730" s="210" t="s">
        <v>714</v>
      </c>
      <c r="C1730" s="210" t="s">
        <v>288</v>
      </c>
      <c r="D1730" s="210" t="s">
        <v>718</v>
      </c>
      <c r="E1730" s="210" t="s">
        <v>160</v>
      </c>
      <c r="F1730" s="210" t="s">
        <v>94</v>
      </c>
      <c r="G1730" s="210" t="s">
        <v>722</v>
      </c>
      <c r="H1730" s="197">
        <v>0</v>
      </c>
      <c r="I1730" s="210" t="s">
        <v>229</v>
      </c>
      <c r="J1730" s="210">
        <v>2026</v>
      </c>
      <c r="K1730" s="210">
        <v>2026</v>
      </c>
      <c r="L1730" s="268" t="str">
        <f t="shared" si="348"/>
        <v>Simple</v>
      </c>
      <c r="M1730" s="197">
        <v>127030.47588665386</v>
      </c>
      <c r="N1730" s="197">
        <v>190545.71382998078</v>
      </c>
      <c r="O1730" s="257">
        <f>IF(ISNA(MATCH(H1730,'Operating leases'!$B$32:$B$43,0)),0,INDEX('Operating leases'!$M$32:$S$43,MATCH(H1730,'Operating leases'!$B$32:$B$43,0),MATCH(J1730,'Operating leases'!$M$11:$S$11,0)))</f>
        <v>0</v>
      </c>
      <c r="P1730" s="257">
        <f t="shared" si="349"/>
        <v>127030.47588665386</v>
      </c>
      <c r="Q1730" s="257">
        <f t="shared" si="350"/>
        <v>317576.18971663463</v>
      </c>
      <c r="R1730" s="258">
        <f>INDEX('Escalators '!$M$124:$S$129,MATCH(I1730,'Escalators '!$B$124:$B$129,0),MATCH(J1730,'Escalators '!$M$113:$S$113,0))</f>
        <v>1.1110424701464636</v>
      </c>
      <c r="S1730" s="257">
        <f t="shared" si="351"/>
        <v>0</v>
      </c>
      <c r="T1730" s="257">
        <f t="shared" si="352"/>
        <v>211704.38056948304</v>
      </c>
      <c r="U1730" s="269">
        <f t="shared" si="353"/>
        <v>141136.25371298869</v>
      </c>
      <c r="V1730" s="269">
        <f t="shared" si="354"/>
        <v>352840.63428247173</v>
      </c>
      <c r="W1730" s="269">
        <f t="shared" si="355"/>
        <v>141136.25371298869</v>
      </c>
      <c r="X1730" s="257">
        <f t="shared" si="356"/>
        <v>352840.63428247173</v>
      </c>
      <c r="Y1730" s="270">
        <f>IF(L1730="Complex",(INDEX('Escalators '!$M$176:$S$176,MATCH('Forecast capex'!J1730,'Escalators '!$M$178:$S$178,0))/12+1)^((K1730-J1730)*12)-1,0)</f>
        <v>0</v>
      </c>
      <c r="Z1730" s="257">
        <f t="shared" si="357"/>
        <v>0</v>
      </c>
      <c r="AA1730" s="257">
        <f t="shared" si="358"/>
        <v>0</v>
      </c>
      <c r="AB1730" s="269">
        <f t="shared" si="359"/>
        <v>0</v>
      </c>
      <c r="AC1730" s="269">
        <f t="shared" si="360"/>
        <v>0</v>
      </c>
      <c r="AD1730" s="271" t="str">
        <f>INDEX('Global inputs'!$C$134:$C$171,MATCH(F1730,'Global inputs'!$B$134:$B$171,0))</f>
        <v>Consumer connection</v>
      </c>
      <c r="AE1730" s="272">
        <f>IF(OR(H1730='Operating leases'!$B$32,H1730='Operating leases'!$B$33),"",INDEX('Global inputs'!$C$186:$C$243,MATCH(E1730,'Global inputs'!$B$186:$B$243,0)))</f>
        <v>0.08</v>
      </c>
    </row>
    <row r="1731" spans="1:31" s="27" customFormat="1" x14ac:dyDescent="0.2">
      <c r="A1731" s="250"/>
      <c r="B1731" s="210" t="s">
        <v>714</v>
      </c>
      <c r="C1731" s="210" t="s">
        <v>288</v>
      </c>
      <c r="D1731" s="210" t="s">
        <v>718</v>
      </c>
      <c r="E1731" s="210" t="s">
        <v>160</v>
      </c>
      <c r="F1731" s="210" t="s">
        <v>94</v>
      </c>
      <c r="G1731" s="210" t="s">
        <v>722</v>
      </c>
      <c r="H1731" s="197">
        <v>0</v>
      </c>
      <c r="I1731" s="210" t="s">
        <v>221</v>
      </c>
      <c r="J1731" s="210">
        <v>2026</v>
      </c>
      <c r="K1731" s="210">
        <v>2026</v>
      </c>
      <c r="L1731" s="268" t="str">
        <f t="shared" si="348"/>
        <v>Simple</v>
      </c>
      <c r="M1731" s="197">
        <v>127030.47588665386</v>
      </c>
      <c r="N1731" s="197">
        <v>190545.71382998078</v>
      </c>
      <c r="O1731" s="257">
        <f>IF(ISNA(MATCH(H1731,'Operating leases'!$B$32:$B$43,0)),0,INDEX('Operating leases'!$M$32:$S$43,MATCH(H1731,'Operating leases'!$B$32:$B$43,0),MATCH(J1731,'Operating leases'!$M$11:$S$11,0)))</f>
        <v>0</v>
      </c>
      <c r="P1731" s="257">
        <f t="shared" si="349"/>
        <v>127030.47588665386</v>
      </c>
      <c r="Q1731" s="257">
        <f t="shared" si="350"/>
        <v>317576.18971663463</v>
      </c>
      <c r="R1731" s="258">
        <f>INDEX('Escalators '!$M$124:$S$129,MATCH(I1731,'Escalators '!$B$124:$B$129,0),MATCH(J1731,'Escalators '!$M$113:$S$113,0))</f>
        <v>1.1088998660799403</v>
      </c>
      <c r="S1731" s="257">
        <f t="shared" si="351"/>
        <v>0</v>
      </c>
      <c r="T1731" s="257">
        <f t="shared" si="352"/>
        <v>211296.11654817231</v>
      </c>
      <c r="U1731" s="269">
        <f t="shared" si="353"/>
        <v>140864.07769878156</v>
      </c>
      <c r="V1731" s="269">
        <f t="shared" si="354"/>
        <v>352160.19424695388</v>
      </c>
      <c r="W1731" s="269">
        <f t="shared" si="355"/>
        <v>140864.07769878156</v>
      </c>
      <c r="X1731" s="257">
        <f t="shared" si="356"/>
        <v>352160.19424695388</v>
      </c>
      <c r="Y1731" s="270">
        <f>IF(L1731="Complex",(INDEX('Escalators '!$M$176:$S$176,MATCH('Forecast capex'!J1731,'Escalators '!$M$178:$S$178,0))/12+1)^((K1731-J1731)*12)-1,0)</f>
        <v>0</v>
      </c>
      <c r="Z1731" s="257">
        <f t="shared" si="357"/>
        <v>0</v>
      </c>
      <c r="AA1731" s="257">
        <f t="shared" si="358"/>
        <v>0</v>
      </c>
      <c r="AB1731" s="269">
        <f t="shared" si="359"/>
        <v>0</v>
      </c>
      <c r="AC1731" s="269">
        <f t="shared" si="360"/>
        <v>0</v>
      </c>
      <c r="AD1731" s="271" t="str">
        <f>INDEX('Global inputs'!$C$134:$C$171,MATCH(F1731,'Global inputs'!$B$134:$B$171,0))</f>
        <v>Consumer connection</v>
      </c>
      <c r="AE1731" s="272">
        <f>IF(OR(H1731='Operating leases'!$B$32,H1731='Operating leases'!$B$33),"",INDEX('Global inputs'!$C$186:$C$243,MATCH(E1731,'Global inputs'!$B$186:$B$243,0)))</f>
        <v>0.08</v>
      </c>
    </row>
    <row r="1732" spans="1:31" s="27" customFormat="1" x14ac:dyDescent="0.2">
      <c r="A1732" s="250"/>
      <c r="B1732" s="210" t="s">
        <v>714</v>
      </c>
      <c r="C1732" s="210" t="s">
        <v>289</v>
      </c>
      <c r="D1732" s="210" t="s">
        <v>723</v>
      </c>
      <c r="E1732" s="210" t="s">
        <v>164</v>
      </c>
      <c r="F1732" s="210" t="s">
        <v>94</v>
      </c>
      <c r="G1732" s="210" t="s">
        <v>724</v>
      </c>
      <c r="H1732" s="197">
        <v>0</v>
      </c>
      <c r="I1732" s="210" t="s">
        <v>139</v>
      </c>
      <c r="J1732" s="210">
        <v>2026</v>
      </c>
      <c r="K1732" s="210">
        <v>2026</v>
      </c>
      <c r="L1732" s="268" t="str">
        <f t="shared" si="348"/>
        <v>Simple</v>
      </c>
      <c r="M1732" s="197">
        <v>952195.08011907444</v>
      </c>
      <c r="N1732" s="197">
        <v>1428292.6201786117</v>
      </c>
      <c r="O1732" s="257">
        <f>IF(ISNA(MATCH(H1732,'Operating leases'!$B$32:$B$43,0)),0,INDEX('Operating leases'!$M$32:$S$43,MATCH(H1732,'Operating leases'!$B$32:$B$43,0),MATCH(J1732,'Operating leases'!$M$11:$S$11,0)))</f>
        <v>0</v>
      </c>
      <c r="P1732" s="257">
        <f t="shared" si="349"/>
        <v>952195.08011907444</v>
      </c>
      <c r="Q1732" s="257">
        <f t="shared" si="350"/>
        <v>2380487.7002976863</v>
      </c>
      <c r="R1732" s="258">
        <f>INDEX('Escalators '!$M$124:$S$129,MATCH(I1732,'Escalators '!$B$124:$B$129,0),MATCH(J1732,'Escalators '!$M$113:$S$113,0))</f>
        <v>1.0777078650827305</v>
      </c>
      <c r="S1732" s="257">
        <f t="shared" si="351"/>
        <v>0</v>
      </c>
      <c r="T1732" s="257">
        <f t="shared" si="352"/>
        <v>1539282.1904061111</v>
      </c>
      <c r="U1732" s="269">
        <f t="shared" si="353"/>
        <v>1026188.1269374071</v>
      </c>
      <c r="V1732" s="269">
        <f t="shared" si="354"/>
        <v>2565470.3173435181</v>
      </c>
      <c r="W1732" s="269">
        <f t="shared" si="355"/>
        <v>1026188.1269374071</v>
      </c>
      <c r="X1732" s="257">
        <f t="shared" si="356"/>
        <v>2565470.3173435181</v>
      </c>
      <c r="Y1732" s="270">
        <f>IF(L1732="Complex",(INDEX('Escalators '!$M$176:$S$176,MATCH('Forecast capex'!J1732,'Escalators '!$M$178:$S$178,0))/12+1)^((K1732-J1732)*12)-1,0)</f>
        <v>0</v>
      </c>
      <c r="Z1732" s="257">
        <f t="shared" si="357"/>
        <v>0</v>
      </c>
      <c r="AA1732" s="257">
        <f t="shared" si="358"/>
        <v>0</v>
      </c>
      <c r="AB1732" s="269">
        <f t="shared" si="359"/>
        <v>0</v>
      </c>
      <c r="AC1732" s="269">
        <f t="shared" si="360"/>
        <v>0</v>
      </c>
      <c r="AD1732" s="271" t="str">
        <f>INDEX('Global inputs'!$C$134:$C$171,MATCH(F1732,'Global inputs'!$B$134:$B$171,0))</f>
        <v>Consumer connection</v>
      </c>
      <c r="AE1732" s="272">
        <f>IF(OR(H1732='Operating leases'!$B$32,H1732='Operating leases'!$B$33),"",INDEX('Global inputs'!$C$186:$C$243,MATCH(E1732,'Global inputs'!$B$186:$B$243,0)))</f>
        <v>0.08</v>
      </c>
    </row>
    <row r="1733" spans="1:31" s="27" customFormat="1" x14ac:dyDescent="0.2">
      <c r="A1733" s="250"/>
      <c r="B1733" s="210" t="s">
        <v>714</v>
      </c>
      <c r="C1733" s="210" t="s">
        <v>289</v>
      </c>
      <c r="D1733" s="210" t="s">
        <v>723</v>
      </c>
      <c r="E1733" s="210" t="s">
        <v>164</v>
      </c>
      <c r="F1733" s="210" t="s">
        <v>94</v>
      </c>
      <c r="G1733" s="210" t="s">
        <v>724</v>
      </c>
      <c r="H1733" s="197">
        <v>0</v>
      </c>
      <c r="I1733" s="210" t="s">
        <v>221</v>
      </c>
      <c r="J1733" s="210">
        <v>2026</v>
      </c>
      <c r="K1733" s="210">
        <v>2026</v>
      </c>
      <c r="L1733" s="268" t="str">
        <f t="shared" si="348"/>
        <v>Simple</v>
      </c>
      <c r="M1733" s="197">
        <v>238048.77002976861</v>
      </c>
      <c r="N1733" s="197">
        <v>357073.15504465293</v>
      </c>
      <c r="O1733" s="257">
        <f>IF(ISNA(MATCH(H1733,'Operating leases'!$B$32:$B$43,0)),0,INDEX('Operating leases'!$M$32:$S$43,MATCH(H1733,'Operating leases'!$B$32:$B$43,0),MATCH(J1733,'Operating leases'!$M$11:$S$11,0)))</f>
        <v>0</v>
      </c>
      <c r="P1733" s="257">
        <f t="shared" si="349"/>
        <v>238048.77002976861</v>
      </c>
      <c r="Q1733" s="257">
        <f t="shared" si="350"/>
        <v>595121.92507442157</v>
      </c>
      <c r="R1733" s="258">
        <f>INDEX('Escalators '!$M$124:$S$129,MATCH(I1733,'Escalators '!$B$124:$B$129,0),MATCH(J1733,'Escalators '!$M$113:$S$113,0))</f>
        <v>1.1088998660799403</v>
      </c>
      <c r="S1733" s="257">
        <f t="shared" si="351"/>
        <v>0</v>
      </c>
      <c r="T1733" s="257">
        <f t="shared" si="352"/>
        <v>395958.37380975741</v>
      </c>
      <c r="U1733" s="269">
        <f t="shared" si="353"/>
        <v>263972.2492065049</v>
      </c>
      <c r="V1733" s="269">
        <f t="shared" si="354"/>
        <v>659930.62301626231</v>
      </c>
      <c r="W1733" s="269">
        <f t="shared" si="355"/>
        <v>263972.2492065049</v>
      </c>
      <c r="X1733" s="257">
        <f t="shared" si="356"/>
        <v>659930.62301626231</v>
      </c>
      <c r="Y1733" s="270">
        <f>IF(L1733="Complex",(INDEX('Escalators '!$M$176:$S$176,MATCH('Forecast capex'!J1733,'Escalators '!$M$178:$S$178,0))/12+1)^((K1733-J1733)*12)-1,0)</f>
        <v>0</v>
      </c>
      <c r="Z1733" s="257">
        <f t="shared" si="357"/>
        <v>0</v>
      </c>
      <c r="AA1733" s="257">
        <f t="shared" si="358"/>
        <v>0</v>
      </c>
      <c r="AB1733" s="269">
        <f t="shared" si="359"/>
        <v>0</v>
      </c>
      <c r="AC1733" s="269">
        <f t="shared" si="360"/>
        <v>0</v>
      </c>
      <c r="AD1733" s="271" t="str">
        <f>INDEX('Global inputs'!$C$134:$C$171,MATCH(F1733,'Global inputs'!$B$134:$B$171,0))</f>
        <v>Consumer connection</v>
      </c>
      <c r="AE1733" s="272">
        <f>IF(OR(H1733='Operating leases'!$B$32,H1733='Operating leases'!$B$33),"",INDEX('Global inputs'!$C$186:$C$243,MATCH(E1733,'Global inputs'!$B$186:$B$243,0)))</f>
        <v>0.08</v>
      </c>
    </row>
    <row r="1734" spans="1:31" s="27" customFormat="1" x14ac:dyDescent="0.2">
      <c r="A1734" s="250"/>
      <c r="B1734" s="210" t="s">
        <v>714</v>
      </c>
      <c r="C1734" s="210" t="s">
        <v>289</v>
      </c>
      <c r="D1734" s="210" t="s">
        <v>723</v>
      </c>
      <c r="E1734" s="210" t="s">
        <v>163</v>
      </c>
      <c r="F1734" s="210" t="s">
        <v>94</v>
      </c>
      <c r="G1734" s="210" t="s">
        <v>725</v>
      </c>
      <c r="H1734" s="197">
        <v>0</v>
      </c>
      <c r="I1734" s="210" t="s">
        <v>139</v>
      </c>
      <c r="J1734" s="210">
        <v>2026</v>
      </c>
      <c r="K1734" s="210">
        <v>2026</v>
      </c>
      <c r="L1734" s="268" t="str">
        <f t="shared" si="348"/>
        <v>Simple</v>
      </c>
      <c r="M1734" s="197">
        <v>619140.28605230269</v>
      </c>
      <c r="N1734" s="197">
        <v>928710.4290784538</v>
      </c>
      <c r="O1734" s="257">
        <f>IF(ISNA(MATCH(H1734,'Operating leases'!$B$32:$B$43,0)),0,INDEX('Operating leases'!$M$32:$S$43,MATCH(H1734,'Operating leases'!$B$32:$B$43,0),MATCH(J1734,'Operating leases'!$M$11:$S$11,0)))</f>
        <v>0</v>
      </c>
      <c r="P1734" s="257">
        <f t="shared" si="349"/>
        <v>619140.28605230269</v>
      </c>
      <c r="Q1734" s="257">
        <f t="shared" si="350"/>
        <v>1547850.7151307566</v>
      </c>
      <c r="R1734" s="258">
        <f>INDEX('Escalators '!$M$124:$S$129,MATCH(I1734,'Escalators '!$B$124:$B$129,0),MATCH(J1734,'Escalators '!$M$113:$S$113,0))</f>
        <v>1.0777078650827305</v>
      </c>
      <c r="S1734" s="257">
        <f t="shared" si="351"/>
        <v>0</v>
      </c>
      <c r="T1734" s="257">
        <f t="shared" si="352"/>
        <v>1000878.5338022071</v>
      </c>
      <c r="U1734" s="269">
        <f t="shared" si="353"/>
        <v>667252.35586813837</v>
      </c>
      <c r="V1734" s="269">
        <f t="shared" si="354"/>
        <v>1668130.8896703455</v>
      </c>
      <c r="W1734" s="269">
        <f t="shared" si="355"/>
        <v>667252.35586813837</v>
      </c>
      <c r="X1734" s="257">
        <f t="shared" si="356"/>
        <v>1668130.8896703455</v>
      </c>
      <c r="Y1734" s="270">
        <f>IF(L1734="Complex",(INDEX('Escalators '!$M$176:$S$176,MATCH('Forecast capex'!J1734,'Escalators '!$M$178:$S$178,0))/12+1)^((K1734-J1734)*12)-1,0)</f>
        <v>0</v>
      </c>
      <c r="Z1734" s="257">
        <f t="shared" si="357"/>
        <v>0</v>
      </c>
      <c r="AA1734" s="257">
        <f t="shared" si="358"/>
        <v>0</v>
      </c>
      <c r="AB1734" s="269">
        <f t="shared" si="359"/>
        <v>0</v>
      </c>
      <c r="AC1734" s="269">
        <f t="shared" si="360"/>
        <v>0</v>
      </c>
      <c r="AD1734" s="271" t="str">
        <f>INDEX('Global inputs'!$C$134:$C$171,MATCH(F1734,'Global inputs'!$B$134:$B$171,0))</f>
        <v>Consumer connection</v>
      </c>
      <c r="AE1734" s="272">
        <f>IF(OR(H1734='Operating leases'!$B$32,H1734='Operating leases'!$B$33),"",INDEX('Global inputs'!$C$186:$C$243,MATCH(E1734,'Global inputs'!$B$186:$B$243,0)))</f>
        <v>0.08</v>
      </c>
    </row>
    <row r="1735" spans="1:31" s="27" customFormat="1" x14ac:dyDescent="0.2">
      <c r="A1735" s="250"/>
      <c r="B1735" s="210" t="s">
        <v>714</v>
      </c>
      <c r="C1735" s="210" t="s">
        <v>289</v>
      </c>
      <c r="D1735" s="210" t="s">
        <v>723</v>
      </c>
      <c r="E1735" s="210" t="s">
        <v>163</v>
      </c>
      <c r="F1735" s="210" t="s">
        <v>94</v>
      </c>
      <c r="G1735" s="210" t="s">
        <v>725</v>
      </c>
      <c r="H1735" s="197">
        <v>0</v>
      </c>
      <c r="I1735" s="210" t="s">
        <v>221</v>
      </c>
      <c r="J1735" s="210">
        <v>2026</v>
      </c>
      <c r="K1735" s="210">
        <v>2026</v>
      </c>
      <c r="L1735" s="268" t="str">
        <f t="shared" si="348"/>
        <v>Simple</v>
      </c>
      <c r="M1735" s="197">
        <v>154785.07151307567</v>
      </c>
      <c r="N1735" s="197">
        <v>232177.60726961345</v>
      </c>
      <c r="O1735" s="257">
        <f>IF(ISNA(MATCH(H1735,'Operating leases'!$B$32:$B$43,0)),0,INDEX('Operating leases'!$M$32:$S$43,MATCH(H1735,'Operating leases'!$B$32:$B$43,0),MATCH(J1735,'Operating leases'!$M$11:$S$11,0)))</f>
        <v>0</v>
      </c>
      <c r="P1735" s="257">
        <f t="shared" si="349"/>
        <v>154785.07151307567</v>
      </c>
      <c r="Q1735" s="257">
        <f t="shared" si="350"/>
        <v>386962.67878268915</v>
      </c>
      <c r="R1735" s="258">
        <f>INDEX('Escalators '!$M$124:$S$129,MATCH(I1735,'Escalators '!$B$124:$B$129,0),MATCH(J1735,'Escalators '!$M$113:$S$113,0))</f>
        <v>1.1088998660799403</v>
      </c>
      <c r="S1735" s="257">
        <f t="shared" si="351"/>
        <v>0</v>
      </c>
      <c r="T1735" s="257">
        <f t="shared" si="352"/>
        <v>257461.71760803534</v>
      </c>
      <c r="U1735" s="269">
        <f t="shared" si="353"/>
        <v>171641.14507202359</v>
      </c>
      <c r="V1735" s="269">
        <f t="shared" si="354"/>
        <v>429102.86268005893</v>
      </c>
      <c r="W1735" s="269">
        <f t="shared" si="355"/>
        <v>171641.14507202359</v>
      </c>
      <c r="X1735" s="257">
        <f t="shared" si="356"/>
        <v>429102.86268005893</v>
      </c>
      <c r="Y1735" s="270">
        <f>IF(L1735="Complex",(INDEX('Escalators '!$M$176:$S$176,MATCH('Forecast capex'!J1735,'Escalators '!$M$178:$S$178,0))/12+1)^((K1735-J1735)*12)-1,0)</f>
        <v>0</v>
      </c>
      <c r="Z1735" s="257">
        <f t="shared" si="357"/>
        <v>0</v>
      </c>
      <c r="AA1735" s="257">
        <f t="shared" si="358"/>
        <v>0</v>
      </c>
      <c r="AB1735" s="269">
        <f t="shared" si="359"/>
        <v>0</v>
      </c>
      <c r="AC1735" s="269">
        <f t="shared" si="360"/>
        <v>0</v>
      </c>
      <c r="AD1735" s="271" t="str">
        <f>INDEX('Global inputs'!$C$134:$C$171,MATCH(F1735,'Global inputs'!$B$134:$B$171,0))</f>
        <v>Consumer connection</v>
      </c>
      <c r="AE1735" s="272">
        <f>IF(OR(H1735='Operating leases'!$B$32,H1735='Operating leases'!$B$33),"",INDEX('Global inputs'!$C$186:$C$243,MATCH(E1735,'Global inputs'!$B$186:$B$243,0)))</f>
        <v>0.08</v>
      </c>
    </row>
    <row r="1736" spans="1:31" s="27" customFormat="1" x14ac:dyDescent="0.2">
      <c r="A1736" s="250"/>
      <c r="B1736" s="210" t="s">
        <v>714</v>
      </c>
      <c r="C1736" s="210" t="s">
        <v>286</v>
      </c>
      <c r="D1736" s="210" t="s">
        <v>735</v>
      </c>
      <c r="E1736" s="210" t="s">
        <v>144</v>
      </c>
      <c r="F1736" s="210" t="s">
        <v>94</v>
      </c>
      <c r="G1736" s="210" t="s">
        <v>736</v>
      </c>
      <c r="H1736" s="197">
        <v>0</v>
      </c>
      <c r="I1736" s="210" t="s">
        <v>229</v>
      </c>
      <c r="J1736" s="210">
        <v>2026</v>
      </c>
      <c r="K1736" s="210">
        <v>2026</v>
      </c>
      <c r="L1736" s="268" t="str">
        <f t="shared" si="348"/>
        <v>Simple</v>
      </c>
      <c r="M1736" s="197">
        <v>6404.8726974156452</v>
      </c>
      <c r="N1736" s="197">
        <v>9607.309046123466</v>
      </c>
      <c r="O1736" s="257">
        <f>IF(ISNA(MATCH(H1736,'Operating leases'!$B$32:$B$43,0)),0,INDEX('Operating leases'!$M$32:$S$43,MATCH(H1736,'Operating leases'!$B$32:$B$43,0),MATCH(J1736,'Operating leases'!$M$11:$S$11,0)))</f>
        <v>0</v>
      </c>
      <c r="P1736" s="257">
        <f t="shared" si="349"/>
        <v>6404.8726974156452</v>
      </c>
      <c r="Q1736" s="257">
        <f t="shared" si="350"/>
        <v>16012.181743539111</v>
      </c>
      <c r="R1736" s="258">
        <f>INDEX('Escalators '!$M$124:$S$129,MATCH(I1736,'Escalators '!$B$124:$B$129,0),MATCH(J1736,'Escalators '!$M$113:$S$113,0))</f>
        <v>1.1110424701464636</v>
      </c>
      <c r="S1736" s="257">
        <f t="shared" si="351"/>
        <v>0</v>
      </c>
      <c r="T1736" s="257">
        <f t="shared" si="352"/>
        <v>10674.128374065482</v>
      </c>
      <c r="U1736" s="269">
        <f t="shared" si="353"/>
        <v>7116.0855827103205</v>
      </c>
      <c r="V1736" s="269">
        <f t="shared" si="354"/>
        <v>17790.213956775802</v>
      </c>
      <c r="W1736" s="269">
        <f t="shared" si="355"/>
        <v>7116.0855827103205</v>
      </c>
      <c r="X1736" s="257">
        <f t="shared" si="356"/>
        <v>17790.213956775802</v>
      </c>
      <c r="Y1736" s="270">
        <f>IF(L1736="Complex",(INDEX('Escalators '!$M$176:$S$176,MATCH('Forecast capex'!J1736,'Escalators '!$M$178:$S$178,0))/12+1)^((K1736-J1736)*12)-1,0)</f>
        <v>0</v>
      </c>
      <c r="Z1736" s="257">
        <f t="shared" si="357"/>
        <v>0</v>
      </c>
      <c r="AA1736" s="257">
        <f t="shared" si="358"/>
        <v>0</v>
      </c>
      <c r="AB1736" s="269">
        <f t="shared" si="359"/>
        <v>0</v>
      </c>
      <c r="AC1736" s="269">
        <f t="shared" si="360"/>
        <v>0</v>
      </c>
      <c r="AD1736" s="271" t="str">
        <f>INDEX('Global inputs'!$C$134:$C$171,MATCH(F1736,'Global inputs'!$B$134:$B$171,0))</f>
        <v>Consumer connection</v>
      </c>
      <c r="AE1736" s="272">
        <f>IF(OR(H1736='Operating leases'!$B$32,H1736='Operating leases'!$B$33),"",INDEX('Global inputs'!$C$186:$C$243,MATCH(E1736,'Global inputs'!$B$186:$B$243,0)))</f>
        <v>0.08</v>
      </c>
    </row>
    <row r="1737" spans="1:31" s="27" customFormat="1" x14ac:dyDescent="0.2">
      <c r="A1737" s="250"/>
      <c r="B1737" s="210" t="s">
        <v>714</v>
      </c>
      <c r="C1737" s="210" t="s">
        <v>286</v>
      </c>
      <c r="D1737" s="210" t="s">
        <v>735</v>
      </c>
      <c r="E1737" s="210" t="s">
        <v>144</v>
      </c>
      <c r="F1737" s="210" t="s">
        <v>94</v>
      </c>
      <c r="G1737" s="210" t="s">
        <v>736</v>
      </c>
      <c r="H1737" s="197">
        <v>0</v>
      </c>
      <c r="I1737" s="210" t="s">
        <v>221</v>
      </c>
      <c r="J1737" s="210">
        <v>2026</v>
      </c>
      <c r="K1737" s="210">
        <v>2026</v>
      </c>
      <c r="L1737" s="268" t="str">
        <f t="shared" si="348"/>
        <v>Simple</v>
      </c>
      <c r="M1737" s="197">
        <v>25619.490789662581</v>
      </c>
      <c r="N1737" s="197">
        <v>38429.236184493864</v>
      </c>
      <c r="O1737" s="257">
        <f>IF(ISNA(MATCH(H1737,'Operating leases'!$B$32:$B$43,0)),0,INDEX('Operating leases'!$M$32:$S$43,MATCH(H1737,'Operating leases'!$B$32:$B$43,0),MATCH(J1737,'Operating leases'!$M$11:$S$11,0)))</f>
        <v>0</v>
      </c>
      <c r="P1737" s="257">
        <f t="shared" si="349"/>
        <v>25619.490789662581</v>
      </c>
      <c r="Q1737" s="257">
        <f t="shared" si="350"/>
        <v>64048.726974156445</v>
      </c>
      <c r="R1737" s="258">
        <f>INDEX('Escalators '!$M$124:$S$129,MATCH(I1737,'Escalators '!$B$124:$B$129,0),MATCH(J1737,'Escalators '!$M$113:$S$113,0))</f>
        <v>1.1088998660799403</v>
      </c>
      <c r="S1737" s="257">
        <f t="shared" si="351"/>
        <v>0</v>
      </c>
      <c r="T1737" s="257">
        <f t="shared" si="352"/>
        <v>42614.174858539642</v>
      </c>
      <c r="U1737" s="269">
        <f t="shared" si="353"/>
        <v>28409.449905693094</v>
      </c>
      <c r="V1737" s="269">
        <f t="shared" si="354"/>
        <v>71023.624764232736</v>
      </c>
      <c r="W1737" s="269">
        <f t="shared" si="355"/>
        <v>28409.449905693094</v>
      </c>
      <c r="X1737" s="257">
        <f t="shared" si="356"/>
        <v>71023.624764232736</v>
      </c>
      <c r="Y1737" s="270">
        <f>IF(L1737="Complex",(INDEX('Escalators '!$M$176:$S$176,MATCH('Forecast capex'!J1737,'Escalators '!$M$178:$S$178,0))/12+1)^((K1737-J1737)*12)-1,0)</f>
        <v>0</v>
      </c>
      <c r="Z1737" s="257">
        <f t="shared" si="357"/>
        <v>0</v>
      </c>
      <c r="AA1737" s="257">
        <f t="shared" si="358"/>
        <v>0</v>
      </c>
      <c r="AB1737" s="269">
        <f t="shared" si="359"/>
        <v>0</v>
      </c>
      <c r="AC1737" s="269">
        <f t="shared" si="360"/>
        <v>0</v>
      </c>
      <c r="AD1737" s="271" t="str">
        <f>INDEX('Global inputs'!$C$134:$C$171,MATCH(F1737,'Global inputs'!$B$134:$B$171,0))</f>
        <v>Consumer connection</v>
      </c>
      <c r="AE1737" s="272">
        <f>IF(OR(H1737='Operating leases'!$B$32,H1737='Operating leases'!$B$33),"",INDEX('Global inputs'!$C$186:$C$243,MATCH(E1737,'Global inputs'!$B$186:$B$243,0)))</f>
        <v>0.08</v>
      </c>
    </row>
    <row r="1738" spans="1:31" s="27" customFormat="1" x14ac:dyDescent="0.2">
      <c r="A1738" s="250"/>
      <c r="B1738" s="210" t="s">
        <v>714</v>
      </c>
      <c r="C1738" s="210" t="s">
        <v>285</v>
      </c>
      <c r="D1738" s="210" t="s">
        <v>223</v>
      </c>
      <c r="E1738" s="210" t="s">
        <v>134</v>
      </c>
      <c r="F1738" s="210" t="s">
        <v>94</v>
      </c>
      <c r="G1738" s="210" t="s">
        <v>726</v>
      </c>
      <c r="H1738" s="197">
        <v>0</v>
      </c>
      <c r="I1738" s="210" t="s">
        <v>223</v>
      </c>
      <c r="J1738" s="210">
        <v>2026</v>
      </c>
      <c r="K1738" s="210">
        <v>2026</v>
      </c>
      <c r="L1738" s="268" t="str">
        <f t="shared" ref="L1738:L1801" si="361">IF(J1738=K1738,"Simple","Complex")</f>
        <v>Simple</v>
      </c>
      <c r="M1738" s="197">
        <v>9287.0830837671638</v>
      </c>
      <c r="N1738" s="197">
        <v>13930.624625650744</v>
      </c>
      <c r="O1738" s="257">
        <f>IF(ISNA(MATCH(H1738,'Operating leases'!$B$32:$B$43,0)),0,INDEX('Operating leases'!$M$32:$S$43,MATCH(H1738,'Operating leases'!$B$32:$B$43,0),MATCH(J1738,'Operating leases'!$M$11:$S$11,0)))</f>
        <v>0</v>
      </c>
      <c r="P1738" s="257">
        <f t="shared" ref="P1738:P1801" si="362">O1738+M1738</f>
        <v>9287.0830837671638</v>
      </c>
      <c r="Q1738" s="257">
        <f t="shared" ref="Q1738:Q1801" si="363">M1738+N1738+O1738</f>
        <v>23217.707709417908</v>
      </c>
      <c r="R1738" s="258">
        <f>INDEX('Escalators '!$M$124:$S$129,MATCH(I1738,'Escalators '!$B$124:$B$129,0),MATCH(J1738,'Escalators '!$M$113:$S$113,0))</f>
        <v>1.168210490264004</v>
      </c>
      <c r="S1738" s="257">
        <f t="shared" ref="S1738:S1801" si="364">O1738*R1738</f>
        <v>0</v>
      </c>
      <c r="T1738" s="257">
        <f t="shared" ref="T1738:T1801" si="365">N1738*R1738</f>
        <v>16273.901823615262</v>
      </c>
      <c r="U1738" s="269">
        <f t="shared" ref="U1738:U1801" si="366">W1738-S1738</f>
        <v>10849.267882410179</v>
      </c>
      <c r="V1738" s="269">
        <f t="shared" ref="V1738:V1801" si="367">U1738+T1738</f>
        <v>27123.169706025441</v>
      </c>
      <c r="W1738" s="269">
        <f t="shared" ref="W1738:W1801" si="368">X1738-T1738</f>
        <v>10849.267882410179</v>
      </c>
      <c r="X1738" s="257">
        <f t="shared" ref="X1738:X1801" si="369">Q1738*R1738</f>
        <v>27123.169706025441</v>
      </c>
      <c r="Y1738" s="270">
        <f>IF(L1738="Complex",(INDEX('Escalators '!$M$176:$S$176,MATCH('Forecast capex'!J1738,'Escalators '!$M$178:$S$178,0))/12+1)^((K1738-J1738)*12)-1,0)</f>
        <v>0</v>
      </c>
      <c r="Z1738" s="257">
        <f t="shared" ref="Z1738:Z1801" si="370">P1738*Y1738</f>
        <v>0</v>
      </c>
      <c r="AA1738" s="257">
        <f t="shared" ref="AA1738:AA1801" si="371">W1738*Y1738</f>
        <v>0</v>
      </c>
      <c r="AB1738" s="269">
        <f t="shared" ref="AB1738:AB1801" si="372">IF(L1738="Complex",AC1738-T1738,0)</f>
        <v>0</v>
      </c>
      <c r="AC1738" s="269">
        <f t="shared" ref="AC1738:AC1801" si="373">IF(L1738="Complex",V1738+AA1738,0)</f>
        <v>0</v>
      </c>
      <c r="AD1738" s="271" t="str">
        <f>INDEX('Global inputs'!$C$134:$C$171,MATCH(F1738,'Global inputs'!$B$134:$B$171,0))</f>
        <v>Consumer connection</v>
      </c>
      <c r="AE1738" s="272">
        <f>IF(OR(H1738='Operating leases'!$B$32,H1738='Operating leases'!$B$33),"",INDEX('Global inputs'!$C$186:$C$243,MATCH(E1738,'Global inputs'!$B$186:$B$243,0)))</f>
        <v>0.08</v>
      </c>
    </row>
    <row r="1739" spans="1:31" s="27" customFormat="1" x14ac:dyDescent="0.2">
      <c r="A1739" s="250"/>
      <c r="B1739" s="210" t="s">
        <v>714</v>
      </c>
      <c r="C1739" s="210" t="s">
        <v>285</v>
      </c>
      <c r="D1739" s="210" t="s">
        <v>223</v>
      </c>
      <c r="E1739" s="210" t="s">
        <v>134</v>
      </c>
      <c r="F1739" s="210" t="s">
        <v>94</v>
      </c>
      <c r="G1739" s="210" t="s">
        <v>726</v>
      </c>
      <c r="H1739" s="197">
        <v>0</v>
      </c>
      <c r="I1739" s="210" t="s">
        <v>221</v>
      </c>
      <c r="J1739" s="210">
        <v>2026</v>
      </c>
      <c r="K1739" s="210">
        <v>2026</v>
      </c>
      <c r="L1739" s="268" t="str">
        <f t="shared" si="361"/>
        <v>Simple</v>
      </c>
      <c r="M1739" s="197">
        <v>21669.86052879005</v>
      </c>
      <c r="N1739" s="197">
        <v>32504.790793185071</v>
      </c>
      <c r="O1739" s="257">
        <f>IF(ISNA(MATCH(H1739,'Operating leases'!$B$32:$B$43,0)),0,INDEX('Operating leases'!$M$32:$S$43,MATCH(H1739,'Operating leases'!$B$32:$B$43,0),MATCH(J1739,'Operating leases'!$M$11:$S$11,0)))</f>
        <v>0</v>
      </c>
      <c r="P1739" s="257">
        <f t="shared" si="362"/>
        <v>21669.86052879005</v>
      </c>
      <c r="Q1739" s="257">
        <f t="shared" si="363"/>
        <v>54174.651321975121</v>
      </c>
      <c r="R1739" s="258">
        <f>INDEX('Escalators '!$M$124:$S$129,MATCH(I1739,'Escalators '!$B$124:$B$129,0),MATCH(J1739,'Escalators '!$M$113:$S$113,0))</f>
        <v>1.1088998660799403</v>
      </c>
      <c r="S1739" s="257">
        <f t="shared" si="364"/>
        <v>0</v>
      </c>
      <c r="T1739" s="257">
        <f t="shared" si="365"/>
        <v>36044.558157519401</v>
      </c>
      <c r="U1739" s="269">
        <f t="shared" si="366"/>
        <v>24029.705438346275</v>
      </c>
      <c r="V1739" s="269">
        <f t="shared" si="367"/>
        <v>60074.263595865676</v>
      </c>
      <c r="W1739" s="269">
        <f t="shared" si="368"/>
        <v>24029.705438346275</v>
      </c>
      <c r="X1739" s="257">
        <f t="shared" si="369"/>
        <v>60074.263595865676</v>
      </c>
      <c r="Y1739" s="270">
        <f>IF(L1739="Complex",(INDEX('Escalators '!$M$176:$S$176,MATCH('Forecast capex'!J1739,'Escalators '!$M$178:$S$178,0))/12+1)^((K1739-J1739)*12)-1,0)</f>
        <v>0</v>
      </c>
      <c r="Z1739" s="257">
        <f t="shared" si="370"/>
        <v>0</v>
      </c>
      <c r="AA1739" s="257">
        <f t="shared" si="371"/>
        <v>0</v>
      </c>
      <c r="AB1739" s="269">
        <f t="shared" si="372"/>
        <v>0</v>
      </c>
      <c r="AC1739" s="269">
        <f t="shared" si="373"/>
        <v>0</v>
      </c>
      <c r="AD1739" s="271" t="str">
        <f>INDEX('Global inputs'!$C$134:$C$171,MATCH(F1739,'Global inputs'!$B$134:$B$171,0))</f>
        <v>Consumer connection</v>
      </c>
      <c r="AE1739" s="272">
        <f>IF(OR(H1739='Operating leases'!$B$32,H1739='Operating leases'!$B$33),"",INDEX('Global inputs'!$C$186:$C$243,MATCH(E1739,'Global inputs'!$B$186:$B$243,0)))</f>
        <v>0.08</v>
      </c>
    </row>
    <row r="1740" spans="1:31" s="27" customFormat="1" x14ac:dyDescent="0.2">
      <c r="A1740" s="250"/>
      <c r="B1740" s="210" t="s">
        <v>714</v>
      </c>
      <c r="C1740" s="210" t="s">
        <v>288</v>
      </c>
      <c r="D1740" s="210" t="s">
        <v>223</v>
      </c>
      <c r="E1740" s="210" t="s">
        <v>157</v>
      </c>
      <c r="F1740" s="210" t="s">
        <v>94</v>
      </c>
      <c r="G1740" s="210" t="s">
        <v>727</v>
      </c>
      <c r="H1740" s="197">
        <v>0</v>
      </c>
      <c r="I1740" s="210" t="s">
        <v>223</v>
      </c>
      <c r="J1740" s="210">
        <v>2026</v>
      </c>
      <c r="K1740" s="210">
        <v>2026</v>
      </c>
      <c r="L1740" s="268" t="str">
        <f t="shared" si="361"/>
        <v>Simple</v>
      </c>
      <c r="M1740" s="197">
        <v>169089.38145738113</v>
      </c>
      <c r="N1740" s="197">
        <v>253634.07218607166</v>
      </c>
      <c r="O1740" s="257">
        <f>IF(ISNA(MATCH(H1740,'Operating leases'!$B$32:$B$43,0)),0,INDEX('Operating leases'!$M$32:$S$43,MATCH(H1740,'Operating leases'!$B$32:$B$43,0),MATCH(J1740,'Operating leases'!$M$11:$S$11,0)))</f>
        <v>0</v>
      </c>
      <c r="P1740" s="257">
        <f t="shared" si="362"/>
        <v>169089.38145738113</v>
      </c>
      <c r="Q1740" s="257">
        <f t="shared" si="363"/>
        <v>422723.45364345278</v>
      </c>
      <c r="R1740" s="258">
        <f>INDEX('Escalators '!$M$124:$S$129,MATCH(I1740,'Escalators '!$B$124:$B$129,0),MATCH(J1740,'Escalators '!$M$113:$S$113,0))</f>
        <v>1.168210490264004</v>
      </c>
      <c r="S1740" s="257">
        <f t="shared" si="364"/>
        <v>0</v>
      </c>
      <c r="T1740" s="257">
        <f t="shared" si="365"/>
        <v>296297.98381614656</v>
      </c>
      <c r="U1740" s="269">
        <f t="shared" si="366"/>
        <v>197531.98921076441</v>
      </c>
      <c r="V1740" s="269">
        <f t="shared" si="367"/>
        <v>493829.97302691097</v>
      </c>
      <c r="W1740" s="269">
        <f t="shared" si="368"/>
        <v>197531.98921076441</v>
      </c>
      <c r="X1740" s="257">
        <f t="shared" si="369"/>
        <v>493829.97302691097</v>
      </c>
      <c r="Y1740" s="270">
        <f>IF(L1740="Complex",(INDEX('Escalators '!$M$176:$S$176,MATCH('Forecast capex'!J1740,'Escalators '!$M$178:$S$178,0))/12+1)^((K1740-J1740)*12)-1,0)</f>
        <v>0</v>
      </c>
      <c r="Z1740" s="257">
        <f t="shared" si="370"/>
        <v>0</v>
      </c>
      <c r="AA1740" s="257">
        <f t="shared" si="371"/>
        <v>0</v>
      </c>
      <c r="AB1740" s="269">
        <f t="shared" si="372"/>
        <v>0</v>
      </c>
      <c r="AC1740" s="269">
        <f t="shared" si="373"/>
        <v>0</v>
      </c>
      <c r="AD1740" s="271" t="str">
        <f>INDEX('Global inputs'!$C$134:$C$171,MATCH(F1740,'Global inputs'!$B$134:$B$171,0))</f>
        <v>Consumer connection</v>
      </c>
      <c r="AE1740" s="272">
        <f>IF(OR(H1740='Operating leases'!$B$32,H1740='Operating leases'!$B$33),"",INDEX('Global inputs'!$C$186:$C$243,MATCH(E1740,'Global inputs'!$B$186:$B$243,0)))</f>
        <v>0.08</v>
      </c>
    </row>
    <row r="1741" spans="1:31" s="27" customFormat="1" x14ac:dyDescent="0.2">
      <c r="A1741" s="250"/>
      <c r="B1741" s="210" t="s">
        <v>714</v>
      </c>
      <c r="C1741" s="210" t="s">
        <v>288</v>
      </c>
      <c r="D1741" s="210" t="s">
        <v>223</v>
      </c>
      <c r="E1741" s="210" t="s">
        <v>157</v>
      </c>
      <c r="F1741" s="210" t="s">
        <v>94</v>
      </c>
      <c r="G1741" s="210" t="s">
        <v>727</v>
      </c>
      <c r="H1741" s="197">
        <v>0</v>
      </c>
      <c r="I1741" s="210" t="s">
        <v>221</v>
      </c>
      <c r="J1741" s="210">
        <v>2026</v>
      </c>
      <c r="K1741" s="210">
        <v>2026</v>
      </c>
      <c r="L1741" s="268" t="str">
        <f t="shared" si="361"/>
        <v>Simple</v>
      </c>
      <c r="M1741" s="197">
        <v>394541.89006722259</v>
      </c>
      <c r="N1741" s="197">
        <v>591812.83510083379</v>
      </c>
      <c r="O1741" s="257">
        <f>IF(ISNA(MATCH(H1741,'Operating leases'!$B$32:$B$43,0)),0,INDEX('Operating leases'!$M$32:$S$43,MATCH(H1741,'Operating leases'!$B$32:$B$43,0),MATCH(J1741,'Operating leases'!$M$11:$S$11,0)))</f>
        <v>0</v>
      </c>
      <c r="P1741" s="257">
        <f t="shared" si="362"/>
        <v>394541.89006722259</v>
      </c>
      <c r="Q1741" s="257">
        <f t="shared" si="363"/>
        <v>986354.72516805632</v>
      </c>
      <c r="R1741" s="258">
        <f>INDEX('Escalators '!$M$124:$S$129,MATCH(I1741,'Escalators '!$B$124:$B$129,0),MATCH(J1741,'Escalators '!$M$113:$S$113,0))</f>
        <v>1.1088998660799403</v>
      </c>
      <c r="S1741" s="257">
        <f t="shared" si="364"/>
        <v>0</v>
      </c>
      <c r="T1741" s="257">
        <f t="shared" si="365"/>
        <v>656261.17358770443</v>
      </c>
      <c r="U1741" s="269">
        <f t="shared" si="366"/>
        <v>437507.4490584695</v>
      </c>
      <c r="V1741" s="269">
        <f t="shared" si="367"/>
        <v>1093768.6226461739</v>
      </c>
      <c r="W1741" s="269">
        <f t="shared" si="368"/>
        <v>437507.4490584695</v>
      </c>
      <c r="X1741" s="257">
        <f t="shared" si="369"/>
        <v>1093768.6226461739</v>
      </c>
      <c r="Y1741" s="270">
        <f>IF(L1741="Complex",(INDEX('Escalators '!$M$176:$S$176,MATCH('Forecast capex'!J1741,'Escalators '!$M$178:$S$178,0))/12+1)^((K1741-J1741)*12)-1,0)</f>
        <v>0</v>
      </c>
      <c r="Z1741" s="257">
        <f t="shared" si="370"/>
        <v>0</v>
      </c>
      <c r="AA1741" s="257">
        <f t="shared" si="371"/>
        <v>0</v>
      </c>
      <c r="AB1741" s="269">
        <f t="shared" si="372"/>
        <v>0</v>
      </c>
      <c r="AC1741" s="269">
        <f t="shared" si="373"/>
        <v>0</v>
      </c>
      <c r="AD1741" s="271" t="str">
        <f>INDEX('Global inputs'!$C$134:$C$171,MATCH(F1741,'Global inputs'!$B$134:$B$171,0))</f>
        <v>Consumer connection</v>
      </c>
      <c r="AE1741" s="272">
        <f>IF(OR(H1741='Operating leases'!$B$32,H1741='Operating leases'!$B$33),"",INDEX('Global inputs'!$C$186:$C$243,MATCH(E1741,'Global inputs'!$B$186:$B$243,0)))</f>
        <v>0.08</v>
      </c>
    </row>
    <row r="1742" spans="1:31" s="27" customFormat="1" x14ac:dyDescent="0.2">
      <c r="A1742" s="250"/>
      <c r="B1742" s="210" t="s">
        <v>714</v>
      </c>
      <c r="C1742" s="210" t="s">
        <v>288</v>
      </c>
      <c r="D1742" s="210" t="s">
        <v>223</v>
      </c>
      <c r="E1742" s="210" t="s">
        <v>159</v>
      </c>
      <c r="F1742" s="210" t="s">
        <v>94</v>
      </c>
      <c r="G1742" s="210" t="s">
        <v>728</v>
      </c>
      <c r="H1742" s="197">
        <v>0</v>
      </c>
      <c r="I1742" s="210" t="s">
        <v>223</v>
      </c>
      <c r="J1742" s="210">
        <v>2026</v>
      </c>
      <c r="K1742" s="210">
        <v>2026</v>
      </c>
      <c r="L1742" s="268" t="str">
        <f t="shared" si="361"/>
        <v>Simple</v>
      </c>
      <c r="M1742" s="197">
        <v>481221.50890752766</v>
      </c>
      <c r="N1742" s="197">
        <v>721832.26336129149</v>
      </c>
      <c r="O1742" s="257">
        <f>IF(ISNA(MATCH(H1742,'Operating leases'!$B$32:$B$43,0)),0,INDEX('Operating leases'!$M$32:$S$43,MATCH(H1742,'Operating leases'!$B$32:$B$43,0),MATCH(J1742,'Operating leases'!$M$11:$S$11,0)))</f>
        <v>0</v>
      </c>
      <c r="P1742" s="257">
        <f t="shared" si="362"/>
        <v>481221.50890752766</v>
      </c>
      <c r="Q1742" s="257">
        <f t="shared" si="363"/>
        <v>1203053.7722688192</v>
      </c>
      <c r="R1742" s="258">
        <f>INDEX('Escalators '!$M$124:$S$129,MATCH(I1742,'Escalators '!$B$124:$B$129,0),MATCH(J1742,'Escalators '!$M$113:$S$113,0))</f>
        <v>1.168210490264004</v>
      </c>
      <c r="S1742" s="257">
        <f t="shared" si="364"/>
        <v>0</v>
      </c>
      <c r="T1742" s="257">
        <f t="shared" si="365"/>
        <v>843252.02226967004</v>
      </c>
      <c r="U1742" s="269">
        <f t="shared" si="366"/>
        <v>562168.01484644657</v>
      </c>
      <c r="V1742" s="269">
        <f t="shared" si="367"/>
        <v>1405420.0371161166</v>
      </c>
      <c r="W1742" s="269">
        <f t="shared" si="368"/>
        <v>562168.01484644657</v>
      </c>
      <c r="X1742" s="257">
        <f t="shared" si="369"/>
        <v>1405420.0371161166</v>
      </c>
      <c r="Y1742" s="270">
        <f>IF(L1742="Complex",(INDEX('Escalators '!$M$176:$S$176,MATCH('Forecast capex'!J1742,'Escalators '!$M$178:$S$178,0))/12+1)^((K1742-J1742)*12)-1,0)</f>
        <v>0</v>
      </c>
      <c r="Z1742" s="257">
        <f t="shared" si="370"/>
        <v>0</v>
      </c>
      <c r="AA1742" s="257">
        <f t="shared" si="371"/>
        <v>0</v>
      </c>
      <c r="AB1742" s="269">
        <f t="shared" si="372"/>
        <v>0</v>
      </c>
      <c r="AC1742" s="269">
        <f t="shared" si="373"/>
        <v>0</v>
      </c>
      <c r="AD1742" s="271" t="str">
        <f>INDEX('Global inputs'!$C$134:$C$171,MATCH(F1742,'Global inputs'!$B$134:$B$171,0))</f>
        <v>Consumer connection</v>
      </c>
      <c r="AE1742" s="272">
        <f>IF(OR(H1742='Operating leases'!$B$32,H1742='Operating leases'!$B$33),"",INDEX('Global inputs'!$C$186:$C$243,MATCH(E1742,'Global inputs'!$B$186:$B$243,0)))</f>
        <v>0.08</v>
      </c>
    </row>
    <row r="1743" spans="1:31" s="27" customFormat="1" x14ac:dyDescent="0.2">
      <c r="A1743" s="250"/>
      <c r="B1743" s="210" t="s">
        <v>714</v>
      </c>
      <c r="C1743" s="210" t="s">
        <v>288</v>
      </c>
      <c r="D1743" s="210" t="s">
        <v>223</v>
      </c>
      <c r="E1743" s="210" t="s">
        <v>159</v>
      </c>
      <c r="F1743" s="210" t="s">
        <v>94</v>
      </c>
      <c r="G1743" s="210" t="s">
        <v>728</v>
      </c>
      <c r="H1743" s="197">
        <v>0</v>
      </c>
      <c r="I1743" s="210" t="s">
        <v>221</v>
      </c>
      <c r="J1743" s="210">
        <v>2026</v>
      </c>
      <c r="K1743" s="210">
        <v>2026</v>
      </c>
      <c r="L1743" s="268" t="str">
        <f t="shared" si="361"/>
        <v>Simple</v>
      </c>
      <c r="M1743" s="197">
        <v>721832.26336129138</v>
      </c>
      <c r="N1743" s="197">
        <v>1082748.395041937</v>
      </c>
      <c r="O1743" s="257">
        <f>IF(ISNA(MATCH(H1743,'Operating leases'!$B$32:$B$43,0)),0,INDEX('Operating leases'!$M$32:$S$43,MATCH(H1743,'Operating leases'!$B$32:$B$43,0),MATCH(J1743,'Operating leases'!$M$11:$S$11,0)))</f>
        <v>0</v>
      </c>
      <c r="P1743" s="257">
        <f t="shared" si="362"/>
        <v>721832.26336129138</v>
      </c>
      <c r="Q1743" s="257">
        <f t="shared" si="363"/>
        <v>1804580.6584032285</v>
      </c>
      <c r="R1743" s="258">
        <f>INDEX('Escalators '!$M$124:$S$129,MATCH(I1743,'Escalators '!$B$124:$B$129,0),MATCH(J1743,'Escalators '!$M$113:$S$113,0))</f>
        <v>1.1088998660799403</v>
      </c>
      <c r="S1743" s="257">
        <f t="shared" si="364"/>
        <v>0</v>
      </c>
      <c r="T1743" s="257">
        <f t="shared" si="365"/>
        <v>1200659.5502602742</v>
      </c>
      <c r="U1743" s="269">
        <f t="shared" si="366"/>
        <v>800439.70017351629</v>
      </c>
      <c r="V1743" s="269">
        <f t="shared" si="367"/>
        <v>2001099.2504337905</v>
      </c>
      <c r="W1743" s="269">
        <f t="shared" si="368"/>
        <v>800439.70017351629</v>
      </c>
      <c r="X1743" s="257">
        <f t="shared" si="369"/>
        <v>2001099.2504337905</v>
      </c>
      <c r="Y1743" s="270">
        <f>IF(L1743="Complex",(INDEX('Escalators '!$M$176:$S$176,MATCH('Forecast capex'!J1743,'Escalators '!$M$178:$S$178,0))/12+1)^((K1743-J1743)*12)-1,0)</f>
        <v>0</v>
      </c>
      <c r="Z1743" s="257">
        <f t="shared" si="370"/>
        <v>0</v>
      </c>
      <c r="AA1743" s="257">
        <f t="shared" si="371"/>
        <v>0</v>
      </c>
      <c r="AB1743" s="269">
        <f t="shared" si="372"/>
        <v>0</v>
      </c>
      <c r="AC1743" s="269">
        <f t="shared" si="373"/>
        <v>0</v>
      </c>
      <c r="AD1743" s="271" t="str">
        <f>INDEX('Global inputs'!$C$134:$C$171,MATCH(F1743,'Global inputs'!$B$134:$B$171,0))</f>
        <v>Consumer connection</v>
      </c>
      <c r="AE1743" s="272">
        <f>IF(OR(H1743='Operating leases'!$B$32,H1743='Operating leases'!$B$33),"",INDEX('Global inputs'!$C$186:$C$243,MATCH(E1743,'Global inputs'!$B$186:$B$243,0)))</f>
        <v>0.08</v>
      </c>
    </row>
    <row r="1744" spans="1:31" s="27" customFormat="1" x14ac:dyDescent="0.2">
      <c r="A1744" s="250"/>
      <c r="B1744" s="210" t="s">
        <v>714</v>
      </c>
      <c r="C1744" s="210" t="s">
        <v>287</v>
      </c>
      <c r="D1744" s="210" t="s">
        <v>729</v>
      </c>
      <c r="E1744" s="210" t="s">
        <v>150</v>
      </c>
      <c r="F1744" s="210" t="s">
        <v>94</v>
      </c>
      <c r="G1744" s="210" t="s">
        <v>731</v>
      </c>
      <c r="H1744" s="197">
        <v>0</v>
      </c>
      <c r="I1744" s="210" t="s">
        <v>225</v>
      </c>
      <c r="J1744" s="210">
        <v>2026</v>
      </c>
      <c r="K1744" s="210">
        <v>2026</v>
      </c>
      <c r="L1744" s="268" t="str">
        <f t="shared" si="361"/>
        <v>Simple</v>
      </c>
      <c r="M1744" s="197">
        <v>5444.1948103467348</v>
      </c>
      <c r="N1744" s="197">
        <v>8166.2922155201013</v>
      </c>
      <c r="O1744" s="257">
        <f>IF(ISNA(MATCH(H1744,'Operating leases'!$B$32:$B$43,0)),0,INDEX('Operating leases'!$M$32:$S$43,MATCH(H1744,'Operating leases'!$B$32:$B$43,0),MATCH(J1744,'Operating leases'!$M$11:$S$11,0)))</f>
        <v>0</v>
      </c>
      <c r="P1744" s="257">
        <f t="shared" si="362"/>
        <v>5444.1948103467348</v>
      </c>
      <c r="Q1744" s="257">
        <f t="shared" si="363"/>
        <v>13610.487025866836</v>
      </c>
      <c r="R1744" s="258">
        <f>INDEX('Escalators '!$M$124:$S$129,MATCH(I1744,'Escalators '!$B$124:$B$129,0),MATCH(J1744,'Escalators '!$M$113:$S$113,0))</f>
        <v>1.1685447741482344</v>
      </c>
      <c r="S1744" s="257">
        <f t="shared" si="364"/>
        <v>0</v>
      </c>
      <c r="T1744" s="257">
        <f t="shared" si="365"/>
        <v>9542.6780926134215</v>
      </c>
      <c r="U1744" s="269">
        <f t="shared" si="366"/>
        <v>6361.7853950756162</v>
      </c>
      <c r="V1744" s="269">
        <f t="shared" si="367"/>
        <v>15904.463487689038</v>
      </c>
      <c r="W1744" s="269">
        <f t="shared" si="368"/>
        <v>6361.7853950756162</v>
      </c>
      <c r="X1744" s="257">
        <f t="shared" si="369"/>
        <v>15904.463487689038</v>
      </c>
      <c r="Y1744" s="270">
        <f>IF(L1744="Complex",(INDEX('Escalators '!$M$176:$S$176,MATCH('Forecast capex'!J1744,'Escalators '!$M$178:$S$178,0))/12+1)^((K1744-J1744)*12)-1,0)</f>
        <v>0</v>
      </c>
      <c r="Z1744" s="257">
        <f t="shared" si="370"/>
        <v>0</v>
      </c>
      <c r="AA1744" s="257">
        <f t="shared" si="371"/>
        <v>0</v>
      </c>
      <c r="AB1744" s="269">
        <f t="shared" si="372"/>
        <v>0</v>
      </c>
      <c r="AC1744" s="269">
        <f t="shared" si="373"/>
        <v>0</v>
      </c>
      <c r="AD1744" s="271" t="str">
        <f>INDEX('Global inputs'!$C$134:$C$171,MATCH(F1744,'Global inputs'!$B$134:$B$171,0))</f>
        <v>Consumer connection</v>
      </c>
      <c r="AE1744" s="272">
        <f>IF(OR(H1744='Operating leases'!$B$32,H1744='Operating leases'!$B$33),"",INDEX('Global inputs'!$C$186:$C$243,MATCH(E1744,'Global inputs'!$B$186:$B$243,0)))</f>
        <v>0.08</v>
      </c>
    </row>
    <row r="1745" spans="1:31" s="27" customFormat="1" x14ac:dyDescent="0.2">
      <c r="A1745" s="250"/>
      <c r="B1745" s="210" t="s">
        <v>714</v>
      </c>
      <c r="C1745" s="210" t="s">
        <v>287</v>
      </c>
      <c r="D1745" s="210" t="s">
        <v>729</v>
      </c>
      <c r="E1745" s="210" t="s">
        <v>150</v>
      </c>
      <c r="F1745" s="210" t="s">
        <v>94</v>
      </c>
      <c r="G1745" s="210" t="s">
        <v>731</v>
      </c>
      <c r="H1745" s="197">
        <v>0</v>
      </c>
      <c r="I1745" s="210" t="s">
        <v>221</v>
      </c>
      <c r="J1745" s="210">
        <v>2026</v>
      </c>
      <c r="K1745" s="210">
        <v>2026</v>
      </c>
      <c r="L1745" s="268" t="str">
        <f t="shared" si="361"/>
        <v>Simple</v>
      </c>
      <c r="M1745" s="197">
        <v>21776.779241386939</v>
      </c>
      <c r="N1745" s="197">
        <v>32665.168862080405</v>
      </c>
      <c r="O1745" s="257">
        <f>IF(ISNA(MATCH(H1745,'Operating leases'!$B$32:$B$43,0)),0,INDEX('Operating leases'!$M$32:$S$43,MATCH(H1745,'Operating leases'!$B$32:$B$43,0),MATCH(J1745,'Operating leases'!$M$11:$S$11,0)))</f>
        <v>0</v>
      </c>
      <c r="P1745" s="257">
        <f t="shared" si="362"/>
        <v>21776.779241386939</v>
      </c>
      <c r="Q1745" s="257">
        <f t="shared" si="363"/>
        <v>54441.948103467344</v>
      </c>
      <c r="R1745" s="258">
        <f>INDEX('Escalators '!$M$124:$S$129,MATCH(I1745,'Escalators '!$B$124:$B$129,0),MATCH(J1745,'Escalators '!$M$113:$S$113,0))</f>
        <v>1.1088998660799403</v>
      </c>
      <c r="S1745" s="257">
        <f t="shared" si="364"/>
        <v>0</v>
      </c>
      <c r="T1745" s="257">
        <f t="shared" si="365"/>
        <v>36222.401376639595</v>
      </c>
      <c r="U1745" s="269">
        <f t="shared" si="366"/>
        <v>24148.267584426401</v>
      </c>
      <c r="V1745" s="269">
        <f t="shared" si="367"/>
        <v>60370.668961065996</v>
      </c>
      <c r="W1745" s="269">
        <f t="shared" si="368"/>
        <v>24148.267584426401</v>
      </c>
      <c r="X1745" s="257">
        <f t="shared" si="369"/>
        <v>60370.668961065996</v>
      </c>
      <c r="Y1745" s="270">
        <f>IF(L1745="Complex",(INDEX('Escalators '!$M$176:$S$176,MATCH('Forecast capex'!J1745,'Escalators '!$M$178:$S$178,0))/12+1)^((K1745-J1745)*12)-1,0)</f>
        <v>0</v>
      </c>
      <c r="Z1745" s="257">
        <f t="shared" si="370"/>
        <v>0</v>
      </c>
      <c r="AA1745" s="257">
        <f t="shared" si="371"/>
        <v>0</v>
      </c>
      <c r="AB1745" s="269">
        <f t="shared" si="372"/>
        <v>0</v>
      </c>
      <c r="AC1745" s="269">
        <f t="shared" si="373"/>
        <v>0</v>
      </c>
      <c r="AD1745" s="271" t="str">
        <f>INDEX('Global inputs'!$C$134:$C$171,MATCH(F1745,'Global inputs'!$B$134:$B$171,0))</f>
        <v>Consumer connection</v>
      </c>
      <c r="AE1745" s="272">
        <f>IF(OR(H1745='Operating leases'!$B$32,H1745='Operating leases'!$B$33),"",INDEX('Global inputs'!$C$186:$C$243,MATCH(E1745,'Global inputs'!$B$186:$B$243,0)))</f>
        <v>0.08</v>
      </c>
    </row>
    <row r="1746" spans="1:31" s="27" customFormat="1" x14ac:dyDescent="0.2">
      <c r="A1746" s="250"/>
      <c r="B1746" s="210" t="s">
        <v>714</v>
      </c>
      <c r="C1746" s="210" t="s">
        <v>287</v>
      </c>
      <c r="D1746" s="210" t="s">
        <v>729</v>
      </c>
      <c r="E1746" s="210" t="s">
        <v>151</v>
      </c>
      <c r="F1746" s="210" t="s">
        <v>94</v>
      </c>
      <c r="G1746" s="210" t="s">
        <v>731</v>
      </c>
      <c r="H1746" s="197">
        <v>0</v>
      </c>
      <c r="I1746" s="210" t="s">
        <v>225</v>
      </c>
      <c r="J1746" s="210">
        <v>2026</v>
      </c>
      <c r="K1746" s="210">
        <v>2026</v>
      </c>
      <c r="L1746" s="268" t="str">
        <f t="shared" si="361"/>
        <v>Simple</v>
      </c>
      <c r="M1746" s="197">
        <v>5444.1948103467348</v>
      </c>
      <c r="N1746" s="197">
        <v>8166.2922155201013</v>
      </c>
      <c r="O1746" s="257">
        <f>IF(ISNA(MATCH(H1746,'Operating leases'!$B$32:$B$43,0)),0,INDEX('Operating leases'!$M$32:$S$43,MATCH(H1746,'Operating leases'!$B$32:$B$43,0),MATCH(J1746,'Operating leases'!$M$11:$S$11,0)))</f>
        <v>0</v>
      </c>
      <c r="P1746" s="257">
        <f t="shared" si="362"/>
        <v>5444.1948103467348</v>
      </c>
      <c r="Q1746" s="257">
        <f t="shared" si="363"/>
        <v>13610.487025866836</v>
      </c>
      <c r="R1746" s="258">
        <f>INDEX('Escalators '!$M$124:$S$129,MATCH(I1746,'Escalators '!$B$124:$B$129,0),MATCH(J1746,'Escalators '!$M$113:$S$113,0))</f>
        <v>1.1685447741482344</v>
      </c>
      <c r="S1746" s="257">
        <f t="shared" si="364"/>
        <v>0</v>
      </c>
      <c r="T1746" s="257">
        <f t="shared" si="365"/>
        <v>9542.6780926134215</v>
      </c>
      <c r="U1746" s="269">
        <f t="shared" si="366"/>
        <v>6361.7853950756162</v>
      </c>
      <c r="V1746" s="269">
        <f t="shared" si="367"/>
        <v>15904.463487689038</v>
      </c>
      <c r="W1746" s="269">
        <f t="shared" si="368"/>
        <v>6361.7853950756162</v>
      </c>
      <c r="X1746" s="257">
        <f t="shared" si="369"/>
        <v>15904.463487689038</v>
      </c>
      <c r="Y1746" s="270">
        <f>IF(L1746="Complex",(INDEX('Escalators '!$M$176:$S$176,MATCH('Forecast capex'!J1746,'Escalators '!$M$178:$S$178,0))/12+1)^((K1746-J1746)*12)-1,0)</f>
        <v>0</v>
      </c>
      <c r="Z1746" s="257">
        <f t="shared" si="370"/>
        <v>0</v>
      </c>
      <c r="AA1746" s="257">
        <f t="shared" si="371"/>
        <v>0</v>
      </c>
      <c r="AB1746" s="269">
        <f t="shared" si="372"/>
        <v>0</v>
      </c>
      <c r="AC1746" s="269">
        <f t="shared" si="373"/>
        <v>0</v>
      </c>
      <c r="AD1746" s="271" t="str">
        <f>INDEX('Global inputs'!$C$134:$C$171,MATCH(F1746,'Global inputs'!$B$134:$B$171,0))</f>
        <v>Consumer connection</v>
      </c>
      <c r="AE1746" s="272">
        <f>IF(OR(H1746='Operating leases'!$B$32,H1746='Operating leases'!$B$33),"",INDEX('Global inputs'!$C$186:$C$243,MATCH(E1746,'Global inputs'!$B$186:$B$243,0)))</f>
        <v>0.1</v>
      </c>
    </row>
    <row r="1747" spans="1:31" s="27" customFormat="1" x14ac:dyDescent="0.2">
      <c r="A1747" s="250"/>
      <c r="B1747" s="210" t="s">
        <v>714</v>
      </c>
      <c r="C1747" s="210" t="s">
        <v>287</v>
      </c>
      <c r="D1747" s="210" t="s">
        <v>729</v>
      </c>
      <c r="E1747" s="210" t="s">
        <v>151</v>
      </c>
      <c r="F1747" s="210" t="s">
        <v>94</v>
      </c>
      <c r="G1747" s="210" t="s">
        <v>731</v>
      </c>
      <c r="H1747" s="197">
        <v>0</v>
      </c>
      <c r="I1747" s="210" t="s">
        <v>221</v>
      </c>
      <c r="J1747" s="210">
        <v>2026</v>
      </c>
      <c r="K1747" s="210">
        <v>2026</v>
      </c>
      <c r="L1747" s="268" t="str">
        <f t="shared" si="361"/>
        <v>Simple</v>
      </c>
      <c r="M1747" s="197">
        <v>21776.779241386939</v>
      </c>
      <c r="N1747" s="197">
        <v>32665.168862080405</v>
      </c>
      <c r="O1747" s="257">
        <f>IF(ISNA(MATCH(H1747,'Operating leases'!$B$32:$B$43,0)),0,INDEX('Operating leases'!$M$32:$S$43,MATCH(H1747,'Operating leases'!$B$32:$B$43,0),MATCH(J1747,'Operating leases'!$M$11:$S$11,0)))</f>
        <v>0</v>
      </c>
      <c r="P1747" s="257">
        <f t="shared" si="362"/>
        <v>21776.779241386939</v>
      </c>
      <c r="Q1747" s="257">
        <f t="shared" si="363"/>
        <v>54441.948103467344</v>
      </c>
      <c r="R1747" s="258">
        <f>INDEX('Escalators '!$M$124:$S$129,MATCH(I1747,'Escalators '!$B$124:$B$129,0),MATCH(J1747,'Escalators '!$M$113:$S$113,0))</f>
        <v>1.1088998660799403</v>
      </c>
      <c r="S1747" s="257">
        <f t="shared" si="364"/>
        <v>0</v>
      </c>
      <c r="T1747" s="257">
        <f t="shared" si="365"/>
        <v>36222.401376639595</v>
      </c>
      <c r="U1747" s="269">
        <f t="shared" si="366"/>
        <v>24148.267584426401</v>
      </c>
      <c r="V1747" s="269">
        <f t="shared" si="367"/>
        <v>60370.668961065996</v>
      </c>
      <c r="W1747" s="269">
        <f t="shared" si="368"/>
        <v>24148.267584426401</v>
      </c>
      <c r="X1747" s="257">
        <f t="shared" si="369"/>
        <v>60370.668961065996</v>
      </c>
      <c r="Y1747" s="270">
        <f>IF(L1747="Complex",(INDEX('Escalators '!$M$176:$S$176,MATCH('Forecast capex'!J1747,'Escalators '!$M$178:$S$178,0))/12+1)^((K1747-J1747)*12)-1,0)</f>
        <v>0</v>
      </c>
      <c r="Z1747" s="257">
        <f t="shared" si="370"/>
        <v>0</v>
      </c>
      <c r="AA1747" s="257">
        <f t="shared" si="371"/>
        <v>0</v>
      </c>
      <c r="AB1747" s="269">
        <f t="shared" si="372"/>
        <v>0</v>
      </c>
      <c r="AC1747" s="269">
        <f t="shared" si="373"/>
        <v>0</v>
      </c>
      <c r="AD1747" s="271" t="str">
        <f>INDEX('Global inputs'!$C$134:$C$171,MATCH(F1747,'Global inputs'!$B$134:$B$171,0))</f>
        <v>Consumer connection</v>
      </c>
      <c r="AE1747" s="272">
        <f>IF(OR(H1747='Operating leases'!$B$32,H1747='Operating leases'!$B$33),"",INDEX('Global inputs'!$C$186:$C$243,MATCH(E1747,'Global inputs'!$B$186:$B$243,0)))</f>
        <v>0.1</v>
      </c>
    </row>
    <row r="1748" spans="1:31" s="27" customFormat="1" x14ac:dyDescent="0.2">
      <c r="A1748" s="250"/>
      <c r="B1748" s="210" t="s">
        <v>714</v>
      </c>
      <c r="C1748" s="210" t="s">
        <v>287</v>
      </c>
      <c r="D1748" s="210" t="s">
        <v>729</v>
      </c>
      <c r="E1748" s="210" t="s">
        <v>153</v>
      </c>
      <c r="F1748" s="210" t="s">
        <v>94</v>
      </c>
      <c r="G1748" s="210" t="s">
        <v>737</v>
      </c>
      <c r="H1748" s="197">
        <v>0</v>
      </c>
      <c r="I1748" s="210" t="s">
        <v>225</v>
      </c>
      <c r="J1748" s="210">
        <v>2026</v>
      </c>
      <c r="K1748" s="210">
        <v>2026</v>
      </c>
      <c r="L1748" s="268" t="str">
        <f t="shared" si="361"/>
        <v>Simple</v>
      </c>
      <c r="M1748" s="197">
        <v>5123.9688479904316</v>
      </c>
      <c r="N1748" s="197">
        <v>7685.953271985647</v>
      </c>
      <c r="O1748" s="257">
        <f>IF(ISNA(MATCH(H1748,'Operating leases'!$B$32:$B$43,0)),0,INDEX('Operating leases'!$M$32:$S$43,MATCH(H1748,'Operating leases'!$B$32:$B$43,0),MATCH(J1748,'Operating leases'!$M$11:$S$11,0)))</f>
        <v>0</v>
      </c>
      <c r="P1748" s="257">
        <f t="shared" si="362"/>
        <v>5123.9688479904316</v>
      </c>
      <c r="Q1748" s="257">
        <f t="shared" si="363"/>
        <v>12809.92211997608</v>
      </c>
      <c r="R1748" s="258">
        <f>INDEX('Escalators '!$M$124:$S$129,MATCH(I1748,'Escalators '!$B$124:$B$129,0),MATCH(J1748,'Escalators '!$M$113:$S$113,0))</f>
        <v>1.1685447741482344</v>
      </c>
      <c r="S1748" s="257">
        <f t="shared" si="364"/>
        <v>0</v>
      </c>
      <c r="T1748" s="257">
        <f t="shared" si="365"/>
        <v>8981.3805303263507</v>
      </c>
      <c r="U1748" s="269">
        <f t="shared" si="366"/>
        <v>5987.5870202175702</v>
      </c>
      <c r="V1748" s="269">
        <f t="shared" si="367"/>
        <v>14968.967550543921</v>
      </c>
      <c r="W1748" s="269">
        <f t="shared" si="368"/>
        <v>5987.5870202175702</v>
      </c>
      <c r="X1748" s="257">
        <f t="shared" si="369"/>
        <v>14968.967550543921</v>
      </c>
      <c r="Y1748" s="270">
        <f>IF(L1748="Complex",(INDEX('Escalators '!$M$176:$S$176,MATCH('Forecast capex'!J1748,'Escalators '!$M$178:$S$178,0))/12+1)^((K1748-J1748)*12)-1,0)</f>
        <v>0</v>
      </c>
      <c r="Z1748" s="257">
        <f t="shared" si="370"/>
        <v>0</v>
      </c>
      <c r="AA1748" s="257">
        <f t="shared" si="371"/>
        <v>0</v>
      </c>
      <c r="AB1748" s="269">
        <f t="shared" si="372"/>
        <v>0</v>
      </c>
      <c r="AC1748" s="269">
        <f t="shared" si="373"/>
        <v>0</v>
      </c>
      <c r="AD1748" s="271" t="str">
        <f>INDEX('Global inputs'!$C$134:$C$171,MATCH(F1748,'Global inputs'!$B$134:$B$171,0))</f>
        <v>Consumer connection</v>
      </c>
      <c r="AE1748" s="272">
        <f>IF(OR(H1748='Operating leases'!$B$32,H1748='Operating leases'!$B$33),"",INDEX('Global inputs'!$C$186:$C$243,MATCH(E1748,'Global inputs'!$B$186:$B$243,0)))</f>
        <v>0.08</v>
      </c>
    </row>
    <row r="1749" spans="1:31" s="27" customFormat="1" x14ac:dyDescent="0.2">
      <c r="A1749" s="250"/>
      <c r="B1749" s="210" t="s">
        <v>714</v>
      </c>
      <c r="C1749" s="210" t="s">
        <v>287</v>
      </c>
      <c r="D1749" s="210" t="s">
        <v>729</v>
      </c>
      <c r="E1749" s="210" t="s">
        <v>153</v>
      </c>
      <c r="F1749" s="210" t="s">
        <v>94</v>
      </c>
      <c r="G1749" s="210" t="s">
        <v>737</v>
      </c>
      <c r="H1749" s="197">
        <v>0</v>
      </c>
      <c r="I1749" s="210" t="s">
        <v>221</v>
      </c>
      <c r="J1749" s="210">
        <v>2026</v>
      </c>
      <c r="K1749" s="210">
        <v>2026</v>
      </c>
      <c r="L1749" s="268" t="str">
        <f t="shared" si="361"/>
        <v>Simple</v>
      </c>
      <c r="M1749" s="197">
        <v>20495.875391961727</v>
      </c>
      <c r="N1749" s="197">
        <v>30743.813087942588</v>
      </c>
      <c r="O1749" s="257">
        <f>IF(ISNA(MATCH(H1749,'Operating leases'!$B$32:$B$43,0)),0,INDEX('Operating leases'!$M$32:$S$43,MATCH(H1749,'Operating leases'!$B$32:$B$43,0),MATCH(J1749,'Operating leases'!$M$11:$S$11,0)))</f>
        <v>0</v>
      </c>
      <c r="P1749" s="257">
        <f t="shared" si="362"/>
        <v>20495.875391961727</v>
      </c>
      <c r="Q1749" s="257">
        <f t="shared" si="363"/>
        <v>51239.688479904318</v>
      </c>
      <c r="R1749" s="258">
        <f>INDEX('Escalators '!$M$124:$S$129,MATCH(I1749,'Escalators '!$B$124:$B$129,0),MATCH(J1749,'Escalators '!$M$113:$S$113,0))</f>
        <v>1.1088998660799403</v>
      </c>
      <c r="S1749" s="257">
        <f t="shared" si="364"/>
        <v>0</v>
      </c>
      <c r="T1749" s="257">
        <f t="shared" si="365"/>
        <v>34091.810216006248</v>
      </c>
      <c r="U1749" s="269">
        <f t="shared" si="366"/>
        <v>22727.873477337511</v>
      </c>
      <c r="V1749" s="269">
        <f t="shared" si="367"/>
        <v>56819.683693343759</v>
      </c>
      <c r="W1749" s="269">
        <f t="shared" si="368"/>
        <v>22727.873477337511</v>
      </c>
      <c r="X1749" s="257">
        <f t="shared" si="369"/>
        <v>56819.683693343759</v>
      </c>
      <c r="Y1749" s="270">
        <f>IF(L1749="Complex",(INDEX('Escalators '!$M$176:$S$176,MATCH('Forecast capex'!J1749,'Escalators '!$M$178:$S$178,0))/12+1)^((K1749-J1749)*12)-1,0)</f>
        <v>0</v>
      </c>
      <c r="Z1749" s="257">
        <f t="shared" si="370"/>
        <v>0</v>
      </c>
      <c r="AA1749" s="257">
        <f t="shared" si="371"/>
        <v>0</v>
      </c>
      <c r="AB1749" s="269">
        <f t="shared" si="372"/>
        <v>0</v>
      </c>
      <c r="AC1749" s="269">
        <f t="shared" si="373"/>
        <v>0</v>
      </c>
      <c r="AD1749" s="271" t="str">
        <f>INDEX('Global inputs'!$C$134:$C$171,MATCH(F1749,'Global inputs'!$B$134:$B$171,0))</f>
        <v>Consumer connection</v>
      </c>
      <c r="AE1749" s="272">
        <f>IF(OR(H1749='Operating leases'!$B$32,H1749='Operating leases'!$B$33),"",INDEX('Global inputs'!$C$186:$C$243,MATCH(E1749,'Global inputs'!$B$186:$B$243,0)))</f>
        <v>0.08</v>
      </c>
    </row>
    <row r="1750" spans="1:31" s="27" customFormat="1" x14ac:dyDescent="0.2">
      <c r="A1750" s="250"/>
      <c r="B1750" s="210" t="s">
        <v>714</v>
      </c>
      <c r="C1750" s="210" t="s">
        <v>287</v>
      </c>
      <c r="D1750" s="210" t="s">
        <v>729</v>
      </c>
      <c r="E1750" s="210" t="s">
        <v>154</v>
      </c>
      <c r="F1750" s="210" t="s">
        <v>94</v>
      </c>
      <c r="G1750" s="210" t="s">
        <v>737</v>
      </c>
      <c r="H1750" s="197">
        <v>0</v>
      </c>
      <c r="I1750" s="210" t="s">
        <v>225</v>
      </c>
      <c r="J1750" s="210">
        <v>2026</v>
      </c>
      <c r="K1750" s="210">
        <v>2026</v>
      </c>
      <c r="L1750" s="268" t="str">
        <f t="shared" si="361"/>
        <v>Simple</v>
      </c>
      <c r="M1750" s="197">
        <v>5123.9688479904316</v>
      </c>
      <c r="N1750" s="197">
        <v>7685.953271985647</v>
      </c>
      <c r="O1750" s="257">
        <f>IF(ISNA(MATCH(H1750,'Operating leases'!$B$32:$B$43,0)),0,INDEX('Operating leases'!$M$32:$S$43,MATCH(H1750,'Operating leases'!$B$32:$B$43,0),MATCH(J1750,'Operating leases'!$M$11:$S$11,0)))</f>
        <v>0</v>
      </c>
      <c r="P1750" s="257">
        <f t="shared" si="362"/>
        <v>5123.9688479904316</v>
      </c>
      <c r="Q1750" s="257">
        <f t="shared" si="363"/>
        <v>12809.92211997608</v>
      </c>
      <c r="R1750" s="258">
        <f>INDEX('Escalators '!$M$124:$S$129,MATCH(I1750,'Escalators '!$B$124:$B$129,0),MATCH(J1750,'Escalators '!$M$113:$S$113,0))</f>
        <v>1.1685447741482344</v>
      </c>
      <c r="S1750" s="257">
        <f t="shared" si="364"/>
        <v>0</v>
      </c>
      <c r="T1750" s="257">
        <f t="shared" si="365"/>
        <v>8981.3805303263507</v>
      </c>
      <c r="U1750" s="269">
        <f t="shared" si="366"/>
        <v>5987.5870202175702</v>
      </c>
      <c r="V1750" s="269">
        <f t="shared" si="367"/>
        <v>14968.967550543921</v>
      </c>
      <c r="W1750" s="269">
        <f t="shared" si="368"/>
        <v>5987.5870202175702</v>
      </c>
      <c r="X1750" s="257">
        <f t="shared" si="369"/>
        <v>14968.967550543921</v>
      </c>
      <c r="Y1750" s="270">
        <f>IF(L1750="Complex",(INDEX('Escalators '!$M$176:$S$176,MATCH('Forecast capex'!J1750,'Escalators '!$M$178:$S$178,0))/12+1)^((K1750-J1750)*12)-1,0)</f>
        <v>0</v>
      </c>
      <c r="Z1750" s="257">
        <f t="shared" si="370"/>
        <v>0</v>
      </c>
      <c r="AA1750" s="257">
        <f t="shared" si="371"/>
        <v>0</v>
      </c>
      <c r="AB1750" s="269">
        <f t="shared" si="372"/>
        <v>0</v>
      </c>
      <c r="AC1750" s="269">
        <f t="shared" si="373"/>
        <v>0</v>
      </c>
      <c r="AD1750" s="271" t="str">
        <f>INDEX('Global inputs'!$C$134:$C$171,MATCH(F1750,'Global inputs'!$B$134:$B$171,0))</f>
        <v>Consumer connection</v>
      </c>
      <c r="AE1750" s="272">
        <f>IF(OR(H1750='Operating leases'!$B$32,H1750='Operating leases'!$B$33),"",INDEX('Global inputs'!$C$186:$C$243,MATCH(E1750,'Global inputs'!$B$186:$B$243,0)))</f>
        <v>0.1</v>
      </c>
    </row>
    <row r="1751" spans="1:31" s="27" customFormat="1" x14ac:dyDescent="0.2">
      <c r="A1751" s="250"/>
      <c r="B1751" s="210" t="s">
        <v>714</v>
      </c>
      <c r="C1751" s="210" t="s">
        <v>287</v>
      </c>
      <c r="D1751" s="210" t="s">
        <v>729</v>
      </c>
      <c r="E1751" s="210" t="s">
        <v>154</v>
      </c>
      <c r="F1751" s="210" t="s">
        <v>94</v>
      </c>
      <c r="G1751" s="210" t="s">
        <v>737</v>
      </c>
      <c r="H1751" s="197">
        <v>0</v>
      </c>
      <c r="I1751" s="210" t="s">
        <v>221</v>
      </c>
      <c r="J1751" s="210">
        <v>2026</v>
      </c>
      <c r="K1751" s="210">
        <v>2026</v>
      </c>
      <c r="L1751" s="268" t="str">
        <f t="shared" si="361"/>
        <v>Simple</v>
      </c>
      <c r="M1751" s="197">
        <v>20495.875391961727</v>
      </c>
      <c r="N1751" s="197">
        <v>30743.813087942588</v>
      </c>
      <c r="O1751" s="257">
        <f>IF(ISNA(MATCH(H1751,'Operating leases'!$B$32:$B$43,0)),0,INDEX('Operating leases'!$M$32:$S$43,MATCH(H1751,'Operating leases'!$B$32:$B$43,0),MATCH(J1751,'Operating leases'!$M$11:$S$11,0)))</f>
        <v>0</v>
      </c>
      <c r="P1751" s="257">
        <f t="shared" si="362"/>
        <v>20495.875391961727</v>
      </c>
      <c r="Q1751" s="257">
        <f t="shared" si="363"/>
        <v>51239.688479904318</v>
      </c>
      <c r="R1751" s="258">
        <f>INDEX('Escalators '!$M$124:$S$129,MATCH(I1751,'Escalators '!$B$124:$B$129,0),MATCH(J1751,'Escalators '!$M$113:$S$113,0))</f>
        <v>1.1088998660799403</v>
      </c>
      <c r="S1751" s="257">
        <f t="shared" si="364"/>
        <v>0</v>
      </c>
      <c r="T1751" s="257">
        <f t="shared" si="365"/>
        <v>34091.810216006248</v>
      </c>
      <c r="U1751" s="269">
        <f t="shared" si="366"/>
        <v>22727.873477337511</v>
      </c>
      <c r="V1751" s="269">
        <f t="shared" si="367"/>
        <v>56819.683693343759</v>
      </c>
      <c r="W1751" s="269">
        <f t="shared" si="368"/>
        <v>22727.873477337511</v>
      </c>
      <c r="X1751" s="257">
        <f t="shared" si="369"/>
        <v>56819.683693343759</v>
      </c>
      <c r="Y1751" s="270">
        <f>IF(L1751="Complex",(INDEX('Escalators '!$M$176:$S$176,MATCH('Forecast capex'!J1751,'Escalators '!$M$178:$S$178,0))/12+1)^((K1751-J1751)*12)-1,0)</f>
        <v>0</v>
      </c>
      <c r="Z1751" s="257">
        <f t="shared" si="370"/>
        <v>0</v>
      </c>
      <c r="AA1751" s="257">
        <f t="shared" si="371"/>
        <v>0</v>
      </c>
      <c r="AB1751" s="269">
        <f t="shared" si="372"/>
        <v>0</v>
      </c>
      <c r="AC1751" s="269">
        <f t="shared" si="373"/>
        <v>0</v>
      </c>
      <c r="AD1751" s="271" t="str">
        <f>INDEX('Global inputs'!$C$134:$C$171,MATCH(F1751,'Global inputs'!$B$134:$B$171,0))</f>
        <v>Consumer connection</v>
      </c>
      <c r="AE1751" s="272">
        <f>IF(OR(H1751='Operating leases'!$B$32,H1751='Operating leases'!$B$33),"",INDEX('Global inputs'!$C$186:$C$243,MATCH(E1751,'Global inputs'!$B$186:$B$243,0)))</f>
        <v>0.1</v>
      </c>
    </row>
    <row r="1752" spans="1:31" s="27" customFormat="1" x14ac:dyDescent="0.2">
      <c r="A1752" s="250"/>
      <c r="B1752" s="210" t="s">
        <v>714</v>
      </c>
      <c r="C1752" s="210" t="s">
        <v>291</v>
      </c>
      <c r="D1752" s="210">
        <v>0</v>
      </c>
      <c r="E1752" s="210" t="s">
        <v>176</v>
      </c>
      <c r="F1752" s="210" t="s">
        <v>94</v>
      </c>
      <c r="G1752" s="210" t="s">
        <v>229</v>
      </c>
      <c r="H1752" s="197">
        <v>0</v>
      </c>
      <c r="I1752" s="210" t="s">
        <v>229</v>
      </c>
      <c r="J1752" s="210">
        <v>2026</v>
      </c>
      <c r="K1752" s="210">
        <v>2026</v>
      </c>
      <c r="L1752" s="268" t="str">
        <f t="shared" si="361"/>
        <v>Simple</v>
      </c>
      <c r="M1752" s="197">
        <v>3202.2596235630344</v>
      </c>
      <c r="N1752" s="197">
        <v>4803.3894353445512</v>
      </c>
      <c r="O1752" s="257">
        <f>IF(ISNA(MATCH(H1752,'Operating leases'!$B$32:$B$43,0)),0,INDEX('Operating leases'!$M$32:$S$43,MATCH(H1752,'Operating leases'!$B$32:$B$43,0),MATCH(J1752,'Operating leases'!$M$11:$S$11,0)))</f>
        <v>0</v>
      </c>
      <c r="P1752" s="257">
        <f t="shared" si="362"/>
        <v>3202.2596235630344</v>
      </c>
      <c r="Q1752" s="257">
        <f t="shared" si="363"/>
        <v>8005.6490589075856</v>
      </c>
      <c r="R1752" s="258">
        <f>INDEX('Escalators '!$M$124:$S$129,MATCH(I1752,'Escalators '!$B$124:$B$129,0),MATCH(J1752,'Escalators '!$M$113:$S$113,0))</f>
        <v>1.1110424701464636</v>
      </c>
      <c r="S1752" s="257">
        <f t="shared" si="364"/>
        <v>0</v>
      </c>
      <c r="T1752" s="257">
        <f t="shared" si="365"/>
        <v>5336.7696633206369</v>
      </c>
      <c r="U1752" s="269">
        <f t="shared" si="366"/>
        <v>3557.8464422137595</v>
      </c>
      <c r="V1752" s="269">
        <f t="shared" si="367"/>
        <v>8894.6161055343964</v>
      </c>
      <c r="W1752" s="269">
        <f t="shared" si="368"/>
        <v>3557.8464422137595</v>
      </c>
      <c r="X1752" s="257">
        <f t="shared" si="369"/>
        <v>8894.6161055343964</v>
      </c>
      <c r="Y1752" s="270">
        <f>IF(L1752="Complex",(INDEX('Escalators '!$M$176:$S$176,MATCH('Forecast capex'!J1752,'Escalators '!$M$178:$S$178,0))/12+1)^((K1752-J1752)*12)-1,0)</f>
        <v>0</v>
      </c>
      <c r="Z1752" s="257">
        <f t="shared" si="370"/>
        <v>0</v>
      </c>
      <c r="AA1752" s="257">
        <f t="shared" si="371"/>
        <v>0</v>
      </c>
      <c r="AB1752" s="269">
        <f t="shared" si="372"/>
        <v>0</v>
      </c>
      <c r="AC1752" s="269">
        <f t="shared" si="373"/>
        <v>0</v>
      </c>
      <c r="AD1752" s="271" t="str">
        <f>INDEX('Global inputs'!$C$134:$C$171,MATCH(F1752,'Global inputs'!$B$134:$B$171,0))</f>
        <v>Consumer connection</v>
      </c>
      <c r="AE1752" s="272">
        <f>IF(OR(H1752='Operating leases'!$B$32,H1752='Operating leases'!$B$33),"",INDEX('Global inputs'!$C$186:$C$243,MATCH(E1752,'Global inputs'!$B$186:$B$243,0)))</f>
        <v>0.1</v>
      </c>
    </row>
    <row r="1753" spans="1:31" s="27" customFormat="1" x14ac:dyDescent="0.2">
      <c r="A1753" s="250"/>
      <c r="B1753" s="210" t="s">
        <v>738</v>
      </c>
      <c r="C1753" s="210" t="s">
        <v>292</v>
      </c>
      <c r="D1753" s="210" t="s">
        <v>739</v>
      </c>
      <c r="E1753" s="210" t="s">
        <v>178</v>
      </c>
      <c r="F1753" s="210" t="s">
        <v>91</v>
      </c>
      <c r="G1753" s="210" t="s">
        <v>137</v>
      </c>
      <c r="H1753" s="197">
        <v>0</v>
      </c>
      <c r="I1753" s="210" t="s">
        <v>229</v>
      </c>
      <c r="J1753" s="210">
        <v>2026</v>
      </c>
      <c r="K1753" s="210">
        <v>2026</v>
      </c>
      <c r="L1753" s="268" t="str">
        <f t="shared" si="361"/>
        <v>Simple</v>
      </c>
      <c r="M1753" s="197">
        <v>55984.45</v>
      </c>
      <c r="N1753" s="197">
        <v>0</v>
      </c>
      <c r="O1753" s="257">
        <f>IF(ISNA(MATCH(H1753,'Operating leases'!$B$32:$B$43,0)),0,INDEX('Operating leases'!$M$32:$S$43,MATCH(H1753,'Operating leases'!$B$32:$B$43,0),MATCH(J1753,'Operating leases'!$M$11:$S$11,0)))</f>
        <v>0</v>
      </c>
      <c r="P1753" s="257">
        <f t="shared" si="362"/>
        <v>55984.45</v>
      </c>
      <c r="Q1753" s="257">
        <f t="shared" si="363"/>
        <v>55984.45</v>
      </c>
      <c r="R1753" s="258">
        <f>INDEX('Escalators '!$M$124:$S$129,MATCH(I1753,'Escalators '!$B$124:$B$129,0),MATCH(J1753,'Escalators '!$M$113:$S$113,0))</f>
        <v>1.1110424701464636</v>
      </c>
      <c r="S1753" s="257">
        <f t="shared" si="364"/>
        <v>0</v>
      </c>
      <c r="T1753" s="257">
        <f t="shared" si="365"/>
        <v>0</v>
      </c>
      <c r="U1753" s="269">
        <f t="shared" si="366"/>
        <v>62201.101617791181</v>
      </c>
      <c r="V1753" s="269">
        <f t="shared" si="367"/>
        <v>62201.101617791181</v>
      </c>
      <c r="W1753" s="269">
        <f t="shared" si="368"/>
        <v>62201.101617791181</v>
      </c>
      <c r="X1753" s="257">
        <f t="shared" si="369"/>
        <v>62201.101617791181</v>
      </c>
      <c r="Y1753" s="270">
        <f>IF(L1753="Complex",(INDEX('Escalators '!$M$176:$S$176,MATCH('Forecast capex'!J1753,'Escalators '!$M$178:$S$178,0))/12+1)^((K1753-J1753)*12)-1,0)</f>
        <v>0</v>
      </c>
      <c r="Z1753" s="257">
        <f t="shared" si="370"/>
        <v>0</v>
      </c>
      <c r="AA1753" s="257">
        <f t="shared" si="371"/>
        <v>0</v>
      </c>
      <c r="AB1753" s="269">
        <f t="shared" si="372"/>
        <v>0</v>
      </c>
      <c r="AC1753" s="269">
        <f t="shared" si="373"/>
        <v>0</v>
      </c>
      <c r="AD1753" s="271" t="str">
        <f>INDEX('Global inputs'!$C$134:$C$171,MATCH(F1753,'Global inputs'!$B$134:$B$171,0))</f>
        <v>Non-network CAPEX</v>
      </c>
      <c r="AE1753" s="272">
        <f>IF(OR(H1753='Operating leases'!$B$32,H1753='Operating leases'!$B$33),"",INDEX('Global inputs'!$C$186:$C$243,MATCH(E1753,'Global inputs'!$B$186:$B$243,0)))</f>
        <v>0</v>
      </c>
    </row>
    <row r="1754" spans="1:31" s="27" customFormat="1" x14ac:dyDescent="0.2">
      <c r="A1754" s="250"/>
      <c r="B1754" s="210" t="s">
        <v>738</v>
      </c>
      <c r="C1754" s="210" t="s">
        <v>292</v>
      </c>
      <c r="D1754" s="210" t="s">
        <v>739</v>
      </c>
      <c r="E1754" s="210" t="s">
        <v>179</v>
      </c>
      <c r="F1754" s="210" t="s">
        <v>91</v>
      </c>
      <c r="G1754" s="210" t="s">
        <v>740</v>
      </c>
      <c r="H1754" s="197">
        <v>0</v>
      </c>
      <c r="I1754" s="210" t="s">
        <v>229</v>
      </c>
      <c r="J1754" s="210">
        <v>2026</v>
      </c>
      <c r="K1754" s="210">
        <v>2026</v>
      </c>
      <c r="L1754" s="268" t="str">
        <f t="shared" si="361"/>
        <v>Simple</v>
      </c>
      <c r="M1754" s="197">
        <v>279920.34999999998</v>
      </c>
      <c r="N1754" s="197">
        <v>0</v>
      </c>
      <c r="O1754" s="257">
        <f>IF(ISNA(MATCH(H1754,'Operating leases'!$B$32:$B$43,0)),0,INDEX('Operating leases'!$M$32:$S$43,MATCH(H1754,'Operating leases'!$B$32:$B$43,0),MATCH(J1754,'Operating leases'!$M$11:$S$11,0)))</f>
        <v>0</v>
      </c>
      <c r="P1754" s="257">
        <f t="shared" si="362"/>
        <v>279920.34999999998</v>
      </c>
      <c r="Q1754" s="257">
        <f t="shared" si="363"/>
        <v>279920.34999999998</v>
      </c>
      <c r="R1754" s="258">
        <f>INDEX('Escalators '!$M$124:$S$129,MATCH(I1754,'Escalators '!$B$124:$B$129,0),MATCH(J1754,'Escalators '!$M$113:$S$113,0))</f>
        <v>1.1110424701464636</v>
      </c>
      <c r="S1754" s="257">
        <f t="shared" si="364"/>
        <v>0</v>
      </c>
      <c r="T1754" s="257">
        <f t="shared" si="365"/>
        <v>0</v>
      </c>
      <c r="U1754" s="269">
        <f t="shared" si="366"/>
        <v>311003.39710826264</v>
      </c>
      <c r="V1754" s="269">
        <f t="shared" si="367"/>
        <v>311003.39710826264</v>
      </c>
      <c r="W1754" s="269">
        <f t="shared" si="368"/>
        <v>311003.39710826264</v>
      </c>
      <c r="X1754" s="257">
        <f t="shared" si="369"/>
        <v>311003.39710826264</v>
      </c>
      <c r="Y1754" s="270">
        <f>IF(L1754="Complex",(INDEX('Escalators '!$M$176:$S$176,MATCH('Forecast capex'!J1754,'Escalators '!$M$178:$S$178,0))/12+1)^((K1754-J1754)*12)-1,0)</f>
        <v>0</v>
      </c>
      <c r="Z1754" s="257">
        <f t="shared" si="370"/>
        <v>0</v>
      </c>
      <c r="AA1754" s="257">
        <f t="shared" si="371"/>
        <v>0</v>
      </c>
      <c r="AB1754" s="269">
        <f t="shared" si="372"/>
        <v>0</v>
      </c>
      <c r="AC1754" s="269">
        <f t="shared" si="373"/>
        <v>0</v>
      </c>
      <c r="AD1754" s="271" t="str">
        <f>INDEX('Global inputs'!$C$134:$C$171,MATCH(F1754,'Global inputs'!$B$134:$B$171,0))</f>
        <v>Non-network CAPEX</v>
      </c>
      <c r="AE1754" s="272">
        <f>IF(OR(H1754='Operating leases'!$B$32,H1754='Operating leases'!$B$33),"",INDEX('Global inputs'!$C$186:$C$243,MATCH(E1754,'Global inputs'!$B$186:$B$243,0)))</f>
        <v>0.13</v>
      </c>
    </row>
    <row r="1755" spans="1:31" s="27" customFormat="1" x14ac:dyDescent="0.2">
      <c r="A1755" s="250"/>
      <c r="B1755" s="210" t="s">
        <v>738</v>
      </c>
      <c r="C1755" s="210" t="s">
        <v>292</v>
      </c>
      <c r="D1755" s="210" t="s">
        <v>739</v>
      </c>
      <c r="E1755" s="210" t="s">
        <v>185</v>
      </c>
      <c r="F1755" s="210" t="s">
        <v>91</v>
      </c>
      <c r="G1755" s="210" t="s">
        <v>741</v>
      </c>
      <c r="H1755" s="197">
        <v>0</v>
      </c>
      <c r="I1755" s="210" t="s">
        <v>229</v>
      </c>
      <c r="J1755" s="210">
        <v>2026</v>
      </c>
      <c r="K1755" s="210">
        <v>2026</v>
      </c>
      <c r="L1755" s="268" t="str">
        <f t="shared" si="361"/>
        <v>Simple</v>
      </c>
      <c r="M1755" s="197">
        <v>223935.9</v>
      </c>
      <c r="N1755" s="197">
        <v>0</v>
      </c>
      <c r="O1755" s="257">
        <f>IF(ISNA(MATCH(H1755,'Operating leases'!$B$32:$B$43,0)),0,INDEX('Operating leases'!$M$32:$S$43,MATCH(H1755,'Operating leases'!$B$32:$B$43,0),MATCH(J1755,'Operating leases'!$M$11:$S$11,0)))</f>
        <v>0</v>
      </c>
      <c r="P1755" s="257">
        <f t="shared" si="362"/>
        <v>223935.9</v>
      </c>
      <c r="Q1755" s="257">
        <f t="shared" si="363"/>
        <v>223935.9</v>
      </c>
      <c r="R1755" s="258">
        <f>INDEX('Escalators '!$M$124:$S$129,MATCH(I1755,'Escalators '!$B$124:$B$129,0),MATCH(J1755,'Escalators '!$M$113:$S$113,0))</f>
        <v>1.1110424701464636</v>
      </c>
      <c r="S1755" s="257">
        <f t="shared" si="364"/>
        <v>0</v>
      </c>
      <c r="T1755" s="257">
        <f t="shared" si="365"/>
        <v>0</v>
      </c>
      <c r="U1755" s="269">
        <f t="shared" si="366"/>
        <v>248802.29549047144</v>
      </c>
      <c r="V1755" s="269">
        <f t="shared" si="367"/>
        <v>248802.29549047144</v>
      </c>
      <c r="W1755" s="269">
        <f t="shared" si="368"/>
        <v>248802.29549047144</v>
      </c>
      <c r="X1755" s="257">
        <f t="shared" si="369"/>
        <v>248802.29549047144</v>
      </c>
      <c r="Y1755" s="270">
        <f>IF(L1755="Complex",(INDEX('Escalators '!$M$176:$S$176,MATCH('Forecast capex'!J1755,'Escalators '!$M$178:$S$178,0))/12+1)^((K1755-J1755)*12)-1,0)</f>
        <v>0</v>
      </c>
      <c r="Z1755" s="257">
        <f t="shared" si="370"/>
        <v>0</v>
      </c>
      <c r="AA1755" s="257">
        <f t="shared" si="371"/>
        <v>0</v>
      </c>
      <c r="AB1755" s="269">
        <f t="shared" si="372"/>
        <v>0</v>
      </c>
      <c r="AC1755" s="269">
        <f t="shared" si="373"/>
        <v>0</v>
      </c>
      <c r="AD1755" s="271" t="str">
        <f>INDEX('Global inputs'!$C$134:$C$171,MATCH(F1755,'Global inputs'!$B$134:$B$171,0))</f>
        <v>Non-network CAPEX</v>
      </c>
      <c r="AE1755" s="272">
        <f>IF(OR(H1755='Operating leases'!$B$32,H1755='Operating leases'!$B$33),"",INDEX('Global inputs'!$C$186:$C$243,MATCH(E1755,'Global inputs'!$B$186:$B$243,0)))</f>
        <v>0.2</v>
      </c>
    </row>
    <row r="1756" spans="1:31" s="27" customFormat="1" x14ac:dyDescent="0.2">
      <c r="A1756" s="250"/>
      <c r="B1756" s="210" t="s">
        <v>742</v>
      </c>
      <c r="C1756" s="210" t="s">
        <v>289</v>
      </c>
      <c r="D1756" s="210" t="s">
        <v>723</v>
      </c>
      <c r="E1756" s="210" t="s">
        <v>163</v>
      </c>
      <c r="F1756" s="210" t="s">
        <v>115</v>
      </c>
      <c r="G1756" s="210" t="s">
        <v>725</v>
      </c>
      <c r="H1756" s="197">
        <v>0</v>
      </c>
      <c r="I1756" s="210" t="s">
        <v>139</v>
      </c>
      <c r="J1756" s="210">
        <v>2026</v>
      </c>
      <c r="K1756" s="210">
        <v>2026</v>
      </c>
      <c r="L1756" s="268" t="str">
        <f t="shared" si="361"/>
        <v>Simple</v>
      </c>
      <c r="M1756" s="197">
        <v>3062192</v>
      </c>
      <c r="N1756" s="197">
        <v>0</v>
      </c>
      <c r="O1756" s="257">
        <f>IF(ISNA(MATCH(H1756,'Operating leases'!$B$32:$B$43,0)),0,INDEX('Operating leases'!$M$32:$S$43,MATCH(H1756,'Operating leases'!$B$32:$B$43,0),MATCH(J1756,'Operating leases'!$M$11:$S$11,0)))</f>
        <v>0</v>
      </c>
      <c r="P1756" s="257">
        <f t="shared" si="362"/>
        <v>3062192</v>
      </c>
      <c r="Q1756" s="257">
        <f t="shared" si="363"/>
        <v>3062192</v>
      </c>
      <c r="R1756" s="258">
        <f>INDEX('Escalators '!$M$124:$S$129,MATCH(I1756,'Escalators '!$B$124:$B$129,0),MATCH(J1756,'Escalators '!$M$113:$S$113,0))</f>
        <v>1.0777078650827305</v>
      </c>
      <c r="S1756" s="257">
        <f t="shared" si="364"/>
        <v>0</v>
      </c>
      <c r="T1756" s="257">
        <f t="shared" si="365"/>
        <v>0</v>
      </c>
      <c r="U1756" s="269">
        <f t="shared" si="366"/>
        <v>3300148.4027934168</v>
      </c>
      <c r="V1756" s="269">
        <f t="shared" si="367"/>
        <v>3300148.4027934168</v>
      </c>
      <c r="W1756" s="269">
        <f t="shared" si="368"/>
        <v>3300148.4027934168</v>
      </c>
      <c r="X1756" s="257">
        <f t="shared" si="369"/>
        <v>3300148.4027934168</v>
      </c>
      <c r="Y1756" s="270">
        <f>IF(L1756="Complex",(INDEX('Escalators '!$M$176:$S$176,MATCH('Forecast capex'!J1756,'Escalators '!$M$178:$S$178,0))/12+1)^((K1756-J1756)*12)-1,0)</f>
        <v>0</v>
      </c>
      <c r="Z1756" s="257">
        <f t="shared" si="370"/>
        <v>0</v>
      </c>
      <c r="AA1756" s="257">
        <f t="shared" si="371"/>
        <v>0</v>
      </c>
      <c r="AB1756" s="269">
        <f t="shared" si="372"/>
        <v>0</v>
      </c>
      <c r="AC1756" s="269">
        <f t="shared" si="373"/>
        <v>0</v>
      </c>
      <c r="AD1756" s="271" t="str">
        <f>INDEX('Global inputs'!$C$134:$C$171,MATCH(F1756,'Global inputs'!$B$134:$B$171,0))</f>
        <v>Asset replacement and renewal</v>
      </c>
      <c r="AE1756" s="272">
        <f>IF(OR(H1756='Operating leases'!$B$32,H1756='Operating leases'!$B$33),"",INDEX('Global inputs'!$C$186:$C$243,MATCH(E1756,'Global inputs'!$B$186:$B$243,0)))</f>
        <v>0.08</v>
      </c>
    </row>
    <row r="1757" spans="1:31" s="27" customFormat="1" x14ac:dyDescent="0.2">
      <c r="A1757" s="250"/>
      <c r="B1757" s="210" t="s">
        <v>742</v>
      </c>
      <c r="C1757" s="210" t="s">
        <v>289</v>
      </c>
      <c r="D1757" s="210" t="s">
        <v>723</v>
      </c>
      <c r="E1757" s="210" t="s">
        <v>163</v>
      </c>
      <c r="F1757" s="210" t="s">
        <v>115</v>
      </c>
      <c r="G1757" s="210" t="s">
        <v>725</v>
      </c>
      <c r="H1757" s="197">
        <v>0</v>
      </c>
      <c r="I1757" s="210" t="s">
        <v>221</v>
      </c>
      <c r="J1757" s="210">
        <v>2026</v>
      </c>
      <c r="K1757" s="210">
        <v>2026</v>
      </c>
      <c r="L1757" s="268" t="str">
        <f t="shared" si="361"/>
        <v>Simple</v>
      </c>
      <c r="M1757" s="197">
        <v>765548</v>
      </c>
      <c r="N1757" s="197">
        <v>0</v>
      </c>
      <c r="O1757" s="257">
        <f>IF(ISNA(MATCH(H1757,'Operating leases'!$B$32:$B$43,0)),0,INDEX('Operating leases'!$M$32:$S$43,MATCH(H1757,'Operating leases'!$B$32:$B$43,0),MATCH(J1757,'Operating leases'!$M$11:$S$11,0)))</f>
        <v>0</v>
      </c>
      <c r="P1757" s="257">
        <f t="shared" si="362"/>
        <v>765548</v>
      </c>
      <c r="Q1757" s="257">
        <f t="shared" si="363"/>
        <v>765548</v>
      </c>
      <c r="R1757" s="258">
        <f>INDEX('Escalators '!$M$124:$S$129,MATCH(I1757,'Escalators '!$B$124:$B$129,0),MATCH(J1757,'Escalators '!$M$113:$S$113,0))</f>
        <v>1.1088998660799403</v>
      </c>
      <c r="S1757" s="257">
        <f t="shared" si="364"/>
        <v>0</v>
      </c>
      <c r="T1757" s="257">
        <f t="shared" si="365"/>
        <v>0</v>
      </c>
      <c r="U1757" s="269">
        <f t="shared" si="366"/>
        <v>848916.07467776618</v>
      </c>
      <c r="V1757" s="269">
        <f t="shared" si="367"/>
        <v>848916.07467776618</v>
      </c>
      <c r="W1757" s="269">
        <f t="shared" si="368"/>
        <v>848916.07467776618</v>
      </c>
      <c r="X1757" s="257">
        <f t="shared" si="369"/>
        <v>848916.07467776618</v>
      </c>
      <c r="Y1757" s="270">
        <f>IF(L1757="Complex",(INDEX('Escalators '!$M$176:$S$176,MATCH('Forecast capex'!J1757,'Escalators '!$M$178:$S$178,0))/12+1)^((K1757-J1757)*12)-1,0)</f>
        <v>0</v>
      </c>
      <c r="Z1757" s="257">
        <f t="shared" si="370"/>
        <v>0</v>
      </c>
      <c r="AA1757" s="257">
        <f t="shared" si="371"/>
        <v>0</v>
      </c>
      <c r="AB1757" s="269">
        <f t="shared" si="372"/>
        <v>0</v>
      </c>
      <c r="AC1757" s="269">
        <f t="shared" si="373"/>
        <v>0</v>
      </c>
      <c r="AD1757" s="271" t="str">
        <f>INDEX('Global inputs'!$C$134:$C$171,MATCH(F1757,'Global inputs'!$B$134:$B$171,0))</f>
        <v>Asset replacement and renewal</v>
      </c>
      <c r="AE1757" s="272">
        <f>IF(OR(H1757='Operating leases'!$B$32,H1757='Operating leases'!$B$33),"",INDEX('Global inputs'!$C$186:$C$243,MATCH(E1757,'Global inputs'!$B$186:$B$243,0)))</f>
        <v>0.08</v>
      </c>
    </row>
    <row r="1758" spans="1:31" s="27" customFormat="1" x14ac:dyDescent="0.2">
      <c r="A1758" s="250"/>
      <c r="B1758" s="210" t="s">
        <v>714</v>
      </c>
      <c r="C1758" s="210" t="s">
        <v>290</v>
      </c>
      <c r="D1758" s="210" t="s">
        <v>718</v>
      </c>
      <c r="E1758" s="210" t="s">
        <v>171</v>
      </c>
      <c r="F1758" s="210" t="s">
        <v>98</v>
      </c>
      <c r="G1758" s="210" t="s">
        <v>743</v>
      </c>
      <c r="H1758" s="197">
        <v>0</v>
      </c>
      <c r="I1758" s="210" t="s">
        <v>229</v>
      </c>
      <c r="J1758" s="210">
        <v>2026</v>
      </c>
      <c r="K1758" s="210">
        <v>2026</v>
      </c>
      <c r="L1758" s="268" t="str">
        <f t="shared" si="361"/>
        <v>Simple</v>
      </c>
      <c r="M1758" s="197">
        <v>386631</v>
      </c>
      <c r="N1758" s="197">
        <v>0</v>
      </c>
      <c r="O1758" s="257">
        <f>IF(ISNA(MATCH(H1758,'Operating leases'!$B$32:$B$43,0)),0,INDEX('Operating leases'!$M$32:$S$43,MATCH(H1758,'Operating leases'!$B$32:$B$43,0),MATCH(J1758,'Operating leases'!$M$11:$S$11,0)))</f>
        <v>0</v>
      </c>
      <c r="P1758" s="257">
        <f t="shared" si="362"/>
        <v>386631</v>
      </c>
      <c r="Q1758" s="257">
        <f t="shared" si="363"/>
        <v>386631</v>
      </c>
      <c r="R1758" s="258">
        <f>INDEX('Escalators '!$M$124:$S$129,MATCH(I1758,'Escalators '!$B$124:$B$129,0),MATCH(J1758,'Escalators '!$M$113:$S$113,0))</f>
        <v>1.1110424701464636</v>
      </c>
      <c r="S1758" s="257">
        <f t="shared" si="364"/>
        <v>0</v>
      </c>
      <c r="T1758" s="257">
        <f t="shared" si="365"/>
        <v>0</v>
      </c>
      <c r="U1758" s="269">
        <f t="shared" si="366"/>
        <v>429563.46127519739</v>
      </c>
      <c r="V1758" s="269">
        <f t="shared" si="367"/>
        <v>429563.46127519739</v>
      </c>
      <c r="W1758" s="269">
        <f t="shared" si="368"/>
        <v>429563.46127519739</v>
      </c>
      <c r="X1758" s="257">
        <f t="shared" si="369"/>
        <v>429563.46127519739</v>
      </c>
      <c r="Y1758" s="270">
        <f>IF(L1758="Complex",(INDEX('Escalators '!$M$176:$S$176,MATCH('Forecast capex'!J1758,'Escalators '!$M$178:$S$178,0))/12+1)^((K1758-J1758)*12)-1,0)</f>
        <v>0</v>
      </c>
      <c r="Z1758" s="257">
        <f t="shared" si="370"/>
        <v>0</v>
      </c>
      <c r="AA1758" s="257">
        <f t="shared" si="371"/>
        <v>0</v>
      </c>
      <c r="AB1758" s="269">
        <f t="shared" si="372"/>
        <v>0</v>
      </c>
      <c r="AC1758" s="269">
        <f t="shared" si="373"/>
        <v>0</v>
      </c>
      <c r="AD1758" s="271" t="str">
        <f>INDEX('Global inputs'!$C$134:$C$171,MATCH(F1758,'Global inputs'!$B$134:$B$171,0))</f>
        <v>Quality of supply</v>
      </c>
      <c r="AE1758" s="272">
        <f>IF(OR(H1758='Operating leases'!$B$32,H1758='Operating leases'!$B$33),"",INDEX('Global inputs'!$C$186:$C$243,MATCH(E1758,'Global inputs'!$B$186:$B$243,0)))</f>
        <v>0.08</v>
      </c>
    </row>
    <row r="1759" spans="1:31" s="27" customFormat="1" x14ac:dyDescent="0.2">
      <c r="A1759" s="250"/>
      <c r="B1759" s="210" t="s">
        <v>714</v>
      </c>
      <c r="C1759" s="210" t="s">
        <v>290</v>
      </c>
      <c r="D1759" s="210" t="s">
        <v>718</v>
      </c>
      <c r="E1759" s="210" t="s">
        <v>171</v>
      </c>
      <c r="F1759" s="210" t="s">
        <v>98</v>
      </c>
      <c r="G1759" s="210" t="s">
        <v>743</v>
      </c>
      <c r="H1759" s="197">
        <v>0</v>
      </c>
      <c r="I1759" s="210" t="s">
        <v>221</v>
      </c>
      <c r="J1759" s="210">
        <v>2026</v>
      </c>
      <c r="K1759" s="210">
        <v>2026</v>
      </c>
      <c r="L1759" s="268" t="str">
        <f t="shared" si="361"/>
        <v>Simple</v>
      </c>
      <c r="M1759" s="197">
        <v>257754</v>
      </c>
      <c r="N1759" s="197">
        <v>0</v>
      </c>
      <c r="O1759" s="257">
        <f>IF(ISNA(MATCH(H1759,'Operating leases'!$B$32:$B$43,0)),0,INDEX('Operating leases'!$M$32:$S$43,MATCH(H1759,'Operating leases'!$B$32:$B$43,0),MATCH(J1759,'Operating leases'!$M$11:$S$11,0)))</f>
        <v>0</v>
      </c>
      <c r="P1759" s="257">
        <f t="shared" si="362"/>
        <v>257754</v>
      </c>
      <c r="Q1759" s="257">
        <f t="shared" si="363"/>
        <v>257754</v>
      </c>
      <c r="R1759" s="258">
        <f>INDEX('Escalators '!$M$124:$S$129,MATCH(I1759,'Escalators '!$B$124:$B$129,0),MATCH(J1759,'Escalators '!$M$113:$S$113,0))</f>
        <v>1.1088998660799403</v>
      </c>
      <c r="S1759" s="257">
        <f t="shared" si="364"/>
        <v>0</v>
      </c>
      <c r="T1759" s="257">
        <f t="shared" si="365"/>
        <v>0</v>
      </c>
      <c r="U1759" s="269">
        <f t="shared" si="366"/>
        <v>285823.37608156895</v>
      </c>
      <c r="V1759" s="269">
        <f t="shared" si="367"/>
        <v>285823.37608156895</v>
      </c>
      <c r="W1759" s="269">
        <f t="shared" si="368"/>
        <v>285823.37608156895</v>
      </c>
      <c r="X1759" s="257">
        <f t="shared" si="369"/>
        <v>285823.37608156895</v>
      </c>
      <c r="Y1759" s="270">
        <f>IF(L1759="Complex",(INDEX('Escalators '!$M$176:$S$176,MATCH('Forecast capex'!J1759,'Escalators '!$M$178:$S$178,0))/12+1)^((K1759-J1759)*12)-1,0)</f>
        <v>0</v>
      </c>
      <c r="Z1759" s="257">
        <f t="shared" si="370"/>
        <v>0</v>
      </c>
      <c r="AA1759" s="257">
        <f t="shared" si="371"/>
        <v>0</v>
      </c>
      <c r="AB1759" s="269">
        <f t="shared" si="372"/>
        <v>0</v>
      </c>
      <c r="AC1759" s="269">
        <f t="shared" si="373"/>
        <v>0</v>
      </c>
      <c r="AD1759" s="271" t="str">
        <f>INDEX('Global inputs'!$C$134:$C$171,MATCH(F1759,'Global inputs'!$B$134:$B$171,0))</f>
        <v>Quality of supply</v>
      </c>
      <c r="AE1759" s="272">
        <f>IF(OR(H1759='Operating leases'!$B$32,H1759='Operating leases'!$B$33),"",INDEX('Global inputs'!$C$186:$C$243,MATCH(E1759,'Global inputs'!$B$186:$B$243,0)))</f>
        <v>0.08</v>
      </c>
    </row>
    <row r="1760" spans="1:31" s="27" customFormat="1" x14ac:dyDescent="0.2">
      <c r="A1760" s="250"/>
      <c r="B1760" s="210" t="s">
        <v>742</v>
      </c>
      <c r="C1760" s="210" t="s">
        <v>284</v>
      </c>
      <c r="D1760" s="210" t="s">
        <v>729</v>
      </c>
      <c r="E1760" s="210" t="s">
        <v>127</v>
      </c>
      <c r="F1760" s="210" t="s">
        <v>102</v>
      </c>
      <c r="G1760" s="210" t="s">
        <v>730</v>
      </c>
      <c r="H1760" s="197">
        <v>0</v>
      </c>
      <c r="I1760" s="210" t="s">
        <v>225</v>
      </c>
      <c r="J1760" s="210">
        <v>2026</v>
      </c>
      <c r="K1760" s="210">
        <v>2026</v>
      </c>
      <c r="L1760" s="268" t="str">
        <f t="shared" si="361"/>
        <v>Simple</v>
      </c>
      <c r="M1760" s="197">
        <v>77528.36</v>
      </c>
      <c r="N1760" s="197">
        <v>0</v>
      </c>
      <c r="O1760" s="257">
        <f>IF(ISNA(MATCH(H1760,'Operating leases'!$B$32:$B$43,0)),0,INDEX('Operating leases'!$M$32:$S$43,MATCH(H1760,'Operating leases'!$B$32:$B$43,0),MATCH(J1760,'Operating leases'!$M$11:$S$11,0)))</f>
        <v>0</v>
      </c>
      <c r="P1760" s="257">
        <f t="shared" si="362"/>
        <v>77528.36</v>
      </c>
      <c r="Q1760" s="257">
        <f t="shared" si="363"/>
        <v>77528.36</v>
      </c>
      <c r="R1760" s="258">
        <f>INDEX('Escalators '!$M$124:$S$129,MATCH(I1760,'Escalators '!$B$124:$B$129,0),MATCH(J1760,'Escalators '!$M$113:$S$113,0))</f>
        <v>1.1685447741482344</v>
      </c>
      <c r="S1760" s="257">
        <f t="shared" si="364"/>
        <v>0</v>
      </c>
      <c r="T1760" s="257">
        <f t="shared" si="365"/>
        <v>0</v>
      </c>
      <c r="U1760" s="269">
        <f t="shared" si="366"/>
        <v>90595.35992628301</v>
      </c>
      <c r="V1760" s="269">
        <f t="shared" si="367"/>
        <v>90595.35992628301</v>
      </c>
      <c r="W1760" s="269">
        <f t="shared" si="368"/>
        <v>90595.35992628301</v>
      </c>
      <c r="X1760" s="257">
        <f t="shared" si="369"/>
        <v>90595.35992628301</v>
      </c>
      <c r="Y1760" s="270">
        <f>IF(L1760="Complex",(INDEX('Escalators '!$M$176:$S$176,MATCH('Forecast capex'!J1760,'Escalators '!$M$178:$S$178,0))/12+1)^((K1760-J1760)*12)-1,0)</f>
        <v>0</v>
      </c>
      <c r="Z1760" s="257">
        <f t="shared" si="370"/>
        <v>0</v>
      </c>
      <c r="AA1760" s="257">
        <f t="shared" si="371"/>
        <v>0</v>
      </c>
      <c r="AB1760" s="269">
        <f t="shared" si="372"/>
        <v>0</v>
      </c>
      <c r="AC1760" s="269">
        <f t="shared" si="373"/>
        <v>0</v>
      </c>
      <c r="AD1760" s="271" t="str">
        <f>INDEX('Global inputs'!$C$134:$C$171,MATCH(F1760,'Global inputs'!$B$134:$B$171,0))</f>
        <v>Asset replacement and renewal</v>
      </c>
      <c r="AE1760" s="272">
        <f>IF(OR(H1760='Operating leases'!$B$32,H1760='Operating leases'!$B$33),"",INDEX('Global inputs'!$C$186:$C$243,MATCH(E1760,'Global inputs'!$B$186:$B$243,0)))</f>
        <v>0.08</v>
      </c>
    </row>
    <row r="1761" spans="1:31" s="27" customFormat="1" x14ac:dyDescent="0.2">
      <c r="A1761" s="250"/>
      <c r="B1761" s="210" t="s">
        <v>742</v>
      </c>
      <c r="C1761" s="210" t="s">
        <v>284</v>
      </c>
      <c r="D1761" s="210" t="s">
        <v>729</v>
      </c>
      <c r="E1761" s="210" t="s">
        <v>127</v>
      </c>
      <c r="F1761" s="210" t="s">
        <v>102</v>
      </c>
      <c r="G1761" s="210" t="s">
        <v>730</v>
      </c>
      <c r="H1761" s="197">
        <v>0</v>
      </c>
      <c r="I1761" s="210" t="s">
        <v>221</v>
      </c>
      <c r="J1761" s="210">
        <v>2026</v>
      </c>
      <c r="K1761" s="210">
        <v>2026</v>
      </c>
      <c r="L1761" s="268" t="str">
        <f t="shared" si="361"/>
        <v>Simple</v>
      </c>
      <c r="M1761" s="197">
        <v>310113.44</v>
      </c>
      <c r="N1761" s="197">
        <v>0</v>
      </c>
      <c r="O1761" s="257">
        <f>IF(ISNA(MATCH(H1761,'Operating leases'!$B$32:$B$43,0)),0,INDEX('Operating leases'!$M$32:$S$43,MATCH(H1761,'Operating leases'!$B$32:$B$43,0),MATCH(J1761,'Operating leases'!$M$11:$S$11,0)))</f>
        <v>0</v>
      </c>
      <c r="P1761" s="257">
        <f t="shared" si="362"/>
        <v>310113.44</v>
      </c>
      <c r="Q1761" s="257">
        <f t="shared" si="363"/>
        <v>310113.44</v>
      </c>
      <c r="R1761" s="258">
        <f>INDEX('Escalators '!$M$124:$S$129,MATCH(I1761,'Escalators '!$B$124:$B$129,0),MATCH(J1761,'Escalators '!$M$113:$S$113,0))</f>
        <v>1.1088998660799403</v>
      </c>
      <c r="S1761" s="257">
        <f t="shared" si="364"/>
        <v>0</v>
      </c>
      <c r="T1761" s="257">
        <f t="shared" si="365"/>
        <v>0</v>
      </c>
      <c r="U1761" s="269">
        <f t="shared" si="366"/>
        <v>343884.75208558963</v>
      </c>
      <c r="V1761" s="269">
        <f t="shared" si="367"/>
        <v>343884.75208558963</v>
      </c>
      <c r="W1761" s="269">
        <f t="shared" si="368"/>
        <v>343884.75208558963</v>
      </c>
      <c r="X1761" s="257">
        <f t="shared" si="369"/>
        <v>343884.75208558963</v>
      </c>
      <c r="Y1761" s="270">
        <f>IF(L1761="Complex",(INDEX('Escalators '!$M$176:$S$176,MATCH('Forecast capex'!J1761,'Escalators '!$M$178:$S$178,0))/12+1)^((K1761-J1761)*12)-1,0)</f>
        <v>0</v>
      </c>
      <c r="Z1761" s="257">
        <f t="shared" si="370"/>
        <v>0</v>
      </c>
      <c r="AA1761" s="257">
        <f t="shared" si="371"/>
        <v>0</v>
      </c>
      <c r="AB1761" s="269">
        <f t="shared" si="372"/>
        <v>0</v>
      </c>
      <c r="AC1761" s="269">
        <f t="shared" si="373"/>
        <v>0</v>
      </c>
      <c r="AD1761" s="271" t="str">
        <f>INDEX('Global inputs'!$C$134:$C$171,MATCH(F1761,'Global inputs'!$B$134:$B$171,0))</f>
        <v>Asset replacement and renewal</v>
      </c>
      <c r="AE1761" s="272">
        <f>IF(OR(H1761='Operating leases'!$B$32,H1761='Operating leases'!$B$33),"",INDEX('Global inputs'!$C$186:$C$243,MATCH(E1761,'Global inputs'!$B$186:$B$243,0)))</f>
        <v>0.08</v>
      </c>
    </row>
    <row r="1762" spans="1:31" s="27" customFormat="1" x14ac:dyDescent="0.2">
      <c r="A1762" s="250"/>
      <c r="B1762" s="210" t="s">
        <v>742</v>
      </c>
      <c r="C1762" s="210" t="s">
        <v>286</v>
      </c>
      <c r="D1762" s="210" t="s">
        <v>735</v>
      </c>
      <c r="E1762" s="210" t="s">
        <v>147</v>
      </c>
      <c r="F1762" s="210" t="s">
        <v>118</v>
      </c>
      <c r="G1762" s="210" t="s">
        <v>744</v>
      </c>
      <c r="H1762" s="197">
        <v>0</v>
      </c>
      <c r="I1762" s="210" t="s">
        <v>229</v>
      </c>
      <c r="J1762" s="210">
        <v>2026</v>
      </c>
      <c r="K1762" s="210">
        <v>2026</v>
      </c>
      <c r="L1762" s="268" t="str">
        <f t="shared" si="361"/>
        <v>Simple</v>
      </c>
      <c r="M1762" s="197">
        <v>156422.44</v>
      </c>
      <c r="N1762" s="197">
        <v>0</v>
      </c>
      <c r="O1762" s="257">
        <f>IF(ISNA(MATCH(H1762,'Operating leases'!$B$32:$B$43,0)),0,INDEX('Operating leases'!$M$32:$S$43,MATCH(H1762,'Operating leases'!$B$32:$B$43,0),MATCH(J1762,'Operating leases'!$M$11:$S$11,0)))</f>
        <v>0</v>
      </c>
      <c r="P1762" s="257">
        <f t="shared" si="362"/>
        <v>156422.44</v>
      </c>
      <c r="Q1762" s="257">
        <f t="shared" si="363"/>
        <v>156422.44</v>
      </c>
      <c r="R1762" s="258">
        <f>INDEX('Escalators '!$M$124:$S$129,MATCH(I1762,'Escalators '!$B$124:$B$129,0),MATCH(J1762,'Escalators '!$M$113:$S$113,0))</f>
        <v>1.1110424701464636</v>
      </c>
      <c r="S1762" s="257">
        <f t="shared" si="364"/>
        <v>0</v>
      </c>
      <c r="T1762" s="257">
        <f t="shared" si="365"/>
        <v>0</v>
      </c>
      <c r="U1762" s="269">
        <f t="shared" si="366"/>
        <v>173791.97412393699</v>
      </c>
      <c r="V1762" s="269">
        <f t="shared" si="367"/>
        <v>173791.97412393699</v>
      </c>
      <c r="W1762" s="269">
        <f t="shared" si="368"/>
        <v>173791.97412393699</v>
      </c>
      <c r="X1762" s="257">
        <f t="shared" si="369"/>
        <v>173791.97412393699</v>
      </c>
      <c r="Y1762" s="270">
        <f>IF(L1762="Complex",(INDEX('Escalators '!$M$176:$S$176,MATCH('Forecast capex'!J1762,'Escalators '!$M$178:$S$178,0))/12+1)^((K1762-J1762)*12)-1,0)</f>
        <v>0</v>
      </c>
      <c r="Z1762" s="257">
        <f t="shared" si="370"/>
        <v>0</v>
      </c>
      <c r="AA1762" s="257">
        <f t="shared" si="371"/>
        <v>0</v>
      </c>
      <c r="AB1762" s="269">
        <f t="shared" si="372"/>
        <v>0</v>
      </c>
      <c r="AC1762" s="269">
        <f t="shared" si="373"/>
        <v>0</v>
      </c>
      <c r="AD1762" s="271" t="str">
        <f>INDEX('Global inputs'!$C$134:$C$171,MATCH(F1762,'Global inputs'!$B$134:$B$171,0))</f>
        <v>Asset replacement and renewal</v>
      </c>
      <c r="AE1762" s="272">
        <f>IF(OR(H1762='Operating leases'!$B$32,H1762='Operating leases'!$B$33),"",INDEX('Global inputs'!$C$186:$C$243,MATCH(E1762,'Global inputs'!$B$186:$B$243,0)))</f>
        <v>0.08</v>
      </c>
    </row>
    <row r="1763" spans="1:31" s="27" customFormat="1" x14ac:dyDescent="0.2">
      <c r="A1763" s="250"/>
      <c r="B1763" s="210" t="s">
        <v>742</v>
      </c>
      <c r="C1763" s="210" t="s">
        <v>286</v>
      </c>
      <c r="D1763" s="210" t="s">
        <v>735</v>
      </c>
      <c r="E1763" s="210" t="s">
        <v>147</v>
      </c>
      <c r="F1763" s="210" t="s">
        <v>118</v>
      </c>
      <c r="G1763" s="210" t="s">
        <v>744</v>
      </c>
      <c r="H1763" s="197">
        <v>0</v>
      </c>
      <c r="I1763" s="210" t="s">
        <v>221</v>
      </c>
      <c r="J1763" s="210">
        <v>2026</v>
      </c>
      <c r="K1763" s="210">
        <v>2026</v>
      </c>
      <c r="L1763" s="268" t="str">
        <f t="shared" si="361"/>
        <v>Simple</v>
      </c>
      <c r="M1763" s="197">
        <v>625689.76</v>
      </c>
      <c r="N1763" s="197">
        <v>0</v>
      </c>
      <c r="O1763" s="257">
        <f>IF(ISNA(MATCH(H1763,'Operating leases'!$B$32:$B$43,0)),0,INDEX('Operating leases'!$M$32:$S$43,MATCH(H1763,'Operating leases'!$B$32:$B$43,0),MATCH(J1763,'Operating leases'!$M$11:$S$11,0)))</f>
        <v>0</v>
      </c>
      <c r="P1763" s="257">
        <f t="shared" si="362"/>
        <v>625689.76</v>
      </c>
      <c r="Q1763" s="257">
        <f t="shared" si="363"/>
        <v>625689.76</v>
      </c>
      <c r="R1763" s="258">
        <f>INDEX('Escalators '!$M$124:$S$129,MATCH(I1763,'Escalators '!$B$124:$B$129,0),MATCH(J1763,'Escalators '!$M$113:$S$113,0))</f>
        <v>1.1088998660799403</v>
      </c>
      <c r="S1763" s="257">
        <f t="shared" si="364"/>
        <v>0</v>
      </c>
      <c r="T1763" s="257">
        <f t="shared" si="365"/>
        <v>0</v>
      </c>
      <c r="U1763" s="269">
        <f t="shared" si="366"/>
        <v>693827.29107159004</v>
      </c>
      <c r="V1763" s="269">
        <f t="shared" si="367"/>
        <v>693827.29107159004</v>
      </c>
      <c r="W1763" s="269">
        <f t="shared" si="368"/>
        <v>693827.29107159004</v>
      </c>
      <c r="X1763" s="257">
        <f t="shared" si="369"/>
        <v>693827.29107159004</v>
      </c>
      <c r="Y1763" s="270">
        <f>IF(L1763="Complex",(INDEX('Escalators '!$M$176:$S$176,MATCH('Forecast capex'!J1763,'Escalators '!$M$178:$S$178,0))/12+1)^((K1763-J1763)*12)-1,0)</f>
        <v>0</v>
      </c>
      <c r="Z1763" s="257">
        <f t="shared" si="370"/>
        <v>0</v>
      </c>
      <c r="AA1763" s="257">
        <f t="shared" si="371"/>
        <v>0</v>
      </c>
      <c r="AB1763" s="269">
        <f t="shared" si="372"/>
        <v>0</v>
      </c>
      <c r="AC1763" s="269">
        <f t="shared" si="373"/>
        <v>0</v>
      </c>
      <c r="AD1763" s="271" t="str">
        <f>INDEX('Global inputs'!$C$134:$C$171,MATCH(F1763,'Global inputs'!$B$134:$B$171,0))</f>
        <v>Asset replacement and renewal</v>
      </c>
      <c r="AE1763" s="272">
        <f>IF(OR(H1763='Operating leases'!$B$32,H1763='Operating leases'!$B$33),"",INDEX('Global inputs'!$C$186:$C$243,MATCH(E1763,'Global inputs'!$B$186:$B$243,0)))</f>
        <v>0.08</v>
      </c>
    </row>
    <row r="1764" spans="1:31" s="27" customFormat="1" x14ac:dyDescent="0.2">
      <c r="A1764" s="250"/>
      <c r="B1764" s="210" t="s">
        <v>742</v>
      </c>
      <c r="C1764" s="210" t="s">
        <v>289</v>
      </c>
      <c r="D1764" s="210" t="s">
        <v>723</v>
      </c>
      <c r="E1764" s="210" t="s">
        <v>163</v>
      </c>
      <c r="F1764" s="210" t="s">
        <v>106</v>
      </c>
      <c r="G1764" s="210" t="s">
        <v>725</v>
      </c>
      <c r="H1764" s="197">
        <v>0</v>
      </c>
      <c r="I1764" s="210" t="s">
        <v>139</v>
      </c>
      <c r="J1764" s="210">
        <v>2026</v>
      </c>
      <c r="K1764" s="210">
        <v>2026</v>
      </c>
      <c r="L1764" s="268" t="str">
        <f t="shared" si="361"/>
        <v>Simple</v>
      </c>
      <c r="M1764" s="197">
        <v>940588.92</v>
      </c>
      <c r="N1764" s="197">
        <v>0</v>
      </c>
      <c r="O1764" s="257">
        <f>IF(ISNA(MATCH(H1764,'Operating leases'!$B$32:$B$43,0)),0,INDEX('Operating leases'!$M$32:$S$43,MATCH(H1764,'Operating leases'!$B$32:$B$43,0),MATCH(J1764,'Operating leases'!$M$11:$S$11,0)))</f>
        <v>0</v>
      </c>
      <c r="P1764" s="257">
        <f t="shared" si="362"/>
        <v>940588.92</v>
      </c>
      <c r="Q1764" s="257">
        <f t="shared" si="363"/>
        <v>940588.92</v>
      </c>
      <c r="R1764" s="258">
        <f>INDEX('Escalators '!$M$124:$S$129,MATCH(I1764,'Escalators '!$B$124:$B$129,0),MATCH(J1764,'Escalators '!$M$113:$S$113,0))</f>
        <v>1.0777078650827305</v>
      </c>
      <c r="S1764" s="257">
        <f t="shared" si="364"/>
        <v>0</v>
      </c>
      <c r="T1764" s="257">
        <f t="shared" si="365"/>
        <v>0</v>
      </c>
      <c r="U1764" s="269">
        <f t="shared" si="366"/>
        <v>1013680.0768936713</v>
      </c>
      <c r="V1764" s="269">
        <f t="shared" si="367"/>
        <v>1013680.0768936713</v>
      </c>
      <c r="W1764" s="269">
        <f t="shared" si="368"/>
        <v>1013680.0768936713</v>
      </c>
      <c r="X1764" s="257">
        <f t="shared" si="369"/>
        <v>1013680.0768936713</v>
      </c>
      <c r="Y1764" s="270">
        <f>IF(L1764="Complex",(INDEX('Escalators '!$M$176:$S$176,MATCH('Forecast capex'!J1764,'Escalators '!$M$178:$S$178,0))/12+1)^((K1764-J1764)*12)-1,0)</f>
        <v>0</v>
      </c>
      <c r="Z1764" s="257">
        <f t="shared" si="370"/>
        <v>0</v>
      </c>
      <c r="AA1764" s="257">
        <f t="shared" si="371"/>
        <v>0</v>
      </c>
      <c r="AB1764" s="269">
        <f t="shared" si="372"/>
        <v>0</v>
      </c>
      <c r="AC1764" s="269">
        <f t="shared" si="373"/>
        <v>0</v>
      </c>
      <c r="AD1764" s="271" t="str">
        <f>INDEX('Global inputs'!$C$134:$C$171,MATCH(F1764,'Global inputs'!$B$134:$B$171,0))</f>
        <v>Asset replacement and renewal</v>
      </c>
      <c r="AE1764" s="272">
        <f>IF(OR(H1764='Operating leases'!$B$32,H1764='Operating leases'!$B$33),"",INDEX('Global inputs'!$C$186:$C$243,MATCH(E1764,'Global inputs'!$B$186:$B$243,0)))</f>
        <v>0.08</v>
      </c>
    </row>
    <row r="1765" spans="1:31" s="27" customFormat="1" x14ac:dyDescent="0.2">
      <c r="A1765" s="250"/>
      <c r="B1765" s="210" t="s">
        <v>742</v>
      </c>
      <c r="C1765" s="210" t="s">
        <v>289</v>
      </c>
      <c r="D1765" s="210" t="s">
        <v>723</v>
      </c>
      <c r="E1765" s="210" t="s">
        <v>163</v>
      </c>
      <c r="F1765" s="210" t="s">
        <v>106</v>
      </c>
      <c r="G1765" s="210" t="s">
        <v>725</v>
      </c>
      <c r="H1765" s="197">
        <v>0</v>
      </c>
      <c r="I1765" s="210" t="s">
        <v>221</v>
      </c>
      <c r="J1765" s="210">
        <v>2026</v>
      </c>
      <c r="K1765" s="210">
        <v>2026</v>
      </c>
      <c r="L1765" s="268" t="str">
        <f t="shared" si="361"/>
        <v>Simple</v>
      </c>
      <c r="M1765" s="197">
        <v>235147.23</v>
      </c>
      <c r="N1765" s="197">
        <v>0</v>
      </c>
      <c r="O1765" s="257">
        <f>IF(ISNA(MATCH(H1765,'Operating leases'!$B$32:$B$43,0)),0,INDEX('Operating leases'!$M$32:$S$43,MATCH(H1765,'Operating leases'!$B$32:$B$43,0),MATCH(J1765,'Operating leases'!$M$11:$S$11,0)))</f>
        <v>0</v>
      </c>
      <c r="P1765" s="257">
        <f t="shared" si="362"/>
        <v>235147.23</v>
      </c>
      <c r="Q1765" s="257">
        <f t="shared" si="363"/>
        <v>235147.23</v>
      </c>
      <c r="R1765" s="258">
        <f>INDEX('Escalators '!$M$124:$S$129,MATCH(I1765,'Escalators '!$B$124:$B$129,0),MATCH(J1765,'Escalators '!$M$113:$S$113,0))</f>
        <v>1.1088998660799403</v>
      </c>
      <c r="S1765" s="257">
        <f t="shared" si="364"/>
        <v>0</v>
      </c>
      <c r="T1765" s="257">
        <f t="shared" si="365"/>
        <v>0</v>
      </c>
      <c r="U1765" s="269">
        <f t="shared" si="366"/>
        <v>260754.73185606892</v>
      </c>
      <c r="V1765" s="269">
        <f t="shared" si="367"/>
        <v>260754.73185606892</v>
      </c>
      <c r="W1765" s="269">
        <f t="shared" si="368"/>
        <v>260754.73185606892</v>
      </c>
      <c r="X1765" s="257">
        <f t="shared" si="369"/>
        <v>260754.73185606892</v>
      </c>
      <c r="Y1765" s="270">
        <f>IF(L1765="Complex",(INDEX('Escalators '!$M$176:$S$176,MATCH('Forecast capex'!J1765,'Escalators '!$M$178:$S$178,0))/12+1)^((K1765-J1765)*12)-1,0)</f>
        <v>0</v>
      </c>
      <c r="Z1765" s="257">
        <f t="shared" si="370"/>
        <v>0</v>
      </c>
      <c r="AA1765" s="257">
        <f t="shared" si="371"/>
        <v>0</v>
      </c>
      <c r="AB1765" s="269">
        <f t="shared" si="372"/>
        <v>0</v>
      </c>
      <c r="AC1765" s="269">
        <f t="shared" si="373"/>
        <v>0</v>
      </c>
      <c r="AD1765" s="271" t="str">
        <f>INDEX('Global inputs'!$C$134:$C$171,MATCH(F1765,'Global inputs'!$B$134:$B$171,0))</f>
        <v>Asset replacement and renewal</v>
      </c>
      <c r="AE1765" s="272">
        <f>IF(OR(H1765='Operating leases'!$B$32,H1765='Operating leases'!$B$33),"",INDEX('Global inputs'!$C$186:$C$243,MATCH(E1765,'Global inputs'!$B$186:$B$243,0)))</f>
        <v>0.08</v>
      </c>
    </row>
    <row r="1766" spans="1:31" s="27" customFormat="1" x14ac:dyDescent="0.2">
      <c r="A1766" s="250"/>
      <c r="B1766" s="210" t="s">
        <v>742</v>
      </c>
      <c r="C1766" s="210" t="s">
        <v>289</v>
      </c>
      <c r="D1766" s="210" t="s">
        <v>723</v>
      </c>
      <c r="E1766" s="210" t="s">
        <v>164</v>
      </c>
      <c r="F1766" s="210" t="s">
        <v>114</v>
      </c>
      <c r="G1766" s="210" t="s">
        <v>724</v>
      </c>
      <c r="H1766" s="197">
        <v>0</v>
      </c>
      <c r="I1766" s="210" t="s">
        <v>139</v>
      </c>
      <c r="J1766" s="210">
        <v>2026</v>
      </c>
      <c r="K1766" s="210">
        <v>2026</v>
      </c>
      <c r="L1766" s="268" t="str">
        <f t="shared" si="361"/>
        <v>Simple</v>
      </c>
      <c r="M1766" s="197">
        <v>289408</v>
      </c>
      <c r="N1766" s="197">
        <v>0</v>
      </c>
      <c r="O1766" s="257">
        <f>IF(ISNA(MATCH(H1766,'Operating leases'!$B$32:$B$43,0)),0,INDEX('Operating leases'!$M$32:$S$43,MATCH(H1766,'Operating leases'!$B$32:$B$43,0),MATCH(J1766,'Operating leases'!$M$11:$S$11,0)))</f>
        <v>0</v>
      </c>
      <c r="P1766" s="257">
        <f t="shared" si="362"/>
        <v>289408</v>
      </c>
      <c r="Q1766" s="257">
        <f t="shared" si="363"/>
        <v>289408</v>
      </c>
      <c r="R1766" s="258">
        <f>INDEX('Escalators '!$M$124:$S$129,MATCH(I1766,'Escalators '!$B$124:$B$129,0),MATCH(J1766,'Escalators '!$M$113:$S$113,0))</f>
        <v>1.0777078650827305</v>
      </c>
      <c r="S1766" s="257">
        <f t="shared" si="364"/>
        <v>0</v>
      </c>
      <c r="T1766" s="257">
        <f t="shared" si="365"/>
        <v>0</v>
      </c>
      <c r="U1766" s="269">
        <f t="shared" si="366"/>
        <v>311897.27781786287</v>
      </c>
      <c r="V1766" s="269">
        <f t="shared" si="367"/>
        <v>311897.27781786287</v>
      </c>
      <c r="W1766" s="269">
        <f t="shared" si="368"/>
        <v>311897.27781786287</v>
      </c>
      <c r="X1766" s="257">
        <f t="shared" si="369"/>
        <v>311897.27781786287</v>
      </c>
      <c r="Y1766" s="270">
        <f>IF(L1766="Complex",(INDEX('Escalators '!$M$176:$S$176,MATCH('Forecast capex'!J1766,'Escalators '!$M$178:$S$178,0))/12+1)^((K1766-J1766)*12)-1,0)</f>
        <v>0</v>
      </c>
      <c r="Z1766" s="257">
        <f t="shared" si="370"/>
        <v>0</v>
      </c>
      <c r="AA1766" s="257">
        <f t="shared" si="371"/>
        <v>0</v>
      </c>
      <c r="AB1766" s="269">
        <f t="shared" si="372"/>
        <v>0</v>
      </c>
      <c r="AC1766" s="269">
        <f t="shared" si="373"/>
        <v>0</v>
      </c>
      <c r="AD1766" s="271" t="str">
        <f>INDEX('Global inputs'!$C$134:$C$171,MATCH(F1766,'Global inputs'!$B$134:$B$171,0))</f>
        <v>Asset replacement and renewal</v>
      </c>
      <c r="AE1766" s="272">
        <f>IF(OR(H1766='Operating leases'!$B$32,H1766='Operating leases'!$B$33),"",INDEX('Global inputs'!$C$186:$C$243,MATCH(E1766,'Global inputs'!$B$186:$B$243,0)))</f>
        <v>0.08</v>
      </c>
    </row>
    <row r="1767" spans="1:31" s="27" customFormat="1" x14ac:dyDescent="0.2">
      <c r="A1767" s="250"/>
      <c r="B1767" s="210" t="s">
        <v>742</v>
      </c>
      <c r="C1767" s="210" t="s">
        <v>289</v>
      </c>
      <c r="D1767" s="210" t="s">
        <v>723</v>
      </c>
      <c r="E1767" s="210" t="s">
        <v>164</v>
      </c>
      <c r="F1767" s="210" t="s">
        <v>114</v>
      </c>
      <c r="G1767" s="210" t="s">
        <v>724</v>
      </c>
      <c r="H1767" s="197">
        <v>0</v>
      </c>
      <c r="I1767" s="210" t="s">
        <v>221</v>
      </c>
      <c r="J1767" s="210">
        <v>2026</v>
      </c>
      <c r="K1767" s="210">
        <v>2026</v>
      </c>
      <c r="L1767" s="268" t="str">
        <f t="shared" si="361"/>
        <v>Simple</v>
      </c>
      <c r="M1767" s="197">
        <v>72352</v>
      </c>
      <c r="N1767" s="197">
        <v>0</v>
      </c>
      <c r="O1767" s="257">
        <f>IF(ISNA(MATCH(H1767,'Operating leases'!$B$32:$B$43,0)),0,INDEX('Operating leases'!$M$32:$S$43,MATCH(H1767,'Operating leases'!$B$32:$B$43,0),MATCH(J1767,'Operating leases'!$M$11:$S$11,0)))</f>
        <v>0</v>
      </c>
      <c r="P1767" s="257">
        <f t="shared" si="362"/>
        <v>72352</v>
      </c>
      <c r="Q1767" s="257">
        <f t="shared" si="363"/>
        <v>72352</v>
      </c>
      <c r="R1767" s="258">
        <f>INDEX('Escalators '!$M$124:$S$129,MATCH(I1767,'Escalators '!$B$124:$B$129,0),MATCH(J1767,'Escalators '!$M$113:$S$113,0))</f>
        <v>1.1088998660799403</v>
      </c>
      <c r="S1767" s="257">
        <f t="shared" si="364"/>
        <v>0</v>
      </c>
      <c r="T1767" s="257">
        <f t="shared" si="365"/>
        <v>0</v>
      </c>
      <c r="U1767" s="269">
        <f t="shared" si="366"/>
        <v>80231.123110615838</v>
      </c>
      <c r="V1767" s="269">
        <f t="shared" si="367"/>
        <v>80231.123110615838</v>
      </c>
      <c r="W1767" s="269">
        <f t="shared" si="368"/>
        <v>80231.123110615838</v>
      </c>
      <c r="X1767" s="257">
        <f t="shared" si="369"/>
        <v>80231.123110615838</v>
      </c>
      <c r="Y1767" s="270">
        <f>IF(L1767="Complex",(INDEX('Escalators '!$M$176:$S$176,MATCH('Forecast capex'!J1767,'Escalators '!$M$178:$S$178,0))/12+1)^((K1767-J1767)*12)-1,0)</f>
        <v>0</v>
      </c>
      <c r="Z1767" s="257">
        <f t="shared" si="370"/>
        <v>0</v>
      </c>
      <c r="AA1767" s="257">
        <f t="shared" si="371"/>
        <v>0</v>
      </c>
      <c r="AB1767" s="269">
        <f t="shared" si="372"/>
        <v>0</v>
      </c>
      <c r="AC1767" s="269">
        <f t="shared" si="373"/>
        <v>0</v>
      </c>
      <c r="AD1767" s="271" t="str">
        <f>INDEX('Global inputs'!$C$134:$C$171,MATCH(F1767,'Global inputs'!$B$134:$B$171,0))</f>
        <v>Asset replacement and renewal</v>
      </c>
      <c r="AE1767" s="272">
        <f>IF(OR(H1767='Operating leases'!$B$32,H1767='Operating leases'!$B$33),"",INDEX('Global inputs'!$C$186:$C$243,MATCH(E1767,'Global inputs'!$B$186:$B$243,0)))</f>
        <v>0.08</v>
      </c>
    </row>
    <row r="1768" spans="1:31" s="27" customFormat="1" x14ac:dyDescent="0.2">
      <c r="A1768" s="250"/>
      <c r="B1768" s="210" t="s">
        <v>742</v>
      </c>
      <c r="C1768" s="210" t="s">
        <v>290</v>
      </c>
      <c r="D1768" s="210" t="s">
        <v>718</v>
      </c>
      <c r="E1768" s="210" t="s">
        <v>170</v>
      </c>
      <c r="F1768" s="210" t="s">
        <v>110</v>
      </c>
      <c r="G1768" s="210" t="s">
        <v>721</v>
      </c>
      <c r="H1768" s="197">
        <v>0</v>
      </c>
      <c r="I1768" s="210" t="s">
        <v>229</v>
      </c>
      <c r="J1768" s="210">
        <v>2026</v>
      </c>
      <c r="K1768" s="210">
        <v>2026</v>
      </c>
      <c r="L1768" s="268" t="str">
        <f t="shared" si="361"/>
        <v>Simple</v>
      </c>
      <c r="M1768" s="197">
        <v>116375</v>
      </c>
      <c r="N1768" s="197">
        <v>0</v>
      </c>
      <c r="O1768" s="257">
        <f>IF(ISNA(MATCH(H1768,'Operating leases'!$B$32:$B$43,0)),0,INDEX('Operating leases'!$M$32:$S$43,MATCH(H1768,'Operating leases'!$B$32:$B$43,0),MATCH(J1768,'Operating leases'!$M$11:$S$11,0)))</f>
        <v>0</v>
      </c>
      <c r="P1768" s="257">
        <f t="shared" si="362"/>
        <v>116375</v>
      </c>
      <c r="Q1768" s="257">
        <f t="shared" si="363"/>
        <v>116375</v>
      </c>
      <c r="R1768" s="258">
        <f>INDEX('Escalators '!$M$124:$S$129,MATCH(I1768,'Escalators '!$B$124:$B$129,0),MATCH(J1768,'Escalators '!$M$113:$S$113,0))</f>
        <v>1.1110424701464636</v>
      </c>
      <c r="S1768" s="257">
        <f t="shared" si="364"/>
        <v>0</v>
      </c>
      <c r="T1768" s="257">
        <f t="shared" si="365"/>
        <v>0</v>
      </c>
      <c r="U1768" s="269">
        <f t="shared" si="366"/>
        <v>129297.5674632947</v>
      </c>
      <c r="V1768" s="269">
        <f t="shared" si="367"/>
        <v>129297.5674632947</v>
      </c>
      <c r="W1768" s="269">
        <f t="shared" si="368"/>
        <v>129297.5674632947</v>
      </c>
      <c r="X1768" s="257">
        <f t="shared" si="369"/>
        <v>129297.5674632947</v>
      </c>
      <c r="Y1768" s="270">
        <f>IF(L1768="Complex",(INDEX('Escalators '!$M$176:$S$176,MATCH('Forecast capex'!J1768,'Escalators '!$M$178:$S$178,0))/12+1)^((K1768-J1768)*12)-1,0)</f>
        <v>0</v>
      </c>
      <c r="Z1768" s="257">
        <f t="shared" si="370"/>
        <v>0</v>
      </c>
      <c r="AA1768" s="257">
        <f t="shared" si="371"/>
        <v>0</v>
      </c>
      <c r="AB1768" s="269">
        <f t="shared" si="372"/>
        <v>0</v>
      </c>
      <c r="AC1768" s="269">
        <f t="shared" si="373"/>
        <v>0</v>
      </c>
      <c r="AD1768" s="271" t="str">
        <f>INDEX('Global inputs'!$C$134:$C$171,MATCH(F1768,'Global inputs'!$B$134:$B$171,0))</f>
        <v>Asset replacement and renewal</v>
      </c>
      <c r="AE1768" s="272">
        <f>IF(OR(H1768='Operating leases'!$B$32,H1768='Operating leases'!$B$33),"",INDEX('Global inputs'!$C$186:$C$243,MATCH(E1768,'Global inputs'!$B$186:$B$243,0)))</f>
        <v>0.08</v>
      </c>
    </row>
    <row r="1769" spans="1:31" s="27" customFormat="1" x14ac:dyDescent="0.2">
      <c r="A1769" s="250"/>
      <c r="B1769" s="210" t="s">
        <v>742</v>
      </c>
      <c r="C1769" s="210" t="s">
        <v>290</v>
      </c>
      <c r="D1769" s="210" t="s">
        <v>718</v>
      </c>
      <c r="E1769" s="210" t="s">
        <v>170</v>
      </c>
      <c r="F1769" s="210" t="s">
        <v>110</v>
      </c>
      <c r="G1769" s="210" t="s">
        <v>721</v>
      </c>
      <c r="H1769" s="197">
        <v>0</v>
      </c>
      <c r="I1769" s="210" t="s">
        <v>221</v>
      </c>
      <c r="J1769" s="210">
        <v>2026</v>
      </c>
      <c r="K1769" s="210">
        <v>2026</v>
      </c>
      <c r="L1769" s="268" t="str">
        <f t="shared" si="361"/>
        <v>Simple</v>
      </c>
      <c r="M1769" s="197">
        <v>116375</v>
      </c>
      <c r="N1769" s="197">
        <v>0</v>
      </c>
      <c r="O1769" s="257">
        <f>IF(ISNA(MATCH(H1769,'Operating leases'!$B$32:$B$43,0)),0,INDEX('Operating leases'!$M$32:$S$43,MATCH(H1769,'Operating leases'!$B$32:$B$43,0),MATCH(J1769,'Operating leases'!$M$11:$S$11,0)))</f>
        <v>0</v>
      </c>
      <c r="P1769" s="257">
        <f t="shared" si="362"/>
        <v>116375</v>
      </c>
      <c r="Q1769" s="257">
        <f t="shared" si="363"/>
        <v>116375</v>
      </c>
      <c r="R1769" s="258">
        <f>INDEX('Escalators '!$M$124:$S$129,MATCH(I1769,'Escalators '!$B$124:$B$129,0),MATCH(J1769,'Escalators '!$M$113:$S$113,0))</f>
        <v>1.1088998660799403</v>
      </c>
      <c r="S1769" s="257">
        <f t="shared" si="364"/>
        <v>0</v>
      </c>
      <c r="T1769" s="257">
        <f t="shared" si="365"/>
        <v>0</v>
      </c>
      <c r="U1769" s="269">
        <f t="shared" si="366"/>
        <v>129048.22191505306</v>
      </c>
      <c r="V1769" s="269">
        <f t="shared" si="367"/>
        <v>129048.22191505306</v>
      </c>
      <c r="W1769" s="269">
        <f t="shared" si="368"/>
        <v>129048.22191505306</v>
      </c>
      <c r="X1769" s="257">
        <f t="shared" si="369"/>
        <v>129048.22191505306</v>
      </c>
      <c r="Y1769" s="270">
        <f>IF(L1769="Complex",(INDEX('Escalators '!$M$176:$S$176,MATCH('Forecast capex'!J1769,'Escalators '!$M$178:$S$178,0))/12+1)^((K1769-J1769)*12)-1,0)</f>
        <v>0</v>
      </c>
      <c r="Z1769" s="257">
        <f t="shared" si="370"/>
        <v>0</v>
      </c>
      <c r="AA1769" s="257">
        <f t="shared" si="371"/>
        <v>0</v>
      </c>
      <c r="AB1769" s="269">
        <f t="shared" si="372"/>
        <v>0</v>
      </c>
      <c r="AC1769" s="269">
        <f t="shared" si="373"/>
        <v>0</v>
      </c>
      <c r="AD1769" s="271" t="str">
        <f>INDEX('Global inputs'!$C$134:$C$171,MATCH(F1769,'Global inputs'!$B$134:$B$171,0))</f>
        <v>Asset replacement and renewal</v>
      </c>
      <c r="AE1769" s="272">
        <f>IF(OR(H1769='Operating leases'!$B$32,H1769='Operating leases'!$B$33),"",INDEX('Global inputs'!$C$186:$C$243,MATCH(E1769,'Global inputs'!$B$186:$B$243,0)))</f>
        <v>0.08</v>
      </c>
    </row>
    <row r="1770" spans="1:31" s="27" customFormat="1" x14ac:dyDescent="0.2">
      <c r="A1770" s="250"/>
      <c r="B1770" s="210" t="s">
        <v>742</v>
      </c>
      <c r="C1770" s="210" t="s">
        <v>288</v>
      </c>
      <c r="D1770" s="210" t="s">
        <v>223</v>
      </c>
      <c r="E1770" s="210" t="s">
        <v>158</v>
      </c>
      <c r="F1770" s="210" t="s">
        <v>107</v>
      </c>
      <c r="G1770" s="210" t="s">
        <v>728</v>
      </c>
      <c r="H1770" s="197">
        <v>0</v>
      </c>
      <c r="I1770" s="210" t="s">
        <v>223</v>
      </c>
      <c r="J1770" s="210">
        <v>2026</v>
      </c>
      <c r="K1770" s="210">
        <v>2026</v>
      </c>
      <c r="L1770" s="268" t="str">
        <f t="shared" si="361"/>
        <v>Simple</v>
      </c>
      <c r="M1770" s="197">
        <v>113821.02</v>
      </c>
      <c r="N1770" s="197">
        <v>0</v>
      </c>
      <c r="O1770" s="257">
        <f>IF(ISNA(MATCH(H1770,'Operating leases'!$B$32:$B$43,0)),0,INDEX('Operating leases'!$M$32:$S$43,MATCH(H1770,'Operating leases'!$B$32:$B$43,0),MATCH(J1770,'Operating leases'!$M$11:$S$11,0)))</f>
        <v>0</v>
      </c>
      <c r="P1770" s="257">
        <f t="shared" si="362"/>
        <v>113821.02</v>
      </c>
      <c r="Q1770" s="257">
        <f t="shared" si="363"/>
        <v>113821.02</v>
      </c>
      <c r="R1770" s="258">
        <f>INDEX('Escalators '!$M$124:$S$129,MATCH(I1770,'Escalators '!$B$124:$B$129,0),MATCH(J1770,'Escalators '!$M$113:$S$113,0))</f>
        <v>1.168210490264004</v>
      </c>
      <c r="S1770" s="257">
        <f t="shared" si="364"/>
        <v>0</v>
      </c>
      <c r="T1770" s="257">
        <f t="shared" si="365"/>
        <v>0</v>
      </c>
      <c r="U1770" s="269">
        <f t="shared" si="366"/>
        <v>132966.90957654902</v>
      </c>
      <c r="V1770" s="269">
        <f t="shared" si="367"/>
        <v>132966.90957654902</v>
      </c>
      <c r="W1770" s="269">
        <f t="shared" si="368"/>
        <v>132966.90957654902</v>
      </c>
      <c r="X1770" s="257">
        <f t="shared" si="369"/>
        <v>132966.90957654902</v>
      </c>
      <c r="Y1770" s="270">
        <f>IF(L1770="Complex",(INDEX('Escalators '!$M$176:$S$176,MATCH('Forecast capex'!J1770,'Escalators '!$M$178:$S$178,0))/12+1)^((K1770-J1770)*12)-1,0)</f>
        <v>0</v>
      </c>
      <c r="Z1770" s="257">
        <f t="shared" si="370"/>
        <v>0</v>
      </c>
      <c r="AA1770" s="257">
        <f t="shared" si="371"/>
        <v>0</v>
      </c>
      <c r="AB1770" s="269">
        <f t="shared" si="372"/>
        <v>0</v>
      </c>
      <c r="AC1770" s="269">
        <f t="shared" si="373"/>
        <v>0</v>
      </c>
      <c r="AD1770" s="271" t="str">
        <f>INDEX('Global inputs'!$C$134:$C$171,MATCH(F1770,'Global inputs'!$B$134:$B$171,0))</f>
        <v>Asset replacement and renewal</v>
      </c>
      <c r="AE1770" s="272">
        <f>IF(OR(H1770='Operating leases'!$B$32,H1770='Operating leases'!$B$33),"",INDEX('Global inputs'!$C$186:$C$243,MATCH(E1770,'Global inputs'!$B$186:$B$243,0)))</f>
        <v>0.08</v>
      </c>
    </row>
    <row r="1771" spans="1:31" s="27" customFormat="1" x14ac:dyDescent="0.2">
      <c r="A1771" s="250"/>
      <c r="B1771" s="210" t="s">
        <v>742</v>
      </c>
      <c r="C1771" s="210" t="s">
        <v>288</v>
      </c>
      <c r="D1771" s="210" t="s">
        <v>223</v>
      </c>
      <c r="E1771" s="210" t="s">
        <v>158</v>
      </c>
      <c r="F1771" s="210" t="s">
        <v>107</v>
      </c>
      <c r="G1771" s="210" t="s">
        <v>728</v>
      </c>
      <c r="H1771" s="197">
        <v>0</v>
      </c>
      <c r="I1771" s="210" t="s">
        <v>221</v>
      </c>
      <c r="J1771" s="210">
        <v>2026</v>
      </c>
      <c r="K1771" s="210">
        <v>2026</v>
      </c>
      <c r="L1771" s="268" t="str">
        <f t="shared" si="361"/>
        <v>Simple</v>
      </c>
      <c r="M1771" s="197">
        <v>170731.53</v>
      </c>
      <c r="N1771" s="197">
        <v>0</v>
      </c>
      <c r="O1771" s="257">
        <f>IF(ISNA(MATCH(H1771,'Operating leases'!$B$32:$B$43,0)),0,INDEX('Operating leases'!$M$32:$S$43,MATCH(H1771,'Operating leases'!$B$32:$B$43,0),MATCH(J1771,'Operating leases'!$M$11:$S$11,0)))</f>
        <v>0</v>
      </c>
      <c r="P1771" s="257">
        <f t="shared" si="362"/>
        <v>170731.53</v>
      </c>
      <c r="Q1771" s="257">
        <f t="shared" si="363"/>
        <v>170731.53</v>
      </c>
      <c r="R1771" s="258">
        <f>INDEX('Escalators '!$M$124:$S$129,MATCH(I1771,'Escalators '!$B$124:$B$129,0),MATCH(J1771,'Escalators '!$M$113:$S$113,0))</f>
        <v>1.1088998660799403</v>
      </c>
      <c r="S1771" s="257">
        <f t="shared" si="364"/>
        <v>0</v>
      </c>
      <c r="T1771" s="257">
        <f t="shared" si="365"/>
        <v>0</v>
      </c>
      <c r="U1771" s="269">
        <f t="shared" si="366"/>
        <v>189324.17075262329</v>
      </c>
      <c r="V1771" s="269">
        <f t="shared" si="367"/>
        <v>189324.17075262329</v>
      </c>
      <c r="W1771" s="269">
        <f t="shared" si="368"/>
        <v>189324.17075262329</v>
      </c>
      <c r="X1771" s="257">
        <f t="shared" si="369"/>
        <v>189324.17075262329</v>
      </c>
      <c r="Y1771" s="270">
        <f>IF(L1771="Complex",(INDEX('Escalators '!$M$176:$S$176,MATCH('Forecast capex'!J1771,'Escalators '!$M$178:$S$178,0))/12+1)^((K1771-J1771)*12)-1,0)</f>
        <v>0</v>
      </c>
      <c r="Z1771" s="257">
        <f t="shared" si="370"/>
        <v>0</v>
      </c>
      <c r="AA1771" s="257">
        <f t="shared" si="371"/>
        <v>0</v>
      </c>
      <c r="AB1771" s="269">
        <f t="shared" si="372"/>
        <v>0</v>
      </c>
      <c r="AC1771" s="269">
        <f t="shared" si="373"/>
        <v>0</v>
      </c>
      <c r="AD1771" s="271" t="str">
        <f>INDEX('Global inputs'!$C$134:$C$171,MATCH(F1771,'Global inputs'!$B$134:$B$171,0))</f>
        <v>Asset replacement and renewal</v>
      </c>
      <c r="AE1771" s="272">
        <f>IF(OR(H1771='Operating leases'!$B$32,H1771='Operating leases'!$B$33),"",INDEX('Global inputs'!$C$186:$C$243,MATCH(E1771,'Global inputs'!$B$186:$B$243,0)))</f>
        <v>0.08</v>
      </c>
    </row>
    <row r="1772" spans="1:31" s="27" customFormat="1" x14ac:dyDescent="0.2">
      <c r="A1772" s="250"/>
      <c r="B1772" s="210" t="s">
        <v>742</v>
      </c>
      <c r="C1772" s="210" t="s">
        <v>290</v>
      </c>
      <c r="D1772" s="210" t="s">
        <v>718</v>
      </c>
      <c r="E1772" s="210" t="s">
        <v>168</v>
      </c>
      <c r="F1772" s="210" t="s">
        <v>111</v>
      </c>
      <c r="G1772" s="210" t="s">
        <v>720</v>
      </c>
      <c r="H1772" s="197">
        <v>0</v>
      </c>
      <c r="I1772" s="210" t="s">
        <v>229</v>
      </c>
      <c r="J1772" s="210">
        <v>2026</v>
      </c>
      <c r="K1772" s="210">
        <v>2026</v>
      </c>
      <c r="L1772" s="268" t="str">
        <f t="shared" si="361"/>
        <v>Simple</v>
      </c>
      <c r="M1772" s="197">
        <v>411160</v>
      </c>
      <c r="N1772" s="197">
        <v>0</v>
      </c>
      <c r="O1772" s="257">
        <f>IF(ISNA(MATCH(H1772,'Operating leases'!$B$32:$B$43,0)),0,INDEX('Operating leases'!$M$32:$S$43,MATCH(H1772,'Operating leases'!$B$32:$B$43,0),MATCH(J1772,'Operating leases'!$M$11:$S$11,0)))</f>
        <v>0</v>
      </c>
      <c r="P1772" s="257">
        <f t="shared" si="362"/>
        <v>411160</v>
      </c>
      <c r="Q1772" s="257">
        <f t="shared" si="363"/>
        <v>411160</v>
      </c>
      <c r="R1772" s="258">
        <f>INDEX('Escalators '!$M$124:$S$129,MATCH(I1772,'Escalators '!$B$124:$B$129,0),MATCH(J1772,'Escalators '!$M$113:$S$113,0))</f>
        <v>1.1110424701464636</v>
      </c>
      <c r="S1772" s="257">
        <f t="shared" si="364"/>
        <v>0</v>
      </c>
      <c r="T1772" s="257">
        <f t="shared" si="365"/>
        <v>0</v>
      </c>
      <c r="U1772" s="269">
        <f t="shared" si="366"/>
        <v>456816.22202541999</v>
      </c>
      <c r="V1772" s="269">
        <f t="shared" si="367"/>
        <v>456816.22202541999</v>
      </c>
      <c r="W1772" s="269">
        <f t="shared" si="368"/>
        <v>456816.22202541999</v>
      </c>
      <c r="X1772" s="257">
        <f t="shared" si="369"/>
        <v>456816.22202541999</v>
      </c>
      <c r="Y1772" s="270">
        <f>IF(L1772="Complex",(INDEX('Escalators '!$M$176:$S$176,MATCH('Forecast capex'!J1772,'Escalators '!$M$178:$S$178,0))/12+1)^((K1772-J1772)*12)-1,0)</f>
        <v>0</v>
      </c>
      <c r="Z1772" s="257">
        <f t="shared" si="370"/>
        <v>0</v>
      </c>
      <c r="AA1772" s="257">
        <f t="shared" si="371"/>
        <v>0</v>
      </c>
      <c r="AB1772" s="269">
        <f t="shared" si="372"/>
        <v>0</v>
      </c>
      <c r="AC1772" s="269">
        <f t="shared" si="373"/>
        <v>0</v>
      </c>
      <c r="AD1772" s="271" t="str">
        <f>INDEX('Global inputs'!$C$134:$C$171,MATCH(F1772,'Global inputs'!$B$134:$B$171,0))</f>
        <v>Asset replacement and renewal</v>
      </c>
      <c r="AE1772" s="272">
        <f>IF(OR(H1772='Operating leases'!$B$32,H1772='Operating leases'!$B$33),"",INDEX('Global inputs'!$C$186:$C$243,MATCH(E1772,'Global inputs'!$B$186:$B$243,0)))</f>
        <v>0.08</v>
      </c>
    </row>
    <row r="1773" spans="1:31" s="27" customFormat="1" x14ac:dyDescent="0.2">
      <c r="A1773" s="250"/>
      <c r="B1773" s="210" t="s">
        <v>742</v>
      </c>
      <c r="C1773" s="210" t="s">
        <v>290</v>
      </c>
      <c r="D1773" s="210" t="s">
        <v>718</v>
      </c>
      <c r="E1773" s="210" t="s">
        <v>168</v>
      </c>
      <c r="F1773" s="210" t="s">
        <v>111</v>
      </c>
      <c r="G1773" s="210" t="s">
        <v>720</v>
      </c>
      <c r="H1773" s="197">
        <v>0</v>
      </c>
      <c r="I1773" s="210" t="s">
        <v>221</v>
      </c>
      <c r="J1773" s="210">
        <v>2026</v>
      </c>
      <c r="K1773" s="210">
        <v>2026</v>
      </c>
      <c r="L1773" s="268" t="str">
        <f t="shared" si="361"/>
        <v>Simple</v>
      </c>
      <c r="M1773" s="197">
        <v>102790</v>
      </c>
      <c r="N1773" s="197">
        <v>0</v>
      </c>
      <c r="O1773" s="257">
        <f>IF(ISNA(MATCH(H1773,'Operating leases'!$B$32:$B$43,0)),0,INDEX('Operating leases'!$M$32:$S$43,MATCH(H1773,'Operating leases'!$B$32:$B$43,0),MATCH(J1773,'Operating leases'!$M$11:$S$11,0)))</f>
        <v>0</v>
      </c>
      <c r="P1773" s="257">
        <f t="shared" si="362"/>
        <v>102790</v>
      </c>
      <c r="Q1773" s="257">
        <f t="shared" si="363"/>
        <v>102790</v>
      </c>
      <c r="R1773" s="258">
        <f>INDEX('Escalators '!$M$124:$S$129,MATCH(I1773,'Escalators '!$B$124:$B$129,0),MATCH(J1773,'Escalators '!$M$113:$S$113,0))</f>
        <v>1.1088998660799403</v>
      </c>
      <c r="S1773" s="257">
        <f t="shared" si="364"/>
        <v>0</v>
      </c>
      <c r="T1773" s="257">
        <f t="shared" si="365"/>
        <v>0</v>
      </c>
      <c r="U1773" s="269">
        <f t="shared" si="366"/>
        <v>113983.81723435706</v>
      </c>
      <c r="V1773" s="269">
        <f t="shared" si="367"/>
        <v>113983.81723435706</v>
      </c>
      <c r="W1773" s="269">
        <f t="shared" si="368"/>
        <v>113983.81723435706</v>
      </c>
      <c r="X1773" s="257">
        <f t="shared" si="369"/>
        <v>113983.81723435706</v>
      </c>
      <c r="Y1773" s="270">
        <f>IF(L1773="Complex",(INDEX('Escalators '!$M$176:$S$176,MATCH('Forecast capex'!J1773,'Escalators '!$M$178:$S$178,0))/12+1)^((K1773-J1773)*12)-1,0)</f>
        <v>0</v>
      </c>
      <c r="Z1773" s="257">
        <f t="shared" si="370"/>
        <v>0</v>
      </c>
      <c r="AA1773" s="257">
        <f t="shared" si="371"/>
        <v>0</v>
      </c>
      <c r="AB1773" s="269">
        <f t="shared" si="372"/>
        <v>0</v>
      </c>
      <c r="AC1773" s="269">
        <f t="shared" si="373"/>
        <v>0</v>
      </c>
      <c r="AD1773" s="271" t="str">
        <f>INDEX('Global inputs'!$C$134:$C$171,MATCH(F1773,'Global inputs'!$B$134:$B$171,0))</f>
        <v>Asset replacement and renewal</v>
      </c>
      <c r="AE1773" s="272">
        <f>IF(OR(H1773='Operating leases'!$B$32,H1773='Operating leases'!$B$33),"",INDEX('Global inputs'!$C$186:$C$243,MATCH(E1773,'Global inputs'!$B$186:$B$243,0)))</f>
        <v>0.08</v>
      </c>
    </row>
    <row r="1774" spans="1:31" s="27" customFormat="1" x14ac:dyDescent="0.2">
      <c r="A1774" s="250"/>
      <c r="B1774" s="210" t="s">
        <v>742</v>
      </c>
      <c r="C1774" s="210" t="s">
        <v>291</v>
      </c>
      <c r="D1774" s="210" t="s">
        <v>735</v>
      </c>
      <c r="E1774" s="210" t="s">
        <v>175</v>
      </c>
      <c r="F1774" s="210" t="s">
        <v>119</v>
      </c>
      <c r="G1774" s="210" t="s">
        <v>748</v>
      </c>
      <c r="H1774" s="197">
        <v>0</v>
      </c>
      <c r="I1774" s="210" t="s">
        <v>229</v>
      </c>
      <c r="J1774" s="210">
        <v>2026</v>
      </c>
      <c r="K1774" s="210">
        <v>2026</v>
      </c>
      <c r="L1774" s="268" t="str">
        <f t="shared" si="361"/>
        <v>Simple</v>
      </c>
      <c r="M1774" s="197">
        <v>43890</v>
      </c>
      <c r="N1774" s="197">
        <v>0</v>
      </c>
      <c r="O1774" s="257">
        <f>IF(ISNA(MATCH(H1774,'Operating leases'!$B$32:$B$43,0)),0,INDEX('Operating leases'!$M$32:$S$43,MATCH(H1774,'Operating leases'!$B$32:$B$43,0),MATCH(J1774,'Operating leases'!$M$11:$S$11,0)))</f>
        <v>0</v>
      </c>
      <c r="P1774" s="257">
        <f t="shared" si="362"/>
        <v>43890</v>
      </c>
      <c r="Q1774" s="257">
        <f t="shared" si="363"/>
        <v>43890</v>
      </c>
      <c r="R1774" s="258">
        <f>INDEX('Escalators '!$M$124:$S$129,MATCH(I1774,'Escalators '!$B$124:$B$129,0),MATCH(J1774,'Escalators '!$M$113:$S$113,0))</f>
        <v>1.1110424701464636</v>
      </c>
      <c r="S1774" s="257">
        <f t="shared" si="364"/>
        <v>0</v>
      </c>
      <c r="T1774" s="257">
        <f t="shared" si="365"/>
        <v>0</v>
      </c>
      <c r="U1774" s="269">
        <f t="shared" si="366"/>
        <v>48763.654014728287</v>
      </c>
      <c r="V1774" s="269">
        <f t="shared" si="367"/>
        <v>48763.654014728287</v>
      </c>
      <c r="W1774" s="269">
        <f t="shared" si="368"/>
        <v>48763.654014728287</v>
      </c>
      <c r="X1774" s="257">
        <f t="shared" si="369"/>
        <v>48763.654014728287</v>
      </c>
      <c r="Y1774" s="270">
        <f>IF(L1774="Complex",(INDEX('Escalators '!$M$176:$S$176,MATCH('Forecast capex'!J1774,'Escalators '!$M$178:$S$178,0))/12+1)^((K1774-J1774)*12)-1,0)</f>
        <v>0</v>
      </c>
      <c r="Z1774" s="257">
        <f t="shared" si="370"/>
        <v>0</v>
      </c>
      <c r="AA1774" s="257">
        <f t="shared" si="371"/>
        <v>0</v>
      </c>
      <c r="AB1774" s="269">
        <f t="shared" si="372"/>
        <v>0</v>
      </c>
      <c r="AC1774" s="269">
        <f t="shared" si="373"/>
        <v>0</v>
      </c>
      <c r="AD1774" s="271" t="str">
        <f>INDEX('Global inputs'!$C$134:$C$171,MATCH(F1774,'Global inputs'!$B$134:$B$171,0))</f>
        <v>Asset replacement and renewal</v>
      </c>
      <c r="AE1774" s="272">
        <f>IF(OR(H1774='Operating leases'!$B$32,H1774='Operating leases'!$B$33),"",INDEX('Global inputs'!$C$186:$C$243,MATCH(E1774,'Global inputs'!$B$186:$B$243,0)))</f>
        <v>0.1</v>
      </c>
    </row>
    <row r="1775" spans="1:31" s="27" customFormat="1" x14ac:dyDescent="0.2">
      <c r="A1775" s="250"/>
      <c r="B1775" s="210" t="s">
        <v>742</v>
      </c>
      <c r="C1775" s="210" t="s">
        <v>291</v>
      </c>
      <c r="D1775" s="210" t="s">
        <v>735</v>
      </c>
      <c r="E1775" s="210" t="s">
        <v>175</v>
      </c>
      <c r="F1775" s="210" t="s">
        <v>119</v>
      </c>
      <c r="G1775" s="210" t="s">
        <v>748</v>
      </c>
      <c r="H1775" s="197">
        <v>0</v>
      </c>
      <c r="I1775" s="210" t="s">
        <v>221</v>
      </c>
      <c r="J1775" s="210">
        <v>2026</v>
      </c>
      <c r="K1775" s="210">
        <v>2026</v>
      </c>
      <c r="L1775" s="268" t="str">
        <f t="shared" si="361"/>
        <v>Simple</v>
      </c>
      <c r="M1775" s="197">
        <v>175560</v>
      </c>
      <c r="N1775" s="197">
        <v>0</v>
      </c>
      <c r="O1775" s="257">
        <f>IF(ISNA(MATCH(H1775,'Operating leases'!$B$32:$B$43,0)),0,INDEX('Operating leases'!$M$32:$S$43,MATCH(H1775,'Operating leases'!$B$32:$B$43,0),MATCH(J1775,'Operating leases'!$M$11:$S$11,0)))</f>
        <v>0</v>
      </c>
      <c r="P1775" s="257">
        <f t="shared" si="362"/>
        <v>175560</v>
      </c>
      <c r="Q1775" s="257">
        <f t="shared" si="363"/>
        <v>175560</v>
      </c>
      <c r="R1775" s="258">
        <f>INDEX('Escalators '!$M$124:$S$129,MATCH(I1775,'Escalators '!$B$124:$B$129,0),MATCH(J1775,'Escalators '!$M$113:$S$113,0))</f>
        <v>1.1088998660799403</v>
      </c>
      <c r="S1775" s="257">
        <f t="shared" si="364"/>
        <v>0</v>
      </c>
      <c r="T1775" s="257">
        <f t="shared" si="365"/>
        <v>0</v>
      </c>
      <c r="U1775" s="269">
        <f t="shared" si="366"/>
        <v>194678.46048899431</v>
      </c>
      <c r="V1775" s="269">
        <f t="shared" si="367"/>
        <v>194678.46048899431</v>
      </c>
      <c r="W1775" s="269">
        <f t="shared" si="368"/>
        <v>194678.46048899431</v>
      </c>
      <c r="X1775" s="257">
        <f t="shared" si="369"/>
        <v>194678.46048899431</v>
      </c>
      <c r="Y1775" s="270">
        <f>IF(L1775="Complex",(INDEX('Escalators '!$M$176:$S$176,MATCH('Forecast capex'!J1775,'Escalators '!$M$178:$S$178,0))/12+1)^((K1775-J1775)*12)-1,0)</f>
        <v>0</v>
      </c>
      <c r="Z1775" s="257">
        <f t="shared" si="370"/>
        <v>0</v>
      </c>
      <c r="AA1775" s="257">
        <f t="shared" si="371"/>
        <v>0</v>
      </c>
      <c r="AB1775" s="269">
        <f t="shared" si="372"/>
        <v>0</v>
      </c>
      <c r="AC1775" s="269">
        <f t="shared" si="373"/>
        <v>0</v>
      </c>
      <c r="AD1775" s="271" t="str">
        <f>INDEX('Global inputs'!$C$134:$C$171,MATCH(F1775,'Global inputs'!$B$134:$B$171,0))</f>
        <v>Asset replacement and renewal</v>
      </c>
      <c r="AE1775" s="272">
        <f>IF(OR(H1775='Operating leases'!$B$32,H1775='Operating leases'!$B$33),"",INDEX('Global inputs'!$C$186:$C$243,MATCH(E1775,'Global inputs'!$B$186:$B$243,0)))</f>
        <v>0.1</v>
      </c>
    </row>
    <row r="1776" spans="1:31" s="27" customFormat="1" x14ac:dyDescent="0.2">
      <c r="A1776" s="250"/>
      <c r="B1776" s="210" t="s">
        <v>742</v>
      </c>
      <c r="C1776" s="210" t="s">
        <v>289</v>
      </c>
      <c r="D1776" s="210" t="s">
        <v>718</v>
      </c>
      <c r="E1776" s="210" t="s">
        <v>165</v>
      </c>
      <c r="F1776" s="210" t="s">
        <v>113</v>
      </c>
      <c r="G1776" s="210" t="s">
        <v>745</v>
      </c>
      <c r="H1776" s="197">
        <v>0</v>
      </c>
      <c r="I1776" s="210" t="s">
        <v>229</v>
      </c>
      <c r="J1776" s="210">
        <v>2026</v>
      </c>
      <c r="K1776" s="210">
        <v>2026</v>
      </c>
      <c r="L1776" s="268" t="str">
        <f t="shared" si="361"/>
        <v>Simple</v>
      </c>
      <c r="M1776" s="197">
        <v>469194.07499999995</v>
      </c>
      <c r="N1776" s="197">
        <v>0</v>
      </c>
      <c r="O1776" s="257">
        <f>IF(ISNA(MATCH(H1776,'Operating leases'!$B$32:$B$43,0)),0,INDEX('Operating leases'!$M$32:$S$43,MATCH(H1776,'Operating leases'!$B$32:$B$43,0),MATCH(J1776,'Operating leases'!$M$11:$S$11,0)))</f>
        <v>0</v>
      </c>
      <c r="P1776" s="257">
        <f t="shared" si="362"/>
        <v>469194.07499999995</v>
      </c>
      <c r="Q1776" s="257">
        <f t="shared" si="363"/>
        <v>469194.07499999995</v>
      </c>
      <c r="R1776" s="258">
        <f>INDEX('Escalators '!$M$124:$S$129,MATCH(I1776,'Escalators '!$B$124:$B$129,0),MATCH(J1776,'Escalators '!$M$113:$S$113,0))</f>
        <v>1.1110424701464636</v>
      </c>
      <c r="S1776" s="257">
        <f t="shared" si="364"/>
        <v>0</v>
      </c>
      <c r="T1776" s="257">
        <f t="shared" si="365"/>
        <v>0</v>
      </c>
      <c r="U1776" s="269">
        <f t="shared" si="366"/>
        <v>521294.54406608507</v>
      </c>
      <c r="V1776" s="269">
        <f t="shared" si="367"/>
        <v>521294.54406608507</v>
      </c>
      <c r="W1776" s="269">
        <f t="shared" si="368"/>
        <v>521294.54406608507</v>
      </c>
      <c r="X1776" s="257">
        <f t="shared" si="369"/>
        <v>521294.54406608507</v>
      </c>
      <c r="Y1776" s="270">
        <f>IF(L1776="Complex",(INDEX('Escalators '!$M$176:$S$176,MATCH('Forecast capex'!J1776,'Escalators '!$M$178:$S$178,0))/12+1)^((K1776-J1776)*12)-1,0)</f>
        <v>0</v>
      </c>
      <c r="Z1776" s="257">
        <f t="shared" si="370"/>
        <v>0</v>
      </c>
      <c r="AA1776" s="257">
        <f t="shared" si="371"/>
        <v>0</v>
      </c>
      <c r="AB1776" s="269">
        <f t="shared" si="372"/>
        <v>0</v>
      </c>
      <c r="AC1776" s="269">
        <f t="shared" si="373"/>
        <v>0</v>
      </c>
      <c r="AD1776" s="271" t="str">
        <f>INDEX('Global inputs'!$C$134:$C$171,MATCH(F1776,'Global inputs'!$B$134:$B$171,0))</f>
        <v>Asset replacement and renewal</v>
      </c>
      <c r="AE1776" s="272">
        <f>IF(OR(H1776='Operating leases'!$B$32,H1776='Operating leases'!$B$33),"",INDEX('Global inputs'!$C$186:$C$243,MATCH(E1776,'Global inputs'!$B$186:$B$243,0)))</f>
        <v>0.1</v>
      </c>
    </row>
    <row r="1777" spans="1:31" s="27" customFormat="1" x14ac:dyDescent="0.2">
      <c r="A1777" s="250"/>
      <c r="B1777" s="210" t="s">
        <v>742</v>
      </c>
      <c r="C1777" s="210" t="s">
        <v>289</v>
      </c>
      <c r="D1777" s="210" t="s">
        <v>718</v>
      </c>
      <c r="E1777" s="210" t="s">
        <v>165</v>
      </c>
      <c r="F1777" s="210" t="s">
        <v>113</v>
      </c>
      <c r="G1777" s="210" t="s">
        <v>745</v>
      </c>
      <c r="H1777" s="197">
        <v>0</v>
      </c>
      <c r="I1777" s="210" t="s">
        <v>221</v>
      </c>
      <c r="J1777" s="210">
        <v>2026</v>
      </c>
      <c r="K1777" s="210">
        <v>2026</v>
      </c>
      <c r="L1777" s="268" t="str">
        <f t="shared" si="361"/>
        <v>Simple</v>
      </c>
      <c r="M1777" s="197">
        <v>469194.07499999995</v>
      </c>
      <c r="N1777" s="197">
        <v>0</v>
      </c>
      <c r="O1777" s="257">
        <f>IF(ISNA(MATCH(H1777,'Operating leases'!$B$32:$B$43,0)),0,INDEX('Operating leases'!$M$32:$S$43,MATCH(H1777,'Operating leases'!$B$32:$B$43,0),MATCH(J1777,'Operating leases'!$M$11:$S$11,0)))</f>
        <v>0</v>
      </c>
      <c r="P1777" s="257">
        <f t="shared" si="362"/>
        <v>469194.07499999995</v>
      </c>
      <c r="Q1777" s="257">
        <f t="shared" si="363"/>
        <v>469194.07499999995</v>
      </c>
      <c r="R1777" s="258">
        <f>INDEX('Escalators '!$M$124:$S$129,MATCH(I1777,'Escalators '!$B$124:$B$129,0),MATCH(J1777,'Escalators '!$M$113:$S$113,0))</f>
        <v>1.1088998660799403</v>
      </c>
      <c r="S1777" s="257">
        <f t="shared" si="364"/>
        <v>0</v>
      </c>
      <c r="T1777" s="257">
        <f t="shared" si="365"/>
        <v>0</v>
      </c>
      <c r="U1777" s="269">
        <f t="shared" si="366"/>
        <v>520289.24693300138</v>
      </c>
      <c r="V1777" s="269">
        <f t="shared" si="367"/>
        <v>520289.24693300138</v>
      </c>
      <c r="W1777" s="269">
        <f t="shared" si="368"/>
        <v>520289.24693300138</v>
      </c>
      <c r="X1777" s="257">
        <f t="shared" si="369"/>
        <v>520289.24693300138</v>
      </c>
      <c r="Y1777" s="270">
        <f>IF(L1777="Complex",(INDEX('Escalators '!$M$176:$S$176,MATCH('Forecast capex'!J1777,'Escalators '!$M$178:$S$178,0))/12+1)^((K1777-J1777)*12)-1,0)</f>
        <v>0</v>
      </c>
      <c r="Z1777" s="257">
        <f t="shared" si="370"/>
        <v>0</v>
      </c>
      <c r="AA1777" s="257">
        <f t="shared" si="371"/>
        <v>0</v>
      </c>
      <c r="AB1777" s="269">
        <f t="shared" si="372"/>
        <v>0</v>
      </c>
      <c r="AC1777" s="269">
        <f t="shared" si="373"/>
        <v>0</v>
      </c>
      <c r="AD1777" s="271" t="str">
        <f>INDEX('Global inputs'!$C$134:$C$171,MATCH(F1777,'Global inputs'!$B$134:$B$171,0))</f>
        <v>Asset replacement and renewal</v>
      </c>
      <c r="AE1777" s="272">
        <f>IF(OR(H1777='Operating leases'!$B$32,H1777='Operating leases'!$B$33),"",INDEX('Global inputs'!$C$186:$C$243,MATCH(E1777,'Global inputs'!$B$186:$B$243,0)))</f>
        <v>0.1</v>
      </c>
    </row>
    <row r="1778" spans="1:31" s="27" customFormat="1" x14ac:dyDescent="0.2">
      <c r="A1778" s="250"/>
      <c r="B1778" s="210" t="s">
        <v>742</v>
      </c>
      <c r="C1778" s="210" t="s">
        <v>285</v>
      </c>
      <c r="D1778" s="210" t="s">
        <v>718</v>
      </c>
      <c r="E1778" s="210" t="s">
        <v>132</v>
      </c>
      <c r="F1778" s="210" t="s">
        <v>113</v>
      </c>
      <c r="G1778" s="210" t="s">
        <v>745</v>
      </c>
      <c r="H1778" s="197">
        <v>0</v>
      </c>
      <c r="I1778" s="210" t="s">
        <v>229</v>
      </c>
      <c r="J1778" s="210">
        <v>2026</v>
      </c>
      <c r="K1778" s="210">
        <v>2026</v>
      </c>
      <c r="L1778" s="268" t="str">
        <f t="shared" si="361"/>
        <v>Simple</v>
      </c>
      <c r="M1778" s="197">
        <v>47500</v>
      </c>
      <c r="N1778" s="197">
        <v>0</v>
      </c>
      <c r="O1778" s="257">
        <f>IF(ISNA(MATCH(H1778,'Operating leases'!$B$32:$B$43,0)),0,INDEX('Operating leases'!$M$32:$S$43,MATCH(H1778,'Operating leases'!$B$32:$B$43,0),MATCH(J1778,'Operating leases'!$M$11:$S$11,0)))</f>
        <v>0</v>
      </c>
      <c r="P1778" s="257">
        <f t="shared" si="362"/>
        <v>47500</v>
      </c>
      <c r="Q1778" s="257">
        <f t="shared" si="363"/>
        <v>47500</v>
      </c>
      <c r="R1778" s="258">
        <f>INDEX('Escalators '!$M$124:$S$129,MATCH(I1778,'Escalators '!$B$124:$B$129,0),MATCH(J1778,'Escalators '!$M$113:$S$113,0))</f>
        <v>1.1110424701464636</v>
      </c>
      <c r="S1778" s="257">
        <f t="shared" si="364"/>
        <v>0</v>
      </c>
      <c r="T1778" s="257">
        <f t="shared" si="365"/>
        <v>0</v>
      </c>
      <c r="U1778" s="269">
        <f t="shared" si="366"/>
        <v>52774.517331957024</v>
      </c>
      <c r="V1778" s="269">
        <f t="shared" si="367"/>
        <v>52774.517331957024</v>
      </c>
      <c r="W1778" s="269">
        <f t="shared" si="368"/>
        <v>52774.517331957024</v>
      </c>
      <c r="X1778" s="257">
        <f t="shared" si="369"/>
        <v>52774.517331957024</v>
      </c>
      <c r="Y1778" s="270">
        <f>IF(L1778="Complex",(INDEX('Escalators '!$M$176:$S$176,MATCH('Forecast capex'!J1778,'Escalators '!$M$178:$S$178,0))/12+1)^((K1778-J1778)*12)-1,0)</f>
        <v>0</v>
      </c>
      <c r="Z1778" s="257">
        <f t="shared" si="370"/>
        <v>0</v>
      </c>
      <c r="AA1778" s="257">
        <f t="shared" si="371"/>
        <v>0</v>
      </c>
      <c r="AB1778" s="269">
        <f t="shared" si="372"/>
        <v>0</v>
      </c>
      <c r="AC1778" s="269">
        <f t="shared" si="373"/>
        <v>0</v>
      </c>
      <c r="AD1778" s="271" t="str">
        <f>INDEX('Global inputs'!$C$134:$C$171,MATCH(F1778,'Global inputs'!$B$134:$B$171,0))</f>
        <v>Asset replacement and renewal</v>
      </c>
      <c r="AE1778" s="272">
        <f>IF(OR(H1778='Operating leases'!$B$32,H1778='Operating leases'!$B$33),"",INDEX('Global inputs'!$C$186:$C$243,MATCH(E1778,'Global inputs'!$B$186:$B$243,0)))</f>
        <v>0.08</v>
      </c>
    </row>
    <row r="1779" spans="1:31" s="27" customFormat="1" x14ac:dyDescent="0.2">
      <c r="A1779" s="250"/>
      <c r="B1779" s="210" t="s">
        <v>742</v>
      </c>
      <c r="C1779" s="210" t="s">
        <v>285</v>
      </c>
      <c r="D1779" s="210" t="s">
        <v>718</v>
      </c>
      <c r="E1779" s="210" t="s">
        <v>132</v>
      </c>
      <c r="F1779" s="210" t="s">
        <v>113</v>
      </c>
      <c r="G1779" s="210" t="s">
        <v>745</v>
      </c>
      <c r="H1779" s="197">
        <v>0</v>
      </c>
      <c r="I1779" s="210" t="s">
        <v>221</v>
      </c>
      <c r="J1779" s="210">
        <v>2026</v>
      </c>
      <c r="K1779" s="210">
        <v>2026</v>
      </c>
      <c r="L1779" s="268" t="str">
        <f t="shared" si="361"/>
        <v>Simple</v>
      </c>
      <c r="M1779" s="197">
        <v>47500</v>
      </c>
      <c r="N1779" s="197">
        <v>0</v>
      </c>
      <c r="O1779" s="257">
        <f>IF(ISNA(MATCH(H1779,'Operating leases'!$B$32:$B$43,0)),0,INDEX('Operating leases'!$M$32:$S$43,MATCH(H1779,'Operating leases'!$B$32:$B$43,0),MATCH(J1779,'Operating leases'!$M$11:$S$11,0)))</f>
        <v>0</v>
      </c>
      <c r="P1779" s="257">
        <f t="shared" si="362"/>
        <v>47500</v>
      </c>
      <c r="Q1779" s="257">
        <f t="shared" si="363"/>
        <v>47500</v>
      </c>
      <c r="R1779" s="258">
        <f>INDEX('Escalators '!$M$124:$S$129,MATCH(I1779,'Escalators '!$B$124:$B$129,0),MATCH(J1779,'Escalators '!$M$113:$S$113,0))</f>
        <v>1.1088998660799403</v>
      </c>
      <c r="S1779" s="257">
        <f t="shared" si="364"/>
        <v>0</v>
      </c>
      <c r="T1779" s="257">
        <f t="shared" si="365"/>
        <v>0</v>
      </c>
      <c r="U1779" s="269">
        <f t="shared" si="366"/>
        <v>52672.743638797161</v>
      </c>
      <c r="V1779" s="269">
        <f t="shared" si="367"/>
        <v>52672.743638797161</v>
      </c>
      <c r="W1779" s="269">
        <f t="shared" si="368"/>
        <v>52672.743638797161</v>
      </c>
      <c r="X1779" s="257">
        <f t="shared" si="369"/>
        <v>52672.743638797161</v>
      </c>
      <c r="Y1779" s="270">
        <f>IF(L1779="Complex",(INDEX('Escalators '!$M$176:$S$176,MATCH('Forecast capex'!J1779,'Escalators '!$M$178:$S$178,0))/12+1)^((K1779-J1779)*12)-1,0)</f>
        <v>0</v>
      </c>
      <c r="Z1779" s="257">
        <f t="shared" si="370"/>
        <v>0</v>
      </c>
      <c r="AA1779" s="257">
        <f t="shared" si="371"/>
        <v>0</v>
      </c>
      <c r="AB1779" s="269">
        <f t="shared" si="372"/>
        <v>0</v>
      </c>
      <c r="AC1779" s="269">
        <f t="shared" si="373"/>
        <v>0</v>
      </c>
      <c r="AD1779" s="271" t="str">
        <f>INDEX('Global inputs'!$C$134:$C$171,MATCH(F1779,'Global inputs'!$B$134:$B$171,0))</f>
        <v>Asset replacement and renewal</v>
      </c>
      <c r="AE1779" s="272">
        <f>IF(OR(H1779='Operating leases'!$B$32,H1779='Operating leases'!$B$33),"",INDEX('Global inputs'!$C$186:$C$243,MATCH(E1779,'Global inputs'!$B$186:$B$243,0)))</f>
        <v>0.08</v>
      </c>
    </row>
    <row r="1780" spans="1:31" s="27" customFormat="1" x14ac:dyDescent="0.2">
      <c r="A1780" s="250"/>
      <c r="B1780" s="210" t="s">
        <v>746</v>
      </c>
      <c r="C1780" s="210" t="s">
        <v>287</v>
      </c>
      <c r="D1780" s="210" t="s">
        <v>715</v>
      </c>
      <c r="E1780" s="210" t="s">
        <v>150</v>
      </c>
      <c r="F1780" s="210" t="s">
        <v>86</v>
      </c>
      <c r="G1780" s="210" t="s">
        <v>716</v>
      </c>
      <c r="H1780" s="197">
        <v>0</v>
      </c>
      <c r="I1780" s="210" t="s">
        <v>229</v>
      </c>
      <c r="J1780" s="210">
        <v>2026</v>
      </c>
      <c r="K1780" s="210">
        <v>2026</v>
      </c>
      <c r="L1780" s="268" t="str">
        <f t="shared" si="361"/>
        <v>Simple</v>
      </c>
      <c r="M1780" s="197">
        <v>67660.425000000003</v>
      </c>
      <c r="N1780" s="197">
        <v>0</v>
      </c>
      <c r="O1780" s="257">
        <f>IF(ISNA(MATCH(H1780,'Operating leases'!$B$32:$B$43,0)),0,INDEX('Operating leases'!$M$32:$S$43,MATCH(H1780,'Operating leases'!$B$32:$B$43,0),MATCH(J1780,'Operating leases'!$M$11:$S$11,0)))</f>
        <v>0</v>
      </c>
      <c r="P1780" s="257">
        <f t="shared" si="362"/>
        <v>67660.425000000003</v>
      </c>
      <c r="Q1780" s="257">
        <f t="shared" si="363"/>
        <v>67660.425000000003</v>
      </c>
      <c r="R1780" s="258">
        <f>INDEX('Escalators '!$M$124:$S$129,MATCH(I1780,'Escalators '!$B$124:$B$129,0),MATCH(J1780,'Escalators '!$M$113:$S$113,0))</f>
        <v>1.1110424701464636</v>
      </c>
      <c r="S1780" s="257">
        <f t="shared" si="364"/>
        <v>0</v>
      </c>
      <c r="T1780" s="257">
        <f t="shared" si="365"/>
        <v>0</v>
      </c>
      <c r="U1780" s="269">
        <f t="shared" si="366"/>
        <v>75173.605723159548</v>
      </c>
      <c r="V1780" s="269">
        <f t="shared" si="367"/>
        <v>75173.605723159548</v>
      </c>
      <c r="W1780" s="269">
        <f t="shared" si="368"/>
        <v>75173.605723159548</v>
      </c>
      <c r="X1780" s="257">
        <f t="shared" si="369"/>
        <v>75173.605723159548</v>
      </c>
      <c r="Y1780" s="270">
        <f>IF(L1780="Complex",(INDEX('Escalators '!$M$176:$S$176,MATCH('Forecast capex'!J1780,'Escalators '!$M$178:$S$178,0))/12+1)^((K1780-J1780)*12)-1,0)</f>
        <v>0</v>
      </c>
      <c r="Z1780" s="257">
        <f t="shared" si="370"/>
        <v>0</v>
      </c>
      <c r="AA1780" s="257">
        <f t="shared" si="371"/>
        <v>0</v>
      </c>
      <c r="AB1780" s="269">
        <f t="shared" si="372"/>
        <v>0</v>
      </c>
      <c r="AC1780" s="269">
        <f t="shared" si="373"/>
        <v>0</v>
      </c>
      <c r="AD1780" s="271" t="str">
        <f>INDEX('Global inputs'!$C$134:$C$171,MATCH(F1780,'Global inputs'!$B$134:$B$171,0))</f>
        <v xml:space="preserve">System growth </v>
      </c>
      <c r="AE1780" s="272">
        <f>IF(OR(H1780='Operating leases'!$B$32,H1780='Operating leases'!$B$33),"",INDEX('Global inputs'!$C$186:$C$243,MATCH(E1780,'Global inputs'!$B$186:$B$243,0)))</f>
        <v>0.08</v>
      </c>
    </row>
    <row r="1781" spans="1:31" s="27" customFormat="1" x14ac:dyDescent="0.2">
      <c r="A1781" s="250"/>
      <c r="B1781" s="210" t="s">
        <v>746</v>
      </c>
      <c r="C1781" s="210" t="s">
        <v>287</v>
      </c>
      <c r="D1781" s="210" t="s">
        <v>715</v>
      </c>
      <c r="E1781" s="210" t="s">
        <v>150</v>
      </c>
      <c r="F1781" s="210" t="s">
        <v>86</v>
      </c>
      <c r="G1781" s="210" t="s">
        <v>716</v>
      </c>
      <c r="H1781" s="197">
        <v>0</v>
      </c>
      <c r="I1781" s="210" t="s">
        <v>221</v>
      </c>
      <c r="J1781" s="210">
        <v>2026</v>
      </c>
      <c r="K1781" s="210">
        <v>2026</v>
      </c>
      <c r="L1781" s="268" t="str">
        <f t="shared" si="361"/>
        <v>Simple</v>
      </c>
      <c r="M1781" s="197">
        <v>67660.425000000003</v>
      </c>
      <c r="N1781" s="197">
        <v>0</v>
      </c>
      <c r="O1781" s="257">
        <f>IF(ISNA(MATCH(H1781,'Operating leases'!$B$32:$B$43,0)),0,INDEX('Operating leases'!$M$32:$S$43,MATCH(H1781,'Operating leases'!$B$32:$B$43,0),MATCH(J1781,'Operating leases'!$M$11:$S$11,0)))</f>
        <v>0</v>
      </c>
      <c r="P1781" s="257">
        <f t="shared" si="362"/>
        <v>67660.425000000003</v>
      </c>
      <c r="Q1781" s="257">
        <f t="shared" si="363"/>
        <v>67660.425000000003</v>
      </c>
      <c r="R1781" s="258">
        <f>INDEX('Escalators '!$M$124:$S$129,MATCH(I1781,'Escalators '!$B$124:$B$129,0),MATCH(J1781,'Escalators '!$M$113:$S$113,0))</f>
        <v>1.1088998660799403</v>
      </c>
      <c r="S1781" s="257">
        <f t="shared" si="364"/>
        <v>0</v>
      </c>
      <c r="T1781" s="257">
        <f t="shared" si="365"/>
        <v>0</v>
      </c>
      <c r="U1781" s="269">
        <f t="shared" si="366"/>
        <v>75028.636221411842</v>
      </c>
      <c r="V1781" s="269">
        <f t="shared" si="367"/>
        <v>75028.636221411842</v>
      </c>
      <c r="W1781" s="269">
        <f t="shared" si="368"/>
        <v>75028.636221411842</v>
      </c>
      <c r="X1781" s="257">
        <f t="shared" si="369"/>
        <v>75028.636221411842</v>
      </c>
      <c r="Y1781" s="270">
        <f>IF(L1781="Complex",(INDEX('Escalators '!$M$176:$S$176,MATCH('Forecast capex'!J1781,'Escalators '!$M$178:$S$178,0))/12+1)^((K1781-J1781)*12)-1,0)</f>
        <v>0</v>
      </c>
      <c r="Z1781" s="257">
        <f t="shared" si="370"/>
        <v>0</v>
      </c>
      <c r="AA1781" s="257">
        <f t="shared" si="371"/>
        <v>0</v>
      </c>
      <c r="AB1781" s="269">
        <f t="shared" si="372"/>
        <v>0</v>
      </c>
      <c r="AC1781" s="269">
        <f t="shared" si="373"/>
        <v>0</v>
      </c>
      <c r="AD1781" s="271" t="str">
        <f>INDEX('Global inputs'!$C$134:$C$171,MATCH(F1781,'Global inputs'!$B$134:$B$171,0))</f>
        <v xml:space="preserve">System growth </v>
      </c>
      <c r="AE1781" s="272">
        <f>IF(OR(H1781='Operating leases'!$B$32,H1781='Operating leases'!$B$33),"",INDEX('Global inputs'!$C$186:$C$243,MATCH(E1781,'Global inputs'!$B$186:$B$243,0)))</f>
        <v>0.08</v>
      </c>
    </row>
    <row r="1782" spans="1:31" s="27" customFormat="1" x14ac:dyDescent="0.2">
      <c r="A1782" s="250"/>
      <c r="B1782" s="210" t="s">
        <v>746</v>
      </c>
      <c r="C1782" s="210" t="s">
        <v>287</v>
      </c>
      <c r="D1782" s="210" t="s">
        <v>715</v>
      </c>
      <c r="E1782" s="210" t="s">
        <v>151</v>
      </c>
      <c r="F1782" s="210" t="s">
        <v>86</v>
      </c>
      <c r="G1782" s="210" t="s">
        <v>716</v>
      </c>
      <c r="H1782" s="197">
        <v>0</v>
      </c>
      <c r="I1782" s="210" t="s">
        <v>229</v>
      </c>
      <c r="J1782" s="210">
        <v>2026</v>
      </c>
      <c r="K1782" s="210">
        <v>2026</v>
      </c>
      <c r="L1782" s="268" t="str">
        <f t="shared" si="361"/>
        <v>Simple</v>
      </c>
      <c r="M1782" s="197">
        <v>67660.425000000003</v>
      </c>
      <c r="N1782" s="197">
        <v>0</v>
      </c>
      <c r="O1782" s="257">
        <f>IF(ISNA(MATCH(H1782,'Operating leases'!$B$32:$B$43,0)),0,INDEX('Operating leases'!$M$32:$S$43,MATCH(H1782,'Operating leases'!$B$32:$B$43,0),MATCH(J1782,'Operating leases'!$M$11:$S$11,0)))</f>
        <v>0</v>
      </c>
      <c r="P1782" s="257">
        <f t="shared" si="362"/>
        <v>67660.425000000003</v>
      </c>
      <c r="Q1782" s="257">
        <f t="shared" si="363"/>
        <v>67660.425000000003</v>
      </c>
      <c r="R1782" s="258">
        <f>INDEX('Escalators '!$M$124:$S$129,MATCH(I1782,'Escalators '!$B$124:$B$129,0),MATCH(J1782,'Escalators '!$M$113:$S$113,0))</f>
        <v>1.1110424701464636</v>
      </c>
      <c r="S1782" s="257">
        <f t="shared" si="364"/>
        <v>0</v>
      </c>
      <c r="T1782" s="257">
        <f t="shared" si="365"/>
        <v>0</v>
      </c>
      <c r="U1782" s="269">
        <f t="shared" si="366"/>
        <v>75173.605723159548</v>
      </c>
      <c r="V1782" s="269">
        <f t="shared" si="367"/>
        <v>75173.605723159548</v>
      </c>
      <c r="W1782" s="269">
        <f t="shared" si="368"/>
        <v>75173.605723159548</v>
      </c>
      <c r="X1782" s="257">
        <f t="shared" si="369"/>
        <v>75173.605723159548</v>
      </c>
      <c r="Y1782" s="270">
        <f>IF(L1782="Complex",(INDEX('Escalators '!$M$176:$S$176,MATCH('Forecast capex'!J1782,'Escalators '!$M$178:$S$178,0))/12+1)^((K1782-J1782)*12)-1,0)</f>
        <v>0</v>
      </c>
      <c r="Z1782" s="257">
        <f t="shared" si="370"/>
        <v>0</v>
      </c>
      <c r="AA1782" s="257">
        <f t="shared" si="371"/>
        <v>0</v>
      </c>
      <c r="AB1782" s="269">
        <f t="shared" si="372"/>
        <v>0</v>
      </c>
      <c r="AC1782" s="269">
        <f t="shared" si="373"/>
        <v>0</v>
      </c>
      <c r="AD1782" s="271" t="str">
        <f>INDEX('Global inputs'!$C$134:$C$171,MATCH(F1782,'Global inputs'!$B$134:$B$171,0))</f>
        <v xml:space="preserve">System growth </v>
      </c>
      <c r="AE1782" s="272">
        <f>IF(OR(H1782='Operating leases'!$B$32,H1782='Operating leases'!$B$33),"",INDEX('Global inputs'!$C$186:$C$243,MATCH(E1782,'Global inputs'!$B$186:$B$243,0)))</f>
        <v>0.1</v>
      </c>
    </row>
    <row r="1783" spans="1:31" s="27" customFormat="1" x14ac:dyDescent="0.2">
      <c r="A1783" s="250"/>
      <c r="B1783" s="210" t="s">
        <v>746</v>
      </c>
      <c r="C1783" s="210" t="s">
        <v>287</v>
      </c>
      <c r="D1783" s="210" t="s">
        <v>715</v>
      </c>
      <c r="E1783" s="210" t="s">
        <v>151</v>
      </c>
      <c r="F1783" s="210" t="s">
        <v>86</v>
      </c>
      <c r="G1783" s="210" t="s">
        <v>716</v>
      </c>
      <c r="H1783" s="197">
        <v>0</v>
      </c>
      <c r="I1783" s="210" t="s">
        <v>221</v>
      </c>
      <c r="J1783" s="210">
        <v>2026</v>
      </c>
      <c r="K1783" s="210">
        <v>2026</v>
      </c>
      <c r="L1783" s="268" t="str">
        <f t="shared" si="361"/>
        <v>Simple</v>
      </c>
      <c r="M1783" s="197">
        <v>67660.425000000003</v>
      </c>
      <c r="N1783" s="197">
        <v>0</v>
      </c>
      <c r="O1783" s="257">
        <f>IF(ISNA(MATCH(H1783,'Operating leases'!$B$32:$B$43,0)),0,INDEX('Operating leases'!$M$32:$S$43,MATCH(H1783,'Operating leases'!$B$32:$B$43,0),MATCH(J1783,'Operating leases'!$M$11:$S$11,0)))</f>
        <v>0</v>
      </c>
      <c r="P1783" s="257">
        <f t="shared" si="362"/>
        <v>67660.425000000003</v>
      </c>
      <c r="Q1783" s="257">
        <f t="shared" si="363"/>
        <v>67660.425000000003</v>
      </c>
      <c r="R1783" s="258">
        <f>INDEX('Escalators '!$M$124:$S$129,MATCH(I1783,'Escalators '!$B$124:$B$129,0),MATCH(J1783,'Escalators '!$M$113:$S$113,0))</f>
        <v>1.1088998660799403</v>
      </c>
      <c r="S1783" s="257">
        <f t="shared" si="364"/>
        <v>0</v>
      </c>
      <c r="T1783" s="257">
        <f t="shared" si="365"/>
        <v>0</v>
      </c>
      <c r="U1783" s="269">
        <f t="shared" si="366"/>
        <v>75028.636221411842</v>
      </c>
      <c r="V1783" s="269">
        <f t="shared" si="367"/>
        <v>75028.636221411842</v>
      </c>
      <c r="W1783" s="269">
        <f t="shared" si="368"/>
        <v>75028.636221411842</v>
      </c>
      <c r="X1783" s="257">
        <f t="shared" si="369"/>
        <v>75028.636221411842</v>
      </c>
      <c r="Y1783" s="270">
        <f>IF(L1783="Complex",(INDEX('Escalators '!$M$176:$S$176,MATCH('Forecast capex'!J1783,'Escalators '!$M$178:$S$178,0))/12+1)^((K1783-J1783)*12)-1,0)</f>
        <v>0</v>
      </c>
      <c r="Z1783" s="257">
        <f t="shared" si="370"/>
        <v>0</v>
      </c>
      <c r="AA1783" s="257">
        <f t="shared" si="371"/>
        <v>0</v>
      </c>
      <c r="AB1783" s="269">
        <f t="shared" si="372"/>
        <v>0</v>
      </c>
      <c r="AC1783" s="269">
        <f t="shared" si="373"/>
        <v>0</v>
      </c>
      <c r="AD1783" s="271" t="str">
        <f>INDEX('Global inputs'!$C$134:$C$171,MATCH(F1783,'Global inputs'!$B$134:$B$171,0))</f>
        <v xml:space="preserve">System growth </v>
      </c>
      <c r="AE1783" s="272">
        <f>IF(OR(H1783='Operating leases'!$B$32,H1783='Operating leases'!$B$33),"",INDEX('Global inputs'!$C$186:$C$243,MATCH(E1783,'Global inputs'!$B$186:$B$243,0)))</f>
        <v>0.1</v>
      </c>
    </row>
    <row r="1784" spans="1:31" s="27" customFormat="1" x14ac:dyDescent="0.2">
      <c r="A1784" s="250"/>
      <c r="B1784" s="210" t="s">
        <v>746</v>
      </c>
      <c r="C1784" s="210" t="s">
        <v>287</v>
      </c>
      <c r="D1784" s="210" t="s">
        <v>715</v>
      </c>
      <c r="E1784" s="210" t="s">
        <v>153</v>
      </c>
      <c r="F1784" s="210" t="s">
        <v>86</v>
      </c>
      <c r="G1784" s="210" t="s">
        <v>716</v>
      </c>
      <c r="H1784" s="197">
        <v>0</v>
      </c>
      <c r="I1784" s="210" t="s">
        <v>229</v>
      </c>
      <c r="J1784" s="210">
        <v>2026</v>
      </c>
      <c r="K1784" s="210">
        <v>2026</v>
      </c>
      <c r="L1784" s="268" t="str">
        <f t="shared" si="361"/>
        <v>Simple</v>
      </c>
      <c r="M1784" s="197">
        <v>30071.3</v>
      </c>
      <c r="N1784" s="197">
        <v>0</v>
      </c>
      <c r="O1784" s="257">
        <f>IF(ISNA(MATCH(H1784,'Operating leases'!$B$32:$B$43,0)),0,INDEX('Operating leases'!$M$32:$S$43,MATCH(H1784,'Operating leases'!$B$32:$B$43,0),MATCH(J1784,'Operating leases'!$M$11:$S$11,0)))</f>
        <v>0</v>
      </c>
      <c r="P1784" s="257">
        <f t="shared" si="362"/>
        <v>30071.3</v>
      </c>
      <c r="Q1784" s="257">
        <f t="shared" si="363"/>
        <v>30071.3</v>
      </c>
      <c r="R1784" s="258">
        <f>INDEX('Escalators '!$M$124:$S$129,MATCH(I1784,'Escalators '!$B$124:$B$129,0),MATCH(J1784,'Escalators '!$M$113:$S$113,0))</f>
        <v>1.1110424701464636</v>
      </c>
      <c r="S1784" s="257">
        <f t="shared" si="364"/>
        <v>0</v>
      </c>
      <c r="T1784" s="257">
        <f t="shared" si="365"/>
        <v>0</v>
      </c>
      <c r="U1784" s="269">
        <f t="shared" si="366"/>
        <v>33410.491432515351</v>
      </c>
      <c r="V1784" s="269">
        <f t="shared" si="367"/>
        <v>33410.491432515351</v>
      </c>
      <c r="W1784" s="269">
        <f t="shared" si="368"/>
        <v>33410.491432515351</v>
      </c>
      <c r="X1784" s="257">
        <f t="shared" si="369"/>
        <v>33410.491432515351</v>
      </c>
      <c r="Y1784" s="270">
        <f>IF(L1784="Complex",(INDEX('Escalators '!$M$176:$S$176,MATCH('Forecast capex'!J1784,'Escalators '!$M$178:$S$178,0))/12+1)^((K1784-J1784)*12)-1,0)</f>
        <v>0</v>
      </c>
      <c r="Z1784" s="257">
        <f t="shared" si="370"/>
        <v>0</v>
      </c>
      <c r="AA1784" s="257">
        <f t="shared" si="371"/>
        <v>0</v>
      </c>
      <c r="AB1784" s="269">
        <f t="shared" si="372"/>
        <v>0</v>
      </c>
      <c r="AC1784" s="269">
        <f t="shared" si="373"/>
        <v>0</v>
      </c>
      <c r="AD1784" s="271" t="str">
        <f>INDEX('Global inputs'!$C$134:$C$171,MATCH(F1784,'Global inputs'!$B$134:$B$171,0))</f>
        <v xml:space="preserve">System growth </v>
      </c>
      <c r="AE1784" s="272">
        <f>IF(OR(H1784='Operating leases'!$B$32,H1784='Operating leases'!$B$33),"",INDEX('Global inputs'!$C$186:$C$243,MATCH(E1784,'Global inputs'!$B$186:$B$243,0)))</f>
        <v>0.08</v>
      </c>
    </row>
    <row r="1785" spans="1:31" s="27" customFormat="1" x14ac:dyDescent="0.2">
      <c r="A1785" s="250"/>
      <c r="B1785" s="210" t="s">
        <v>746</v>
      </c>
      <c r="C1785" s="210" t="s">
        <v>287</v>
      </c>
      <c r="D1785" s="210" t="s">
        <v>715</v>
      </c>
      <c r="E1785" s="210" t="s">
        <v>153</v>
      </c>
      <c r="F1785" s="210" t="s">
        <v>86</v>
      </c>
      <c r="G1785" s="210" t="s">
        <v>716</v>
      </c>
      <c r="H1785" s="197">
        <v>0</v>
      </c>
      <c r="I1785" s="210" t="s">
        <v>221</v>
      </c>
      <c r="J1785" s="210">
        <v>2026</v>
      </c>
      <c r="K1785" s="210">
        <v>2026</v>
      </c>
      <c r="L1785" s="268" t="str">
        <f t="shared" si="361"/>
        <v>Simple</v>
      </c>
      <c r="M1785" s="197">
        <v>30071.3</v>
      </c>
      <c r="N1785" s="197">
        <v>0</v>
      </c>
      <c r="O1785" s="257">
        <f>IF(ISNA(MATCH(H1785,'Operating leases'!$B$32:$B$43,0)),0,INDEX('Operating leases'!$M$32:$S$43,MATCH(H1785,'Operating leases'!$B$32:$B$43,0),MATCH(J1785,'Operating leases'!$M$11:$S$11,0)))</f>
        <v>0</v>
      </c>
      <c r="P1785" s="257">
        <f t="shared" si="362"/>
        <v>30071.3</v>
      </c>
      <c r="Q1785" s="257">
        <f t="shared" si="363"/>
        <v>30071.3</v>
      </c>
      <c r="R1785" s="258">
        <f>INDEX('Escalators '!$M$124:$S$129,MATCH(I1785,'Escalators '!$B$124:$B$129,0),MATCH(J1785,'Escalators '!$M$113:$S$113,0))</f>
        <v>1.1088998660799403</v>
      </c>
      <c r="S1785" s="257">
        <f t="shared" si="364"/>
        <v>0</v>
      </c>
      <c r="T1785" s="257">
        <f t="shared" si="365"/>
        <v>0</v>
      </c>
      <c r="U1785" s="269">
        <f t="shared" si="366"/>
        <v>33346.060542849707</v>
      </c>
      <c r="V1785" s="269">
        <f t="shared" si="367"/>
        <v>33346.060542849707</v>
      </c>
      <c r="W1785" s="269">
        <f t="shared" si="368"/>
        <v>33346.060542849707</v>
      </c>
      <c r="X1785" s="257">
        <f t="shared" si="369"/>
        <v>33346.060542849707</v>
      </c>
      <c r="Y1785" s="270">
        <f>IF(L1785="Complex",(INDEX('Escalators '!$M$176:$S$176,MATCH('Forecast capex'!J1785,'Escalators '!$M$178:$S$178,0))/12+1)^((K1785-J1785)*12)-1,0)</f>
        <v>0</v>
      </c>
      <c r="Z1785" s="257">
        <f t="shared" si="370"/>
        <v>0</v>
      </c>
      <c r="AA1785" s="257">
        <f t="shared" si="371"/>
        <v>0</v>
      </c>
      <c r="AB1785" s="269">
        <f t="shared" si="372"/>
        <v>0</v>
      </c>
      <c r="AC1785" s="269">
        <f t="shared" si="373"/>
        <v>0</v>
      </c>
      <c r="AD1785" s="271" t="str">
        <f>INDEX('Global inputs'!$C$134:$C$171,MATCH(F1785,'Global inputs'!$B$134:$B$171,0))</f>
        <v xml:space="preserve">System growth </v>
      </c>
      <c r="AE1785" s="272">
        <f>IF(OR(H1785='Operating leases'!$B$32,H1785='Operating leases'!$B$33),"",INDEX('Global inputs'!$C$186:$C$243,MATCH(E1785,'Global inputs'!$B$186:$B$243,0)))</f>
        <v>0.08</v>
      </c>
    </row>
    <row r="1786" spans="1:31" s="27" customFormat="1" x14ac:dyDescent="0.2">
      <c r="A1786" s="250"/>
      <c r="B1786" s="210" t="s">
        <v>746</v>
      </c>
      <c r="C1786" s="210" t="s">
        <v>287</v>
      </c>
      <c r="D1786" s="210" t="s">
        <v>715</v>
      </c>
      <c r="E1786" s="210" t="s">
        <v>154</v>
      </c>
      <c r="F1786" s="210" t="s">
        <v>86</v>
      </c>
      <c r="G1786" s="210" t="s">
        <v>716</v>
      </c>
      <c r="H1786" s="197">
        <v>0</v>
      </c>
      <c r="I1786" s="210" t="s">
        <v>229</v>
      </c>
      <c r="J1786" s="210">
        <v>2026</v>
      </c>
      <c r="K1786" s="210">
        <v>2026</v>
      </c>
      <c r="L1786" s="268" t="str">
        <f t="shared" si="361"/>
        <v>Simple</v>
      </c>
      <c r="M1786" s="197">
        <v>30071.3</v>
      </c>
      <c r="N1786" s="197">
        <v>0</v>
      </c>
      <c r="O1786" s="257">
        <f>IF(ISNA(MATCH(H1786,'Operating leases'!$B$32:$B$43,0)),0,INDEX('Operating leases'!$M$32:$S$43,MATCH(H1786,'Operating leases'!$B$32:$B$43,0),MATCH(J1786,'Operating leases'!$M$11:$S$11,0)))</f>
        <v>0</v>
      </c>
      <c r="P1786" s="257">
        <f t="shared" si="362"/>
        <v>30071.3</v>
      </c>
      <c r="Q1786" s="257">
        <f t="shared" si="363"/>
        <v>30071.3</v>
      </c>
      <c r="R1786" s="258">
        <f>INDEX('Escalators '!$M$124:$S$129,MATCH(I1786,'Escalators '!$B$124:$B$129,0),MATCH(J1786,'Escalators '!$M$113:$S$113,0))</f>
        <v>1.1110424701464636</v>
      </c>
      <c r="S1786" s="257">
        <f t="shared" si="364"/>
        <v>0</v>
      </c>
      <c r="T1786" s="257">
        <f t="shared" si="365"/>
        <v>0</v>
      </c>
      <c r="U1786" s="269">
        <f t="shared" si="366"/>
        <v>33410.491432515351</v>
      </c>
      <c r="V1786" s="269">
        <f t="shared" si="367"/>
        <v>33410.491432515351</v>
      </c>
      <c r="W1786" s="269">
        <f t="shared" si="368"/>
        <v>33410.491432515351</v>
      </c>
      <c r="X1786" s="257">
        <f t="shared" si="369"/>
        <v>33410.491432515351</v>
      </c>
      <c r="Y1786" s="270">
        <f>IF(L1786="Complex",(INDEX('Escalators '!$M$176:$S$176,MATCH('Forecast capex'!J1786,'Escalators '!$M$178:$S$178,0))/12+1)^((K1786-J1786)*12)-1,0)</f>
        <v>0</v>
      </c>
      <c r="Z1786" s="257">
        <f t="shared" si="370"/>
        <v>0</v>
      </c>
      <c r="AA1786" s="257">
        <f t="shared" si="371"/>
        <v>0</v>
      </c>
      <c r="AB1786" s="269">
        <f t="shared" si="372"/>
        <v>0</v>
      </c>
      <c r="AC1786" s="269">
        <f t="shared" si="373"/>
        <v>0</v>
      </c>
      <c r="AD1786" s="271" t="str">
        <f>INDEX('Global inputs'!$C$134:$C$171,MATCH(F1786,'Global inputs'!$B$134:$B$171,0))</f>
        <v xml:space="preserve">System growth </v>
      </c>
      <c r="AE1786" s="272">
        <f>IF(OR(H1786='Operating leases'!$B$32,H1786='Operating leases'!$B$33),"",INDEX('Global inputs'!$C$186:$C$243,MATCH(E1786,'Global inputs'!$B$186:$B$243,0)))</f>
        <v>0.1</v>
      </c>
    </row>
    <row r="1787" spans="1:31" s="27" customFormat="1" x14ac:dyDescent="0.2">
      <c r="A1787" s="250"/>
      <c r="B1787" s="210" t="s">
        <v>746</v>
      </c>
      <c r="C1787" s="210" t="s">
        <v>287</v>
      </c>
      <c r="D1787" s="210" t="s">
        <v>715</v>
      </c>
      <c r="E1787" s="210" t="s">
        <v>154</v>
      </c>
      <c r="F1787" s="210" t="s">
        <v>86</v>
      </c>
      <c r="G1787" s="210" t="s">
        <v>716</v>
      </c>
      <c r="H1787" s="197">
        <v>0</v>
      </c>
      <c r="I1787" s="210" t="s">
        <v>221</v>
      </c>
      <c r="J1787" s="210">
        <v>2026</v>
      </c>
      <c r="K1787" s="210">
        <v>2026</v>
      </c>
      <c r="L1787" s="268" t="str">
        <f t="shared" si="361"/>
        <v>Simple</v>
      </c>
      <c r="M1787" s="197">
        <v>30071.3</v>
      </c>
      <c r="N1787" s="197">
        <v>0</v>
      </c>
      <c r="O1787" s="257">
        <f>IF(ISNA(MATCH(H1787,'Operating leases'!$B$32:$B$43,0)),0,INDEX('Operating leases'!$M$32:$S$43,MATCH(H1787,'Operating leases'!$B$32:$B$43,0),MATCH(J1787,'Operating leases'!$M$11:$S$11,0)))</f>
        <v>0</v>
      </c>
      <c r="P1787" s="257">
        <f t="shared" si="362"/>
        <v>30071.3</v>
      </c>
      <c r="Q1787" s="257">
        <f t="shared" si="363"/>
        <v>30071.3</v>
      </c>
      <c r="R1787" s="258">
        <f>INDEX('Escalators '!$M$124:$S$129,MATCH(I1787,'Escalators '!$B$124:$B$129,0),MATCH(J1787,'Escalators '!$M$113:$S$113,0))</f>
        <v>1.1088998660799403</v>
      </c>
      <c r="S1787" s="257">
        <f t="shared" si="364"/>
        <v>0</v>
      </c>
      <c r="T1787" s="257">
        <f t="shared" si="365"/>
        <v>0</v>
      </c>
      <c r="U1787" s="269">
        <f t="shared" si="366"/>
        <v>33346.060542849707</v>
      </c>
      <c r="V1787" s="269">
        <f t="shared" si="367"/>
        <v>33346.060542849707</v>
      </c>
      <c r="W1787" s="269">
        <f t="shared" si="368"/>
        <v>33346.060542849707</v>
      </c>
      <c r="X1787" s="257">
        <f t="shared" si="369"/>
        <v>33346.060542849707</v>
      </c>
      <c r="Y1787" s="270">
        <f>IF(L1787="Complex",(INDEX('Escalators '!$M$176:$S$176,MATCH('Forecast capex'!J1787,'Escalators '!$M$178:$S$178,0))/12+1)^((K1787-J1787)*12)-1,0)</f>
        <v>0</v>
      </c>
      <c r="Z1787" s="257">
        <f t="shared" si="370"/>
        <v>0</v>
      </c>
      <c r="AA1787" s="257">
        <f t="shared" si="371"/>
        <v>0</v>
      </c>
      <c r="AB1787" s="269">
        <f t="shared" si="372"/>
        <v>0</v>
      </c>
      <c r="AC1787" s="269">
        <f t="shared" si="373"/>
        <v>0</v>
      </c>
      <c r="AD1787" s="271" t="str">
        <f>INDEX('Global inputs'!$C$134:$C$171,MATCH(F1787,'Global inputs'!$B$134:$B$171,0))</f>
        <v xml:space="preserve">System growth </v>
      </c>
      <c r="AE1787" s="272">
        <f>IF(OR(H1787='Operating leases'!$B$32,H1787='Operating leases'!$B$33),"",INDEX('Global inputs'!$C$186:$C$243,MATCH(E1787,'Global inputs'!$B$186:$B$243,0)))</f>
        <v>0.1</v>
      </c>
    </row>
    <row r="1788" spans="1:31" s="27" customFormat="1" x14ac:dyDescent="0.2">
      <c r="A1788" s="250"/>
      <c r="B1788" s="210" t="s">
        <v>746</v>
      </c>
      <c r="C1788" s="210" t="s">
        <v>287</v>
      </c>
      <c r="D1788" s="210" t="s">
        <v>715</v>
      </c>
      <c r="E1788" s="210" t="s">
        <v>150</v>
      </c>
      <c r="F1788" s="210" t="s">
        <v>86</v>
      </c>
      <c r="G1788" s="210" t="s">
        <v>717</v>
      </c>
      <c r="H1788" s="197">
        <v>0</v>
      </c>
      <c r="I1788" s="210" t="s">
        <v>229</v>
      </c>
      <c r="J1788" s="210">
        <v>2026</v>
      </c>
      <c r="K1788" s="210">
        <v>2026</v>
      </c>
      <c r="L1788" s="268" t="str">
        <f t="shared" si="361"/>
        <v>Simple</v>
      </c>
      <c r="M1788" s="197">
        <v>45106.95</v>
      </c>
      <c r="N1788" s="197">
        <v>0</v>
      </c>
      <c r="O1788" s="257">
        <f>IF(ISNA(MATCH(H1788,'Operating leases'!$B$32:$B$43,0)),0,INDEX('Operating leases'!$M$32:$S$43,MATCH(H1788,'Operating leases'!$B$32:$B$43,0),MATCH(J1788,'Operating leases'!$M$11:$S$11,0)))</f>
        <v>0</v>
      </c>
      <c r="P1788" s="257">
        <f t="shared" si="362"/>
        <v>45106.95</v>
      </c>
      <c r="Q1788" s="257">
        <f t="shared" si="363"/>
        <v>45106.95</v>
      </c>
      <c r="R1788" s="258">
        <f>INDEX('Escalators '!$M$124:$S$129,MATCH(I1788,'Escalators '!$B$124:$B$129,0),MATCH(J1788,'Escalators '!$M$113:$S$113,0))</f>
        <v>1.1110424701464636</v>
      </c>
      <c r="S1788" s="257">
        <f t="shared" si="364"/>
        <v>0</v>
      </c>
      <c r="T1788" s="257">
        <f t="shared" si="365"/>
        <v>0</v>
      </c>
      <c r="U1788" s="269">
        <f t="shared" si="366"/>
        <v>50115.737148773027</v>
      </c>
      <c r="V1788" s="269">
        <f t="shared" si="367"/>
        <v>50115.737148773027</v>
      </c>
      <c r="W1788" s="269">
        <f t="shared" si="368"/>
        <v>50115.737148773027</v>
      </c>
      <c r="X1788" s="257">
        <f t="shared" si="369"/>
        <v>50115.737148773027</v>
      </c>
      <c r="Y1788" s="270">
        <f>IF(L1788="Complex",(INDEX('Escalators '!$M$176:$S$176,MATCH('Forecast capex'!J1788,'Escalators '!$M$178:$S$178,0))/12+1)^((K1788-J1788)*12)-1,0)</f>
        <v>0</v>
      </c>
      <c r="Z1788" s="257">
        <f t="shared" si="370"/>
        <v>0</v>
      </c>
      <c r="AA1788" s="257">
        <f t="shared" si="371"/>
        <v>0</v>
      </c>
      <c r="AB1788" s="269">
        <f t="shared" si="372"/>
        <v>0</v>
      </c>
      <c r="AC1788" s="269">
        <f t="shared" si="373"/>
        <v>0</v>
      </c>
      <c r="AD1788" s="271" t="str">
        <f>INDEX('Global inputs'!$C$134:$C$171,MATCH(F1788,'Global inputs'!$B$134:$B$171,0))</f>
        <v xml:space="preserve">System growth </v>
      </c>
      <c r="AE1788" s="272">
        <f>IF(OR(H1788='Operating leases'!$B$32,H1788='Operating leases'!$B$33),"",INDEX('Global inputs'!$C$186:$C$243,MATCH(E1788,'Global inputs'!$B$186:$B$243,0)))</f>
        <v>0.08</v>
      </c>
    </row>
    <row r="1789" spans="1:31" s="27" customFormat="1" x14ac:dyDescent="0.2">
      <c r="A1789" s="250"/>
      <c r="B1789" s="210" t="s">
        <v>746</v>
      </c>
      <c r="C1789" s="210" t="s">
        <v>287</v>
      </c>
      <c r="D1789" s="210" t="s">
        <v>715</v>
      </c>
      <c r="E1789" s="210" t="s">
        <v>150</v>
      </c>
      <c r="F1789" s="210" t="s">
        <v>86</v>
      </c>
      <c r="G1789" s="210" t="s">
        <v>717</v>
      </c>
      <c r="H1789" s="197">
        <v>0</v>
      </c>
      <c r="I1789" s="210" t="s">
        <v>221</v>
      </c>
      <c r="J1789" s="210">
        <v>2026</v>
      </c>
      <c r="K1789" s="210">
        <v>2026</v>
      </c>
      <c r="L1789" s="268" t="str">
        <f t="shared" si="361"/>
        <v>Simple</v>
      </c>
      <c r="M1789" s="197">
        <v>45106.95</v>
      </c>
      <c r="N1789" s="197">
        <v>0</v>
      </c>
      <c r="O1789" s="257">
        <f>IF(ISNA(MATCH(H1789,'Operating leases'!$B$32:$B$43,0)),0,INDEX('Operating leases'!$M$32:$S$43,MATCH(H1789,'Operating leases'!$B$32:$B$43,0),MATCH(J1789,'Operating leases'!$M$11:$S$11,0)))</f>
        <v>0</v>
      </c>
      <c r="P1789" s="257">
        <f t="shared" si="362"/>
        <v>45106.95</v>
      </c>
      <c r="Q1789" s="257">
        <f t="shared" si="363"/>
        <v>45106.95</v>
      </c>
      <c r="R1789" s="258">
        <f>INDEX('Escalators '!$M$124:$S$129,MATCH(I1789,'Escalators '!$B$124:$B$129,0),MATCH(J1789,'Escalators '!$M$113:$S$113,0))</f>
        <v>1.1088998660799403</v>
      </c>
      <c r="S1789" s="257">
        <f t="shared" si="364"/>
        <v>0</v>
      </c>
      <c r="T1789" s="257">
        <f t="shared" si="365"/>
        <v>0</v>
      </c>
      <c r="U1789" s="269">
        <f t="shared" si="366"/>
        <v>50019.090814274561</v>
      </c>
      <c r="V1789" s="269">
        <f t="shared" si="367"/>
        <v>50019.090814274561</v>
      </c>
      <c r="W1789" s="269">
        <f t="shared" si="368"/>
        <v>50019.090814274561</v>
      </c>
      <c r="X1789" s="257">
        <f t="shared" si="369"/>
        <v>50019.090814274561</v>
      </c>
      <c r="Y1789" s="270">
        <f>IF(L1789="Complex",(INDEX('Escalators '!$M$176:$S$176,MATCH('Forecast capex'!J1789,'Escalators '!$M$178:$S$178,0))/12+1)^((K1789-J1789)*12)-1,0)</f>
        <v>0</v>
      </c>
      <c r="Z1789" s="257">
        <f t="shared" si="370"/>
        <v>0</v>
      </c>
      <c r="AA1789" s="257">
        <f t="shared" si="371"/>
        <v>0</v>
      </c>
      <c r="AB1789" s="269">
        <f t="shared" si="372"/>
        <v>0</v>
      </c>
      <c r="AC1789" s="269">
        <f t="shared" si="373"/>
        <v>0</v>
      </c>
      <c r="AD1789" s="271" t="str">
        <f>INDEX('Global inputs'!$C$134:$C$171,MATCH(F1789,'Global inputs'!$B$134:$B$171,0))</f>
        <v xml:space="preserve">System growth </v>
      </c>
      <c r="AE1789" s="272">
        <f>IF(OR(H1789='Operating leases'!$B$32,H1789='Operating leases'!$B$33),"",INDEX('Global inputs'!$C$186:$C$243,MATCH(E1789,'Global inputs'!$B$186:$B$243,0)))</f>
        <v>0.08</v>
      </c>
    </row>
    <row r="1790" spans="1:31" s="27" customFormat="1" x14ac:dyDescent="0.2">
      <c r="A1790" s="250"/>
      <c r="B1790" s="210" t="s">
        <v>746</v>
      </c>
      <c r="C1790" s="210" t="s">
        <v>287</v>
      </c>
      <c r="D1790" s="210" t="s">
        <v>715</v>
      </c>
      <c r="E1790" s="210" t="s">
        <v>151</v>
      </c>
      <c r="F1790" s="210" t="s">
        <v>86</v>
      </c>
      <c r="G1790" s="210" t="s">
        <v>717</v>
      </c>
      <c r="H1790" s="197">
        <v>0</v>
      </c>
      <c r="I1790" s="210" t="s">
        <v>229</v>
      </c>
      <c r="J1790" s="210">
        <v>2026</v>
      </c>
      <c r="K1790" s="210">
        <v>2026</v>
      </c>
      <c r="L1790" s="268" t="str">
        <f t="shared" si="361"/>
        <v>Simple</v>
      </c>
      <c r="M1790" s="197">
        <v>45106.95</v>
      </c>
      <c r="N1790" s="197">
        <v>0</v>
      </c>
      <c r="O1790" s="257">
        <f>IF(ISNA(MATCH(H1790,'Operating leases'!$B$32:$B$43,0)),0,INDEX('Operating leases'!$M$32:$S$43,MATCH(H1790,'Operating leases'!$B$32:$B$43,0),MATCH(J1790,'Operating leases'!$M$11:$S$11,0)))</f>
        <v>0</v>
      </c>
      <c r="P1790" s="257">
        <f t="shared" si="362"/>
        <v>45106.95</v>
      </c>
      <c r="Q1790" s="257">
        <f t="shared" si="363"/>
        <v>45106.95</v>
      </c>
      <c r="R1790" s="258">
        <f>INDEX('Escalators '!$M$124:$S$129,MATCH(I1790,'Escalators '!$B$124:$B$129,0),MATCH(J1790,'Escalators '!$M$113:$S$113,0))</f>
        <v>1.1110424701464636</v>
      </c>
      <c r="S1790" s="257">
        <f t="shared" si="364"/>
        <v>0</v>
      </c>
      <c r="T1790" s="257">
        <f t="shared" si="365"/>
        <v>0</v>
      </c>
      <c r="U1790" s="269">
        <f t="shared" si="366"/>
        <v>50115.737148773027</v>
      </c>
      <c r="V1790" s="269">
        <f t="shared" si="367"/>
        <v>50115.737148773027</v>
      </c>
      <c r="W1790" s="269">
        <f t="shared" si="368"/>
        <v>50115.737148773027</v>
      </c>
      <c r="X1790" s="257">
        <f t="shared" si="369"/>
        <v>50115.737148773027</v>
      </c>
      <c r="Y1790" s="270">
        <f>IF(L1790="Complex",(INDEX('Escalators '!$M$176:$S$176,MATCH('Forecast capex'!J1790,'Escalators '!$M$178:$S$178,0))/12+1)^((K1790-J1790)*12)-1,0)</f>
        <v>0</v>
      </c>
      <c r="Z1790" s="257">
        <f t="shared" si="370"/>
        <v>0</v>
      </c>
      <c r="AA1790" s="257">
        <f t="shared" si="371"/>
        <v>0</v>
      </c>
      <c r="AB1790" s="269">
        <f t="shared" si="372"/>
        <v>0</v>
      </c>
      <c r="AC1790" s="269">
        <f t="shared" si="373"/>
        <v>0</v>
      </c>
      <c r="AD1790" s="271" t="str">
        <f>INDEX('Global inputs'!$C$134:$C$171,MATCH(F1790,'Global inputs'!$B$134:$B$171,0))</f>
        <v xml:space="preserve">System growth </v>
      </c>
      <c r="AE1790" s="272">
        <f>IF(OR(H1790='Operating leases'!$B$32,H1790='Operating leases'!$B$33),"",INDEX('Global inputs'!$C$186:$C$243,MATCH(E1790,'Global inputs'!$B$186:$B$243,0)))</f>
        <v>0.1</v>
      </c>
    </row>
    <row r="1791" spans="1:31" s="27" customFormat="1" x14ac:dyDescent="0.2">
      <c r="A1791" s="250"/>
      <c r="B1791" s="210" t="s">
        <v>746</v>
      </c>
      <c r="C1791" s="210" t="s">
        <v>287</v>
      </c>
      <c r="D1791" s="210" t="s">
        <v>715</v>
      </c>
      <c r="E1791" s="210" t="s">
        <v>151</v>
      </c>
      <c r="F1791" s="210" t="s">
        <v>86</v>
      </c>
      <c r="G1791" s="210" t="s">
        <v>717</v>
      </c>
      <c r="H1791" s="197">
        <v>0</v>
      </c>
      <c r="I1791" s="210" t="s">
        <v>221</v>
      </c>
      <c r="J1791" s="210">
        <v>2026</v>
      </c>
      <c r="K1791" s="210">
        <v>2026</v>
      </c>
      <c r="L1791" s="268" t="str">
        <f t="shared" si="361"/>
        <v>Simple</v>
      </c>
      <c r="M1791" s="197">
        <v>45106.95</v>
      </c>
      <c r="N1791" s="197">
        <v>0</v>
      </c>
      <c r="O1791" s="257">
        <f>IF(ISNA(MATCH(H1791,'Operating leases'!$B$32:$B$43,0)),0,INDEX('Operating leases'!$M$32:$S$43,MATCH(H1791,'Operating leases'!$B$32:$B$43,0),MATCH(J1791,'Operating leases'!$M$11:$S$11,0)))</f>
        <v>0</v>
      </c>
      <c r="P1791" s="257">
        <f t="shared" si="362"/>
        <v>45106.95</v>
      </c>
      <c r="Q1791" s="257">
        <f t="shared" si="363"/>
        <v>45106.95</v>
      </c>
      <c r="R1791" s="258">
        <f>INDEX('Escalators '!$M$124:$S$129,MATCH(I1791,'Escalators '!$B$124:$B$129,0),MATCH(J1791,'Escalators '!$M$113:$S$113,0))</f>
        <v>1.1088998660799403</v>
      </c>
      <c r="S1791" s="257">
        <f t="shared" si="364"/>
        <v>0</v>
      </c>
      <c r="T1791" s="257">
        <f t="shared" si="365"/>
        <v>0</v>
      </c>
      <c r="U1791" s="269">
        <f t="shared" si="366"/>
        <v>50019.090814274561</v>
      </c>
      <c r="V1791" s="269">
        <f t="shared" si="367"/>
        <v>50019.090814274561</v>
      </c>
      <c r="W1791" s="269">
        <f t="shared" si="368"/>
        <v>50019.090814274561</v>
      </c>
      <c r="X1791" s="257">
        <f t="shared" si="369"/>
        <v>50019.090814274561</v>
      </c>
      <c r="Y1791" s="270">
        <f>IF(L1791="Complex",(INDEX('Escalators '!$M$176:$S$176,MATCH('Forecast capex'!J1791,'Escalators '!$M$178:$S$178,0))/12+1)^((K1791-J1791)*12)-1,0)</f>
        <v>0</v>
      </c>
      <c r="Z1791" s="257">
        <f t="shared" si="370"/>
        <v>0</v>
      </c>
      <c r="AA1791" s="257">
        <f t="shared" si="371"/>
        <v>0</v>
      </c>
      <c r="AB1791" s="269">
        <f t="shared" si="372"/>
        <v>0</v>
      </c>
      <c r="AC1791" s="269">
        <f t="shared" si="373"/>
        <v>0</v>
      </c>
      <c r="AD1791" s="271" t="str">
        <f>INDEX('Global inputs'!$C$134:$C$171,MATCH(F1791,'Global inputs'!$B$134:$B$171,0))</f>
        <v xml:space="preserve">System growth </v>
      </c>
      <c r="AE1791" s="272">
        <f>IF(OR(H1791='Operating leases'!$B$32,H1791='Operating leases'!$B$33),"",INDEX('Global inputs'!$C$186:$C$243,MATCH(E1791,'Global inputs'!$B$186:$B$243,0)))</f>
        <v>0.1</v>
      </c>
    </row>
    <row r="1792" spans="1:31" s="27" customFormat="1" x14ac:dyDescent="0.2">
      <c r="A1792" s="250"/>
      <c r="B1792" s="210" t="s">
        <v>746</v>
      </c>
      <c r="C1792" s="210" t="s">
        <v>287</v>
      </c>
      <c r="D1792" s="210" t="s">
        <v>715</v>
      </c>
      <c r="E1792" s="210" t="s">
        <v>153</v>
      </c>
      <c r="F1792" s="210" t="s">
        <v>86</v>
      </c>
      <c r="G1792" s="210" t="s">
        <v>717</v>
      </c>
      <c r="H1792" s="197">
        <v>0</v>
      </c>
      <c r="I1792" s="210" t="s">
        <v>229</v>
      </c>
      <c r="J1792" s="210">
        <v>2026</v>
      </c>
      <c r="K1792" s="210">
        <v>2026</v>
      </c>
      <c r="L1792" s="268" t="str">
        <f t="shared" si="361"/>
        <v>Simple</v>
      </c>
      <c r="M1792" s="197">
        <v>22553.474999999999</v>
      </c>
      <c r="N1792" s="197">
        <v>0</v>
      </c>
      <c r="O1792" s="257">
        <f>IF(ISNA(MATCH(H1792,'Operating leases'!$B$32:$B$43,0)),0,INDEX('Operating leases'!$M$32:$S$43,MATCH(H1792,'Operating leases'!$B$32:$B$43,0),MATCH(J1792,'Operating leases'!$M$11:$S$11,0)))</f>
        <v>0</v>
      </c>
      <c r="P1792" s="257">
        <f t="shared" si="362"/>
        <v>22553.474999999999</v>
      </c>
      <c r="Q1792" s="257">
        <f t="shared" si="363"/>
        <v>22553.474999999999</v>
      </c>
      <c r="R1792" s="258">
        <f>INDEX('Escalators '!$M$124:$S$129,MATCH(I1792,'Escalators '!$B$124:$B$129,0),MATCH(J1792,'Escalators '!$M$113:$S$113,0))</f>
        <v>1.1110424701464636</v>
      </c>
      <c r="S1792" s="257">
        <f t="shared" si="364"/>
        <v>0</v>
      </c>
      <c r="T1792" s="257">
        <f t="shared" si="365"/>
        <v>0</v>
      </c>
      <c r="U1792" s="269">
        <f t="shared" si="366"/>
        <v>25057.868574386514</v>
      </c>
      <c r="V1792" s="269">
        <f t="shared" si="367"/>
        <v>25057.868574386514</v>
      </c>
      <c r="W1792" s="269">
        <f t="shared" si="368"/>
        <v>25057.868574386514</v>
      </c>
      <c r="X1792" s="257">
        <f t="shared" si="369"/>
        <v>25057.868574386514</v>
      </c>
      <c r="Y1792" s="270">
        <f>IF(L1792="Complex",(INDEX('Escalators '!$M$176:$S$176,MATCH('Forecast capex'!J1792,'Escalators '!$M$178:$S$178,0))/12+1)^((K1792-J1792)*12)-1,0)</f>
        <v>0</v>
      </c>
      <c r="Z1792" s="257">
        <f t="shared" si="370"/>
        <v>0</v>
      </c>
      <c r="AA1792" s="257">
        <f t="shared" si="371"/>
        <v>0</v>
      </c>
      <c r="AB1792" s="269">
        <f t="shared" si="372"/>
        <v>0</v>
      </c>
      <c r="AC1792" s="269">
        <f t="shared" si="373"/>
        <v>0</v>
      </c>
      <c r="AD1792" s="271" t="str">
        <f>INDEX('Global inputs'!$C$134:$C$171,MATCH(F1792,'Global inputs'!$B$134:$B$171,0))</f>
        <v xml:space="preserve">System growth </v>
      </c>
      <c r="AE1792" s="272">
        <f>IF(OR(H1792='Operating leases'!$B$32,H1792='Operating leases'!$B$33),"",INDEX('Global inputs'!$C$186:$C$243,MATCH(E1792,'Global inputs'!$B$186:$B$243,0)))</f>
        <v>0.08</v>
      </c>
    </row>
    <row r="1793" spans="1:31" s="27" customFormat="1" x14ac:dyDescent="0.2">
      <c r="A1793" s="250"/>
      <c r="B1793" s="210" t="s">
        <v>746</v>
      </c>
      <c r="C1793" s="210" t="s">
        <v>287</v>
      </c>
      <c r="D1793" s="210" t="s">
        <v>715</v>
      </c>
      <c r="E1793" s="210" t="s">
        <v>153</v>
      </c>
      <c r="F1793" s="210" t="s">
        <v>86</v>
      </c>
      <c r="G1793" s="210" t="s">
        <v>717</v>
      </c>
      <c r="H1793" s="197">
        <v>0</v>
      </c>
      <c r="I1793" s="210" t="s">
        <v>221</v>
      </c>
      <c r="J1793" s="210">
        <v>2026</v>
      </c>
      <c r="K1793" s="210">
        <v>2026</v>
      </c>
      <c r="L1793" s="268" t="str">
        <f t="shared" si="361"/>
        <v>Simple</v>
      </c>
      <c r="M1793" s="197">
        <v>22553.474999999999</v>
      </c>
      <c r="N1793" s="197">
        <v>0</v>
      </c>
      <c r="O1793" s="257">
        <f>IF(ISNA(MATCH(H1793,'Operating leases'!$B$32:$B$43,0)),0,INDEX('Operating leases'!$M$32:$S$43,MATCH(H1793,'Operating leases'!$B$32:$B$43,0),MATCH(J1793,'Operating leases'!$M$11:$S$11,0)))</f>
        <v>0</v>
      </c>
      <c r="P1793" s="257">
        <f t="shared" si="362"/>
        <v>22553.474999999999</v>
      </c>
      <c r="Q1793" s="257">
        <f t="shared" si="363"/>
        <v>22553.474999999999</v>
      </c>
      <c r="R1793" s="258">
        <f>INDEX('Escalators '!$M$124:$S$129,MATCH(I1793,'Escalators '!$B$124:$B$129,0),MATCH(J1793,'Escalators '!$M$113:$S$113,0))</f>
        <v>1.1088998660799403</v>
      </c>
      <c r="S1793" s="257">
        <f t="shared" si="364"/>
        <v>0</v>
      </c>
      <c r="T1793" s="257">
        <f t="shared" si="365"/>
        <v>0</v>
      </c>
      <c r="U1793" s="269">
        <f t="shared" si="366"/>
        <v>25009.545407137281</v>
      </c>
      <c r="V1793" s="269">
        <f t="shared" si="367"/>
        <v>25009.545407137281</v>
      </c>
      <c r="W1793" s="269">
        <f t="shared" si="368"/>
        <v>25009.545407137281</v>
      </c>
      <c r="X1793" s="257">
        <f t="shared" si="369"/>
        <v>25009.545407137281</v>
      </c>
      <c r="Y1793" s="270">
        <f>IF(L1793="Complex",(INDEX('Escalators '!$M$176:$S$176,MATCH('Forecast capex'!J1793,'Escalators '!$M$178:$S$178,0))/12+1)^((K1793-J1793)*12)-1,0)</f>
        <v>0</v>
      </c>
      <c r="Z1793" s="257">
        <f t="shared" si="370"/>
        <v>0</v>
      </c>
      <c r="AA1793" s="257">
        <f t="shared" si="371"/>
        <v>0</v>
      </c>
      <c r="AB1793" s="269">
        <f t="shared" si="372"/>
        <v>0</v>
      </c>
      <c r="AC1793" s="269">
        <f t="shared" si="373"/>
        <v>0</v>
      </c>
      <c r="AD1793" s="271" t="str">
        <f>INDEX('Global inputs'!$C$134:$C$171,MATCH(F1793,'Global inputs'!$B$134:$B$171,0))</f>
        <v xml:space="preserve">System growth </v>
      </c>
      <c r="AE1793" s="272">
        <f>IF(OR(H1793='Operating leases'!$B$32,H1793='Operating leases'!$B$33),"",INDEX('Global inputs'!$C$186:$C$243,MATCH(E1793,'Global inputs'!$B$186:$B$243,0)))</f>
        <v>0.08</v>
      </c>
    </row>
    <row r="1794" spans="1:31" s="27" customFormat="1" x14ac:dyDescent="0.2">
      <c r="A1794" s="250"/>
      <c r="B1794" s="210" t="s">
        <v>746</v>
      </c>
      <c r="C1794" s="210" t="s">
        <v>287</v>
      </c>
      <c r="D1794" s="210" t="s">
        <v>715</v>
      </c>
      <c r="E1794" s="210" t="s">
        <v>154</v>
      </c>
      <c r="F1794" s="210" t="s">
        <v>86</v>
      </c>
      <c r="G1794" s="210" t="s">
        <v>717</v>
      </c>
      <c r="H1794" s="197">
        <v>0</v>
      </c>
      <c r="I1794" s="210" t="s">
        <v>229</v>
      </c>
      <c r="J1794" s="210">
        <v>2026</v>
      </c>
      <c r="K1794" s="210">
        <v>2026</v>
      </c>
      <c r="L1794" s="268" t="str">
        <f t="shared" si="361"/>
        <v>Simple</v>
      </c>
      <c r="M1794" s="197">
        <v>22553.474999999999</v>
      </c>
      <c r="N1794" s="197">
        <v>0</v>
      </c>
      <c r="O1794" s="257">
        <f>IF(ISNA(MATCH(H1794,'Operating leases'!$B$32:$B$43,0)),0,INDEX('Operating leases'!$M$32:$S$43,MATCH(H1794,'Operating leases'!$B$32:$B$43,0),MATCH(J1794,'Operating leases'!$M$11:$S$11,0)))</f>
        <v>0</v>
      </c>
      <c r="P1794" s="257">
        <f t="shared" si="362"/>
        <v>22553.474999999999</v>
      </c>
      <c r="Q1794" s="257">
        <f t="shared" si="363"/>
        <v>22553.474999999999</v>
      </c>
      <c r="R1794" s="258">
        <f>INDEX('Escalators '!$M$124:$S$129,MATCH(I1794,'Escalators '!$B$124:$B$129,0),MATCH(J1794,'Escalators '!$M$113:$S$113,0))</f>
        <v>1.1110424701464636</v>
      </c>
      <c r="S1794" s="257">
        <f t="shared" si="364"/>
        <v>0</v>
      </c>
      <c r="T1794" s="257">
        <f t="shared" si="365"/>
        <v>0</v>
      </c>
      <c r="U1794" s="269">
        <f t="shared" si="366"/>
        <v>25057.868574386514</v>
      </c>
      <c r="V1794" s="269">
        <f t="shared" si="367"/>
        <v>25057.868574386514</v>
      </c>
      <c r="W1794" s="269">
        <f t="shared" si="368"/>
        <v>25057.868574386514</v>
      </c>
      <c r="X1794" s="257">
        <f t="shared" si="369"/>
        <v>25057.868574386514</v>
      </c>
      <c r="Y1794" s="270">
        <f>IF(L1794="Complex",(INDEX('Escalators '!$M$176:$S$176,MATCH('Forecast capex'!J1794,'Escalators '!$M$178:$S$178,0))/12+1)^((K1794-J1794)*12)-1,0)</f>
        <v>0</v>
      </c>
      <c r="Z1794" s="257">
        <f t="shared" si="370"/>
        <v>0</v>
      </c>
      <c r="AA1794" s="257">
        <f t="shared" si="371"/>
        <v>0</v>
      </c>
      <c r="AB1794" s="269">
        <f t="shared" si="372"/>
        <v>0</v>
      </c>
      <c r="AC1794" s="269">
        <f t="shared" si="373"/>
        <v>0</v>
      </c>
      <c r="AD1794" s="271" t="str">
        <f>INDEX('Global inputs'!$C$134:$C$171,MATCH(F1794,'Global inputs'!$B$134:$B$171,0))</f>
        <v xml:space="preserve">System growth </v>
      </c>
      <c r="AE1794" s="272">
        <f>IF(OR(H1794='Operating leases'!$B$32,H1794='Operating leases'!$B$33),"",INDEX('Global inputs'!$C$186:$C$243,MATCH(E1794,'Global inputs'!$B$186:$B$243,0)))</f>
        <v>0.1</v>
      </c>
    </row>
    <row r="1795" spans="1:31" s="27" customFormat="1" x14ac:dyDescent="0.2">
      <c r="A1795" s="250"/>
      <c r="B1795" s="210" t="s">
        <v>746</v>
      </c>
      <c r="C1795" s="210" t="s">
        <v>287</v>
      </c>
      <c r="D1795" s="210" t="s">
        <v>715</v>
      </c>
      <c r="E1795" s="210" t="s">
        <v>154</v>
      </c>
      <c r="F1795" s="210" t="s">
        <v>86</v>
      </c>
      <c r="G1795" s="210" t="s">
        <v>717</v>
      </c>
      <c r="H1795" s="197">
        <v>0</v>
      </c>
      <c r="I1795" s="210" t="s">
        <v>221</v>
      </c>
      <c r="J1795" s="210">
        <v>2026</v>
      </c>
      <c r="K1795" s="210">
        <v>2026</v>
      </c>
      <c r="L1795" s="268" t="str">
        <f t="shared" si="361"/>
        <v>Simple</v>
      </c>
      <c r="M1795" s="197">
        <v>22553.474999999999</v>
      </c>
      <c r="N1795" s="197">
        <v>0</v>
      </c>
      <c r="O1795" s="257">
        <f>IF(ISNA(MATCH(H1795,'Operating leases'!$B$32:$B$43,0)),0,INDEX('Operating leases'!$M$32:$S$43,MATCH(H1795,'Operating leases'!$B$32:$B$43,0),MATCH(J1795,'Operating leases'!$M$11:$S$11,0)))</f>
        <v>0</v>
      </c>
      <c r="P1795" s="257">
        <f t="shared" si="362"/>
        <v>22553.474999999999</v>
      </c>
      <c r="Q1795" s="257">
        <f t="shared" si="363"/>
        <v>22553.474999999999</v>
      </c>
      <c r="R1795" s="258">
        <f>INDEX('Escalators '!$M$124:$S$129,MATCH(I1795,'Escalators '!$B$124:$B$129,0),MATCH(J1795,'Escalators '!$M$113:$S$113,0))</f>
        <v>1.1088998660799403</v>
      </c>
      <c r="S1795" s="257">
        <f t="shared" si="364"/>
        <v>0</v>
      </c>
      <c r="T1795" s="257">
        <f t="shared" si="365"/>
        <v>0</v>
      </c>
      <c r="U1795" s="269">
        <f t="shared" si="366"/>
        <v>25009.545407137281</v>
      </c>
      <c r="V1795" s="269">
        <f t="shared" si="367"/>
        <v>25009.545407137281</v>
      </c>
      <c r="W1795" s="269">
        <f t="shared" si="368"/>
        <v>25009.545407137281</v>
      </c>
      <c r="X1795" s="257">
        <f t="shared" si="369"/>
        <v>25009.545407137281</v>
      </c>
      <c r="Y1795" s="270">
        <f>IF(L1795="Complex",(INDEX('Escalators '!$M$176:$S$176,MATCH('Forecast capex'!J1795,'Escalators '!$M$178:$S$178,0))/12+1)^((K1795-J1795)*12)-1,0)</f>
        <v>0</v>
      </c>
      <c r="Z1795" s="257">
        <f t="shared" si="370"/>
        <v>0</v>
      </c>
      <c r="AA1795" s="257">
        <f t="shared" si="371"/>
        <v>0</v>
      </c>
      <c r="AB1795" s="269">
        <f t="shared" si="372"/>
        <v>0</v>
      </c>
      <c r="AC1795" s="269">
        <f t="shared" si="373"/>
        <v>0</v>
      </c>
      <c r="AD1795" s="271" t="str">
        <f>INDEX('Global inputs'!$C$134:$C$171,MATCH(F1795,'Global inputs'!$B$134:$B$171,0))</f>
        <v xml:space="preserve">System growth </v>
      </c>
      <c r="AE1795" s="272">
        <f>IF(OR(H1795='Operating leases'!$B$32,H1795='Operating leases'!$B$33),"",INDEX('Global inputs'!$C$186:$C$243,MATCH(E1795,'Global inputs'!$B$186:$B$243,0)))</f>
        <v>0.1</v>
      </c>
    </row>
    <row r="1796" spans="1:31" s="27" customFormat="1" x14ac:dyDescent="0.2">
      <c r="A1796" s="250"/>
      <c r="B1796" s="210" t="s">
        <v>746</v>
      </c>
      <c r="C1796" s="210" t="s">
        <v>290</v>
      </c>
      <c r="D1796" s="210" t="s">
        <v>718</v>
      </c>
      <c r="E1796" s="210" t="s">
        <v>169</v>
      </c>
      <c r="F1796" s="210" t="s">
        <v>86</v>
      </c>
      <c r="G1796" s="210" t="s">
        <v>720</v>
      </c>
      <c r="H1796" s="197">
        <v>0</v>
      </c>
      <c r="I1796" s="210" t="s">
        <v>229</v>
      </c>
      <c r="J1796" s="210">
        <v>2026</v>
      </c>
      <c r="K1796" s="210">
        <v>2026</v>
      </c>
      <c r="L1796" s="268" t="str">
        <f t="shared" si="361"/>
        <v>Simple</v>
      </c>
      <c r="M1796" s="197">
        <v>72171.12</v>
      </c>
      <c r="N1796" s="197">
        <v>0</v>
      </c>
      <c r="O1796" s="257">
        <f>IF(ISNA(MATCH(H1796,'Operating leases'!$B$32:$B$43,0)),0,INDEX('Operating leases'!$M$32:$S$43,MATCH(H1796,'Operating leases'!$B$32:$B$43,0),MATCH(J1796,'Operating leases'!$M$11:$S$11,0)))</f>
        <v>0</v>
      </c>
      <c r="P1796" s="257">
        <f t="shared" si="362"/>
        <v>72171.12</v>
      </c>
      <c r="Q1796" s="257">
        <f t="shared" si="363"/>
        <v>72171.12</v>
      </c>
      <c r="R1796" s="258">
        <f>INDEX('Escalators '!$M$124:$S$129,MATCH(I1796,'Escalators '!$B$124:$B$129,0),MATCH(J1796,'Escalators '!$M$113:$S$113,0))</f>
        <v>1.1110424701464636</v>
      </c>
      <c r="S1796" s="257">
        <f t="shared" si="364"/>
        <v>0</v>
      </c>
      <c r="T1796" s="257">
        <f t="shared" si="365"/>
        <v>0</v>
      </c>
      <c r="U1796" s="269">
        <f t="shared" si="366"/>
        <v>80185.179438036837</v>
      </c>
      <c r="V1796" s="269">
        <f t="shared" si="367"/>
        <v>80185.179438036837</v>
      </c>
      <c r="W1796" s="269">
        <f t="shared" si="368"/>
        <v>80185.179438036837</v>
      </c>
      <c r="X1796" s="257">
        <f t="shared" si="369"/>
        <v>80185.179438036837</v>
      </c>
      <c r="Y1796" s="270">
        <f>IF(L1796="Complex",(INDEX('Escalators '!$M$176:$S$176,MATCH('Forecast capex'!J1796,'Escalators '!$M$178:$S$178,0))/12+1)^((K1796-J1796)*12)-1,0)</f>
        <v>0</v>
      </c>
      <c r="Z1796" s="257">
        <f t="shared" si="370"/>
        <v>0</v>
      </c>
      <c r="AA1796" s="257">
        <f t="shared" si="371"/>
        <v>0</v>
      </c>
      <c r="AB1796" s="269">
        <f t="shared" si="372"/>
        <v>0</v>
      </c>
      <c r="AC1796" s="269">
        <f t="shared" si="373"/>
        <v>0</v>
      </c>
      <c r="AD1796" s="271" t="str">
        <f>INDEX('Global inputs'!$C$134:$C$171,MATCH(F1796,'Global inputs'!$B$134:$B$171,0))</f>
        <v xml:space="preserve">System growth </v>
      </c>
      <c r="AE1796" s="272">
        <f>IF(OR(H1796='Operating leases'!$B$32,H1796='Operating leases'!$B$33),"",INDEX('Global inputs'!$C$186:$C$243,MATCH(E1796,'Global inputs'!$B$186:$B$243,0)))</f>
        <v>0.08</v>
      </c>
    </row>
    <row r="1797" spans="1:31" s="27" customFormat="1" x14ac:dyDescent="0.2">
      <c r="A1797" s="250"/>
      <c r="B1797" s="210" t="s">
        <v>746</v>
      </c>
      <c r="C1797" s="210" t="s">
        <v>290</v>
      </c>
      <c r="D1797" s="210" t="s">
        <v>718</v>
      </c>
      <c r="E1797" s="210" t="s">
        <v>169</v>
      </c>
      <c r="F1797" s="210" t="s">
        <v>86</v>
      </c>
      <c r="G1797" s="210" t="s">
        <v>720</v>
      </c>
      <c r="H1797" s="197">
        <v>0</v>
      </c>
      <c r="I1797" s="210" t="s">
        <v>221</v>
      </c>
      <c r="J1797" s="210">
        <v>2026</v>
      </c>
      <c r="K1797" s="210">
        <v>2026</v>
      </c>
      <c r="L1797" s="268" t="str">
        <f t="shared" si="361"/>
        <v>Simple</v>
      </c>
      <c r="M1797" s="197">
        <v>48114.080000000002</v>
      </c>
      <c r="N1797" s="197">
        <v>0</v>
      </c>
      <c r="O1797" s="257">
        <f>IF(ISNA(MATCH(H1797,'Operating leases'!$B$32:$B$43,0)),0,INDEX('Operating leases'!$M$32:$S$43,MATCH(H1797,'Operating leases'!$B$32:$B$43,0),MATCH(J1797,'Operating leases'!$M$11:$S$11,0)))</f>
        <v>0</v>
      </c>
      <c r="P1797" s="257">
        <f t="shared" si="362"/>
        <v>48114.080000000002</v>
      </c>
      <c r="Q1797" s="257">
        <f t="shared" si="363"/>
        <v>48114.080000000002</v>
      </c>
      <c r="R1797" s="258">
        <f>INDEX('Escalators '!$M$124:$S$129,MATCH(I1797,'Escalators '!$B$124:$B$129,0),MATCH(J1797,'Escalators '!$M$113:$S$113,0))</f>
        <v>1.1088998660799403</v>
      </c>
      <c r="S1797" s="257">
        <f t="shared" si="364"/>
        <v>0</v>
      </c>
      <c r="T1797" s="257">
        <f t="shared" si="365"/>
        <v>0</v>
      </c>
      <c r="U1797" s="269">
        <f t="shared" si="366"/>
        <v>53353.696868559535</v>
      </c>
      <c r="V1797" s="269">
        <f t="shared" si="367"/>
        <v>53353.696868559535</v>
      </c>
      <c r="W1797" s="269">
        <f t="shared" si="368"/>
        <v>53353.696868559535</v>
      </c>
      <c r="X1797" s="257">
        <f t="shared" si="369"/>
        <v>53353.696868559535</v>
      </c>
      <c r="Y1797" s="270">
        <f>IF(L1797="Complex",(INDEX('Escalators '!$M$176:$S$176,MATCH('Forecast capex'!J1797,'Escalators '!$M$178:$S$178,0))/12+1)^((K1797-J1797)*12)-1,0)</f>
        <v>0</v>
      </c>
      <c r="Z1797" s="257">
        <f t="shared" si="370"/>
        <v>0</v>
      </c>
      <c r="AA1797" s="257">
        <f t="shared" si="371"/>
        <v>0</v>
      </c>
      <c r="AB1797" s="269">
        <f t="shared" si="372"/>
        <v>0</v>
      </c>
      <c r="AC1797" s="269">
        <f t="shared" si="373"/>
        <v>0</v>
      </c>
      <c r="AD1797" s="271" t="str">
        <f>INDEX('Global inputs'!$C$134:$C$171,MATCH(F1797,'Global inputs'!$B$134:$B$171,0))</f>
        <v xml:space="preserve">System growth </v>
      </c>
      <c r="AE1797" s="272">
        <f>IF(OR(H1797='Operating leases'!$B$32,H1797='Operating leases'!$B$33),"",INDEX('Global inputs'!$C$186:$C$243,MATCH(E1797,'Global inputs'!$B$186:$B$243,0)))</f>
        <v>0.08</v>
      </c>
    </row>
    <row r="1798" spans="1:31" s="27" customFormat="1" x14ac:dyDescent="0.2">
      <c r="A1798" s="250"/>
      <c r="B1798" s="210" t="s">
        <v>746</v>
      </c>
      <c r="C1798" s="210" t="s">
        <v>290</v>
      </c>
      <c r="D1798" s="210" t="s">
        <v>718</v>
      </c>
      <c r="E1798" s="210" t="s">
        <v>171</v>
      </c>
      <c r="F1798" s="210" t="s">
        <v>86</v>
      </c>
      <c r="G1798" s="210" t="s">
        <v>743</v>
      </c>
      <c r="H1798" s="197">
        <v>0</v>
      </c>
      <c r="I1798" s="210" t="s">
        <v>229</v>
      </c>
      <c r="J1798" s="210">
        <v>2026</v>
      </c>
      <c r="K1798" s="210">
        <v>2026</v>
      </c>
      <c r="L1798" s="268" t="str">
        <f t="shared" si="361"/>
        <v>Simple</v>
      </c>
      <c r="M1798" s="197">
        <v>54128.34</v>
      </c>
      <c r="N1798" s="197">
        <v>0</v>
      </c>
      <c r="O1798" s="257">
        <f>IF(ISNA(MATCH(H1798,'Operating leases'!$B$32:$B$43,0)),0,INDEX('Operating leases'!$M$32:$S$43,MATCH(H1798,'Operating leases'!$B$32:$B$43,0),MATCH(J1798,'Operating leases'!$M$11:$S$11,0)))</f>
        <v>0</v>
      </c>
      <c r="P1798" s="257">
        <f t="shared" si="362"/>
        <v>54128.34</v>
      </c>
      <c r="Q1798" s="257">
        <f t="shared" si="363"/>
        <v>54128.34</v>
      </c>
      <c r="R1798" s="258">
        <f>INDEX('Escalators '!$M$124:$S$129,MATCH(I1798,'Escalators '!$B$124:$B$129,0),MATCH(J1798,'Escalators '!$M$113:$S$113,0))</f>
        <v>1.1110424701464636</v>
      </c>
      <c r="S1798" s="257">
        <f t="shared" si="364"/>
        <v>0</v>
      </c>
      <c r="T1798" s="257">
        <f t="shared" si="365"/>
        <v>0</v>
      </c>
      <c r="U1798" s="269">
        <f t="shared" si="366"/>
        <v>60138.884578527628</v>
      </c>
      <c r="V1798" s="269">
        <f t="shared" si="367"/>
        <v>60138.884578527628</v>
      </c>
      <c r="W1798" s="269">
        <f t="shared" si="368"/>
        <v>60138.884578527628</v>
      </c>
      <c r="X1798" s="257">
        <f t="shared" si="369"/>
        <v>60138.884578527628</v>
      </c>
      <c r="Y1798" s="270">
        <f>IF(L1798="Complex",(INDEX('Escalators '!$M$176:$S$176,MATCH('Forecast capex'!J1798,'Escalators '!$M$178:$S$178,0))/12+1)^((K1798-J1798)*12)-1,0)</f>
        <v>0</v>
      </c>
      <c r="Z1798" s="257">
        <f t="shared" si="370"/>
        <v>0</v>
      </c>
      <c r="AA1798" s="257">
        <f t="shared" si="371"/>
        <v>0</v>
      </c>
      <c r="AB1798" s="269">
        <f t="shared" si="372"/>
        <v>0</v>
      </c>
      <c r="AC1798" s="269">
        <f t="shared" si="373"/>
        <v>0</v>
      </c>
      <c r="AD1798" s="271" t="str">
        <f>INDEX('Global inputs'!$C$134:$C$171,MATCH(F1798,'Global inputs'!$B$134:$B$171,0))</f>
        <v xml:space="preserve">System growth </v>
      </c>
      <c r="AE1798" s="272">
        <f>IF(OR(H1798='Operating leases'!$B$32,H1798='Operating leases'!$B$33),"",INDEX('Global inputs'!$C$186:$C$243,MATCH(E1798,'Global inputs'!$B$186:$B$243,0)))</f>
        <v>0.08</v>
      </c>
    </row>
    <row r="1799" spans="1:31" s="27" customFormat="1" x14ac:dyDescent="0.2">
      <c r="A1799" s="250"/>
      <c r="B1799" s="210" t="s">
        <v>746</v>
      </c>
      <c r="C1799" s="210" t="s">
        <v>290</v>
      </c>
      <c r="D1799" s="210" t="s">
        <v>718</v>
      </c>
      <c r="E1799" s="210" t="s">
        <v>171</v>
      </c>
      <c r="F1799" s="210" t="s">
        <v>86</v>
      </c>
      <c r="G1799" s="210" t="s">
        <v>743</v>
      </c>
      <c r="H1799" s="197">
        <v>0</v>
      </c>
      <c r="I1799" s="210" t="s">
        <v>221</v>
      </c>
      <c r="J1799" s="210">
        <v>2026</v>
      </c>
      <c r="K1799" s="210">
        <v>2026</v>
      </c>
      <c r="L1799" s="268" t="str">
        <f t="shared" si="361"/>
        <v>Simple</v>
      </c>
      <c r="M1799" s="197">
        <v>36085.56</v>
      </c>
      <c r="N1799" s="197">
        <v>0</v>
      </c>
      <c r="O1799" s="257">
        <f>IF(ISNA(MATCH(H1799,'Operating leases'!$B$32:$B$43,0)),0,INDEX('Operating leases'!$M$32:$S$43,MATCH(H1799,'Operating leases'!$B$32:$B$43,0),MATCH(J1799,'Operating leases'!$M$11:$S$11,0)))</f>
        <v>0</v>
      </c>
      <c r="P1799" s="257">
        <f t="shared" si="362"/>
        <v>36085.56</v>
      </c>
      <c r="Q1799" s="257">
        <f t="shared" si="363"/>
        <v>36085.56</v>
      </c>
      <c r="R1799" s="258">
        <f>INDEX('Escalators '!$M$124:$S$129,MATCH(I1799,'Escalators '!$B$124:$B$129,0),MATCH(J1799,'Escalators '!$M$113:$S$113,0))</f>
        <v>1.1088998660799403</v>
      </c>
      <c r="S1799" s="257">
        <f t="shared" si="364"/>
        <v>0</v>
      </c>
      <c r="T1799" s="257">
        <f t="shared" si="365"/>
        <v>0</v>
      </c>
      <c r="U1799" s="269">
        <f t="shared" si="366"/>
        <v>40015.272651419647</v>
      </c>
      <c r="V1799" s="269">
        <f t="shared" si="367"/>
        <v>40015.272651419647</v>
      </c>
      <c r="W1799" s="269">
        <f t="shared" si="368"/>
        <v>40015.272651419647</v>
      </c>
      <c r="X1799" s="257">
        <f t="shared" si="369"/>
        <v>40015.272651419647</v>
      </c>
      <c r="Y1799" s="270">
        <f>IF(L1799="Complex",(INDEX('Escalators '!$M$176:$S$176,MATCH('Forecast capex'!J1799,'Escalators '!$M$178:$S$178,0))/12+1)^((K1799-J1799)*12)-1,0)</f>
        <v>0</v>
      </c>
      <c r="Z1799" s="257">
        <f t="shared" si="370"/>
        <v>0</v>
      </c>
      <c r="AA1799" s="257">
        <f t="shared" si="371"/>
        <v>0</v>
      </c>
      <c r="AB1799" s="269">
        <f t="shared" si="372"/>
        <v>0</v>
      </c>
      <c r="AC1799" s="269">
        <f t="shared" si="373"/>
        <v>0</v>
      </c>
      <c r="AD1799" s="271" t="str">
        <f>INDEX('Global inputs'!$C$134:$C$171,MATCH(F1799,'Global inputs'!$B$134:$B$171,0))</f>
        <v xml:space="preserve">System growth </v>
      </c>
      <c r="AE1799" s="272">
        <f>IF(OR(H1799='Operating leases'!$B$32,H1799='Operating leases'!$B$33),"",INDEX('Global inputs'!$C$186:$C$243,MATCH(E1799,'Global inputs'!$B$186:$B$243,0)))</f>
        <v>0.08</v>
      </c>
    </row>
    <row r="1800" spans="1:31" s="27" customFormat="1" x14ac:dyDescent="0.2">
      <c r="A1800" s="250"/>
      <c r="B1800" s="210" t="s">
        <v>746</v>
      </c>
      <c r="C1800" s="210" t="s">
        <v>290</v>
      </c>
      <c r="D1800" s="210" t="s">
        <v>718</v>
      </c>
      <c r="E1800" s="210" t="s">
        <v>170</v>
      </c>
      <c r="F1800" s="210" t="s">
        <v>86</v>
      </c>
      <c r="G1800" s="210" t="s">
        <v>721</v>
      </c>
      <c r="H1800" s="197">
        <v>0</v>
      </c>
      <c r="I1800" s="210" t="s">
        <v>229</v>
      </c>
      <c r="J1800" s="210">
        <v>2026</v>
      </c>
      <c r="K1800" s="210">
        <v>2026</v>
      </c>
      <c r="L1800" s="268" t="str">
        <f t="shared" si="361"/>
        <v>Simple</v>
      </c>
      <c r="M1800" s="197">
        <v>105249.54999999999</v>
      </c>
      <c r="N1800" s="197">
        <v>0</v>
      </c>
      <c r="O1800" s="257">
        <f>IF(ISNA(MATCH(H1800,'Operating leases'!$B$32:$B$43,0)),0,INDEX('Operating leases'!$M$32:$S$43,MATCH(H1800,'Operating leases'!$B$32:$B$43,0),MATCH(J1800,'Operating leases'!$M$11:$S$11,0)))</f>
        <v>0</v>
      </c>
      <c r="P1800" s="257">
        <f t="shared" si="362"/>
        <v>105249.54999999999</v>
      </c>
      <c r="Q1800" s="257">
        <f t="shared" si="363"/>
        <v>105249.54999999999</v>
      </c>
      <c r="R1800" s="258">
        <f>INDEX('Escalators '!$M$124:$S$129,MATCH(I1800,'Escalators '!$B$124:$B$129,0),MATCH(J1800,'Escalators '!$M$113:$S$113,0))</f>
        <v>1.1110424701464636</v>
      </c>
      <c r="S1800" s="257">
        <f t="shared" si="364"/>
        <v>0</v>
      </c>
      <c r="T1800" s="257">
        <f t="shared" si="365"/>
        <v>0</v>
      </c>
      <c r="U1800" s="269">
        <f t="shared" si="366"/>
        <v>116936.72001380372</v>
      </c>
      <c r="V1800" s="269">
        <f t="shared" si="367"/>
        <v>116936.72001380372</v>
      </c>
      <c r="W1800" s="269">
        <f t="shared" si="368"/>
        <v>116936.72001380372</v>
      </c>
      <c r="X1800" s="257">
        <f t="shared" si="369"/>
        <v>116936.72001380372</v>
      </c>
      <c r="Y1800" s="270">
        <f>IF(L1800="Complex",(INDEX('Escalators '!$M$176:$S$176,MATCH('Forecast capex'!J1800,'Escalators '!$M$178:$S$178,0))/12+1)^((K1800-J1800)*12)-1,0)</f>
        <v>0</v>
      </c>
      <c r="Z1800" s="257">
        <f t="shared" si="370"/>
        <v>0</v>
      </c>
      <c r="AA1800" s="257">
        <f t="shared" si="371"/>
        <v>0</v>
      </c>
      <c r="AB1800" s="269">
        <f t="shared" si="372"/>
        <v>0</v>
      </c>
      <c r="AC1800" s="269">
        <f t="shared" si="373"/>
        <v>0</v>
      </c>
      <c r="AD1800" s="271" t="str">
        <f>INDEX('Global inputs'!$C$134:$C$171,MATCH(F1800,'Global inputs'!$B$134:$B$171,0))</f>
        <v xml:space="preserve">System growth </v>
      </c>
      <c r="AE1800" s="272">
        <f>IF(OR(H1800='Operating leases'!$B$32,H1800='Operating leases'!$B$33),"",INDEX('Global inputs'!$C$186:$C$243,MATCH(E1800,'Global inputs'!$B$186:$B$243,0)))</f>
        <v>0.08</v>
      </c>
    </row>
    <row r="1801" spans="1:31" s="27" customFormat="1" x14ac:dyDescent="0.2">
      <c r="A1801" s="250"/>
      <c r="B1801" s="210" t="s">
        <v>746</v>
      </c>
      <c r="C1801" s="210" t="s">
        <v>290</v>
      </c>
      <c r="D1801" s="210" t="s">
        <v>718</v>
      </c>
      <c r="E1801" s="210" t="s">
        <v>170</v>
      </c>
      <c r="F1801" s="210" t="s">
        <v>86</v>
      </c>
      <c r="G1801" s="210" t="s">
        <v>721</v>
      </c>
      <c r="H1801" s="197">
        <v>0</v>
      </c>
      <c r="I1801" s="210" t="s">
        <v>221</v>
      </c>
      <c r="J1801" s="210">
        <v>2026</v>
      </c>
      <c r="K1801" s="210">
        <v>2026</v>
      </c>
      <c r="L1801" s="268" t="str">
        <f t="shared" si="361"/>
        <v>Simple</v>
      </c>
      <c r="M1801" s="197">
        <v>105249.54999999999</v>
      </c>
      <c r="N1801" s="197">
        <v>0</v>
      </c>
      <c r="O1801" s="257">
        <f>IF(ISNA(MATCH(H1801,'Operating leases'!$B$32:$B$43,0)),0,INDEX('Operating leases'!$M$32:$S$43,MATCH(H1801,'Operating leases'!$B$32:$B$43,0),MATCH(J1801,'Operating leases'!$M$11:$S$11,0)))</f>
        <v>0</v>
      </c>
      <c r="P1801" s="257">
        <f t="shared" si="362"/>
        <v>105249.54999999999</v>
      </c>
      <c r="Q1801" s="257">
        <f t="shared" si="363"/>
        <v>105249.54999999999</v>
      </c>
      <c r="R1801" s="258">
        <f>INDEX('Escalators '!$M$124:$S$129,MATCH(I1801,'Escalators '!$B$124:$B$129,0),MATCH(J1801,'Escalators '!$M$113:$S$113,0))</f>
        <v>1.1088998660799403</v>
      </c>
      <c r="S1801" s="257">
        <f t="shared" si="364"/>
        <v>0</v>
      </c>
      <c r="T1801" s="257">
        <f t="shared" si="365"/>
        <v>0</v>
      </c>
      <c r="U1801" s="269">
        <f t="shared" si="366"/>
        <v>116711.21189997396</v>
      </c>
      <c r="V1801" s="269">
        <f t="shared" si="367"/>
        <v>116711.21189997396</v>
      </c>
      <c r="W1801" s="269">
        <f t="shared" si="368"/>
        <v>116711.21189997396</v>
      </c>
      <c r="X1801" s="257">
        <f t="shared" si="369"/>
        <v>116711.21189997396</v>
      </c>
      <c r="Y1801" s="270">
        <f>IF(L1801="Complex",(INDEX('Escalators '!$M$176:$S$176,MATCH('Forecast capex'!J1801,'Escalators '!$M$178:$S$178,0))/12+1)^((K1801-J1801)*12)-1,0)</f>
        <v>0</v>
      </c>
      <c r="Z1801" s="257">
        <f t="shared" si="370"/>
        <v>0</v>
      </c>
      <c r="AA1801" s="257">
        <f t="shared" si="371"/>
        <v>0</v>
      </c>
      <c r="AB1801" s="269">
        <f t="shared" si="372"/>
        <v>0</v>
      </c>
      <c r="AC1801" s="269">
        <f t="shared" si="373"/>
        <v>0</v>
      </c>
      <c r="AD1801" s="271" t="str">
        <f>INDEX('Global inputs'!$C$134:$C$171,MATCH(F1801,'Global inputs'!$B$134:$B$171,0))</f>
        <v xml:space="preserve">System growth </v>
      </c>
      <c r="AE1801" s="272">
        <f>IF(OR(H1801='Operating leases'!$B$32,H1801='Operating leases'!$B$33),"",INDEX('Global inputs'!$C$186:$C$243,MATCH(E1801,'Global inputs'!$B$186:$B$243,0)))</f>
        <v>0.08</v>
      </c>
    </row>
    <row r="1802" spans="1:31" s="27" customFormat="1" x14ac:dyDescent="0.2">
      <c r="A1802" s="250"/>
      <c r="B1802" s="210" t="s">
        <v>746</v>
      </c>
      <c r="C1802" s="210" t="s">
        <v>288</v>
      </c>
      <c r="D1802" s="210" t="s">
        <v>718</v>
      </c>
      <c r="E1802" s="210" t="s">
        <v>160</v>
      </c>
      <c r="F1802" s="210" t="s">
        <v>86</v>
      </c>
      <c r="G1802" s="210" t="s">
        <v>722</v>
      </c>
      <c r="H1802" s="197">
        <v>0</v>
      </c>
      <c r="I1802" s="210" t="s">
        <v>229</v>
      </c>
      <c r="J1802" s="210">
        <v>2026</v>
      </c>
      <c r="K1802" s="210">
        <v>2026</v>
      </c>
      <c r="L1802" s="268" t="str">
        <f t="shared" ref="L1802:L1865" si="374">IF(J1802=K1802,"Simple","Complex")</f>
        <v>Simple</v>
      </c>
      <c r="M1802" s="197">
        <v>15035.65</v>
      </c>
      <c r="N1802" s="197">
        <v>0</v>
      </c>
      <c r="O1802" s="257">
        <f>IF(ISNA(MATCH(H1802,'Operating leases'!$B$32:$B$43,0)),0,INDEX('Operating leases'!$M$32:$S$43,MATCH(H1802,'Operating leases'!$B$32:$B$43,0),MATCH(J1802,'Operating leases'!$M$11:$S$11,0)))</f>
        <v>0</v>
      </c>
      <c r="P1802" s="257">
        <f t="shared" ref="P1802:P1865" si="375">O1802+M1802</f>
        <v>15035.65</v>
      </c>
      <c r="Q1802" s="257">
        <f t="shared" ref="Q1802:Q1865" si="376">M1802+N1802+O1802</f>
        <v>15035.65</v>
      </c>
      <c r="R1802" s="258">
        <f>INDEX('Escalators '!$M$124:$S$129,MATCH(I1802,'Escalators '!$B$124:$B$129,0),MATCH(J1802,'Escalators '!$M$113:$S$113,0))</f>
        <v>1.1110424701464636</v>
      </c>
      <c r="S1802" s="257">
        <f t="shared" ref="S1802:S1865" si="377">O1802*R1802</f>
        <v>0</v>
      </c>
      <c r="T1802" s="257">
        <f t="shared" ref="T1802:T1865" si="378">N1802*R1802</f>
        <v>0</v>
      </c>
      <c r="U1802" s="269">
        <f t="shared" ref="U1802:U1865" si="379">W1802-S1802</f>
        <v>16705.245716257676</v>
      </c>
      <c r="V1802" s="269">
        <f t="shared" ref="V1802:V1865" si="380">U1802+T1802</f>
        <v>16705.245716257676</v>
      </c>
      <c r="W1802" s="269">
        <f t="shared" ref="W1802:W1865" si="381">X1802-T1802</f>
        <v>16705.245716257676</v>
      </c>
      <c r="X1802" s="257">
        <f t="shared" ref="X1802:X1865" si="382">Q1802*R1802</f>
        <v>16705.245716257676</v>
      </c>
      <c r="Y1802" s="270">
        <f>IF(L1802="Complex",(INDEX('Escalators '!$M$176:$S$176,MATCH('Forecast capex'!J1802,'Escalators '!$M$178:$S$178,0))/12+1)^((K1802-J1802)*12)-1,0)</f>
        <v>0</v>
      </c>
      <c r="Z1802" s="257">
        <f t="shared" ref="Z1802:Z1865" si="383">P1802*Y1802</f>
        <v>0</v>
      </c>
      <c r="AA1802" s="257">
        <f t="shared" ref="AA1802:AA1865" si="384">W1802*Y1802</f>
        <v>0</v>
      </c>
      <c r="AB1802" s="269">
        <f t="shared" ref="AB1802:AB1865" si="385">IF(L1802="Complex",AC1802-T1802,0)</f>
        <v>0</v>
      </c>
      <c r="AC1802" s="269">
        <f t="shared" ref="AC1802:AC1865" si="386">IF(L1802="Complex",V1802+AA1802,0)</f>
        <v>0</v>
      </c>
      <c r="AD1802" s="271" t="str">
        <f>INDEX('Global inputs'!$C$134:$C$171,MATCH(F1802,'Global inputs'!$B$134:$B$171,0))</f>
        <v xml:space="preserve">System growth </v>
      </c>
      <c r="AE1802" s="272">
        <f>IF(OR(H1802='Operating leases'!$B$32,H1802='Operating leases'!$B$33),"",INDEX('Global inputs'!$C$186:$C$243,MATCH(E1802,'Global inputs'!$B$186:$B$243,0)))</f>
        <v>0.08</v>
      </c>
    </row>
    <row r="1803" spans="1:31" s="27" customFormat="1" x14ac:dyDescent="0.2">
      <c r="A1803" s="250"/>
      <c r="B1803" s="210" t="s">
        <v>746</v>
      </c>
      <c r="C1803" s="210" t="s">
        <v>288</v>
      </c>
      <c r="D1803" s="210" t="s">
        <v>718</v>
      </c>
      <c r="E1803" s="210" t="s">
        <v>160</v>
      </c>
      <c r="F1803" s="210" t="s">
        <v>86</v>
      </c>
      <c r="G1803" s="210" t="s">
        <v>722</v>
      </c>
      <c r="H1803" s="197">
        <v>0</v>
      </c>
      <c r="I1803" s="210" t="s">
        <v>221</v>
      </c>
      <c r="J1803" s="210">
        <v>2026</v>
      </c>
      <c r="K1803" s="210">
        <v>2026</v>
      </c>
      <c r="L1803" s="268" t="str">
        <f t="shared" si="374"/>
        <v>Simple</v>
      </c>
      <c r="M1803" s="197">
        <v>15035.65</v>
      </c>
      <c r="N1803" s="197">
        <v>0</v>
      </c>
      <c r="O1803" s="257">
        <f>IF(ISNA(MATCH(H1803,'Operating leases'!$B$32:$B$43,0)),0,INDEX('Operating leases'!$M$32:$S$43,MATCH(H1803,'Operating leases'!$B$32:$B$43,0),MATCH(J1803,'Operating leases'!$M$11:$S$11,0)))</f>
        <v>0</v>
      </c>
      <c r="P1803" s="257">
        <f t="shared" si="375"/>
        <v>15035.65</v>
      </c>
      <c r="Q1803" s="257">
        <f t="shared" si="376"/>
        <v>15035.65</v>
      </c>
      <c r="R1803" s="258">
        <f>INDEX('Escalators '!$M$124:$S$129,MATCH(I1803,'Escalators '!$B$124:$B$129,0),MATCH(J1803,'Escalators '!$M$113:$S$113,0))</f>
        <v>1.1088998660799403</v>
      </c>
      <c r="S1803" s="257">
        <f t="shared" si="377"/>
        <v>0</v>
      </c>
      <c r="T1803" s="257">
        <f t="shared" si="378"/>
        <v>0</v>
      </c>
      <c r="U1803" s="269">
        <f t="shared" si="379"/>
        <v>16673.030271424854</v>
      </c>
      <c r="V1803" s="269">
        <f t="shared" si="380"/>
        <v>16673.030271424854</v>
      </c>
      <c r="W1803" s="269">
        <f t="shared" si="381"/>
        <v>16673.030271424854</v>
      </c>
      <c r="X1803" s="257">
        <f t="shared" si="382"/>
        <v>16673.030271424854</v>
      </c>
      <c r="Y1803" s="270">
        <f>IF(L1803="Complex",(INDEX('Escalators '!$M$176:$S$176,MATCH('Forecast capex'!J1803,'Escalators '!$M$178:$S$178,0))/12+1)^((K1803-J1803)*12)-1,0)</f>
        <v>0</v>
      </c>
      <c r="Z1803" s="257">
        <f t="shared" si="383"/>
        <v>0</v>
      </c>
      <c r="AA1803" s="257">
        <f t="shared" si="384"/>
        <v>0</v>
      </c>
      <c r="AB1803" s="269">
        <f t="shared" si="385"/>
        <v>0</v>
      </c>
      <c r="AC1803" s="269">
        <f t="shared" si="386"/>
        <v>0</v>
      </c>
      <c r="AD1803" s="271" t="str">
        <f>INDEX('Global inputs'!$C$134:$C$171,MATCH(F1803,'Global inputs'!$B$134:$B$171,0))</f>
        <v xml:space="preserve">System growth </v>
      </c>
      <c r="AE1803" s="272">
        <f>IF(OR(H1803='Operating leases'!$B$32,H1803='Operating leases'!$B$33),"",INDEX('Global inputs'!$C$186:$C$243,MATCH(E1803,'Global inputs'!$B$186:$B$243,0)))</f>
        <v>0.08</v>
      </c>
    </row>
    <row r="1804" spans="1:31" s="27" customFormat="1" x14ac:dyDescent="0.2">
      <c r="A1804" s="250"/>
      <c r="B1804" s="210" t="s">
        <v>746</v>
      </c>
      <c r="C1804" s="210" t="s">
        <v>289</v>
      </c>
      <c r="D1804" s="210" t="s">
        <v>723</v>
      </c>
      <c r="E1804" s="210" t="s">
        <v>164</v>
      </c>
      <c r="F1804" s="210" t="s">
        <v>86</v>
      </c>
      <c r="G1804" s="210" t="s">
        <v>724</v>
      </c>
      <c r="H1804" s="197">
        <v>0</v>
      </c>
      <c r="I1804" s="210" t="s">
        <v>139</v>
      </c>
      <c r="J1804" s="210">
        <v>2026</v>
      </c>
      <c r="K1804" s="210">
        <v>2026</v>
      </c>
      <c r="L1804" s="268" t="str">
        <f t="shared" si="374"/>
        <v>Simple</v>
      </c>
      <c r="M1804" s="197">
        <v>240570.4</v>
      </c>
      <c r="N1804" s="197">
        <v>0</v>
      </c>
      <c r="O1804" s="257">
        <f>IF(ISNA(MATCH(H1804,'Operating leases'!$B$32:$B$43,0)),0,INDEX('Operating leases'!$M$32:$S$43,MATCH(H1804,'Operating leases'!$B$32:$B$43,0),MATCH(J1804,'Operating leases'!$M$11:$S$11,0)))</f>
        <v>0</v>
      </c>
      <c r="P1804" s="257">
        <f t="shared" si="375"/>
        <v>240570.4</v>
      </c>
      <c r="Q1804" s="257">
        <f t="shared" si="376"/>
        <v>240570.4</v>
      </c>
      <c r="R1804" s="258">
        <f>INDEX('Escalators '!$M$124:$S$129,MATCH(I1804,'Escalators '!$B$124:$B$129,0),MATCH(J1804,'Escalators '!$M$113:$S$113,0))</f>
        <v>1.0777078650827305</v>
      </c>
      <c r="S1804" s="257">
        <f t="shared" si="377"/>
        <v>0</v>
      </c>
      <c r="T1804" s="257">
        <f t="shared" si="378"/>
        <v>0</v>
      </c>
      <c r="U1804" s="269">
        <f t="shared" si="379"/>
        <v>259264.6121860985</v>
      </c>
      <c r="V1804" s="269">
        <f t="shared" si="380"/>
        <v>259264.6121860985</v>
      </c>
      <c r="W1804" s="269">
        <f t="shared" si="381"/>
        <v>259264.6121860985</v>
      </c>
      <c r="X1804" s="257">
        <f t="shared" si="382"/>
        <v>259264.6121860985</v>
      </c>
      <c r="Y1804" s="270">
        <f>IF(L1804="Complex",(INDEX('Escalators '!$M$176:$S$176,MATCH('Forecast capex'!J1804,'Escalators '!$M$178:$S$178,0))/12+1)^((K1804-J1804)*12)-1,0)</f>
        <v>0</v>
      </c>
      <c r="Z1804" s="257">
        <f t="shared" si="383"/>
        <v>0</v>
      </c>
      <c r="AA1804" s="257">
        <f t="shared" si="384"/>
        <v>0</v>
      </c>
      <c r="AB1804" s="269">
        <f t="shared" si="385"/>
        <v>0</v>
      </c>
      <c r="AC1804" s="269">
        <f t="shared" si="386"/>
        <v>0</v>
      </c>
      <c r="AD1804" s="271" t="str">
        <f>INDEX('Global inputs'!$C$134:$C$171,MATCH(F1804,'Global inputs'!$B$134:$B$171,0))</f>
        <v xml:space="preserve">System growth </v>
      </c>
      <c r="AE1804" s="272">
        <f>IF(OR(H1804='Operating leases'!$B$32,H1804='Operating leases'!$B$33),"",INDEX('Global inputs'!$C$186:$C$243,MATCH(E1804,'Global inputs'!$B$186:$B$243,0)))</f>
        <v>0.08</v>
      </c>
    </row>
    <row r="1805" spans="1:31" s="27" customFormat="1" x14ac:dyDescent="0.2">
      <c r="A1805" s="250"/>
      <c r="B1805" s="210" t="s">
        <v>746</v>
      </c>
      <c r="C1805" s="210" t="s">
        <v>289</v>
      </c>
      <c r="D1805" s="210" t="s">
        <v>723</v>
      </c>
      <c r="E1805" s="210" t="s">
        <v>164</v>
      </c>
      <c r="F1805" s="210" t="s">
        <v>86</v>
      </c>
      <c r="G1805" s="210" t="s">
        <v>724</v>
      </c>
      <c r="H1805" s="197">
        <v>0</v>
      </c>
      <c r="I1805" s="210" t="s">
        <v>221</v>
      </c>
      <c r="J1805" s="210">
        <v>2026</v>
      </c>
      <c r="K1805" s="210">
        <v>2026</v>
      </c>
      <c r="L1805" s="268" t="str">
        <f t="shared" si="374"/>
        <v>Simple</v>
      </c>
      <c r="M1805" s="197">
        <v>60142.6</v>
      </c>
      <c r="N1805" s="197">
        <v>0</v>
      </c>
      <c r="O1805" s="257">
        <f>IF(ISNA(MATCH(H1805,'Operating leases'!$B$32:$B$43,0)),0,INDEX('Operating leases'!$M$32:$S$43,MATCH(H1805,'Operating leases'!$B$32:$B$43,0),MATCH(J1805,'Operating leases'!$M$11:$S$11,0)))</f>
        <v>0</v>
      </c>
      <c r="P1805" s="257">
        <f t="shared" si="375"/>
        <v>60142.6</v>
      </c>
      <c r="Q1805" s="257">
        <f t="shared" si="376"/>
        <v>60142.6</v>
      </c>
      <c r="R1805" s="258">
        <f>INDEX('Escalators '!$M$124:$S$129,MATCH(I1805,'Escalators '!$B$124:$B$129,0),MATCH(J1805,'Escalators '!$M$113:$S$113,0))</f>
        <v>1.1088998660799403</v>
      </c>
      <c r="S1805" s="257">
        <f t="shared" si="377"/>
        <v>0</v>
      </c>
      <c r="T1805" s="257">
        <f t="shared" si="378"/>
        <v>0</v>
      </c>
      <c r="U1805" s="269">
        <f t="shared" si="379"/>
        <v>66692.121085699415</v>
      </c>
      <c r="V1805" s="269">
        <f t="shared" si="380"/>
        <v>66692.121085699415</v>
      </c>
      <c r="W1805" s="269">
        <f t="shared" si="381"/>
        <v>66692.121085699415</v>
      </c>
      <c r="X1805" s="257">
        <f t="shared" si="382"/>
        <v>66692.121085699415</v>
      </c>
      <c r="Y1805" s="270">
        <f>IF(L1805="Complex",(INDEX('Escalators '!$M$176:$S$176,MATCH('Forecast capex'!J1805,'Escalators '!$M$178:$S$178,0))/12+1)^((K1805-J1805)*12)-1,0)</f>
        <v>0</v>
      </c>
      <c r="Z1805" s="257">
        <f t="shared" si="383"/>
        <v>0</v>
      </c>
      <c r="AA1805" s="257">
        <f t="shared" si="384"/>
        <v>0</v>
      </c>
      <c r="AB1805" s="269">
        <f t="shared" si="385"/>
        <v>0</v>
      </c>
      <c r="AC1805" s="269">
        <f t="shared" si="386"/>
        <v>0</v>
      </c>
      <c r="AD1805" s="271" t="str">
        <f>INDEX('Global inputs'!$C$134:$C$171,MATCH(F1805,'Global inputs'!$B$134:$B$171,0))</f>
        <v xml:space="preserve">System growth </v>
      </c>
      <c r="AE1805" s="272">
        <f>IF(OR(H1805='Operating leases'!$B$32,H1805='Operating leases'!$B$33),"",INDEX('Global inputs'!$C$186:$C$243,MATCH(E1805,'Global inputs'!$B$186:$B$243,0)))</f>
        <v>0.08</v>
      </c>
    </row>
    <row r="1806" spans="1:31" s="27" customFormat="1" x14ac:dyDescent="0.2">
      <c r="A1806" s="250"/>
      <c r="B1806" s="210" t="s">
        <v>746</v>
      </c>
      <c r="C1806" s="210" t="s">
        <v>289</v>
      </c>
      <c r="D1806" s="210" t="s">
        <v>723</v>
      </c>
      <c r="E1806" s="210" t="s">
        <v>163</v>
      </c>
      <c r="F1806" s="210" t="s">
        <v>86</v>
      </c>
      <c r="G1806" s="210" t="s">
        <v>725</v>
      </c>
      <c r="H1806" s="197">
        <v>0</v>
      </c>
      <c r="I1806" s="210" t="s">
        <v>139</v>
      </c>
      <c r="J1806" s="210">
        <v>2026</v>
      </c>
      <c r="K1806" s="210">
        <v>2026</v>
      </c>
      <c r="L1806" s="268" t="str">
        <f t="shared" si="374"/>
        <v>Simple</v>
      </c>
      <c r="M1806" s="197">
        <v>72171.12</v>
      </c>
      <c r="N1806" s="197">
        <v>0</v>
      </c>
      <c r="O1806" s="257">
        <f>IF(ISNA(MATCH(H1806,'Operating leases'!$B$32:$B$43,0)),0,INDEX('Operating leases'!$M$32:$S$43,MATCH(H1806,'Operating leases'!$B$32:$B$43,0),MATCH(J1806,'Operating leases'!$M$11:$S$11,0)))</f>
        <v>0</v>
      </c>
      <c r="P1806" s="257">
        <f t="shared" si="375"/>
        <v>72171.12</v>
      </c>
      <c r="Q1806" s="257">
        <f t="shared" si="376"/>
        <v>72171.12</v>
      </c>
      <c r="R1806" s="258">
        <f>INDEX('Escalators '!$M$124:$S$129,MATCH(I1806,'Escalators '!$B$124:$B$129,0),MATCH(J1806,'Escalators '!$M$113:$S$113,0))</f>
        <v>1.0777078650827305</v>
      </c>
      <c r="S1806" s="257">
        <f t="shared" si="377"/>
        <v>0</v>
      </c>
      <c r="T1806" s="257">
        <f t="shared" si="378"/>
        <v>0</v>
      </c>
      <c r="U1806" s="269">
        <f t="shared" si="379"/>
        <v>77779.383655829544</v>
      </c>
      <c r="V1806" s="269">
        <f t="shared" si="380"/>
        <v>77779.383655829544</v>
      </c>
      <c r="W1806" s="269">
        <f t="shared" si="381"/>
        <v>77779.383655829544</v>
      </c>
      <c r="X1806" s="257">
        <f t="shared" si="382"/>
        <v>77779.383655829544</v>
      </c>
      <c r="Y1806" s="270">
        <f>IF(L1806="Complex",(INDEX('Escalators '!$M$176:$S$176,MATCH('Forecast capex'!J1806,'Escalators '!$M$178:$S$178,0))/12+1)^((K1806-J1806)*12)-1,0)</f>
        <v>0</v>
      </c>
      <c r="Z1806" s="257">
        <f t="shared" si="383"/>
        <v>0</v>
      </c>
      <c r="AA1806" s="257">
        <f t="shared" si="384"/>
        <v>0</v>
      </c>
      <c r="AB1806" s="269">
        <f t="shared" si="385"/>
        <v>0</v>
      </c>
      <c r="AC1806" s="269">
        <f t="shared" si="386"/>
        <v>0</v>
      </c>
      <c r="AD1806" s="271" t="str">
        <f>INDEX('Global inputs'!$C$134:$C$171,MATCH(F1806,'Global inputs'!$B$134:$B$171,0))</f>
        <v xml:space="preserve">System growth </v>
      </c>
      <c r="AE1806" s="272">
        <f>IF(OR(H1806='Operating leases'!$B$32,H1806='Operating leases'!$B$33),"",INDEX('Global inputs'!$C$186:$C$243,MATCH(E1806,'Global inputs'!$B$186:$B$243,0)))</f>
        <v>0.08</v>
      </c>
    </row>
    <row r="1807" spans="1:31" s="27" customFormat="1" x14ac:dyDescent="0.2">
      <c r="A1807" s="250"/>
      <c r="B1807" s="210" t="s">
        <v>746</v>
      </c>
      <c r="C1807" s="210" t="s">
        <v>289</v>
      </c>
      <c r="D1807" s="210" t="s">
        <v>723</v>
      </c>
      <c r="E1807" s="210" t="s">
        <v>163</v>
      </c>
      <c r="F1807" s="210" t="s">
        <v>86</v>
      </c>
      <c r="G1807" s="210" t="s">
        <v>725</v>
      </c>
      <c r="H1807" s="197">
        <v>0</v>
      </c>
      <c r="I1807" s="210" t="s">
        <v>221</v>
      </c>
      <c r="J1807" s="210">
        <v>2026</v>
      </c>
      <c r="K1807" s="210">
        <v>2026</v>
      </c>
      <c r="L1807" s="268" t="str">
        <f t="shared" si="374"/>
        <v>Simple</v>
      </c>
      <c r="M1807" s="197">
        <v>18042.78</v>
      </c>
      <c r="N1807" s="197">
        <v>0</v>
      </c>
      <c r="O1807" s="257">
        <f>IF(ISNA(MATCH(H1807,'Operating leases'!$B$32:$B$43,0)),0,INDEX('Operating leases'!$M$32:$S$43,MATCH(H1807,'Operating leases'!$B$32:$B$43,0),MATCH(J1807,'Operating leases'!$M$11:$S$11,0)))</f>
        <v>0</v>
      </c>
      <c r="P1807" s="257">
        <f t="shared" si="375"/>
        <v>18042.78</v>
      </c>
      <c r="Q1807" s="257">
        <f t="shared" si="376"/>
        <v>18042.78</v>
      </c>
      <c r="R1807" s="258">
        <f>INDEX('Escalators '!$M$124:$S$129,MATCH(I1807,'Escalators '!$B$124:$B$129,0),MATCH(J1807,'Escalators '!$M$113:$S$113,0))</f>
        <v>1.1088998660799403</v>
      </c>
      <c r="S1807" s="257">
        <f t="shared" si="377"/>
        <v>0</v>
      </c>
      <c r="T1807" s="257">
        <f t="shared" si="378"/>
        <v>0</v>
      </c>
      <c r="U1807" s="269">
        <f t="shared" si="379"/>
        <v>20007.636325709824</v>
      </c>
      <c r="V1807" s="269">
        <f t="shared" si="380"/>
        <v>20007.636325709824</v>
      </c>
      <c r="W1807" s="269">
        <f t="shared" si="381"/>
        <v>20007.636325709824</v>
      </c>
      <c r="X1807" s="257">
        <f t="shared" si="382"/>
        <v>20007.636325709824</v>
      </c>
      <c r="Y1807" s="270">
        <f>IF(L1807="Complex",(INDEX('Escalators '!$M$176:$S$176,MATCH('Forecast capex'!J1807,'Escalators '!$M$178:$S$178,0))/12+1)^((K1807-J1807)*12)-1,0)</f>
        <v>0</v>
      </c>
      <c r="Z1807" s="257">
        <f t="shared" si="383"/>
        <v>0</v>
      </c>
      <c r="AA1807" s="257">
        <f t="shared" si="384"/>
        <v>0</v>
      </c>
      <c r="AB1807" s="269">
        <f t="shared" si="385"/>
        <v>0</v>
      </c>
      <c r="AC1807" s="269">
        <f t="shared" si="386"/>
        <v>0</v>
      </c>
      <c r="AD1807" s="271" t="str">
        <f>INDEX('Global inputs'!$C$134:$C$171,MATCH(F1807,'Global inputs'!$B$134:$B$171,0))</f>
        <v xml:space="preserve">System growth </v>
      </c>
      <c r="AE1807" s="272">
        <f>IF(OR(H1807='Operating leases'!$B$32,H1807='Operating leases'!$B$33),"",INDEX('Global inputs'!$C$186:$C$243,MATCH(E1807,'Global inputs'!$B$186:$B$243,0)))</f>
        <v>0.08</v>
      </c>
    </row>
    <row r="1808" spans="1:31" s="27" customFormat="1" x14ac:dyDescent="0.2">
      <c r="A1808" s="250"/>
      <c r="B1808" s="210" t="s">
        <v>746</v>
      </c>
      <c r="C1808" s="210" t="s">
        <v>290</v>
      </c>
      <c r="D1808" s="210" t="s">
        <v>723</v>
      </c>
      <c r="E1808" s="210" t="s">
        <v>172</v>
      </c>
      <c r="F1808" s="210" t="s">
        <v>86</v>
      </c>
      <c r="G1808" s="210" t="s">
        <v>747</v>
      </c>
      <c r="H1808" s="197">
        <v>0</v>
      </c>
      <c r="I1808" s="210" t="s">
        <v>139</v>
      </c>
      <c r="J1808" s="210">
        <v>2026</v>
      </c>
      <c r="K1808" s="210">
        <v>2026</v>
      </c>
      <c r="L1808" s="268" t="str">
        <f t="shared" si="374"/>
        <v>Simple</v>
      </c>
      <c r="M1808" s="197">
        <v>12028.52</v>
      </c>
      <c r="N1808" s="197">
        <v>0</v>
      </c>
      <c r="O1808" s="257">
        <f>IF(ISNA(MATCH(H1808,'Operating leases'!$B$32:$B$43,0)),0,INDEX('Operating leases'!$M$32:$S$43,MATCH(H1808,'Operating leases'!$B$32:$B$43,0),MATCH(J1808,'Operating leases'!$M$11:$S$11,0)))</f>
        <v>0</v>
      </c>
      <c r="P1808" s="257">
        <f t="shared" si="375"/>
        <v>12028.52</v>
      </c>
      <c r="Q1808" s="257">
        <f t="shared" si="376"/>
        <v>12028.52</v>
      </c>
      <c r="R1808" s="258">
        <f>INDEX('Escalators '!$M$124:$S$129,MATCH(I1808,'Escalators '!$B$124:$B$129,0),MATCH(J1808,'Escalators '!$M$113:$S$113,0))</f>
        <v>1.0777078650827305</v>
      </c>
      <c r="S1808" s="257">
        <f t="shared" si="377"/>
        <v>0</v>
      </c>
      <c r="T1808" s="257">
        <f t="shared" si="378"/>
        <v>0</v>
      </c>
      <c r="U1808" s="269">
        <f t="shared" si="379"/>
        <v>12963.230609304926</v>
      </c>
      <c r="V1808" s="269">
        <f t="shared" si="380"/>
        <v>12963.230609304926</v>
      </c>
      <c r="W1808" s="269">
        <f t="shared" si="381"/>
        <v>12963.230609304926</v>
      </c>
      <c r="X1808" s="257">
        <f t="shared" si="382"/>
        <v>12963.230609304926</v>
      </c>
      <c r="Y1808" s="270">
        <f>IF(L1808="Complex",(INDEX('Escalators '!$M$176:$S$176,MATCH('Forecast capex'!J1808,'Escalators '!$M$178:$S$178,0))/12+1)^((K1808-J1808)*12)-1,0)</f>
        <v>0</v>
      </c>
      <c r="Z1808" s="257">
        <f t="shared" si="383"/>
        <v>0</v>
      </c>
      <c r="AA1808" s="257">
        <f t="shared" si="384"/>
        <v>0</v>
      </c>
      <c r="AB1808" s="269">
        <f t="shared" si="385"/>
        <v>0</v>
      </c>
      <c r="AC1808" s="269">
        <f t="shared" si="386"/>
        <v>0</v>
      </c>
      <c r="AD1808" s="271" t="str">
        <f>INDEX('Global inputs'!$C$134:$C$171,MATCH(F1808,'Global inputs'!$B$134:$B$171,0))</f>
        <v xml:space="preserve">System growth </v>
      </c>
      <c r="AE1808" s="272">
        <f>IF(OR(H1808='Operating leases'!$B$32,H1808='Operating leases'!$B$33),"",INDEX('Global inputs'!$C$186:$C$243,MATCH(E1808,'Global inputs'!$B$186:$B$243,0)))</f>
        <v>0.08</v>
      </c>
    </row>
    <row r="1809" spans="1:31" s="27" customFormat="1" x14ac:dyDescent="0.2">
      <c r="A1809" s="250"/>
      <c r="B1809" s="210" t="s">
        <v>746</v>
      </c>
      <c r="C1809" s="210" t="s">
        <v>290</v>
      </c>
      <c r="D1809" s="210" t="s">
        <v>723</v>
      </c>
      <c r="E1809" s="210" t="s">
        <v>172</v>
      </c>
      <c r="F1809" s="210" t="s">
        <v>86</v>
      </c>
      <c r="G1809" s="210" t="s">
        <v>747</v>
      </c>
      <c r="H1809" s="197">
        <v>0</v>
      </c>
      <c r="I1809" s="210" t="s">
        <v>221</v>
      </c>
      <c r="J1809" s="210">
        <v>2026</v>
      </c>
      <c r="K1809" s="210">
        <v>2026</v>
      </c>
      <c r="L1809" s="268" t="str">
        <f t="shared" si="374"/>
        <v>Simple</v>
      </c>
      <c r="M1809" s="197">
        <v>3007.13</v>
      </c>
      <c r="N1809" s="197">
        <v>0</v>
      </c>
      <c r="O1809" s="257">
        <f>IF(ISNA(MATCH(H1809,'Operating leases'!$B$32:$B$43,0)),0,INDEX('Operating leases'!$M$32:$S$43,MATCH(H1809,'Operating leases'!$B$32:$B$43,0),MATCH(J1809,'Operating leases'!$M$11:$S$11,0)))</f>
        <v>0</v>
      </c>
      <c r="P1809" s="257">
        <f t="shared" si="375"/>
        <v>3007.13</v>
      </c>
      <c r="Q1809" s="257">
        <f t="shared" si="376"/>
        <v>3007.13</v>
      </c>
      <c r="R1809" s="258">
        <f>INDEX('Escalators '!$M$124:$S$129,MATCH(I1809,'Escalators '!$B$124:$B$129,0),MATCH(J1809,'Escalators '!$M$113:$S$113,0))</f>
        <v>1.1088998660799403</v>
      </c>
      <c r="S1809" s="257">
        <f t="shared" si="377"/>
        <v>0</v>
      </c>
      <c r="T1809" s="257">
        <f t="shared" si="378"/>
        <v>0</v>
      </c>
      <c r="U1809" s="269">
        <f t="shared" si="379"/>
        <v>3334.6060542849709</v>
      </c>
      <c r="V1809" s="269">
        <f t="shared" si="380"/>
        <v>3334.6060542849709</v>
      </c>
      <c r="W1809" s="269">
        <f t="shared" si="381"/>
        <v>3334.6060542849709</v>
      </c>
      <c r="X1809" s="257">
        <f t="shared" si="382"/>
        <v>3334.6060542849709</v>
      </c>
      <c r="Y1809" s="270">
        <f>IF(L1809="Complex",(INDEX('Escalators '!$M$176:$S$176,MATCH('Forecast capex'!J1809,'Escalators '!$M$178:$S$178,0))/12+1)^((K1809-J1809)*12)-1,0)</f>
        <v>0</v>
      </c>
      <c r="Z1809" s="257">
        <f t="shared" si="383"/>
        <v>0</v>
      </c>
      <c r="AA1809" s="257">
        <f t="shared" si="384"/>
        <v>0</v>
      </c>
      <c r="AB1809" s="269">
        <f t="shared" si="385"/>
        <v>0</v>
      </c>
      <c r="AC1809" s="269">
        <f t="shared" si="386"/>
        <v>0</v>
      </c>
      <c r="AD1809" s="271" t="str">
        <f>INDEX('Global inputs'!$C$134:$C$171,MATCH(F1809,'Global inputs'!$B$134:$B$171,0))</f>
        <v xml:space="preserve">System growth </v>
      </c>
      <c r="AE1809" s="272">
        <f>IF(OR(H1809='Operating leases'!$B$32,H1809='Operating leases'!$B$33),"",INDEX('Global inputs'!$C$186:$C$243,MATCH(E1809,'Global inputs'!$B$186:$B$243,0)))</f>
        <v>0.08</v>
      </c>
    </row>
    <row r="1810" spans="1:31" s="27" customFormat="1" x14ac:dyDescent="0.2">
      <c r="A1810" s="250"/>
      <c r="B1810" s="210" t="s">
        <v>746</v>
      </c>
      <c r="C1810" s="210" t="s">
        <v>286</v>
      </c>
      <c r="D1810" s="210" t="s">
        <v>735</v>
      </c>
      <c r="E1810" s="210" t="s">
        <v>144</v>
      </c>
      <c r="F1810" s="210" t="s">
        <v>86</v>
      </c>
      <c r="G1810" s="210" t="s">
        <v>736</v>
      </c>
      <c r="H1810" s="197">
        <v>0</v>
      </c>
      <c r="I1810" s="210" t="s">
        <v>229</v>
      </c>
      <c r="J1810" s="210">
        <v>2026</v>
      </c>
      <c r="K1810" s="210">
        <v>2026</v>
      </c>
      <c r="L1810" s="268" t="str">
        <f t="shared" si="374"/>
        <v>Simple</v>
      </c>
      <c r="M1810" s="197">
        <v>6014.26</v>
      </c>
      <c r="N1810" s="197">
        <v>0</v>
      </c>
      <c r="O1810" s="257">
        <f>IF(ISNA(MATCH(H1810,'Operating leases'!$B$32:$B$43,0)),0,INDEX('Operating leases'!$M$32:$S$43,MATCH(H1810,'Operating leases'!$B$32:$B$43,0),MATCH(J1810,'Operating leases'!$M$11:$S$11,0)))</f>
        <v>0</v>
      </c>
      <c r="P1810" s="257">
        <f t="shared" si="375"/>
        <v>6014.26</v>
      </c>
      <c r="Q1810" s="257">
        <f t="shared" si="376"/>
        <v>6014.26</v>
      </c>
      <c r="R1810" s="258">
        <f>INDEX('Escalators '!$M$124:$S$129,MATCH(I1810,'Escalators '!$B$124:$B$129,0),MATCH(J1810,'Escalators '!$M$113:$S$113,0))</f>
        <v>1.1110424701464636</v>
      </c>
      <c r="S1810" s="257">
        <f t="shared" si="377"/>
        <v>0</v>
      </c>
      <c r="T1810" s="257">
        <f t="shared" si="378"/>
        <v>0</v>
      </c>
      <c r="U1810" s="269">
        <f t="shared" si="379"/>
        <v>6682.098286503071</v>
      </c>
      <c r="V1810" s="269">
        <f t="shared" si="380"/>
        <v>6682.098286503071</v>
      </c>
      <c r="W1810" s="269">
        <f t="shared" si="381"/>
        <v>6682.098286503071</v>
      </c>
      <c r="X1810" s="257">
        <f t="shared" si="382"/>
        <v>6682.098286503071</v>
      </c>
      <c r="Y1810" s="270">
        <f>IF(L1810="Complex",(INDEX('Escalators '!$M$176:$S$176,MATCH('Forecast capex'!J1810,'Escalators '!$M$178:$S$178,0))/12+1)^((K1810-J1810)*12)-1,0)</f>
        <v>0</v>
      </c>
      <c r="Z1810" s="257">
        <f t="shared" si="383"/>
        <v>0</v>
      </c>
      <c r="AA1810" s="257">
        <f t="shared" si="384"/>
        <v>0</v>
      </c>
      <c r="AB1810" s="269">
        <f t="shared" si="385"/>
        <v>0</v>
      </c>
      <c r="AC1810" s="269">
        <f t="shared" si="386"/>
        <v>0</v>
      </c>
      <c r="AD1810" s="271" t="str">
        <f>INDEX('Global inputs'!$C$134:$C$171,MATCH(F1810,'Global inputs'!$B$134:$B$171,0))</f>
        <v xml:space="preserve">System growth </v>
      </c>
      <c r="AE1810" s="272">
        <f>IF(OR(H1810='Operating leases'!$B$32,H1810='Operating leases'!$B$33),"",INDEX('Global inputs'!$C$186:$C$243,MATCH(E1810,'Global inputs'!$B$186:$B$243,0)))</f>
        <v>0.08</v>
      </c>
    </row>
    <row r="1811" spans="1:31" s="27" customFormat="1" x14ac:dyDescent="0.2">
      <c r="A1811" s="250"/>
      <c r="B1811" s="210" t="s">
        <v>746</v>
      </c>
      <c r="C1811" s="210" t="s">
        <v>286</v>
      </c>
      <c r="D1811" s="210" t="s">
        <v>735</v>
      </c>
      <c r="E1811" s="210" t="s">
        <v>144</v>
      </c>
      <c r="F1811" s="210" t="s">
        <v>86</v>
      </c>
      <c r="G1811" s="210" t="s">
        <v>736</v>
      </c>
      <c r="H1811" s="197">
        <v>0</v>
      </c>
      <c r="I1811" s="210" t="s">
        <v>221</v>
      </c>
      <c r="J1811" s="210">
        <v>2026</v>
      </c>
      <c r="K1811" s="210">
        <v>2026</v>
      </c>
      <c r="L1811" s="268" t="str">
        <f t="shared" si="374"/>
        <v>Simple</v>
      </c>
      <c r="M1811" s="197">
        <v>24057.040000000001</v>
      </c>
      <c r="N1811" s="197">
        <v>0</v>
      </c>
      <c r="O1811" s="257">
        <f>IF(ISNA(MATCH(H1811,'Operating leases'!$B$32:$B$43,0)),0,INDEX('Operating leases'!$M$32:$S$43,MATCH(H1811,'Operating leases'!$B$32:$B$43,0),MATCH(J1811,'Operating leases'!$M$11:$S$11,0)))</f>
        <v>0</v>
      </c>
      <c r="P1811" s="257">
        <f t="shared" si="375"/>
        <v>24057.040000000001</v>
      </c>
      <c r="Q1811" s="257">
        <f t="shared" si="376"/>
        <v>24057.040000000001</v>
      </c>
      <c r="R1811" s="258">
        <f>INDEX('Escalators '!$M$124:$S$129,MATCH(I1811,'Escalators '!$B$124:$B$129,0),MATCH(J1811,'Escalators '!$M$113:$S$113,0))</f>
        <v>1.1088998660799403</v>
      </c>
      <c r="S1811" s="257">
        <f t="shared" si="377"/>
        <v>0</v>
      </c>
      <c r="T1811" s="257">
        <f t="shared" si="378"/>
        <v>0</v>
      </c>
      <c r="U1811" s="269">
        <f t="shared" si="379"/>
        <v>26676.848434279767</v>
      </c>
      <c r="V1811" s="269">
        <f t="shared" si="380"/>
        <v>26676.848434279767</v>
      </c>
      <c r="W1811" s="269">
        <f t="shared" si="381"/>
        <v>26676.848434279767</v>
      </c>
      <c r="X1811" s="257">
        <f t="shared" si="382"/>
        <v>26676.848434279767</v>
      </c>
      <c r="Y1811" s="270">
        <f>IF(L1811="Complex",(INDEX('Escalators '!$M$176:$S$176,MATCH('Forecast capex'!J1811,'Escalators '!$M$178:$S$178,0))/12+1)^((K1811-J1811)*12)-1,0)</f>
        <v>0</v>
      </c>
      <c r="Z1811" s="257">
        <f t="shared" si="383"/>
        <v>0</v>
      </c>
      <c r="AA1811" s="257">
        <f t="shared" si="384"/>
        <v>0</v>
      </c>
      <c r="AB1811" s="269">
        <f t="shared" si="385"/>
        <v>0</v>
      </c>
      <c r="AC1811" s="269">
        <f t="shared" si="386"/>
        <v>0</v>
      </c>
      <c r="AD1811" s="271" t="str">
        <f>INDEX('Global inputs'!$C$134:$C$171,MATCH(F1811,'Global inputs'!$B$134:$B$171,0))</f>
        <v xml:space="preserve">System growth </v>
      </c>
      <c r="AE1811" s="272">
        <f>IF(OR(H1811='Operating leases'!$B$32,H1811='Operating leases'!$B$33),"",INDEX('Global inputs'!$C$186:$C$243,MATCH(E1811,'Global inputs'!$B$186:$B$243,0)))</f>
        <v>0.08</v>
      </c>
    </row>
    <row r="1812" spans="1:31" s="27" customFormat="1" x14ac:dyDescent="0.2">
      <c r="A1812" s="250"/>
      <c r="B1812" s="210" t="s">
        <v>746</v>
      </c>
      <c r="C1812" s="210" t="s">
        <v>291</v>
      </c>
      <c r="D1812" s="210" t="s">
        <v>735</v>
      </c>
      <c r="E1812" s="210" t="s">
        <v>175</v>
      </c>
      <c r="F1812" s="210" t="s">
        <v>86</v>
      </c>
      <c r="G1812" s="210" t="s">
        <v>748</v>
      </c>
      <c r="H1812" s="197">
        <v>0</v>
      </c>
      <c r="I1812" s="210" t="s">
        <v>229</v>
      </c>
      <c r="J1812" s="210">
        <v>2026</v>
      </c>
      <c r="K1812" s="210">
        <v>2026</v>
      </c>
      <c r="L1812" s="268" t="str">
        <f t="shared" si="374"/>
        <v>Simple</v>
      </c>
      <c r="M1812" s="197">
        <v>3007.13</v>
      </c>
      <c r="N1812" s="197">
        <v>0</v>
      </c>
      <c r="O1812" s="257">
        <f>IF(ISNA(MATCH(H1812,'Operating leases'!$B$32:$B$43,0)),0,INDEX('Operating leases'!$M$32:$S$43,MATCH(H1812,'Operating leases'!$B$32:$B$43,0),MATCH(J1812,'Operating leases'!$M$11:$S$11,0)))</f>
        <v>0</v>
      </c>
      <c r="P1812" s="257">
        <f t="shared" si="375"/>
        <v>3007.13</v>
      </c>
      <c r="Q1812" s="257">
        <f t="shared" si="376"/>
        <v>3007.13</v>
      </c>
      <c r="R1812" s="258">
        <f>INDEX('Escalators '!$M$124:$S$129,MATCH(I1812,'Escalators '!$B$124:$B$129,0),MATCH(J1812,'Escalators '!$M$113:$S$113,0))</f>
        <v>1.1110424701464636</v>
      </c>
      <c r="S1812" s="257">
        <f t="shared" si="377"/>
        <v>0</v>
      </c>
      <c r="T1812" s="257">
        <f t="shared" si="378"/>
        <v>0</v>
      </c>
      <c r="U1812" s="269">
        <f t="shared" si="379"/>
        <v>3341.0491432515355</v>
      </c>
      <c r="V1812" s="269">
        <f t="shared" si="380"/>
        <v>3341.0491432515355</v>
      </c>
      <c r="W1812" s="269">
        <f t="shared" si="381"/>
        <v>3341.0491432515355</v>
      </c>
      <c r="X1812" s="257">
        <f t="shared" si="382"/>
        <v>3341.0491432515355</v>
      </c>
      <c r="Y1812" s="270">
        <f>IF(L1812="Complex",(INDEX('Escalators '!$M$176:$S$176,MATCH('Forecast capex'!J1812,'Escalators '!$M$178:$S$178,0))/12+1)^((K1812-J1812)*12)-1,0)</f>
        <v>0</v>
      </c>
      <c r="Z1812" s="257">
        <f t="shared" si="383"/>
        <v>0</v>
      </c>
      <c r="AA1812" s="257">
        <f t="shared" si="384"/>
        <v>0</v>
      </c>
      <c r="AB1812" s="269">
        <f t="shared" si="385"/>
        <v>0</v>
      </c>
      <c r="AC1812" s="269">
        <f t="shared" si="386"/>
        <v>0</v>
      </c>
      <c r="AD1812" s="271" t="str">
        <f>INDEX('Global inputs'!$C$134:$C$171,MATCH(F1812,'Global inputs'!$B$134:$B$171,0))</f>
        <v xml:space="preserve">System growth </v>
      </c>
      <c r="AE1812" s="272">
        <f>IF(OR(H1812='Operating leases'!$B$32,H1812='Operating leases'!$B$33),"",INDEX('Global inputs'!$C$186:$C$243,MATCH(E1812,'Global inputs'!$B$186:$B$243,0)))</f>
        <v>0.1</v>
      </c>
    </row>
    <row r="1813" spans="1:31" s="27" customFormat="1" x14ac:dyDescent="0.2">
      <c r="A1813" s="250"/>
      <c r="B1813" s="210" t="s">
        <v>746</v>
      </c>
      <c r="C1813" s="210" t="s">
        <v>291</v>
      </c>
      <c r="D1813" s="210" t="s">
        <v>735</v>
      </c>
      <c r="E1813" s="210" t="s">
        <v>175</v>
      </c>
      <c r="F1813" s="210" t="s">
        <v>86</v>
      </c>
      <c r="G1813" s="210" t="s">
        <v>748</v>
      </c>
      <c r="H1813" s="197">
        <v>0</v>
      </c>
      <c r="I1813" s="210" t="s">
        <v>221</v>
      </c>
      <c r="J1813" s="210">
        <v>2026</v>
      </c>
      <c r="K1813" s="210">
        <v>2026</v>
      </c>
      <c r="L1813" s="268" t="str">
        <f t="shared" si="374"/>
        <v>Simple</v>
      </c>
      <c r="M1813" s="197">
        <v>12028.52</v>
      </c>
      <c r="N1813" s="197">
        <v>0</v>
      </c>
      <c r="O1813" s="257">
        <f>IF(ISNA(MATCH(H1813,'Operating leases'!$B$32:$B$43,0)),0,INDEX('Operating leases'!$M$32:$S$43,MATCH(H1813,'Operating leases'!$B$32:$B$43,0),MATCH(J1813,'Operating leases'!$M$11:$S$11,0)))</f>
        <v>0</v>
      </c>
      <c r="P1813" s="257">
        <f t="shared" si="375"/>
        <v>12028.52</v>
      </c>
      <c r="Q1813" s="257">
        <f t="shared" si="376"/>
        <v>12028.52</v>
      </c>
      <c r="R1813" s="258">
        <f>INDEX('Escalators '!$M$124:$S$129,MATCH(I1813,'Escalators '!$B$124:$B$129,0),MATCH(J1813,'Escalators '!$M$113:$S$113,0))</f>
        <v>1.1088998660799403</v>
      </c>
      <c r="S1813" s="257">
        <f t="shared" si="377"/>
        <v>0</v>
      </c>
      <c r="T1813" s="257">
        <f t="shared" si="378"/>
        <v>0</v>
      </c>
      <c r="U1813" s="269">
        <f t="shared" si="379"/>
        <v>13338.424217139884</v>
      </c>
      <c r="V1813" s="269">
        <f t="shared" si="380"/>
        <v>13338.424217139884</v>
      </c>
      <c r="W1813" s="269">
        <f t="shared" si="381"/>
        <v>13338.424217139884</v>
      </c>
      <c r="X1813" s="257">
        <f t="shared" si="382"/>
        <v>13338.424217139884</v>
      </c>
      <c r="Y1813" s="270">
        <f>IF(L1813="Complex",(INDEX('Escalators '!$M$176:$S$176,MATCH('Forecast capex'!J1813,'Escalators '!$M$178:$S$178,0))/12+1)^((K1813-J1813)*12)-1,0)</f>
        <v>0</v>
      </c>
      <c r="Z1813" s="257">
        <f t="shared" si="383"/>
        <v>0</v>
      </c>
      <c r="AA1813" s="257">
        <f t="shared" si="384"/>
        <v>0</v>
      </c>
      <c r="AB1813" s="269">
        <f t="shared" si="385"/>
        <v>0</v>
      </c>
      <c r="AC1813" s="269">
        <f t="shared" si="386"/>
        <v>0</v>
      </c>
      <c r="AD1813" s="271" t="str">
        <f>INDEX('Global inputs'!$C$134:$C$171,MATCH(F1813,'Global inputs'!$B$134:$B$171,0))</f>
        <v xml:space="preserve">System growth </v>
      </c>
      <c r="AE1813" s="272">
        <f>IF(OR(H1813='Operating leases'!$B$32,H1813='Operating leases'!$B$33),"",INDEX('Global inputs'!$C$186:$C$243,MATCH(E1813,'Global inputs'!$B$186:$B$243,0)))</f>
        <v>0.1</v>
      </c>
    </row>
    <row r="1814" spans="1:31" s="27" customFormat="1" x14ac:dyDescent="0.2">
      <c r="A1814" s="250"/>
      <c r="B1814" s="210" t="s">
        <v>746</v>
      </c>
      <c r="C1814" s="210" t="s">
        <v>288</v>
      </c>
      <c r="D1814" s="210" t="s">
        <v>223</v>
      </c>
      <c r="E1814" s="210" t="s">
        <v>156</v>
      </c>
      <c r="F1814" s="210" t="s">
        <v>86</v>
      </c>
      <c r="G1814" s="210" t="s">
        <v>727</v>
      </c>
      <c r="H1814" s="197">
        <v>0</v>
      </c>
      <c r="I1814" s="210" t="s">
        <v>223</v>
      </c>
      <c r="J1814" s="210">
        <v>2026</v>
      </c>
      <c r="K1814" s="210">
        <v>2026</v>
      </c>
      <c r="L1814" s="268" t="str">
        <f t="shared" si="374"/>
        <v>Simple</v>
      </c>
      <c r="M1814" s="197">
        <v>243577.52999999997</v>
      </c>
      <c r="N1814" s="197">
        <v>0</v>
      </c>
      <c r="O1814" s="257">
        <f>IF(ISNA(MATCH(H1814,'Operating leases'!$B$32:$B$43,0)),0,INDEX('Operating leases'!$M$32:$S$43,MATCH(H1814,'Operating leases'!$B$32:$B$43,0),MATCH(J1814,'Operating leases'!$M$11:$S$11,0)))</f>
        <v>0</v>
      </c>
      <c r="P1814" s="257">
        <f t="shared" si="375"/>
        <v>243577.52999999997</v>
      </c>
      <c r="Q1814" s="257">
        <f t="shared" si="376"/>
        <v>243577.52999999997</v>
      </c>
      <c r="R1814" s="258">
        <f>INDEX('Escalators '!$M$124:$S$129,MATCH(I1814,'Escalators '!$B$124:$B$129,0),MATCH(J1814,'Escalators '!$M$113:$S$113,0))</f>
        <v>1.168210490264004</v>
      </c>
      <c r="S1814" s="257">
        <f t="shared" si="377"/>
        <v>0</v>
      </c>
      <c r="T1814" s="257">
        <f t="shared" si="378"/>
        <v>0</v>
      </c>
      <c r="U1814" s="269">
        <f t="shared" si="379"/>
        <v>284549.8257385951</v>
      </c>
      <c r="V1814" s="269">
        <f t="shared" si="380"/>
        <v>284549.8257385951</v>
      </c>
      <c r="W1814" s="269">
        <f t="shared" si="381"/>
        <v>284549.8257385951</v>
      </c>
      <c r="X1814" s="257">
        <f t="shared" si="382"/>
        <v>284549.8257385951</v>
      </c>
      <c r="Y1814" s="270">
        <f>IF(L1814="Complex",(INDEX('Escalators '!$M$176:$S$176,MATCH('Forecast capex'!J1814,'Escalators '!$M$178:$S$178,0))/12+1)^((K1814-J1814)*12)-1,0)</f>
        <v>0</v>
      </c>
      <c r="Z1814" s="257">
        <f t="shared" si="383"/>
        <v>0</v>
      </c>
      <c r="AA1814" s="257">
        <f t="shared" si="384"/>
        <v>0</v>
      </c>
      <c r="AB1814" s="269">
        <f t="shared" si="385"/>
        <v>0</v>
      </c>
      <c r="AC1814" s="269">
        <f t="shared" si="386"/>
        <v>0</v>
      </c>
      <c r="AD1814" s="271" t="str">
        <f>INDEX('Global inputs'!$C$134:$C$171,MATCH(F1814,'Global inputs'!$B$134:$B$171,0))</f>
        <v xml:space="preserve">System growth </v>
      </c>
      <c r="AE1814" s="272">
        <f>IF(OR(H1814='Operating leases'!$B$32,H1814='Operating leases'!$B$33),"",INDEX('Global inputs'!$C$186:$C$243,MATCH(E1814,'Global inputs'!$B$186:$B$243,0)))</f>
        <v>0.08</v>
      </c>
    </row>
    <row r="1815" spans="1:31" s="27" customFormat="1" x14ac:dyDescent="0.2">
      <c r="A1815" s="250"/>
      <c r="B1815" s="210" t="s">
        <v>746</v>
      </c>
      <c r="C1815" s="210" t="s">
        <v>288</v>
      </c>
      <c r="D1815" s="210" t="s">
        <v>223</v>
      </c>
      <c r="E1815" s="210" t="s">
        <v>156</v>
      </c>
      <c r="F1815" s="210" t="s">
        <v>86</v>
      </c>
      <c r="G1815" s="210" t="s">
        <v>727</v>
      </c>
      <c r="H1815" s="197">
        <v>0</v>
      </c>
      <c r="I1815" s="210" t="s">
        <v>221</v>
      </c>
      <c r="J1815" s="210">
        <v>2026</v>
      </c>
      <c r="K1815" s="210">
        <v>2026</v>
      </c>
      <c r="L1815" s="268" t="str">
        <f t="shared" si="374"/>
        <v>Simple</v>
      </c>
      <c r="M1815" s="197">
        <v>568347.56999999995</v>
      </c>
      <c r="N1815" s="197">
        <v>0</v>
      </c>
      <c r="O1815" s="257">
        <f>IF(ISNA(MATCH(H1815,'Operating leases'!$B$32:$B$43,0)),0,INDEX('Operating leases'!$M$32:$S$43,MATCH(H1815,'Operating leases'!$B$32:$B$43,0),MATCH(J1815,'Operating leases'!$M$11:$S$11,0)))</f>
        <v>0</v>
      </c>
      <c r="P1815" s="257">
        <f t="shared" si="375"/>
        <v>568347.56999999995</v>
      </c>
      <c r="Q1815" s="257">
        <f t="shared" si="376"/>
        <v>568347.56999999995</v>
      </c>
      <c r="R1815" s="258">
        <f>INDEX('Escalators '!$M$124:$S$129,MATCH(I1815,'Escalators '!$B$124:$B$129,0),MATCH(J1815,'Escalators '!$M$113:$S$113,0))</f>
        <v>1.1088998660799403</v>
      </c>
      <c r="S1815" s="257">
        <f t="shared" si="377"/>
        <v>0</v>
      </c>
      <c r="T1815" s="257">
        <f t="shared" si="378"/>
        <v>0</v>
      </c>
      <c r="U1815" s="269">
        <f t="shared" si="379"/>
        <v>630240.54425985948</v>
      </c>
      <c r="V1815" s="269">
        <f t="shared" si="380"/>
        <v>630240.54425985948</v>
      </c>
      <c r="W1815" s="269">
        <f t="shared" si="381"/>
        <v>630240.54425985948</v>
      </c>
      <c r="X1815" s="257">
        <f t="shared" si="382"/>
        <v>630240.54425985948</v>
      </c>
      <c r="Y1815" s="270">
        <f>IF(L1815="Complex",(INDEX('Escalators '!$M$176:$S$176,MATCH('Forecast capex'!J1815,'Escalators '!$M$178:$S$178,0))/12+1)^((K1815-J1815)*12)-1,0)</f>
        <v>0</v>
      </c>
      <c r="Z1815" s="257">
        <f t="shared" si="383"/>
        <v>0</v>
      </c>
      <c r="AA1815" s="257">
        <f t="shared" si="384"/>
        <v>0</v>
      </c>
      <c r="AB1815" s="269">
        <f t="shared" si="385"/>
        <v>0</v>
      </c>
      <c r="AC1815" s="269">
        <f t="shared" si="386"/>
        <v>0</v>
      </c>
      <c r="AD1815" s="271" t="str">
        <f>INDEX('Global inputs'!$C$134:$C$171,MATCH(F1815,'Global inputs'!$B$134:$B$171,0))</f>
        <v xml:space="preserve">System growth </v>
      </c>
      <c r="AE1815" s="272">
        <f>IF(OR(H1815='Operating leases'!$B$32,H1815='Operating leases'!$B$33),"",INDEX('Global inputs'!$C$186:$C$243,MATCH(E1815,'Global inputs'!$B$186:$B$243,0)))</f>
        <v>0.08</v>
      </c>
    </row>
    <row r="1816" spans="1:31" s="27" customFormat="1" x14ac:dyDescent="0.2">
      <c r="A1816" s="250"/>
      <c r="B1816" s="210" t="s">
        <v>746</v>
      </c>
      <c r="C1816" s="210" t="s">
        <v>288</v>
      </c>
      <c r="D1816" s="210" t="s">
        <v>223</v>
      </c>
      <c r="E1816" s="210" t="s">
        <v>158</v>
      </c>
      <c r="F1816" s="210" t="s">
        <v>86</v>
      </c>
      <c r="G1816" s="210" t="s">
        <v>728</v>
      </c>
      <c r="H1816" s="197">
        <v>0</v>
      </c>
      <c r="I1816" s="210" t="s">
        <v>223</v>
      </c>
      <c r="J1816" s="210">
        <v>2026</v>
      </c>
      <c r="K1816" s="210">
        <v>2026</v>
      </c>
      <c r="L1816" s="268" t="str">
        <f t="shared" si="374"/>
        <v>Simple</v>
      </c>
      <c r="M1816" s="197">
        <v>24057.040000000001</v>
      </c>
      <c r="N1816" s="197">
        <v>0</v>
      </c>
      <c r="O1816" s="257">
        <f>IF(ISNA(MATCH(H1816,'Operating leases'!$B$32:$B$43,0)),0,INDEX('Operating leases'!$M$32:$S$43,MATCH(H1816,'Operating leases'!$B$32:$B$43,0),MATCH(J1816,'Operating leases'!$M$11:$S$11,0)))</f>
        <v>0</v>
      </c>
      <c r="P1816" s="257">
        <f t="shared" si="375"/>
        <v>24057.040000000001</v>
      </c>
      <c r="Q1816" s="257">
        <f t="shared" si="376"/>
        <v>24057.040000000001</v>
      </c>
      <c r="R1816" s="258">
        <f>INDEX('Escalators '!$M$124:$S$129,MATCH(I1816,'Escalators '!$B$124:$B$129,0),MATCH(J1816,'Escalators '!$M$113:$S$113,0))</f>
        <v>1.168210490264004</v>
      </c>
      <c r="S1816" s="257">
        <f t="shared" si="377"/>
        <v>0</v>
      </c>
      <c r="T1816" s="257">
        <f t="shared" si="378"/>
        <v>0</v>
      </c>
      <c r="U1816" s="269">
        <f t="shared" si="379"/>
        <v>28103.686492700755</v>
      </c>
      <c r="V1816" s="269">
        <f t="shared" si="380"/>
        <v>28103.686492700755</v>
      </c>
      <c r="W1816" s="269">
        <f t="shared" si="381"/>
        <v>28103.686492700755</v>
      </c>
      <c r="X1816" s="257">
        <f t="shared" si="382"/>
        <v>28103.686492700755</v>
      </c>
      <c r="Y1816" s="270">
        <f>IF(L1816="Complex",(INDEX('Escalators '!$M$176:$S$176,MATCH('Forecast capex'!J1816,'Escalators '!$M$178:$S$178,0))/12+1)^((K1816-J1816)*12)-1,0)</f>
        <v>0</v>
      </c>
      <c r="Z1816" s="257">
        <f t="shared" si="383"/>
        <v>0</v>
      </c>
      <c r="AA1816" s="257">
        <f t="shared" si="384"/>
        <v>0</v>
      </c>
      <c r="AB1816" s="269">
        <f t="shared" si="385"/>
        <v>0</v>
      </c>
      <c r="AC1816" s="269">
        <f t="shared" si="386"/>
        <v>0</v>
      </c>
      <c r="AD1816" s="271" t="str">
        <f>INDEX('Global inputs'!$C$134:$C$171,MATCH(F1816,'Global inputs'!$B$134:$B$171,0))</f>
        <v xml:space="preserve">System growth </v>
      </c>
      <c r="AE1816" s="272">
        <f>IF(OR(H1816='Operating leases'!$B$32,H1816='Operating leases'!$B$33),"",INDEX('Global inputs'!$C$186:$C$243,MATCH(E1816,'Global inputs'!$B$186:$B$243,0)))</f>
        <v>0.08</v>
      </c>
    </row>
    <row r="1817" spans="1:31" s="27" customFormat="1" x14ac:dyDescent="0.2">
      <c r="A1817" s="250"/>
      <c r="B1817" s="210" t="s">
        <v>746</v>
      </c>
      <c r="C1817" s="210" t="s">
        <v>288</v>
      </c>
      <c r="D1817" s="210" t="s">
        <v>223</v>
      </c>
      <c r="E1817" s="210" t="s">
        <v>158</v>
      </c>
      <c r="F1817" s="210" t="s">
        <v>86</v>
      </c>
      <c r="G1817" s="210" t="s">
        <v>728</v>
      </c>
      <c r="H1817" s="197">
        <v>0</v>
      </c>
      <c r="I1817" s="210" t="s">
        <v>221</v>
      </c>
      <c r="J1817" s="210">
        <v>2026</v>
      </c>
      <c r="K1817" s="210">
        <v>2026</v>
      </c>
      <c r="L1817" s="268" t="str">
        <f t="shared" si="374"/>
        <v>Simple</v>
      </c>
      <c r="M1817" s="197">
        <v>36085.56</v>
      </c>
      <c r="N1817" s="197">
        <v>0</v>
      </c>
      <c r="O1817" s="257">
        <f>IF(ISNA(MATCH(H1817,'Operating leases'!$B$32:$B$43,0)),0,INDEX('Operating leases'!$M$32:$S$43,MATCH(H1817,'Operating leases'!$B$32:$B$43,0),MATCH(J1817,'Operating leases'!$M$11:$S$11,0)))</f>
        <v>0</v>
      </c>
      <c r="P1817" s="257">
        <f t="shared" si="375"/>
        <v>36085.56</v>
      </c>
      <c r="Q1817" s="257">
        <f t="shared" si="376"/>
        <v>36085.56</v>
      </c>
      <c r="R1817" s="258">
        <f>INDEX('Escalators '!$M$124:$S$129,MATCH(I1817,'Escalators '!$B$124:$B$129,0),MATCH(J1817,'Escalators '!$M$113:$S$113,0))</f>
        <v>1.1088998660799403</v>
      </c>
      <c r="S1817" s="257">
        <f t="shared" si="377"/>
        <v>0</v>
      </c>
      <c r="T1817" s="257">
        <f t="shared" si="378"/>
        <v>0</v>
      </c>
      <c r="U1817" s="269">
        <f t="shared" si="379"/>
        <v>40015.272651419647</v>
      </c>
      <c r="V1817" s="269">
        <f t="shared" si="380"/>
        <v>40015.272651419647</v>
      </c>
      <c r="W1817" s="269">
        <f t="shared" si="381"/>
        <v>40015.272651419647</v>
      </c>
      <c r="X1817" s="257">
        <f t="shared" si="382"/>
        <v>40015.272651419647</v>
      </c>
      <c r="Y1817" s="270">
        <f>IF(L1817="Complex",(INDEX('Escalators '!$M$176:$S$176,MATCH('Forecast capex'!J1817,'Escalators '!$M$178:$S$178,0))/12+1)^((K1817-J1817)*12)-1,0)</f>
        <v>0</v>
      </c>
      <c r="Z1817" s="257">
        <f t="shared" si="383"/>
        <v>0</v>
      </c>
      <c r="AA1817" s="257">
        <f t="shared" si="384"/>
        <v>0</v>
      </c>
      <c r="AB1817" s="269">
        <f t="shared" si="385"/>
        <v>0</v>
      </c>
      <c r="AC1817" s="269">
        <f t="shared" si="386"/>
        <v>0</v>
      </c>
      <c r="AD1817" s="271" t="str">
        <f>INDEX('Global inputs'!$C$134:$C$171,MATCH(F1817,'Global inputs'!$B$134:$B$171,0))</f>
        <v xml:space="preserve">System growth </v>
      </c>
      <c r="AE1817" s="272">
        <f>IF(OR(H1817='Operating leases'!$B$32,H1817='Operating leases'!$B$33),"",INDEX('Global inputs'!$C$186:$C$243,MATCH(E1817,'Global inputs'!$B$186:$B$243,0)))</f>
        <v>0.08</v>
      </c>
    </row>
    <row r="1818" spans="1:31" s="27" customFormat="1" x14ac:dyDescent="0.2">
      <c r="A1818" s="250"/>
      <c r="B1818" s="210" t="s">
        <v>746</v>
      </c>
      <c r="C1818" s="210" t="s">
        <v>287</v>
      </c>
      <c r="D1818" s="210" t="s">
        <v>729</v>
      </c>
      <c r="E1818" s="210" t="s">
        <v>150</v>
      </c>
      <c r="F1818" s="210" t="s">
        <v>86</v>
      </c>
      <c r="G1818" s="210" t="s">
        <v>731</v>
      </c>
      <c r="H1818" s="197">
        <v>0</v>
      </c>
      <c r="I1818" s="210" t="s">
        <v>225</v>
      </c>
      <c r="J1818" s="210">
        <v>2026</v>
      </c>
      <c r="K1818" s="210">
        <v>2026</v>
      </c>
      <c r="L1818" s="268" t="str">
        <f t="shared" si="374"/>
        <v>Simple</v>
      </c>
      <c r="M1818" s="197">
        <v>48114.080000000002</v>
      </c>
      <c r="N1818" s="197">
        <v>0</v>
      </c>
      <c r="O1818" s="257">
        <f>IF(ISNA(MATCH(H1818,'Operating leases'!$B$32:$B$43,0)),0,INDEX('Operating leases'!$M$32:$S$43,MATCH(H1818,'Operating leases'!$B$32:$B$43,0),MATCH(J1818,'Operating leases'!$M$11:$S$11,0)))</f>
        <v>0</v>
      </c>
      <c r="P1818" s="257">
        <f t="shared" si="375"/>
        <v>48114.080000000002</v>
      </c>
      <c r="Q1818" s="257">
        <f t="shared" si="376"/>
        <v>48114.080000000002</v>
      </c>
      <c r="R1818" s="258">
        <f>INDEX('Escalators '!$M$124:$S$129,MATCH(I1818,'Escalators '!$B$124:$B$129,0),MATCH(J1818,'Escalators '!$M$113:$S$113,0))</f>
        <v>1.1685447741482344</v>
      </c>
      <c r="S1818" s="257">
        <f t="shared" si="377"/>
        <v>0</v>
      </c>
      <c r="T1818" s="257">
        <f t="shared" si="378"/>
        <v>0</v>
      </c>
      <c r="U1818" s="269">
        <f t="shared" si="379"/>
        <v>56223.456746950083</v>
      </c>
      <c r="V1818" s="269">
        <f t="shared" si="380"/>
        <v>56223.456746950083</v>
      </c>
      <c r="W1818" s="269">
        <f t="shared" si="381"/>
        <v>56223.456746950083</v>
      </c>
      <c r="X1818" s="257">
        <f t="shared" si="382"/>
        <v>56223.456746950083</v>
      </c>
      <c r="Y1818" s="270">
        <f>IF(L1818="Complex",(INDEX('Escalators '!$M$176:$S$176,MATCH('Forecast capex'!J1818,'Escalators '!$M$178:$S$178,0))/12+1)^((K1818-J1818)*12)-1,0)</f>
        <v>0</v>
      </c>
      <c r="Z1818" s="257">
        <f t="shared" si="383"/>
        <v>0</v>
      </c>
      <c r="AA1818" s="257">
        <f t="shared" si="384"/>
        <v>0</v>
      </c>
      <c r="AB1818" s="269">
        <f t="shared" si="385"/>
        <v>0</v>
      </c>
      <c r="AC1818" s="269">
        <f t="shared" si="386"/>
        <v>0</v>
      </c>
      <c r="AD1818" s="271" t="str">
        <f>INDEX('Global inputs'!$C$134:$C$171,MATCH(F1818,'Global inputs'!$B$134:$B$171,0))</f>
        <v xml:space="preserve">System growth </v>
      </c>
      <c r="AE1818" s="272">
        <f>IF(OR(H1818='Operating leases'!$B$32,H1818='Operating leases'!$B$33),"",INDEX('Global inputs'!$C$186:$C$243,MATCH(E1818,'Global inputs'!$B$186:$B$243,0)))</f>
        <v>0.08</v>
      </c>
    </row>
    <row r="1819" spans="1:31" s="27" customFormat="1" x14ac:dyDescent="0.2">
      <c r="A1819" s="250"/>
      <c r="B1819" s="210" t="s">
        <v>746</v>
      </c>
      <c r="C1819" s="210" t="s">
        <v>287</v>
      </c>
      <c r="D1819" s="210" t="s">
        <v>729</v>
      </c>
      <c r="E1819" s="210" t="s">
        <v>150</v>
      </c>
      <c r="F1819" s="210" t="s">
        <v>86</v>
      </c>
      <c r="G1819" s="210" t="s">
        <v>731</v>
      </c>
      <c r="H1819" s="197">
        <v>0</v>
      </c>
      <c r="I1819" s="210" t="s">
        <v>221</v>
      </c>
      <c r="J1819" s="210">
        <v>2026</v>
      </c>
      <c r="K1819" s="210">
        <v>2026</v>
      </c>
      <c r="L1819" s="268" t="str">
        <f t="shared" si="374"/>
        <v>Simple</v>
      </c>
      <c r="M1819" s="197">
        <v>192456.32000000001</v>
      </c>
      <c r="N1819" s="197">
        <v>0</v>
      </c>
      <c r="O1819" s="257">
        <f>IF(ISNA(MATCH(H1819,'Operating leases'!$B$32:$B$43,0)),0,INDEX('Operating leases'!$M$32:$S$43,MATCH(H1819,'Operating leases'!$B$32:$B$43,0),MATCH(J1819,'Operating leases'!$M$11:$S$11,0)))</f>
        <v>0</v>
      </c>
      <c r="P1819" s="257">
        <f t="shared" si="375"/>
        <v>192456.32000000001</v>
      </c>
      <c r="Q1819" s="257">
        <f t="shared" si="376"/>
        <v>192456.32000000001</v>
      </c>
      <c r="R1819" s="258">
        <f>INDEX('Escalators '!$M$124:$S$129,MATCH(I1819,'Escalators '!$B$124:$B$129,0),MATCH(J1819,'Escalators '!$M$113:$S$113,0))</f>
        <v>1.1088998660799403</v>
      </c>
      <c r="S1819" s="257">
        <f t="shared" si="377"/>
        <v>0</v>
      </c>
      <c r="T1819" s="257">
        <f t="shared" si="378"/>
        <v>0</v>
      </c>
      <c r="U1819" s="269">
        <f t="shared" si="379"/>
        <v>213414.78747423814</v>
      </c>
      <c r="V1819" s="269">
        <f t="shared" si="380"/>
        <v>213414.78747423814</v>
      </c>
      <c r="W1819" s="269">
        <f t="shared" si="381"/>
        <v>213414.78747423814</v>
      </c>
      <c r="X1819" s="257">
        <f t="shared" si="382"/>
        <v>213414.78747423814</v>
      </c>
      <c r="Y1819" s="270">
        <f>IF(L1819="Complex",(INDEX('Escalators '!$M$176:$S$176,MATCH('Forecast capex'!J1819,'Escalators '!$M$178:$S$178,0))/12+1)^((K1819-J1819)*12)-1,0)</f>
        <v>0</v>
      </c>
      <c r="Z1819" s="257">
        <f t="shared" si="383"/>
        <v>0</v>
      </c>
      <c r="AA1819" s="257">
        <f t="shared" si="384"/>
        <v>0</v>
      </c>
      <c r="AB1819" s="269">
        <f t="shared" si="385"/>
        <v>0</v>
      </c>
      <c r="AC1819" s="269">
        <f t="shared" si="386"/>
        <v>0</v>
      </c>
      <c r="AD1819" s="271" t="str">
        <f>INDEX('Global inputs'!$C$134:$C$171,MATCH(F1819,'Global inputs'!$B$134:$B$171,0))</f>
        <v xml:space="preserve">System growth </v>
      </c>
      <c r="AE1819" s="272">
        <f>IF(OR(H1819='Operating leases'!$B$32,H1819='Operating leases'!$B$33),"",INDEX('Global inputs'!$C$186:$C$243,MATCH(E1819,'Global inputs'!$B$186:$B$243,0)))</f>
        <v>0.08</v>
      </c>
    </row>
    <row r="1820" spans="1:31" s="27" customFormat="1" x14ac:dyDescent="0.2">
      <c r="A1820" s="250"/>
      <c r="B1820" s="210" t="s">
        <v>746</v>
      </c>
      <c r="C1820" s="210" t="s">
        <v>287</v>
      </c>
      <c r="D1820" s="210" t="s">
        <v>729</v>
      </c>
      <c r="E1820" s="210" t="s">
        <v>151</v>
      </c>
      <c r="F1820" s="210" t="s">
        <v>86</v>
      </c>
      <c r="G1820" s="210" t="s">
        <v>731</v>
      </c>
      <c r="H1820" s="197">
        <v>0</v>
      </c>
      <c r="I1820" s="210" t="s">
        <v>225</v>
      </c>
      <c r="J1820" s="210">
        <v>2026</v>
      </c>
      <c r="K1820" s="210">
        <v>2026</v>
      </c>
      <c r="L1820" s="268" t="str">
        <f t="shared" si="374"/>
        <v>Simple</v>
      </c>
      <c r="M1820" s="197">
        <v>48114.080000000002</v>
      </c>
      <c r="N1820" s="197">
        <v>0</v>
      </c>
      <c r="O1820" s="257">
        <f>IF(ISNA(MATCH(H1820,'Operating leases'!$B$32:$B$43,0)),0,INDEX('Operating leases'!$M$32:$S$43,MATCH(H1820,'Operating leases'!$B$32:$B$43,0),MATCH(J1820,'Operating leases'!$M$11:$S$11,0)))</f>
        <v>0</v>
      </c>
      <c r="P1820" s="257">
        <f t="shared" si="375"/>
        <v>48114.080000000002</v>
      </c>
      <c r="Q1820" s="257">
        <f t="shared" si="376"/>
        <v>48114.080000000002</v>
      </c>
      <c r="R1820" s="258">
        <f>INDEX('Escalators '!$M$124:$S$129,MATCH(I1820,'Escalators '!$B$124:$B$129,0),MATCH(J1820,'Escalators '!$M$113:$S$113,0))</f>
        <v>1.1685447741482344</v>
      </c>
      <c r="S1820" s="257">
        <f t="shared" si="377"/>
        <v>0</v>
      </c>
      <c r="T1820" s="257">
        <f t="shared" si="378"/>
        <v>0</v>
      </c>
      <c r="U1820" s="269">
        <f t="shared" si="379"/>
        <v>56223.456746950083</v>
      </c>
      <c r="V1820" s="269">
        <f t="shared" si="380"/>
        <v>56223.456746950083</v>
      </c>
      <c r="W1820" s="269">
        <f t="shared" si="381"/>
        <v>56223.456746950083</v>
      </c>
      <c r="X1820" s="257">
        <f t="shared" si="382"/>
        <v>56223.456746950083</v>
      </c>
      <c r="Y1820" s="270">
        <f>IF(L1820="Complex",(INDEX('Escalators '!$M$176:$S$176,MATCH('Forecast capex'!J1820,'Escalators '!$M$178:$S$178,0))/12+1)^((K1820-J1820)*12)-1,0)</f>
        <v>0</v>
      </c>
      <c r="Z1820" s="257">
        <f t="shared" si="383"/>
        <v>0</v>
      </c>
      <c r="AA1820" s="257">
        <f t="shared" si="384"/>
        <v>0</v>
      </c>
      <c r="AB1820" s="269">
        <f t="shared" si="385"/>
        <v>0</v>
      </c>
      <c r="AC1820" s="269">
        <f t="shared" si="386"/>
        <v>0</v>
      </c>
      <c r="AD1820" s="271" t="str">
        <f>INDEX('Global inputs'!$C$134:$C$171,MATCH(F1820,'Global inputs'!$B$134:$B$171,0))</f>
        <v xml:space="preserve">System growth </v>
      </c>
      <c r="AE1820" s="272">
        <f>IF(OR(H1820='Operating leases'!$B$32,H1820='Operating leases'!$B$33),"",INDEX('Global inputs'!$C$186:$C$243,MATCH(E1820,'Global inputs'!$B$186:$B$243,0)))</f>
        <v>0.1</v>
      </c>
    </row>
    <row r="1821" spans="1:31" s="27" customFormat="1" x14ac:dyDescent="0.2">
      <c r="A1821" s="250"/>
      <c r="B1821" s="210" t="s">
        <v>746</v>
      </c>
      <c r="C1821" s="210" t="s">
        <v>287</v>
      </c>
      <c r="D1821" s="210" t="s">
        <v>729</v>
      </c>
      <c r="E1821" s="210" t="s">
        <v>151</v>
      </c>
      <c r="F1821" s="210" t="s">
        <v>86</v>
      </c>
      <c r="G1821" s="210" t="s">
        <v>731</v>
      </c>
      <c r="H1821" s="197">
        <v>0</v>
      </c>
      <c r="I1821" s="210" t="s">
        <v>221</v>
      </c>
      <c r="J1821" s="210">
        <v>2026</v>
      </c>
      <c r="K1821" s="210">
        <v>2026</v>
      </c>
      <c r="L1821" s="268" t="str">
        <f t="shared" si="374"/>
        <v>Simple</v>
      </c>
      <c r="M1821" s="197">
        <v>192456.32000000001</v>
      </c>
      <c r="N1821" s="197">
        <v>0</v>
      </c>
      <c r="O1821" s="257">
        <f>IF(ISNA(MATCH(H1821,'Operating leases'!$B$32:$B$43,0)),0,INDEX('Operating leases'!$M$32:$S$43,MATCH(H1821,'Operating leases'!$B$32:$B$43,0),MATCH(J1821,'Operating leases'!$M$11:$S$11,0)))</f>
        <v>0</v>
      </c>
      <c r="P1821" s="257">
        <f t="shared" si="375"/>
        <v>192456.32000000001</v>
      </c>
      <c r="Q1821" s="257">
        <f t="shared" si="376"/>
        <v>192456.32000000001</v>
      </c>
      <c r="R1821" s="258">
        <f>INDEX('Escalators '!$M$124:$S$129,MATCH(I1821,'Escalators '!$B$124:$B$129,0),MATCH(J1821,'Escalators '!$M$113:$S$113,0))</f>
        <v>1.1088998660799403</v>
      </c>
      <c r="S1821" s="257">
        <f t="shared" si="377"/>
        <v>0</v>
      </c>
      <c r="T1821" s="257">
        <f t="shared" si="378"/>
        <v>0</v>
      </c>
      <c r="U1821" s="269">
        <f t="shared" si="379"/>
        <v>213414.78747423814</v>
      </c>
      <c r="V1821" s="269">
        <f t="shared" si="380"/>
        <v>213414.78747423814</v>
      </c>
      <c r="W1821" s="269">
        <f t="shared" si="381"/>
        <v>213414.78747423814</v>
      </c>
      <c r="X1821" s="257">
        <f t="shared" si="382"/>
        <v>213414.78747423814</v>
      </c>
      <c r="Y1821" s="270">
        <f>IF(L1821="Complex",(INDEX('Escalators '!$M$176:$S$176,MATCH('Forecast capex'!J1821,'Escalators '!$M$178:$S$178,0))/12+1)^((K1821-J1821)*12)-1,0)</f>
        <v>0</v>
      </c>
      <c r="Z1821" s="257">
        <f t="shared" si="383"/>
        <v>0</v>
      </c>
      <c r="AA1821" s="257">
        <f t="shared" si="384"/>
        <v>0</v>
      </c>
      <c r="AB1821" s="269">
        <f t="shared" si="385"/>
        <v>0</v>
      </c>
      <c r="AC1821" s="269">
        <f t="shared" si="386"/>
        <v>0</v>
      </c>
      <c r="AD1821" s="271" t="str">
        <f>INDEX('Global inputs'!$C$134:$C$171,MATCH(F1821,'Global inputs'!$B$134:$B$171,0))</f>
        <v xml:space="preserve">System growth </v>
      </c>
      <c r="AE1821" s="272">
        <f>IF(OR(H1821='Operating leases'!$B$32,H1821='Operating leases'!$B$33),"",INDEX('Global inputs'!$C$186:$C$243,MATCH(E1821,'Global inputs'!$B$186:$B$243,0)))</f>
        <v>0.1</v>
      </c>
    </row>
    <row r="1822" spans="1:31" s="27" customFormat="1" x14ac:dyDescent="0.2">
      <c r="A1822" s="250"/>
      <c r="B1822" s="210" t="s">
        <v>746</v>
      </c>
      <c r="C1822" s="210" t="s">
        <v>287</v>
      </c>
      <c r="D1822" s="210" t="s">
        <v>729</v>
      </c>
      <c r="E1822" s="210" t="s">
        <v>153</v>
      </c>
      <c r="F1822" s="210" t="s">
        <v>86</v>
      </c>
      <c r="G1822" s="210" t="s">
        <v>737</v>
      </c>
      <c r="H1822" s="197">
        <v>0</v>
      </c>
      <c r="I1822" s="210" t="s">
        <v>225</v>
      </c>
      <c r="J1822" s="210">
        <v>2026</v>
      </c>
      <c r="K1822" s="210">
        <v>2026</v>
      </c>
      <c r="L1822" s="268" t="str">
        <f t="shared" si="374"/>
        <v>Simple</v>
      </c>
      <c r="M1822" s="197">
        <v>9021.39</v>
      </c>
      <c r="N1822" s="197">
        <v>0</v>
      </c>
      <c r="O1822" s="257">
        <f>IF(ISNA(MATCH(H1822,'Operating leases'!$B$32:$B$43,0)),0,INDEX('Operating leases'!$M$32:$S$43,MATCH(H1822,'Operating leases'!$B$32:$B$43,0),MATCH(J1822,'Operating leases'!$M$11:$S$11,0)))</f>
        <v>0</v>
      </c>
      <c r="P1822" s="257">
        <f t="shared" si="375"/>
        <v>9021.39</v>
      </c>
      <c r="Q1822" s="257">
        <f t="shared" si="376"/>
        <v>9021.39</v>
      </c>
      <c r="R1822" s="258">
        <f>INDEX('Escalators '!$M$124:$S$129,MATCH(I1822,'Escalators '!$B$124:$B$129,0),MATCH(J1822,'Escalators '!$M$113:$S$113,0))</f>
        <v>1.1685447741482344</v>
      </c>
      <c r="S1822" s="257">
        <f t="shared" si="377"/>
        <v>0</v>
      </c>
      <c r="T1822" s="257">
        <f t="shared" si="378"/>
        <v>0</v>
      </c>
      <c r="U1822" s="269">
        <f t="shared" si="379"/>
        <v>10541.898140053139</v>
      </c>
      <c r="V1822" s="269">
        <f t="shared" si="380"/>
        <v>10541.898140053139</v>
      </c>
      <c r="W1822" s="269">
        <f t="shared" si="381"/>
        <v>10541.898140053139</v>
      </c>
      <c r="X1822" s="257">
        <f t="shared" si="382"/>
        <v>10541.898140053139</v>
      </c>
      <c r="Y1822" s="270">
        <f>IF(L1822="Complex",(INDEX('Escalators '!$M$176:$S$176,MATCH('Forecast capex'!J1822,'Escalators '!$M$178:$S$178,0))/12+1)^((K1822-J1822)*12)-1,0)</f>
        <v>0</v>
      </c>
      <c r="Z1822" s="257">
        <f t="shared" si="383"/>
        <v>0</v>
      </c>
      <c r="AA1822" s="257">
        <f t="shared" si="384"/>
        <v>0</v>
      </c>
      <c r="AB1822" s="269">
        <f t="shared" si="385"/>
        <v>0</v>
      </c>
      <c r="AC1822" s="269">
        <f t="shared" si="386"/>
        <v>0</v>
      </c>
      <c r="AD1822" s="271" t="str">
        <f>INDEX('Global inputs'!$C$134:$C$171,MATCH(F1822,'Global inputs'!$B$134:$B$171,0))</f>
        <v xml:space="preserve">System growth </v>
      </c>
      <c r="AE1822" s="272">
        <f>IF(OR(H1822='Operating leases'!$B$32,H1822='Operating leases'!$B$33),"",INDEX('Global inputs'!$C$186:$C$243,MATCH(E1822,'Global inputs'!$B$186:$B$243,0)))</f>
        <v>0.08</v>
      </c>
    </row>
    <row r="1823" spans="1:31" s="27" customFormat="1" x14ac:dyDescent="0.2">
      <c r="A1823" s="250"/>
      <c r="B1823" s="210" t="s">
        <v>746</v>
      </c>
      <c r="C1823" s="210" t="s">
        <v>287</v>
      </c>
      <c r="D1823" s="210" t="s">
        <v>729</v>
      </c>
      <c r="E1823" s="210" t="s">
        <v>153</v>
      </c>
      <c r="F1823" s="210" t="s">
        <v>86</v>
      </c>
      <c r="G1823" s="210" t="s">
        <v>737</v>
      </c>
      <c r="H1823" s="197">
        <v>0</v>
      </c>
      <c r="I1823" s="210" t="s">
        <v>221</v>
      </c>
      <c r="J1823" s="210">
        <v>2026</v>
      </c>
      <c r="K1823" s="210">
        <v>2026</v>
      </c>
      <c r="L1823" s="268" t="str">
        <f t="shared" si="374"/>
        <v>Simple</v>
      </c>
      <c r="M1823" s="197">
        <v>36085.56</v>
      </c>
      <c r="N1823" s="197">
        <v>0</v>
      </c>
      <c r="O1823" s="257">
        <f>IF(ISNA(MATCH(H1823,'Operating leases'!$B$32:$B$43,0)),0,INDEX('Operating leases'!$M$32:$S$43,MATCH(H1823,'Operating leases'!$B$32:$B$43,0),MATCH(J1823,'Operating leases'!$M$11:$S$11,0)))</f>
        <v>0</v>
      </c>
      <c r="P1823" s="257">
        <f t="shared" si="375"/>
        <v>36085.56</v>
      </c>
      <c r="Q1823" s="257">
        <f t="shared" si="376"/>
        <v>36085.56</v>
      </c>
      <c r="R1823" s="258">
        <f>INDEX('Escalators '!$M$124:$S$129,MATCH(I1823,'Escalators '!$B$124:$B$129,0),MATCH(J1823,'Escalators '!$M$113:$S$113,0))</f>
        <v>1.1088998660799403</v>
      </c>
      <c r="S1823" s="257">
        <f t="shared" si="377"/>
        <v>0</v>
      </c>
      <c r="T1823" s="257">
        <f t="shared" si="378"/>
        <v>0</v>
      </c>
      <c r="U1823" s="269">
        <f t="shared" si="379"/>
        <v>40015.272651419647</v>
      </c>
      <c r="V1823" s="269">
        <f t="shared" si="380"/>
        <v>40015.272651419647</v>
      </c>
      <c r="W1823" s="269">
        <f t="shared" si="381"/>
        <v>40015.272651419647</v>
      </c>
      <c r="X1823" s="257">
        <f t="shared" si="382"/>
        <v>40015.272651419647</v>
      </c>
      <c r="Y1823" s="270">
        <f>IF(L1823="Complex",(INDEX('Escalators '!$M$176:$S$176,MATCH('Forecast capex'!J1823,'Escalators '!$M$178:$S$178,0))/12+1)^((K1823-J1823)*12)-1,0)</f>
        <v>0</v>
      </c>
      <c r="Z1823" s="257">
        <f t="shared" si="383"/>
        <v>0</v>
      </c>
      <c r="AA1823" s="257">
        <f t="shared" si="384"/>
        <v>0</v>
      </c>
      <c r="AB1823" s="269">
        <f t="shared" si="385"/>
        <v>0</v>
      </c>
      <c r="AC1823" s="269">
        <f t="shared" si="386"/>
        <v>0</v>
      </c>
      <c r="AD1823" s="271" t="str">
        <f>INDEX('Global inputs'!$C$134:$C$171,MATCH(F1823,'Global inputs'!$B$134:$B$171,0))</f>
        <v xml:space="preserve">System growth </v>
      </c>
      <c r="AE1823" s="272">
        <f>IF(OR(H1823='Operating leases'!$B$32,H1823='Operating leases'!$B$33),"",INDEX('Global inputs'!$C$186:$C$243,MATCH(E1823,'Global inputs'!$B$186:$B$243,0)))</f>
        <v>0.08</v>
      </c>
    </row>
    <row r="1824" spans="1:31" s="27" customFormat="1" x14ac:dyDescent="0.2">
      <c r="A1824" s="250"/>
      <c r="B1824" s="210" t="s">
        <v>746</v>
      </c>
      <c r="C1824" s="210" t="s">
        <v>287</v>
      </c>
      <c r="D1824" s="210" t="s">
        <v>729</v>
      </c>
      <c r="E1824" s="210" t="s">
        <v>154</v>
      </c>
      <c r="F1824" s="210" t="s">
        <v>86</v>
      </c>
      <c r="G1824" s="210" t="s">
        <v>737</v>
      </c>
      <c r="H1824" s="197">
        <v>0</v>
      </c>
      <c r="I1824" s="210" t="s">
        <v>225</v>
      </c>
      <c r="J1824" s="210">
        <v>2026</v>
      </c>
      <c r="K1824" s="210">
        <v>2026</v>
      </c>
      <c r="L1824" s="268" t="str">
        <f t="shared" si="374"/>
        <v>Simple</v>
      </c>
      <c r="M1824" s="197">
        <v>9021.39</v>
      </c>
      <c r="N1824" s="197">
        <v>0</v>
      </c>
      <c r="O1824" s="257">
        <f>IF(ISNA(MATCH(H1824,'Operating leases'!$B$32:$B$43,0)),0,INDEX('Operating leases'!$M$32:$S$43,MATCH(H1824,'Operating leases'!$B$32:$B$43,0),MATCH(J1824,'Operating leases'!$M$11:$S$11,0)))</f>
        <v>0</v>
      </c>
      <c r="P1824" s="257">
        <f t="shared" si="375"/>
        <v>9021.39</v>
      </c>
      <c r="Q1824" s="257">
        <f t="shared" si="376"/>
        <v>9021.39</v>
      </c>
      <c r="R1824" s="258">
        <f>INDEX('Escalators '!$M$124:$S$129,MATCH(I1824,'Escalators '!$B$124:$B$129,0),MATCH(J1824,'Escalators '!$M$113:$S$113,0))</f>
        <v>1.1685447741482344</v>
      </c>
      <c r="S1824" s="257">
        <f t="shared" si="377"/>
        <v>0</v>
      </c>
      <c r="T1824" s="257">
        <f t="shared" si="378"/>
        <v>0</v>
      </c>
      <c r="U1824" s="269">
        <f t="shared" si="379"/>
        <v>10541.898140053139</v>
      </c>
      <c r="V1824" s="269">
        <f t="shared" si="380"/>
        <v>10541.898140053139</v>
      </c>
      <c r="W1824" s="269">
        <f t="shared" si="381"/>
        <v>10541.898140053139</v>
      </c>
      <c r="X1824" s="257">
        <f t="shared" si="382"/>
        <v>10541.898140053139</v>
      </c>
      <c r="Y1824" s="270">
        <f>IF(L1824="Complex",(INDEX('Escalators '!$M$176:$S$176,MATCH('Forecast capex'!J1824,'Escalators '!$M$178:$S$178,0))/12+1)^((K1824-J1824)*12)-1,0)</f>
        <v>0</v>
      </c>
      <c r="Z1824" s="257">
        <f t="shared" si="383"/>
        <v>0</v>
      </c>
      <c r="AA1824" s="257">
        <f t="shared" si="384"/>
        <v>0</v>
      </c>
      <c r="AB1824" s="269">
        <f t="shared" si="385"/>
        <v>0</v>
      </c>
      <c r="AC1824" s="269">
        <f t="shared" si="386"/>
        <v>0</v>
      </c>
      <c r="AD1824" s="271" t="str">
        <f>INDEX('Global inputs'!$C$134:$C$171,MATCH(F1824,'Global inputs'!$B$134:$B$171,0))</f>
        <v xml:space="preserve">System growth </v>
      </c>
      <c r="AE1824" s="272">
        <f>IF(OR(H1824='Operating leases'!$B$32,H1824='Operating leases'!$B$33),"",INDEX('Global inputs'!$C$186:$C$243,MATCH(E1824,'Global inputs'!$B$186:$B$243,0)))</f>
        <v>0.1</v>
      </c>
    </row>
    <row r="1825" spans="1:31" s="27" customFormat="1" x14ac:dyDescent="0.2">
      <c r="A1825" s="250"/>
      <c r="B1825" s="210" t="s">
        <v>746</v>
      </c>
      <c r="C1825" s="210" t="s">
        <v>287</v>
      </c>
      <c r="D1825" s="210" t="s">
        <v>729</v>
      </c>
      <c r="E1825" s="210" t="s">
        <v>154</v>
      </c>
      <c r="F1825" s="210" t="s">
        <v>86</v>
      </c>
      <c r="G1825" s="210" t="s">
        <v>737</v>
      </c>
      <c r="H1825" s="197">
        <v>0</v>
      </c>
      <c r="I1825" s="210" t="s">
        <v>221</v>
      </c>
      <c r="J1825" s="210">
        <v>2026</v>
      </c>
      <c r="K1825" s="210">
        <v>2026</v>
      </c>
      <c r="L1825" s="268" t="str">
        <f t="shared" si="374"/>
        <v>Simple</v>
      </c>
      <c r="M1825" s="197">
        <v>36085.56</v>
      </c>
      <c r="N1825" s="197">
        <v>0</v>
      </c>
      <c r="O1825" s="257">
        <f>IF(ISNA(MATCH(H1825,'Operating leases'!$B$32:$B$43,0)),0,INDEX('Operating leases'!$M$32:$S$43,MATCH(H1825,'Operating leases'!$B$32:$B$43,0),MATCH(J1825,'Operating leases'!$M$11:$S$11,0)))</f>
        <v>0</v>
      </c>
      <c r="P1825" s="257">
        <f t="shared" si="375"/>
        <v>36085.56</v>
      </c>
      <c r="Q1825" s="257">
        <f t="shared" si="376"/>
        <v>36085.56</v>
      </c>
      <c r="R1825" s="258">
        <f>INDEX('Escalators '!$M$124:$S$129,MATCH(I1825,'Escalators '!$B$124:$B$129,0),MATCH(J1825,'Escalators '!$M$113:$S$113,0))</f>
        <v>1.1088998660799403</v>
      </c>
      <c r="S1825" s="257">
        <f t="shared" si="377"/>
        <v>0</v>
      </c>
      <c r="T1825" s="257">
        <f t="shared" si="378"/>
        <v>0</v>
      </c>
      <c r="U1825" s="269">
        <f t="shared" si="379"/>
        <v>40015.272651419647</v>
      </c>
      <c r="V1825" s="269">
        <f t="shared" si="380"/>
        <v>40015.272651419647</v>
      </c>
      <c r="W1825" s="269">
        <f t="shared" si="381"/>
        <v>40015.272651419647</v>
      </c>
      <c r="X1825" s="257">
        <f t="shared" si="382"/>
        <v>40015.272651419647</v>
      </c>
      <c r="Y1825" s="270">
        <f>IF(L1825="Complex",(INDEX('Escalators '!$M$176:$S$176,MATCH('Forecast capex'!J1825,'Escalators '!$M$178:$S$178,0))/12+1)^((K1825-J1825)*12)-1,0)</f>
        <v>0</v>
      </c>
      <c r="Z1825" s="257">
        <f t="shared" si="383"/>
        <v>0</v>
      </c>
      <c r="AA1825" s="257">
        <f t="shared" si="384"/>
        <v>0</v>
      </c>
      <c r="AB1825" s="269">
        <f t="shared" si="385"/>
        <v>0</v>
      </c>
      <c r="AC1825" s="269">
        <f t="shared" si="386"/>
        <v>0</v>
      </c>
      <c r="AD1825" s="271" t="str">
        <f>INDEX('Global inputs'!$C$134:$C$171,MATCH(F1825,'Global inputs'!$B$134:$B$171,0))</f>
        <v xml:space="preserve">System growth </v>
      </c>
      <c r="AE1825" s="272">
        <f>IF(OR(H1825='Operating leases'!$B$32,H1825='Operating leases'!$B$33),"",INDEX('Global inputs'!$C$186:$C$243,MATCH(E1825,'Global inputs'!$B$186:$B$243,0)))</f>
        <v>0.1</v>
      </c>
    </row>
    <row r="1826" spans="1:31" s="29" customFormat="1" x14ac:dyDescent="0.2">
      <c r="A1826" s="267"/>
      <c r="B1826" s="210" t="s">
        <v>742</v>
      </c>
      <c r="C1826" s="210" t="s">
        <v>287</v>
      </c>
      <c r="D1826" s="210" t="s">
        <v>715</v>
      </c>
      <c r="E1826" s="210" t="s">
        <v>150</v>
      </c>
      <c r="F1826" s="210" t="s">
        <v>99</v>
      </c>
      <c r="G1826" s="210" t="s">
        <v>716</v>
      </c>
      <c r="H1826" s="197">
        <v>0</v>
      </c>
      <c r="I1826" s="210" t="s">
        <v>229</v>
      </c>
      <c r="J1826" s="210">
        <v>2026</v>
      </c>
      <c r="K1826" s="210">
        <v>2026</v>
      </c>
      <c r="L1826" s="268" t="str">
        <f t="shared" si="374"/>
        <v>Simple</v>
      </c>
      <c r="M1826" s="197">
        <v>2559300</v>
      </c>
      <c r="N1826" s="197">
        <v>0</v>
      </c>
      <c r="O1826" s="257">
        <f>IF(ISNA(MATCH(H1826,'Operating leases'!$B$32:$B$43,0)),0,INDEX('Operating leases'!$M$32:$S$43,MATCH(H1826,'Operating leases'!$B$32:$B$43,0),MATCH(J1826,'Operating leases'!$M$11:$S$11,0)))</f>
        <v>0</v>
      </c>
      <c r="P1826" s="257">
        <f t="shared" si="375"/>
        <v>2559300</v>
      </c>
      <c r="Q1826" s="257">
        <f t="shared" si="376"/>
        <v>2559300</v>
      </c>
      <c r="R1826" s="258">
        <f>INDEX('Escalators '!$M$124:$S$129,MATCH(I1826,'Escalators '!$B$124:$B$129,0),MATCH(J1826,'Escalators '!$M$113:$S$113,0))</f>
        <v>1.1110424701464636</v>
      </c>
      <c r="S1826" s="257">
        <f t="shared" si="377"/>
        <v>0</v>
      </c>
      <c r="T1826" s="257">
        <f t="shared" si="378"/>
        <v>0</v>
      </c>
      <c r="U1826" s="269">
        <f t="shared" si="379"/>
        <v>2843490.9938458442</v>
      </c>
      <c r="V1826" s="269">
        <f t="shared" si="380"/>
        <v>2843490.9938458442</v>
      </c>
      <c r="W1826" s="269">
        <f t="shared" si="381"/>
        <v>2843490.9938458442</v>
      </c>
      <c r="X1826" s="257">
        <f t="shared" si="382"/>
        <v>2843490.9938458442</v>
      </c>
      <c r="Y1826" s="270">
        <f>IF(L1826="Complex",(INDEX('Escalators '!$M$176:$S$176,MATCH('Forecast capex'!J1826,'Escalators '!$M$178:$S$178,0))/12+1)^((K1826-J1826)*12)-1,0)</f>
        <v>0</v>
      </c>
      <c r="Z1826" s="257">
        <f t="shared" si="383"/>
        <v>0</v>
      </c>
      <c r="AA1826" s="257">
        <f t="shared" si="384"/>
        <v>0</v>
      </c>
      <c r="AB1826" s="269">
        <f t="shared" si="385"/>
        <v>0</v>
      </c>
      <c r="AC1826" s="269">
        <f t="shared" si="386"/>
        <v>0</v>
      </c>
      <c r="AD1826" s="271" t="str">
        <f>INDEX('Global inputs'!$C$134:$C$171,MATCH(F1826,'Global inputs'!$B$134:$B$171,0))</f>
        <v>Asset replacement and renewal</v>
      </c>
      <c r="AE1826" s="272">
        <f>IF(OR(H1826='Operating leases'!$B$32,H1826='Operating leases'!$B$33),"",INDEX('Global inputs'!$C$186:$C$243,MATCH(E1826,'Global inputs'!$B$186:$B$243,0)))</f>
        <v>0.08</v>
      </c>
    </row>
    <row r="1827" spans="1:31" s="27" customFormat="1" x14ac:dyDescent="0.2">
      <c r="A1827" s="250"/>
      <c r="B1827" s="210" t="s">
        <v>742</v>
      </c>
      <c r="C1827" s="210" t="s">
        <v>287</v>
      </c>
      <c r="D1827" s="210" t="s">
        <v>715</v>
      </c>
      <c r="E1827" s="210" t="s">
        <v>150</v>
      </c>
      <c r="F1827" s="210" t="s">
        <v>99</v>
      </c>
      <c r="G1827" s="210" t="s">
        <v>716</v>
      </c>
      <c r="H1827" s="197">
        <v>0</v>
      </c>
      <c r="I1827" s="210" t="s">
        <v>221</v>
      </c>
      <c r="J1827" s="210">
        <v>2026</v>
      </c>
      <c r="K1827" s="210">
        <v>2026</v>
      </c>
      <c r="L1827" s="268" t="str">
        <f t="shared" si="374"/>
        <v>Simple</v>
      </c>
      <c r="M1827" s="197">
        <v>2559300</v>
      </c>
      <c r="N1827" s="197">
        <v>0</v>
      </c>
      <c r="O1827" s="257">
        <f>IF(ISNA(MATCH(H1827,'Operating leases'!$B$32:$B$43,0)),0,INDEX('Operating leases'!$M$32:$S$43,MATCH(H1827,'Operating leases'!$B$32:$B$43,0),MATCH(J1827,'Operating leases'!$M$11:$S$11,0)))</f>
        <v>0</v>
      </c>
      <c r="P1827" s="257">
        <f t="shared" si="375"/>
        <v>2559300</v>
      </c>
      <c r="Q1827" s="257">
        <f t="shared" si="376"/>
        <v>2559300</v>
      </c>
      <c r="R1827" s="258">
        <f>INDEX('Escalators '!$M$124:$S$129,MATCH(I1827,'Escalators '!$B$124:$B$129,0),MATCH(J1827,'Escalators '!$M$113:$S$113,0))</f>
        <v>1.1088998660799403</v>
      </c>
      <c r="S1827" s="257">
        <f t="shared" si="377"/>
        <v>0</v>
      </c>
      <c r="T1827" s="257">
        <f t="shared" si="378"/>
        <v>0</v>
      </c>
      <c r="U1827" s="269">
        <f t="shared" si="379"/>
        <v>2838007.4272583914</v>
      </c>
      <c r="V1827" s="269">
        <f t="shared" si="380"/>
        <v>2838007.4272583914</v>
      </c>
      <c r="W1827" s="269">
        <f t="shared" si="381"/>
        <v>2838007.4272583914</v>
      </c>
      <c r="X1827" s="257">
        <f t="shared" si="382"/>
        <v>2838007.4272583914</v>
      </c>
      <c r="Y1827" s="270">
        <f>IF(L1827="Complex",(INDEX('Escalators '!$M$176:$S$176,MATCH('Forecast capex'!J1827,'Escalators '!$M$178:$S$178,0))/12+1)^((K1827-J1827)*12)-1,0)</f>
        <v>0</v>
      </c>
      <c r="Z1827" s="257">
        <f t="shared" si="383"/>
        <v>0</v>
      </c>
      <c r="AA1827" s="257">
        <f t="shared" si="384"/>
        <v>0</v>
      </c>
      <c r="AB1827" s="269">
        <f t="shared" si="385"/>
        <v>0</v>
      </c>
      <c r="AC1827" s="269">
        <f t="shared" si="386"/>
        <v>0</v>
      </c>
      <c r="AD1827" s="271" t="str">
        <f>INDEX('Global inputs'!$C$134:$C$171,MATCH(F1827,'Global inputs'!$B$134:$B$171,0))</f>
        <v>Asset replacement and renewal</v>
      </c>
      <c r="AE1827" s="272">
        <f>IF(OR(H1827='Operating leases'!$B$32,H1827='Operating leases'!$B$33),"",INDEX('Global inputs'!$C$186:$C$243,MATCH(E1827,'Global inputs'!$B$186:$B$243,0)))</f>
        <v>0.08</v>
      </c>
    </row>
    <row r="1828" spans="1:31" s="27" customFormat="1" x14ac:dyDescent="0.2">
      <c r="A1828" s="250"/>
      <c r="B1828" s="210" t="s">
        <v>742</v>
      </c>
      <c r="C1828" s="210" t="s">
        <v>287</v>
      </c>
      <c r="D1828" s="210" t="s">
        <v>715</v>
      </c>
      <c r="E1828" s="210" t="s">
        <v>150</v>
      </c>
      <c r="F1828" s="210" t="s">
        <v>101</v>
      </c>
      <c r="G1828" s="210" t="s">
        <v>717</v>
      </c>
      <c r="H1828" s="197">
        <v>0</v>
      </c>
      <c r="I1828" s="210" t="s">
        <v>229</v>
      </c>
      <c r="J1828" s="210">
        <v>2026</v>
      </c>
      <c r="K1828" s="210">
        <v>2026</v>
      </c>
      <c r="L1828" s="268" t="str">
        <f t="shared" si="374"/>
        <v>Simple</v>
      </c>
      <c r="M1828" s="197">
        <v>3791081</v>
      </c>
      <c r="N1828" s="197">
        <v>0</v>
      </c>
      <c r="O1828" s="257">
        <f>IF(ISNA(MATCH(H1828,'Operating leases'!$B$32:$B$43,0)),0,INDEX('Operating leases'!$M$32:$S$43,MATCH(H1828,'Operating leases'!$B$32:$B$43,0),MATCH(J1828,'Operating leases'!$M$11:$S$11,0)))</f>
        <v>0</v>
      </c>
      <c r="P1828" s="257">
        <f t="shared" si="375"/>
        <v>3791081</v>
      </c>
      <c r="Q1828" s="257">
        <f t="shared" si="376"/>
        <v>3791081</v>
      </c>
      <c r="R1828" s="258">
        <f>INDEX('Escalators '!$M$124:$S$129,MATCH(I1828,'Escalators '!$B$124:$B$129,0),MATCH(J1828,'Escalators '!$M$113:$S$113,0))</f>
        <v>1.1110424701464636</v>
      </c>
      <c r="S1828" s="257">
        <f t="shared" si="377"/>
        <v>0</v>
      </c>
      <c r="T1828" s="257">
        <f t="shared" si="378"/>
        <v>0</v>
      </c>
      <c r="U1828" s="269">
        <f t="shared" si="379"/>
        <v>4212051.9987653252</v>
      </c>
      <c r="V1828" s="269">
        <f t="shared" si="380"/>
        <v>4212051.9987653252</v>
      </c>
      <c r="W1828" s="269">
        <f t="shared" si="381"/>
        <v>4212051.9987653252</v>
      </c>
      <c r="X1828" s="257">
        <f t="shared" si="382"/>
        <v>4212051.9987653252</v>
      </c>
      <c r="Y1828" s="270">
        <f>IF(L1828="Complex",(INDEX('Escalators '!$M$176:$S$176,MATCH('Forecast capex'!J1828,'Escalators '!$M$178:$S$178,0))/12+1)^((K1828-J1828)*12)-1,0)</f>
        <v>0</v>
      </c>
      <c r="Z1828" s="257">
        <f t="shared" si="383"/>
        <v>0</v>
      </c>
      <c r="AA1828" s="257">
        <f t="shared" si="384"/>
        <v>0</v>
      </c>
      <c r="AB1828" s="269">
        <f t="shared" si="385"/>
        <v>0</v>
      </c>
      <c r="AC1828" s="269">
        <f t="shared" si="386"/>
        <v>0</v>
      </c>
      <c r="AD1828" s="271" t="str">
        <f>INDEX('Global inputs'!$C$134:$C$171,MATCH(F1828,'Global inputs'!$B$134:$B$171,0))</f>
        <v>Asset replacement and renewal</v>
      </c>
      <c r="AE1828" s="272">
        <f>IF(OR(H1828='Operating leases'!$B$32,H1828='Operating leases'!$B$33),"",INDEX('Global inputs'!$C$186:$C$243,MATCH(E1828,'Global inputs'!$B$186:$B$243,0)))</f>
        <v>0.08</v>
      </c>
    </row>
    <row r="1829" spans="1:31" s="27" customFormat="1" x14ac:dyDescent="0.2">
      <c r="A1829" s="250"/>
      <c r="B1829" s="210" t="s">
        <v>742</v>
      </c>
      <c r="C1829" s="210" t="s">
        <v>287</v>
      </c>
      <c r="D1829" s="210" t="s">
        <v>715</v>
      </c>
      <c r="E1829" s="210" t="s">
        <v>150</v>
      </c>
      <c r="F1829" s="210" t="s">
        <v>101</v>
      </c>
      <c r="G1829" s="210" t="s">
        <v>717</v>
      </c>
      <c r="H1829" s="197">
        <v>0</v>
      </c>
      <c r="I1829" s="210" t="s">
        <v>221</v>
      </c>
      <c r="J1829" s="210">
        <v>2026</v>
      </c>
      <c r="K1829" s="210">
        <v>2026</v>
      </c>
      <c r="L1829" s="268" t="str">
        <f t="shared" si="374"/>
        <v>Simple</v>
      </c>
      <c r="M1829" s="197">
        <v>3791081</v>
      </c>
      <c r="N1829" s="197">
        <v>0</v>
      </c>
      <c r="O1829" s="257">
        <f>IF(ISNA(MATCH(H1829,'Operating leases'!$B$32:$B$43,0)),0,INDEX('Operating leases'!$M$32:$S$43,MATCH(H1829,'Operating leases'!$B$32:$B$43,0),MATCH(J1829,'Operating leases'!$M$11:$S$11,0)))</f>
        <v>0</v>
      </c>
      <c r="P1829" s="257">
        <f t="shared" si="375"/>
        <v>3791081</v>
      </c>
      <c r="Q1829" s="257">
        <f t="shared" si="376"/>
        <v>3791081</v>
      </c>
      <c r="R1829" s="258">
        <f>INDEX('Escalators '!$M$124:$S$129,MATCH(I1829,'Escalators '!$B$124:$B$129,0),MATCH(J1829,'Escalators '!$M$113:$S$113,0))</f>
        <v>1.1088998660799403</v>
      </c>
      <c r="S1829" s="257">
        <f t="shared" si="377"/>
        <v>0</v>
      </c>
      <c r="T1829" s="257">
        <f t="shared" si="378"/>
        <v>0</v>
      </c>
      <c r="U1829" s="269">
        <f t="shared" si="379"/>
        <v>4203929.2131982064</v>
      </c>
      <c r="V1829" s="269">
        <f t="shared" si="380"/>
        <v>4203929.2131982064</v>
      </c>
      <c r="W1829" s="269">
        <f t="shared" si="381"/>
        <v>4203929.2131982064</v>
      </c>
      <c r="X1829" s="257">
        <f t="shared" si="382"/>
        <v>4203929.2131982064</v>
      </c>
      <c r="Y1829" s="270">
        <f>IF(L1829="Complex",(INDEX('Escalators '!$M$176:$S$176,MATCH('Forecast capex'!J1829,'Escalators '!$M$178:$S$178,0))/12+1)^((K1829-J1829)*12)-1,0)</f>
        <v>0</v>
      </c>
      <c r="Z1829" s="257">
        <f t="shared" si="383"/>
        <v>0</v>
      </c>
      <c r="AA1829" s="257">
        <f t="shared" si="384"/>
        <v>0</v>
      </c>
      <c r="AB1829" s="269">
        <f t="shared" si="385"/>
        <v>0</v>
      </c>
      <c r="AC1829" s="269">
        <f t="shared" si="386"/>
        <v>0</v>
      </c>
      <c r="AD1829" s="271" t="str">
        <f>INDEX('Global inputs'!$C$134:$C$171,MATCH(F1829,'Global inputs'!$B$134:$B$171,0))</f>
        <v>Asset replacement and renewal</v>
      </c>
      <c r="AE1829" s="272">
        <f>IF(OR(H1829='Operating leases'!$B$32,H1829='Operating leases'!$B$33),"",INDEX('Global inputs'!$C$186:$C$243,MATCH(E1829,'Global inputs'!$B$186:$B$243,0)))</f>
        <v>0.08</v>
      </c>
    </row>
    <row r="1830" spans="1:31" s="27" customFormat="1" x14ac:dyDescent="0.2">
      <c r="A1830" s="250"/>
      <c r="B1830" s="210" t="s">
        <v>742</v>
      </c>
      <c r="C1830" s="210" t="s">
        <v>287</v>
      </c>
      <c r="D1830" s="210" t="s">
        <v>729</v>
      </c>
      <c r="E1830" s="210" t="s">
        <v>150</v>
      </c>
      <c r="F1830" s="210" t="s">
        <v>103</v>
      </c>
      <c r="G1830" s="210" t="s">
        <v>731</v>
      </c>
      <c r="H1830" s="197">
        <v>0</v>
      </c>
      <c r="I1830" s="210" t="s">
        <v>225</v>
      </c>
      <c r="J1830" s="210">
        <v>2026</v>
      </c>
      <c r="K1830" s="210">
        <v>2026</v>
      </c>
      <c r="L1830" s="268" t="str">
        <f t="shared" si="374"/>
        <v>Simple</v>
      </c>
      <c r="M1830" s="197">
        <v>1088130</v>
      </c>
      <c r="N1830" s="197">
        <v>0</v>
      </c>
      <c r="O1830" s="257">
        <f>IF(ISNA(MATCH(H1830,'Operating leases'!$B$32:$B$43,0)),0,INDEX('Operating leases'!$M$32:$S$43,MATCH(H1830,'Operating leases'!$B$32:$B$43,0),MATCH(J1830,'Operating leases'!$M$11:$S$11,0)))</f>
        <v>0</v>
      </c>
      <c r="P1830" s="257">
        <f t="shared" si="375"/>
        <v>1088130</v>
      </c>
      <c r="Q1830" s="257">
        <f t="shared" si="376"/>
        <v>1088130</v>
      </c>
      <c r="R1830" s="258">
        <f>INDEX('Escalators '!$M$124:$S$129,MATCH(I1830,'Escalators '!$B$124:$B$129,0),MATCH(J1830,'Escalators '!$M$113:$S$113,0))</f>
        <v>1.1685447741482344</v>
      </c>
      <c r="S1830" s="257">
        <f t="shared" si="377"/>
        <v>0</v>
      </c>
      <c r="T1830" s="257">
        <f t="shared" si="378"/>
        <v>0</v>
      </c>
      <c r="U1830" s="269">
        <f t="shared" si="379"/>
        <v>1271528.6250939183</v>
      </c>
      <c r="V1830" s="269">
        <f t="shared" si="380"/>
        <v>1271528.6250939183</v>
      </c>
      <c r="W1830" s="269">
        <f t="shared" si="381"/>
        <v>1271528.6250939183</v>
      </c>
      <c r="X1830" s="257">
        <f t="shared" si="382"/>
        <v>1271528.6250939183</v>
      </c>
      <c r="Y1830" s="270">
        <f>IF(L1830="Complex",(INDEX('Escalators '!$M$176:$S$176,MATCH('Forecast capex'!J1830,'Escalators '!$M$178:$S$178,0))/12+1)^((K1830-J1830)*12)-1,0)</f>
        <v>0</v>
      </c>
      <c r="Z1830" s="257">
        <f t="shared" si="383"/>
        <v>0</v>
      </c>
      <c r="AA1830" s="257">
        <f t="shared" si="384"/>
        <v>0</v>
      </c>
      <c r="AB1830" s="269">
        <f t="shared" si="385"/>
        <v>0</v>
      </c>
      <c r="AC1830" s="269">
        <f t="shared" si="386"/>
        <v>0</v>
      </c>
      <c r="AD1830" s="271" t="str">
        <f>INDEX('Global inputs'!$C$134:$C$171,MATCH(F1830,'Global inputs'!$B$134:$B$171,0))</f>
        <v>Asset replacement and renewal</v>
      </c>
      <c r="AE1830" s="272">
        <f>IF(OR(H1830='Operating leases'!$B$32,H1830='Operating leases'!$B$33),"",INDEX('Global inputs'!$C$186:$C$243,MATCH(E1830,'Global inputs'!$B$186:$B$243,0)))</f>
        <v>0.08</v>
      </c>
    </row>
    <row r="1831" spans="1:31" s="27" customFormat="1" x14ac:dyDescent="0.2">
      <c r="A1831" s="250"/>
      <c r="B1831" s="210" t="s">
        <v>742</v>
      </c>
      <c r="C1831" s="210" t="s">
        <v>287</v>
      </c>
      <c r="D1831" s="210" t="s">
        <v>729</v>
      </c>
      <c r="E1831" s="210" t="s">
        <v>150</v>
      </c>
      <c r="F1831" s="210" t="s">
        <v>103</v>
      </c>
      <c r="G1831" s="210" t="s">
        <v>731</v>
      </c>
      <c r="H1831" s="197">
        <v>0</v>
      </c>
      <c r="I1831" s="210" t="s">
        <v>221</v>
      </c>
      <c r="J1831" s="210">
        <v>2026</v>
      </c>
      <c r="K1831" s="210">
        <v>2026</v>
      </c>
      <c r="L1831" s="268" t="str">
        <f t="shared" si="374"/>
        <v>Simple</v>
      </c>
      <c r="M1831" s="197">
        <v>4352520</v>
      </c>
      <c r="N1831" s="197">
        <v>0</v>
      </c>
      <c r="O1831" s="257">
        <f>IF(ISNA(MATCH(H1831,'Operating leases'!$B$32:$B$43,0)),0,INDEX('Operating leases'!$M$32:$S$43,MATCH(H1831,'Operating leases'!$B$32:$B$43,0),MATCH(J1831,'Operating leases'!$M$11:$S$11,0)))</f>
        <v>0</v>
      </c>
      <c r="P1831" s="257">
        <f t="shared" si="375"/>
        <v>4352520</v>
      </c>
      <c r="Q1831" s="257">
        <f t="shared" si="376"/>
        <v>4352520</v>
      </c>
      <c r="R1831" s="258">
        <f>INDEX('Escalators '!$M$124:$S$129,MATCH(I1831,'Escalators '!$B$124:$B$129,0),MATCH(J1831,'Escalators '!$M$113:$S$113,0))</f>
        <v>1.1088998660799403</v>
      </c>
      <c r="S1831" s="257">
        <f t="shared" si="377"/>
        <v>0</v>
      </c>
      <c r="T1831" s="257">
        <f t="shared" si="378"/>
        <v>0</v>
      </c>
      <c r="U1831" s="269">
        <f t="shared" si="379"/>
        <v>4826508.8451102618</v>
      </c>
      <c r="V1831" s="269">
        <f t="shared" si="380"/>
        <v>4826508.8451102618</v>
      </c>
      <c r="W1831" s="269">
        <f t="shared" si="381"/>
        <v>4826508.8451102618</v>
      </c>
      <c r="X1831" s="257">
        <f t="shared" si="382"/>
        <v>4826508.8451102618</v>
      </c>
      <c r="Y1831" s="270">
        <f>IF(L1831="Complex",(INDEX('Escalators '!$M$176:$S$176,MATCH('Forecast capex'!J1831,'Escalators '!$M$178:$S$178,0))/12+1)^((K1831-J1831)*12)-1,0)</f>
        <v>0</v>
      </c>
      <c r="Z1831" s="257">
        <f t="shared" si="383"/>
        <v>0</v>
      </c>
      <c r="AA1831" s="257">
        <f t="shared" si="384"/>
        <v>0</v>
      </c>
      <c r="AB1831" s="269">
        <f t="shared" si="385"/>
        <v>0</v>
      </c>
      <c r="AC1831" s="269">
        <f t="shared" si="386"/>
        <v>0</v>
      </c>
      <c r="AD1831" s="271" t="str">
        <f>INDEX('Global inputs'!$C$134:$C$171,MATCH(F1831,'Global inputs'!$B$134:$B$171,0))</f>
        <v>Asset replacement and renewal</v>
      </c>
      <c r="AE1831" s="272">
        <f>IF(OR(H1831='Operating leases'!$B$32,H1831='Operating leases'!$B$33),"",INDEX('Global inputs'!$C$186:$C$243,MATCH(E1831,'Global inputs'!$B$186:$B$243,0)))</f>
        <v>0.08</v>
      </c>
    </row>
    <row r="1832" spans="1:31" s="27" customFormat="1" x14ac:dyDescent="0.2">
      <c r="A1832" s="250"/>
      <c r="B1832" s="210" t="s">
        <v>742</v>
      </c>
      <c r="C1832" s="210" t="s">
        <v>287</v>
      </c>
      <c r="D1832" s="210" t="s">
        <v>729</v>
      </c>
      <c r="E1832" s="210" t="s">
        <v>150</v>
      </c>
      <c r="F1832" s="210" t="s">
        <v>104</v>
      </c>
      <c r="G1832" s="210" t="s">
        <v>731</v>
      </c>
      <c r="H1832" s="197">
        <v>0</v>
      </c>
      <c r="I1832" s="210" t="s">
        <v>225</v>
      </c>
      <c r="J1832" s="210">
        <v>2026</v>
      </c>
      <c r="K1832" s="210">
        <v>2026</v>
      </c>
      <c r="L1832" s="268" t="str">
        <f t="shared" si="374"/>
        <v>Simple</v>
      </c>
      <c r="M1832" s="197">
        <v>847476</v>
      </c>
      <c r="N1832" s="197">
        <v>0</v>
      </c>
      <c r="O1832" s="257">
        <f>IF(ISNA(MATCH(H1832,'Operating leases'!$B$32:$B$43,0)),0,INDEX('Operating leases'!$M$32:$S$43,MATCH(H1832,'Operating leases'!$B$32:$B$43,0),MATCH(J1832,'Operating leases'!$M$11:$S$11,0)))</f>
        <v>0</v>
      </c>
      <c r="P1832" s="257">
        <f t="shared" si="375"/>
        <v>847476</v>
      </c>
      <c r="Q1832" s="257">
        <f t="shared" si="376"/>
        <v>847476</v>
      </c>
      <c r="R1832" s="258">
        <f>INDEX('Escalators '!$M$124:$S$129,MATCH(I1832,'Escalators '!$B$124:$B$129,0),MATCH(J1832,'Escalators '!$M$113:$S$113,0))</f>
        <v>1.1685447741482344</v>
      </c>
      <c r="S1832" s="257">
        <f t="shared" si="377"/>
        <v>0</v>
      </c>
      <c r="T1832" s="257">
        <f t="shared" si="378"/>
        <v>0</v>
      </c>
      <c r="U1832" s="269">
        <f t="shared" si="379"/>
        <v>990313.65101604909</v>
      </c>
      <c r="V1832" s="269">
        <f t="shared" si="380"/>
        <v>990313.65101604909</v>
      </c>
      <c r="W1832" s="269">
        <f t="shared" si="381"/>
        <v>990313.65101604909</v>
      </c>
      <c r="X1832" s="257">
        <f t="shared" si="382"/>
        <v>990313.65101604909</v>
      </c>
      <c r="Y1832" s="270">
        <f>IF(L1832="Complex",(INDEX('Escalators '!$M$176:$S$176,MATCH('Forecast capex'!J1832,'Escalators '!$M$178:$S$178,0))/12+1)^((K1832-J1832)*12)-1,0)</f>
        <v>0</v>
      </c>
      <c r="Z1832" s="257">
        <f t="shared" si="383"/>
        <v>0</v>
      </c>
      <c r="AA1832" s="257">
        <f t="shared" si="384"/>
        <v>0</v>
      </c>
      <c r="AB1832" s="269">
        <f t="shared" si="385"/>
        <v>0</v>
      </c>
      <c r="AC1832" s="269">
        <f t="shared" si="386"/>
        <v>0</v>
      </c>
      <c r="AD1832" s="271" t="str">
        <f>INDEX('Global inputs'!$C$134:$C$171,MATCH(F1832,'Global inputs'!$B$134:$B$171,0))</f>
        <v>Asset replacement and renewal</v>
      </c>
      <c r="AE1832" s="272">
        <f>IF(OR(H1832='Operating leases'!$B$32,H1832='Operating leases'!$B$33),"",INDEX('Global inputs'!$C$186:$C$243,MATCH(E1832,'Global inputs'!$B$186:$B$243,0)))</f>
        <v>0.08</v>
      </c>
    </row>
    <row r="1833" spans="1:31" s="27" customFormat="1" x14ac:dyDescent="0.2">
      <c r="A1833" s="250"/>
      <c r="B1833" s="210" t="s">
        <v>742</v>
      </c>
      <c r="C1833" s="210" t="s">
        <v>287</v>
      </c>
      <c r="D1833" s="210" t="s">
        <v>729</v>
      </c>
      <c r="E1833" s="210" t="s">
        <v>150</v>
      </c>
      <c r="F1833" s="210" t="s">
        <v>104</v>
      </c>
      <c r="G1833" s="210" t="s">
        <v>731</v>
      </c>
      <c r="H1833" s="197">
        <v>0</v>
      </c>
      <c r="I1833" s="210" t="s">
        <v>221</v>
      </c>
      <c r="J1833" s="210">
        <v>2026</v>
      </c>
      <c r="K1833" s="210">
        <v>2026</v>
      </c>
      <c r="L1833" s="268" t="str">
        <f t="shared" si="374"/>
        <v>Simple</v>
      </c>
      <c r="M1833" s="197">
        <v>3389904</v>
      </c>
      <c r="N1833" s="197">
        <v>0</v>
      </c>
      <c r="O1833" s="257">
        <f>IF(ISNA(MATCH(H1833,'Operating leases'!$B$32:$B$43,0)),0,INDEX('Operating leases'!$M$32:$S$43,MATCH(H1833,'Operating leases'!$B$32:$B$43,0),MATCH(J1833,'Operating leases'!$M$11:$S$11,0)))</f>
        <v>0</v>
      </c>
      <c r="P1833" s="257">
        <f t="shared" si="375"/>
        <v>3389904</v>
      </c>
      <c r="Q1833" s="257">
        <f t="shared" si="376"/>
        <v>3389904</v>
      </c>
      <c r="R1833" s="258">
        <f>INDEX('Escalators '!$M$124:$S$129,MATCH(I1833,'Escalators '!$B$124:$B$129,0),MATCH(J1833,'Escalators '!$M$113:$S$113,0))</f>
        <v>1.1088998660799403</v>
      </c>
      <c r="S1833" s="257">
        <f t="shared" si="377"/>
        <v>0</v>
      </c>
      <c r="T1833" s="257">
        <f t="shared" si="378"/>
        <v>0</v>
      </c>
      <c r="U1833" s="269">
        <f t="shared" si="379"/>
        <v>3759064.0916238539</v>
      </c>
      <c r="V1833" s="269">
        <f t="shared" si="380"/>
        <v>3759064.0916238539</v>
      </c>
      <c r="W1833" s="269">
        <f t="shared" si="381"/>
        <v>3759064.0916238539</v>
      </c>
      <c r="X1833" s="257">
        <f t="shared" si="382"/>
        <v>3759064.0916238539</v>
      </c>
      <c r="Y1833" s="270">
        <f>IF(L1833="Complex",(INDEX('Escalators '!$M$176:$S$176,MATCH('Forecast capex'!J1833,'Escalators '!$M$178:$S$178,0))/12+1)^((K1833-J1833)*12)-1,0)</f>
        <v>0</v>
      </c>
      <c r="Z1833" s="257">
        <f t="shared" si="383"/>
        <v>0</v>
      </c>
      <c r="AA1833" s="257">
        <f t="shared" si="384"/>
        <v>0</v>
      </c>
      <c r="AB1833" s="269">
        <f t="shared" si="385"/>
        <v>0</v>
      </c>
      <c r="AC1833" s="269">
        <f t="shared" si="386"/>
        <v>0</v>
      </c>
      <c r="AD1833" s="271" t="str">
        <f>INDEX('Global inputs'!$C$134:$C$171,MATCH(F1833,'Global inputs'!$B$134:$B$171,0))</f>
        <v>Asset replacement and renewal</v>
      </c>
      <c r="AE1833" s="272">
        <f>IF(OR(H1833='Operating leases'!$B$32,H1833='Operating leases'!$B$33),"",INDEX('Global inputs'!$C$186:$C$243,MATCH(E1833,'Global inputs'!$B$186:$B$243,0)))</f>
        <v>0.08</v>
      </c>
    </row>
    <row r="1834" spans="1:31" s="27" customFormat="1" x14ac:dyDescent="0.2">
      <c r="A1834" s="250"/>
      <c r="B1834" s="210" t="s">
        <v>742</v>
      </c>
      <c r="C1834" s="210" t="s">
        <v>290</v>
      </c>
      <c r="D1834" s="210" t="s">
        <v>718</v>
      </c>
      <c r="E1834" s="210" t="s">
        <v>173</v>
      </c>
      <c r="F1834" s="210" t="s">
        <v>109</v>
      </c>
      <c r="G1834" s="210" t="s">
        <v>719</v>
      </c>
      <c r="H1834" s="197">
        <v>0</v>
      </c>
      <c r="I1834" s="210" t="s">
        <v>142</v>
      </c>
      <c r="J1834" s="210">
        <v>2026</v>
      </c>
      <c r="K1834" s="210">
        <v>2026</v>
      </c>
      <c r="L1834" s="268" t="str">
        <f t="shared" si="374"/>
        <v>Simple</v>
      </c>
      <c r="M1834" s="197">
        <v>1425000</v>
      </c>
      <c r="N1834" s="197">
        <v>0</v>
      </c>
      <c r="O1834" s="257">
        <f>IF(ISNA(MATCH(H1834,'Operating leases'!$B$32:$B$43,0)),0,INDEX('Operating leases'!$M$32:$S$43,MATCH(H1834,'Operating leases'!$B$32:$B$43,0),MATCH(J1834,'Operating leases'!$M$11:$S$11,0)))</f>
        <v>0</v>
      </c>
      <c r="P1834" s="257">
        <f t="shared" si="375"/>
        <v>1425000</v>
      </c>
      <c r="Q1834" s="257">
        <f t="shared" si="376"/>
        <v>1425000</v>
      </c>
      <c r="R1834" s="258">
        <f>INDEX('Escalators '!$M$124:$S$129,MATCH(I1834,'Escalators '!$B$124:$B$129,0),MATCH(J1834,'Escalators '!$M$113:$S$113,0))</f>
        <v>1.1158480359294924</v>
      </c>
      <c r="S1834" s="257">
        <f t="shared" si="377"/>
        <v>0</v>
      </c>
      <c r="T1834" s="257">
        <f t="shared" si="378"/>
        <v>0</v>
      </c>
      <c r="U1834" s="269">
        <f t="shared" si="379"/>
        <v>1590083.4511995267</v>
      </c>
      <c r="V1834" s="269">
        <f t="shared" si="380"/>
        <v>1590083.4511995267</v>
      </c>
      <c r="W1834" s="269">
        <f t="shared" si="381"/>
        <v>1590083.4511995267</v>
      </c>
      <c r="X1834" s="257">
        <f t="shared" si="382"/>
        <v>1590083.4511995267</v>
      </c>
      <c r="Y1834" s="270">
        <f>IF(L1834="Complex",(INDEX('Escalators '!$M$176:$S$176,MATCH('Forecast capex'!J1834,'Escalators '!$M$178:$S$178,0))/12+1)^((K1834-J1834)*12)-1,0)</f>
        <v>0</v>
      </c>
      <c r="Z1834" s="257">
        <f t="shared" si="383"/>
        <v>0</v>
      </c>
      <c r="AA1834" s="257">
        <f t="shared" si="384"/>
        <v>0</v>
      </c>
      <c r="AB1834" s="269">
        <f t="shared" si="385"/>
        <v>0</v>
      </c>
      <c r="AC1834" s="269">
        <f t="shared" si="386"/>
        <v>0</v>
      </c>
      <c r="AD1834" s="271" t="str">
        <f>INDEX('Global inputs'!$C$134:$C$171,MATCH(F1834,'Global inputs'!$B$134:$B$171,0))</f>
        <v>Asset replacement and renewal</v>
      </c>
      <c r="AE1834" s="272">
        <f>IF(OR(H1834='Operating leases'!$B$32,H1834='Operating leases'!$B$33),"",INDEX('Global inputs'!$C$186:$C$243,MATCH(E1834,'Global inputs'!$B$186:$B$243,0)))</f>
        <v>0.08</v>
      </c>
    </row>
    <row r="1835" spans="1:31" s="27" customFormat="1" x14ac:dyDescent="0.2">
      <c r="A1835" s="250"/>
      <c r="B1835" s="210" t="s">
        <v>742</v>
      </c>
      <c r="C1835" s="210" t="s">
        <v>290</v>
      </c>
      <c r="D1835" s="210" t="s">
        <v>718</v>
      </c>
      <c r="E1835" s="210" t="s">
        <v>173</v>
      </c>
      <c r="F1835" s="210" t="s">
        <v>109</v>
      </c>
      <c r="G1835" s="210" t="s">
        <v>719</v>
      </c>
      <c r="H1835" s="197">
        <v>0</v>
      </c>
      <c r="I1835" s="210" t="s">
        <v>221</v>
      </c>
      <c r="J1835" s="210">
        <v>2026</v>
      </c>
      <c r="K1835" s="210">
        <v>2026</v>
      </c>
      <c r="L1835" s="268" t="str">
        <f t="shared" si="374"/>
        <v>Simple</v>
      </c>
      <c r="M1835" s="197">
        <v>356250</v>
      </c>
      <c r="N1835" s="197">
        <v>0</v>
      </c>
      <c r="O1835" s="257">
        <f>IF(ISNA(MATCH(H1835,'Operating leases'!$B$32:$B$43,0)),0,INDEX('Operating leases'!$M$32:$S$43,MATCH(H1835,'Operating leases'!$B$32:$B$43,0),MATCH(J1835,'Operating leases'!$M$11:$S$11,0)))</f>
        <v>0</v>
      </c>
      <c r="P1835" s="257">
        <f t="shared" si="375"/>
        <v>356250</v>
      </c>
      <c r="Q1835" s="257">
        <f t="shared" si="376"/>
        <v>356250</v>
      </c>
      <c r="R1835" s="258">
        <f>INDEX('Escalators '!$M$124:$S$129,MATCH(I1835,'Escalators '!$B$124:$B$129,0),MATCH(J1835,'Escalators '!$M$113:$S$113,0))</f>
        <v>1.1088998660799403</v>
      </c>
      <c r="S1835" s="257">
        <f t="shared" si="377"/>
        <v>0</v>
      </c>
      <c r="T1835" s="257">
        <f t="shared" si="378"/>
        <v>0</v>
      </c>
      <c r="U1835" s="269">
        <f t="shared" si="379"/>
        <v>395045.57729097875</v>
      </c>
      <c r="V1835" s="269">
        <f t="shared" si="380"/>
        <v>395045.57729097875</v>
      </c>
      <c r="W1835" s="269">
        <f t="shared" si="381"/>
        <v>395045.57729097875</v>
      </c>
      <c r="X1835" s="257">
        <f t="shared" si="382"/>
        <v>395045.57729097875</v>
      </c>
      <c r="Y1835" s="270">
        <f>IF(L1835="Complex",(INDEX('Escalators '!$M$176:$S$176,MATCH('Forecast capex'!J1835,'Escalators '!$M$178:$S$178,0))/12+1)^((K1835-J1835)*12)-1,0)</f>
        <v>0</v>
      </c>
      <c r="Z1835" s="257">
        <f t="shared" si="383"/>
        <v>0</v>
      </c>
      <c r="AA1835" s="257">
        <f t="shared" si="384"/>
        <v>0</v>
      </c>
      <c r="AB1835" s="269">
        <f t="shared" si="385"/>
        <v>0</v>
      </c>
      <c r="AC1835" s="269">
        <f t="shared" si="386"/>
        <v>0</v>
      </c>
      <c r="AD1835" s="271" t="str">
        <f>INDEX('Global inputs'!$C$134:$C$171,MATCH(F1835,'Global inputs'!$B$134:$B$171,0))</f>
        <v>Asset replacement and renewal</v>
      </c>
      <c r="AE1835" s="272">
        <f>IF(OR(H1835='Operating leases'!$B$32,H1835='Operating leases'!$B$33),"",INDEX('Global inputs'!$C$186:$C$243,MATCH(E1835,'Global inputs'!$B$186:$B$243,0)))</f>
        <v>0.08</v>
      </c>
    </row>
    <row r="1836" spans="1:31" s="27" customFormat="1" x14ac:dyDescent="0.2">
      <c r="A1836" s="250"/>
      <c r="B1836" s="210" t="s">
        <v>742</v>
      </c>
      <c r="C1836" s="210" t="s">
        <v>288</v>
      </c>
      <c r="D1836" s="210" t="s">
        <v>718</v>
      </c>
      <c r="E1836" s="210" t="s">
        <v>160</v>
      </c>
      <c r="F1836" s="210" t="s">
        <v>112</v>
      </c>
      <c r="G1836" s="210" t="s">
        <v>722</v>
      </c>
      <c r="H1836" s="197">
        <v>0</v>
      </c>
      <c r="I1836" s="210" t="s">
        <v>229</v>
      </c>
      <c r="J1836" s="210">
        <v>2026</v>
      </c>
      <c r="K1836" s="210">
        <v>2026</v>
      </c>
      <c r="L1836" s="268" t="str">
        <f t="shared" si="374"/>
        <v>Simple</v>
      </c>
      <c r="M1836" s="197">
        <v>341250</v>
      </c>
      <c r="N1836" s="197">
        <v>0</v>
      </c>
      <c r="O1836" s="257">
        <f>IF(ISNA(MATCH(H1836,'Operating leases'!$B$32:$B$43,0)),0,INDEX('Operating leases'!$M$32:$S$43,MATCH(H1836,'Operating leases'!$B$32:$B$43,0),MATCH(J1836,'Operating leases'!$M$11:$S$11,0)))</f>
        <v>0</v>
      </c>
      <c r="P1836" s="257">
        <f t="shared" si="375"/>
        <v>341250</v>
      </c>
      <c r="Q1836" s="257">
        <f t="shared" si="376"/>
        <v>341250</v>
      </c>
      <c r="R1836" s="258">
        <f>INDEX('Escalators '!$M$124:$S$129,MATCH(I1836,'Escalators '!$B$124:$B$129,0),MATCH(J1836,'Escalators '!$M$113:$S$113,0))</f>
        <v>1.1110424701464636</v>
      </c>
      <c r="S1836" s="257">
        <f t="shared" si="377"/>
        <v>0</v>
      </c>
      <c r="T1836" s="257">
        <f t="shared" si="378"/>
        <v>0</v>
      </c>
      <c r="U1836" s="269">
        <f t="shared" si="379"/>
        <v>379143.24293748074</v>
      </c>
      <c r="V1836" s="269">
        <f t="shared" si="380"/>
        <v>379143.24293748074</v>
      </c>
      <c r="W1836" s="269">
        <f t="shared" si="381"/>
        <v>379143.24293748074</v>
      </c>
      <c r="X1836" s="257">
        <f t="shared" si="382"/>
        <v>379143.24293748074</v>
      </c>
      <c r="Y1836" s="270">
        <f>IF(L1836="Complex",(INDEX('Escalators '!$M$176:$S$176,MATCH('Forecast capex'!J1836,'Escalators '!$M$178:$S$178,0))/12+1)^((K1836-J1836)*12)-1,0)</f>
        <v>0</v>
      </c>
      <c r="Z1836" s="257">
        <f t="shared" si="383"/>
        <v>0</v>
      </c>
      <c r="AA1836" s="257">
        <f t="shared" si="384"/>
        <v>0</v>
      </c>
      <c r="AB1836" s="269">
        <f t="shared" si="385"/>
        <v>0</v>
      </c>
      <c r="AC1836" s="269">
        <f t="shared" si="386"/>
        <v>0</v>
      </c>
      <c r="AD1836" s="271" t="str">
        <f>INDEX('Global inputs'!$C$134:$C$171,MATCH(F1836,'Global inputs'!$B$134:$B$171,0))</f>
        <v>Asset replacement and renewal</v>
      </c>
      <c r="AE1836" s="272">
        <f>IF(OR(H1836='Operating leases'!$B$32,H1836='Operating leases'!$B$33),"",INDEX('Global inputs'!$C$186:$C$243,MATCH(E1836,'Global inputs'!$B$186:$B$243,0)))</f>
        <v>0.08</v>
      </c>
    </row>
    <row r="1837" spans="1:31" s="27" customFormat="1" x14ac:dyDescent="0.2">
      <c r="A1837" s="250"/>
      <c r="B1837" s="210" t="s">
        <v>742</v>
      </c>
      <c r="C1837" s="210" t="s">
        <v>288</v>
      </c>
      <c r="D1837" s="210" t="s">
        <v>718</v>
      </c>
      <c r="E1837" s="210" t="s">
        <v>160</v>
      </c>
      <c r="F1837" s="210" t="s">
        <v>112</v>
      </c>
      <c r="G1837" s="210" t="s">
        <v>722</v>
      </c>
      <c r="H1837" s="197">
        <v>0</v>
      </c>
      <c r="I1837" s="210" t="s">
        <v>221</v>
      </c>
      <c r="J1837" s="210">
        <v>2026</v>
      </c>
      <c r="K1837" s="210">
        <v>2026</v>
      </c>
      <c r="L1837" s="268" t="str">
        <f t="shared" si="374"/>
        <v>Simple</v>
      </c>
      <c r="M1837" s="197">
        <v>341250</v>
      </c>
      <c r="N1837" s="197">
        <v>0</v>
      </c>
      <c r="O1837" s="257">
        <f>IF(ISNA(MATCH(H1837,'Operating leases'!$B$32:$B$43,0)),0,INDEX('Operating leases'!$M$32:$S$43,MATCH(H1837,'Operating leases'!$B$32:$B$43,0),MATCH(J1837,'Operating leases'!$M$11:$S$11,0)))</f>
        <v>0</v>
      </c>
      <c r="P1837" s="257">
        <f t="shared" si="375"/>
        <v>341250</v>
      </c>
      <c r="Q1837" s="257">
        <f t="shared" si="376"/>
        <v>341250</v>
      </c>
      <c r="R1837" s="258">
        <f>INDEX('Escalators '!$M$124:$S$129,MATCH(I1837,'Escalators '!$B$124:$B$129,0),MATCH(J1837,'Escalators '!$M$113:$S$113,0))</f>
        <v>1.1088998660799403</v>
      </c>
      <c r="S1837" s="257">
        <f t="shared" si="377"/>
        <v>0</v>
      </c>
      <c r="T1837" s="257">
        <f t="shared" si="378"/>
        <v>0</v>
      </c>
      <c r="U1837" s="269">
        <f t="shared" si="379"/>
        <v>378412.07929977961</v>
      </c>
      <c r="V1837" s="269">
        <f t="shared" si="380"/>
        <v>378412.07929977961</v>
      </c>
      <c r="W1837" s="269">
        <f t="shared" si="381"/>
        <v>378412.07929977961</v>
      </c>
      <c r="X1837" s="257">
        <f t="shared" si="382"/>
        <v>378412.07929977961</v>
      </c>
      <c r="Y1837" s="270">
        <f>IF(L1837="Complex",(INDEX('Escalators '!$M$176:$S$176,MATCH('Forecast capex'!J1837,'Escalators '!$M$178:$S$178,0))/12+1)^((K1837-J1837)*12)-1,0)</f>
        <v>0</v>
      </c>
      <c r="Z1837" s="257">
        <f t="shared" si="383"/>
        <v>0</v>
      </c>
      <c r="AA1837" s="257">
        <f t="shared" si="384"/>
        <v>0</v>
      </c>
      <c r="AB1837" s="269">
        <f t="shared" si="385"/>
        <v>0</v>
      </c>
      <c r="AC1837" s="269">
        <f t="shared" si="386"/>
        <v>0</v>
      </c>
      <c r="AD1837" s="271" t="str">
        <f>INDEX('Global inputs'!$C$134:$C$171,MATCH(F1837,'Global inputs'!$B$134:$B$171,0))</f>
        <v>Asset replacement and renewal</v>
      </c>
      <c r="AE1837" s="272">
        <f>IF(OR(H1837='Operating leases'!$B$32,H1837='Operating leases'!$B$33),"",INDEX('Global inputs'!$C$186:$C$243,MATCH(E1837,'Global inputs'!$B$186:$B$243,0)))</f>
        <v>0.08</v>
      </c>
    </row>
    <row r="1838" spans="1:31" s="27" customFormat="1" x14ac:dyDescent="0.2">
      <c r="A1838" s="250"/>
      <c r="B1838" s="210" t="s">
        <v>742</v>
      </c>
      <c r="C1838" s="210" t="s">
        <v>288</v>
      </c>
      <c r="D1838" s="210" t="s">
        <v>718</v>
      </c>
      <c r="E1838" s="210" t="s">
        <v>161</v>
      </c>
      <c r="F1838" s="210" t="s">
        <v>112</v>
      </c>
      <c r="G1838" s="210" t="s">
        <v>722</v>
      </c>
      <c r="H1838" s="197">
        <v>0</v>
      </c>
      <c r="I1838" s="210" t="s">
        <v>229</v>
      </c>
      <c r="J1838" s="210">
        <v>2026</v>
      </c>
      <c r="K1838" s="210">
        <v>2026</v>
      </c>
      <c r="L1838" s="268" t="str">
        <f t="shared" si="374"/>
        <v>Simple</v>
      </c>
      <c r="M1838" s="197">
        <v>390000</v>
      </c>
      <c r="N1838" s="197">
        <v>0</v>
      </c>
      <c r="O1838" s="257">
        <f>IF(ISNA(MATCH(H1838,'Operating leases'!$B$32:$B$43,0)),0,INDEX('Operating leases'!$M$32:$S$43,MATCH(H1838,'Operating leases'!$B$32:$B$43,0),MATCH(J1838,'Operating leases'!$M$11:$S$11,0)))</f>
        <v>0</v>
      </c>
      <c r="P1838" s="257">
        <f t="shared" si="375"/>
        <v>390000</v>
      </c>
      <c r="Q1838" s="257">
        <f t="shared" si="376"/>
        <v>390000</v>
      </c>
      <c r="R1838" s="258">
        <f>INDEX('Escalators '!$M$124:$S$129,MATCH(I1838,'Escalators '!$B$124:$B$129,0),MATCH(J1838,'Escalators '!$M$113:$S$113,0))</f>
        <v>1.1110424701464636</v>
      </c>
      <c r="S1838" s="257">
        <f t="shared" si="377"/>
        <v>0</v>
      </c>
      <c r="T1838" s="257">
        <f t="shared" si="378"/>
        <v>0</v>
      </c>
      <c r="U1838" s="269">
        <f t="shared" si="379"/>
        <v>433306.56335712079</v>
      </c>
      <c r="V1838" s="269">
        <f t="shared" si="380"/>
        <v>433306.56335712079</v>
      </c>
      <c r="W1838" s="269">
        <f t="shared" si="381"/>
        <v>433306.56335712079</v>
      </c>
      <c r="X1838" s="257">
        <f t="shared" si="382"/>
        <v>433306.56335712079</v>
      </c>
      <c r="Y1838" s="270">
        <f>IF(L1838="Complex",(INDEX('Escalators '!$M$176:$S$176,MATCH('Forecast capex'!J1838,'Escalators '!$M$178:$S$178,0))/12+1)^((K1838-J1838)*12)-1,0)</f>
        <v>0</v>
      </c>
      <c r="Z1838" s="257">
        <f t="shared" si="383"/>
        <v>0</v>
      </c>
      <c r="AA1838" s="257">
        <f t="shared" si="384"/>
        <v>0</v>
      </c>
      <c r="AB1838" s="269">
        <f t="shared" si="385"/>
        <v>0</v>
      </c>
      <c r="AC1838" s="269">
        <f t="shared" si="386"/>
        <v>0</v>
      </c>
      <c r="AD1838" s="271" t="str">
        <f>INDEX('Global inputs'!$C$134:$C$171,MATCH(F1838,'Global inputs'!$B$134:$B$171,0))</f>
        <v>Asset replacement and renewal</v>
      </c>
      <c r="AE1838" s="272">
        <f>IF(OR(H1838='Operating leases'!$B$32,H1838='Operating leases'!$B$33),"",INDEX('Global inputs'!$C$186:$C$243,MATCH(E1838,'Global inputs'!$B$186:$B$243,0)))</f>
        <v>0.08</v>
      </c>
    </row>
    <row r="1839" spans="1:31" s="27" customFormat="1" x14ac:dyDescent="0.2">
      <c r="A1839" s="250"/>
      <c r="B1839" s="210" t="s">
        <v>742</v>
      </c>
      <c r="C1839" s="210" t="s">
        <v>288</v>
      </c>
      <c r="D1839" s="210" t="s">
        <v>718</v>
      </c>
      <c r="E1839" s="210" t="s">
        <v>161</v>
      </c>
      <c r="F1839" s="210" t="s">
        <v>112</v>
      </c>
      <c r="G1839" s="210" t="s">
        <v>722</v>
      </c>
      <c r="H1839" s="197">
        <v>0</v>
      </c>
      <c r="I1839" s="210" t="s">
        <v>221</v>
      </c>
      <c r="J1839" s="210">
        <v>2026</v>
      </c>
      <c r="K1839" s="210">
        <v>2026</v>
      </c>
      <c r="L1839" s="268" t="str">
        <f t="shared" si="374"/>
        <v>Simple</v>
      </c>
      <c r="M1839" s="197">
        <v>390000</v>
      </c>
      <c r="N1839" s="197">
        <v>0</v>
      </c>
      <c r="O1839" s="257">
        <f>IF(ISNA(MATCH(H1839,'Operating leases'!$B$32:$B$43,0)),0,INDEX('Operating leases'!$M$32:$S$43,MATCH(H1839,'Operating leases'!$B$32:$B$43,0),MATCH(J1839,'Operating leases'!$M$11:$S$11,0)))</f>
        <v>0</v>
      </c>
      <c r="P1839" s="257">
        <f t="shared" si="375"/>
        <v>390000</v>
      </c>
      <c r="Q1839" s="257">
        <f t="shared" si="376"/>
        <v>390000</v>
      </c>
      <c r="R1839" s="258">
        <f>INDEX('Escalators '!$M$124:$S$129,MATCH(I1839,'Escalators '!$B$124:$B$129,0),MATCH(J1839,'Escalators '!$M$113:$S$113,0))</f>
        <v>1.1088998660799403</v>
      </c>
      <c r="S1839" s="257">
        <f t="shared" si="377"/>
        <v>0</v>
      </c>
      <c r="T1839" s="257">
        <f t="shared" si="378"/>
        <v>0</v>
      </c>
      <c r="U1839" s="269">
        <f t="shared" si="379"/>
        <v>432470.9477711767</v>
      </c>
      <c r="V1839" s="269">
        <f t="shared" si="380"/>
        <v>432470.9477711767</v>
      </c>
      <c r="W1839" s="269">
        <f t="shared" si="381"/>
        <v>432470.9477711767</v>
      </c>
      <c r="X1839" s="257">
        <f t="shared" si="382"/>
        <v>432470.9477711767</v>
      </c>
      <c r="Y1839" s="270">
        <f>IF(L1839="Complex",(INDEX('Escalators '!$M$176:$S$176,MATCH('Forecast capex'!J1839,'Escalators '!$M$178:$S$178,0))/12+1)^((K1839-J1839)*12)-1,0)</f>
        <v>0</v>
      </c>
      <c r="Z1839" s="257">
        <f t="shared" si="383"/>
        <v>0</v>
      </c>
      <c r="AA1839" s="257">
        <f t="shared" si="384"/>
        <v>0</v>
      </c>
      <c r="AB1839" s="269">
        <f t="shared" si="385"/>
        <v>0</v>
      </c>
      <c r="AC1839" s="269">
        <f t="shared" si="386"/>
        <v>0</v>
      </c>
      <c r="AD1839" s="271" t="str">
        <f>INDEX('Global inputs'!$C$134:$C$171,MATCH(F1839,'Global inputs'!$B$134:$B$171,0))</f>
        <v>Asset replacement and renewal</v>
      </c>
      <c r="AE1839" s="272">
        <f>IF(OR(H1839='Operating leases'!$B$32,H1839='Operating leases'!$B$33),"",INDEX('Global inputs'!$C$186:$C$243,MATCH(E1839,'Global inputs'!$B$186:$B$243,0)))</f>
        <v>0.08</v>
      </c>
    </row>
    <row r="1840" spans="1:31" s="27" customFormat="1" x14ac:dyDescent="0.2">
      <c r="A1840" s="250"/>
      <c r="B1840" s="210" t="s">
        <v>742</v>
      </c>
      <c r="C1840" s="210" t="s">
        <v>286</v>
      </c>
      <c r="D1840" s="210" t="s">
        <v>735</v>
      </c>
      <c r="E1840" s="210" t="s">
        <v>144</v>
      </c>
      <c r="F1840" s="210" t="s">
        <v>117</v>
      </c>
      <c r="G1840" s="210" t="s">
        <v>736</v>
      </c>
      <c r="H1840" s="197">
        <v>0</v>
      </c>
      <c r="I1840" s="210" t="s">
        <v>229</v>
      </c>
      <c r="J1840" s="210">
        <v>2026</v>
      </c>
      <c r="K1840" s="210">
        <v>2026</v>
      </c>
      <c r="L1840" s="268" t="str">
        <f t="shared" si="374"/>
        <v>Simple</v>
      </c>
      <c r="M1840" s="197">
        <v>250800</v>
      </c>
      <c r="N1840" s="197">
        <v>0</v>
      </c>
      <c r="O1840" s="257">
        <f>IF(ISNA(MATCH(H1840,'Operating leases'!$B$32:$B$43,0)),0,INDEX('Operating leases'!$M$32:$S$43,MATCH(H1840,'Operating leases'!$B$32:$B$43,0),MATCH(J1840,'Operating leases'!$M$11:$S$11,0)))</f>
        <v>0</v>
      </c>
      <c r="P1840" s="257">
        <f t="shared" si="375"/>
        <v>250800</v>
      </c>
      <c r="Q1840" s="257">
        <f t="shared" si="376"/>
        <v>250800</v>
      </c>
      <c r="R1840" s="258">
        <f>INDEX('Escalators '!$M$124:$S$129,MATCH(I1840,'Escalators '!$B$124:$B$129,0),MATCH(J1840,'Escalators '!$M$113:$S$113,0))</f>
        <v>1.1110424701464636</v>
      </c>
      <c r="S1840" s="257">
        <f t="shared" si="377"/>
        <v>0</v>
      </c>
      <c r="T1840" s="257">
        <f t="shared" si="378"/>
        <v>0</v>
      </c>
      <c r="U1840" s="269">
        <f t="shared" si="379"/>
        <v>278649.45151273307</v>
      </c>
      <c r="V1840" s="269">
        <f t="shared" si="380"/>
        <v>278649.45151273307</v>
      </c>
      <c r="W1840" s="269">
        <f t="shared" si="381"/>
        <v>278649.45151273307</v>
      </c>
      <c r="X1840" s="257">
        <f t="shared" si="382"/>
        <v>278649.45151273307</v>
      </c>
      <c r="Y1840" s="270">
        <f>IF(L1840="Complex",(INDEX('Escalators '!$M$176:$S$176,MATCH('Forecast capex'!J1840,'Escalators '!$M$178:$S$178,0))/12+1)^((K1840-J1840)*12)-1,0)</f>
        <v>0</v>
      </c>
      <c r="Z1840" s="257">
        <f t="shared" si="383"/>
        <v>0</v>
      </c>
      <c r="AA1840" s="257">
        <f t="shared" si="384"/>
        <v>0</v>
      </c>
      <c r="AB1840" s="269">
        <f t="shared" si="385"/>
        <v>0</v>
      </c>
      <c r="AC1840" s="269">
        <f t="shared" si="386"/>
        <v>0</v>
      </c>
      <c r="AD1840" s="271" t="str">
        <f>INDEX('Global inputs'!$C$134:$C$171,MATCH(F1840,'Global inputs'!$B$134:$B$171,0))</f>
        <v>Asset replacement and renewal</v>
      </c>
      <c r="AE1840" s="272">
        <f>IF(OR(H1840='Operating leases'!$B$32,H1840='Operating leases'!$B$33),"",INDEX('Global inputs'!$C$186:$C$243,MATCH(E1840,'Global inputs'!$B$186:$B$243,0)))</f>
        <v>0.08</v>
      </c>
    </row>
    <row r="1841" spans="1:31" s="27" customFormat="1" x14ac:dyDescent="0.2">
      <c r="A1841" s="250"/>
      <c r="B1841" s="210" t="s">
        <v>742</v>
      </c>
      <c r="C1841" s="210" t="s">
        <v>286</v>
      </c>
      <c r="D1841" s="210" t="s">
        <v>735</v>
      </c>
      <c r="E1841" s="210" t="s">
        <v>144</v>
      </c>
      <c r="F1841" s="210" t="s">
        <v>117</v>
      </c>
      <c r="G1841" s="210" t="s">
        <v>736</v>
      </c>
      <c r="H1841" s="197">
        <v>0</v>
      </c>
      <c r="I1841" s="210" t="s">
        <v>221</v>
      </c>
      <c r="J1841" s="210">
        <v>2026</v>
      </c>
      <c r="K1841" s="210">
        <v>2026</v>
      </c>
      <c r="L1841" s="268" t="str">
        <f t="shared" si="374"/>
        <v>Simple</v>
      </c>
      <c r="M1841" s="197">
        <v>1003200</v>
      </c>
      <c r="N1841" s="197">
        <v>0</v>
      </c>
      <c r="O1841" s="257">
        <f>IF(ISNA(MATCH(H1841,'Operating leases'!$B$32:$B$43,0)),0,INDEX('Operating leases'!$M$32:$S$43,MATCH(H1841,'Operating leases'!$B$32:$B$43,0),MATCH(J1841,'Operating leases'!$M$11:$S$11,0)))</f>
        <v>0</v>
      </c>
      <c r="P1841" s="257">
        <f t="shared" si="375"/>
        <v>1003200</v>
      </c>
      <c r="Q1841" s="257">
        <f t="shared" si="376"/>
        <v>1003200</v>
      </c>
      <c r="R1841" s="258">
        <f>INDEX('Escalators '!$M$124:$S$129,MATCH(I1841,'Escalators '!$B$124:$B$129,0),MATCH(J1841,'Escalators '!$M$113:$S$113,0))</f>
        <v>1.1088998660799403</v>
      </c>
      <c r="S1841" s="257">
        <f t="shared" si="377"/>
        <v>0</v>
      </c>
      <c r="T1841" s="257">
        <f t="shared" si="378"/>
        <v>0</v>
      </c>
      <c r="U1841" s="269">
        <f t="shared" si="379"/>
        <v>1112448.3456513961</v>
      </c>
      <c r="V1841" s="269">
        <f t="shared" si="380"/>
        <v>1112448.3456513961</v>
      </c>
      <c r="W1841" s="269">
        <f t="shared" si="381"/>
        <v>1112448.3456513961</v>
      </c>
      <c r="X1841" s="257">
        <f t="shared" si="382"/>
        <v>1112448.3456513961</v>
      </c>
      <c r="Y1841" s="270">
        <f>IF(L1841="Complex",(INDEX('Escalators '!$M$176:$S$176,MATCH('Forecast capex'!J1841,'Escalators '!$M$178:$S$178,0))/12+1)^((K1841-J1841)*12)-1,0)</f>
        <v>0</v>
      </c>
      <c r="Z1841" s="257">
        <f t="shared" si="383"/>
        <v>0</v>
      </c>
      <c r="AA1841" s="257">
        <f t="shared" si="384"/>
        <v>0</v>
      </c>
      <c r="AB1841" s="269">
        <f t="shared" si="385"/>
        <v>0</v>
      </c>
      <c r="AC1841" s="269">
        <f t="shared" si="386"/>
        <v>0</v>
      </c>
      <c r="AD1841" s="271" t="str">
        <f>INDEX('Global inputs'!$C$134:$C$171,MATCH(F1841,'Global inputs'!$B$134:$B$171,0))</f>
        <v>Asset replacement and renewal</v>
      </c>
      <c r="AE1841" s="272">
        <f>IF(OR(H1841='Operating leases'!$B$32,H1841='Operating leases'!$B$33),"",INDEX('Global inputs'!$C$186:$C$243,MATCH(E1841,'Global inputs'!$B$186:$B$243,0)))</f>
        <v>0.08</v>
      </c>
    </row>
    <row r="1842" spans="1:31" s="27" customFormat="1" x14ac:dyDescent="0.2">
      <c r="A1842" s="250"/>
      <c r="B1842" s="210" t="s">
        <v>738</v>
      </c>
      <c r="C1842" s="210" t="s">
        <v>292</v>
      </c>
      <c r="D1842" s="210" t="s">
        <v>739</v>
      </c>
      <c r="E1842" s="210" t="s">
        <v>181</v>
      </c>
      <c r="F1842" s="210" t="s">
        <v>89</v>
      </c>
      <c r="G1842" s="210" t="s">
        <v>749</v>
      </c>
      <c r="H1842" s="197">
        <v>0</v>
      </c>
      <c r="I1842" s="210" t="s">
        <v>229</v>
      </c>
      <c r="J1842" s="210">
        <v>2026</v>
      </c>
      <c r="K1842" s="210">
        <v>2026</v>
      </c>
      <c r="L1842" s="268" t="str">
        <f t="shared" si="374"/>
        <v>Simple</v>
      </c>
      <c r="M1842" s="197">
        <v>75000</v>
      </c>
      <c r="N1842" s="197">
        <v>0</v>
      </c>
      <c r="O1842" s="257">
        <f>IF(ISNA(MATCH(H1842,'Operating leases'!$B$32:$B$43,0)),0,INDEX('Operating leases'!$M$32:$S$43,MATCH(H1842,'Operating leases'!$B$32:$B$43,0),MATCH(J1842,'Operating leases'!$M$11:$S$11,0)))</f>
        <v>0</v>
      </c>
      <c r="P1842" s="257">
        <f t="shared" si="375"/>
        <v>75000</v>
      </c>
      <c r="Q1842" s="257">
        <f t="shared" si="376"/>
        <v>75000</v>
      </c>
      <c r="R1842" s="258">
        <f>INDEX('Escalators '!$M$124:$S$129,MATCH(I1842,'Escalators '!$B$124:$B$129,0),MATCH(J1842,'Escalators '!$M$113:$S$113,0))</f>
        <v>1.1110424701464636</v>
      </c>
      <c r="S1842" s="257">
        <f t="shared" si="377"/>
        <v>0</v>
      </c>
      <c r="T1842" s="257">
        <f t="shared" si="378"/>
        <v>0</v>
      </c>
      <c r="U1842" s="269">
        <f t="shared" si="379"/>
        <v>83328.18526098477</v>
      </c>
      <c r="V1842" s="269">
        <f t="shared" si="380"/>
        <v>83328.18526098477</v>
      </c>
      <c r="W1842" s="269">
        <f t="shared" si="381"/>
        <v>83328.18526098477</v>
      </c>
      <c r="X1842" s="257">
        <f t="shared" si="382"/>
        <v>83328.18526098477</v>
      </c>
      <c r="Y1842" s="270">
        <f>IF(L1842="Complex",(INDEX('Escalators '!$M$176:$S$176,MATCH('Forecast capex'!J1842,'Escalators '!$M$178:$S$178,0))/12+1)^((K1842-J1842)*12)-1,0)</f>
        <v>0</v>
      </c>
      <c r="Z1842" s="257">
        <f t="shared" si="383"/>
        <v>0</v>
      </c>
      <c r="AA1842" s="257">
        <f t="shared" si="384"/>
        <v>0</v>
      </c>
      <c r="AB1842" s="269">
        <f t="shared" si="385"/>
        <v>0</v>
      </c>
      <c r="AC1842" s="269">
        <f t="shared" si="386"/>
        <v>0</v>
      </c>
      <c r="AD1842" s="271" t="str">
        <f>INDEX('Global inputs'!$C$134:$C$171,MATCH(F1842,'Global inputs'!$B$134:$B$171,0))</f>
        <v>Non-network CAPEX</v>
      </c>
      <c r="AE1842" s="272">
        <f>IF(OR(H1842='Operating leases'!$B$32,H1842='Operating leases'!$B$33),"",INDEX('Global inputs'!$C$186:$C$243,MATCH(E1842,'Global inputs'!$B$186:$B$243,0)))</f>
        <v>0.5</v>
      </c>
    </row>
    <row r="1843" spans="1:31" s="27" customFormat="1" x14ac:dyDescent="0.2">
      <c r="A1843" s="250"/>
      <c r="B1843" s="210" t="s">
        <v>738</v>
      </c>
      <c r="C1843" s="210" t="s">
        <v>292</v>
      </c>
      <c r="D1843" s="210" t="s">
        <v>739</v>
      </c>
      <c r="E1843" s="210" t="s">
        <v>183</v>
      </c>
      <c r="F1843" s="210" t="s">
        <v>89</v>
      </c>
      <c r="G1843" s="210" t="s">
        <v>750</v>
      </c>
      <c r="H1843" s="197">
        <v>0</v>
      </c>
      <c r="I1843" s="210" t="s">
        <v>229</v>
      </c>
      <c r="J1843" s="210">
        <v>2026</v>
      </c>
      <c r="K1843" s="210">
        <v>2026</v>
      </c>
      <c r="L1843" s="268" t="str">
        <f t="shared" si="374"/>
        <v>Simple</v>
      </c>
      <c r="M1843" s="197">
        <v>1425000</v>
      </c>
      <c r="N1843" s="197">
        <v>0</v>
      </c>
      <c r="O1843" s="257">
        <f>IF(ISNA(MATCH(H1843,'Operating leases'!$B$32:$B$43,0)),0,INDEX('Operating leases'!$M$32:$S$43,MATCH(H1843,'Operating leases'!$B$32:$B$43,0),MATCH(J1843,'Operating leases'!$M$11:$S$11,0)))</f>
        <v>0</v>
      </c>
      <c r="P1843" s="257">
        <f t="shared" si="375"/>
        <v>1425000</v>
      </c>
      <c r="Q1843" s="257">
        <f t="shared" si="376"/>
        <v>1425000</v>
      </c>
      <c r="R1843" s="258">
        <f>INDEX('Escalators '!$M$124:$S$129,MATCH(I1843,'Escalators '!$B$124:$B$129,0),MATCH(J1843,'Escalators '!$M$113:$S$113,0))</f>
        <v>1.1110424701464636</v>
      </c>
      <c r="S1843" s="257">
        <f t="shared" si="377"/>
        <v>0</v>
      </c>
      <c r="T1843" s="257">
        <f t="shared" si="378"/>
        <v>0</v>
      </c>
      <c r="U1843" s="269">
        <f t="shared" si="379"/>
        <v>1583235.5199587108</v>
      </c>
      <c r="V1843" s="269">
        <f t="shared" si="380"/>
        <v>1583235.5199587108</v>
      </c>
      <c r="W1843" s="269">
        <f t="shared" si="381"/>
        <v>1583235.5199587108</v>
      </c>
      <c r="X1843" s="257">
        <f t="shared" si="382"/>
        <v>1583235.5199587108</v>
      </c>
      <c r="Y1843" s="270">
        <f>IF(L1843="Complex",(INDEX('Escalators '!$M$176:$S$176,MATCH('Forecast capex'!J1843,'Escalators '!$M$178:$S$178,0))/12+1)^((K1843-J1843)*12)-1,0)</f>
        <v>0</v>
      </c>
      <c r="Z1843" s="257">
        <f t="shared" si="383"/>
        <v>0</v>
      </c>
      <c r="AA1843" s="257">
        <f t="shared" si="384"/>
        <v>0</v>
      </c>
      <c r="AB1843" s="269">
        <f t="shared" si="385"/>
        <v>0</v>
      </c>
      <c r="AC1843" s="269">
        <f t="shared" si="386"/>
        <v>0</v>
      </c>
      <c r="AD1843" s="271" t="str">
        <f>INDEX('Global inputs'!$C$134:$C$171,MATCH(F1843,'Global inputs'!$B$134:$B$171,0))</f>
        <v>Non-network CAPEX</v>
      </c>
      <c r="AE1843" s="272">
        <f>IF(OR(H1843='Operating leases'!$B$32,H1843='Operating leases'!$B$33),"",INDEX('Global inputs'!$C$186:$C$243,MATCH(E1843,'Global inputs'!$B$186:$B$243,0)))</f>
        <v>0.5</v>
      </c>
    </row>
    <row r="1844" spans="1:31" s="27" customFormat="1" x14ac:dyDescent="0.2">
      <c r="A1844" s="250"/>
      <c r="B1844" s="210" t="s">
        <v>738</v>
      </c>
      <c r="C1844" s="210" t="s">
        <v>292</v>
      </c>
      <c r="D1844" s="210" t="s">
        <v>739</v>
      </c>
      <c r="E1844" s="210" t="s">
        <v>186</v>
      </c>
      <c r="F1844" s="210" t="s">
        <v>89</v>
      </c>
      <c r="G1844" s="210">
        <v>0</v>
      </c>
      <c r="H1844" s="197" t="s">
        <v>89</v>
      </c>
      <c r="I1844" s="210" t="s">
        <v>229</v>
      </c>
      <c r="J1844" s="210">
        <v>2026</v>
      </c>
      <c r="K1844" s="210">
        <v>2026</v>
      </c>
      <c r="L1844" s="268" t="str">
        <f t="shared" si="374"/>
        <v>Simple</v>
      </c>
      <c r="M1844" s="197">
        <v>0</v>
      </c>
      <c r="N1844" s="197">
        <v>0</v>
      </c>
      <c r="O1844" s="257">
        <f>IF(ISNA(MATCH(H1844,'Operating leases'!$B$32:$B$43,0)),0,INDEX('Operating leases'!$M$32:$S$43,MATCH(H1844,'Operating leases'!$B$32:$B$43,0),MATCH(J1844,'Operating leases'!$M$11:$S$11,0)))</f>
        <v>0</v>
      </c>
      <c r="P1844" s="257">
        <f t="shared" si="375"/>
        <v>0</v>
      </c>
      <c r="Q1844" s="257">
        <f t="shared" si="376"/>
        <v>0</v>
      </c>
      <c r="R1844" s="258">
        <f>INDEX('Escalators '!$M$124:$S$129,MATCH(I1844,'Escalators '!$B$124:$B$129,0),MATCH(J1844,'Escalators '!$M$113:$S$113,0))</f>
        <v>1.1110424701464636</v>
      </c>
      <c r="S1844" s="257">
        <f t="shared" si="377"/>
        <v>0</v>
      </c>
      <c r="T1844" s="257">
        <f t="shared" si="378"/>
        <v>0</v>
      </c>
      <c r="U1844" s="269">
        <f t="shared" si="379"/>
        <v>0</v>
      </c>
      <c r="V1844" s="269">
        <f t="shared" si="380"/>
        <v>0</v>
      </c>
      <c r="W1844" s="269">
        <f t="shared" si="381"/>
        <v>0</v>
      </c>
      <c r="X1844" s="257">
        <f t="shared" si="382"/>
        <v>0</v>
      </c>
      <c r="Y1844" s="270">
        <f>IF(L1844="Complex",(INDEX('Escalators '!$M$176:$S$176,MATCH('Forecast capex'!J1844,'Escalators '!$M$178:$S$178,0))/12+1)^((K1844-J1844)*12)-1,0)</f>
        <v>0</v>
      </c>
      <c r="Z1844" s="257">
        <f t="shared" si="383"/>
        <v>0</v>
      </c>
      <c r="AA1844" s="257">
        <f t="shared" si="384"/>
        <v>0</v>
      </c>
      <c r="AB1844" s="269">
        <f t="shared" si="385"/>
        <v>0</v>
      </c>
      <c r="AC1844" s="269">
        <f t="shared" si="386"/>
        <v>0</v>
      </c>
      <c r="AD1844" s="271" t="str">
        <f>INDEX('Global inputs'!$C$134:$C$171,MATCH(F1844,'Global inputs'!$B$134:$B$171,0))</f>
        <v>Non-network CAPEX</v>
      </c>
      <c r="AE1844" s="272" t="str">
        <f>IF(OR(H1844='Operating leases'!$B$32,H1844='Operating leases'!$B$33),"",INDEX('Global inputs'!$C$186:$C$243,MATCH(E1844,'Global inputs'!$B$186:$B$243,0)))</f>
        <v/>
      </c>
    </row>
    <row r="1845" spans="1:31" s="27" customFormat="1" x14ac:dyDescent="0.2">
      <c r="A1845" s="250"/>
      <c r="B1845" s="210" t="s">
        <v>738</v>
      </c>
      <c r="C1845" s="210" t="s">
        <v>292</v>
      </c>
      <c r="D1845" s="210" t="s">
        <v>739</v>
      </c>
      <c r="E1845" s="210" t="s">
        <v>185</v>
      </c>
      <c r="F1845" s="210" t="s">
        <v>91</v>
      </c>
      <c r="G1845" s="210">
        <v>0</v>
      </c>
      <c r="H1845" s="197" t="s">
        <v>91</v>
      </c>
      <c r="I1845" s="210" t="s">
        <v>229</v>
      </c>
      <c r="J1845" s="210">
        <v>2026</v>
      </c>
      <c r="K1845" s="210">
        <v>2026</v>
      </c>
      <c r="L1845" s="268" t="str">
        <f t="shared" si="374"/>
        <v>Simple</v>
      </c>
      <c r="M1845" s="197">
        <v>0</v>
      </c>
      <c r="N1845" s="197">
        <v>0</v>
      </c>
      <c r="O1845" s="257">
        <f>IF(ISNA(MATCH(H1845,'Operating leases'!$B$32:$B$43,0)),0,INDEX('Operating leases'!$M$32:$S$43,MATCH(H1845,'Operating leases'!$B$32:$B$43,0),MATCH(J1845,'Operating leases'!$M$11:$S$11,0)))</f>
        <v>0</v>
      </c>
      <c r="P1845" s="257">
        <f t="shared" si="375"/>
        <v>0</v>
      </c>
      <c r="Q1845" s="257">
        <f t="shared" si="376"/>
        <v>0</v>
      </c>
      <c r="R1845" s="258">
        <f>INDEX('Escalators '!$M$124:$S$129,MATCH(I1845,'Escalators '!$B$124:$B$129,0),MATCH(J1845,'Escalators '!$M$113:$S$113,0))</f>
        <v>1.1110424701464636</v>
      </c>
      <c r="S1845" s="257">
        <f t="shared" si="377"/>
        <v>0</v>
      </c>
      <c r="T1845" s="257">
        <f t="shared" si="378"/>
        <v>0</v>
      </c>
      <c r="U1845" s="269">
        <f t="shared" si="379"/>
        <v>0</v>
      </c>
      <c r="V1845" s="269">
        <f t="shared" si="380"/>
        <v>0</v>
      </c>
      <c r="W1845" s="269">
        <f t="shared" si="381"/>
        <v>0</v>
      </c>
      <c r="X1845" s="257">
        <f t="shared" si="382"/>
        <v>0</v>
      </c>
      <c r="Y1845" s="270">
        <f>IF(L1845="Complex",(INDEX('Escalators '!$M$176:$S$176,MATCH('Forecast capex'!J1845,'Escalators '!$M$178:$S$178,0))/12+1)^((K1845-J1845)*12)-1,0)</f>
        <v>0</v>
      </c>
      <c r="Z1845" s="257">
        <f t="shared" si="383"/>
        <v>0</v>
      </c>
      <c r="AA1845" s="257">
        <f t="shared" si="384"/>
        <v>0</v>
      </c>
      <c r="AB1845" s="269">
        <f t="shared" si="385"/>
        <v>0</v>
      </c>
      <c r="AC1845" s="269">
        <f t="shared" si="386"/>
        <v>0</v>
      </c>
      <c r="AD1845" s="271" t="str">
        <f>INDEX('Global inputs'!$C$134:$C$171,MATCH(F1845,'Global inputs'!$B$134:$B$171,0))</f>
        <v>Non-network CAPEX</v>
      </c>
      <c r="AE1845" s="272" t="str">
        <f>IF(OR(H1845='Operating leases'!$B$32,H1845='Operating leases'!$B$33),"",INDEX('Global inputs'!$C$186:$C$243,MATCH(E1845,'Global inputs'!$B$186:$B$243,0)))</f>
        <v/>
      </c>
    </row>
    <row r="1846" spans="1:31" s="27" customFormat="1" x14ac:dyDescent="0.2">
      <c r="A1846" s="250"/>
      <c r="B1846" s="210" t="s">
        <v>742</v>
      </c>
      <c r="C1846" s="210" t="s">
        <v>285</v>
      </c>
      <c r="D1846" s="210" t="s">
        <v>223</v>
      </c>
      <c r="E1846" s="210" t="s">
        <v>134</v>
      </c>
      <c r="F1846" s="210" t="s">
        <v>105</v>
      </c>
      <c r="G1846" s="210" t="s">
        <v>726</v>
      </c>
      <c r="H1846" s="197">
        <v>0</v>
      </c>
      <c r="I1846" s="210" t="s">
        <v>223</v>
      </c>
      <c r="J1846" s="210">
        <v>2026</v>
      </c>
      <c r="K1846" s="210">
        <v>2026</v>
      </c>
      <c r="L1846" s="268" t="str">
        <f t="shared" si="374"/>
        <v>Simple</v>
      </c>
      <c r="M1846" s="197">
        <v>812592</v>
      </c>
      <c r="N1846" s="197">
        <v>0</v>
      </c>
      <c r="O1846" s="257">
        <f>IF(ISNA(MATCH(H1846,'Operating leases'!$B$32:$B$43,0)),0,INDEX('Operating leases'!$M$32:$S$43,MATCH(H1846,'Operating leases'!$B$32:$B$43,0),MATCH(J1846,'Operating leases'!$M$11:$S$11,0)))</f>
        <v>0</v>
      </c>
      <c r="P1846" s="257">
        <f t="shared" si="375"/>
        <v>812592</v>
      </c>
      <c r="Q1846" s="257">
        <f t="shared" si="376"/>
        <v>812592</v>
      </c>
      <c r="R1846" s="258">
        <f>INDEX('Escalators '!$M$124:$S$129,MATCH(I1846,'Escalators '!$B$124:$B$129,0),MATCH(J1846,'Escalators '!$M$113:$S$113,0))</f>
        <v>1.168210490264004</v>
      </c>
      <c r="S1846" s="257">
        <f t="shared" si="377"/>
        <v>0</v>
      </c>
      <c r="T1846" s="257">
        <f t="shared" si="378"/>
        <v>0</v>
      </c>
      <c r="U1846" s="269">
        <f t="shared" si="379"/>
        <v>949278.4987046076</v>
      </c>
      <c r="V1846" s="269">
        <f t="shared" si="380"/>
        <v>949278.4987046076</v>
      </c>
      <c r="W1846" s="269">
        <f t="shared" si="381"/>
        <v>949278.4987046076</v>
      </c>
      <c r="X1846" s="257">
        <f t="shared" si="382"/>
        <v>949278.4987046076</v>
      </c>
      <c r="Y1846" s="270">
        <f>IF(L1846="Complex",(INDEX('Escalators '!$M$176:$S$176,MATCH('Forecast capex'!J1846,'Escalators '!$M$178:$S$178,0))/12+1)^((K1846-J1846)*12)-1,0)</f>
        <v>0</v>
      </c>
      <c r="Z1846" s="257">
        <f t="shared" si="383"/>
        <v>0</v>
      </c>
      <c r="AA1846" s="257">
        <f t="shared" si="384"/>
        <v>0</v>
      </c>
      <c r="AB1846" s="269">
        <f t="shared" si="385"/>
        <v>0</v>
      </c>
      <c r="AC1846" s="269">
        <f t="shared" si="386"/>
        <v>0</v>
      </c>
      <c r="AD1846" s="271" t="str">
        <f>INDEX('Global inputs'!$C$134:$C$171,MATCH(F1846,'Global inputs'!$B$134:$B$171,0))</f>
        <v>Asset replacement and renewal</v>
      </c>
      <c r="AE1846" s="272">
        <f>IF(OR(H1846='Operating leases'!$B$32,H1846='Operating leases'!$B$33),"",INDEX('Global inputs'!$C$186:$C$243,MATCH(E1846,'Global inputs'!$B$186:$B$243,0)))</f>
        <v>0.08</v>
      </c>
    </row>
    <row r="1847" spans="1:31" s="27" customFormat="1" x14ac:dyDescent="0.2">
      <c r="A1847" s="250"/>
      <c r="B1847" s="210" t="s">
        <v>742</v>
      </c>
      <c r="C1847" s="210" t="s">
        <v>285</v>
      </c>
      <c r="D1847" s="210" t="s">
        <v>223</v>
      </c>
      <c r="E1847" s="210" t="s">
        <v>134</v>
      </c>
      <c r="F1847" s="210" t="s">
        <v>105</v>
      </c>
      <c r="G1847" s="210" t="s">
        <v>726</v>
      </c>
      <c r="H1847" s="197">
        <v>0</v>
      </c>
      <c r="I1847" s="210" t="s">
        <v>221</v>
      </c>
      <c r="J1847" s="210">
        <v>2026</v>
      </c>
      <c r="K1847" s="210">
        <v>2026</v>
      </c>
      <c r="L1847" s="268" t="str">
        <f t="shared" si="374"/>
        <v>Simple</v>
      </c>
      <c r="M1847" s="197">
        <v>1896048</v>
      </c>
      <c r="N1847" s="197">
        <v>0</v>
      </c>
      <c r="O1847" s="257">
        <f>IF(ISNA(MATCH(H1847,'Operating leases'!$B$32:$B$43,0)),0,INDEX('Operating leases'!$M$32:$S$43,MATCH(H1847,'Operating leases'!$B$32:$B$43,0),MATCH(J1847,'Operating leases'!$M$11:$S$11,0)))</f>
        <v>0</v>
      </c>
      <c r="P1847" s="257">
        <f t="shared" si="375"/>
        <v>1896048</v>
      </c>
      <c r="Q1847" s="257">
        <f t="shared" si="376"/>
        <v>1896048</v>
      </c>
      <c r="R1847" s="258">
        <f>INDEX('Escalators '!$M$124:$S$129,MATCH(I1847,'Escalators '!$B$124:$B$129,0),MATCH(J1847,'Escalators '!$M$113:$S$113,0))</f>
        <v>1.1088998660799403</v>
      </c>
      <c r="S1847" s="257">
        <f t="shared" si="377"/>
        <v>0</v>
      </c>
      <c r="T1847" s="257">
        <f t="shared" si="378"/>
        <v>0</v>
      </c>
      <c r="U1847" s="269">
        <f t="shared" si="379"/>
        <v>2102527.3732811385</v>
      </c>
      <c r="V1847" s="269">
        <f t="shared" si="380"/>
        <v>2102527.3732811385</v>
      </c>
      <c r="W1847" s="269">
        <f t="shared" si="381"/>
        <v>2102527.3732811385</v>
      </c>
      <c r="X1847" s="257">
        <f t="shared" si="382"/>
        <v>2102527.3732811385</v>
      </c>
      <c r="Y1847" s="270">
        <f>IF(L1847="Complex",(INDEX('Escalators '!$M$176:$S$176,MATCH('Forecast capex'!J1847,'Escalators '!$M$178:$S$178,0))/12+1)^((K1847-J1847)*12)-1,0)</f>
        <v>0</v>
      </c>
      <c r="Z1847" s="257">
        <f t="shared" si="383"/>
        <v>0</v>
      </c>
      <c r="AA1847" s="257">
        <f t="shared" si="384"/>
        <v>0</v>
      </c>
      <c r="AB1847" s="269">
        <f t="shared" si="385"/>
        <v>0</v>
      </c>
      <c r="AC1847" s="269">
        <f t="shared" si="386"/>
        <v>0</v>
      </c>
      <c r="AD1847" s="271" t="str">
        <f>INDEX('Global inputs'!$C$134:$C$171,MATCH(F1847,'Global inputs'!$B$134:$B$171,0))</f>
        <v>Asset replacement and renewal</v>
      </c>
      <c r="AE1847" s="272">
        <f>IF(OR(H1847='Operating leases'!$B$32,H1847='Operating leases'!$B$33),"",INDEX('Global inputs'!$C$186:$C$243,MATCH(E1847,'Global inputs'!$B$186:$B$243,0)))</f>
        <v>0.08</v>
      </c>
    </row>
    <row r="1848" spans="1:31" s="27" customFormat="1" x14ac:dyDescent="0.2">
      <c r="A1848" s="250"/>
      <c r="B1848" s="210" t="s">
        <v>742</v>
      </c>
      <c r="C1848" s="210" t="s">
        <v>286</v>
      </c>
      <c r="D1848" s="210" t="s">
        <v>732</v>
      </c>
      <c r="E1848" s="210" t="s">
        <v>136</v>
      </c>
      <c r="F1848" s="210" t="s">
        <v>108</v>
      </c>
      <c r="G1848" s="210" t="s">
        <v>751</v>
      </c>
      <c r="H1848" s="197">
        <v>0</v>
      </c>
      <c r="I1848" s="210" t="s">
        <v>221</v>
      </c>
      <c r="J1848" s="210">
        <v>2026</v>
      </c>
      <c r="K1848" s="210">
        <v>2026</v>
      </c>
      <c r="L1848" s="268" t="str">
        <f t="shared" si="374"/>
        <v>Simple</v>
      </c>
      <c r="M1848" s="197">
        <v>381045</v>
      </c>
      <c r="N1848" s="197">
        <v>0</v>
      </c>
      <c r="O1848" s="257">
        <f>IF(ISNA(MATCH(H1848,'Operating leases'!$B$32:$B$43,0)),0,INDEX('Operating leases'!$M$32:$S$43,MATCH(H1848,'Operating leases'!$B$32:$B$43,0),MATCH(J1848,'Operating leases'!$M$11:$S$11,0)))</f>
        <v>0</v>
      </c>
      <c r="P1848" s="257">
        <f t="shared" si="375"/>
        <v>381045</v>
      </c>
      <c r="Q1848" s="257">
        <f t="shared" si="376"/>
        <v>381045</v>
      </c>
      <c r="R1848" s="258">
        <f>INDEX('Escalators '!$M$124:$S$129,MATCH(I1848,'Escalators '!$B$124:$B$129,0),MATCH(J1848,'Escalators '!$M$113:$S$113,0))</f>
        <v>1.1088998660799403</v>
      </c>
      <c r="S1848" s="257">
        <f t="shared" si="377"/>
        <v>0</v>
      </c>
      <c r="T1848" s="257">
        <f t="shared" si="378"/>
        <v>0</v>
      </c>
      <c r="U1848" s="269">
        <f t="shared" si="379"/>
        <v>422540.74947043083</v>
      </c>
      <c r="V1848" s="269">
        <f t="shared" si="380"/>
        <v>422540.74947043083</v>
      </c>
      <c r="W1848" s="269">
        <f t="shared" si="381"/>
        <v>422540.74947043083</v>
      </c>
      <c r="X1848" s="257">
        <f t="shared" si="382"/>
        <v>422540.74947043083</v>
      </c>
      <c r="Y1848" s="270">
        <f>IF(L1848="Complex",(INDEX('Escalators '!$M$176:$S$176,MATCH('Forecast capex'!J1848,'Escalators '!$M$178:$S$178,0))/12+1)^((K1848-J1848)*12)-1,0)</f>
        <v>0</v>
      </c>
      <c r="Z1848" s="257">
        <f t="shared" si="383"/>
        <v>0</v>
      </c>
      <c r="AA1848" s="257">
        <f t="shared" si="384"/>
        <v>0</v>
      </c>
      <c r="AB1848" s="269">
        <f t="shared" si="385"/>
        <v>0</v>
      </c>
      <c r="AC1848" s="269">
        <f t="shared" si="386"/>
        <v>0</v>
      </c>
      <c r="AD1848" s="271" t="str">
        <f>INDEX('Global inputs'!$C$134:$C$171,MATCH(F1848,'Global inputs'!$B$134:$B$171,0))</f>
        <v>Asset replacement and renewal</v>
      </c>
      <c r="AE1848" s="272">
        <f>IF(OR(H1848='Operating leases'!$B$32,H1848='Operating leases'!$B$33),"",INDEX('Global inputs'!$C$186:$C$243,MATCH(E1848,'Global inputs'!$B$186:$B$243,0)))</f>
        <v>0</v>
      </c>
    </row>
    <row r="1849" spans="1:31" s="27" customFormat="1" x14ac:dyDescent="0.2">
      <c r="A1849" s="250"/>
      <c r="B1849" s="210" t="s">
        <v>742</v>
      </c>
      <c r="C1849" s="210" t="s">
        <v>286</v>
      </c>
      <c r="D1849" s="210" t="s">
        <v>732</v>
      </c>
      <c r="E1849" s="210" t="s">
        <v>136</v>
      </c>
      <c r="F1849" s="210" t="s">
        <v>108</v>
      </c>
      <c r="G1849" s="210" t="s">
        <v>751</v>
      </c>
      <c r="H1849" s="197">
        <v>0</v>
      </c>
      <c r="I1849" s="210" t="s">
        <v>229</v>
      </c>
      <c r="J1849" s="210">
        <v>2026</v>
      </c>
      <c r="K1849" s="210">
        <v>2026</v>
      </c>
      <c r="L1849" s="268" t="str">
        <f t="shared" si="374"/>
        <v>Simple</v>
      </c>
      <c r="M1849" s="197">
        <v>381045</v>
      </c>
      <c r="N1849" s="197">
        <v>0</v>
      </c>
      <c r="O1849" s="257">
        <f>IF(ISNA(MATCH(H1849,'Operating leases'!$B$32:$B$43,0)),0,INDEX('Operating leases'!$M$32:$S$43,MATCH(H1849,'Operating leases'!$B$32:$B$43,0),MATCH(J1849,'Operating leases'!$M$11:$S$11,0)))</f>
        <v>0</v>
      </c>
      <c r="P1849" s="257">
        <f t="shared" si="375"/>
        <v>381045</v>
      </c>
      <c r="Q1849" s="257">
        <f t="shared" si="376"/>
        <v>381045</v>
      </c>
      <c r="R1849" s="258">
        <f>INDEX('Escalators '!$M$124:$S$129,MATCH(I1849,'Escalators '!$B$124:$B$129,0),MATCH(J1849,'Escalators '!$M$113:$S$113,0))</f>
        <v>1.1110424701464636</v>
      </c>
      <c r="S1849" s="257">
        <f t="shared" si="377"/>
        <v>0</v>
      </c>
      <c r="T1849" s="257">
        <f t="shared" si="378"/>
        <v>0</v>
      </c>
      <c r="U1849" s="269">
        <f t="shared" si="379"/>
        <v>423357.17803695926</v>
      </c>
      <c r="V1849" s="269">
        <f t="shared" si="380"/>
        <v>423357.17803695926</v>
      </c>
      <c r="W1849" s="269">
        <f t="shared" si="381"/>
        <v>423357.17803695926</v>
      </c>
      <c r="X1849" s="257">
        <f t="shared" si="382"/>
        <v>423357.17803695926</v>
      </c>
      <c r="Y1849" s="270">
        <f>IF(L1849="Complex",(INDEX('Escalators '!$M$176:$S$176,MATCH('Forecast capex'!J1849,'Escalators '!$M$178:$S$178,0))/12+1)^((K1849-J1849)*12)-1,0)</f>
        <v>0</v>
      </c>
      <c r="Z1849" s="257">
        <f t="shared" si="383"/>
        <v>0</v>
      </c>
      <c r="AA1849" s="257">
        <f t="shared" si="384"/>
        <v>0</v>
      </c>
      <c r="AB1849" s="269">
        <f t="shared" si="385"/>
        <v>0</v>
      </c>
      <c r="AC1849" s="269">
        <f t="shared" si="386"/>
        <v>0</v>
      </c>
      <c r="AD1849" s="271" t="str">
        <f>INDEX('Global inputs'!$C$134:$C$171,MATCH(F1849,'Global inputs'!$B$134:$B$171,0))</f>
        <v>Asset replacement and renewal</v>
      </c>
      <c r="AE1849" s="272">
        <f>IF(OR(H1849='Operating leases'!$B$32,H1849='Operating leases'!$B$33),"",INDEX('Global inputs'!$C$186:$C$243,MATCH(E1849,'Global inputs'!$B$186:$B$243,0)))</f>
        <v>0</v>
      </c>
    </row>
    <row r="1850" spans="1:31" s="27" customFormat="1" x14ac:dyDescent="0.2">
      <c r="A1850" s="250"/>
      <c r="B1850" s="210" t="s">
        <v>742</v>
      </c>
      <c r="C1850" s="210" t="s">
        <v>286</v>
      </c>
      <c r="D1850" s="210" t="s">
        <v>732</v>
      </c>
      <c r="E1850" s="210" t="s">
        <v>138</v>
      </c>
      <c r="F1850" s="210" t="s">
        <v>108</v>
      </c>
      <c r="G1850" s="210" t="s">
        <v>752</v>
      </c>
      <c r="H1850" s="197">
        <v>0</v>
      </c>
      <c r="I1850" s="210" t="s">
        <v>221</v>
      </c>
      <c r="J1850" s="210">
        <v>2026</v>
      </c>
      <c r="K1850" s="210">
        <v>2026</v>
      </c>
      <c r="L1850" s="268" t="str">
        <f t="shared" si="374"/>
        <v>Simple</v>
      </c>
      <c r="M1850" s="197">
        <v>290126.2</v>
      </c>
      <c r="N1850" s="197">
        <v>0</v>
      </c>
      <c r="O1850" s="257">
        <f>IF(ISNA(MATCH(H1850,'Operating leases'!$B$32:$B$43,0)),0,INDEX('Operating leases'!$M$32:$S$43,MATCH(H1850,'Operating leases'!$B$32:$B$43,0),MATCH(J1850,'Operating leases'!$M$11:$S$11,0)))</f>
        <v>0</v>
      </c>
      <c r="P1850" s="257">
        <f t="shared" si="375"/>
        <v>290126.2</v>
      </c>
      <c r="Q1850" s="257">
        <f t="shared" si="376"/>
        <v>290126.2</v>
      </c>
      <c r="R1850" s="258">
        <f>INDEX('Escalators '!$M$124:$S$129,MATCH(I1850,'Escalators '!$B$124:$B$129,0),MATCH(J1850,'Escalators '!$M$113:$S$113,0))</f>
        <v>1.1088998660799403</v>
      </c>
      <c r="S1850" s="257">
        <f t="shared" si="377"/>
        <v>0</v>
      </c>
      <c r="T1850" s="257">
        <f t="shared" si="378"/>
        <v>0</v>
      </c>
      <c r="U1850" s="269">
        <f t="shared" si="379"/>
        <v>321720.90432628198</v>
      </c>
      <c r="V1850" s="269">
        <f t="shared" si="380"/>
        <v>321720.90432628198</v>
      </c>
      <c r="W1850" s="269">
        <f t="shared" si="381"/>
        <v>321720.90432628198</v>
      </c>
      <c r="X1850" s="257">
        <f t="shared" si="382"/>
        <v>321720.90432628198</v>
      </c>
      <c r="Y1850" s="270">
        <f>IF(L1850="Complex",(INDEX('Escalators '!$M$176:$S$176,MATCH('Forecast capex'!J1850,'Escalators '!$M$178:$S$178,0))/12+1)^((K1850-J1850)*12)-1,0)</f>
        <v>0</v>
      </c>
      <c r="Z1850" s="257">
        <f t="shared" si="383"/>
        <v>0</v>
      </c>
      <c r="AA1850" s="257">
        <f t="shared" si="384"/>
        <v>0</v>
      </c>
      <c r="AB1850" s="269">
        <f t="shared" si="385"/>
        <v>0</v>
      </c>
      <c r="AC1850" s="269">
        <f t="shared" si="386"/>
        <v>0</v>
      </c>
      <c r="AD1850" s="271" t="str">
        <f>INDEX('Global inputs'!$C$134:$C$171,MATCH(F1850,'Global inputs'!$B$134:$B$171,0))</f>
        <v>Asset replacement and renewal</v>
      </c>
      <c r="AE1850" s="272">
        <f>IF(OR(H1850='Operating leases'!$B$32,H1850='Operating leases'!$B$33),"",INDEX('Global inputs'!$C$186:$C$243,MATCH(E1850,'Global inputs'!$B$186:$B$243,0)))</f>
        <v>0.08</v>
      </c>
    </row>
    <row r="1851" spans="1:31" s="27" customFormat="1" x14ac:dyDescent="0.2">
      <c r="A1851" s="250"/>
      <c r="B1851" s="210" t="s">
        <v>742</v>
      </c>
      <c r="C1851" s="210" t="s">
        <v>286</v>
      </c>
      <c r="D1851" s="210" t="s">
        <v>732</v>
      </c>
      <c r="E1851" s="210" t="s">
        <v>138</v>
      </c>
      <c r="F1851" s="210" t="s">
        <v>108</v>
      </c>
      <c r="G1851" s="210" t="s">
        <v>752</v>
      </c>
      <c r="H1851" s="197">
        <v>0</v>
      </c>
      <c r="I1851" s="210" t="s">
        <v>139</v>
      </c>
      <c r="J1851" s="210">
        <v>2026</v>
      </c>
      <c r="K1851" s="210">
        <v>2026</v>
      </c>
      <c r="L1851" s="268" t="str">
        <f t="shared" si="374"/>
        <v>Simple</v>
      </c>
      <c r="M1851" s="197">
        <v>435189.3</v>
      </c>
      <c r="N1851" s="197">
        <v>0</v>
      </c>
      <c r="O1851" s="257">
        <f>IF(ISNA(MATCH(H1851,'Operating leases'!$B$32:$B$43,0)),0,INDEX('Operating leases'!$M$32:$S$43,MATCH(H1851,'Operating leases'!$B$32:$B$43,0),MATCH(J1851,'Operating leases'!$M$11:$S$11,0)))</f>
        <v>0</v>
      </c>
      <c r="P1851" s="257">
        <f t="shared" si="375"/>
        <v>435189.3</v>
      </c>
      <c r="Q1851" s="257">
        <f t="shared" si="376"/>
        <v>435189.3</v>
      </c>
      <c r="R1851" s="258">
        <f>INDEX('Escalators '!$M$124:$S$129,MATCH(I1851,'Escalators '!$B$124:$B$129,0),MATCH(J1851,'Escalators '!$M$113:$S$113,0))</f>
        <v>1.0777078650827305</v>
      </c>
      <c r="S1851" s="257">
        <f t="shared" si="377"/>
        <v>0</v>
      </c>
      <c r="T1851" s="257">
        <f t="shared" si="378"/>
        <v>0</v>
      </c>
      <c r="U1851" s="269">
        <f t="shared" si="379"/>
        <v>469006.93140984792</v>
      </c>
      <c r="V1851" s="269">
        <f t="shared" si="380"/>
        <v>469006.93140984792</v>
      </c>
      <c r="W1851" s="269">
        <f t="shared" si="381"/>
        <v>469006.93140984792</v>
      </c>
      <c r="X1851" s="257">
        <f t="shared" si="382"/>
        <v>469006.93140984792</v>
      </c>
      <c r="Y1851" s="270">
        <f>IF(L1851="Complex",(INDEX('Escalators '!$M$176:$S$176,MATCH('Forecast capex'!J1851,'Escalators '!$M$178:$S$178,0))/12+1)^((K1851-J1851)*12)-1,0)</f>
        <v>0</v>
      </c>
      <c r="Z1851" s="257">
        <f t="shared" si="383"/>
        <v>0</v>
      </c>
      <c r="AA1851" s="257">
        <f t="shared" si="384"/>
        <v>0</v>
      </c>
      <c r="AB1851" s="269">
        <f t="shared" si="385"/>
        <v>0</v>
      </c>
      <c r="AC1851" s="269">
        <f t="shared" si="386"/>
        <v>0</v>
      </c>
      <c r="AD1851" s="271" t="str">
        <f>INDEX('Global inputs'!$C$134:$C$171,MATCH(F1851,'Global inputs'!$B$134:$B$171,0))</f>
        <v>Asset replacement and renewal</v>
      </c>
      <c r="AE1851" s="272">
        <f>IF(OR(H1851='Operating leases'!$B$32,H1851='Operating leases'!$B$33),"",INDEX('Global inputs'!$C$186:$C$243,MATCH(E1851,'Global inputs'!$B$186:$B$243,0)))</f>
        <v>0.08</v>
      </c>
    </row>
    <row r="1852" spans="1:31" s="27" customFormat="1" x14ac:dyDescent="0.2">
      <c r="A1852" s="250"/>
      <c r="B1852" s="210" t="s">
        <v>742</v>
      </c>
      <c r="C1852" s="210" t="s">
        <v>286</v>
      </c>
      <c r="D1852" s="210" t="s">
        <v>732</v>
      </c>
      <c r="E1852" s="210" t="s">
        <v>140</v>
      </c>
      <c r="F1852" s="210" t="s">
        <v>108</v>
      </c>
      <c r="G1852" s="210" t="s">
        <v>733</v>
      </c>
      <c r="H1852" s="197">
        <v>0</v>
      </c>
      <c r="I1852" s="210" t="s">
        <v>221</v>
      </c>
      <c r="J1852" s="210">
        <v>2026</v>
      </c>
      <c r="K1852" s="210">
        <v>2026</v>
      </c>
      <c r="L1852" s="268" t="str">
        <f t="shared" si="374"/>
        <v>Simple</v>
      </c>
      <c r="M1852" s="197">
        <v>95760</v>
      </c>
      <c r="N1852" s="197">
        <v>0</v>
      </c>
      <c r="O1852" s="257">
        <f>IF(ISNA(MATCH(H1852,'Operating leases'!$B$32:$B$43,0)),0,INDEX('Operating leases'!$M$32:$S$43,MATCH(H1852,'Operating leases'!$B$32:$B$43,0),MATCH(J1852,'Operating leases'!$M$11:$S$11,0)))</f>
        <v>0</v>
      </c>
      <c r="P1852" s="257">
        <f t="shared" si="375"/>
        <v>95760</v>
      </c>
      <c r="Q1852" s="257">
        <f t="shared" si="376"/>
        <v>95760</v>
      </c>
      <c r="R1852" s="258">
        <f>INDEX('Escalators '!$M$124:$S$129,MATCH(I1852,'Escalators '!$B$124:$B$129,0),MATCH(J1852,'Escalators '!$M$113:$S$113,0))</f>
        <v>1.1088998660799403</v>
      </c>
      <c r="S1852" s="257">
        <f t="shared" si="377"/>
        <v>0</v>
      </c>
      <c r="T1852" s="257">
        <f t="shared" si="378"/>
        <v>0</v>
      </c>
      <c r="U1852" s="269">
        <f t="shared" si="379"/>
        <v>106188.25117581508</v>
      </c>
      <c r="V1852" s="269">
        <f t="shared" si="380"/>
        <v>106188.25117581508</v>
      </c>
      <c r="W1852" s="269">
        <f t="shared" si="381"/>
        <v>106188.25117581508</v>
      </c>
      <c r="X1852" s="257">
        <f t="shared" si="382"/>
        <v>106188.25117581508</v>
      </c>
      <c r="Y1852" s="270">
        <f>IF(L1852="Complex",(INDEX('Escalators '!$M$176:$S$176,MATCH('Forecast capex'!J1852,'Escalators '!$M$178:$S$178,0))/12+1)^((K1852-J1852)*12)-1,0)</f>
        <v>0</v>
      </c>
      <c r="Z1852" s="257">
        <f t="shared" si="383"/>
        <v>0</v>
      </c>
      <c r="AA1852" s="257">
        <f t="shared" si="384"/>
        <v>0</v>
      </c>
      <c r="AB1852" s="269">
        <f t="shared" si="385"/>
        <v>0</v>
      </c>
      <c r="AC1852" s="269">
        <f t="shared" si="386"/>
        <v>0</v>
      </c>
      <c r="AD1852" s="271" t="str">
        <f>INDEX('Global inputs'!$C$134:$C$171,MATCH(F1852,'Global inputs'!$B$134:$B$171,0))</f>
        <v>Asset replacement and renewal</v>
      </c>
      <c r="AE1852" s="272">
        <f>IF(OR(H1852='Operating leases'!$B$32,H1852='Operating leases'!$B$33),"",INDEX('Global inputs'!$C$186:$C$243,MATCH(E1852,'Global inputs'!$B$186:$B$243,0)))</f>
        <v>0.08</v>
      </c>
    </row>
    <row r="1853" spans="1:31" s="27" customFormat="1" x14ac:dyDescent="0.2">
      <c r="A1853" s="250"/>
      <c r="B1853" s="210" t="s">
        <v>742</v>
      </c>
      <c r="C1853" s="210" t="s">
        <v>286</v>
      </c>
      <c r="D1853" s="210" t="s">
        <v>732</v>
      </c>
      <c r="E1853" s="210" t="s">
        <v>140</v>
      </c>
      <c r="F1853" s="210" t="s">
        <v>108</v>
      </c>
      <c r="G1853" s="210" t="s">
        <v>733</v>
      </c>
      <c r="H1853" s="197">
        <v>0</v>
      </c>
      <c r="I1853" s="210" t="s">
        <v>142</v>
      </c>
      <c r="J1853" s="210">
        <v>2026</v>
      </c>
      <c r="K1853" s="210">
        <v>2026</v>
      </c>
      <c r="L1853" s="268" t="str">
        <f t="shared" si="374"/>
        <v>Simple</v>
      </c>
      <c r="M1853" s="197">
        <v>143640</v>
      </c>
      <c r="N1853" s="197">
        <v>0</v>
      </c>
      <c r="O1853" s="257">
        <f>IF(ISNA(MATCH(H1853,'Operating leases'!$B$32:$B$43,0)),0,INDEX('Operating leases'!$M$32:$S$43,MATCH(H1853,'Operating leases'!$B$32:$B$43,0),MATCH(J1853,'Operating leases'!$M$11:$S$11,0)))</f>
        <v>0</v>
      </c>
      <c r="P1853" s="257">
        <f t="shared" si="375"/>
        <v>143640</v>
      </c>
      <c r="Q1853" s="257">
        <f t="shared" si="376"/>
        <v>143640</v>
      </c>
      <c r="R1853" s="258">
        <f>INDEX('Escalators '!$M$124:$S$129,MATCH(I1853,'Escalators '!$B$124:$B$129,0),MATCH(J1853,'Escalators '!$M$113:$S$113,0))</f>
        <v>1.1158480359294924</v>
      </c>
      <c r="S1853" s="257">
        <f t="shared" si="377"/>
        <v>0</v>
      </c>
      <c r="T1853" s="257">
        <f t="shared" si="378"/>
        <v>0</v>
      </c>
      <c r="U1853" s="269">
        <f t="shared" si="379"/>
        <v>160280.41188091229</v>
      </c>
      <c r="V1853" s="269">
        <f t="shared" si="380"/>
        <v>160280.41188091229</v>
      </c>
      <c r="W1853" s="269">
        <f t="shared" si="381"/>
        <v>160280.41188091229</v>
      </c>
      <c r="X1853" s="257">
        <f t="shared" si="382"/>
        <v>160280.41188091229</v>
      </c>
      <c r="Y1853" s="270">
        <f>IF(L1853="Complex",(INDEX('Escalators '!$M$176:$S$176,MATCH('Forecast capex'!J1853,'Escalators '!$M$178:$S$178,0))/12+1)^((K1853-J1853)*12)-1,0)</f>
        <v>0</v>
      </c>
      <c r="Z1853" s="257">
        <f t="shared" si="383"/>
        <v>0</v>
      </c>
      <c r="AA1853" s="257">
        <f t="shared" si="384"/>
        <v>0</v>
      </c>
      <c r="AB1853" s="269">
        <f t="shared" si="385"/>
        <v>0</v>
      </c>
      <c r="AC1853" s="269">
        <f t="shared" si="386"/>
        <v>0</v>
      </c>
      <c r="AD1853" s="271" t="str">
        <f>INDEX('Global inputs'!$C$134:$C$171,MATCH(F1853,'Global inputs'!$B$134:$B$171,0))</f>
        <v>Asset replacement and renewal</v>
      </c>
      <c r="AE1853" s="272">
        <f>IF(OR(H1853='Operating leases'!$B$32,H1853='Operating leases'!$B$33),"",INDEX('Global inputs'!$C$186:$C$243,MATCH(E1853,'Global inputs'!$B$186:$B$243,0)))</f>
        <v>0.08</v>
      </c>
    </row>
    <row r="1854" spans="1:31" s="27" customFormat="1" x14ac:dyDescent="0.2">
      <c r="A1854" s="250"/>
      <c r="B1854" s="210" t="s">
        <v>742</v>
      </c>
      <c r="C1854" s="210" t="s">
        <v>286</v>
      </c>
      <c r="D1854" s="210" t="s">
        <v>732</v>
      </c>
      <c r="E1854" s="210" t="s">
        <v>141</v>
      </c>
      <c r="F1854" s="210" t="s">
        <v>108</v>
      </c>
      <c r="G1854" s="210" t="s">
        <v>734</v>
      </c>
      <c r="H1854" s="197">
        <v>0</v>
      </c>
      <c r="I1854" s="210" t="s">
        <v>221</v>
      </c>
      <c r="J1854" s="210">
        <v>2026</v>
      </c>
      <c r="K1854" s="210">
        <v>2026</v>
      </c>
      <c r="L1854" s="268" t="str">
        <f t="shared" si="374"/>
        <v>Simple</v>
      </c>
      <c r="M1854" s="197">
        <v>22344</v>
      </c>
      <c r="N1854" s="197">
        <v>0</v>
      </c>
      <c r="O1854" s="257">
        <f>IF(ISNA(MATCH(H1854,'Operating leases'!$B$32:$B$43,0)),0,INDEX('Operating leases'!$M$32:$S$43,MATCH(H1854,'Operating leases'!$B$32:$B$43,0),MATCH(J1854,'Operating leases'!$M$11:$S$11,0)))</f>
        <v>0</v>
      </c>
      <c r="P1854" s="257">
        <f t="shared" si="375"/>
        <v>22344</v>
      </c>
      <c r="Q1854" s="257">
        <f t="shared" si="376"/>
        <v>22344</v>
      </c>
      <c r="R1854" s="258">
        <f>INDEX('Escalators '!$M$124:$S$129,MATCH(I1854,'Escalators '!$B$124:$B$129,0),MATCH(J1854,'Escalators '!$M$113:$S$113,0))</f>
        <v>1.1088998660799403</v>
      </c>
      <c r="S1854" s="257">
        <f t="shared" si="377"/>
        <v>0</v>
      </c>
      <c r="T1854" s="257">
        <f t="shared" si="378"/>
        <v>0</v>
      </c>
      <c r="U1854" s="269">
        <f t="shared" si="379"/>
        <v>24777.258607690186</v>
      </c>
      <c r="V1854" s="269">
        <f t="shared" si="380"/>
        <v>24777.258607690186</v>
      </c>
      <c r="W1854" s="269">
        <f t="shared" si="381"/>
        <v>24777.258607690186</v>
      </c>
      <c r="X1854" s="257">
        <f t="shared" si="382"/>
        <v>24777.258607690186</v>
      </c>
      <c r="Y1854" s="270">
        <f>IF(L1854="Complex",(INDEX('Escalators '!$M$176:$S$176,MATCH('Forecast capex'!J1854,'Escalators '!$M$178:$S$178,0))/12+1)^((K1854-J1854)*12)-1,0)</f>
        <v>0</v>
      </c>
      <c r="Z1854" s="257">
        <f t="shared" si="383"/>
        <v>0</v>
      </c>
      <c r="AA1854" s="257">
        <f t="shared" si="384"/>
        <v>0</v>
      </c>
      <c r="AB1854" s="269">
        <f t="shared" si="385"/>
        <v>0</v>
      </c>
      <c r="AC1854" s="269">
        <f t="shared" si="386"/>
        <v>0</v>
      </c>
      <c r="AD1854" s="271" t="str">
        <f>INDEX('Global inputs'!$C$134:$C$171,MATCH(F1854,'Global inputs'!$B$134:$B$171,0))</f>
        <v>Asset replacement and renewal</v>
      </c>
      <c r="AE1854" s="272">
        <f>IF(OR(H1854='Operating leases'!$B$32,H1854='Operating leases'!$B$33),"",INDEX('Global inputs'!$C$186:$C$243,MATCH(E1854,'Global inputs'!$B$186:$B$243,0)))</f>
        <v>0.08</v>
      </c>
    </row>
    <row r="1855" spans="1:31" s="27" customFormat="1" x14ac:dyDescent="0.2">
      <c r="A1855" s="250"/>
      <c r="B1855" s="210" t="s">
        <v>742</v>
      </c>
      <c r="C1855" s="210" t="s">
        <v>286</v>
      </c>
      <c r="D1855" s="210" t="s">
        <v>732</v>
      </c>
      <c r="E1855" s="210" t="s">
        <v>141</v>
      </c>
      <c r="F1855" s="210" t="s">
        <v>108</v>
      </c>
      <c r="G1855" s="210" t="s">
        <v>734</v>
      </c>
      <c r="H1855" s="197">
        <v>0</v>
      </c>
      <c r="I1855" s="210" t="s">
        <v>142</v>
      </c>
      <c r="J1855" s="210">
        <v>2026</v>
      </c>
      <c r="K1855" s="210">
        <v>2026</v>
      </c>
      <c r="L1855" s="268" t="str">
        <f t="shared" si="374"/>
        <v>Simple</v>
      </c>
      <c r="M1855" s="197">
        <v>89376</v>
      </c>
      <c r="N1855" s="197">
        <v>0</v>
      </c>
      <c r="O1855" s="257">
        <f>IF(ISNA(MATCH(H1855,'Operating leases'!$B$32:$B$43,0)),0,INDEX('Operating leases'!$M$32:$S$43,MATCH(H1855,'Operating leases'!$B$32:$B$43,0),MATCH(J1855,'Operating leases'!$M$11:$S$11,0)))</f>
        <v>0</v>
      </c>
      <c r="P1855" s="257">
        <f t="shared" si="375"/>
        <v>89376</v>
      </c>
      <c r="Q1855" s="257">
        <f t="shared" si="376"/>
        <v>89376</v>
      </c>
      <c r="R1855" s="258">
        <f>INDEX('Escalators '!$M$124:$S$129,MATCH(I1855,'Escalators '!$B$124:$B$129,0),MATCH(J1855,'Escalators '!$M$113:$S$113,0))</f>
        <v>1.1158480359294924</v>
      </c>
      <c r="S1855" s="257">
        <f t="shared" si="377"/>
        <v>0</v>
      </c>
      <c r="T1855" s="257">
        <f t="shared" si="378"/>
        <v>0</v>
      </c>
      <c r="U1855" s="269">
        <f t="shared" si="379"/>
        <v>99730.034059234313</v>
      </c>
      <c r="V1855" s="269">
        <f t="shared" si="380"/>
        <v>99730.034059234313</v>
      </c>
      <c r="W1855" s="269">
        <f t="shared" si="381"/>
        <v>99730.034059234313</v>
      </c>
      <c r="X1855" s="257">
        <f t="shared" si="382"/>
        <v>99730.034059234313</v>
      </c>
      <c r="Y1855" s="270">
        <f>IF(L1855="Complex",(INDEX('Escalators '!$M$176:$S$176,MATCH('Forecast capex'!J1855,'Escalators '!$M$178:$S$178,0))/12+1)^((K1855-J1855)*12)-1,0)</f>
        <v>0</v>
      </c>
      <c r="Z1855" s="257">
        <f t="shared" si="383"/>
        <v>0</v>
      </c>
      <c r="AA1855" s="257">
        <f t="shared" si="384"/>
        <v>0</v>
      </c>
      <c r="AB1855" s="269">
        <f t="shared" si="385"/>
        <v>0</v>
      </c>
      <c r="AC1855" s="269">
        <f t="shared" si="386"/>
        <v>0</v>
      </c>
      <c r="AD1855" s="271" t="str">
        <f>INDEX('Global inputs'!$C$134:$C$171,MATCH(F1855,'Global inputs'!$B$134:$B$171,0))</f>
        <v>Asset replacement and renewal</v>
      </c>
      <c r="AE1855" s="272">
        <f>IF(OR(H1855='Operating leases'!$B$32,H1855='Operating leases'!$B$33),"",INDEX('Global inputs'!$C$186:$C$243,MATCH(E1855,'Global inputs'!$B$186:$B$243,0)))</f>
        <v>0.08</v>
      </c>
    </row>
    <row r="1856" spans="1:31" s="27" customFormat="1" x14ac:dyDescent="0.2">
      <c r="A1856" s="250"/>
      <c r="B1856" s="210" t="s">
        <v>742</v>
      </c>
      <c r="C1856" s="210" t="s">
        <v>286</v>
      </c>
      <c r="D1856" s="210" t="s">
        <v>735</v>
      </c>
      <c r="E1856" s="210" t="s">
        <v>147</v>
      </c>
      <c r="F1856" s="210" t="s">
        <v>108</v>
      </c>
      <c r="G1856" s="210" t="s">
        <v>744</v>
      </c>
      <c r="H1856" s="197">
        <v>0</v>
      </c>
      <c r="I1856" s="210" t="s">
        <v>221</v>
      </c>
      <c r="J1856" s="210">
        <v>2026</v>
      </c>
      <c r="K1856" s="210">
        <v>2026</v>
      </c>
      <c r="L1856" s="268" t="str">
        <f t="shared" si="374"/>
        <v>Simple</v>
      </c>
      <c r="M1856" s="197">
        <v>59105.2</v>
      </c>
      <c r="N1856" s="197">
        <v>0</v>
      </c>
      <c r="O1856" s="257">
        <f>IF(ISNA(MATCH(H1856,'Operating leases'!$B$32:$B$43,0)),0,INDEX('Operating leases'!$M$32:$S$43,MATCH(H1856,'Operating leases'!$B$32:$B$43,0),MATCH(J1856,'Operating leases'!$M$11:$S$11,0)))</f>
        <v>0</v>
      </c>
      <c r="P1856" s="257">
        <f t="shared" si="375"/>
        <v>59105.2</v>
      </c>
      <c r="Q1856" s="257">
        <f t="shared" si="376"/>
        <v>59105.2</v>
      </c>
      <c r="R1856" s="258">
        <f>INDEX('Escalators '!$M$124:$S$129,MATCH(I1856,'Escalators '!$B$124:$B$129,0),MATCH(J1856,'Escalators '!$M$113:$S$113,0))</f>
        <v>1.1088998660799403</v>
      </c>
      <c r="S1856" s="257">
        <f t="shared" si="377"/>
        <v>0</v>
      </c>
      <c r="T1856" s="257">
        <f t="shared" si="378"/>
        <v>0</v>
      </c>
      <c r="U1856" s="269">
        <f t="shared" si="379"/>
        <v>65541.748364628089</v>
      </c>
      <c r="V1856" s="269">
        <f t="shared" si="380"/>
        <v>65541.748364628089</v>
      </c>
      <c r="W1856" s="269">
        <f t="shared" si="381"/>
        <v>65541.748364628089</v>
      </c>
      <c r="X1856" s="257">
        <f t="shared" si="382"/>
        <v>65541.748364628089</v>
      </c>
      <c r="Y1856" s="270">
        <f>IF(L1856="Complex",(INDEX('Escalators '!$M$176:$S$176,MATCH('Forecast capex'!J1856,'Escalators '!$M$178:$S$178,0))/12+1)^((K1856-J1856)*12)-1,0)</f>
        <v>0</v>
      </c>
      <c r="Z1856" s="257">
        <f t="shared" si="383"/>
        <v>0</v>
      </c>
      <c r="AA1856" s="257">
        <f t="shared" si="384"/>
        <v>0</v>
      </c>
      <c r="AB1856" s="269">
        <f t="shared" si="385"/>
        <v>0</v>
      </c>
      <c r="AC1856" s="269">
        <f t="shared" si="386"/>
        <v>0</v>
      </c>
      <c r="AD1856" s="271" t="str">
        <f>INDEX('Global inputs'!$C$134:$C$171,MATCH(F1856,'Global inputs'!$B$134:$B$171,0))</f>
        <v>Asset replacement and renewal</v>
      </c>
      <c r="AE1856" s="272">
        <f>IF(OR(H1856='Operating leases'!$B$32,H1856='Operating leases'!$B$33),"",INDEX('Global inputs'!$C$186:$C$243,MATCH(E1856,'Global inputs'!$B$186:$B$243,0)))</f>
        <v>0.08</v>
      </c>
    </row>
    <row r="1857" spans="1:31" s="27" customFormat="1" x14ac:dyDescent="0.2">
      <c r="A1857" s="250"/>
      <c r="B1857" s="210" t="s">
        <v>742</v>
      </c>
      <c r="C1857" s="210" t="s">
        <v>286</v>
      </c>
      <c r="D1857" s="210" t="s">
        <v>735</v>
      </c>
      <c r="E1857" s="210" t="s">
        <v>147</v>
      </c>
      <c r="F1857" s="210" t="s">
        <v>108</v>
      </c>
      <c r="G1857" s="210" t="s">
        <v>744</v>
      </c>
      <c r="H1857" s="197">
        <v>0</v>
      </c>
      <c r="I1857" s="210" t="s">
        <v>229</v>
      </c>
      <c r="J1857" s="210">
        <v>2026</v>
      </c>
      <c r="K1857" s="210">
        <v>2026</v>
      </c>
      <c r="L1857" s="268" t="str">
        <f t="shared" si="374"/>
        <v>Simple</v>
      </c>
      <c r="M1857" s="197">
        <v>14776.3</v>
      </c>
      <c r="N1857" s="197">
        <v>0</v>
      </c>
      <c r="O1857" s="257">
        <f>IF(ISNA(MATCH(H1857,'Operating leases'!$B$32:$B$43,0)),0,INDEX('Operating leases'!$M$32:$S$43,MATCH(H1857,'Operating leases'!$B$32:$B$43,0),MATCH(J1857,'Operating leases'!$M$11:$S$11,0)))</f>
        <v>0</v>
      </c>
      <c r="P1857" s="257">
        <f t="shared" si="375"/>
        <v>14776.3</v>
      </c>
      <c r="Q1857" s="257">
        <f t="shared" si="376"/>
        <v>14776.3</v>
      </c>
      <c r="R1857" s="258">
        <f>INDEX('Escalators '!$M$124:$S$129,MATCH(I1857,'Escalators '!$B$124:$B$129,0),MATCH(J1857,'Escalators '!$M$113:$S$113,0))</f>
        <v>1.1110424701464636</v>
      </c>
      <c r="S1857" s="257">
        <f t="shared" si="377"/>
        <v>0</v>
      </c>
      <c r="T1857" s="257">
        <f t="shared" si="378"/>
        <v>0</v>
      </c>
      <c r="U1857" s="269">
        <f t="shared" si="379"/>
        <v>16417.096851625189</v>
      </c>
      <c r="V1857" s="269">
        <f t="shared" si="380"/>
        <v>16417.096851625189</v>
      </c>
      <c r="W1857" s="269">
        <f t="shared" si="381"/>
        <v>16417.096851625189</v>
      </c>
      <c r="X1857" s="257">
        <f t="shared" si="382"/>
        <v>16417.096851625189</v>
      </c>
      <c r="Y1857" s="270">
        <f>IF(L1857="Complex",(INDEX('Escalators '!$M$176:$S$176,MATCH('Forecast capex'!J1857,'Escalators '!$M$178:$S$178,0))/12+1)^((K1857-J1857)*12)-1,0)</f>
        <v>0</v>
      </c>
      <c r="Z1857" s="257">
        <f t="shared" si="383"/>
        <v>0</v>
      </c>
      <c r="AA1857" s="257">
        <f t="shared" si="384"/>
        <v>0</v>
      </c>
      <c r="AB1857" s="269">
        <f t="shared" si="385"/>
        <v>0</v>
      </c>
      <c r="AC1857" s="269">
        <f t="shared" si="386"/>
        <v>0</v>
      </c>
      <c r="AD1857" s="271" t="str">
        <f>INDEX('Global inputs'!$C$134:$C$171,MATCH(F1857,'Global inputs'!$B$134:$B$171,0))</f>
        <v>Asset replacement and renewal</v>
      </c>
      <c r="AE1857" s="272">
        <f>IF(OR(H1857='Operating leases'!$B$32,H1857='Operating leases'!$B$33),"",INDEX('Global inputs'!$C$186:$C$243,MATCH(E1857,'Global inputs'!$B$186:$B$243,0)))</f>
        <v>0.08</v>
      </c>
    </row>
    <row r="1858" spans="1:31" s="27" customFormat="1" x14ac:dyDescent="0.2">
      <c r="A1858" s="250"/>
      <c r="B1858" s="210" t="s">
        <v>742</v>
      </c>
      <c r="C1858" s="210" t="s">
        <v>288</v>
      </c>
      <c r="D1858" s="210" t="s">
        <v>223</v>
      </c>
      <c r="E1858" s="210" t="s">
        <v>156</v>
      </c>
      <c r="F1858" s="210" t="s">
        <v>108</v>
      </c>
      <c r="G1858" s="210" t="s">
        <v>727</v>
      </c>
      <c r="H1858" s="197">
        <v>0</v>
      </c>
      <c r="I1858" s="210" t="s">
        <v>221</v>
      </c>
      <c r="J1858" s="210">
        <v>2026</v>
      </c>
      <c r="K1858" s="210">
        <v>2026</v>
      </c>
      <c r="L1858" s="268" t="str">
        <f t="shared" si="374"/>
        <v>Simple</v>
      </c>
      <c r="M1858" s="197">
        <v>34912.5</v>
      </c>
      <c r="N1858" s="197">
        <v>0</v>
      </c>
      <c r="O1858" s="257">
        <f>IF(ISNA(MATCH(H1858,'Operating leases'!$B$32:$B$43,0)),0,INDEX('Operating leases'!$M$32:$S$43,MATCH(H1858,'Operating leases'!$B$32:$B$43,0),MATCH(J1858,'Operating leases'!$M$11:$S$11,0)))</f>
        <v>0</v>
      </c>
      <c r="P1858" s="257">
        <f t="shared" si="375"/>
        <v>34912.5</v>
      </c>
      <c r="Q1858" s="257">
        <f t="shared" si="376"/>
        <v>34912.5</v>
      </c>
      <c r="R1858" s="258">
        <f>INDEX('Escalators '!$M$124:$S$129,MATCH(I1858,'Escalators '!$B$124:$B$129,0),MATCH(J1858,'Escalators '!$M$113:$S$113,0))</f>
        <v>1.1088998660799403</v>
      </c>
      <c r="S1858" s="257">
        <f t="shared" si="377"/>
        <v>0</v>
      </c>
      <c r="T1858" s="257">
        <f t="shared" si="378"/>
        <v>0</v>
      </c>
      <c r="U1858" s="269">
        <f t="shared" si="379"/>
        <v>38714.466574515915</v>
      </c>
      <c r="V1858" s="269">
        <f t="shared" si="380"/>
        <v>38714.466574515915</v>
      </c>
      <c r="W1858" s="269">
        <f t="shared" si="381"/>
        <v>38714.466574515915</v>
      </c>
      <c r="X1858" s="257">
        <f t="shared" si="382"/>
        <v>38714.466574515915</v>
      </c>
      <c r="Y1858" s="270">
        <f>IF(L1858="Complex",(INDEX('Escalators '!$M$176:$S$176,MATCH('Forecast capex'!J1858,'Escalators '!$M$178:$S$178,0))/12+1)^((K1858-J1858)*12)-1,0)</f>
        <v>0</v>
      </c>
      <c r="Z1858" s="257">
        <f t="shared" si="383"/>
        <v>0</v>
      </c>
      <c r="AA1858" s="257">
        <f t="shared" si="384"/>
        <v>0</v>
      </c>
      <c r="AB1858" s="269">
        <f t="shared" si="385"/>
        <v>0</v>
      </c>
      <c r="AC1858" s="269">
        <f t="shared" si="386"/>
        <v>0</v>
      </c>
      <c r="AD1858" s="271" t="str">
        <f>INDEX('Global inputs'!$C$134:$C$171,MATCH(F1858,'Global inputs'!$B$134:$B$171,0))</f>
        <v>Asset replacement and renewal</v>
      </c>
      <c r="AE1858" s="272">
        <f>IF(OR(H1858='Operating leases'!$B$32,H1858='Operating leases'!$B$33),"",INDEX('Global inputs'!$C$186:$C$243,MATCH(E1858,'Global inputs'!$B$186:$B$243,0)))</f>
        <v>0.08</v>
      </c>
    </row>
    <row r="1859" spans="1:31" s="27" customFormat="1" x14ac:dyDescent="0.2">
      <c r="A1859" s="250"/>
      <c r="B1859" s="210" t="s">
        <v>742</v>
      </c>
      <c r="C1859" s="210" t="s">
        <v>288</v>
      </c>
      <c r="D1859" s="210" t="s">
        <v>223</v>
      </c>
      <c r="E1859" s="210" t="s">
        <v>156</v>
      </c>
      <c r="F1859" s="210" t="s">
        <v>108</v>
      </c>
      <c r="G1859" s="210" t="s">
        <v>727</v>
      </c>
      <c r="H1859" s="197">
        <v>0</v>
      </c>
      <c r="I1859" s="210" t="s">
        <v>223</v>
      </c>
      <c r="J1859" s="210">
        <v>2026</v>
      </c>
      <c r="K1859" s="210">
        <v>2026</v>
      </c>
      <c r="L1859" s="268" t="str">
        <f t="shared" si="374"/>
        <v>Simple</v>
      </c>
      <c r="M1859" s="197">
        <v>14962.5</v>
      </c>
      <c r="N1859" s="197">
        <v>0</v>
      </c>
      <c r="O1859" s="257">
        <f>IF(ISNA(MATCH(H1859,'Operating leases'!$B$32:$B$43,0)),0,INDEX('Operating leases'!$M$32:$S$43,MATCH(H1859,'Operating leases'!$B$32:$B$43,0),MATCH(J1859,'Operating leases'!$M$11:$S$11,0)))</f>
        <v>0</v>
      </c>
      <c r="P1859" s="257">
        <f t="shared" si="375"/>
        <v>14962.5</v>
      </c>
      <c r="Q1859" s="257">
        <f t="shared" si="376"/>
        <v>14962.5</v>
      </c>
      <c r="R1859" s="258">
        <f>INDEX('Escalators '!$M$124:$S$129,MATCH(I1859,'Escalators '!$B$124:$B$129,0),MATCH(J1859,'Escalators '!$M$113:$S$113,0))</f>
        <v>1.168210490264004</v>
      </c>
      <c r="S1859" s="257">
        <f t="shared" si="377"/>
        <v>0</v>
      </c>
      <c r="T1859" s="257">
        <f t="shared" si="378"/>
        <v>0</v>
      </c>
      <c r="U1859" s="269">
        <f t="shared" si="379"/>
        <v>17479.349460575162</v>
      </c>
      <c r="V1859" s="269">
        <f t="shared" si="380"/>
        <v>17479.349460575162</v>
      </c>
      <c r="W1859" s="269">
        <f t="shared" si="381"/>
        <v>17479.349460575162</v>
      </c>
      <c r="X1859" s="257">
        <f t="shared" si="382"/>
        <v>17479.349460575162</v>
      </c>
      <c r="Y1859" s="270">
        <f>IF(L1859="Complex",(INDEX('Escalators '!$M$176:$S$176,MATCH('Forecast capex'!J1859,'Escalators '!$M$178:$S$178,0))/12+1)^((K1859-J1859)*12)-1,0)</f>
        <v>0</v>
      </c>
      <c r="Z1859" s="257">
        <f t="shared" si="383"/>
        <v>0</v>
      </c>
      <c r="AA1859" s="257">
        <f t="shared" si="384"/>
        <v>0</v>
      </c>
      <c r="AB1859" s="269">
        <f t="shared" si="385"/>
        <v>0</v>
      </c>
      <c r="AC1859" s="269">
        <f t="shared" si="386"/>
        <v>0</v>
      </c>
      <c r="AD1859" s="271" t="str">
        <f>INDEX('Global inputs'!$C$134:$C$171,MATCH(F1859,'Global inputs'!$B$134:$B$171,0))</f>
        <v>Asset replacement and renewal</v>
      </c>
      <c r="AE1859" s="272">
        <f>IF(OR(H1859='Operating leases'!$B$32,H1859='Operating leases'!$B$33),"",INDEX('Global inputs'!$C$186:$C$243,MATCH(E1859,'Global inputs'!$B$186:$B$243,0)))</f>
        <v>0.08</v>
      </c>
    </row>
    <row r="1860" spans="1:31" s="27" customFormat="1" x14ac:dyDescent="0.2">
      <c r="A1860" s="250"/>
      <c r="B1860" s="210" t="s">
        <v>742</v>
      </c>
      <c r="C1860" s="210" t="s">
        <v>289</v>
      </c>
      <c r="D1860" s="210" t="s">
        <v>723</v>
      </c>
      <c r="E1860" s="210" t="s">
        <v>164</v>
      </c>
      <c r="F1860" s="210" t="s">
        <v>108</v>
      </c>
      <c r="G1860" s="210" t="s">
        <v>724</v>
      </c>
      <c r="H1860" s="197">
        <v>0</v>
      </c>
      <c r="I1860" s="210" t="s">
        <v>221</v>
      </c>
      <c r="J1860" s="210">
        <v>2026</v>
      </c>
      <c r="K1860" s="210">
        <v>2026</v>
      </c>
      <c r="L1860" s="268" t="str">
        <f t="shared" si="374"/>
        <v>Simple</v>
      </c>
      <c r="M1860" s="197">
        <v>6064.7999999999993</v>
      </c>
      <c r="N1860" s="197">
        <v>0</v>
      </c>
      <c r="O1860" s="257">
        <f>IF(ISNA(MATCH(H1860,'Operating leases'!$B$32:$B$43,0)),0,INDEX('Operating leases'!$M$32:$S$43,MATCH(H1860,'Operating leases'!$B$32:$B$43,0),MATCH(J1860,'Operating leases'!$M$11:$S$11,0)))</f>
        <v>0</v>
      </c>
      <c r="P1860" s="257">
        <f t="shared" si="375"/>
        <v>6064.7999999999993</v>
      </c>
      <c r="Q1860" s="257">
        <f t="shared" si="376"/>
        <v>6064.7999999999993</v>
      </c>
      <c r="R1860" s="258">
        <f>INDEX('Escalators '!$M$124:$S$129,MATCH(I1860,'Escalators '!$B$124:$B$129,0),MATCH(J1860,'Escalators '!$M$113:$S$113,0))</f>
        <v>1.1088998660799403</v>
      </c>
      <c r="S1860" s="257">
        <f t="shared" si="377"/>
        <v>0</v>
      </c>
      <c r="T1860" s="257">
        <f t="shared" si="378"/>
        <v>0</v>
      </c>
      <c r="U1860" s="269">
        <f t="shared" si="379"/>
        <v>6725.2559078016211</v>
      </c>
      <c r="V1860" s="269">
        <f t="shared" si="380"/>
        <v>6725.2559078016211</v>
      </c>
      <c r="W1860" s="269">
        <f t="shared" si="381"/>
        <v>6725.2559078016211</v>
      </c>
      <c r="X1860" s="257">
        <f t="shared" si="382"/>
        <v>6725.2559078016211</v>
      </c>
      <c r="Y1860" s="270">
        <f>IF(L1860="Complex",(INDEX('Escalators '!$M$176:$S$176,MATCH('Forecast capex'!J1860,'Escalators '!$M$178:$S$178,0))/12+1)^((K1860-J1860)*12)-1,0)</f>
        <v>0</v>
      </c>
      <c r="Z1860" s="257">
        <f t="shared" si="383"/>
        <v>0</v>
      </c>
      <c r="AA1860" s="257">
        <f t="shared" si="384"/>
        <v>0</v>
      </c>
      <c r="AB1860" s="269">
        <f t="shared" si="385"/>
        <v>0</v>
      </c>
      <c r="AC1860" s="269">
        <f t="shared" si="386"/>
        <v>0</v>
      </c>
      <c r="AD1860" s="271" t="str">
        <f>INDEX('Global inputs'!$C$134:$C$171,MATCH(F1860,'Global inputs'!$B$134:$B$171,0))</f>
        <v>Asset replacement and renewal</v>
      </c>
      <c r="AE1860" s="272">
        <f>IF(OR(H1860='Operating leases'!$B$32,H1860='Operating leases'!$B$33),"",INDEX('Global inputs'!$C$186:$C$243,MATCH(E1860,'Global inputs'!$B$186:$B$243,0)))</f>
        <v>0.08</v>
      </c>
    </row>
    <row r="1861" spans="1:31" s="27" customFormat="1" x14ac:dyDescent="0.2">
      <c r="A1861" s="250"/>
      <c r="B1861" s="210" t="s">
        <v>742</v>
      </c>
      <c r="C1861" s="210" t="s">
        <v>289</v>
      </c>
      <c r="D1861" s="210" t="s">
        <v>723</v>
      </c>
      <c r="E1861" s="210" t="s">
        <v>164</v>
      </c>
      <c r="F1861" s="210" t="s">
        <v>108</v>
      </c>
      <c r="G1861" s="210" t="s">
        <v>724</v>
      </c>
      <c r="H1861" s="197">
        <v>0</v>
      </c>
      <c r="I1861" s="210" t="s">
        <v>139</v>
      </c>
      <c r="J1861" s="210">
        <v>2026</v>
      </c>
      <c r="K1861" s="210">
        <v>2026</v>
      </c>
      <c r="L1861" s="268" t="str">
        <f t="shared" si="374"/>
        <v>Simple</v>
      </c>
      <c r="M1861" s="197">
        <v>24259.199999999997</v>
      </c>
      <c r="N1861" s="197">
        <v>0</v>
      </c>
      <c r="O1861" s="257">
        <f>IF(ISNA(MATCH(H1861,'Operating leases'!$B$32:$B$43,0)),0,INDEX('Operating leases'!$M$32:$S$43,MATCH(H1861,'Operating leases'!$B$32:$B$43,0),MATCH(J1861,'Operating leases'!$M$11:$S$11,0)))</f>
        <v>0</v>
      </c>
      <c r="P1861" s="257">
        <f t="shared" si="375"/>
        <v>24259.199999999997</v>
      </c>
      <c r="Q1861" s="257">
        <f t="shared" si="376"/>
        <v>24259.199999999997</v>
      </c>
      <c r="R1861" s="258">
        <f>INDEX('Escalators '!$M$124:$S$129,MATCH(I1861,'Escalators '!$B$124:$B$129,0),MATCH(J1861,'Escalators '!$M$113:$S$113,0))</f>
        <v>1.0777078650827305</v>
      </c>
      <c r="S1861" s="257">
        <f t="shared" si="377"/>
        <v>0</v>
      </c>
      <c r="T1861" s="257">
        <f t="shared" si="378"/>
        <v>0</v>
      </c>
      <c r="U1861" s="269">
        <f t="shared" si="379"/>
        <v>26144.330640614975</v>
      </c>
      <c r="V1861" s="269">
        <f t="shared" si="380"/>
        <v>26144.330640614975</v>
      </c>
      <c r="W1861" s="269">
        <f t="shared" si="381"/>
        <v>26144.330640614975</v>
      </c>
      <c r="X1861" s="257">
        <f t="shared" si="382"/>
        <v>26144.330640614975</v>
      </c>
      <c r="Y1861" s="270">
        <f>IF(L1861="Complex",(INDEX('Escalators '!$M$176:$S$176,MATCH('Forecast capex'!J1861,'Escalators '!$M$178:$S$178,0))/12+1)^((K1861-J1861)*12)-1,0)</f>
        <v>0</v>
      </c>
      <c r="Z1861" s="257">
        <f t="shared" si="383"/>
        <v>0</v>
      </c>
      <c r="AA1861" s="257">
        <f t="shared" si="384"/>
        <v>0</v>
      </c>
      <c r="AB1861" s="269">
        <f t="shared" si="385"/>
        <v>0</v>
      </c>
      <c r="AC1861" s="269">
        <f t="shared" si="386"/>
        <v>0</v>
      </c>
      <c r="AD1861" s="271" t="str">
        <f>INDEX('Global inputs'!$C$134:$C$171,MATCH(F1861,'Global inputs'!$B$134:$B$171,0))</f>
        <v>Asset replacement and renewal</v>
      </c>
      <c r="AE1861" s="272">
        <f>IF(OR(H1861='Operating leases'!$B$32,H1861='Operating leases'!$B$33),"",INDEX('Global inputs'!$C$186:$C$243,MATCH(E1861,'Global inputs'!$B$186:$B$243,0)))</f>
        <v>0.08</v>
      </c>
    </row>
    <row r="1862" spans="1:31" s="27" customFormat="1" x14ac:dyDescent="0.2">
      <c r="A1862" s="250"/>
      <c r="B1862" s="210" t="s">
        <v>742</v>
      </c>
      <c r="C1862" s="210" t="s">
        <v>291</v>
      </c>
      <c r="D1862" s="210" t="s">
        <v>735</v>
      </c>
      <c r="E1862" s="210" t="s">
        <v>175</v>
      </c>
      <c r="F1862" s="210" t="s">
        <v>108</v>
      </c>
      <c r="G1862" s="210" t="s">
        <v>748</v>
      </c>
      <c r="H1862" s="197">
        <v>0</v>
      </c>
      <c r="I1862" s="210" t="s">
        <v>221</v>
      </c>
      <c r="J1862" s="210">
        <v>2026</v>
      </c>
      <c r="K1862" s="210">
        <v>2026</v>
      </c>
      <c r="L1862" s="268" t="str">
        <f t="shared" si="374"/>
        <v>Simple</v>
      </c>
      <c r="M1862" s="197">
        <v>44688</v>
      </c>
      <c r="N1862" s="197">
        <v>0</v>
      </c>
      <c r="O1862" s="257">
        <f>IF(ISNA(MATCH(H1862,'Operating leases'!$B$32:$B$43,0)),0,INDEX('Operating leases'!$M$32:$S$43,MATCH(H1862,'Operating leases'!$B$32:$B$43,0),MATCH(J1862,'Operating leases'!$M$11:$S$11,0)))</f>
        <v>0</v>
      </c>
      <c r="P1862" s="257">
        <f t="shared" si="375"/>
        <v>44688</v>
      </c>
      <c r="Q1862" s="257">
        <f t="shared" si="376"/>
        <v>44688</v>
      </c>
      <c r="R1862" s="258">
        <f>INDEX('Escalators '!$M$124:$S$129,MATCH(I1862,'Escalators '!$B$124:$B$129,0),MATCH(J1862,'Escalators '!$M$113:$S$113,0))</f>
        <v>1.1088998660799403</v>
      </c>
      <c r="S1862" s="257">
        <f t="shared" si="377"/>
        <v>0</v>
      </c>
      <c r="T1862" s="257">
        <f t="shared" si="378"/>
        <v>0</v>
      </c>
      <c r="U1862" s="269">
        <f t="shared" si="379"/>
        <v>49554.517215380372</v>
      </c>
      <c r="V1862" s="269">
        <f t="shared" si="380"/>
        <v>49554.517215380372</v>
      </c>
      <c r="W1862" s="269">
        <f t="shared" si="381"/>
        <v>49554.517215380372</v>
      </c>
      <c r="X1862" s="257">
        <f t="shared" si="382"/>
        <v>49554.517215380372</v>
      </c>
      <c r="Y1862" s="270">
        <f>IF(L1862="Complex",(INDEX('Escalators '!$M$176:$S$176,MATCH('Forecast capex'!J1862,'Escalators '!$M$178:$S$178,0))/12+1)^((K1862-J1862)*12)-1,0)</f>
        <v>0</v>
      </c>
      <c r="Z1862" s="257">
        <f t="shared" si="383"/>
        <v>0</v>
      </c>
      <c r="AA1862" s="257">
        <f t="shared" si="384"/>
        <v>0</v>
      </c>
      <c r="AB1862" s="269">
        <f t="shared" si="385"/>
        <v>0</v>
      </c>
      <c r="AC1862" s="269">
        <f t="shared" si="386"/>
        <v>0</v>
      </c>
      <c r="AD1862" s="271" t="str">
        <f>INDEX('Global inputs'!$C$134:$C$171,MATCH(F1862,'Global inputs'!$B$134:$B$171,0))</f>
        <v>Asset replacement and renewal</v>
      </c>
      <c r="AE1862" s="272">
        <f>IF(OR(H1862='Operating leases'!$B$32,H1862='Operating leases'!$B$33),"",INDEX('Global inputs'!$C$186:$C$243,MATCH(E1862,'Global inputs'!$B$186:$B$243,0)))</f>
        <v>0.1</v>
      </c>
    </row>
    <row r="1863" spans="1:31" s="27" customFormat="1" x14ac:dyDescent="0.2">
      <c r="A1863" s="250"/>
      <c r="B1863" s="210" t="s">
        <v>742</v>
      </c>
      <c r="C1863" s="210" t="s">
        <v>291</v>
      </c>
      <c r="D1863" s="210" t="s">
        <v>735</v>
      </c>
      <c r="E1863" s="210" t="s">
        <v>175</v>
      </c>
      <c r="F1863" s="210" t="s">
        <v>108</v>
      </c>
      <c r="G1863" s="210" t="s">
        <v>748</v>
      </c>
      <c r="H1863" s="197">
        <v>0</v>
      </c>
      <c r="I1863" s="210" t="s">
        <v>229</v>
      </c>
      <c r="J1863" s="210">
        <v>2026</v>
      </c>
      <c r="K1863" s="210">
        <v>2026</v>
      </c>
      <c r="L1863" s="268" t="str">
        <f t="shared" si="374"/>
        <v>Simple</v>
      </c>
      <c r="M1863" s="197">
        <v>11172</v>
      </c>
      <c r="N1863" s="197">
        <v>0</v>
      </c>
      <c r="O1863" s="257">
        <f>IF(ISNA(MATCH(H1863,'Operating leases'!$B$32:$B$43,0)),0,INDEX('Operating leases'!$M$32:$S$43,MATCH(H1863,'Operating leases'!$B$32:$B$43,0),MATCH(J1863,'Operating leases'!$M$11:$S$11,0)))</f>
        <v>0</v>
      </c>
      <c r="P1863" s="257">
        <f t="shared" si="375"/>
        <v>11172</v>
      </c>
      <c r="Q1863" s="257">
        <f t="shared" si="376"/>
        <v>11172</v>
      </c>
      <c r="R1863" s="258">
        <f>INDEX('Escalators '!$M$124:$S$129,MATCH(I1863,'Escalators '!$B$124:$B$129,0),MATCH(J1863,'Escalators '!$M$113:$S$113,0))</f>
        <v>1.1110424701464636</v>
      </c>
      <c r="S1863" s="257">
        <f t="shared" si="377"/>
        <v>0</v>
      </c>
      <c r="T1863" s="257">
        <f t="shared" si="378"/>
        <v>0</v>
      </c>
      <c r="U1863" s="269">
        <f t="shared" si="379"/>
        <v>12412.566476476291</v>
      </c>
      <c r="V1863" s="269">
        <f t="shared" si="380"/>
        <v>12412.566476476291</v>
      </c>
      <c r="W1863" s="269">
        <f t="shared" si="381"/>
        <v>12412.566476476291</v>
      </c>
      <c r="X1863" s="257">
        <f t="shared" si="382"/>
        <v>12412.566476476291</v>
      </c>
      <c r="Y1863" s="270">
        <f>IF(L1863="Complex",(INDEX('Escalators '!$M$176:$S$176,MATCH('Forecast capex'!J1863,'Escalators '!$M$178:$S$178,0))/12+1)^((K1863-J1863)*12)-1,0)</f>
        <v>0</v>
      </c>
      <c r="Z1863" s="257">
        <f t="shared" si="383"/>
        <v>0</v>
      </c>
      <c r="AA1863" s="257">
        <f t="shared" si="384"/>
        <v>0</v>
      </c>
      <c r="AB1863" s="269">
        <f t="shared" si="385"/>
        <v>0</v>
      </c>
      <c r="AC1863" s="269">
        <f t="shared" si="386"/>
        <v>0</v>
      </c>
      <c r="AD1863" s="271" t="str">
        <f>INDEX('Global inputs'!$C$134:$C$171,MATCH(F1863,'Global inputs'!$B$134:$B$171,0))</f>
        <v>Asset replacement and renewal</v>
      </c>
      <c r="AE1863" s="272">
        <f>IF(OR(H1863='Operating leases'!$B$32,H1863='Operating leases'!$B$33),"",INDEX('Global inputs'!$C$186:$C$243,MATCH(E1863,'Global inputs'!$B$186:$B$243,0)))</f>
        <v>0.1</v>
      </c>
    </row>
    <row r="1864" spans="1:31" s="27" customFormat="1" x14ac:dyDescent="0.2">
      <c r="A1864" s="250"/>
      <c r="B1864" s="210" t="s">
        <v>742</v>
      </c>
      <c r="C1864" s="210" t="s">
        <v>286</v>
      </c>
      <c r="D1864" s="210" t="s">
        <v>732</v>
      </c>
      <c r="E1864" s="210" t="s">
        <v>138</v>
      </c>
      <c r="F1864" s="210" t="s">
        <v>108</v>
      </c>
      <c r="G1864" s="210" t="s">
        <v>752</v>
      </c>
      <c r="H1864" s="197">
        <v>0</v>
      </c>
      <c r="I1864" s="210" t="s">
        <v>221</v>
      </c>
      <c r="J1864" s="210">
        <v>2026</v>
      </c>
      <c r="K1864" s="210">
        <v>2026</v>
      </c>
      <c r="L1864" s="268" t="str">
        <f t="shared" si="374"/>
        <v>Simple</v>
      </c>
      <c r="M1864" s="197">
        <v>240916.19999999998</v>
      </c>
      <c r="N1864" s="197">
        <v>0</v>
      </c>
      <c r="O1864" s="257">
        <f>IF(ISNA(MATCH(H1864,'Operating leases'!$B$32:$B$43,0)),0,INDEX('Operating leases'!$M$32:$S$43,MATCH(H1864,'Operating leases'!$B$32:$B$43,0),MATCH(J1864,'Operating leases'!$M$11:$S$11,0)))</f>
        <v>0</v>
      </c>
      <c r="P1864" s="257">
        <f t="shared" si="375"/>
        <v>240916.19999999998</v>
      </c>
      <c r="Q1864" s="257">
        <f t="shared" si="376"/>
        <v>240916.19999999998</v>
      </c>
      <c r="R1864" s="258">
        <f>INDEX('Escalators '!$M$124:$S$129,MATCH(I1864,'Escalators '!$B$124:$B$129,0),MATCH(J1864,'Escalators '!$M$113:$S$113,0))</f>
        <v>1.1088998660799403</v>
      </c>
      <c r="S1864" s="257">
        <f t="shared" si="377"/>
        <v>0</v>
      </c>
      <c r="T1864" s="257">
        <f t="shared" si="378"/>
        <v>0</v>
      </c>
      <c r="U1864" s="269">
        <f t="shared" si="379"/>
        <v>267151.94191648811</v>
      </c>
      <c r="V1864" s="269">
        <f t="shared" si="380"/>
        <v>267151.94191648811</v>
      </c>
      <c r="W1864" s="269">
        <f t="shared" si="381"/>
        <v>267151.94191648811</v>
      </c>
      <c r="X1864" s="257">
        <f t="shared" si="382"/>
        <v>267151.94191648811</v>
      </c>
      <c r="Y1864" s="270">
        <f>IF(L1864="Complex",(INDEX('Escalators '!$M$176:$S$176,MATCH('Forecast capex'!J1864,'Escalators '!$M$178:$S$178,0))/12+1)^((K1864-J1864)*12)-1,0)</f>
        <v>0</v>
      </c>
      <c r="Z1864" s="257">
        <f t="shared" si="383"/>
        <v>0</v>
      </c>
      <c r="AA1864" s="257">
        <f t="shared" si="384"/>
        <v>0</v>
      </c>
      <c r="AB1864" s="269">
        <f t="shared" si="385"/>
        <v>0</v>
      </c>
      <c r="AC1864" s="269">
        <f t="shared" si="386"/>
        <v>0</v>
      </c>
      <c r="AD1864" s="271" t="str">
        <f>INDEX('Global inputs'!$C$134:$C$171,MATCH(F1864,'Global inputs'!$B$134:$B$171,0))</f>
        <v>Asset replacement and renewal</v>
      </c>
      <c r="AE1864" s="272">
        <f>IF(OR(H1864='Operating leases'!$B$32,H1864='Operating leases'!$B$33),"",INDEX('Global inputs'!$C$186:$C$243,MATCH(E1864,'Global inputs'!$B$186:$B$243,0)))</f>
        <v>0.08</v>
      </c>
    </row>
    <row r="1865" spans="1:31" s="27" customFormat="1" x14ac:dyDescent="0.2">
      <c r="A1865" s="250"/>
      <c r="B1865" s="210" t="s">
        <v>742</v>
      </c>
      <c r="C1865" s="210" t="s">
        <v>286</v>
      </c>
      <c r="D1865" s="210" t="s">
        <v>732</v>
      </c>
      <c r="E1865" s="210" t="s">
        <v>138</v>
      </c>
      <c r="F1865" s="210" t="s">
        <v>108</v>
      </c>
      <c r="G1865" s="210" t="s">
        <v>752</v>
      </c>
      <c r="H1865" s="197">
        <v>0</v>
      </c>
      <c r="I1865" s="210" t="s">
        <v>139</v>
      </c>
      <c r="J1865" s="210">
        <v>2026</v>
      </c>
      <c r="K1865" s="210">
        <v>2026</v>
      </c>
      <c r="L1865" s="268" t="str">
        <f t="shared" si="374"/>
        <v>Simple</v>
      </c>
      <c r="M1865" s="197">
        <v>361374.3</v>
      </c>
      <c r="N1865" s="197">
        <v>0</v>
      </c>
      <c r="O1865" s="257">
        <f>IF(ISNA(MATCH(H1865,'Operating leases'!$B$32:$B$43,0)),0,INDEX('Operating leases'!$M$32:$S$43,MATCH(H1865,'Operating leases'!$B$32:$B$43,0),MATCH(J1865,'Operating leases'!$M$11:$S$11,0)))</f>
        <v>0</v>
      </c>
      <c r="P1865" s="257">
        <f t="shared" si="375"/>
        <v>361374.3</v>
      </c>
      <c r="Q1865" s="257">
        <f t="shared" si="376"/>
        <v>361374.3</v>
      </c>
      <c r="R1865" s="258">
        <f>INDEX('Escalators '!$M$124:$S$129,MATCH(I1865,'Escalators '!$B$124:$B$129,0),MATCH(J1865,'Escalators '!$M$113:$S$113,0))</f>
        <v>1.0777078650827305</v>
      </c>
      <c r="S1865" s="257">
        <f t="shared" si="377"/>
        <v>0</v>
      </c>
      <c r="T1865" s="257">
        <f t="shared" si="378"/>
        <v>0</v>
      </c>
      <c r="U1865" s="269">
        <f t="shared" si="379"/>
        <v>389455.92534876615</v>
      </c>
      <c r="V1865" s="269">
        <f t="shared" si="380"/>
        <v>389455.92534876615</v>
      </c>
      <c r="W1865" s="269">
        <f t="shared" si="381"/>
        <v>389455.92534876615</v>
      </c>
      <c r="X1865" s="257">
        <f t="shared" si="382"/>
        <v>389455.92534876615</v>
      </c>
      <c r="Y1865" s="270">
        <f>IF(L1865="Complex",(INDEX('Escalators '!$M$176:$S$176,MATCH('Forecast capex'!J1865,'Escalators '!$M$178:$S$178,0))/12+1)^((K1865-J1865)*12)-1,0)</f>
        <v>0</v>
      </c>
      <c r="Z1865" s="257">
        <f t="shared" si="383"/>
        <v>0</v>
      </c>
      <c r="AA1865" s="257">
        <f t="shared" si="384"/>
        <v>0</v>
      </c>
      <c r="AB1865" s="269">
        <f t="shared" si="385"/>
        <v>0</v>
      </c>
      <c r="AC1865" s="269">
        <f t="shared" si="386"/>
        <v>0</v>
      </c>
      <c r="AD1865" s="271" t="str">
        <f>INDEX('Global inputs'!$C$134:$C$171,MATCH(F1865,'Global inputs'!$B$134:$B$171,0))</f>
        <v>Asset replacement and renewal</v>
      </c>
      <c r="AE1865" s="272">
        <f>IF(OR(H1865='Operating leases'!$B$32,H1865='Operating leases'!$B$33),"",INDEX('Global inputs'!$C$186:$C$243,MATCH(E1865,'Global inputs'!$B$186:$B$243,0)))</f>
        <v>0.08</v>
      </c>
    </row>
    <row r="1866" spans="1:31" s="27" customFormat="1" x14ac:dyDescent="0.2">
      <c r="A1866" s="250"/>
      <c r="B1866" s="210" t="s">
        <v>742</v>
      </c>
      <c r="C1866" s="210" t="s">
        <v>286</v>
      </c>
      <c r="D1866" s="210" t="s">
        <v>732</v>
      </c>
      <c r="E1866" s="210" t="s">
        <v>136</v>
      </c>
      <c r="F1866" s="210" t="s">
        <v>108</v>
      </c>
      <c r="G1866" s="210" t="s">
        <v>751</v>
      </c>
      <c r="H1866" s="197">
        <v>0</v>
      </c>
      <c r="I1866" s="210" t="s">
        <v>221</v>
      </c>
      <c r="J1866" s="210">
        <v>2026</v>
      </c>
      <c r="K1866" s="210">
        <v>2027</v>
      </c>
      <c r="L1866" s="268" t="str">
        <f t="shared" ref="L1866:L1883" si="387">IF(J1866=K1866,"Simple","Complex")</f>
        <v>Complex</v>
      </c>
      <c r="M1866" s="197">
        <v>155895</v>
      </c>
      <c r="N1866" s="197">
        <v>0</v>
      </c>
      <c r="O1866" s="257">
        <f>IF(ISNA(MATCH(H1866,'Operating leases'!$B$32:$B$43,0)),0,INDEX('Operating leases'!$M$32:$S$43,MATCH(H1866,'Operating leases'!$B$32:$B$43,0),MATCH(J1866,'Operating leases'!$M$11:$S$11,0)))</f>
        <v>0</v>
      </c>
      <c r="P1866" s="257">
        <f t="shared" ref="P1866:P1883" si="388">O1866+M1866</f>
        <v>155895</v>
      </c>
      <c r="Q1866" s="257">
        <f t="shared" ref="Q1866:Q1883" si="389">M1866+N1866+O1866</f>
        <v>155895</v>
      </c>
      <c r="R1866" s="258">
        <f>INDEX('Escalators '!$M$124:$S$129,MATCH(I1866,'Escalators '!$B$124:$B$129,0),MATCH(J1866,'Escalators '!$M$113:$S$113,0))</f>
        <v>1.1088998660799403</v>
      </c>
      <c r="S1866" s="257">
        <f t="shared" ref="S1866:S1883" si="390">O1866*R1866</f>
        <v>0</v>
      </c>
      <c r="T1866" s="257">
        <f t="shared" ref="T1866:T1883" si="391">N1866*R1866</f>
        <v>0</v>
      </c>
      <c r="U1866" s="269">
        <f t="shared" ref="U1866:U1883" si="392">W1866-S1866</f>
        <v>172871.94462253229</v>
      </c>
      <c r="V1866" s="269">
        <f t="shared" ref="V1866:V1883" si="393">U1866+T1866</f>
        <v>172871.94462253229</v>
      </c>
      <c r="W1866" s="269">
        <f t="shared" ref="W1866:W1883" si="394">X1866-T1866</f>
        <v>172871.94462253229</v>
      </c>
      <c r="X1866" s="257">
        <f t="shared" ref="X1866:X1883" si="395">Q1866*R1866</f>
        <v>172871.94462253229</v>
      </c>
      <c r="Y1866" s="270">
        <f>IF(L1866="Complex",(INDEX('Escalators '!$M$176:$S$176,MATCH('Forecast capex'!J1866,'Escalators '!$M$178:$S$178,0))/12+1)^((K1866-J1866)*12)-1,0)</f>
        <v>3.5566952945970565E-2</v>
      </c>
      <c r="Z1866" s="257">
        <f t="shared" ref="Z1866:Z1883" si="396">P1866*Y1866</f>
        <v>5544.710129512081</v>
      </c>
      <c r="AA1866" s="257">
        <f t="shared" ref="AA1866:AA1883" si="397">W1866*Y1866</f>
        <v>6148.5283200680351</v>
      </c>
      <c r="AB1866" s="269">
        <f t="shared" ref="AB1866:AB1883" si="398">IF(L1866="Complex",AC1866-T1866,0)</f>
        <v>179020.47294260032</v>
      </c>
      <c r="AC1866" s="269">
        <f t="shared" ref="AC1866:AC1883" si="399">IF(L1866="Complex",V1866+AA1866,0)</f>
        <v>179020.47294260032</v>
      </c>
      <c r="AD1866" s="271" t="str">
        <f>INDEX('Global inputs'!$C$134:$C$171,MATCH(F1866,'Global inputs'!$B$134:$B$171,0))</f>
        <v>Asset replacement and renewal</v>
      </c>
      <c r="AE1866" s="272">
        <f>IF(OR(H1866='Operating leases'!$B$32,H1866='Operating leases'!$B$33),"",INDEX('Global inputs'!$C$186:$C$243,MATCH(E1866,'Global inputs'!$B$186:$B$243,0)))</f>
        <v>0</v>
      </c>
    </row>
    <row r="1867" spans="1:31" s="27" customFormat="1" x14ac:dyDescent="0.2">
      <c r="A1867" s="250"/>
      <c r="B1867" s="210" t="s">
        <v>742</v>
      </c>
      <c r="C1867" s="210" t="s">
        <v>286</v>
      </c>
      <c r="D1867" s="210" t="s">
        <v>732</v>
      </c>
      <c r="E1867" s="210" t="s">
        <v>136</v>
      </c>
      <c r="F1867" s="210" t="s">
        <v>108</v>
      </c>
      <c r="G1867" s="210" t="s">
        <v>751</v>
      </c>
      <c r="H1867" s="197">
        <v>0</v>
      </c>
      <c r="I1867" s="210" t="s">
        <v>229</v>
      </c>
      <c r="J1867" s="210">
        <v>2026</v>
      </c>
      <c r="K1867" s="210">
        <v>2027</v>
      </c>
      <c r="L1867" s="268" t="str">
        <f t="shared" si="387"/>
        <v>Complex</v>
      </c>
      <c r="M1867" s="197">
        <v>155895</v>
      </c>
      <c r="N1867" s="197">
        <v>0</v>
      </c>
      <c r="O1867" s="257">
        <f>IF(ISNA(MATCH(H1867,'Operating leases'!$B$32:$B$43,0)),0,INDEX('Operating leases'!$M$32:$S$43,MATCH(H1867,'Operating leases'!$B$32:$B$43,0),MATCH(J1867,'Operating leases'!$M$11:$S$11,0)))</f>
        <v>0</v>
      </c>
      <c r="P1867" s="257">
        <f t="shared" si="388"/>
        <v>155895</v>
      </c>
      <c r="Q1867" s="257">
        <f t="shared" si="389"/>
        <v>155895</v>
      </c>
      <c r="R1867" s="258">
        <f>INDEX('Escalators '!$M$124:$S$129,MATCH(I1867,'Escalators '!$B$124:$B$129,0),MATCH(J1867,'Escalators '!$M$113:$S$113,0))</f>
        <v>1.1110424701464636</v>
      </c>
      <c r="S1867" s="257">
        <f t="shared" si="390"/>
        <v>0</v>
      </c>
      <c r="T1867" s="257">
        <f t="shared" si="391"/>
        <v>0</v>
      </c>
      <c r="U1867" s="269">
        <f t="shared" si="392"/>
        <v>173205.96588348295</v>
      </c>
      <c r="V1867" s="269">
        <f t="shared" si="393"/>
        <v>173205.96588348295</v>
      </c>
      <c r="W1867" s="269">
        <f t="shared" si="394"/>
        <v>173205.96588348295</v>
      </c>
      <c r="X1867" s="257">
        <f t="shared" si="395"/>
        <v>173205.96588348295</v>
      </c>
      <c r="Y1867" s="270">
        <f>IF(L1867="Complex",(INDEX('Escalators '!$M$176:$S$176,MATCH('Forecast capex'!J1867,'Escalators '!$M$178:$S$178,0))/12+1)^((K1867-J1867)*12)-1,0)</f>
        <v>3.5566952945970565E-2</v>
      </c>
      <c r="Z1867" s="257">
        <f t="shared" si="396"/>
        <v>5544.710129512081</v>
      </c>
      <c r="AA1867" s="257">
        <f t="shared" si="397"/>
        <v>6160.4084385392207</v>
      </c>
      <c r="AB1867" s="269">
        <f t="shared" si="398"/>
        <v>179366.37432202217</v>
      </c>
      <c r="AC1867" s="269">
        <f t="shared" si="399"/>
        <v>179366.37432202217</v>
      </c>
      <c r="AD1867" s="271" t="str">
        <f>INDEX('Global inputs'!$C$134:$C$171,MATCH(F1867,'Global inputs'!$B$134:$B$171,0))</f>
        <v>Asset replacement and renewal</v>
      </c>
      <c r="AE1867" s="272">
        <f>IF(OR(H1867='Operating leases'!$B$32,H1867='Operating leases'!$B$33),"",INDEX('Global inputs'!$C$186:$C$243,MATCH(E1867,'Global inputs'!$B$186:$B$243,0)))</f>
        <v>0</v>
      </c>
    </row>
    <row r="1868" spans="1:31" s="27" customFormat="1" x14ac:dyDescent="0.2">
      <c r="A1868" s="250"/>
      <c r="B1868" s="210" t="s">
        <v>742</v>
      </c>
      <c r="C1868" s="210" t="s">
        <v>286</v>
      </c>
      <c r="D1868" s="210" t="s">
        <v>732</v>
      </c>
      <c r="E1868" s="210" t="s">
        <v>138</v>
      </c>
      <c r="F1868" s="210" t="s">
        <v>108</v>
      </c>
      <c r="G1868" s="210" t="s">
        <v>752</v>
      </c>
      <c r="H1868" s="197">
        <v>0</v>
      </c>
      <c r="I1868" s="210" t="s">
        <v>221</v>
      </c>
      <c r="J1868" s="210">
        <v>2026</v>
      </c>
      <c r="K1868" s="210">
        <v>2027</v>
      </c>
      <c r="L1868" s="268" t="str">
        <f t="shared" si="387"/>
        <v>Complex</v>
      </c>
      <c r="M1868" s="197">
        <v>389811.6</v>
      </c>
      <c r="N1868" s="197">
        <v>0</v>
      </c>
      <c r="O1868" s="257">
        <f>IF(ISNA(MATCH(H1868,'Operating leases'!$B$32:$B$43,0)),0,INDEX('Operating leases'!$M$32:$S$43,MATCH(H1868,'Operating leases'!$B$32:$B$43,0),MATCH(J1868,'Operating leases'!$M$11:$S$11,0)))</f>
        <v>0</v>
      </c>
      <c r="P1868" s="257">
        <f t="shared" si="388"/>
        <v>389811.6</v>
      </c>
      <c r="Q1868" s="257">
        <f t="shared" si="389"/>
        <v>389811.6</v>
      </c>
      <c r="R1868" s="258">
        <f>INDEX('Escalators '!$M$124:$S$129,MATCH(I1868,'Escalators '!$B$124:$B$129,0),MATCH(J1868,'Escalators '!$M$113:$S$113,0))</f>
        <v>1.1088998660799403</v>
      </c>
      <c r="S1868" s="257">
        <f t="shared" si="390"/>
        <v>0</v>
      </c>
      <c r="T1868" s="257">
        <f t="shared" si="391"/>
        <v>0</v>
      </c>
      <c r="U1868" s="269">
        <f t="shared" si="392"/>
        <v>432262.03103640722</v>
      </c>
      <c r="V1868" s="269">
        <f t="shared" si="393"/>
        <v>432262.03103640722</v>
      </c>
      <c r="W1868" s="269">
        <f t="shared" si="394"/>
        <v>432262.03103640722</v>
      </c>
      <c r="X1868" s="257">
        <f t="shared" si="395"/>
        <v>432262.03103640722</v>
      </c>
      <c r="Y1868" s="270">
        <f>IF(L1868="Complex",(INDEX('Escalators '!$M$176:$S$176,MATCH('Forecast capex'!J1868,'Escalators '!$M$178:$S$178,0))/12+1)^((K1868-J1868)*12)-1,0)</f>
        <v>3.5566952945970565E-2</v>
      </c>
      <c r="Z1868" s="257">
        <f t="shared" si="396"/>
        <v>13864.410834993498</v>
      </c>
      <c r="AA1868" s="257">
        <f t="shared" si="397"/>
        <v>15374.243318201563</v>
      </c>
      <c r="AB1868" s="269">
        <f t="shared" si="398"/>
        <v>447636.27435460879</v>
      </c>
      <c r="AC1868" s="269">
        <f t="shared" si="399"/>
        <v>447636.27435460879</v>
      </c>
      <c r="AD1868" s="271" t="str">
        <f>INDEX('Global inputs'!$C$134:$C$171,MATCH(F1868,'Global inputs'!$B$134:$B$171,0))</f>
        <v>Asset replacement and renewal</v>
      </c>
      <c r="AE1868" s="272">
        <f>IF(OR(H1868='Operating leases'!$B$32,H1868='Operating leases'!$B$33),"",INDEX('Global inputs'!$C$186:$C$243,MATCH(E1868,'Global inputs'!$B$186:$B$243,0)))</f>
        <v>0.08</v>
      </c>
    </row>
    <row r="1869" spans="1:31" s="27" customFormat="1" x14ac:dyDescent="0.2">
      <c r="A1869" s="250"/>
      <c r="B1869" s="210" t="s">
        <v>742</v>
      </c>
      <c r="C1869" s="210" t="s">
        <v>286</v>
      </c>
      <c r="D1869" s="210" t="s">
        <v>732</v>
      </c>
      <c r="E1869" s="210" t="s">
        <v>138</v>
      </c>
      <c r="F1869" s="210" t="s">
        <v>108</v>
      </c>
      <c r="G1869" s="210" t="s">
        <v>752</v>
      </c>
      <c r="H1869" s="197">
        <v>0</v>
      </c>
      <c r="I1869" s="210" t="s">
        <v>139</v>
      </c>
      <c r="J1869" s="210">
        <v>2026</v>
      </c>
      <c r="K1869" s="210">
        <v>2027</v>
      </c>
      <c r="L1869" s="268" t="str">
        <f t="shared" si="387"/>
        <v>Complex</v>
      </c>
      <c r="M1869" s="197">
        <v>584717.4</v>
      </c>
      <c r="N1869" s="197">
        <v>0</v>
      </c>
      <c r="O1869" s="257">
        <f>IF(ISNA(MATCH(H1869,'Operating leases'!$B$32:$B$43,0)),0,INDEX('Operating leases'!$M$32:$S$43,MATCH(H1869,'Operating leases'!$B$32:$B$43,0),MATCH(J1869,'Operating leases'!$M$11:$S$11,0)))</f>
        <v>0</v>
      </c>
      <c r="P1869" s="257">
        <f t="shared" si="388"/>
        <v>584717.4</v>
      </c>
      <c r="Q1869" s="257">
        <f t="shared" si="389"/>
        <v>584717.4</v>
      </c>
      <c r="R1869" s="258">
        <f>INDEX('Escalators '!$M$124:$S$129,MATCH(I1869,'Escalators '!$B$124:$B$129,0),MATCH(J1869,'Escalators '!$M$113:$S$113,0))</f>
        <v>1.0777078650827305</v>
      </c>
      <c r="S1869" s="257">
        <f t="shared" si="390"/>
        <v>0</v>
      </c>
      <c r="T1869" s="257">
        <f t="shared" si="391"/>
        <v>0</v>
      </c>
      <c r="U1869" s="269">
        <f t="shared" si="392"/>
        <v>630154.54083072499</v>
      </c>
      <c r="V1869" s="269">
        <f t="shared" si="393"/>
        <v>630154.54083072499</v>
      </c>
      <c r="W1869" s="269">
        <f t="shared" si="394"/>
        <v>630154.54083072499</v>
      </c>
      <c r="X1869" s="257">
        <f t="shared" si="395"/>
        <v>630154.54083072499</v>
      </c>
      <c r="Y1869" s="270">
        <f>IF(L1869="Complex",(INDEX('Escalators '!$M$176:$S$176,MATCH('Forecast capex'!J1869,'Escalators '!$M$178:$S$178,0))/12+1)^((K1869-J1869)*12)-1,0)</f>
        <v>3.5566952945970565E-2</v>
      </c>
      <c r="Z1869" s="257">
        <f t="shared" si="396"/>
        <v>20796.61625249025</v>
      </c>
      <c r="AA1869" s="257">
        <f t="shared" si="397"/>
        <v>22412.676902416082</v>
      </c>
      <c r="AB1869" s="269">
        <f t="shared" si="398"/>
        <v>652567.21773314103</v>
      </c>
      <c r="AC1869" s="269">
        <f t="shared" si="399"/>
        <v>652567.21773314103</v>
      </c>
      <c r="AD1869" s="271" t="str">
        <f>INDEX('Global inputs'!$C$134:$C$171,MATCH(F1869,'Global inputs'!$B$134:$B$171,0))</f>
        <v>Asset replacement and renewal</v>
      </c>
      <c r="AE1869" s="272">
        <f>IF(OR(H1869='Operating leases'!$B$32,H1869='Operating leases'!$B$33),"",INDEX('Global inputs'!$C$186:$C$243,MATCH(E1869,'Global inputs'!$B$186:$B$243,0)))</f>
        <v>0.08</v>
      </c>
    </row>
    <row r="1870" spans="1:31" s="27" customFormat="1" x14ac:dyDescent="0.2">
      <c r="A1870" s="250"/>
      <c r="B1870" s="210" t="s">
        <v>742</v>
      </c>
      <c r="C1870" s="210" t="s">
        <v>286</v>
      </c>
      <c r="D1870" s="210" t="s">
        <v>732</v>
      </c>
      <c r="E1870" s="210" t="s">
        <v>140</v>
      </c>
      <c r="F1870" s="210" t="s">
        <v>108</v>
      </c>
      <c r="G1870" s="210" t="s">
        <v>733</v>
      </c>
      <c r="H1870" s="197">
        <v>0</v>
      </c>
      <c r="I1870" s="210" t="s">
        <v>221</v>
      </c>
      <c r="J1870" s="210">
        <v>2026</v>
      </c>
      <c r="K1870" s="210">
        <v>2027</v>
      </c>
      <c r="L1870" s="268" t="str">
        <f t="shared" si="387"/>
        <v>Complex</v>
      </c>
      <c r="M1870" s="197">
        <v>153216</v>
      </c>
      <c r="N1870" s="197">
        <v>0</v>
      </c>
      <c r="O1870" s="257">
        <f>IF(ISNA(MATCH(H1870,'Operating leases'!$B$32:$B$43,0)),0,INDEX('Operating leases'!$M$32:$S$43,MATCH(H1870,'Operating leases'!$B$32:$B$43,0),MATCH(J1870,'Operating leases'!$M$11:$S$11,0)))</f>
        <v>0</v>
      </c>
      <c r="P1870" s="257">
        <f t="shared" si="388"/>
        <v>153216</v>
      </c>
      <c r="Q1870" s="257">
        <f t="shared" si="389"/>
        <v>153216</v>
      </c>
      <c r="R1870" s="258">
        <f>INDEX('Escalators '!$M$124:$S$129,MATCH(I1870,'Escalators '!$B$124:$B$129,0),MATCH(J1870,'Escalators '!$M$113:$S$113,0))</f>
        <v>1.1088998660799403</v>
      </c>
      <c r="S1870" s="257">
        <f t="shared" si="390"/>
        <v>0</v>
      </c>
      <c r="T1870" s="257">
        <f t="shared" si="391"/>
        <v>0</v>
      </c>
      <c r="U1870" s="269">
        <f t="shared" si="392"/>
        <v>169901.20188130412</v>
      </c>
      <c r="V1870" s="269">
        <f t="shared" si="393"/>
        <v>169901.20188130412</v>
      </c>
      <c r="W1870" s="269">
        <f t="shared" si="394"/>
        <v>169901.20188130412</v>
      </c>
      <c r="X1870" s="257">
        <f t="shared" si="395"/>
        <v>169901.20188130412</v>
      </c>
      <c r="Y1870" s="270">
        <f>IF(L1870="Complex",(INDEX('Escalators '!$M$176:$S$176,MATCH('Forecast capex'!J1870,'Escalators '!$M$178:$S$178,0))/12+1)^((K1870-J1870)*12)-1,0)</f>
        <v>3.5566952945970565E-2</v>
      </c>
      <c r="Z1870" s="257">
        <f t="shared" si="396"/>
        <v>5449.4262625698257</v>
      </c>
      <c r="AA1870" s="257">
        <f t="shared" si="397"/>
        <v>6042.868052776189</v>
      </c>
      <c r="AB1870" s="269">
        <f t="shared" si="398"/>
        <v>175944.0699340803</v>
      </c>
      <c r="AC1870" s="269">
        <f t="shared" si="399"/>
        <v>175944.0699340803</v>
      </c>
      <c r="AD1870" s="271" t="str">
        <f>INDEX('Global inputs'!$C$134:$C$171,MATCH(F1870,'Global inputs'!$B$134:$B$171,0))</f>
        <v>Asset replacement and renewal</v>
      </c>
      <c r="AE1870" s="272">
        <f>IF(OR(H1870='Operating leases'!$B$32,H1870='Operating leases'!$B$33),"",INDEX('Global inputs'!$C$186:$C$243,MATCH(E1870,'Global inputs'!$B$186:$B$243,0)))</f>
        <v>0.08</v>
      </c>
    </row>
    <row r="1871" spans="1:31" s="27" customFormat="1" x14ac:dyDescent="0.2">
      <c r="A1871" s="250"/>
      <c r="B1871" s="210" t="s">
        <v>742</v>
      </c>
      <c r="C1871" s="210" t="s">
        <v>286</v>
      </c>
      <c r="D1871" s="210" t="s">
        <v>732</v>
      </c>
      <c r="E1871" s="210" t="s">
        <v>140</v>
      </c>
      <c r="F1871" s="210" t="s">
        <v>108</v>
      </c>
      <c r="G1871" s="210" t="s">
        <v>733</v>
      </c>
      <c r="H1871" s="197">
        <v>0</v>
      </c>
      <c r="I1871" s="210" t="s">
        <v>142</v>
      </c>
      <c r="J1871" s="210">
        <v>2026</v>
      </c>
      <c r="K1871" s="210">
        <v>2027</v>
      </c>
      <c r="L1871" s="268" t="str">
        <f t="shared" si="387"/>
        <v>Complex</v>
      </c>
      <c r="M1871" s="197">
        <v>229824</v>
      </c>
      <c r="N1871" s="197">
        <v>0</v>
      </c>
      <c r="O1871" s="257">
        <f>IF(ISNA(MATCH(H1871,'Operating leases'!$B$32:$B$43,0)),0,INDEX('Operating leases'!$M$32:$S$43,MATCH(H1871,'Operating leases'!$B$32:$B$43,0),MATCH(J1871,'Operating leases'!$M$11:$S$11,0)))</f>
        <v>0</v>
      </c>
      <c r="P1871" s="257">
        <f t="shared" si="388"/>
        <v>229824</v>
      </c>
      <c r="Q1871" s="257">
        <f t="shared" si="389"/>
        <v>229824</v>
      </c>
      <c r="R1871" s="258">
        <f>INDEX('Escalators '!$M$124:$S$129,MATCH(I1871,'Escalators '!$B$124:$B$129,0),MATCH(J1871,'Escalators '!$M$113:$S$113,0))</f>
        <v>1.1158480359294924</v>
      </c>
      <c r="S1871" s="257">
        <f t="shared" si="390"/>
        <v>0</v>
      </c>
      <c r="T1871" s="257">
        <f t="shared" si="391"/>
        <v>0</v>
      </c>
      <c r="U1871" s="269">
        <f t="shared" si="392"/>
        <v>256448.65900945966</v>
      </c>
      <c r="V1871" s="269">
        <f t="shared" si="393"/>
        <v>256448.65900945966</v>
      </c>
      <c r="W1871" s="269">
        <f t="shared" si="394"/>
        <v>256448.65900945966</v>
      </c>
      <c r="X1871" s="257">
        <f t="shared" si="395"/>
        <v>256448.65900945966</v>
      </c>
      <c r="Y1871" s="270">
        <f>IF(L1871="Complex",(INDEX('Escalators '!$M$176:$S$176,MATCH('Forecast capex'!J1871,'Escalators '!$M$178:$S$178,0))/12+1)^((K1871-J1871)*12)-1,0)</f>
        <v>3.5566952945970565E-2</v>
      </c>
      <c r="Z1871" s="257">
        <f t="shared" si="396"/>
        <v>8174.139393854739</v>
      </c>
      <c r="AA1871" s="257">
        <f t="shared" si="397"/>
        <v>9121.0973880467027</v>
      </c>
      <c r="AB1871" s="269">
        <f t="shared" si="398"/>
        <v>265569.75639750634</v>
      </c>
      <c r="AC1871" s="269">
        <f t="shared" si="399"/>
        <v>265569.75639750634</v>
      </c>
      <c r="AD1871" s="271" t="str">
        <f>INDEX('Global inputs'!$C$134:$C$171,MATCH(F1871,'Global inputs'!$B$134:$B$171,0))</f>
        <v>Asset replacement and renewal</v>
      </c>
      <c r="AE1871" s="272">
        <f>IF(OR(H1871='Operating leases'!$B$32,H1871='Operating leases'!$B$33),"",INDEX('Global inputs'!$C$186:$C$243,MATCH(E1871,'Global inputs'!$B$186:$B$243,0)))</f>
        <v>0.08</v>
      </c>
    </row>
    <row r="1872" spans="1:31" s="27" customFormat="1" x14ac:dyDescent="0.2">
      <c r="A1872" s="250"/>
      <c r="B1872" s="210" t="s">
        <v>742</v>
      </c>
      <c r="C1872" s="210" t="s">
        <v>286</v>
      </c>
      <c r="D1872" s="210" t="s">
        <v>735</v>
      </c>
      <c r="E1872" s="210" t="s">
        <v>144</v>
      </c>
      <c r="F1872" s="210" t="s">
        <v>108</v>
      </c>
      <c r="G1872" s="210" t="s">
        <v>736</v>
      </c>
      <c r="H1872" s="197">
        <v>0</v>
      </c>
      <c r="I1872" s="210" t="s">
        <v>221</v>
      </c>
      <c r="J1872" s="210">
        <v>2026</v>
      </c>
      <c r="K1872" s="210">
        <v>2027</v>
      </c>
      <c r="L1872" s="268" t="str">
        <f t="shared" si="387"/>
        <v>Complex</v>
      </c>
      <c r="M1872" s="197">
        <v>144916.79999999999</v>
      </c>
      <c r="N1872" s="197">
        <v>0</v>
      </c>
      <c r="O1872" s="257">
        <f>IF(ISNA(MATCH(H1872,'Operating leases'!$B$32:$B$43,0)),0,INDEX('Operating leases'!$M$32:$S$43,MATCH(H1872,'Operating leases'!$B$32:$B$43,0),MATCH(J1872,'Operating leases'!$M$11:$S$11,0)))</f>
        <v>0</v>
      </c>
      <c r="P1872" s="257">
        <f t="shared" si="388"/>
        <v>144916.79999999999</v>
      </c>
      <c r="Q1872" s="257">
        <f t="shared" si="389"/>
        <v>144916.79999999999</v>
      </c>
      <c r="R1872" s="258">
        <f>INDEX('Escalators '!$M$124:$S$129,MATCH(I1872,'Escalators '!$B$124:$B$129,0),MATCH(J1872,'Escalators '!$M$113:$S$113,0))</f>
        <v>1.1088998660799403</v>
      </c>
      <c r="S1872" s="257">
        <f t="shared" si="390"/>
        <v>0</v>
      </c>
      <c r="T1872" s="257">
        <f t="shared" si="391"/>
        <v>0</v>
      </c>
      <c r="U1872" s="269">
        <f t="shared" si="392"/>
        <v>160698.22011273348</v>
      </c>
      <c r="V1872" s="269">
        <f t="shared" si="393"/>
        <v>160698.22011273348</v>
      </c>
      <c r="W1872" s="269">
        <f t="shared" si="394"/>
        <v>160698.22011273348</v>
      </c>
      <c r="X1872" s="257">
        <f t="shared" si="395"/>
        <v>160698.22011273348</v>
      </c>
      <c r="Y1872" s="270">
        <f>IF(L1872="Complex",(INDEX('Escalators '!$M$176:$S$176,MATCH('Forecast capex'!J1872,'Escalators '!$M$178:$S$178,0))/12+1)^((K1872-J1872)*12)-1,0)</f>
        <v>3.5566952945970565E-2</v>
      </c>
      <c r="Z1872" s="257">
        <f t="shared" si="396"/>
        <v>5154.2490066806267</v>
      </c>
      <c r="AA1872" s="257">
        <f t="shared" si="397"/>
        <v>5715.5460332508128</v>
      </c>
      <c r="AB1872" s="269">
        <f t="shared" si="398"/>
        <v>166413.76614598429</v>
      </c>
      <c r="AC1872" s="269">
        <f t="shared" si="399"/>
        <v>166413.76614598429</v>
      </c>
      <c r="AD1872" s="271" t="str">
        <f>INDEX('Global inputs'!$C$134:$C$171,MATCH(F1872,'Global inputs'!$B$134:$B$171,0))</f>
        <v>Asset replacement and renewal</v>
      </c>
      <c r="AE1872" s="272">
        <f>IF(OR(H1872='Operating leases'!$B$32,H1872='Operating leases'!$B$33),"",INDEX('Global inputs'!$C$186:$C$243,MATCH(E1872,'Global inputs'!$B$186:$B$243,0)))</f>
        <v>0.08</v>
      </c>
    </row>
    <row r="1873" spans="2:32" x14ac:dyDescent="0.2">
      <c r="B1873" s="210" t="s">
        <v>742</v>
      </c>
      <c r="C1873" s="210" t="s">
        <v>286</v>
      </c>
      <c r="D1873" s="210" t="s">
        <v>735</v>
      </c>
      <c r="E1873" s="210" t="s">
        <v>144</v>
      </c>
      <c r="F1873" s="210" t="s">
        <v>108</v>
      </c>
      <c r="G1873" s="210" t="s">
        <v>736</v>
      </c>
      <c r="H1873" s="197">
        <v>0</v>
      </c>
      <c r="I1873" s="210" t="s">
        <v>229</v>
      </c>
      <c r="J1873" s="210">
        <v>2026</v>
      </c>
      <c r="K1873" s="210">
        <v>2027</v>
      </c>
      <c r="L1873" s="268" t="str">
        <f t="shared" si="387"/>
        <v>Complex</v>
      </c>
      <c r="M1873" s="197">
        <v>36229.199999999997</v>
      </c>
      <c r="N1873" s="197">
        <v>0</v>
      </c>
      <c r="O1873" s="257">
        <f>IF(ISNA(MATCH(H1873,'Operating leases'!$B$32:$B$43,0)),0,INDEX('Operating leases'!$M$32:$S$43,MATCH(H1873,'Operating leases'!$B$32:$B$43,0),MATCH(J1873,'Operating leases'!$M$11:$S$11,0)))</f>
        <v>0</v>
      </c>
      <c r="P1873" s="257">
        <f t="shared" si="388"/>
        <v>36229.199999999997</v>
      </c>
      <c r="Q1873" s="257">
        <f t="shared" si="389"/>
        <v>36229.199999999997</v>
      </c>
      <c r="R1873" s="258">
        <f>INDEX('Escalators '!$M$124:$S$129,MATCH(I1873,'Escalators '!$B$124:$B$129,0),MATCH(J1873,'Escalators '!$M$113:$S$113,0))</f>
        <v>1.1110424701464636</v>
      </c>
      <c r="S1873" s="257">
        <f t="shared" si="390"/>
        <v>0</v>
      </c>
      <c r="T1873" s="257">
        <f t="shared" si="391"/>
        <v>0</v>
      </c>
      <c r="U1873" s="269">
        <f t="shared" si="392"/>
        <v>40252.17985943026</v>
      </c>
      <c r="V1873" s="269">
        <f t="shared" si="393"/>
        <v>40252.17985943026</v>
      </c>
      <c r="W1873" s="269">
        <f t="shared" si="394"/>
        <v>40252.17985943026</v>
      </c>
      <c r="X1873" s="257">
        <f t="shared" si="395"/>
        <v>40252.17985943026</v>
      </c>
      <c r="Y1873" s="270">
        <f>IF(L1873="Complex",(INDEX('Escalators '!$M$176:$S$176,MATCH('Forecast capex'!J1873,'Escalators '!$M$178:$S$178,0))/12+1)^((K1873-J1873)*12)-1,0)</f>
        <v>3.5566952945970565E-2</v>
      </c>
      <c r="Z1873" s="257">
        <f t="shared" si="396"/>
        <v>1288.5622516701567</v>
      </c>
      <c r="AA1873" s="257">
        <f t="shared" si="397"/>
        <v>1431.6473870331001</v>
      </c>
      <c r="AB1873" s="269">
        <f t="shared" si="398"/>
        <v>41683.827246463363</v>
      </c>
      <c r="AC1873" s="269">
        <f t="shared" si="399"/>
        <v>41683.827246463363</v>
      </c>
      <c r="AD1873" s="271" t="str">
        <f>INDEX('Global inputs'!$C$134:$C$171,MATCH(F1873,'Global inputs'!$B$134:$B$171,0))</f>
        <v>Asset replacement and renewal</v>
      </c>
      <c r="AE1873" s="272">
        <f>IF(OR(H1873='Operating leases'!$B$32,H1873='Operating leases'!$B$33),"",INDEX('Global inputs'!$C$186:$C$243,MATCH(E1873,'Global inputs'!$B$186:$B$243,0)))</f>
        <v>0.08</v>
      </c>
      <c r="AF1873" s="27"/>
    </row>
    <row r="1874" spans="2:32" x14ac:dyDescent="0.2">
      <c r="B1874" s="210" t="s">
        <v>742</v>
      </c>
      <c r="C1874" s="210" t="s">
        <v>286</v>
      </c>
      <c r="D1874" s="210" t="s">
        <v>735</v>
      </c>
      <c r="E1874" s="210" t="s">
        <v>147</v>
      </c>
      <c r="F1874" s="210" t="s">
        <v>108</v>
      </c>
      <c r="G1874" s="210" t="s">
        <v>744</v>
      </c>
      <c r="H1874" s="197">
        <v>0</v>
      </c>
      <c r="I1874" s="210" t="s">
        <v>221</v>
      </c>
      <c r="J1874" s="210">
        <v>2026</v>
      </c>
      <c r="K1874" s="210">
        <v>2027</v>
      </c>
      <c r="L1874" s="268" t="str">
        <f t="shared" si="387"/>
        <v>Complex</v>
      </c>
      <c r="M1874" s="197">
        <v>50661.599999999999</v>
      </c>
      <c r="N1874" s="197">
        <v>0</v>
      </c>
      <c r="O1874" s="257">
        <f>IF(ISNA(MATCH(H1874,'Operating leases'!$B$32:$B$43,0)),0,INDEX('Operating leases'!$M$32:$S$43,MATCH(H1874,'Operating leases'!$B$32:$B$43,0),MATCH(J1874,'Operating leases'!$M$11:$S$11,0)))</f>
        <v>0</v>
      </c>
      <c r="P1874" s="257">
        <f t="shared" si="388"/>
        <v>50661.599999999999</v>
      </c>
      <c r="Q1874" s="257">
        <f t="shared" si="389"/>
        <v>50661.599999999999</v>
      </c>
      <c r="R1874" s="258">
        <f>INDEX('Escalators '!$M$124:$S$129,MATCH(I1874,'Escalators '!$B$124:$B$129,0),MATCH(J1874,'Escalators '!$M$113:$S$113,0))</f>
        <v>1.1088998660799403</v>
      </c>
      <c r="S1874" s="257">
        <f t="shared" si="390"/>
        <v>0</v>
      </c>
      <c r="T1874" s="257">
        <f t="shared" si="391"/>
        <v>0</v>
      </c>
      <c r="U1874" s="269">
        <f t="shared" si="392"/>
        <v>56178.641455395504</v>
      </c>
      <c r="V1874" s="269">
        <f t="shared" si="393"/>
        <v>56178.641455395504</v>
      </c>
      <c r="W1874" s="269">
        <f t="shared" si="394"/>
        <v>56178.641455395504</v>
      </c>
      <c r="X1874" s="257">
        <f t="shared" si="395"/>
        <v>56178.641455395504</v>
      </c>
      <c r="Y1874" s="270">
        <f>IF(L1874="Complex",(INDEX('Escalators '!$M$176:$S$176,MATCH('Forecast capex'!J1874,'Escalators '!$M$178:$S$178,0))/12+1)^((K1874-J1874)*12)-1,0)</f>
        <v>3.5566952945970565E-2</v>
      </c>
      <c r="Z1874" s="257">
        <f t="shared" si="396"/>
        <v>1801.8787433675823</v>
      </c>
      <c r="AA1874" s="257">
        <f t="shared" si="397"/>
        <v>1998.1030972126032</v>
      </c>
      <c r="AB1874" s="269">
        <f t="shared" si="398"/>
        <v>58176.744552608106</v>
      </c>
      <c r="AC1874" s="269">
        <f t="shared" si="399"/>
        <v>58176.744552608106</v>
      </c>
      <c r="AD1874" s="271" t="str">
        <f>INDEX('Global inputs'!$C$134:$C$171,MATCH(F1874,'Global inputs'!$B$134:$B$171,0))</f>
        <v>Asset replacement and renewal</v>
      </c>
      <c r="AE1874" s="272">
        <f>IF(OR(H1874='Operating leases'!$B$32,H1874='Operating leases'!$B$33),"",INDEX('Global inputs'!$C$186:$C$243,MATCH(E1874,'Global inputs'!$B$186:$B$243,0)))</f>
        <v>0.08</v>
      </c>
      <c r="AF1874" s="27"/>
    </row>
    <row r="1875" spans="2:32" x14ac:dyDescent="0.2">
      <c r="B1875" s="210" t="s">
        <v>742</v>
      </c>
      <c r="C1875" s="210" t="s">
        <v>286</v>
      </c>
      <c r="D1875" s="210" t="s">
        <v>735</v>
      </c>
      <c r="E1875" s="210" t="s">
        <v>147</v>
      </c>
      <c r="F1875" s="210" t="s">
        <v>108</v>
      </c>
      <c r="G1875" s="210" t="s">
        <v>744</v>
      </c>
      <c r="H1875" s="197">
        <v>0</v>
      </c>
      <c r="I1875" s="210" t="s">
        <v>229</v>
      </c>
      <c r="J1875" s="210">
        <v>2026</v>
      </c>
      <c r="K1875" s="210">
        <v>2027</v>
      </c>
      <c r="L1875" s="268" t="str">
        <f t="shared" si="387"/>
        <v>Complex</v>
      </c>
      <c r="M1875" s="197">
        <v>12665.4</v>
      </c>
      <c r="N1875" s="197">
        <v>0</v>
      </c>
      <c r="O1875" s="257">
        <f>IF(ISNA(MATCH(H1875,'Operating leases'!$B$32:$B$43,0)),0,INDEX('Operating leases'!$M$32:$S$43,MATCH(H1875,'Operating leases'!$B$32:$B$43,0),MATCH(J1875,'Operating leases'!$M$11:$S$11,0)))</f>
        <v>0</v>
      </c>
      <c r="P1875" s="257">
        <f t="shared" si="388"/>
        <v>12665.4</v>
      </c>
      <c r="Q1875" s="257">
        <f t="shared" si="389"/>
        <v>12665.4</v>
      </c>
      <c r="R1875" s="258">
        <f>INDEX('Escalators '!$M$124:$S$129,MATCH(I1875,'Escalators '!$B$124:$B$129,0),MATCH(J1875,'Escalators '!$M$113:$S$113,0))</f>
        <v>1.1110424701464636</v>
      </c>
      <c r="S1875" s="257">
        <f t="shared" si="390"/>
        <v>0</v>
      </c>
      <c r="T1875" s="257">
        <f t="shared" si="391"/>
        <v>0</v>
      </c>
      <c r="U1875" s="269">
        <f t="shared" si="392"/>
        <v>14071.79730139302</v>
      </c>
      <c r="V1875" s="269">
        <f t="shared" si="393"/>
        <v>14071.79730139302</v>
      </c>
      <c r="W1875" s="269">
        <f t="shared" si="394"/>
        <v>14071.79730139302</v>
      </c>
      <c r="X1875" s="257">
        <f t="shared" si="395"/>
        <v>14071.79730139302</v>
      </c>
      <c r="Y1875" s="270">
        <f>IF(L1875="Complex",(INDEX('Escalators '!$M$176:$S$176,MATCH('Forecast capex'!J1875,'Escalators '!$M$178:$S$178,0))/12+1)^((K1875-J1875)*12)-1,0)</f>
        <v>3.5566952945970565E-2</v>
      </c>
      <c r="Z1875" s="257">
        <f t="shared" si="396"/>
        <v>450.46968584189557</v>
      </c>
      <c r="AA1875" s="257">
        <f t="shared" si="397"/>
        <v>500.49095248388113</v>
      </c>
      <c r="AB1875" s="269">
        <f t="shared" si="398"/>
        <v>14572.288253876901</v>
      </c>
      <c r="AC1875" s="269">
        <f t="shared" si="399"/>
        <v>14572.288253876901</v>
      </c>
      <c r="AD1875" s="271" t="str">
        <f>INDEX('Global inputs'!$C$134:$C$171,MATCH(F1875,'Global inputs'!$B$134:$B$171,0))</f>
        <v>Asset replacement and renewal</v>
      </c>
      <c r="AE1875" s="272">
        <f>IF(OR(H1875='Operating leases'!$B$32,H1875='Operating leases'!$B$33),"",INDEX('Global inputs'!$C$186:$C$243,MATCH(E1875,'Global inputs'!$B$186:$B$243,0)))</f>
        <v>0.08</v>
      </c>
      <c r="AF1875" s="27"/>
    </row>
    <row r="1876" spans="2:32" x14ac:dyDescent="0.2">
      <c r="B1876" s="210" t="s">
        <v>742</v>
      </c>
      <c r="C1876" s="210" t="s">
        <v>286</v>
      </c>
      <c r="D1876" s="210" t="s">
        <v>732</v>
      </c>
      <c r="E1876" s="210" t="s">
        <v>148</v>
      </c>
      <c r="F1876" s="210" t="s">
        <v>108</v>
      </c>
      <c r="G1876" s="210" t="s">
        <v>753</v>
      </c>
      <c r="H1876" s="197">
        <v>0</v>
      </c>
      <c r="I1876" s="210" t="s">
        <v>221</v>
      </c>
      <c r="J1876" s="210">
        <v>2026</v>
      </c>
      <c r="K1876" s="210">
        <v>2027</v>
      </c>
      <c r="L1876" s="268" t="str">
        <f t="shared" si="387"/>
        <v>Complex</v>
      </c>
      <c r="M1876" s="197">
        <v>7125</v>
      </c>
      <c r="N1876" s="197">
        <v>0</v>
      </c>
      <c r="O1876" s="257">
        <f>IF(ISNA(MATCH(H1876,'Operating leases'!$B$32:$B$43,0)),0,INDEX('Operating leases'!$M$32:$S$43,MATCH(H1876,'Operating leases'!$B$32:$B$43,0),MATCH(J1876,'Operating leases'!$M$11:$S$11,0)))</f>
        <v>0</v>
      </c>
      <c r="P1876" s="257">
        <f t="shared" si="388"/>
        <v>7125</v>
      </c>
      <c r="Q1876" s="257">
        <f t="shared" si="389"/>
        <v>7125</v>
      </c>
      <c r="R1876" s="258">
        <f>INDEX('Escalators '!$M$124:$S$129,MATCH(I1876,'Escalators '!$B$124:$B$129,0),MATCH(J1876,'Escalators '!$M$113:$S$113,0))</f>
        <v>1.1088998660799403</v>
      </c>
      <c r="S1876" s="257">
        <f t="shared" si="390"/>
        <v>0</v>
      </c>
      <c r="T1876" s="257">
        <f t="shared" si="391"/>
        <v>0</v>
      </c>
      <c r="U1876" s="269">
        <f t="shared" si="392"/>
        <v>7900.9115458195747</v>
      </c>
      <c r="V1876" s="269">
        <f t="shared" si="393"/>
        <v>7900.9115458195747</v>
      </c>
      <c r="W1876" s="269">
        <f t="shared" si="394"/>
        <v>7900.9115458195747</v>
      </c>
      <c r="X1876" s="257">
        <f t="shared" si="395"/>
        <v>7900.9115458195747</v>
      </c>
      <c r="Y1876" s="270">
        <f>IF(L1876="Complex",(INDEX('Escalators '!$M$176:$S$176,MATCH('Forecast capex'!J1876,'Escalators '!$M$178:$S$178,0))/12+1)^((K1876-J1876)*12)-1,0)</f>
        <v>3.5566952945970565E-2</v>
      </c>
      <c r="Z1876" s="257">
        <f t="shared" si="396"/>
        <v>253.41453974004028</v>
      </c>
      <c r="AA1876" s="257">
        <f t="shared" si="397"/>
        <v>281.01134918044039</v>
      </c>
      <c r="AB1876" s="269">
        <f t="shared" si="398"/>
        <v>8181.9228950000152</v>
      </c>
      <c r="AC1876" s="269">
        <f t="shared" si="399"/>
        <v>8181.9228950000152</v>
      </c>
      <c r="AD1876" s="271" t="str">
        <f>INDEX('Global inputs'!$C$134:$C$171,MATCH(F1876,'Global inputs'!$B$134:$B$171,0))</f>
        <v>Asset replacement and renewal</v>
      </c>
      <c r="AE1876" s="272">
        <f>IF(OR(H1876='Operating leases'!$B$32,H1876='Operating leases'!$B$33),"",INDEX('Global inputs'!$C$186:$C$243,MATCH(E1876,'Global inputs'!$B$186:$B$243,0)))</f>
        <v>0.08</v>
      </c>
      <c r="AF1876" s="27"/>
    </row>
    <row r="1877" spans="2:32" x14ac:dyDescent="0.2">
      <c r="B1877" s="210" t="s">
        <v>742</v>
      </c>
      <c r="C1877" s="210" t="s">
        <v>286</v>
      </c>
      <c r="D1877" s="210" t="s">
        <v>732</v>
      </c>
      <c r="E1877" s="210" t="s">
        <v>148</v>
      </c>
      <c r="F1877" s="210" t="s">
        <v>108</v>
      </c>
      <c r="G1877" s="210" t="s">
        <v>753</v>
      </c>
      <c r="H1877" s="197">
        <v>0</v>
      </c>
      <c r="I1877" s="210" t="s">
        <v>229</v>
      </c>
      <c r="J1877" s="210">
        <v>2026</v>
      </c>
      <c r="K1877" s="210">
        <v>2027</v>
      </c>
      <c r="L1877" s="268" t="str">
        <f t="shared" si="387"/>
        <v>Complex</v>
      </c>
      <c r="M1877" s="197">
        <v>7125</v>
      </c>
      <c r="N1877" s="197">
        <v>0</v>
      </c>
      <c r="O1877" s="257">
        <f>IF(ISNA(MATCH(H1877,'Operating leases'!$B$32:$B$43,0)),0,INDEX('Operating leases'!$M$32:$S$43,MATCH(H1877,'Operating leases'!$B$32:$B$43,0),MATCH(J1877,'Operating leases'!$M$11:$S$11,0)))</f>
        <v>0</v>
      </c>
      <c r="P1877" s="257">
        <f t="shared" si="388"/>
        <v>7125</v>
      </c>
      <c r="Q1877" s="257">
        <f t="shared" si="389"/>
        <v>7125</v>
      </c>
      <c r="R1877" s="258">
        <f>INDEX('Escalators '!$M$124:$S$129,MATCH(I1877,'Escalators '!$B$124:$B$129,0),MATCH(J1877,'Escalators '!$M$113:$S$113,0))</f>
        <v>1.1110424701464636</v>
      </c>
      <c r="S1877" s="257">
        <f t="shared" si="390"/>
        <v>0</v>
      </c>
      <c r="T1877" s="257">
        <f t="shared" si="391"/>
        <v>0</v>
      </c>
      <c r="U1877" s="269">
        <f t="shared" si="392"/>
        <v>7916.1775997935529</v>
      </c>
      <c r="V1877" s="269">
        <f t="shared" si="393"/>
        <v>7916.1775997935529</v>
      </c>
      <c r="W1877" s="269">
        <f t="shared" si="394"/>
        <v>7916.1775997935529</v>
      </c>
      <c r="X1877" s="257">
        <f t="shared" si="395"/>
        <v>7916.1775997935529</v>
      </c>
      <c r="Y1877" s="270">
        <f>IF(L1877="Complex",(INDEX('Escalators '!$M$176:$S$176,MATCH('Forecast capex'!J1877,'Escalators '!$M$178:$S$178,0))/12+1)^((K1877-J1877)*12)-1,0)</f>
        <v>3.5566952945970565E-2</v>
      </c>
      <c r="Z1877" s="257">
        <f t="shared" si="396"/>
        <v>253.41453974004028</v>
      </c>
      <c r="AA1877" s="257">
        <f t="shared" si="397"/>
        <v>281.55431620380352</v>
      </c>
      <c r="AB1877" s="269">
        <f t="shared" si="398"/>
        <v>8197.7319159973558</v>
      </c>
      <c r="AC1877" s="269">
        <f t="shared" si="399"/>
        <v>8197.7319159973558</v>
      </c>
      <c r="AD1877" s="271" t="str">
        <f>INDEX('Global inputs'!$C$134:$C$171,MATCH(F1877,'Global inputs'!$B$134:$B$171,0))</f>
        <v>Asset replacement and renewal</v>
      </c>
      <c r="AE1877" s="272">
        <f>IF(OR(H1877='Operating leases'!$B$32,H1877='Operating leases'!$B$33),"",INDEX('Global inputs'!$C$186:$C$243,MATCH(E1877,'Global inputs'!$B$186:$B$243,0)))</f>
        <v>0.08</v>
      </c>
      <c r="AF1877" s="27"/>
    </row>
    <row r="1878" spans="2:32" x14ac:dyDescent="0.2">
      <c r="B1878" s="210" t="s">
        <v>742</v>
      </c>
      <c r="C1878" s="210" t="s">
        <v>288</v>
      </c>
      <c r="D1878" s="210" t="s">
        <v>223</v>
      </c>
      <c r="E1878" s="210" t="s">
        <v>156</v>
      </c>
      <c r="F1878" s="210" t="s">
        <v>108</v>
      </c>
      <c r="G1878" s="210" t="s">
        <v>727</v>
      </c>
      <c r="H1878" s="197">
        <v>0</v>
      </c>
      <c r="I1878" s="210" t="s">
        <v>221</v>
      </c>
      <c r="J1878" s="210">
        <v>2026</v>
      </c>
      <c r="K1878" s="210">
        <v>2027</v>
      </c>
      <c r="L1878" s="268" t="str">
        <f t="shared" si="387"/>
        <v>Complex</v>
      </c>
      <c r="M1878" s="197">
        <v>20947.5</v>
      </c>
      <c r="N1878" s="197">
        <v>0</v>
      </c>
      <c r="O1878" s="257">
        <f>IF(ISNA(MATCH(H1878,'Operating leases'!$B$32:$B$43,0)),0,INDEX('Operating leases'!$M$32:$S$43,MATCH(H1878,'Operating leases'!$B$32:$B$43,0),MATCH(J1878,'Operating leases'!$M$11:$S$11,0)))</f>
        <v>0</v>
      </c>
      <c r="P1878" s="257">
        <f t="shared" si="388"/>
        <v>20947.5</v>
      </c>
      <c r="Q1878" s="257">
        <f t="shared" si="389"/>
        <v>20947.5</v>
      </c>
      <c r="R1878" s="258">
        <f>INDEX('Escalators '!$M$124:$S$129,MATCH(I1878,'Escalators '!$B$124:$B$129,0),MATCH(J1878,'Escalators '!$M$113:$S$113,0))</f>
        <v>1.1088998660799403</v>
      </c>
      <c r="S1878" s="257">
        <f t="shared" si="390"/>
        <v>0</v>
      </c>
      <c r="T1878" s="257">
        <f t="shared" si="391"/>
        <v>0</v>
      </c>
      <c r="U1878" s="269">
        <f t="shared" si="392"/>
        <v>23228.679944709551</v>
      </c>
      <c r="V1878" s="269">
        <f t="shared" si="393"/>
        <v>23228.679944709551</v>
      </c>
      <c r="W1878" s="269">
        <f t="shared" si="394"/>
        <v>23228.679944709551</v>
      </c>
      <c r="X1878" s="257">
        <f t="shared" si="395"/>
        <v>23228.679944709551</v>
      </c>
      <c r="Y1878" s="270">
        <f>IF(L1878="Complex",(INDEX('Escalators '!$M$176:$S$176,MATCH('Forecast capex'!J1878,'Escalators '!$M$178:$S$178,0))/12+1)^((K1878-J1878)*12)-1,0)</f>
        <v>3.5566952945970565E-2</v>
      </c>
      <c r="Z1878" s="257">
        <f t="shared" si="396"/>
        <v>745.03874683571837</v>
      </c>
      <c r="AA1878" s="257">
        <f t="shared" si="397"/>
        <v>826.17336659049477</v>
      </c>
      <c r="AB1878" s="269">
        <f t="shared" si="398"/>
        <v>24054.853311300045</v>
      </c>
      <c r="AC1878" s="269">
        <f t="shared" si="399"/>
        <v>24054.853311300045</v>
      </c>
      <c r="AD1878" s="271" t="str">
        <f>INDEX('Global inputs'!$C$134:$C$171,MATCH(F1878,'Global inputs'!$B$134:$B$171,0))</f>
        <v>Asset replacement and renewal</v>
      </c>
      <c r="AE1878" s="272">
        <f>IF(OR(H1878='Operating leases'!$B$32,H1878='Operating leases'!$B$33),"",INDEX('Global inputs'!$C$186:$C$243,MATCH(E1878,'Global inputs'!$B$186:$B$243,0)))</f>
        <v>0.08</v>
      </c>
      <c r="AF1878" s="27"/>
    </row>
    <row r="1879" spans="2:32" x14ac:dyDescent="0.2">
      <c r="B1879" s="210" t="s">
        <v>742</v>
      </c>
      <c r="C1879" s="210" t="s">
        <v>288</v>
      </c>
      <c r="D1879" s="210" t="s">
        <v>223</v>
      </c>
      <c r="E1879" s="210" t="s">
        <v>156</v>
      </c>
      <c r="F1879" s="210" t="s">
        <v>108</v>
      </c>
      <c r="G1879" s="210" t="s">
        <v>727</v>
      </c>
      <c r="H1879" s="197">
        <v>0</v>
      </c>
      <c r="I1879" s="210" t="s">
        <v>223</v>
      </c>
      <c r="J1879" s="210">
        <v>2026</v>
      </c>
      <c r="K1879" s="210">
        <v>2027</v>
      </c>
      <c r="L1879" s="268" t="str">
        <f t="shared" si="387"/>
        <v>Complex</v>
      </c>
      <c r="M1879" s="197">
        <v>8977.5</v>
      </c>
      <c r="N1879" s="197">
        <v>0</v>
      </c>
      <c r="O1879" s="257">
        <f>IF(ISNA(MATCH(H1879,'Operating leases'!$B$32:$B$43,0)),0,INDEX('Operating leases'!$M$32:$S$43,MATCH(H1879,'Operating leases'!$B$32:$B$43,0),MATCH(J1879,'Operating leases'!$M$11:$S$11,0)))</f>
        <v>0</v>
      </c>
      <c r="P1879" s="257">
        <f t="shared" si="388"/>
        <v>8977.5</v>
      </c>
      <c r="Q1879" s="257">
        <f t="shared" si="389"/>
        <v>8977.5</v>
      </c>
      <c r="R1879" s="258">
        <f>INDEX('Escalators '!$M$124:$S$129,MATCH(I1879,'Escalators '!$B$124:$B$129,0),MATCH(J1879,'Escalators '!$M$113:$S$113,0))</f>
        <v>1.168210490264004</v>
      </c>
      <c r="S1879" s="257">
        <f t="shared" si="390"/>
        <v>0</v>
      </c>
      <c r="T1879" s="257">
        <f t="shared" si="391"/>
        <v>0</v>
      </c>
      <c r="U1879" s="269">
        <f t="shared" si="392"/>
        <v>10487.609676345097</v>
      </c>
      <c r="V1879" s="269">
        <f t="shared" si="393"/>
        <v>10487.609676345097</v>
      </c>
      <c r="W1879" s="269">
        <f t="shared" si="394"/>
        <v>10487.609676345097</v>
      </c>
      <c r="X1879" s="257">
        <f t="shared" si="395"/>
        <v>10487.609676345097</v>
      </c>
      <c r="Y1879" s="270">
        <f>IF(L1879="Complex",(INDEX('Escalators '!$M$176:$S$176,MATCH('Forecast capex'!J1879,'Escalators '!$M$178:$S$178,0))/12+1)^((K1879-J1879)*12)-1,0)</f>
        <v>3.5566952945970565E-2</v>
      </c>
      <c r="Z1879" s="257">
        <f t="shared" si="396"/>
        <v>319.30232007245075</v>
      </c>
      <c r="AA1879" s="257">
        <f t="shared" si="397"/>
        <v>373.01231987427167</v>
      </c>
      <c r="AB1879" s="269">
        <f t="shared" si="398"/>
        <v>10860.621996219368</v>
      </c>
      <c r="AC1879" s="269">
        <f t="shared" si="399"/>
        <v>10860.621996219368</v>
      </c>
      <c r="AD1879" s="271" t="str">
        <f>INDEX('Global inputs'!$C$134:$C$171,MATCH(F1879,'Global inputs'!$B$134:$B$171,0))</f>
        <v>Asset replacement and renewal</v>
      </c>
      <c r="AE1879" s="272">
        <f>IF(OR(H1879='Operating leases'!$B$32,H1879='Operating leases'!$B$33),"",INDEX('Global inputs'!$C$186:$C$243,MATCH(E1879,'Global inputs'!$B$186:$B$243,0)))</f>
        <v>0.08</v>
      </c>
      <c r="AF1879" s="27"/>
    </row>
    <row r="1880" spans="2:32" x14ac:dyDescent="0.2">
      <c r="B1880" s="210" t="s">
        <v>742</v>
      </c>
      <c r="C1880" s="210" t="s">
        <v>285</v>
      </c>
      <c r="D1880" s="210" t="s">
        <v>223</v>
      </c>
      <c r="E1880" s="210" t="s">
        <v>134</v>
      </c>
      <c r="F1880" s="210" t="s">
        <v>108</v>
      </c>
      <c r="G1880" s="210" t="s">
        <v>726</v>
      </c>
      <c r="H1880" s="197">
        <v>0</v>
      </c>
      <c r="I1880" s="210" t="s">
        <v>221</v>
      </c>
      <c r="J1880" s="210">
        <v>2026</v>
      </c>
      <c r="K1880" s="210">
        <v>2027</v>
      </c>
      <c r="L1880" s="268" t="str">
        <f t="shared" si="387"/>
        <v>Complex</v>
      </c>
      <c r="M1880" s="197">
        <v>60971.189999999995</v>
      </c>
      <c r="N1880" s="197">
        <v>0</v>
      </c>
      <c r="O1880" s="257">
        <f>IF(ISNA(MATCH(H1880,'Operating leases'!$B$32:$B$43,0)),0,INDEX('Operating leases'!$M$32:$S$43,MATCH(H1880,'Operating leases'!$B$32:$B$43,0),MATCH(J1880,'Operating leases'!$M$11:$S$11,0)))</f>
        <v>0</v>
      </c>
      <c r="P1880" s="257">
        <f t="shared" si="388"/>
        <v>60971.189999999995</v>
      </c>
      <c r="Q1880" s="257">
        <f t="shared" si="389"/>
        <v>60971.189999999995</v>
      </c>
      <c r="R1880" s="258">
        <f>INDEX('Escalators '!$M$124:$S$129,MATCH(I1880,'Escalators '!$B$124:$B$129,0),MATCH(J1880,'Escalators '!$M$113:$S$113,0))</f>
        <v>1.1088998660799403</v>
      </c>
      <c r="S1880" s="257">
        <f t="shared" si="390"/>
        <v>0</v>
      </c>
      <c r="T1880" s="257">
        <f t="shared" si="391"/>
        <v>0</v>
      </c>
      <c r="U1880" s="269">
        <f t="shared" si="392"/>
        <v>67610.944425734589</v>
      </c>
      <c r="V1880" s="269">
        <f t="shared" si="393"/>
        <v>67610.944425734589</v>
      </c>
      <c r="W1880" s="269">
        <f t="shared" si="394"/>
        <v>67610.944425734589</v>
      </c>
      <c r="X1880" s="257">
        <f t="shared" si="395"/>
        <v>67610.944425734589</v>
      </c>
      <c r="Y1880" s="270">
        <f>IF(L1880="Complex",(INDEX('Escalators '!$M$176:$S$176,MATCH('Forecast capex'!J1880,'Escalators '!$M$178:$S$178,0))/12+1)^((K1880-J1880)*12)-1,0)</f>
        <v>3.5566952945970565E-2</v>
      </c>
      <c r="Z1880" s="257">
        <f t="shared" si="396"/>
        <v>2168.559445789831</v>
      </c>
      <c r="AA1880" s="257">
        <f t="shared" si="397"/>
        <v>2404.7152790227328</v>
      </c>
      <c r="AB1880" s="269">
        <f t="shared" si="398"/>
        <v>70015.659704757316</v>
      </c>
      <c r="AC1880" s="269">
        <f t="shared" si="399"/>
        <v>70015.659704757316</v>
      </c>
      <c r="AD1880" s="271" t="str">
        <f>INDEX('Global inputs'!$C$134:$C$171,MATCH(F1880,'Global inputs'!$B$134:$B$171,0))</f>
        <v>Asset replacement and renewal</v>
      </c>
      <c r="AE1880" s="272">
        <f>IF(OR(H1880='Operating leases'!$B$32,H1880='Operating leases'!$B$33),"",INDEX('Global inputs'!$C$186:$C$243,MATCH(E1880,'Global inputs'!$B$186:$B$243,0)))</f>
        <v>0.08</v>
      </c>
      <c r="AF1880" s="27"/>
    </row>
    <row r="1881" spans="2:32" x14ac:dyDescent="0.2">
      <c r="B1881" s="210" t="s">
        <v>742</v>
      </c>
      <c r="C1881" s="210" t="s">
        <v>285</v>
      </c>
      <c r="D1881" s="210" t="s">
        <v>223</v>
      </c>
      <c r="E1881" s="210" t="s">
        <v>134</v>
      </c>
      <c r="F1881" s="210" t="s">
        <v>108</v>
      </c>
      <c r="G1881" s="210" t="s">
        <v>726</v>
      </c>
      <c r="H1881" s="197">
        <v>0</v>
      </c>
      <c r="I1881" s="210" t="s">
        <v>223</v>
      </c>
      <c r="J1881" s="210">
        <v>2026</v>
      </c>
      <c r="K1881" s="210">
        <v>2027</v>
      </c>
      <c r="L1881" s="268" t="str">
        <f t="shared" si="387"/>
        <v>Complex</v>
      </c>
      <c r="M1881" s="197">
        <v>26130.51</v>
      </c>
      <c r="N1881" s="197">
        <v>0</v>
      </c>
      <c r="O1881" s="257">
        <f>IF(ISNA(MATCH(H1881,'Operating leases'!$B$32:$B$43,0)),0,INDEX('Operating leases'!$M$32:$S$43,MATCH(H1881,'Operating leases'!$B$32:$B$43,0),MATCH(J1881,'Operating leases'!$M$11:$S$11,0)))</f>
        <v>0</v>
      </c>
      <c r="P1881" s="257">
        <f t="shared" si="388"/>
        <v>26130.51</v>
      </c>
      <c r="Q1881" s="257">
        <f t="shared" si="389"/>
        <v>26130.51</v>
      </c>
      <c r="R1881" s="258">
        <f>INDEX('Escalators '!$M$124:$S$129,MATCH(I1881,'Escalators '!$B$124:$B$129,0),MATCH(J1881,'Escalators '!$M$113:$S$113,0))</f>
        <v>1.168210490264004</v>
      </c>
      <c r="S1881" s="257">
        <f t="shared" si="390"/>
        <v>0</v>
      </c>
      <c r="T1881" s="257">
        <f t="shared" si="391"/>
        <v>0</v>
      </c>
      <c r="U1881" s="269">
        <f t="shared" si="392"/>
        <v>30525.935897948457</v>
      </c>
      <c r="V1881" s="269">
        <f t="shared" si="393"/>
        <v>30525.935897948457</v>
      </c>
      <c r="W1881" s="269">
        <f t="shared" si="394"/>
        <v>30525.935897948457</v>
      </c>
      <c r="X1881" s="257">
        <f t="shared" si="395"/>
        <v>30525.935897948457</v>
      </c>
      <c r="Y1881" s="270">
        <f>IF(L1881="Complex",(INDEX('Escalators '!$M$176:$S$176,MATCH('Forecast capex'!J1881,'Escalators '!$M$178:$S$178,0))/12+1)^((K1881-J1881)*12)-1,0)</f>
        <v>3.5566952945970565E-2</v>
      </c>
      <c r="Z1881" s="257">
        <f t="shared" si="396"/>
        <v>929.38261962421325</v>
      </c>
      <c r="AA1881" s="257">
        <f t="shared" si="397"/>
        <v>1085.7145257140464</v>
      </c>
      <c r="AB1881" s="269">
        <f t="shared" si="398"/>
        <v>31611.650423662504</v>
      </c>
      <c r="AC1881" s="269">
        <f t="shared" si="399"/>
        <v>31611.650423662504</v>
      </c>
      <c r="AD1881" s="271" t="str">
        <f>INDEX('Global inputs'!$C$134:$C$171,MATCH(F1881,'Global inputs'!$B$134:$B$171,0))</f>
        <v>Asset replacement and renewal</v>
      </c>
      <c r="AE1881" s="272">
        <f>IF(OR(H1881='Operating leases'!$B$32,H1881='Operating leases'!$B$33),"",INDEX('Global inputs'!$C$186:$C$243,MATCH(E1881,'Global inputs'!$B$186:$B$243,0)))</f>
        <v>0.08</v>
      </c>
      <c r="AF1881" s="27"/>
    </row>
    <row r="1882" spans="2:32" x14ac:dyDescent="0.2">
      <c r="B1882" s="210" t="s">
        <v>742</v>
      </c>
      <c r="C1882" s="210" t="s">
        <v>291</v>
      </c>
      <c r="D1882" s="210" t="s">
        <v>735</v>
      </c>
      <c r="E1882" s="210" t="s">
        <v>175</v>
      </c>
      <c r="F1882" s="210" t="s">
        <v>108</v>
      </c>
      <c r="G1882" s="210" t="s">
        <v>748</v>
      </c>
      <c r="H1882" s="197">
        <v>0</v>
      </c>
      <c r="I1882" s="210" t="s">
        <v>221</v>
      </c>
      <c r="J1882" s="210">
        <v>2026</v>
      </c>
      <c r="K1882" s="210">
        <v>2027</v>
      </c>
      <c r="L1882" s="268" t="str">
        <f t="shared" si="387"/>
        <v>Complex</v>
      </c>
      <c r="M1882" s="197">
        <v>33516</v>
      </c>
      <c r="N1882" s="197">
        <v>0</v>
      </c>
      <c r="O1882" s="257">
        <f>IF(ISNA(MATCH(H1882,'Operating leases'!$B$32:$B$43,0)),0,INDEX('Operating leases'!$M$32:$S$43,MATCH(H1882,'Operating leases'!$B$32:$B$43,0),MATCH(J1882,'Operating leases'!$M$11:$S$11,0)))</f>
        <v>0</v>
      </c>
      <c r="P1882" s="257">
        <f t="shared" si="388"/>
        <v>33516</v>
      </c>
      <c r="Q1882" s="257">
        <f t="shared" si="389"/>
        <v>33516</v>
      </c>
      <c r="R1882" s="258">
        <f>INDEX('Escalators '!$M$124:$S$129,MATCH(I1882,'Escalators '!$B$124:$B$129,0),MATCH(J1882,'Escalators '!$M$113:$S$113,0))</f>
        <v>1.1088998660799403</v>
      </c>
      <c r="S1882" s="257">
        <f t="shared" si="390"/>
        <v>0</v>
      </c>
      <c r="T1882" s="257">
        <f t="shared" si="391"/>
        <v>0</v>
      </c>
      <c r="U1882" s="269">
        <f t="shared" si="392"/>
        <v>37165.887911535276</v>
      </c>
      <c r="V1882" s="269">
        <f t="shared" si="393"/>
        <v>37165.887911535276</v>
      </c>
      <c r="W1882" s="269">
        <f t="shared" si="394"/>
        <v>37165.887911535276</v>
      </c>
      <c r="X1882" s="257">
        <f t="shared" si="395"/>
        <v>37165.887911535276</v>
      </c>
      <c r="Y1882" s="270">
        <f>IF(L1882="Complex",(INDEX('Escalators '!$M$176:$S$176,MATCH('Forecast capex'!J1882,'Escalators '!$M$178:$S$178,0))/12+1)^((K1882-J1882)*12)-1,0)</f>
        <v>3.5566952945970565E-2</v>
      </c>
      <c r="Z1882" s="257">
        <f t="shared" si="396"/>
        <v>1192.0619949371494</v>
      </c>
      <c r="AA1882" s="257">
        <f t="shared" si="397"/>
        <v>1321.8773865447913</v>
      </c>
      <c r="AB1882" s="269">
        <f t="shared" si="398"/>
        <v>38487.76529808007</v>
      </c>
      <c r="AC1882" s="269">
        <f t="shared" si="399"/>
        <v>38487.76529808007</v>
      </c>
      <c r="AD1882" s="271" t="str">
        <f>INDEX('Global inputs'!$C$134:$C$171,MATCH(F1882,'Global inputs'!$B$134:$B$171,0))</f>
        <v>Asset replacement and renewal</v>
      </c>
      <c r="AE1882" s="272">
        <f>IF(OR(H1882='Operating leases'!$B$32,H1882='Operating leases'!$B$33),"",INDEX('Global inputs'!$C$186:$C$243,MATCH(E1882,'Global inputs'!$B$186:$B$243,0)))</f>
        <v>0.1</v>
      </c>
      <c r="AF1882" s="27"/>
    </row>
    <row r="1883" spans="2:32" x14ac:dyDescent="0.2">
      <c r="B1883" s="210" t="s">
        <v>742</v>
      </c>
      <c r="C1883" s="210" t="s">
        <v>291</v>
      </c>
      <c r="D1883" s="210" t="s">
        <v>735</v>
      </c>
      <c r="E1883" s="210" t="s">
        <v>175</v>
      </c>
      <c r="F1883" s="210" t="s">
        <v>108</v>
      </c>
      <c r="G1883" s="210" t="s">
        <v>748</v>
      </c>
      <c r="H1883" s="197">
        <v>0</v>
      </c>
      <c r="I1883" s="210" t="s">
        <v>229</v>
      </c>
      <c r="J1883" s="210">
        <v>2026</v>
      </c>
      <c r="K1883" s="210">
        <v>2027</v>
      </c>
      <c r="L1883" s="268" t="str">
        <f t="shared" si="387"/>
        <v>Complex</v>
      </c>
      <c r="M1883" s="197">
        <v>8379</v>
      </c>
      <c r="N1883" s="197">
        <v>0</v>
      </c>
      <c r="O1883" s="257">
        <f>IF(ISNA(MATCH(H1883,'Operating leases'!$B$32:$B$43,0)),0,INDEX('Operating leases'!$M$32:$S$43,MATCH(H1883,'Operating leases'!$B$32:$B$43,0),MATCH(J1883,'Operating leases'!$M$11:$S$11,0)))</f>
        <v>0</v>
      </c>
      <c r="P1883" s="257">
        <f t="shared" si="388"/>
        <v>8379</v>
      </c>
      <c r="Q1883" s="257">
        <f t="shared" si="389"/>
        <v>8379</v>
      </c>
      <c r="R1883" s="258">
        <f>INDEX('Escalators '!$M$124:$S$129,MATCH(I1883,'Escalators '!$B$124:$B$129,0),MATCH(J1883,'Escalators '!$M$113:$S$113,0))</f>
        <v>1.1110424701464636</v>
      </c>
      <c r="S1883" s="257">
        <f t="shared" si="390"/>
        <v>0</v>
      </c>
      <c r="T1883" s="257">
        <f t="shared" si="391"/>
        <v>0</v>
      </c>
      <c r="U1883" s="269">
        <f t="shared" si="392"/>
        <v>9309.4248573572186</v>
      </c>
      <c r="V1883" s="269">
        <f t="shared" si="393"/>
        <v>9309.4248573572186</v>
      </c>
      <c r="W1883" s="269">
        <f t="shared" si="394"/>
        <v>9309.4248573572186</v>
      </c>
      <c r="X1883" s="257">
        <f t="shared" si="395"/>
        <v>9309.4248573572186</v>
      </c>
      <c r="Y1883" s="270">
        <f>IF(L1883="Complex",(INDEX('Escalators '!$M$176:$S$176,MATCH('Forecast capex'!J1883,'Escalators '!$M$178:$S$178,0))/12+1)^((K1883-J1883)*12)-1,0)</f>
        <v>3.5566952945970565E-2</v>
      </c>
      <c r="Z1883" s="257">
        <f t="shared" si="396"/>
        <v>298.01549873428735</v>
      </c>
      <c r="AA1883" s="257">
        <f t="shared" si="397"/>
        <v>331.10787585567294</v>
      </c>
      <c r="AB1883" s="269">
        <f t="shared" si="398"/>
        <v>9640.5327332128909</v>
      </c>
      <c r="AC1883" s="269">
        <f t="shared" si="399"/>
        <v>9640.5327332128909</v>
      </c>
      <c r="AD1883" s="271" t="str">
        <f>INDEX('Global inputs'!$C$134:$C$171,MATCH(F1883,'Global inputs'!$B$134:$B$171,0))</f>
        <v>Asset replacement and renewal</v>
      </c>
      <c r="AE1883" s="272">
        <f>IF(OR(H1883='Operating leases'!$B$32,H1883='Operating leases'!$B$33),"",INDEX('Global inputs'!$C$186:$C$243,MATCH(E1883,'Global inputs'!$B$186:$B$243,0)))</f>
        <v>0.1</v>
      </c>
      <c r="AF1883" s="27"/>
    </row>
    <row r="1884" spans="2:32" outlineLevel="1" x14ac:dyDescent="0.2">
      <c r="B1884" s="274"/>
      <c r="C1884" s="274"/>
      <c r="D1884" s="274"/>
      <c r="E1884" s="274"/>
      <c r="F1884" s="274"/>
      <c r="G1884" s="274"/>
      <c r="H1884" s="274"/>
      <c r="I1884" s="274"/>
      <c r="J1884" s="274"/>
      <c r="K1884" s="274"/>
      <c r="L1884" s="268"/>
      <c r="M1884" s="275"/>
      <c r="N1884" s="275"/>
      <c r="O1884" s="257"/>
      <c r="P1884" s="257"/>
      <c r="Q1884" s="257"/>
      <c r="R1884" s="258"/>
      <c r="S1884" s="257"/>
      <c r="T1884" s="257"/>
      <c r="U1884" s="269"/>
      <c r="V1884" s="269"/>
      <c r="W1884" s="269"/>
      <c r="X1884" s="257"/>
      <c r="Y1884" s="270"/>
      <c r="Z1884" s="257"/>
      <c r="AA1884" s="257"/>
      <c r="AB1884" s="269"/>
      <c r="AC1884" s="269"/>
      <c r="AD1884" s="271"/>
      <c r="AE1884" s="272"/>
    </row>
    <row r="1885" spans="2:32" outlineLevel="1" x14ac:dyDescent="0.2">
      <c r="B1885" s="274"/>
      <c r="C1885" s="274"/>
      <c r="D1885" s="274"/>
      <c r="E1885" s="274"/>
      <c r="F1885" s="274"/>
      <c r="G1885" s="274"/>
      <c r="H1885" s="274"/>
      <c r="I1885" s="274"/>
      <c r="J1885" s="274"/>
      <c r="K1885" s="274"/>
      <c r="L1885" s="268"/>
      <c r="M1885" s="275"/>
      <c r="N1885" s="275"/>
      <c r="O1885" s="257"/>
      <c r="P1885" s="257"/>
      <c r="Q1885" s="257"/>
      <c r="R1885" s="258"/>
      <c r="S1885" s="257"/>
      <c r="T1885" s="257"/>
      <c r="U1885" s="269"/>
      <c r="V1885" s="269"/>
      <c r="W1885" s="269"/>
      <c r="X1885" s="257"/>
      <c r="Y1885" s="270"/>
      <c r="Z1885" s="257"/>
      <c r="AA1885" s="257"/>
      <c r="AB1885" s="269"/>
      <c r="AC1885" s="269"/>
      <c r="AD1885" s="271"/>
      <c r="AE1885" s="272"/>
    </row>
    <row r="1886" spans="2:32" outlineLevel="1" x14ac:dyDescent="0.2">
      <c r="B1886" s="274"/>
      <c r="C1886" s="274"/>
      <c r="D1886" s="274"/>
      <c r="E1886" s="274"/>
      <c r="F1886" s="274"/>
      <c r="G1886" s="274"/>
      <c r="H1886" s="274"/>
      <c r="I1886" s="274"/>
      <c r="J1886" s="274"/>
      <c r="K1886" s="274"/>
      <c r="L1886" s="268"/>
      <c r="M1886" s="275"/>
      <c r="N1886" s="275"/>
      <c r="O1886" s="257"/>
      <c r="P1886" s="257"/>
      <c r="Q1886" s="257"/>
      <c r="R1886" s="258"/>
      <c r="S1886" s="257"/>
      <c r="T1886" s="257"/>
      <c r="U1886" s="269"/>
      <c r="V1886" s="269"/>
      <c r="W1886" s="269"/>
      <c r="X1886" s="257"/>
      <c r="Y1886" s="270"/>
      <c r="Z1886" s="257"/>
      <c r="AA1886" s="257"/>
      <c r="AB1886" s="269"/>
      <c r="AC1886" s="269"/>
      <c r="AD1886" s="271"/>
      <c r="AE1886" s="272"/>
    </row>
    <row r="1887" spans="2:32" outlineLevel="1" x14ac:dyDescent="0.2">
      <c r="B1887" s="274"/>
      <c r="C1887" s="274"/>
      <c r="D1887" s="274"/>
      <c r="E1887" s="274"/>
      <c r="F1887" s="274"/>
      <c r="G1887" s="274"/>
      <c r="H1887" s="274"/>
      <c r="I1887" s="274"/>
      <c r="J1887" s="274"/>
      <c r="K1887" s="274"/>
      <c r="L1887" s="268"/>
      <c r="M1887" s="275"/>
      <c r="N1887" s="275"/>
      <c r="O1887" s="257"/>
      <c r="P1887" s="257"/>
      <c r="Q1887" s="257"/>
      <c r="R1887" s="258"/>
      <c r="S1887" s="257"/>
      <c r="T1887" s="257"/>
      <c r="U1887" s="269"/>
      <c r="V1887" s="269"/>
      <c r="W1887" s="269"/>
      <c r="X1887" s="257"/>
      <c r="Y1887" s="270"/>
      <c r="Z1887" s="257"/>
      <c r="AA1887" s="257"/>
      <c r="AB1887" s="269"/>
      <c r="AC1887" s="269"/>
      <c r="AD1887" s="271"/>
      <c r="AE1887" s="272"/>
    </row>
    <row r="1888" spans="2:32" outlineLevel="1" x14ac:dyDescent="0.2">
      <c r="B1888" s="274"/>
      <c r="C1888" s="274"/>
      <c r="D1888" s="274"/>
      <c r="E1888" s="274"/>
      <c r="F1888" s="274"/>
      <c r="G1888" s="274"/>
      <c r="H1888" s="274"/>
      <c r="I1888" s="274"/>
      <c r="J1888" s="274"/>
      <c r="K1888" s="274"/>
      <c r="L1888" s="268"/>
      <c r="M1888" s="275"/>
      <c r="N1888" s="275"/>
      <c r="O1888" s="257"/>
      <c r="P1888" s="257"/>
      <c r="Q1888" s="257"/>
      <c r="R1888" s="258"/>
      <c r="S1888" s="257"/>
      <c r="T1888" s="257"/>
      <c r="U1888" s="269"/>
      <c r="V1888" s="269"/>
      <c r="W1888" s="269"/>
      <c r="X1888" s="257"/>
      <c r="Y1888" s="270"/>
      <c r="Z1888" s="257"/>
      <c r="AA1888" s="257"/>
      <c r="AB1888" s="269"/>
      <c r="AC1888" s="269"/>
      <c r="AD1888" s="271"/>
      <c r="AE1888" s="272"/>
    </row>
    <row r="1889" spans="2:31" outlineLevel="1" x14ac:dyDescent="0.2">
      <c r="B1889" s="274"/>
      <c r="C1889" s="274"/>
      <c r="D1889" s="274"/>
      <c r="E1889" s="274"/>
      <c r="F1889" s="274"/>
      <c r="G1889" s="274"/>
      <c r="H1889" s="274"/>
      <c r="I1889" s="274"/>
      <c r="J1889" s="274"/>
      <c r="K1889" s="274"/>
      <c r="L1889" s="268"/>
      <c r="M1889" s="275"/>
      <c r="N1889" s="275"/>
      <c r="O1889" s="257"/>
      <c r="P1889" s="257"/>
      <c r="Q1889" s="257"/>
      <c r="R1889" s="258"/>
      <c r="S1889" s="257"/>
      <c r="T1889" s="257"/>
      <c r="U1889" s="269"/>
      <c r="V1889" s="269"/>
      <c r="W1889" s="269"/>
      <c r="X1889" s="257"/>
      <c r="Y1889" s="270"/>
      <c r="Z1889" s="257"/>
      <c r="AA1889" s="257"/>
      <c r="AB1889" s="269"/>
      <c r="AC1889" s="269"/>
      <c r="AD1889" s="271"/>
      <c r="AE1889" s="272"/>
    </row>
    <row r="1890" spans="2:31" outlineLevel="1" x14ac:dyDescent="0.2">
      <c r="B1890" s="274"/>
      <c r="C1890" s="274"/>
      <c r="D1890" s="274"/>
      <c r="E1890" s="274"/>
      <c r="F1890" s="274"/>
      <c r="G1890" s="274"/>
      <c r="H1890" s="274"/>
      <c r="I1890" s="274"/>
      <c r="J1890" s="274"/>
      <c r="K1890" s="274"/>
      <c r="L1890" s="268"/>
      <c r="M1890" s="275"/>
      <c r="N1890" s="275"/>
      <c r="O1890" s="257"/>
      <c r="P1890" s="257"/>
      <c r="Q1890" s="257"/>
      <c r="R1890" s="258"/>
      <c r="S1890" s="257"/>
      <c r="T1890" s="257"/>
      <c r="U1890" s="269"/>
      <c r="V1890" s="269"/>
      <c r="W1890" s="269"/>
      <c r="X1890" s="257"/>
      <c r="Y1890" s="270"/>
      <c r="Z1890" s="257"/>
      <c r="AA1890" s="257"/>
      <c r="AB1890" s="269"/>
      <c r="AC1890" s="269"/>
      <c r="AD1890" s="271"/>
      <c r="AE1890" s="272"/>
    </row>
    <row r="1891" spans="2:31" outlineLevel="1" x14ac:dyDescent="0.2">
      <c r="B1891" s="274"/>
      <c r="C1891" s="274"/>
      <c r="D1891" s="274"/>
      <c r="E1891" s="274"/>
      <c r="F1891" s="274"/>
      <c r="G1891" s="274"/>
      <c r="H1891" s="274"/>
      <c r="I1891" s="274"/>
      <c r="J1891" s="274"/>
      <c r="K1891" s="274"/>
      <c r="L1891" s="268"/>
      <c r="M1891" s="275"/>
      <c r="N1891" s="275"/>
      <c r="O1891" s="257"/>
      <c r="P1891" s="257"/>
      <c r="Q1891" s="257"/>
      <c r="R1891" s="258"/>
      <c r="S1891" s="257"/>
      <c r="T1891" s="257"/>
      <c r="U1891" s="269"/>
      <c r="V1891" s="269"/>
      <c r="W1891" s="269"/>
      <c r="X1891" s="257"/>
      <c r="Y1891" s="270"/>
      <c r="Z1891" s="257"/>
      <c r="AA1891" s="257"/>
      <c r="AB1891" s="269"/>
      <c r="AC1891" s="269"/>
      <c r="AD1891" s="271"/>
      <c r="AE1891" s="272"/>
    </row>
    <row r="1892" spans="2:31" outlineLevel="1" x14ac:dyDescent="0.2">
      <c r="B1892" s="274"/>
      <c r="C1892" s="274"/>
      <c r="D1892" s="274"/>
      <c r="E1892" s="274"/>
      <c r="F1892" s="274"/>
      <c r="G1892" s="274"/>
      <c r="H1892" s="274"/>
      <c r="I1892" s="274"/>
      <c r="J1892" s="274"/>
      <c r="K1892" s="274"/>
      <c r="L1892" s="268"/>
      <c r="M1892" s="275"/>
      <c r="N1892" s="275"/>
      <c r="O1892" s="257"/>
      <c r="P1892" s="257"/>
      <c r="Q1892" s="257"/>
      <c r="R1892" s="258"/>
      <c r="S1892" s="257"/>
      <c r="T1892" s="257"/>
      <c r="U1892" s="269"/>
      <c r="V1892" s="269"/>
      <c r="W1892" s="269"/>
      <c r="X1892" s="257"/>
      <c r="Y1892" s="270"/>
      <c r="Z1892" s="257"/>
      <c r="AA1892" s="257"/>
      <c r="AB1892" s="269"/>
      <c r="AC1892" s="269"/>
      <c r="AD1892" s="271"/>
      <c r="AE1892" s="272"/>
    </row>
    <row r="1893" spans="2:31" outlineLevel="1" x14ac:dyDescent="0.2">
      <c r="B1893" s="274"/>
      <c r="C1893" s="274"/>
      <c r="D1893" s="274"/>
      <c r="E1893" s="274"/>
      <c r="F1893" s="274"/>
      <c r="G1893" s="274"/>
      <c r="H1893" s="274"/>
      <c r="I1893" s="274"/>
      <c r="J1893" s="274"/>
      <c r="K1893" s="274"/>
      <c r="L1893" s="268"/>
      <c r="M1893" s="275"/>
      <c r="N1893" s="275"/>
      <c r="O1893" s="257"/>
      <c r="P1893" s="257"/>
      <c r="Q1893" s="257"/>
      <c r="R1893" s="258"/>
      <c r="S1893" s="257"/>
      <c r="T1893" s="257"/>
      <c r="U1893" s="269"/>
      <c r="V1893" s="269"/>
      <c r="W1893" s="269"/>
      <c r="X1893" s="257"/>
      <c r="Y1893" s="270"/>
      <c r="Z1893" s="257"/>
      <c r="AA1893" s="257"/>
      <c r="AB1893" s="269"/>
      <c r="AC1893" s="269"/>
      <c r="AD1893" s="271"/>
      <c r="AE1893" s="272"/>
    </row>
    <row r="1894" spans="2:31" outlineLevel="1" x14ac:dyDescent="0.2">
      <c r="B1894" s="274"/>
      <c r="C1894" s="274"/>
      <c r="D1894" s="274"/>
      <c r="E1894" s="274"/>
      <c r="F1894" s="274"/>
      <c r="G1894" s="274"/>
      <c r="H1894" s="274"/>
      <c r="I1894" s="274"/>
      <c r="J1894" s="274"/>
      <c r="K1894" s="274"/>
      <c r="L1894" s="268"/>
      <c r="M1894" s="275"/>
      <c r="N1894" s="275"/>
      <c r="O1894" s="257"/>
      <c r="P1894" s="257"/>
      <c r="Q1894" s="257"/>
      <c r="R1894" s="258"/>
      <c r="S1894" s="257"/>
      <c r="T1894" s="257"/>
      <c r="U1894" s="269"/>
      <c r="V1894" s="269"/>
      <c r="W1894" s="269"/>
      <c r="X1894" s="257"/>
      <c r="Y1894" s="270"/>
      <c r="Z1894" s="257"/>
      <c r="AA1894" s="257"/>
      <c r="AB1894" s="269"/>
      <c r="AC1894" s="269"/>
      <c r="AD1894" s="271"/>
      <c r="AE1894" s="272"/>
    </row>
    <row r="1895" spans="2:31" outlineLevel="1" x14ac:dyDescent="0.2">
      <c r="B1895" s="274"/>
      <c r="C1895" s="274"/>
      <c r="D1895" s="274"/>
      <c r="E1895" s="274"/>
      <c r="F1895" s="274"/>
      <c r="G1895" s="274"/>
      <c r="H1895" s="274"/>
      <c r="I1895" s="274"/>
      <c r="J1895" s="274"/>
      <c r="K1895" s="274"/>
      <c r="L1895" s="268"/>
      <c r="M1895" s="275"/>
      <c r="N1895" s="275"/>
      <c r="O1895" s="257"/>
      <c r="P1895" s="257"/>
      <c r="Q1895" s="257"/>
      <c r="R1895" s="258"/>
      <c r="S1895" s="257"/>
      <c r="T1895" s="257"/>
      <c r="U1895" s="269"/>
      <c r="V1895" s="269"/>
      <c r="W1895" s="269"/>
      <c r="X1895" s="257"/>
      <c r="Y1895" s="270"/>
      <c r="Z1895" s="257"/>
      <c r="AA1895" s="257"/>
      <c r="AB1895" s="269"/>
      <c r="AC1895" s="269"/>
      <c r="AD1895" s="271"/>
      <c r="AE1895" s="272"/>
    </row>
    <row r="1896" spans="2:31" outlineLevel="1" x14ac:dyDescent="0.2">
      <c r="B1896" s="274"/>
      <c r="C1896" s="274"/>
      <c r="D1896" s="274"/>
      <c r="E1896" s="274"/>
      <c r="F1896" s="274"/>
      <c r="G1896" s="274"/>
      <c r="H1896" s="274"/>
      <c r="I1896" s="274"/>
      <c r="J1896" s="274"/>
      <c r="K1896" s="274"/>
      <c r="L1896" s="268"/>
      <c r="M1896" s="275"/>
      <c r="N1896" s="275"/>
      <c r="O1896" s="257"/>
      <c r="P1896" s="257"/>
      <c r="Q1896" s="257"/>
      <c r="R1896" s="258"/>
      <c r="S1896" s="257"/>
      <c r="T1896" s="257"/>
      <c r="U1896" s="269"/>
      <c r="V1896" s="269"/>
      <c r="W1896" s="269"/>
      <c r="X1896" s="257"/>
      <c r="Y1896" s="270"/>
      <c r="Z1896" s="257"/>
      <c r="AA1896" s="257"/>
      <c r="AB1896" s="269"/>
      <c r="AC1896" s="269"/>
      <c r="AD1896" s="271"/>
      <c r="AE1896" s="272"/>
    </row>
    <row r="1897" spans="2:31" outlineLevel="1" x14ac:dyDescent="0.2">
      <c r="B1897" s="274"/>
      <c r="C1897" s="274"/>
      <c r="D1897" s="274"/>
      <c r="E1897" s="274"/>
      <c r="F1897" s="274"/>
      <c r="G1897" s="274"/>
      <c r="H1897" s="274"/>
      <c r="I1897" s="274"/>
      <c r="J1897" s="274"/>
      <c r="K1897" s="274"/>
      <c r="L1897" s="268"/>
      <c r="M1897" s="275"/>
      <c r="N1897" s="275"/>
      <c r="O1897" s="257"/>
      <c r="P1897" s="257"/>
      <c r="Q1897" s="257"/>
      <c r="R1897" s="258"/>
      <c r="S1897" s="257"/>
      <c r="T1897" s="257"/>
      <c r="U1897" s="269"/>
      <c r="V1897" s="269"/>
      <c r="W1897" s="269"/>
      <c r="X1897" s="257"/>
      <c r="Y1897" s="270"/>
      <c r="Z1897" s="257"/>
      <c r="AA1897" s="257"/>
      <c r="AB1897" s="269"/>
      <c r="AC1897" s="269"/>
      <c r="AD1897" s="271"/>
      <c r="AE1897" s="272"/>
    </row>
    <row r="1898" spans="2:31" outlineLevel="1" x14ac:dyDescent="0.2">
      <c r="B1898" s="274"/>
      <c r="C1898" s="274"/>
      <c r="D1898" s="274"/>
      <c r="E1898" s="274"/>
      <c r="F1898" s="274"/>
      <c r="G1898" s="274"/>
      <c r="H1898" s="274"/>
      <c r="I1898" s="274"/>
      <c r="J1898" s="274"/>
      <c r="K1898" s="274"/>
      <c r="L1898" s="268"/>
      <c r="M1898" s="275"/>
      <c r="N1898" s="275"/>
      <c r="O1898" s="257"/>
      <c r="P1898" s="257"/>
      <c r="Q1898" s="257"/>
      <c r="R1898" s="258"/>
      <c r="S1898" s="257"/>
      <c r="T1898" s="257"/>
      <c r="U1898" s="269"/>
      <c r="V1898" s="269"/>
      <c r="W1898" s="269"/>
      <c r="X1898" s="257"/>
      <c r="Y1898" s="270"/>
      <c r="Z1898" s="257"/>
      <c r="AA1898" s="257"/>
      <c r="AB1898" s="269"/>
      <c r="AC1898" s="269"/>
      <c r="AD1898" s="271"/>
      <c r="AE1898" s="272"/>
    </row>
    <row r="1899" spans="2:31" outlineLevel="1" x14ac:dyDescent="0.2">
      <c r="B1899" s="274"/>
      <c r="C1899" s="274"/>
      <c r="D1899" s="274"/>
      <c r="E1899" s="274"/>
      <c r="F1899" s="274"/>
      <c r="G1899" s="274"/>
      <c r="H1899" s="274"/>
      <c r="I1899" s="274"/>
      <c r="J1899" s="274"/>
      <c r="K1899" s="274"/>
      <c r="L1899" s="268"/>
      <c r="M1899" s="275"/>
      <c r="N1899" s="275"/>
      <c r="O1899" s="257"/>
      <c r="P1899" s="257"/>
      <c r="Q1899" s="257"/>
      <c r="R1899" s="258"/>
      <c r="S1899" s="257"/>
      <c r="T1899" s="257"/>
      <c r="U1899" s="269"/>
      <c r="V1899" s="269"/>
      <c r="W1899" s="269"/>
      <c r="X1899" s="257"/>
      <c r="Y1899" s="270"/>
      <c r="Z1899" s="257"/>
      <c r="AA1899" s="257"/>
      <c r="AB1899" s="269"/>
      <c r="AC1899" s="269"/>
      <c r="AD1899" s="271"/>
      <c r="AE1899" s="272"/>
    </row>
    <row r="1900" spans="2:31" outlineLevel="1" x14ac:dyDescent="0.2">
      <c r="B1900" s="274"/>
      <c r="C1900" s="274"/>
      <c r="D1900" s="274"/>
      <c r="E1900" s="274"/>
      <c r="F1900" s="274"/>
      <c r="G1900" s="274"/>
      <c r="H1900" s="274"/>
      <c r="I1900" s="274"/>
      <c r="J1900" s="274"/>
      <c r="K1900" s="274"/>
      <c r="L1900" s="268"/>
      <c r="M1900" s="275"/>
      <c r="N1900" s="275"/>
      <c r="O1900" s="257"/>
      <c r="P1900" s="257"/>
      <c r="Q1900" s="257"/>
      <c r="R1900" s="258"/>
      <c r="S1900" s="257"/>
      <c r="T1900" s="257"/>
      <c r="U1900" s="269"/>
      <c r="V1900" s="269"/>
      <c r="W1900" s="269"/>
      <c r="X1900" s="257"/>
      <c r="Y1900" s="270"/>
      <c r="Z1900" s="257"/>
      <c r="AA1900" s="257"/>
      <c r="AB1900" s="269"/>
      <c r="AC1900" s="269"/>
      <c r="AD1900" s="271"/>
      <c r="AE1900" s="272"/>
    </row>
    <row r="1901" spans="2:31" outlineLevel="1" x14ac:dyDescent="0.2">
      <c r="B1901" s="274"/>
      <c r="C1901" s="274"/>
      <c r="D1901" s="274"/>
      <c r="E1901" s="274"/>
      <c r="F1901" s="274"/>
      <c r="G1901" s="274"/>
      <c r="H1901" s="274"/>
      <c r="I1901" s="274"/>
      <c r="J1901" s="274"/>
      <c r="K1901" s="274"/>
      <c r="L1901" s="268"/>
      <c r="M1901" s="275"/>
      <c r="N1901" s="275"/>
      <c r="O1901" s="257"/>
      <c r="P1901" s="257"/>
      <c r="Q1901" s="257"/>
      <c r="R1901" s="258"/>
      <c r="S1901" s="257"/>
      <c r="T1901" s="257"/>
      <c r="U1901" s="269"/>
      <c r="V1901" s="269"/>
      <c r="W1901" s="269"/>
      <c r="X1901" s="257"/>
      <c r="Y1901" s="270"/>
      <c r="Z1901" s="257"/>
      <c r="AA1901" s="257"/>
      <c r="AB1901" s="269"/>
      <c r="AC1901" s="269"/>
      <c r="AD1901" s="271"/>
      <c r="AE1901" s="272"/>
    </row>
    <row r="1902" spans="2:31" outlineLevel="1" x14ac:dyDescent="0.2">
      <c r="B1902" s="274"/>
      <c r="C1902" s="274"/>
      <c r="D1902" s="274"/>
      <c r="E1902" s="274"/>
      <c r="F1902" s="274"/>
      <c r="G1902" s="274"/>
      <c r="H1902" s="274"/>
      <c r="I1902" s="274"/>
      <c r="J1902" s="274"/>
      <c r="K1902" s="274"/>
      <c r="L1902" s="268"/>
      <c r="M1902" s="275"/>
      <c r="N1902" s="275"/>
      <c r="O1902" s="257"/>
      <c r="P1902" s="257"/>
      <c r="Q1902" s="257"/>
      <c r="R1902" s="258"/>
      <c r="S1902" s="257"/>
      <c r="T1902" s="257"/>
      <c r="U1902" s="269"/>
      <c r="V1902" s="269"/>
      <c r="W1902" s="269"/>
      <c r="X1902" s="257"/>
      <c r="Y1902" s="270"/>
      <c r="Z1902" s="257"/>
      <c r="AA1902" s="257"/>
      <c r="AB1902" s="269"/>
      <c r="AC1902" s="269"/>
      <c r="AD1902" s="271"/>
      <c r="AE1902" s="272"/>
    </row>
    <row r="1903" spans="2:31" outlineLevel="1" x14ac:dyDescent="0.2">
      <c r="B1903" s="274"/>
      <c r="C1903" s="274"/>
      <c r="D1903" s="274"/>
      <c r="E1903" s="274"/>
      <c r="F1903" s="274"/>
      <c r="G1903" s="274"/>
      <c r="H1903" s="274"/>
      <c r="I1903" s="274"/>
      <c r="J1903" s="274"/>
      <c r="K1903" s="274"/>
      <c r="L1903" s="268"/>
      <c r="M1903" s="275"/>
      <c r="N1903" s="275"/>
      <c r="O1903" s="257"/>
      <c r="P1903" s="257"/>
      <c r="Q1903" s="257"/>
      <c r="R1903" s="258"/>
      <c r="S1903" s="257"/>
      <c r="T1903" s="257"/>
      <c r="U1903" s="269"/>
      <c r="V1903" s="269"/>
      <c r="W1903" s="269"/>
      <c r="X1903" s="257"/>
      <c r="Y1903" s="270"/>
      <c r="Z1903" s="257"/>
      <c r="AA1903" s="257"/>
      <c r="AB1903" s="269"/>
      <c r="AC1903" s="269"/>
      <c r="AD1903" s="271"/>
      <c r="AE1903" s="272"/>
    </row>
    <row r="1904" spans="2:31" outlineLevel="1" x14ac:dyDescent="0.2">
      <c r="B1904" s="274"/>
      <c r="C1904" s="274"/>
      <c r="D1904" s="274"/>
      <c r="E1904" s="274"/>
      <c r="F1904" s="274"/>
      <c r="G1904" s="274"/>
      <c r="H1904" s="274"/>
      <c r="I1904" s="274"/>
      <c r="J1904" s="274"/>
      <c r="K1904" s="274"/>
      <c r="L1904" s="268"/>
      <c r="M1904" s="275"/>
      <c r="N1904" s="275"/>
      <c r="O1904" s="257"/>
      <c r="P1904" s="257"/>
      <c r="Q1904" s="257"/>
      <c r="R1904" s="258"/>
      <c r="S1904" s="257"/>
      <c r="T1904" s="257"/>
      <c r="U1904" s="269"/>
      <c r="V1904" s="269"/>
      <c r="W1904" s="269"/>
      <c r="X1904" s="257"/>
      <c r="Y1904" s="270"/>
      <c r="Z1904" s="257"/>
      <c r="AA1904" s="257"/>
      <c r="AB1904" s="269"/>
      <c r="AC1904" s="269"/>
      <c r="AD1904" s="271"/>
      <c r="AE1904" s="272"/>
    </row>
    <row r="1905" spans="2:31" outlineLevel="1" x14ac:dyDescent="0.2">
      <c r="B1905" s="274"/>
      <c r="C1905" s="274"/>
      <c r="D1905" s="274"/>
      <c r="E1905" s="274"/>
      <c r="F1905" s="274"/>
      <c r="G1905" s="274"/>
      <c r="H1905" s="274"/>
      <c r="I1905" s="274"/>
      <c r="J1905" s="274"/>
      <c r="K1905" s="274"/>
      <c r="L1905" s="268"/>
      <c r="M1905" s="275"/>
      <c r="N1905" s="275"/>
      <c r="O1905" s="257"/>
      <c r="P1905" s="257"/>
      <c r="Q1905" s="257"/>
      <c r="R1905" s="258"/>
      <c r="S1905" s="257"/>
      <c r="T1905" s="257"/>
      <c r="U1905" s="269"/>
      <c r="V1905" s="269"/>
      <c r="W1905" s="269"/>
      <c r="X1905" s="257"/>
      <c r="Y1905" s="270"/>
      <c r="Z1905" s="257"/>
      <c r="AA1905" s="257"/>
      <c r="AB1905" s="269"/>
      <c r="AC1905" s="269"/>
      <c r="AD1905" s="271"/>
      <c r="AE1905" s="272"/>
    </row>
    <row r="1906" spans="2:31" outlineLevel="1" x14ac:dyDescent="0.2">
      <c r="B1906" s="274"/>
      <c r="C1906" s="274"/>
      <c r="D1906" s="274"/>
      <c r="E1906" s="274"/>
      <c r="F1906" s="274"/>
      <c r="G1906" s="274"/>
      <c r="H1906" s="274"/>
      <c r="I1906" s="274"/>
      <c r="J1906" s="274"/>
      <c r="K1906" s="274"/>
      <c r="L1906" s="268"/>
      <c r="M1906" s="275"/>
      <c r="N1906" s="275"/>
      <c r="O1906" s="257"/>
      <c r="P1906" s="257"/>
      <c r="Q1906" s="257"/>
      <c r="R1906" s="258"/>
      <c r="S1906" s="257"/>
      <c r="T1906" s="257"/>
      <c r="U1906" s="269"/>
      <c r="V1906" s="269"/>
      <c r="W1906" s="269"/>
      <c r="X1906" s="257"/>
      <c r="Y1906" s="270"/>
      <c r="Z1906" s="257"/>
      <c r="AA1906" s="257"/>
      <c r="AB1906" s="269"/>
      <c r="AC1906" s="269"/>
      <c r="AD1906" s="271"/>
      <c r="AE1906" s="272"/>
    </row>
    <row r="1907" spans="2:31" outlineLevel="1" x14ac:dyDescent="0.2">
      <c r="B1907" s="274"/>
      <c r="C1907" s="274"/>
      <c r="D1907" s="274"/>
      <c r="E1907" s="274"/>
      <c r="F1907" s="274"/>
      <c r="G1907" s="274"/>
      <c r="H1907" s="274"/>
      <c r="I1907" s="274"/>
      <c r="J1907" s="274"/>
      <c r="K1907" s="274"/>
      <c r="L1907" s="268"/>
      <c r="M1907" s="275"/>
      <c r="N1907" s="275"/>
      <c r="O1907" s="257"/>
      <c r="P1907" s="257"/>
      <c r="Q1907" s="257"/>
      <c r="R1907" s="258"/>
      <c r="S1907" s="257"/>
      <c r="T1907" s="257"/>
      <c r="U1907" s="269"/>
      <c r="V1907" s="269"/>
      <c r="W1907" s="269"/>
      <c r="X1907" s="257"/>
      <c r="Y1907" s="270"/>
      <c r="Z1907" s="257"/>
      <c r="AA1907" s="257"/>
      <c r="AB1907" s="269"/>
      <c r="AC1907" s="269"/>
      <c r="AD1907" s="271"/>
      <c r="AE1907" s="272"/>
    </row>
    <row r="1908" spans="2:31" outlineLevel="1" x14ac:dyDescent="0.2">
      <c r="B1908" s="274"/>
      <c r="C1908" s="274"/>
      <c r="D1908" s="274"/>
      <c r="E1908" s="274"/>
      <c r="F1908" s="274"/>
      <c r="G1908" s="274"/>
      <c r="H1908" s="274"/>
      <c r="I1908" s="274"/>
      <c r="J1908" s="274"/>
      <c r="K1908" s="274"/>
      <c r="L1908" s="268"/>
      <c r="M1908" s="275"/>
      <c r="N1908" s="275"/>
      <c r="O1908" s="257"/>
      <c r="P1908" s="257"/>
      <c r="Q1908" s="257"/>
      <c r="R1908" s="258"/>
      <c r="S1908" s="257"/>
      <c r="T1908" s="257"/>
      <c r="U1908" s="269"/>
      <c r="V1908" s="269"/>
      <c r="W1908" s="269"/>
      <c r="X1908" s="257"/>
      <c r="Y1908" s="270"/>
      <c r="Z1908" s="257"/>
      <c r="AA1908" s="257"/>
      <c r="AB1908" s="269"/>
      <c r="AC1908" s="269"/>
      <c r="AD1908" s="271"/>
      <c r="AE1908" s="272"/>
    </row>
    <row r="1909" spans="2:31" outlineLevel="1" x14ac:dyDescent="0.2">
      <c r="B1909" s="274"/>
      <c r="C1909" s="274"/>
      <c r="D1909" s="274"/>
      <c r="E1909" s="274"/>
      <c r="F1909" s="274"/>
      <c r="G1909" s="274"/>
      <c r="H1909" s="274"/>
      <c r="I1909" s="274"/>
      <c r="J1909" s="274"/>
      <c r="K1909" s="274"/>
      <c r="L1909" s="268"/>
      <c r="M1909" s="275"/>
      <c r="N1909" s="275"/>
      <c r="O1909" s="257"/>
      <c r="P1909" s="257"/>
      <c r="Q1909" s="257"/>
      <c r="R1909" s="258"/>
      <c r="S1909" s="257"/>
      <c r="T1909" s="257"/>
      <c r="U1909" s="269"/>
      <c r="V1909" s="269"/>
      <c r="W1909" s="269"/>
      <c r="X1909" s="257"/>
      <c r="Y1909" s="270"/>
      <c r="Z1909" s="257"/>
      <c r="AA1909" s="257"/>
      <c r="AB1909" s="269"/>
      <c r="AC1909" s="269"/>
      <c r="AD1909" s="271"/>
      <c r="AE1909" s="272"/>
    </row>
    <row r="1910" spans="2:31" outlineLevel="1" x14ac:dyDescent="0.2">
      <c r="B1910" s="274"/>
      <c r="C1910" s="274"/>
      <c r="D1910" s="274"/>
      <c r="E1910" s="274"/>
      <c r="F1910" s="274"/>
      <c r="G1910" s="274"/>
      <c r="H1910" s="274"/>
      <c r="I1910" s="274"/>
      <c r="J1910" s="274"/>
      <c r="K1910" s="274"/>
      <c r="L1910" s="268"/>
      <c r="M1910" s="275"/>
      <c r="N1910" s="275"/>
      <c r="O1910" s="257"/>
      <c r="P1910" s="257"/>
      <c r="Q1910" s="257"/>
      <c r="R1910" s="258"/>
      <c r="S1910" s="257"/>
      <c r="T1910" s="257"/>
      <c r="U1910" s="269"/>
      <c r="V1910" s="269"/>
      <c r="W1910" s="269"/>
      <c r="X1910" s="257"/>
      <c r="Y1910" s="270"/>
      <c r="Z1910" s="257"/>
      <c r="AA1910" s="257"/>
      <c r="AB1910" s="269"/>
      <c r="AC1910" s="269"/>
      <c r="AD1910" s="271"/>
      <c r="AE1910" s="272"/>
    </row>
    <row r="1911" spans="2:31" outlineLevel="1" x14ac:dyDescent="0.2">
      <c r="B1911" s="274"/>
      <c r="C1911" s="274"/>
      <c r="D1911" s="274"/>
      <c r="E1911" s="274"/>
      <c r="F1911" s="274"/>
      <c r="G1911" s="274"/>
      <c r="H1911" s="274"/>
      <c r="I1911" s="274"/>
      <c r="J1911" s="274"/>
      <c r="K1911" s="274"/>
      <c r="L1911" s="268"/>
      <c r="M1911" s="275"/>
      <c r="N1911" s="275"/>
      <c r="O1911" s="257"/>
      <c r="P1911" s="257"/>
      <c r="Q1911" s="257"/>
      <c r="R1911" s="258"/>
      <c r="S1911" s="257"/>
      <c r="T1911" s="257"/>
      <c r="U1911" s="269"/>
      <c r="V1911" s="269"/>
      <c r="W1911" s="269"/>
      <c r="X1911" s="257"/>
      <c r="Y1911" s="270"/>
      <c r="Z1911" s="257"/>
      <c r="AA1911" s="257"/>
      <c r="AB1911" s="269"/>
      <c r="AC1911" s="269"/>
      <c r="AD1911" s="271"/>
      <c r="AE1911" s="272"/>
    </row>
    <row r="1912" spans="2:31" outlineLevel="1" x14ac:dyDescent="0.2">
      <c r="B1912" s="274"/>
      <c r="C1912" s="274"/>
      <c r="D1912" s="274"/>
      <c r="E1912" s="274"/>
      <c r="F1912" s="274"/>
      <c r="G1912" s="274"/>
      <c r="H1912" s="274"/>
      <c r="I1912" s="274"/>
      <c r="J1912" s="274"/>
      <c r="K1912" s="274"/>
      <c r="L1912" s="268"/>
      <c r="M1912" s="275"/>
      <c r="N1912" s="275"/>
      <c r="O1912" s="257"/>
      <c r="P1912" s="257"/>
      <c r="Q1912" s="257"/>
      <c r="R1912" s="258"/>
      <c r="S1912" s="257"/>
      <c r="T1912" s="257"/>
      <c r="U1912" s="269"/>
      <c r="V1912" s="269"/>
      <c r="W1912" s="269"/>
      <c r="X1912" s="257"/>
      <c r="Y1912" s="258"/>
      <c r="Z1912" s="257"/>
      <c r="AA1912" s="257"/>
      <c r="AB1912" s="269"/>
      <c r="AC1912" s="269"/>
      <c r="AD1912" s="271"/>
      <c r="AE1912" s="272"/>
    </row>
    <row r="1913" spans="2:31" outlineLevel="1" x14ac:dyDescent="0.2">
      <c r="B1913" s="274"/>
      <c r="C1913" s="274"/>
      <c r="D1913" s="274"/>
      <c r="E1913" s="274"/>
      <c r="F1913" s="274"/>
      <c r="G1913" s="274"/>
      <c r="H1913" s="274"/>
      <c r="I1913" s="274"/>
      <c r="J1913" s="274"/>
      <c r="K1913" s="274"/>
      <c r="L1913" s="268"/>
      <c r="M1913" s="275"/>
      <c r="N1913" s="275"/>
      <c r="O1913" s="257"/>
      <c r="P1913" s="257"/>
      <c r="Q1913" s="257"/>
      <c r="R1913" s="258"/>
      <c r="S1913" s="257"/>
      <c r="T1913" s="257"/>
      <c r="U1913" s="269"/>
      <c r="V1913" s="269"/>
      <c r="W1913" s="269"/>
      <c r="X1913" s="257"/>
      <c r="Y1913" s="258"/>
      <c r="Z1913" s="257"/>
      <c r="AA1913" s="257"/>
      <c r="AB1913" s="269"/>
      <c r="AC1913" s="269"/>
      <c r="AD1913" s="271"/>
      <c r="AE1913" s="272"/>
    </row>
    <row r="1914" spans="2:31" outlineLevel="1" x14ac:dyDescent="0.2">
      <c r="B1914" s="274"/>
      <c r="C1914" s="274"/>
      <c r="D1914" s="274"/>
      <c r="E1914" s="274"/>
      <c r="F1914" s="274"/>
      <c r="G1914" s="274"/>
      <c r="H1914" s="274"/>
      <c r="I1914" s="274"/>
      <c r="J1914" s="274"/>
      <c r="K1914" s="274"/>
      <c r="L1914" s="268"/>
      <c r="M1914" s="275"/>
      <c r="N1914" s="275"/>
      <c r="O1914" s="257"/>
      <c r="P1914" s="257"/>
      <c r="Q1914" s="257"/>
      <c r="R1914" s="258"/>
      <c r="S1914" s="257"/>
      <c r="T1914" s="257"/>
      <c r="U1914" s="269"/>
      <c r="V1914" s="269"/>
      <c r="W1914" s="269"/>
      <c r="X1914" s="257"/>
      <c r="Y1914" s="258"/>
      <c r="Z1914" s="257"/>
      <c r="AA1914" s="257"/>
      <c r="AB1914" s="269"/>
      <c r="AC1914" s="269"/>
      <c r="AD1914" s="271"/>
      <c r="AE1914" s="272"/>
    </row>
    <row r="1915" spans="2:31" outlineLevel="1" x14ac:dyDescent="0.2">
      <c r="B1915" s="274"/>
      <c r="C1915" s="274"/>
      <c r="D1915" s="274"/>
      <c r="E1915" s="274"/>
      <c r="F1915" s="274"/>
      <c r="G1915" s="274"/>
      <c r="H1915" s="274"/>
      <c r="I1915" s="274"/>
      <c r="J1915" s="274"/>
      <c r="K1915" s="274"/>
      <c r="L1915" s="268"/>
      <c r="M1915" s="275"/>
      <c r="N1915" s="275"/>
      <c r="O1915" s="257"/>
      <c r="P1915" s="257"/>
      <c r="Q1915" s="257"/>
      <c r="R1915" s="258"/>
      <c r="S1915" s="257"/>
      <c r="T1915" s="257"/>
      <c r="U1915" s="269"/>
      <c r="V1915" s="269"/>
      <c r="W1915" s="269"/>
      <c r="X1915" s="257"/>
      <c r="Y1915" s="258"/>
      <c r="Z1915" s="257"/>
      <c r="AA1915" s="257"/>
      <c r="AB1915" s="269"/>
      <c r="AC1915" s="269"/>
      <c r="AD1915" s="271"/>
      <c r="AE1915" s="272"/>
    </row>
    <row r="1916" spans="2:31" outlineLevel="1" x14ac:dyDescent="0.2">
      <c r="B1916" s="274"/>
      <c r="C1916" s="274"/>
      <c r="D1916" s="274"/>
      <c r="E1916" s="274"/>
      <c r="F1916" s="274"/>
      <c r="G1916" s="274"/>
      <c r="H1916" s="274"/>
      <c r="I1916" s="274"/>
      <c r="J1916" s="274"/>
      <c r="K1916" s="274"/>
      <c r="L1916" s="268"/>
      <c r="M1916" s="275"/>
      <c r="N1916" s="275"/>
      <c r="O1916" s="257"/>
      <c r="P1916" s="257"/>
      <c r="Q1916" s="257"/>
      <c r="R1916" s="258"/>
      <c r="S1916" s="257"/>
      <c r="T1916" s="257"/>
      <c r="U1916" s="269"/>
      <c r="V1916" s="269"/>
      <c r="W1916" s="269"/>
      <c r="X1916" s="257"/>
      <c r="Y1916" s="258"/>
      <c r="Z1916" s="257"/>
      <c r="AA1916" s="257"/>
      <c r="AB1916" s="269"/>
      <c r="AC1916" s="269"/>
      <c r="AD1916" s="271"/>
      <c r="AE1916" s="272"/>
    </row>
    <row r="1917" spans="2:31" outlineLevel="1" x14ac:dyDescent="0.2">
      <c r="B1917" s="274"/>
      <c r="C1917" s="274"/>
      <c r="D1917" s="274"/>
      <c r="E1917" s="274"/>
      <c r="F1917" s="274"/>
      <c r="G1917" s="274"/>
      <c r="H1917" s="274"/>
      <c r="I1917" s="274"/>
      <c r="J1917" s="274"/>
      <c r="K1917" s="274"/>
      <c r="L1917" s="268"/>
      <c r="M1917" s="275"/>
      <c r="N1917" s="275"/>
      <c r="O1917" s="257"/>
      <c r="P1917" s="257"/>
      <c r="Q1917" s="257"/>
      <c r="R1917" s="258"/>
      <c r="S1917" s="257"/>
      <c r="T1917" s="257"/>
      <c r="U1917" s="269"/>
      <c r="V1917" s="269"/>
      <c r="W1917" s="269"/>
      <c r="X1917" s="257"/>
      <c r="Y1917" s="258"/>
      <c r="Z1917" s="257"/>
      <c r="AA1917" s="257"/>
      <c r="AB1917" s="269"/>
      <c r="AC1917" s="269"/>
      <c r="AD1917" s="271"/>
      <c r="AE1917" s="272"/>
    </row>
    <row r="1918" spans="2:31" outlineLevel="1" x14ac:dyDescent="0.2">
      <c r="B1918" s="274"/>
      <c r="C1918" s="274"/>
      <c r="D1918" s="274"/>
      <c r="E1918" s="274"/>
      <c r="F1918" s="274"/>
      <c r="G1918" s="274"/>
      <c r="H1918" s="274"/>
      <c r="I1918" s="274"/>
      <c r="J1918" s="274"/>
      <c r="K1918" s="274"/>
      <c r="L1918" s="268"/>
      <c r="M1918" s="275"/>
      <c r="N1918" s="275"/>
      <c r="O1918" s="257"/>
      <c r="P1918" s="257"/>
      <c r="Q1918" s="257"/>
      <c r="R1918" s="258"/>
      <c r="S1918" s="257"/>
      <c r="T1918" s="257"/>
      <c r="U1918" s="269"/>
      <c r="V1918" s="269"/>
      <c r="W1918" s="269"/>
      <c r="X1918" s="257"/>
      <c r="Y1918" s="258"/>
      <c r="Z1918" s="257"/>
      <c r="AA1918" s="257"/>
      <c r="AB1918" s="269"/>
      <c r="AC1918" s="269"/>
      <c r="AD1918" s="271"/>
      <c r="AE1918" s="272"/>
    </row>
    <row r="1919" spans="2:31" outlineLevel="1" x14ac:dyDescent="0.2">
      <c r="B1919" s="274"/>
      <c r="C1919" s="274"/>
      <c r="D1919" s="274"/>
      <c r="E1919" s="274"/>
      <c r="F1919" s="274"/>
      <c r="G1919" s="274"/>
      <c r="H1919" s="274"/>
      <c r="I1919" s="274"/>
      <c r="J1919" s="274"/>
      <c r="K1919" s="274"/>
      <c r="L1919" s="268"/>
      <c r="M1919" s="275"/>
      <c r="N1919" s="275"/>
      <c r="O1919" s="257"/>
      <c r="P1919" s="257"/>
      <c r="Q1919" s="257"/>
      <c r="R1919" s="258"/>
      <c r="S1919" s="257"/>
      <c r="T1919" s="257"/>
      <c r="U1919" s="269"/>
      <c r="V1919" s="269"/>
      <c r="W1919" s="269"/>
      <c r="X1919" s="257"/>
      <c r="Y1919" s="258"/>
      <c r="Z1919" s="257"/>
      <c r="AA1919" s="257"/>
      <c r="AB1919" s="269"/>
      <c r="AC1919" s="269"/>
      <c r="AD1919" s="271"/>
      <c r="AE1919" s="272"/>
    </row>
    <row r="1920" spans="2:31" outlineLevel="1" x14ac:dyDescent="0.2">
      <c r="B1920" s="274"/>
      <c r="C1920" s="274"/>
      <c r="D1920" s="274"/>
      <c r="E1920" s="274"/>
      <c r="F1920" s="274"/>
      <c r="G1920" s="274"/>
      <c r="H1920" s="274"/>
      <c r="I1920" s="274"/>
      <c r="J1920" s="274"/>
      <c r="K1920" s="274"/>
      <c r="L1920" s="268"/>
      <c r="M1920" s="275"/>
      <c r="N1920" s="275"/>
      <c r="O1920" s="257"/>
      <c r="P1920" s="257"/>
      <c r="Q1920" s="257"/>
      <c r="R1920" s="258"/>
      <c r="S1920" s="257"/>
      <c r="T1920" s="257"/>
      <c r="U1920" s="269"/>
      <c r="V1920" s="269"/>
      <c r="W1920" s="269"/>
      <c r="X1920" s="257"/>
      <c r="Y1920" s="258"/>
      <c r="Z1920" s="257"/>
      <c r="AA1920" s="257"/>
      <c r="AB1920" s="269"/>
      <c r="AC1920" s="269"/>
      <c r="AD1920" s="271"/>
      <c r="AE1920" s="272"/>
    </row>
    <row r="1921" spans="2:31" outlineLevel="1" x14ac:dyDescent="0.2">
      <c r="B1921" s="274"/>
      <c r="C1921" s="274"/>
      <c r="D1921" s="274"/>
      <c r="E1921" s="274"/>
      <c r="F1921" s="274"/>
      <c r="G1921" s="274"/>
      <c r="H1921" s="274"/>
      <c r="I1921" s="274"/>
      <c r="J1921" s="274"/>
      <c r="K1921" s="274"/>
      <c r="L1921" s="268"/>
      <c r="M1921" s="275"/>
      <c r="N1921" s="275"/>
      <c r="O1921" s="257"/>
      <c r="P1921" s="257"/>
      <c r="Q1921" s="257"/>
      <c r="R1921" s="258"/>
      <c r="S1921" s="257"/>
      <c r="T1921" s="257"/>
      <c r="U1921" s="269"/>
      <c r="V1921" s="269"/>
      <c r="W1921" s="269"/>
      <c r="X1921" s="257"/>
      <c r="Y1921" s="258"/>
      <c r="Z1921" s="257"/>
      <c r="AA1921" s="257"/>
      <c r="AB1921" s="269"/>
      <c r="AC1921" s="269"/>
      <c r="AD1921" s="271"/>
      <c r="AE1921" s="272"/>
    </row>
    <row r="1922" spans="2:31" outlineLevel="1" x14ac:dyDescent="0.2">
      <c r="B1922" s="274"/>
      <c r="C1922" s="274"/>
      <c r="D1922" s="274"/>
      <c r="E1922" s="274"/>
      <c r="F1922" s="274"/>
      <c r="G1922" s="274"/>
      <c r="H1922" s="274"/>
      <c r="I1922" s="274"/>
      <c r="J1922" s="274"/>
      <c r="K1922" s="274"/>
      <c r="L1922" s="268"/>
      <c r="M1922" s="275"/>
      <c r="N1922" s="275"/>
      <c r="O1922" s="257"/>
      <c r="P1922" s="257"/>
      <c r="Q1922" s="257"/>
      <c r="R1922" s="258"/>
      <c r="S1922" s="257"/>
      <c r="T1922" s="257"/>
      <c r="U1922" s="269"/>
      <c r="V1922" s="269"/>
      <c r="W1922" s="269"/>
      <c r="X1922" s="257"/>
      <c r="Y1922" s="258"/>
      <c r="Z1922" s="257"/>
      <c r="AA1922" s="257"/>
      <c r="AB1922" s="269"/>
      <c r="AC1922" s="269"/>
      <c r="AD1922" s="271"/>
      <c r="AE1922" s="272"/>
    </row>
    <row r="1923" spans="2:31" outlineLevel="1" x14ac:dyDescent="0.2">
      <c r="B1923" s="274"/>
      <c r="C1923" s="274"/>
      <c r="D1923" s="274"/>
      <c r="E1923" s="274"/>
      <c r="F1923" s="274"/>
      <c r="G1923" s="274"/>
      <c r="H1923" s="274"/>
      <c r="I1923" s="274"/>
      <c r="J1923" s="274"/>
      <c r="K1923" s="274"/>
      <c r="L1923" s="268"/>
      <c r="M1923" s="275"/>
      <c r="N1923" s="275"/>
      <c r="O1923" s="257"/>
      <c r="P1923" s="257"/>
      <c r="Q1923" s="257"/>
      <c r="R1923" s="258"/>
      <c r="S1923" s="257"/>
      <c r="T1923" s="257"/>
      <c r="U1923" s="269"/>
      <c r="V1923" s="269"/>
      <c r="W1923" s="269"/>
      <c r="X1923" s="257"/>
      <c r="Y1923" s="258"/>
      <c r="Z1923" s="257"/>
      <c r="AA1923" s="257"/>
      <c r="AB1923" s="269"/>
      <c r="AC1923" s="269"/>
      <c r="AD1923" s="271"/>
      <c r="AE1923" s="272"/>
    </row>
    <row r="1924" spans="2:31" outlineLevel="1" x14ac:dyDescent="0.2">
      <c r="B1924" s="274"/>
      <c r="C1924" s="274"/>
      <c r="D1924" s="274"/>
      <c r="E1924" s="274"/>
      <c r="F1924" s="274"/>
      <c r="G1924" s="274"/>
      <c r="H1924" s="274"/>
      <c r="I1924" s="274"/>
      <c r="J1924" s="274"/>
      <c r="K1924" s="274"/>
      <c r="L1924" s="268"/>
      <c r="M1924" s="275"/>
      <c r="N1924" s="275"/>
      <c r="O1924" s="257"/>
      <c r="P1924" s="257"/>
      <c r="Q1924" s="257"/>
      <c r="R1924" s="258"/>
      <c r="S1924" s="257"/>
      <c r="T1924" s="257"/>
      <c r="U1924" s="269"/>
      <c r="V1924" s="269"/>
      <c r="W1924" s="269"/>
      <c r="X1924" s="257"/>
      <c r="Y1924" s="258"/>
      <c r="Z1924" s="257"/>
      <c r="AA1924" s="257"/>
      <c r="AB1924" s="269"/>
      <c r="AC1924" s="269"/>
      <c r="AD1924" s="271"/>
      <c r="AE1924" s="272"/>
    </row>
    <row r="1925" spans="2:31" outlineLevel="1" x14ac:dyDescent="0.2">
      <c r="B1925" s="274"/>
      <c r="C1925" s="274"/>
      <c r="D1925" s="274"/>
      <c r="E1925" s="274"/>
      <c r="F1925" s="274"/>
      <c r="G1925" s="274"/>
      <c r="H1925" s="274"/>
      <c r="I1925" s="274"/>
      <c r="J1925" s="274"/>
      <c r="K1925" s="274"/>
      <c r="L1925" s="268"/>
      <c r="M1925" s="275"/>
      <c r="N1925" s="275"/>
      <c r="O1925" s="257"/>
      <c r="P1925" s="257"/>
      <c r="Q1925" s="257"/>
      <c r="R1925" s="258"/>
      <c r="S1925" s="257"/>
      <c r="T1925" s="257"/>
      <c r="U1925" s="269"/>
      <c r="V1925" s="269"/>
      <c r="W1925" s="269"/>
      <c r="X1925" s="257"/>
      <c r="Y1925" s="258"/>
      <c r="Z1925" s="257"/>
      <c r="AA1925" s="257"/>
      <c r="AB1925" s="269"/>
      <c r="AC1925" s="269"/>
      <c r="AD1925" s="271"/>
      <c r="AE1925" s="272"/>
    </row>
    <row r="1926" spans="2:31" outlineLevel="1" x14ac:dyDescent="0.2">
      <c r="B1926" s="274"/>
      <c r="C1926" s="274"/>
      <c r="D1926" s="274"/>
      <c r="E1926" s="274"/>
      <c r="F1926" s="274"/>
      <c r="G1926" s="274"/>
      <c r="H1926" s="274"/>
      <c r="I1926" s="274"/>
      <c r="J1926" s="274"/>
      <c r="K1926" s="274"/>
      <c r="L1926" s="268"/>
      <c r="M1926" s="275"/>
      <c r="N1926" s="275"/>
      <c r="O1926" s="257"/>
      <c r="P1926" s="257"/>
      <c r="Q1926" s="257"/>
      <c r="R1926" s="258"/>
      <c r="S1926" s="257"/>
      <c r="T1926" s="257"/>
      <c r="U1926" s="269"/>
      <c r="V1926" s="269"/>
      <c r="W1926" s="269"/>
      <c r="X1926" s="257"/>
      <c r="Y1926" s="258"/>
      <c r="Z1926" s="257"/>
      <c r="AA1926" s="257"/>
      <c r="AB1926" s="269"/>
      <c r="AC1926" s="269"/>
      <c r="AD1926" s="271"/>
      <c r="AE1926" s="272"/>
    </row>
    <row r="1927" spans="2:31" outlineLevel="1" x14ac:dyDescent="0.2">
      <c r="B1927" s="274"/>
      <c r="C1927" s="274"/>
      <c r="D1927" s="274"/>
      <c r="E1927" s="274"/>
      <c r="F1927" s="274"/>
      <c r="G1927" s="274"/>
      <c r="H1927" s="274"/>
      <c r="I1927" s="274"/>
      <c r="J1927" s="274"/>
      <c r="K1927" s="274"/>
      <c r="L1927" s="268"/>
      <c r="M1927" s="275"/>
      <c r="N1927" s="275"/>
      <c r="O1927" s="257"/>
      <c r="P1927" s="257"/>
      <c r="Q1927" s="257"/>
      <c r="R1927" s="258"/>
      <c r="S1927" s="257"/>
      <c r="T1927" s="257"/>
      <c r="U1927" s="269"/>
      <c r="V1927" s="269"/>
      <c r="W1927" s="269"/>
      <c r="X1927" s="257"/>
      <c r="Y1927" s="258"/>
      <c r="Z1927" s="257"/>
      <c r="AA1927" s="257"/>
      <c r="AB1927" s="269"/>
      <c r="AC1927" s="269"/>
      <c r="AD1927" s="271"/>
      <c r="AE1927" s="272"/>
    </row>
    <row r="1928" spans="2:31" outlineLevel="1" x14ac:dyDescent="0.2">
      <c r="B1928" s="274"/>
      <c r="C1928" s="274"/>
      <c r="D1928" s="274"/>
      <c r="E1928" s="274"/>
      <c r="F1928" s="274"/>
      <c r="G1928" s="274"/>
      <c r="H1928" s="274"/>
      <c r="I1928" s="274"/>
      <c r="J1928" s="274"/>
      <c r="K1928" s="274"/>
      <c r="L1928" s="268"/>
      <c r="M1928" s="275"/>
      <c r="N1928" s="275"/>
      <c r="O1928" s="257"/>
      <c r="P1928" s="257"/>
      <c r="Q1928" s="257"/>
      <c r="R1928" s="258"/>
      <c r="S1928" s="257"/>
      <c r="T1928" s="257"/>
      <c r="U1928" s="269"/>
      <c r="V1928" s="269"/>
      <c r="W1928" s="269"/>
      <c r="X1928" s="257"/>
      <c r="Y1928" s="258"/>
      <c r="Z1928" s="257"/>
      <c r="AA1928" s="257"/>
      <c r="AB1928" s="269"/>
      <c r="AC1928" s="269"/>
      <c r="AD1928" s="271"/>
      <c r="AE1928" s="272"/>
    </row>
    <row r="1929" spans="2:31" outlineLevel="1" x14ac:dyDescent="0.2">
      <c r="B1929" s="274"/>
      <c r="C1929" s="274"/>
      <c r="D1929" s="274"/>
      <c r="E1929" s="274"/>
      <c r="F1929" s="274"/>
      <c r="G1929" s="274"/>
      <c r="H1929" s="274"/>
      <c r="I1929" s="274"/>
      <c r="J1929" s="274"/>
      <c r="K1929" s="274"/>
      <c r="L1929" s="268"/>
      <c r="M1929" s="275"/>
      <c r="N1929" s="275"/>
      <c r="O1929" s="257"/>
      <c r="P1929" s="257"/>
      <c r="Q1929" s="257"/>
      <c r="R1929" s="258"/>
      <c r="S1929" s="257"/>
      <c r="T1929" s="257"/>
      <c r="U1929" s="269"/>
      <c r="V1929" s="269"/>
      <c r="W1929" s="269"/>
      <c r="X1929" s="257"/>
      <c r="Y1929" s="258"/>
      <c r="Z1929" s="257"/>
      <c r="AA1929" s="257"/>
      <c r="AB1929" s="269"/>
      <c r="AC1929" s="269"/>
      <c r="AD1929" s="271"/>
      <c r="AE1929" s="272"/>
    </row>
    <row r="1930" spans="2:31" outlineLevel="1" x14ac:dyDescent="0.2">
      <c r="B1930" s="274"/>
      <c r="C1930" s="274"/>
      <c r="D1930" s="274"/>
      <c r="E1930" s="274"/>
      <c r="F1930" s="274"/>
      <c r="G1930" s="274"/>
      <c r="H1930" s="274"/>
      <c r="I1930" s="274"/>
      <c r="J1930" s="274"/>
      <c r="K1930" s="274"/>
      <c r="L1930" s="268"/>
      <c r="M1930" s="275"/>
      <c r="N1930" s="275"/>
      <c r="O1930" s="257"/>
      <c r="P1930" s="257"/>
      <c r="Q1930" s="257"/>
      <c r="R1930" s="258"/>
      <c r="S1930" s="257"/>
      <c r="T1930" s="257"/>
      <c r="U1930" s="269"/>
      <c r="V1930" s="269"/>
      <c r="W1930" s="269"/>
      <c r="X1930" s="257"/>
      <c r="Y1930" s="258"/>
      <c r="Z1930" s="257"/>
      <c r="AA1930" s="257"/>
      <c r="AB1930" s="269"/>
      <c r="AC1930" s="269"/>
      <c r="AD1930" s="271"/>
      <c r="AE1930" s="272"/>
    </row>
    <row r="1931" spans="2:31" outlineLevel="1" x14ac:dyDescent="0.2">
      <c r="B1931" s="274"/>
      <c r="C1931" s="274"/>
      <c r="D1931" s="274"/>
      <c r="E1931" s="274"/>
      <c r="F1931" s="274"/>
      <c r="G1931" s="274"/>
      <c r="H1931" s="274"/>
      <c r="I1931" s="274"/>
      <c r="J1931" s="274"/>
      <c r="K1931" s="274"/>
      <c r="L1931" s="268"/>
      <c r="M1931" s="275"/>
      <c r="N1931" s="275"/>
      <c r="O1931" s="257"/>
      <c r="P1931" s="257"/>
      <c r="Q1931" s="257"/>
      <c r="R1931" s="258"/>
      <c r="S1931" s="257"/>
      <c r="T1931" s="257"/>
      <c r="U1931" s="269"/>
      <c r="V1931" s="269"/>
      <c r="W1931" s="269"/>
      <c r="X1931" s="257"/>
      <c r="Y1931" s="258"/>
      <c r="Z1931" s="257"/>
      <c r="AA1931" s="257"/>
      <c r="AB1931" s="269"/>
      <c r="AC1931" s="269"/>
      <c r="AD1931" s="271"/>
      <c r="AE1931" s="272"/>
    </row>
    <row r="1932" spans="2:31" outlineLevel="1" x14ac:dyDescent="0.2">
      <c r="B1932" s="274"/>
      <c r="C1932" s="274"/>
      <c r="D1932" s="274"/>
      <c r="E1932" s="274"/>
      <c r="F1932" s="274"/>
      <c r="G1932" s="274"/>
      <c r="H1932" s="274"/>
      <c r="I1932" s="274"/>
      <c r="J1932" s="274"/>
      <c r="K1932" s="274"/>
      <c r="L1932" s="268"/>
      <c r="M1932" s="275"/>
      <c r="N1932" s="275"/>
      <c r="O1932" s="257"/>
      <c r="P1932" s="257"/>
      <c r="Q1932" s="257"/>
      <c r="R1932" s="258"/>
      <c r="S1932" s="257"/>
      <c r="T1932" s="257"/>
      <c r="U1932" s="269"/>
      <c r="V1932" s="269"/>
      <c r="W1932" s="269"/>
      <c r="X1932" s="257"/>
      <c r="Y1932" s="258"/>
      <c r="Z1932" s="257"/>
      <c r="AA1932" s="257"/>
      <c r="AB1932" s="269"/>
      <c r="AC1932" s="269"/>
      <c r="AD1932" s="271"/>
      <c r="AE1932" s="272"/>
    </row>
    <row r="1933" spans="2:31" outlineLevel="1" x14ac:dyDescent="0.2">
      <c r="B1933" s="274"/>
      <c r="C1933" s="274"/>
      <c r="D1933" s="274"/>
      <c r="E1933" s="274"/>
      <c r="F1933" s="274"/>
      <c r="G1933" s="274"/>
      <c r="H1933" s="274"/>
      <c r="I1933" s="274"/>
      <c r="J1933" s="274"/>
      <c r="K1933" s="274"/>
      <c r="L1933" s="268"/>
      <c r="M1933" s="275"/>
      <c r="N1933" s="275"/>
      <c r="O1933" s="257"/>
      <c r="P1933" s="257"/>
      <c r="Q1933" s="257"/>
      <c r="R1933" s="258"/>
      <c r="S1933" s="257"/>
      <c r="T1933" s="257"/>
      <c r="U1933" s="269"/>
      <c r="V1933" s="269"/>
      <c r="W1933" s="269"/>
      <c r="X1933" s="257"/>
      <c r="Y1933" s="258"/>
      <c r="Z1933" s="257"/>
      <c r="AA1933" s="257"/>
      <c r="AB1933" s="269"/>
      <c r="AC1933" s="269"/>
      <c r="AD1933" s="271"/>
      <c r="AE1933" s="272"/>
    </row>
    <row r="1934" spans="2:31" outlineLevel="1" x14ac:dyDescent="0.2">
      <c r="B1934" s="274"/>
      <c r="C1934" s="274"/>
      <c r="D1934" s="274"/>
      <c r="E1934" s="274"/>
      <c r="F1934" s="274"/>
      <c r="G1934" s="274"/>
      <c r="H1934" s="274"/>
      <c r="I1934" s="274"/>
      <c r="J1934" s="274"/>
      <c r="K1934" s="274"/>
      <c r="L1934" s="268"/>
      <c r="M1934" s="275"/>
      <c r="N1934" s="275"/>
      <c r="O1934" s="257"/>
      <c r="P1934" s="257"/>
      <c r="Q1934" s="257"/>
      <c r="R1934" s="258"/>
      <c r="S1934" s="257"/>
      <c r="T1934" s="257"/>
      <c r="U1934" s="269"/>
      <c r="V1934" s="269"/>
      <c r="W1934" s="269"/>
      <c r="X1934" s="257"/>
      <c r="Y1934" s="258"/>
      <c r="Z1934" s="257"/>
      <c r="AA1934" s="257"/>
      <c r="AB1934" s="269"/>
      <c r="AC1934" s="269"/>
      <c r="AD1934" s="271"/>
      <c r="AE1934" s="272"/>
    </row>
    <row r="1935" spans="2:31" outlineLevel="1" x14ac:dyDescent="0.2">
      <c r="B1935" s="274"/>
      <c r="C1935" s="274"/>
      <c r="D1935" s="274"/>
      <c r="E1935" s="274"/>
      <c r="F1935" s="274"/>
      <c r="G1935" s="274"/>
      <c r="H1935" s="274"/>
      <c r="I1935" s="274"/>
      <c r="J1935" s="274"/>
      <c r="K1935" s="274"/>
      <c r="L1935" s="268"/>
      <c r="M1935" s="275"/>
      <c r="N1935" s="275"/>
      <c r="O1935" s="257"/>
      <c r="P1935" s="257"/>
      <c r="Q1935" s="257"/>
      <c r="R1935" s="258"/>
      <c r="S1935" s="257"/>
      <c r="T1935" s="257"/>
      <c r="U1935" s="269"/>
      <c r="V1935" s="269"/>
      <c r="W1935" s="269"/>
      <c r="X1935" s="257"/>
      <c r="Y1935" s="258"/>
      <c r="Z1935" s="257"/>
      <c r="AA1935" s="257"/>
      <c r="AB1935" s="269"/>
      <c r="AC1935" s="269"/>
      <c r="AD1935" s="271"/>
      <c r="AE1935" s="272"/>
    </row>
    <row r="1936" spans="2:31" outlineLevel="1" x14ac:dyDescent="0.2">
      <c r="B1936" s="274"/>
      <c r="C1936" s="274"/>
      <c r="D1936" s="274"/>
      <c r="E1936" s="274"/>
      <c r="F1936" s="274"/>
      <c r="G1936" s="274"/>
      <c r="H1936" s="274"/>
      <c r="I1936" s="274"/>
      <c r="J1936" s="274"/>
      <c r="K1936" s="274"/>
      <c r="L1936" s="268"/>
      <c r="M1936" s="275"/>
      <c r="N1936" s="275"/>
      <c r="O1936" s="257"/>
      <c r="P1936" s="257"/>
      <c r="Q1936" s="257"/>
      <c r="R1936" s="258"/>
      <c r="S1936" s="257"/>
      <c r="T1936" s="257"/>
      <c r="U1936" s="269"/>
      <c r="V1936" s="269"/>
      <c r="W1936" s="269"/>
      <c r="X1936" s="257"/>
      <c r="Y1936" s="258"/>
      <c r="Z1936" s="257"/>
      <c r="AA1936" s="257"/>
      <c r="AB1936" s="269"/>
      <c r="AC1936" s="269"/>
      <c r="AD1936" s="271"/>
      <c r="AE1936" s="272"/>
    </row>
    <row r="1937" spans="2:31" outlineLevel="1" x14ac:dyDescent="0.2">
      <c r="B1937" s="274"/>
      <c r="C1937" s="274"/>
      <c r="D1937" s="274"/>
      <c r="E1937" s="274"/>
      <c r="F1937" s="274"/>
      <c r="G1937" s="274"/>
      <c r="H1937" s="274"/>
      <c r="I1937" s="274"/>
      <c r="J1937" s="274"/>
      <c r="K1937" s="274"/>
      <c r="L1937" s="268"/>
      <c r="M1937" s="275"/>
      <c r="N1937" s="275"/>
      <c r="O1937" s="257"/>
      <c r="P1937" s="257"/>
      <c r="Q1937" s="257"/>
      <c r="R1937" s="258"/>
      <c r="S1937" s="257"/>
      <c r="T1937" s="257"/>
      <c r="U1937" s="269"/>
      <c r="V1937" s="269"/>
      <c r="W1937" s="269"/>
      <c r="X1937" s="257"/>
      <c r="Y1937" s="258"/>
      <c r="Z1937" s="257"/>
      <c r="AA1937" s="257"/>
      <c r="AB1937" s="269"/>
      <c r="AC1937" s="269"/>
      <c r="AD1937" s="271"/>
      <c r="AE1937" s="272"/>
    </row>
    <row r="1938" spans="2:31" outlineLevel="1" x14ac:dyDescent="0.2">
      <c r="B1938" s="274"/>
      <c r="C1938" s="274"/>
      <c r="D1938" s="274"/>
      <c r="E1938" s="274"/>
      <c r="F1938" s="274"/>
      <c r="G1938" s="274"/>
      <c r="H1938" s="274"/>
      <c r="I1938" s="274"/>
      <c r="J1938" s="274"/>
      <c r="K1938" s="274"/>
      <c r="L1938" s="268"/>
      <c r="M1938" s="275"/>
      <c r="N1938" s="275"/>
      <c r="O1938" s="257"/>
      <c r="P1938" s="257"/>
      <c r="Q1938" s="257"/>
      <c r="R1938" s="258"/>
      <c r="S1938" s="257"/>
      <c r="T1938" s="257"/>
      <c r="U1938" s="269"/>
      <c r="V1938" s="269"/>
      <c r="W1938" s="269"/>
      <c r="X1938" s="257"/>
      <c r="Y1938" s="258"/>
      <c r="Z1938" s="257"/>
      <c r="AA1938" s="257"/>
      <c r="AB1938" s="269"/>
      <c r="AC1938" s="269"/>
      <c r="AD1938" s="271"/>
      <c r="AE1938" s="272"/>
    </row>
    <row r="1939" spans="2:31" outlineLevel="1" x14ac:dyDescent="0.2">
      <c r="B1939" s="274"/>
      <c r="C1939" s="274"/>
      <c r="D1939" s="274"/>
      <c r="E1939" s="274"/>
      <c r="F1939" s="274"/>
      <c r="G1939" s="274"/>
      <c r="H1939" s="274"/>
      <c r="I1939" s="274"/>
      <c r="J1939" s="274"/>
      <c r="K1939" s="274"/>
      <c r="L1939" s="268"/>
      <c r="M1939" s="275"/>
      <c r="N1939" s="275"/>
      <c r="O1939" s="257"/>
      <c r="P1939" s="257"/>
      <c r="Q1939" s="257"/>
      <c r="R1939" s="258"/>
      <c r="S1939" s="257"/>
      <c r="T1939" s="257"/>
      <c r="U1939" s="269"/>
      <c r="V1939" s="269"/>
      <c r="W1939" s="269"/>
      <c r="X1939" s="257"/>
      <c r="Y1939" s="258"/>
      <c r="Z1939" s="257"/>
      <c r="AA1939" s="257"/>
      <c r="AB1939" s="269"/>
      <c r="AC1939" s="269"/>
      <c r="AD1939" s="271"/>
      <c r="AE1939" s="272"/>
    </row>
    <row r="1940" spans="2:31" outlineLevel="1" x14ac:dyDescent="0.2">
      <c r="B1940" s="274"/>
      <c r="C1940" s="274"/>
      <c r="D1940" s="274"/>
      <c r="E1940" s="274"/>
      <c r="F1940" s="274"/>
      <c r="G1940" s="274"/>
      <c r="H1940" s="274"/>
      <c r="I1940" s="274"/>
      <c r="J1940" s="274"/>
      <c r="K1940" s="274"/>
      <c r="L1940" s="268"/>
      <c r="M1940" s="275"/>
      <c r="N1940" s="275"/>
      <c r="O1940" s="257"/>
      <c r="P1940" s="257"/>
      <c r="Q1940" s="257"/>
      <c r="R1940" s="258"/>
      <c r="S1940" s="257"/>
      <c r="T1940" s="257"/>
      <c r="U1940" s="269"/>
      <c r="V1940" s="269"/>
      <c r="W1940" s="269"/>
      <c r="X1940" s="257"/>
      <c r="Y1940" s="258"/>
      <c r="Z1940" s="257"/>
      <c r="AA1940" s="257"/>
      <c r="AB1940" s="269"/>
      <c r="AC1940" s="269"/>
      <c r="AD1940" s="271"/>
      <c r="AE1940" s="272"/>
    </row>
  </sheetData>
  <sheetProtection algorithmName="SHA-512" hashValue="k00CsPFC73DdXOyDYTH7OHNr1s7tUjagsHcvz3GdIsRc/LhgiEiMxsamKUgwy0RXa3oQdEo+q26592J8i1zQOA==" saltValue="FpcaczHXIJwqBhH53yFjHA==" spinCount="100000" sheet="1" objects="1" scenarios="1"/>
  <sortState xmlns:xlrd2="http://schemas.microsoft.com/office/spreadsheetml/2017/richdata2" ref="B9:AD1797">
    <sortCondition ref="J9:J1797"/>
  </sortState>
  <conditionalFormatting sqref="C2">
    <cfRule type="expression" dxfId="416" priority="19">
      <formula>Model_check&lt;&gt;0</formula>
    </cfRule>
    <cfRule type="expression" dxfId="415" priority="20">
      <formula>Model_check=0</formula>
    </cfRule>
  </conditionalFormatting>
  <pageMargins left="0.70866141732283472" right="0.70866141732283472" top="0.74803149606299213" bottom="0.74803149606299213" header="0.31496062992125984" footer="0.31496062992125984"/>
  <pageSetup paperSize="9" scale="45" pageOrder="overThenDown" orientation="landscape"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vt:i4>
      </vt:variant>
    </vt:vector>
  </HeadingPairs>
  <TitlesOfParts>
    <vt:vector size="76" baseType="lpstr">
      <vt:lpstr>Overview</vt:lpstr>
      <vt:lpstr>Inputs &gt;</vt:lpstr>
      <vt:lpstr>Global inputs</vt:lpstr>
      <vt:lpstr>Escalators</vt:lpstr>
      <vt:lpstr>Historical opex</vt:lpstr>
      <vt:lpstr>Historical capex</vt:lpstr>
      <vt:lpstr>Operating leases</vt:lpstr>
      <vt:lpstr>Forecast opex</vt:lpstr>
      <vt:lpstr>Forecast capex</vt:lpstr>
      <vt:lpstr>Works under construction</vt:lpstr>
      <vt:lpstr>Calculations &gt;</vt:lpstr>
      <vt:lpstr>Escalators </vt:lpstr>
      <vt:lpstr>Opex summary</vt:lpstr>
      <vt:lpstr>Capex summary</vt:lpstr>
      <vt:lpstr>Commissioned assets allocation</vt:lpstr>
      <vt:lpstr>Commissioned assets summary</vt:lpstr>
      <vt:lpstr>Schedule E calculations</vt:lpstr>
      <vt:lpstr>Outputs &gt;</vt:lpstr>
      <vt:lpstr>CPP model output</vt:lpstr>
      <vt:lpstr>Sch E table 1</vt:lpstr>
      <vt:lpstr>Sch E table 2</vt:lpstr>
      <vt:lpstr>Sch E table 3</vt:lpstr>
      <vt:lpstr>Sch E table 4 </vt:lpstr>
      <vt:lpstr>Sch E table 5</vt:lpstr>
      <vt:lpstr>Sch E table 6</vt:lpstr>
      <vt:lpstr>Sch E table 7</vt:lpstr>
      <vt:lpstr>Sch E table 8</vt:lpstr>
      <vt:lpstr>Sch E table 9</vt:lpstr>
      <vt:lpstr>_</vt:lpstr>
      <vt:lpstr>Capex_Indices</vt:lpstr>
      <vt:lpstr>Expenditure_categories</vt:lpstr>
      <vt:lpstr>Model_check</vt:lpstr>
      <vt:lpstr>'Capex summary'!Print_Area</vt:lpstr>
      <vt:lpstr>'Commissioned assets allocation'!Print_Area</vt:lpstr>
      <vt:lpstr>'Commissioned assets summary'!Print_Area</vt:lpstr>
      <vt:lpstr>'CPP model output'!Print_Area</vt:lpstr>
      <vt:lpstr>Escalators!Print_Area</vt:lpstr>
      <vt:lpstr>'Escalators '!Print_Area</vt:lpstr>
      <vt:lpstr>'Forecast capex'!Print_Area</vt:lpstr>
      <vt:lpstr>'Forecast opex'!Print_Area</vt:lpstr>
      <vt:lpstr>'Global inputs'!Print_Area</vt:lpstr>
      <vt:lpstr>'Historical capex'!Print_Area</vt:lpstr>
      <vt:lpstr>'Historical opex'!Print_Area</vt:lpstr>
      <vt:lpstr>'Inputs &gt;'!Print_Area</vt:lpstr>
      <vt:lpstr>'Operating leases'!Print_Area</vt:lpstr>
      <vt:lpstr>'Opex summary'!Print_Area</vt:lpstr>
      <vt:lpstr>'Outputs &gt;'!Print_Area</vt:lpstr>
      <vt:lpstr>'Sch E table 1'!Print_Area</vt:lpstr>
      <vt:lpstr>'Sch E table 2'!Print_Area</vt:lpstr>
      <vt:lpstr>'Sch E table 3'!Print_Area</vt:lpstr>
      <vt:lpstr>'Sch E table 4 '!Print_Area</vt:lpstr>
      <vt:lpstr>'Sch E table 5'!Print_Area</vt:lpstr>
      <vt:lpstr>'Sch E table 6'!Print_Area</vt:lpstr>
      <vt:lpstr>'Sch E table 7'!Print_Area</vt:lpstr>
      <vt:lpstr>'Sch E table 8'!Print_Area</vt:lpstr>
      <vt:lpstr>'Sch E table 9'!Print_Area</vt:lpstr>
      <vt:lpstr>'Schedule E calculations'!Print_Area</vt:lpstr>
      <vt:lpstr>'Works under construction'!Print_Area</vt:lpstr>
      <vt:lpstr>'Capex summary'!Print_Titles</vt:lpstr>
      <vt:lpstr>'Commissioned assets allocation'!Print_Titles</vt:lpstr>
      <vt:lpstr>'Commissioned assets summary'!Print_Titles</vt:lpstr>
      <vt:lpstr>'CPP model output'!Print_Titles</vt:lpstr>
      <vt:lpstr>Escalators!Print_Titles</vt:lpstr>
      <vt:lpstr>'Escalators '!Print_Titles</vt:lpstr>
      <vt:lpstr>'Forecast capex'!Print_Titles</vt:lpstr>
      <vt:lpstr>'Forecast opex'!Print_Titles</vt:lpstr>
      <vt:lpstr>'Global inputs'!Print_Titles</vt:lpstr>
      <vt:lpstr>'Historical capex'!Print_Titles</vt:lpstr>
      <vt:lpstr>'Historical opex'!Print_Titles</vt:lpstr>
      <vt:lpstr>'Opex summary'!Print_Titles</vt:lpstr>
      <vt:lpstr>'Sch E table 4 '!Print_Titles</vt:lpstr>
      <vt:lpstr>'Sch E table 5'!Print_Titles</vt:lpstr>
      <vt:lpstr>'Sch E table 6'!Print_Titles</vt:lpstr>
      <vt:lpstr>'Sch E table 7'!Print_Titles</vt:lpstr>
      <vt:lpstr>'Schedule E calculations'!Print_Titles</vt:lpstr>
      <vt:lpstr>'Works under construction'!Print_Titles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2020-11-11T02:11:35Z</dcterms:created>
  <dcterms:modified xsi:type="dcterms:W3CDTF">2020-11-12T00:43:39Z</dcterms:modified>
  <cp:category/>
  <cp:contentStatus/>
</cp:coreProperties>
</file>